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/Desktop/Artigos/PET/Artigo_PNAD/"/>
    </mc:Choice>
  </mc:AlternateContent>
  <xr:revisionPtr revIDLastSave="0" documentId="13_ncr:1_{8555CD23-37E6-2640-8C71-7FF55D4F83B6}" xr6:coauthVersionLast="47" xr6:coauthVersionMax="47" xr10:uidLastSave="{00000000-0000-0000-0000-000000000000}"/>
  <bookViews>
    <workbookView xWindow="28800" yWindow="-3600" windowWidth="38400" windowHeight="21600" firstSheet="1" activeTab="1" xr2:uid="{00000000-000D-0000-FFFF-FFFF00000000}"/>
  </bookViews>
  <sheets>
    <sheet name="Rotina" sheetId="13" r:id="rId1"/>
    <sheet name="R_2020_2021efet CI" sheetId="12" r:id="rId2"/>
    <sheet name="R_2020_2021efet" sheetId="2" r:id="rId3"/>
    <sheet name="R 0 horas -&gt; 1 hora" sheetId="10" r:id="rId4"/>
    <sheet name="R_2020_2021hab" sheetId="9" r:id="rId5"/>
    <sheet name="2012_2015" sheetId="1" r:id="rId6"/>
    <sheet name="2015_2020" sheetId="4" r:id="rId7"/>
    <sheet name="2012_2020" sheetId="5" r:id="rId8"/>
    <sheet name="2020_2021_efet" sheetId="11" r:id="rId9"/>
    <sheet name="2020_2021 0-&gt;1" sheetId="8" r:id="rId10"/>
    <sheet name="2020_2021_hab" sheetId="7" r:id="rId11"/>
    <sheet name="2012_2015 Int Confianca" sheetId="14" r:id="rId12"/>
    <sheet name="2015_2020 Int_Confianca" sheetId="15" r:id="rId13"/>
    <sheet name="2012_2020 Int_Confianca" sheetId="16" r:id="rId14"/>
    <sheet name="2020_2021_efet Int_Confianca" sheetId="17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X330" i="12" l="1"/>
  <c r="CW330" i="12"/>
  <c r="CV330" i="12"/>
  <c r="CU330" i="12"/>
  <c r="CT330" i="12"/>
  <c r="CS330" i="12"/>
  <c r="CR330" i="12"/>
  <c r="CQ330" i="12"/>
  <c r="CP330" i="12"/>
  <c r="CO330" i="12"/>
  <c r="CN330" i="12"/>
  <c r="CM330" i="12"/>
  <c r="CL330" i="12"/>
  <c r="CK330" i="12"/>
  <c r="CJ330" i="12"/>
  <c r="CI330" i="12"/>
  <c r="CH330" i="12"/>
  <c r="CG330" i="12"/>
  <c r="CF330" i="12"/>
  <c r="CE330" i="12"/>
  <c r="CD330" i="12"/>
  <c r="CC330" i="12"/>
  <c r="CB330" i="12"/>
  <c r="CA330" i="12"/>
  <c r="BZ330" i="12"/>
  <c r="BY330" i="12"/>
  <c r="BX330" i="12"/>
  <c r="BW330" i="12"/>
  <c r="BV330" i="12"/>
  <c r="BU330" i="12"/>
  <c r="BT330" i="12"/>
  <c r="BS330" i="12"/>
  <c r="BR330" i="12"/>
  <c r="BQ330" i="12"/>
  <c r="BP330" i="12"/>
  <c r="BO330" i="12"/>
  <c r="BN330" i="12"/>
  <c r="BM330" i="12"/>
  <c r="BL330" i="12"/>
  <c r="BK330" i="12"/>
  <c r="BJ330" i="12"/>
  <c r="BI330" i="12"/>
  <c r="BH330" i="12"/>
  <c r="BG330" i="12"/>
  <c r="BF330" i="12"/>
  <c r="BE330" i="12"/>
  <c r="BD330" i="12"/>
  <c r="BC330" i="12"/>
  <c r="BB330" i="12"/>
  <c r="BA330" i="12"/>
  <c r="AZ330" i="12"/>
  <c r="AY330" i="12"/>
  <c r="AX330" i="12"/>
  <c r="AW330" i="12"/>
  <c r="AV330" i="12"/>
  <c r="AU330" i="12"/>
  <c r="AT330" i="12"/>
  <c r="AS330" i="12"/>
  <c r="AR330" i="12"/>
  <c r="AQ330" i="12"/>
  <c r="AP330" i="12"/>
  <c r="AO330" i="12"/>
  <c r="AN330" i="12"/>
  <c r="AM330" i="12"/>
  <c r="AL330" i="12"/>
  <c r="AK330" i="12"/>
  <c r="AJ330" i="12"/>
  <c r="AI330" i="12"/>
  <c r="AH330" i="12"/>
  <c r="AG330" i="12"/>
  <c r="AF330" i="12"/>
  <c r="AE330" i="12"/>
  <c r="AD330" i="12"/>
  <c r="AC330" i="12"/>
  <c r="AB330" i="12"/>
  <c r="AA330" i="12"/>
  <c r="Z330" i="12"/>
  <c r="Y330" i="12"/>
  <c r="X330" i="12"/>
  <c r="W330" i="12"/>
  <c r="V330" i="12"/>
  <c r="U330" i="12"/>
  <c r="T330" i="12"/>
  <c r="S330" i="12"/>
  <c r="R330" i="12"/>
  <c r="Q330" i="12"/>
  <c r="P330" i="12"/>
  <c r="O330" i="12"/>
  <c r="N330" i="12"/>
  <c r="M330" i="12"/>
  <c r="L330" i="12"/>
  <c r="K330" i="12"/>
  <c r="J330" i="12"/>
  <c r="I330" i="12"/>
  <c r="H330" i="12"/>
  <c r="G330" i="12"/>
  <c r="F330" i="12"/>
  <c r="E330" i="12"/>
  <c r="D330" i="12"/>
  <c r="CX329" i="12"/>
  <c r="CX356" i="12" s="1"/>
  <c r="CW329" i="12"/>
  <c r="CV329" i="12"/>
  <c r="CU329" i="12"/>
  <c r="CT329" i="12"/>
  <c r="CT356" i="12" s="1"/>
  <c r="CS329" i="12"/>
  <c r="CR329" i="12"/>
  <c r="CQ329" i="12"/>
  <c r="CP329" i="12"/>
  <c r="CP356" i="12" s="1"/>
  <c r="CO329" i="12"/>
  <c r="CN329" i="12"/>
  <c r="CM329" i="12"/>
  <c r="CL329" i="12"/>
  <c r="CL356" i="12" s="1"/>
  <c r="CK329" i="12"/>
  <c r="CJ329" i="12"/>
  <c r="CI329" i="12"/>
  <c r="CH329" i="12"/>
  <c r="CH356" i="12" s="1"/>
  <c r="CG329" i="12"/>
  <c r="CF329" i="12"/>
  <c r="CE329" i="12"/>
  <c r="CD329" i="12"/>
  <c r="CD356" i="12" s="1"/>
  <c r="CC329" i="12"/>
  <c r="CB329" i="12"/>
  <c r="CA329" i="12"/>
  <c r="BZ329" i="12"/>
  <c r="BZ356" i="12" s="1"/>
  <c r="BY329" i="12"/>
  <c r="BX329" i="12"/>
  <c r="BW329" i="12"/>
  <c r="BV329" i="12"/>
  <c r="BV356" i="12" s="1"/>
  <c r="BU329" i="12"/>
  <c r="BT329" i="12"/>
  <c r="BS329" i="12"/>
  <c r="BR329" i="12"/>
  <c r="BR356" i="12" s="1"/>
  <c r="BQ329" i="12"/>
  <c r="BP329" i="12"/>
  <c r="BO329" i="12"/>
  <c r="BN329" i="12"/>
  <c r="BN356" i="12" s="1"/>
  <c r="BM329" i="12"/>
  <c r="BL329" i="12"/>
  <c r="BK329" i="12"/>
  <c r="BJ329" i="12"/>
  <c r="BJ356" i="12" s="1"/>
  <c r="BI329" i="12"/>
  <c r="BH329" i="12"/>
  <c r="BG329" i="12"/>
  <c r="BF329" i="12"/>
  <c r="BF356" i="12" s="1"/>
  <c r="BE329" i="12"/>
  <c r="BD329" i="12"/>
  <c r="BC329" i="12"/>
  <c r="BB329" i="12"/>
  <c r="BB356" i="12" s="1"/>
  <c r="BA329" i="12"/>
  <c r="AZ329" i="12"/>
  <c r="AY329" i="12"/>
  <c r="AX329" i="12"/>
  <c r="AX356" i="12" s="1"/>
  <c r="AW329" i="12"/>
  <c r="AV329" i="12"/>
  <c r="AU329" i="12"/>
  <c r="AT329" i="12"/>
  <c r="AT356" i="12" s="1"/>
  <c r="AS329" i="12"/>
  <c r="AR329" i="12"/>
  <c r="AQ329" i="12"/>
  <c r="AP329" i="12"/>
  <c r="AP356" i="12" s="1"/>
  <c r="AO329" i="12"/>
  <c r="AN329" i="12"/>
  <c r="AM329" i="12"/>
  <c r="AL329" i="12"/>
  <c r="AL356" i="12" s="1"/>
  <c r="AK329" i="12"/>
  <c r="AJ329" i="12"/>
  <c r="AI329" i="12"/>
  <c r="AH329" i="12"/>
  <c r="AH356" i="12" s="1"/>
  <c r="AG329" i="12"/>
  <c r="AF329" i="12"/>
  <c r="AE329" i="12"/>
  <c r="AD329" i="12"/>
  <c r="AD356" i="12" s="1"/>
  <c r="AC329" i="12"/>
  <c r="AB329" i="12"/>
  <c r="AA329" i="12"/>
  <c r="Z329" i="12"/>
  <c r="Z356" i="12" s="1"/>
  <c r="Y329" i="12"/>
  <c r="X329" i="12"/>
  <c r="W329" i="12"/>
  <c r="V329" i="12"/>
  <c r="V356" i="12" s="1"/>
  <c r="U329" i="12"/>
  <c r="T329" i="12"/>
  <c r="S329" i="12"/>
  <c r="R329" i="12"/>
  <c r="R356" i="12" s="1"/>
  <c r="Q329" i="12"/>
  <c r="P329" i="12"/>
  <c r="O329" i="12"/>
  <c r="N329" i="12"/>
  <c r="N356" i="12" s="1"/>
  <c r="M329" i="12"/>
  <c r="L329" i="12"/>
  <c r="K329" i="12"/>
  <c r="J329" i="12"/>
  <c r="J356" i="12" s="1"/>
  <c r="I329" i="12"/>
  <c r="H329" i="12"/>
  <c r="G329" i="12"/>
  <c r="F329" i="12"/>
  <c r="F356" i="12" s="1"/>
  <c r="E329" i="12"/>
  <c r="D329" i="12"/>
  <c r="CX328" i="12"/>
  <c r="CW328" i="12"/>
  <c r="CV328" i="12"/>
  <c r="CU328" i="12"/>
  <c r="CT328" i="12"/>
  <c r="CS328" i="12"/>
  <c r="CS355" i="12" s="1"/>
  <c r="CR328" i="12"/>
  <c r="CQ328" i="12"/>
  <c r="CP328" i="12"/>
  <c r="CO328" i="12"/>
  <c r="CN328" i="12"/>
  <c r="CM328" i="12"/>
  <c r="CL328" i="12"/>
  <c r="CK328" i="12"/>
  <c r="CK355" i="12" s="1"/>
  <c r="CJ328" i="12"/>
  <c r="CI328" i="12"/>
  <c r="CH328" i="12"/>
  <c r="CG328" i="12"/>
  <c r="CF328" i="12"/>
  <c r="CE328" i="12"/>
  <c r="CD328" i="12"/>
  <c r="CC328" i="12"/>
  <c r="CC355" i="12" s="1"/>
  <c r="CB328" i="12"/>
  <c r="CA328" i="12"/>
  <c r="BZ328" i="12"/>
  <c r="BY328" i="12"/>
  <c r="BX328" i="12"/>
  <c r="BW328" i="12"/>
  <c r="BV328" i="12"/>
  <c r="BU328" i="12"/>
  <c r="BU355" i="12" s="1"/>
  <c r="BT328" i="12"/>
  <c r="BS328" i="12"/>
  <c r="BR328" i="12"/>
  <c r="BQ328" i="12"/>
  <c r="BP328" i="12"/>
  <c r="BO328" i="12"/>
  <c r="BN328" i="12"/>
  <c r="BM328" i="12"/>
  <c r="BM355" i="12" s="1"/>
  <c r="BL328" i="12"/>
  <c r="BK328" i="12"/>
  <c r="BJ328" i="12"/>
  <c r="BI328" i="12"/>
  <c r="BH328" i="12"/>
  <c r="BG328" i="12"/>
  <c r="BF328" i="12"/>
  <c r="BE328" i="12"/>
  <c r="BE355" i="12" s="1"/>
  <c r="BD328" i="12"/>
  <c r="BC328" i="12"/>
  <c r="BB328" i="12"/>
  <c r="BA328" i="12"/>
  <c r="AZ328" i="12"/>
  <c r="AY328" i="12"/>
  <c r="AX328" i="12"/>
  <c r="AW328" i="12"/>
  <c r="AW355" i="12" s="1"/>
  <c r="AV328" i="12"/>
  <c r="AU328" i="12"/>
  <c r="AT328" i="12"/>
  <c r="AS328" i="12"/>
  <c r="AR328" i="12"/>
  <c r="AQ328" i="12"/>
  <c r="AP328" i="12"/>
  <c r="AO328" i="12"/>
  <c r="AO355" i="12" s="1"/>
  <c r="AN328" i="12"/>
  <c r="AM328" i="12"/>
  <c r="AL328" i="12"/>
  <c r="AK328" i="12"/>
  <c r="AJ328" i="12"/>
  <c r="AI328" i="12"/>
  <c r="AH328" i="12"/>
  <c r="AG328" i="12"/>
  <c r="AG355" i="12" s="1"/>
  <c r="AF328" i="12"/>
  <c r="AE328" i="12"/>
  <c r="AD328" i="12"/>
  <c r="AC328" i="12"/>
  <c r="AB328" i="12"/>
  <c r="AA328" i="12"/>
  <c r="Z328" i="12"/>
  <c r="Y328" i="12"/>
  <c r="Y355" i="12" s="1"/>
  <c r="X328" i="12"/>
  <c r="W328" i="12"/>
  <c r="V328" i="12"/>
  <c r="U328" i="12"/>
  <c r="T328" i="12"/>
  <c r="S328" i="12"/>
  <c r="R328" i="12"/>
  <c r="Q328" i="12"/>
  <c r="Q355" i="12" s="1"/>
  <c r="P328" i="12"/>
  <c r="O328" i="12"/>
  <c r="N328" i="12"/>
  <c r="M328" i="12"/>
  <c r="L328" i="12"/>
  <c r="K328" i="12"/>
  <c r="J328" i="12"/>
  <c r="I328" i="12"/>
  <c r="I355" i="12" s="1"/>
  <c r="H328" i="12"/>
  <c r="G328" i="12"/>
  <c r="F328" i="12"/>
  <c r="E328" i="12"/>
  <c r="D328" i="12"/>
  <c r="CX327" i="12"/>
  <c r="CW327" i="12"/>
  <c r="CV327" i="12"/>
  <c r="CU327" i="12"/>
  <c r="CT327" i="12"/>
  <c r="CS327" i="12"/>
  <c r="CR327" i="12"/>
  <c r="CR354" i="12" s="1"/>
  <c r="CQ327" i="12"/>
  <c r="CP327" i="12"/>
  <c r="CO327" i="12"/>
  <c r="CN327" i="12"/>
  <c r="CM327" i="12"/>
  <c r="CL327" i="12"/>
  <c r="CK327" i="12"/>
  <c r="CJ327" i="12"/>
  <c r="CJ354" i="12" s="1"/>
  <c r="CI327" i="12"/>
  <c r="CH327" i="12"/>
  <c r="CG327" i="12"/>
  <c r="CF327" i="12"/>
  <c r="CE327" i="12"/>
  <c r="CD327" i="12"/>
  <c r="CC327" i="12"/>
  <c r="CB327" i="12"/>
  <c r="CB354" i="12" s="1"/>
  <c r="CA327" i="12"/>
  <c r="BZ327" i="12"/>
  <c r="BY327" i="12"/>
  <c r="BX327" i="12"/>
  <c r="BW327" i="12"/>
  <c r="BV327" i="12"/>
  <c r="BU327" i="12"/>
  <c r="BT327" i="12"/>
  <c r="BT354" i="12" s="1"/>
  <c r="BS327" i="12"/>
  <c r="BR327" i="12"/>
  <c r="BQ327" i="12"/>
  <c r="BP327" i="12"/>
  <c r="BO327" i="12"/>
  <c r="BN327" i="12"/>
  <c r="BM327" i="12"/>
  <c r="BL327" i="12"/>
  <c r="BL354" i="12" s="1"/>
  <c r="BK327" i="12"/>
  <c r="BJ327" i="12"/>
  <c r="BI327" i="12"/>
  <c r="BH327" i="12"/>
  <c r="BG327" i="12"/>
  <c r="BF327" i="12"/>
  <c r="BE327" i="12"/>
  <c r="BD327" i="12"/>
  <c r="BD354" i="12" s="1"/>
  <c r="BC327" i="12"/>
  <c r="BB327" i="12"/>
  <c r="BA327" i="12"/>
  <c r="AZ327" i="12"/>
  <c r="AY327" i="12"/>
  <c r="AX327" i="12"/>
  <c r="AW327" i="12"/>
  <c r="AV327" i="12"/>
  <c r="AV354" i="12" s="1"/>
  <c r="AU327" i="12"/>
  <c r="AT327" i="12"/>
  <c r="AS327" i="12"/>
  <c r="AR327" i="12"/>
  <c r="AQ327" i="12"/>
  <c r="AP327" i="12"/>
  <c r="AO327" i="12"/>
  <c r="AN327" i="12"/>
  <c r="AN354" i="12" s="1"/>
  <c r="AM327" i="12"/>
  <c r="AL327" i="12"/>
  <c r="AK327" i="12"/>
  <c r="AJ327" i="12"/>
  <c r="AI327" i="12"/>
  <c r="AH327" i="12"/>
  <c r="AG327" i="12"/>
  <c r="AF327" i="12"/>
  <c r="AF354" i="12" s="1"/>
  <c r="AE327" i="12"/>
  <c r="AD327" i="12"/>
  <c r="AC327" i="12"/>
  <c r="AB327" i="12"/>
  <c r="AA327" i="12"/>
  <c r="Z327" i="12"/>
  <c r="Y327" i="12"/>
  <c r="X327" i="12"/>
  <c r="X354" i="12" s="1"/>
  <c r="W327" i="12"/>
  <c r="V327" i="12"/>
  <c r="U327" i="12"/>
  <c r="T327" i="12"/>
  <c r="S327" i="12"/>
  <c r="R327" i="12"/>
  <c r="Q327" i="12"/>
  <c r="P327" i="12"/>
  <c r="P354" i="12" s="1"/>
  <c r="O327" i="12"/>
  <c r="N327" i="12"/>
  <c r="M327" i="12"/>
  <c r="L327" i="12"/>
  <c r="K327" i="12"/>
  <c r="J327" i="12"/>
  <c r="I327" i="12"/>
  <c r="H327" i="12"/>
  <c r="H354" i="12" s="1"/>
  <c r="G327" i="12"/>
  <c r="F327" i="12"/>
  <c r="E327" i="12"/>
  <c r="D327" i="12"/>
  <c r="CX326" i="12"/>
  <c r="CW326" i="12"/>
  <c r="CV326" i="12"/>
  <c r="CU326" i="12"/>
  <c r="CU353" i="12" s="1"/>
  <c r="CT326" i="12"/>
  <c r="CS326" i="12"/>
  <c r="CR326" i="12"/>
  <c r="CQ326" i="12"/>
  <c r="CQ353" i="12" s="1"/>
  <c r="CP326" i="12"/>
  <c r="CO326" i="12"/>
  <c r="CN326" i="12"/>
  <c r="CM326" i="12"/>
  <c r="CM353" i="12" s="1"/>
  <c r="CL326" i="12"/>
  <c r="CK326" i="12"/>
  <c r="CJ326" i="12"/>
  <c r="CI326" i="12"/>
  <c r="CI353" i="12" s="1"/>
  <c r="CH326" i="12"/>
  <c r="CG326" i="12"/>
  <c r="CF326" i="12"/>
  <c r="CE326" i="12"/>
  <c r="CE353" i="12" s="1"/>
  <c r="CD326" i="12"/>
  <c r="CC326" i="12"/>
  <c r="CB326" i="12"/>
  <c r="CA326" i="12"/>
  <c r="CA353" i="12" s="1"/>
  <c r="BZ326" i="12"/>
  <c r="BY326" i="12"/>
  <c r="BX326" i="12"/>
  <c r="BW326" i="12"/>
  <c r="BW353" i="12" s="1"/>
  <c r="BV326" i="12"/>
  <c r="BU326" i="12"/>
  <c r="BT326" i="12"/>
  <c r="BS326" i="12"/>
  <c r="BS353" i="12" s="1"/>
  <c r="BR326" i="12"/>
  <c r="BQ326" i="12"/>
  <c r="BP326" i="12"/>
  <c r="BO326" i="12"/>
  <c r="BO353" i="12" s="1"/>
  <c r="BN326" i="12"/>
  <c r="BM326" i="12"/>
  <c r="BL326" i="12"/>
  <c r="BK326" i="12"/>
  <c r="BK353" i="12" s="1"/>
  <c r="BJ326" i="12"/>
  <c r="BI326" i="12"/>
  <c r="BH326" i="12"/>
  <c r="BG326" i="12"/>
  <c r="BG353" i="12" s="1"/>
  <c r="BF326" i="12"/>
  <c r="BE326" i="12"/>
  <c r="BD326" i="12"/>
  <c r="BC326" i="12"/>
  <c r="BC353" i="12" s="1"/>
  <c r="BB326" i="12"/>
  <c r="BA326" i="12"/>
  <c r="AZ326" i="12"/>
  <c r="AY326" i="12"/>
  <c r="AY353" i="12" s="1"/>
  <c r="AX326" i="12"/>
  <c r="AW326" i="12"/>
  <c r="AV326" i="12"/>
  <c r="AU326" i="12"/>
  <c r="AU353" i="12" s="1"/>
  <c r="AT326" i="12"/>
  <c r="AS326" i="12"/>
  <c r="AR326" i="12"/>
  <c r="AQ326" i="12"/>
  <c r="AQ353" i="12" s="1"/>
  <c r="AP326" i="12"/>
  <c r="AO326" i="12"/>
  <c r="AN326" i="12"/>
  <c r="AM326" i="12"/>
  <c r="AM353" i="12" s="1"/>
  <c r="AL326" i="12"/>
  <c r="AK326" i="12"/>
  <c r="AJ326" i="12"/>
  <c r="AI326" i="12"/>
  <c r="AI353" i="12" s="1"/>
  <c r="AH326" i="12"/>
  <c r="AG326" i="12"/>
  <c r="AF326" i="12"/>
  <c r="AE326" i="12"/>
  <c r="AE353" i="12" s="1"/>
  <c r="AD326" i="12"/>
  <c r="AC326" i="12"/>
  <c r="AB326" i="12"/>
  <c r="AA326" i="12"/>
  <c r="AA353" i="12" s="1"/>
  <c r="Z326" i="12"/>
  <c r="Y326" i="12"/>
  <c r="X326" i="12"/>
  <c r="W326" i="12"/>
  <c r="W353" i="12" s="1"/>
  <c r="V326" i="12"/>
  <c r="U326" i="12"/>
  <c r="T326" i="12"/>
  <c r="S326" i="12"/>
  <c r="S353" i="12" s="1"/>
  <c r="R326" i="12"/>
  <c r="Q326" i="12"/>
  <c r="P326" i="12"/>
  <c r="O326" i="12"/>
  <c r="O353" i="12" s="1"/>
  <c r="N326" i="12"/>
  <c r="M326" i="12"/>
  <c r="L326" i="12"/>
  <c r="K326" i="12"/>
  <c r="K353" i="12" s="1"/>
  <c r="J326" i="12"/>
  <c r="I326" i="12"/>
  <c r="H326" i="12"/>
  <c r="G326" i="12"/>
  <c r="G353" i="12" s="1"/>
  <c r="F326" i="12"/>
  <c r="E326" i="12"/>
  <c r="D326" i="12"/>
  <c r="CX325" i="12"/>
  <c r="CW325" i="12"/>
  <c r="CV325" i="12"/>
  <c r="CU325" i="12"/>
  <c r="CT325" i="12"/>
  <c r="CT352" i="12" s="1"/>
  <c r="CS325" i="12"/>
  <c r="CR325" i="12"/>
  <c r="CQ325" i="12"/>
  <c r="CP325" i="12"/>
  <c r="CO325" i="12"/>
  <c r="CN325" i="12"/>
  <c r="CM325" i="12"/>
  <c r="CL325" i="12"/>
  <c r="CL352" i="12" s="1"/>
  <c r="CK325" i="12"/>
  <c r="CJ325" i="12"/>
  <c r="CI325" i="12"/>
  <c r="CH325" i="12"/>
  <c r="CG325" i="12"/>
  <c r="CF325" i="12"/>
  <c r="CE325" i="12"/>
  <c r="CD325" i="12"/>
  <c r="CD352" i="12" s="1"/>
  <c r="CC325" i="12"/>
  <c r="CB325" i="12"/>
  <c r="CA325" i="12"/>
  <c r="BZ325" i="12"/>
  <c r="BY325" i="12"/>
  <c r="BX325" i="12"/>
  <c r="BW325" i="12"/>
  <c r="BV325" i="12"/>
  <c r="BV352" i="12" s="1"/>
  <c r="BU325" i="12"/>
  <c r="BT325" i="12"/>
  <c r="BS325" i="12"/>
  <c r="BR325" i="12"/>
  <c r="BQ325" i="12"/>
  <c r="BP325" i="12"/>
  <c r="BO325" i="12"/>
  <c r="BN325" i="12"/>
  <c r="BN352" i="12" s="1"/>
  <c r="BM325" i="12"/>
  <c r="BL325" i="12"/>
  <c r="BK325" i="12"/>
  <c r="BJ325" i="12"/>
  <c r="BI325" i="12"/>
  <c r="BH325" i="12"/>
  <c r="BG325" i="12"/>
  <c r="BF325" i="12"/>
  <c r="BF352" i="12" s="1"/>
  <c r="BE325" i="12"/>
  <c r="BD325" i="12"/>
  <c r="BC325" i="12"/>
  <c r="BB325" i="12"/>
  <c r="BA325" i="12"/>
  <c r="AZ325" i="12"/>
  <c r="AY325" i="12"/>
  <c r="AX325" i="12"/>
  <c r="AX352" i="12" s="1"/>
  <c r="AW325" i="12"/>
  <c r="AV325" i="12"/>
  <c r="AU325" i="12"/>
  <c r="AT325" i="12"/>
  <c r="AS325" i="12"/>
  <c r="AR325" i="12"/>
  <c r="AQ325" i="12"/>
  <c r="AP325" i="12"/>
  <c r="AP352" i="12" s="1"/>
  <c r="AO325" i="12"/>
  <c r="AN325" i="12"/>
  <c r="AM325" i="12"/>
  <c r="AL325" i="12"/>
  <c r="AK325" i="12"/>
  <c r="AJ325" i="12"/>
  <c r="AI325" i="12"/>
  <c r="AH325" i="12"/>
  <c r="AH352" i="12" s="1"/>
  <c r="AG325" i="12"/>
  <c r="AF325" i="12"/>
  <c r="AE325" i="12"/>
  <c r="AD325" i="12"/>
  <c r="AC325" i="12"/>
  <c r="AB325" i="12"/>
  <c r="AA325" i="12"/>
  <c r="Z325" i="12"/>
  <c r="Z352" i="12" s="1"/>
  <c r="Y325" i="12"/>
  <c r="X325" i="12"/>
  <c r="W325" i="12"/>
  <c r="V325" i="12"/>
  <c r="U325" i="12"/>
  <c r="T325" i="12"/>
  <c r="S325" i="12"/>
  <c r="R325" i="12"/>
  <c r="R352" i="12" s="1"/>
  <c r="Q325" i="12"/>
  <c r="P325" i="12"/>
  <c r="O325" i="12"/>
  <c r="N325" i="12"/>
  <c r="M325" i="12"/>
  <c r="L325" i="12"/>
  <c r="K325" i="12"/>
  <c r="J325" i="12"/>
  <c r="J352" i="12" s="1"/>
  <c r="I325" i="12"/>
  <c r="H325" i="12"/>
  <c r="G325" i="12"/>
  <c r="F325" i="12"/>
  <c r="E325" i="12"/>
  <c r="D325" i="12"/>
  <c r="CX324" i="12"/>
  <c r="CW324" i="12"/>
  <c r="CW351" i="12" s="1"/>
  <c r="CV324" i="12"/>
  <c r="CU324" i="12"/>
  <c r="CT324" i="12"/>
  <c r="CS324" i="12"/>
  <c r="CR324" i="12"/>
  <c r="CQ324" i="12"/>
  <c r="CP324" i="12"/>
  <c r="CO324" i="12"/>
  <c r="CO351" i="12" s="1"/>
  <c r="CN324" i="12"/>
  <c r="CM324" i="12"/>
  <c r="CL324" i="12"/>
  <c r="CK324" i="12"/>
  <c r="CJ324" i="12"/>
  <c r="CI324" i="12"/>
  <c r="CH324" i="12"/>
  <c r="CG324" i="12"/>
  <c r="CG351" i="12" s="1"/>
  <c r="CF324" i="12"/>
  <c r="CE324" i="12"/>
  <c r="CD324" i="12"/>
  <c r="CC324" i="12"/>
  <c r="CB324" i="12"/>
  <c r="CA324" i="12"/>
  <c r="BZ324" i="12"/>
  <c r="BY324" i="12"/>
  <c r="BY351" i="12" s="1"/>
  <c r="BX324" i="12"/>
  <c r="BW324" i="12"/>
  <c r="BV324" i="12"/>
  <c r="BU324" i="12"/>
  <c r="BT324" i="12"/>
  <c r="BS324" i="12"/>
  <c r="BR324" i="12"/>
  <c r="BQ324" i="12"/>
  <c r="BQ351" i="12" s="1"/>
  <c r="BP324" i="12"/>
  <c r="BO324" i="12"/>
  <c r="BN324" i="12"/>
  <c r="BM324" i="12"/>
  <c r="BL324" i="12"/>
  <c r="BK324" i="12"/>
  <c r="BJ324" i="12"/>
  <c r="BI324" i="12"/>
  <c r="BI351" i="12" s="1"/>
  <c r="BH324" i="12"/>
  <c r="BG324" i="12"/>
  <c r="BF324" i="12"/>
  <c r="BE324" i="12"/>
  <c r="BD324" i="12"/>
  <c r="BC324" i="12"/>
  <c r="BB324" i="12"/>
  <c r="BA324" i="12"/>
  <c r="BA351" i="12" s="1"/>
  <c r="AZ324" i="12"/>
  <c r="AY324" i="12"/>
  <c r="AX324" i="12"/>
  <c r="AW324" i="12"/>
  <c r="AV324" i="12"/>
  <c r="AU324" i="12"/>
  <c r="AT324" i="12"/>
  <c r="AS324" i="12"/>
  <c r="AS351" i="12" s="1"/>
  <c r="AR324" i="12"/>
  <c r="AQ324" i="12"/>
  <c r="AP324" i="12"/>
  <c r="AO324" i="12"/>
  <c r="AN324" i="12"/>
  <c r="AM324" i="12"/>
  <c r="AL324" i="12"/>
  <c r="AK324" i="12"/>
  <c r="AK351" i="12" s="1"/>
  <c r="AJ324" i="12"/>
  <c r="AI324" i="12"/>
  <c r="AH324" i="12"/>
  <c r="AG324" i="12"/>
  <c r="AF324" i="12"/>
  <c r="AE324" i="12"/>
  <c r="AD324" i="12"/>
  <c r="AC324" i="12"/>
  <c r="AC351" i="12" s="1"/>
  <c r="AB324" i="12"/>
  <c r="AA324" i="12"/>
  <c r="Z324" i="12"/>
  <c r="Y324" i="12"/>
  <c r="X324" i="12"/>
  <c r="W324" i="12"/>
  <c r="V324" i="12"/>
  <c r="U324" i="12"/>
  <c r="U351" i="12" s="1"/>
  <c r="T324" i="12"/>
  <c r="S324" i="12"/>
  <c r="R324" i="12"/>
  <c r="Q324" i="12"/>
  <c r="P324" i="12"/>
  <c r="O324" i="12"/>
  <c r="N324" i="12"/>
  <c r="M324" i="12"/>
  <c r="M351" i="12" s="1"/>
  <c r="L324" i="12"/>
  <c r="K324" i="12"/>
  <c r="J324" i="12"/>
  <c r="I324" i="12"/>
  <c r="H324" i="12"/>
  <c r="G324" i="12"/>
  <c r="F324" i="12"/>
  <c r="E324" i="12"/>
  <c r="E351" i="12" s="1"/>
  <c r="D324" i="12"/>
  <c r="CX323" i="12"/>
  <c r="CW323" i="12"/>
  <c r="CV323" i="12"/>
  <c r="CV350" i="12" s="1"/>
  <c r="CU323" i="12"/>
  <c r="CT323" i="12"/>
  <c r="CS323" i="12"/>
  <c r="CR323" i="12"/>
  <c r="CQ323" i="12"/>
  <c r="CP323" i="12"/>
  <c r="CO323" i="12"/>
  <c r="CN323" i="12"/>
  <c r="CN350" i="12" s="1"/>
  <c r="CM323" i="12"/>
  <c r="CL323" i="12"/>
  <c r="CK323" i="12"/>
  <c r="CJ323" i="12"/>
  <c r="CI323" i="12"/>
  <c r="CH323" i="12"/>
  <c r="CG323" i="12"/>
  <c r="CF323" i="12"/>
  <c r="CF350" i="12" s="1"/>
  <c r="CE323" i="12"/>
  <c r="CD323" i="12"/>
  <c r="CC323" i="12"/>
  <c r="CB323" i="12"/>
  <c r="CA323" i="12"/>
  <c r="BZ323" i="12"/>
  <c r="BY323" i="12"/>
  <c r="BX323" i="12"/>
  <c r="BX350" i="12" s="1"/>
  <c r="BW323" i="12"/>
  <c r="BV323" i="12"/>
  <c r="BU323" i="12"/>
  <c r="BT323" i="12"/>
  <c r="BS323" i="12"/>
  <c r="BR323" i="12"/>
  <c r="BQ323" i="12"/>
  <c r="BP323" i="12"/>
  <c r="BP350" i="12" s="1"/>
  <c r="BO323" i="12"/>
  <c r="BN323" i="12"/>
  <c r="BM323" i="12"/>
  <c r="BL323" i="12"/>
  <c r="BK323" i="12"/>
  <c r="BJ323" i="12"/>
  <c r="BI323" i="12"/>
  <c r="BH323" i="12"/>
  <c r="BH350" i="12" s="1"/>
  <c r="BG323" i="12"/>
  <c r="BF323" i="12"/>
  <c r="BE323" i="12"/>
  <c r="BD323" i="12"/>
  <c r="BC323" i="12"/>
  <c r="BB323" i="12"/>
  <c r="BA323" i="12"/>
  <c r="AZ323" i="12"/>
  <c r="AZ350" i="12" s="1"/>
  <c r="AY323" i="12"/>
  <c r="AX323" i="12"/>
  <c r="AW323" i="12"/>
  <c r="AV323" i="12"/>
  <c r="AU323" i="12"/>
  <c r="AT323" i="12"/>
  <c r="AS323" i="12"/>
  <c r="AR323" i="12"/>
  <c r="AR350" i="12" s="1"/>
  <c r="AQ323" i="12"/>
  <c r="AP323" i="12"/>
  <c r="AO323" i="12"/>
  <c r="AN323" i="12"/>
  <c r="AM323" i="12"/>
  <c r="AL323" i="12"/>
  <c r="AK323" i="12"/>
  <c r="AJ323" i="12"/>
  <c r="AJ350" i="12" s="1"/>
  <c r="AI323" i="12"/>
  <c r="AH323" i="12"/>
  <c r="AG323" i="12"/>
  <c r="AF323" i="12"/>
  <c r="AE323" i="12"/>
  <c r="AD323" i="12"/>
  <c r="AC323" i="12"/>
  <c r="AB323" i="12"/>
  <c r="AB350" i="12" s="1"/>
  <c r="AA323" i="12"/>
  <c r="Z323" i="12"/>
  <c r="Y323" i="12"/>
  <c r="X323" i="12"/>
  <c r="W323" i="12"/>
  <c r="V323" i="12"/>
  <c r="U323" i="12"/>
  <c r="T323" i="12"/>
  <c r="T350" i="12" s="1"/>
  <c r="S323" i="12"/>
  <c r="R323" i="12"/>
  <c r="Q323" i="12"/>
  <c r="P323" i="12"/>
  <c r="O323" i="12"/>
  <c r="N323" i="12"/>
  <c r="M323" i="12"/>
  <c r="L323" i="12"/>
  <c r="L350" i="12" s="1"/>
  <c r="K323" i="12"/>
  <c r="J323" i="12"/>
  <c r="I323" i="12"/>
  <c r="H323" i="12"/>
  <c r="G323" i="12"/>
  <c r="F323" i="12"/>
  <c r="E323" i="12"/>
  <c r="D323" i="12"/>
  <c r="CX322" i="12"/>
  <c r="CW322" i="12"/>
  <c r="CV322" i="12"/>
  <c r="CU322" i="12"/>
  <c r="CU349" i="12" s="1"/>
  <c r="CT322" i="12"/>
  <c r="CS322" i="12"/>
  <c r="CR322" i="12"/>
  <c r="CQ322" i="12"/>
  <c r="CP322" i="12"/>
  <c r="CO322" i="12"/>
  <c r="CN322" i="12"/>
  <c r="CM322" i="12"/>
  <c r="CM349" i="12" s="1"/>
  <c r="CL322" i="12"/>
  <c r="CK322" i="12"/>
  <c r="CJ322" i="12"/>
  <c r="CI322" i="12"/>
  <c r="CH322" i="12"/>
  <c r="CG322" i="12"/>
  <c r="CF322" i="12"/>
  <c r="CE322" i="12"/>
  <c r="CE349" i="12" s="1"/>
  <c r="CD322" i="12"/>
  <c r="CC322" i="12"/>
  <c r="CB322" i="12"/>
  <c r="CA322" i="12"/>
  <c r="BZ322" i="12"/>
  <c r="BY322" i="12"/>
  <c r="BX322" i="12"/>
  <c r="BW322" i="12"/>
  <c r="BW349" i="12" s="1"/>
  <c r="BV322" i="12"/>
  <c r="BU322" i="12"/>
  <c r="BT322" i="12"/>
  <c r="BS322" i="12"/>
  <c r="BR322" i="12"/>
  <c r="BQ322" i="12"/>
  <c r="BP322" i="12"/>
  <c r="BO322" i="12"/>
  <c r="BO349" i="12" s="1"/>
  <c r="BN322" i="12"/>
  <c r="BM322" i="12"/>
  <c r="BL322" i="12"/>
  <c r="BK322" i="12"/>
  <c r="BJ322" i="12"/>
  <c r="BI322" i="12"/>
  <c r="BH322" i="12"/>
  <c r="BG322" i="12"/>
  <c r="BG349" i="12" s="1"/>
  <c r="BF322" i="12"/>
  <c r="BE322" i="12"/>
  <c r="BD322" i="12"/>
  <c r="BC322" i="12"/>
  <c r="BB322" i="12"/>
  <c r="BA322" i="12"/>
  <c r="AZ322" i="12"/>
  <c r="AY322" i="12"/>
  <c r="AY349" i="12" s="1"/>
  <c r="AX322" i="12"/>
  <c r="AW322" i="12"/>
  <c r="AV322" i="12"/>
  <c r="AU322" i="12"/>
  <c r="AT322" i="12"/>
  <c r="AS322" i="12"/>
  <c r="AR322" i="12"/>
  <c r="AQ322" i="12"/>
  <c r="AQ349" i="12" s="1"/>
  <c r="AP322" i="12"/>
  <c r="AO322" i="12"/>
  <c r="AN322" i="12"/>
  <c r="AM322" i="12"/>
  <c r="AL322" i="12"/>
  <c r="AK322" i="12"/>
  <c r="AJ322" i="12"/>
  <c r="AI322" i="12"/>
  <c r="AI349" i="12" s="1"/>
  <c r="AH322" i="12"/>
  <c r="AG322" i="12"/>
  <c r="AF322" i="12"/>
  <c r="AE322" i="12"/>
  <c r="AD322" i="12"/>
  <c r="AC322" i="12"/>
  <c r="AB322" i="12"/>
  <c r="AA322" i="12"/>
  <c r="AA349" i="12" s="1"/>
  <c r="Z322" i="12"/>
  <c r="Y322" i="12"/>
  <c r="X322" i="12"/>
  <c r="W322" i="12"/>
  <c r="V322" i="12"/>
  <c r="U322" i="12"/>
  <c r="T322" i="12"/>
  <c r="S322" i="12"/>
  <c r="S349" i="12" s="1"/>
  <c r="R322" i="12"/>
  <c r="Q322" i="12"/>
  <c r="P322" i="12"/>
  <c r="O322" i="12"/>
  <c r="N322" i="12"/>
  <c r="M322" i="12"/>
  <c r="L322" i="12"/>
  <c r="K322" i="12"/>
  <c r="K349" i="12" s="1"/>
  <c r="J322" i="12"/>
  <c r="I322" i="12"/>
  <c r="H322" i="12"/>
  <c r="G322" i="12"/>
  <c r="F322" i="12"/>
  <c r="E322" i="12"/>
  <c r="D322" i="12"/>
  <c r="CX321" i="12"/>
  <c r="CW321" i="12"/>
  <c r="CV321" i="12"/>
  <c r="CU321" i="12"/>
  <c r="CT321" i="12"/>
  <c r="CT348" i="12" s="1"/>
  <c r="CS321" i="12"/>
  <c r="CR321" i="12"/>
  <c r="CQ321" i="12"/>
  <c r="CP321" i="12"/>
  <c r="CO321" i="12"/>
  <c r="CN321" i="12"/>
  <c r="CM321" i="12"/>
  <c r="CL321" i="12"/>
  <c r="CL348" i="12" s="1"/>
  <c r="CK321" i="12"/>
  <c r="CJ321" i="12"/>
  <c r="CI321" i="12"/>
  <c r="CH321" i="12"/>
  <c r="CG321" i="12"/>
  <c r="CF321" i="12"/>
  <c r="CE321" i="12"/>
  <c r="CD321" i="12"/>
  <c r="CC321" i="12"/>
  <c r="CB321" i="12"/>
  <c r="CA321" i="12"/>
  <c r="BZ321" i="12"/>
  <c r="BY321" i="12"/>
  <c r="BX321" i="12"/>
  <c r="BW321" i="12"/>
  <c r="BV321" i="12"/>
  <c r="BV348" i="12" s="1"/>
  <c r="BU321" i="12"/>
  <c r="BT321" i="12"/>
  <c r="BS321" i="12"/>
  <c r="BR321" i="12"/>
  <c r="BQ321" i="12"/>
  <c r="BP321" i="12"/>
  <c r="BO321" i="12"/>
  <c r="BN321" i="12"/>
  <c r="BM321" i="12"/>
  <c r="BL321" i="12"/>
  <c r="BK321" i="12"/>
  <c r="BJ321" i="12"/>
  <c r="BI321" i="12"/>
  <c r="BH321" i="12"/>
  <c r="BG321" i="12"/>
  <c r="BF321" i="12"/>
  <c r="BF348" i="12" s="1"/>
  <c r="BE321" i="12"/>
  <c r="BD321" i="12"/>
  <c r="BC321" i="12"/>
  <c r="BB321" i="12"/>
  <c r="BA321" i="12"/>
  <c r="AZ321" i="12"/>
  <c r="AY321" i="12"/>
  <c r="AX321" i="12"/>
  <c r="AW321" i="12"/>
  <c r="AV321" i="12"/>
  <c r="AU321" i="12"/>
  <c r="AT321" i="12"/>
  <c r="AT348" i="12" s="1"/>
  <c r="AS321" i="12"/>
  <c r="AR321" i="12"/>
  <c r="AQ321" i="12"/>
  <c r="AP321" i="12"/>
  <c r="AP348" i="12" s="1"/>
  <c r="AO321" i="12"/>
  <c r="AN321" i="12"/>
  <c r="AM321" i="12"/>
  <c r="AL321" i="12"/>
  <c r="AK321" i="12"/>
  <c r="AJ321" i="12"/>
  <c r="AI321" i="12"/>
  <c r="AH321" i="12"/>
  <c r="AH348" i="12" s="1"/>
  <c r="AG321" i="12"/>
  <c r="AF321" i="12"/>
  <c r="AE321" i="12"/>
  <c r="AD321" i="12"/>
  <c r="AC321" i="12"/>
  <c r="AB321" i="12"/>
  <c r="AA321" i="12"/>
  <c r="Z321" i="12"/>
  <c r="Z348" i="12" s="1"/>
  <c r="Y321" i="12"/>
  <c r="X321" i="12"/>
  <c r="W321" i="12"/>
  <c r="V321" i="12"/>
  <c r="V348" i="12" s="1"/>
  <c r="U321" i="12"/>
  <c r="T321" i="12"/>
  <c r="S321" i="12"/>
  <c r="R321" i="12"/>
  <c r="Q321" i="12"/>
  <c r="P321" i="12"/>
  <c r="O321" i="12"/>
  <c r="N321" i="12"/>
  <c r="M321" i="12"/>
  <c r="L321" i="12"/>
  <c r="K321" i="12"/>
  <c r="J321" i="12"/>
  <c r="J348" i="12" s="1"/>
  <c r="I321" i="12"/>
  <c r="H321" i="12"/>
  <c r="G321" i="12"/>
  <c r="F321" i="12"/>
  <c r="E321" i="12"/>
  <c r="D321" i="12"/>
  <c r="CX320" i="12"/>
  <c r="CW320" i="12"/>
  <c r="CV320" i="12"/>
  <c r="CU320" i="12"/>
  <c r="CT320" i="12"/>
  <c r="CS320" i="12"/>
  <c r="CR320" i="12"/>
  <c r="CQ320" i="12"/>
  <c r="CP320" i="12"/>
  <c r="CO320" i="12"/>
  <c r="CO347" i="12" s="1"/>
  <c r="CN320" i="12"/>
  <c r="CM320" i="12"/>
  <c r="CL320" i="12"/>
  <c r="CK320" i="12"/>
  <c r="CJ320" i="12"/>
  <c r="CI320" i="12"/>
  <c r="CH320" i="12"/>
  <c r="CG320" i="12"/>
  <c r="CF320" i="12"/>
  <c r="CE320" i="12"/>
  <c r="CD320" i="12"/>
  <c r="CC320" i="12"/>
  <c r="CC347" i="12" s="1"/>
  <c r="CB320" i="12"/>
  <c r="CA320" i="12"/>
  <c r="BZ320" i="12"/>
  <c r="BY320" i="12"/>
  <c r="BY347" i="12" s="1"/>
  <c r="BX320" i="12"/>
  <c r="BW320" i="12"/>
  <c r="BV320" i="12"/>
  <c r="BU320" i="12"/>
  <c r="BT320" i="12"/>
  <c r="BS320" i="12"/>
  <c r="BR320" i="12"/>
  <c r="BQ320" i="12"/>
  <c r="BQ347" i="12" s="1"/>
  <c r="BP320" i="12"/>
  <c r="BO320" i="12"/>
  <c r="BN320" i="12"/>
  <c r="BM320" i="12"/>
  <c r="BL320" i="12"/>
  <c r="BK320" i="12"/>
  <c r="BJ320" i="12"/>
  <c r="BI320" i="12"/>
  <c r="BI347" i="12" s="1"/>
  <c r="BH320" i="12"/>
  <c r="BG320" i="12"/>
  <c r="BF320" i="12"/>
  <c r="BE320" i="12"/>
  <c r="BE347" i="12" s="1"/>
  <c r="BD320" i="12"/>
  <c r="BC320" i="12"/>
  <c r="BB320" i="12"/>
  <c r="BA320" i="12"/>
  <c r="AZ320" i="12"/>
  <c r="AY320" i="12"/>
  <c r="AX320" i="12"/>
  <c r="AW320" i="12"/>
  <c r="AW347" i="12" s="1"/>
  <c r="AV320" i="12"/>
  <c r="AU320" i="12"/>
  <c r="AT320" i="12"/>
  <c r="AS320" i="12"/>
  <c r="AS347" i="12" s="1"/>
  <c r="AR320" i="12"/>
  <c r="AQ320" i="12"/>
  <c r="AP320" i="12"/>
  <c r="AO320" i="12"/>
  <c r="AN320" i="12"/>
  <c r="AM320" i="12"/>
  <c r="AL320" i="12"/>
  <c r="AK320" i="12"/>
  <c r="AJ320" i="12"/>
  <c r="AI320" i="12"/>
  <c r="AH320" i="12"/>
  <c r="AG320" i="12"/>
  <c r="AF320" i="12"/>
  <c r="AE320" i="12"/>
  <c r="AD320" i="12"/>
  <c r="AC320" i="12"/>
  <c r="AC347" i="12" s="1"/>
  <c r="AB320" i="12"/>
  <c r="AA320" i="12"/>
  <c r="Z320" i="12"/>
  <c r="Y320" i="12"/>
  <c r="Y347" i="12" s="1"/>
  <c r="X320" i="12"/>
  <c r="W320" i="12"/>
  <c r="V320" i="12"/>
  <c r="U320" i="12"/>
  <c r="T320" i="12"/>
  <c r="S320" i="12"/>
  <c r="R320" i="12"/>
  <c r="Q320" i="12"/>
  <c r="Q347" i="12" s="1"/>
  <c r="P320" i="12"/>
  <c r="O320" i="12"/>
  <c r="N320" i="12"/>
  <c r="M320" i="12"/>
  <c r="M347" i="12" s="1"/>
  <c r="L320" i="12"/>
  <c r="K320" i="12"/>
  <c r="J320" i="12"/>
  <c r="I320" i="12"/>
  <c r="H320" i="12"/>
  <c r="G320" i="12"/>
  <c r="F320" i="12"/>
  <c r="E320" i="12"/>
  <c r="E347" i="12" s="1"/>
  <c r="D320" i="12"/>
  <c r="CX319" i="12"/>
  <c r="CW319" i="12"/>
  <c r="CV319" i="12"/>
  <c r="CV346" i="12" s="1"/>
  <c r="CU319" i="12"/>
  <c r="CT319" i="12"/>
  <c r="CS319" i="12"/>
  <c r="CR319" i="12"/>
  <c r="CR346" i="12" s="1"/>
  <c r="CQ319" i="12"/>
  <c r="CP319" i="12"/>
  <c r="CO319" i="12"/>
  <c r="CN319" i="12"/>
  <c r="CM319" i="12"/>
  <c r="CL319" i="12"/>
  <c r="CK319" i="12"/>
  <c r="CJ319" i="12"/>
  <c r="CJ346" i="12" s="1"/>
  <c r="CI319" i="12"/>
  <c r="CH319" i="12"/>
  <c r="CG319" i="12"/>
  <c r="CF319" i="12"/>
  <c r="CF346" i="12" s="1"/>
  <c r="CE319" i="12"/>
  <c r="CD319" i="12"/>
  <c r="CC319" i="12"/>
  <c r="CB319" i="12"/>
  <c r="CA319" i="12"/>
  <c r="BZ319" i="12"/>
  <c r="BY319" i="12"/>
  <c r="BX319" i="12"/>
  <c r="BX346" i="12" s="1"/>
  <c r="BW319" i="12"/>
  <c r="BV319" i="12"/>
  <c r="BU319" i="12"/>
  <c r="BT319" i="12"/>
  <c r="BS319" i="12"/>
  <c r="BR319" i="12"/>
  <c r="BQ319" i="12"/>
  <c r="BP319" i="12"/>
  <c r="BP346" i="12" s="1"/>
  <c r="BO319" i="12"/>
  <c r="BN319" i="12"/>
  <c r="BM319" i="12"/>
  <c r="BL319" i="12"/>
  <c r="BL346" i="12" s="1"/>
  <c r="BK319" i="12"/>
  <c r="BJ319" i="12"/>
  <c r="BI319" i="12"/>
  <c r="BH319" i="12"/>
  <c r="BG319" i="12"/>
  <c r="BF319" i="12"/>
  <c r="BE319" i="12"/>
  <c r="BD319" i="12"/>
  <c r="BD346" i="12" s="1"/>
  <c r="BC319" i="12"/>
  <c r="BB319" i="12"/>
  <c r="BA319" i="12"/>
  <c r="AZ319" i="12"/>
  <c r="AY319" i="12"/>
  <c r="AX319" i="12"/>
  <c r="AW319" i="12"/>
  <c r="AV319" i="12"/>
  <c r="AV346" i="12" s="1"/>
  <c r="AU319" i="12"/>
  <c r="AT319" i="12"/>
  <c r="AS319" i="12"/>
  <c r="AR319" i="12"/>
  <c r="AQ319" i="12"/>
  <c r="AP319" i="12"/>
  <c r="AO319" i="12"/>
  <c r="AN319" i="12"/>
  <c r="AN346" i="12" s="1"/>
  <c r="AM319" i="12"/>
  <c r="AL319" i="12"/>
  <c r="AK319" i="12"/>
  <c r="AJ319" i="12"/>
  <c r="AI319" i="12"/>
  <c r="AH319" i="12"/>
  <c r="AG319" i="12"/>
  <c r="AF319" i="12"/>
  <c r="AF346" i="12" s="1"/>
  <c r="AE319" i="12"/>
  <c r="AD319" i="12"/>
  <c r="AC319" i="12"/>
  <c r="AB319" i="12"/>
  <c r="AA319" i="12"/>
  <c r="Z319" i="12"/>
  <c r="Y319" i="12"/>
  <c r="X319" i="12"/>
  <c r="X346" i="12" s="1"/>
  <c r="W319" i="12"/>
  <c r="V319" i="12"/>
  <c r="U319" i="12"/>
  <c r="T319" i="12"/>
  <c r="S319" i="12"/>
  <c r="R319" i="12"/>
  <c r="Q319" i="12"/>
  <c r="P319" i="12"/>
  <c r="P346" i="12" s="1"/>
  <c r="O319" i="12"/>
  <c r="N319" i="12"/>
  <c r="M319" i="12"/>
  <c r="L319" i="12"/>
  <c r="K319" i="12"/>
  <c r="J319" i="12"/>
  <c r="I319" i="12"/>
  <c r="H319" i="12"/>
  <c r="H346" i="12" s="1"/>
  <c r="G319" i="12"/>
  <c r="F319" i="12"/>
  <c r="E319" i="12"/>
  <c r="D319" i="12"/>
  <c r="CX318" i="12"/>
  <c r="CW318" i="12"/>
  <c r="CV318" i="12"/>
  <c r="CU318" i="12"/>
  <c r="CT318" i="12"/>
  <c r="CS318" i="12"/>
  <c r="CR318" i="12"/>
  <c r="CQ318" i="12"/>
  <c r="CQ345" i="12" s="1"/>
  <c r="CP318" i="12"/>
  <c r="CO318" i="12"/>
  <c r="CN318" i="12"/>
  <c r="CM318" i="12"/>
  <c r="CL318" i="12"/>
  <c r="CK318" i="12"/>
  <c r="CJ318" i="12"/>
  <c r="CI318" i="12"/>
  <c r="CI345" i="12" s="1"/>
  <c r="CH318" i="12"/>
  <c r="CG318" i="12"/>
  <c r="CF318" i="12"/>
  <c r="CE318" i="12"/>
  <c r="CD318" i="12"/>
  <c r="CC318" i="12"/>
  <c r="CB318" i="12"/>
  <c r="CA318" i="12"/>
  <c r="CA345" i="12" s="1"/>
  <c r="BZ318" i="12"/>
  <c r="BY318" i="12"/>
  <c r="BX318" i="12"/>
  <c r="BW318" i="12"/>
  <c r="BV318" i="12"/>
  <c r="BU318" i="12"/>
  <c r="BT318" i="12"/>
  <c r="BS318" i="12"/>
  <c r="BS345" i="12" s="1"/>
  <c r="BR318" i="12"/>
  <c r="BQ318" i="12"/>
  <c r="BP318" i="12"/>
  <c r="BO318" i="12"/>
  <c r="BN318" i="12"/>
  <c r="BM318" i="12"/>
  <c r="BL318" i="12"/>
  <c r="BK318" i="12"/>
  <c r="BK345" i="12" s="1"/>
  <c r="BJ318" i="12"/>
  <c r="BI318" i="12"/>
  <c r="BH318" i="12"/>
  <c r="BG318" i="12"/>
  <c r="BF318" i="12"/>
  <c r="BE318" i="12"/>
  <c r="BD318" i="12"/>
  <c r="BC318" i="12"/>
  <c r="BC345" i="12" s="1"/>
  <c r="BB318" i="12"/>
  <c r="BA318" i="12"/>
  <c r="AZ318" i="12"/>
  <c r="AY318" i="12"/>
  <c r="AY345" i="12" s="1"/>
  <c r="AX318" i="12"/>
  <c r="AW318" i="12"/>
  <c r="AV318" i="12"/>
  <c r="AU318" i="12"/>
  <c r="AU345" i="12" s="1"/>
  <c r="AT318" i="12"/>
  <c r="AS318" i="12"/>
  <c r="AR318" i="12"/>
  <c r="AQ318" i="12"/>
  <c r="AP318" i="12"/>
  <c r="AO318" i="12"/>
  <c r="AN318" i="12"/>
  <c r="AM318" i="12"/>
  <c r="AM345" i="12" s="1"/>
  <c r="AL318" i="12"/>
  <c r="AK318" i="12"/>
  <c r="AJ318" i="12"/>
  <c r="AI318" i="12"/>
  <c r="AH318" i="12"/>
  <c r="AG318" i="12"/>
  <c r="AF318" i="12"/>
  <c r="AE318" i="12"/>
  <c r="AE345" i="12" s="1"/>
  <c r="AD318" i="12"/>
  <c r="AC318" i="12"/>
  <c r="AB318" i="12"/>
  <c r="AA318" i="12"/>
  <c r="Z318" i="12"/>
  <c r="Y318" i="12"/>
  <c r="X318" i="12"/>
  <c r="W318" i="12"/>
  <c r="W345" i="12" s="1"/>
  <c r="V318" i="12"/>
  <c r="U318" i="12"/>
  <c r="T318" i="12"/>
  <c r="S318" i="12"/>
  <c r="S345" i="12" s="1"/>
  <c r="R318" i="12"/>
  <c r="Q318" i="12"/>
  <c r="P318" i="12"/>
  <c r="O318" i="12"/>
  <c r="O345" i="12" s="1"/>
  <c r="N318" i="12"/>
  <c r="M318" i="12"/>
  <c r="L318" i="12"/>
  <c r="K318" i="12"/>
  <c r="J318" i="12"/>
  <c r="I318" i="12"/>
  <c r="H318" i="12"/>
  <c r="G318" i="12"/>
  <c r="G345" i="12" s="1"/>
  <c r="F318" i="12"/>
  <c r="E318" i="12"/>
  <c r="D318" i="12"/>
  <c r="CX317" i="12"/>
  <c r="CX344" i="12" s="1"/>
  <c r="CW317" i="12"/>
  <c r="CV317" i="12"/>
  <c r="CU317" i="12"/>
  <c r="CT317" i="12"/>
  <c r="CS317" i="12"/>
  <c r="CR317" i="12"/>
  <c r="CQ317" i="12"/>
  <c r="CP317" i="12"/>
  <c r="CP344" i="12" s="1"/>
  <c r="CO317" i="12"/>
  <c r="CN317" i="12"/>
  <c r="CM317" i="12"/>
  <c r="CL317" i="12"/>
  <c r="CL344" i="12" s="1"/>
  <c r="CK317" i="12"/>
  <c r="CJ317" i="12"/>
  <c r="CI317" i="12"/>
  <c r="CH317" i="12"/>
  <c r="CH344" i="12" s="1"/>
  <c r="CG317" i="12"/>
  <c r="CF317" i="12"/>
  <c r="CE317" i="12"/>
  <c r="CD317" i="12"/>
  <c r="CC317" i="12"/>
  <c r="CB317" i="12"/>
  <c r="CA317" i="12"/>
  <c r="BZ317" i="12"/>
  <c r="BZ344" i="12" s="1"/>
  <c r="BY317" i="12"/>
  <c r="BX317" i="12"/>
  <c r="BW317" i="12"/>
  <c r="BV317" i="12"/>
  <c r="BV344" i="12" s="1"/>
  <c r="BU317" i="12"/>
  <c r="BT317" i="12"/>
  <c r="BS317" i="12"/>
  <c r="BR317" i="12"/>
  <c r="BR344" i="12" s="1"/>
  <c r="BQ317" i="12"/>
  <c r="BP317" i="12"/>
  <c r="BO317" i="12"/>
  <c r="BN317" i="12"/>
  <c r="BM317" i="12"/>
  <c r="BL317" i="12"/>
  <c r="BK317" i="12"/>
  <c r="BJ317" i="12"/>
  <c r="BJ344" i="12" s="1"/>
  <c r="BI317" i="12"/>
  <c r="BH317" i="12"/>
  <c r="BG317" i="12"/>
  <c r="BF317" i="12"/>
  <c r="BF344" i="12" s="1"/>
  <c r="BE317" i="12"/>
  <c r="BD317" i="12"/>
  <c r="BC317" i="12"/>
  <c r="BB317" i="12"/>
  <c r="BB344" i="12" s="1"/>
  <c r="BA317" i="12"/>
  <c r="AZ317" i="12"/>
  <c r="AY317" i="12"/>
  <c r="AX317" i="12"/>
  <c r="AW317" i="12"/>
  <c r="AV317" i="12"/>
  <c r="AU317" i="12"/>
  <c r="AT317" i="12"/>
  <c r="AT344" i="12" s="1"/>
  <c r="AS317" i="12"/>
  <c r="AR317" i="12"/>
  <c r="AQ317" i="12"/>
  <c r="AP317" i="12"/>
  <c r="AP344" i="12" s="1"/>
  <c r="AO317" i="12"/>
  <c r="AN317" i="12"/>
  <c r="AM317" i="12"/>
  <c r="AL317" i="12"/>
  <c r="AL344" i="12" s="1"/>
  <c r="AK317" i="12"/>
  <c r="AJ317" i="12"/>
  <c r="AI317" i="12"/>
  <c r="AH317" i="12"/>
  <c r="AG317" i="12"/>
  <c r="AF317" i="12"/>
  <c r="AE317" i="12"/>
  <c r="AD317" i="12"/>
  <c r="AD344" i="12" s="1"/>
  <c r="AC317" i="12"/>
  <c r="AB317" i="12"/>
  <c r="AA317" i="12"/>
  <c r="Z317" i="12"/>
  <c r="Z344" i="12" s="1"/>
  <c r="Y317" i="12"/>
  <c r="X317" i="12"/>
  <c r="W317" i="12"/>
  <c r="V317" i="12"/>
  <c r="V344" i="12" s="1"/>
  <c r="U317" i="12"/>
  <c r="T317" i="12"/>
  <c r="S317" i="12"/>
  <c r="R317" i="12"/>
  <c r="Q317" i="12"/>
  <c r="P317" i="12"/>
  <c r="O317" i="12"/>
  <c r="N317" i="12"/>
  <c r="N344" i="12" s="1"/>
  <c r="M317" i="12"/>
  <c r="L317" i="12"/>
  <c r="K317" i="12"/>
  <c r="J317" i="12"/>
  <c r="J344" i="12" s="1"/>
  <c r="I317" i="12"/>
  <c r="H317" i="12"/>
  <c r="G317" i="12"/>
  <c r="F317" i="12"/>
  <c r="F344" i="12" s="1"/>
  <c r="E317" i="12"/>
  <c r="D317" i="12"/>
  <c r="CX316" i="12"/>
  <c r="CW316" i="12"/>
  <c r="CV316" i="12"/>
  <c r="CU316" i="12"/>
  <c r="CT316" i="12"/>
  <c r="CS316" i="12"/>
  <c r="CS343" i="12" s="1"/>
  <c r="CR316" i="12"/>
  <c r="CQ316" i="12"/>
  <c r="CP316" i="12"/>
  <c r="CO316" i="12"/>
  <c r="CO343" i="12" s="1"/>
  <c r="CN316" i="12"/>
  <c r="CM316" i="12"/>
  <c r="CL316" i="12"/>
  <c r="CK316" i="12"/>
  <c r="CK343" i="12" s="1"/>
  <c r="CJ316" i="12"/>
  <c r="CI316" i="12"/>
  <c r="CH316" i="12"/>
  <c r="CG316" i="12"/>
  <c r="CF316" i="12"/>
  <c r="CE316" i="12"/>
  <c r="CD316" i="12"/>
  <c r="CC316" i="12"/>
  <c r="CC343" i="12" s="1"/>
  <c r="CB316" i="12"/>
  <c r="CA316" i="12"/>
  <c r="BZ316" i="12"/>
  <c r="BY316" i="12"/>
  <c r="BY343" i="12" s="1"/>
  <c r="BX316" i="12"/>
  <c r="BW316" i="12"/>
  <c r="BV316" i="12"/>
  <c r="BU316" i="12"/>
  <c r="BU343" i="12" s="1"/>
  <c r="BT316" i="12"/>
  <c r="BS316" i="12"/>
  <c r="BR316" i="12"/>
  <c r="BQ316" i="12"/>
  <c r="BP316" i="12"/>
  <c r="BO316" i="12"/>
  <c r="BN316" i="12"/>
  <c r="BM316" i="12"/>
  <c r="BM343" i="12" s="1"/>
  <c r="BL316" i="12"/>
  <c r="BK316" i="12"/>
  <c r="BJ316" i="12"/>
  <c r="BI316" i="12"/>
  <c r="BI343" i="12" s="1"/>
  <c r="BH316" i="12"/>
  <c r="BG316" i="12"/>
  <c r="BF316" i="12"/>
  <c r="BE316" i="12"/>
  <c r="BE343" i="12" s="1"/>
  <c r="BD316" i="12"/>
  <c r="BC316" i="12"/>
  <c r="BB316" i="12"/>
  <c r="BA316" i="12"/>
  <c r="AZ316" i="12"/>
  <c r="AY316" i="12"/>
  <c r="AX316" i="12"/>
  <c r="AW316" i="12"/>
  <c r="AW343" i="12" s="1"/>
  <c r="AV316" i="12"/>
  <c r="AU316" i="12"/>
  <c r="AT316" i="12"/>
  <c r="AS316" i="12"/>
  <c r="AS343" i="12" s="1"/>
  <c r="AR316" i="12"/>
  <c r="AQ316" i="12"/>
  <c r="AP316" i="12"/>
  <c r="AO316" i="12"/>
  <c r="AO343" i="12" s="1"/>
  <c r="AN316" i="12"/>
  <c r="AM316" i="12"/>
  <c r="AL316" i="12"/>
  <c r="AK316" i="12"/>
  <c r="AJ316" i="12"/>
  <c r="AI316" i="12"/>
  <c r="AH316" i="12"/>
  <c r="AG316" i="12"/>
  <c r="AG343" i="12" s="1"/>
  <c r="AF316" i="12"/>
  <c r="AE316" i="12"/>
  <c r="AD316" i="12"/>
  <c r="AC316" i="12"/>
  <c r="AC343" i="12" s="1"/>
  <c r="AB316" i="12"/>
  <c r="AA316" i="12"/>
  <c r="Z316" i="12"/>
  <c r="Y316" i="12"/>
  <c r="Y343" i="12" s="1"/>
  <c r="X316" i="12"/>
  <c r="W316" i="12"/>
  <c r="V316" i="12"/>
  <c r="U316" i="12"/>
  <c r="T316" i="12"/>
  <c r="S316" i="12"/>
  <c r="R316" i="12"/>
  <c r="Q316" i="12"/>
  <c r="Q343" i="12" s="1"/>
  <c r="P316" i="12"/>
  <c r="O316" i="12"/>
  <c r="N316" i="12"/>
  <c r="M316" i="12"/>
  <c r="M343" i="12" s="1"/>
  <c r="L316" i="12"/>
  <c r="K316" i="12"/>
  <c r="J316" i="12"/>
  <c r="I316" i="12"/>
  <c r="I343" i="12" s="1"/>
  <c r="H316" i="12"/>
  <c r="G316" i="12"/>
  <c r="F316" i="12"/>
  <c r="E316" i="12"/>
  <c r="D316" i="12"/>
  <c r="CX315" i="12"/>
  <c r="CW315" i="12"/>
  <c r="CV315" i="12"/>
  <c r="CV342" i="12" s="1"/>
  <c r="CU315" i="12"/>
  <c r="CT315" i="12"/>
  <c r="CS315" i="12"/>
  <c r="CR315" i="12"/>
  <c r="CR342" i="12" s="1"/>
  <c r="CQ315" i="12"/>
  <c r="CP315" i="12"/>
  <c r="CO315" i="12"/>
  <c r="CN315" i="12"/>
  <c r="CM315" i="12"/>
  <c r="CL315" i="12"/>
  <c r="CK315" i="12"/>
  <c r="CJ315" i="12"/>
  <c r="CJ342" i="12" s="1"/>
  <c r="CI315" i="12"/>
  <c r="CH315" i="12"/>
  <c r="CG315" i="12"/>
  <c r="CF315" i="12"/>
  <c r="CF342" i="12" s="1"/>
  <c r="CE315" i="12"/>
  <c r="CD315" i="12"/>
  <c r="CC315" i="12"/>
  <c r="CB315" i="12"/>
  <c r="CB342" i="12" s="1"/>
  <c r="CA315" i="12"/>
  <c r="BZ315" i="12"/>
  <c r="BY315" i="12"/>
  <c r="BX315" i="12"/>
  <c r="BW315" i="12"/>
  <c r="BV315" i="12"/>
  <c r="BU315" i="12"/>
  <c r="BT315" i="12"/>
  <c r="BT342" i="12" s="1"/>
  <c r="BS315" i="12"/>
  <c r="BR315" i="12"/>
  <c r="BQ315" i="12"/>
  <c r="BP315" i="12"/>
  <c r="BP342" i="12" s="1"/>
  <c r="BO315" i="12"/>
  <c r="BN315" i="12"/>
  <c r="BM315" i="12"/>
  <c r="BL315" i="12"/>
  <c r="BL342" i="12" s="1"/>
  <c r="BK315" i="12"/>
  <c r="BJ315" i="12"/>
  <c r="BI315" i="12"/>
  <c r="BH315" i="12"/>
  <c r="BG315" i="12"/>
  <c r="BF315" i="12"/>
  <c r="BE315" i="12"/>
  <c r="BD315" i="12"/>
  <c r="BD342" i="12" s="1"/>
  <c r="BC315" i="12"/>
  <c r="BB315" i="12"/>
  <c r="BA315" i="12"/>
  <c r="AZ315" i="12"/>
  <c r="AZ342" i="12" s="1"/>
  <c r="AY315" i="12"/>
  <c r="AX315" i="12"/>
  <c r="AW315" i="12"/>
  <c r="AV315" i="12"/>
  <c r="AV342" i="12" s="1"/>
  <c r="AU315" i="12"/>
  <c r="AT315" i="12"/>
  <c r="AS315" i="12"/>
  <c r="AR315" i="12"/>
  <c r="AQ315" i="12"/>
  <c r="AP315" i="12"/>
  <c r="AO315" i="12"/>
  <c r="AN315" i="12"/>
  <c r="AN342" i="12" s="1"/>
  <c r="AM315" i="12"/>
  <c r="AL315" i="12"/>
  <c r="AK315" i="12"/>
  <c r="AJ315" i="12"/>
  <c r="AJ342" i="12" s="1"/>
  <c r="AI315" i="12"/>
  <c r="AH315" i="12"/>
  <c r="AG315" i="12"/>
  <c r="AF315" i="12"/>
  <c r="AF342" i="12" s="1"/>
  <c r="AE315" i="12"/>
  <c r="AD315" i="12"/>
  <c r="AC315" i="12"/>
  <c r="AB315" i="12"/>
  <c r="AA315" i="12"/>
  <c r="Z315" i="12"/>
  <c r="Y315" i="12"/>
  <c r="X315" i="12"/>
  <c r="X342" i="12" s="1"/>
  <c r="W315" i="12"/>
  <c r="V315" i="12"/>
  <c r="U315" i="12"/>
  <c r="T315" i="12"/>
  <c r="T342" i="12" s="1"/>
  <c r="S315" i="12"/>
  <c r="R315" i="12"/>
  <c r="Q315" i="12"/>
  <c r="P315" i="12"/>
  <c r="P342" i="12" s="1"/>
  <c r="O315" i="12"/>
  <c r="N315" i="12"/>
  <c r="M315" i="12"/>
  <c r="L315" i="12"/>
  <c r="K315" i="12"/>
  <c r="J315" i="12"/>
  <c r="I315" i="12"/>
  <c r="H315" i="12"/>
  <c r="H342" i="12" s="1"/>
  <c r="G315" i="12"/>
  <c r="F315" i="12"/>
  <c r="E315" i="12"/>
  <c r="D315" i="12"/>
  <c r="CX314" i="12"/>
  <c r="CW314" i="12"/>
  <c r="CV314" i="12"/>
  <c r="CU314" i="12"/>
  <c r="CU341" i="12" s="1"/>
  <c r="CT314" i="12"/>
  <c r="CS314" i="12"/>
  <c r="CR314" i="12"/>
  <c r="CQ314" i="12"/>
  <c r="CQ341" i="12" s="1"/>
  <c r="CP314" i="12"/>
  <c r="CO314" i="12"/>
  <c r="CN314" i="12"/>
  <c r="CM314" i="12"/>
  <c r="CM341" i="12" s="1"/>
  <c r="CL314" i="12"/>
  <c r="CK314" i="12"/>
  <c r="CJ314" i="12"/>
  <c r="CI314" i="12"/>
  <c r="CI341" i="12" s="1"/>
  <c r="CH314" i="12"/>
  <c r="CG314" i="12"/>
  <c r="CF314" i="12"/>
  <c r="CE314" i="12"/>
  <c r="CE341" i="12" s="1"/>
  <c r="CD314" i="12"/>
  <c r="CC314" i="12"/>
  <c r="CB314" i="12"/>
  <c r="CA314" i="12"/>
  <c r="CA341" i="12" s="1"/>
  <c r="BZ314" i="12"/>
  <c r="BY314" i="12"/>
  <c r="BX314" i="12"/>
  <c r="BW314" i="12"/>
  <c r="BW341" i="12" s="1"/>
  <c r="BV314" i="12"/>
  <c r="BU314" i="12"/>
  <c r="BT314" i="12"/>
  <c r="BS314" i="12"/>
  <c r="BS341" i="12" s="1"/>
  <c r="BR314" i="12"/>
  <c r="BQ314" i="12"/>
  <c r="BP314" i="12"/>
  <c r="BO314" i="12"/>
  <c r="BO341" i="12" s="1"/>
  <c r="BN314" i="12"/>
  <c r="BM314" i="12"/>
  <c r="BL314" i="12"/>
  <c r="BK314" i="12"/>
  <c r="BK341" i="12" s="1"/>
  <c r="BJ314" i="12"/>
  <c r="BI314" i="12"/>
  <c r="BH314" i="12"/>
  <c r="BG314" i="12"/>
  <c r="BG341" i="12" s="1"/>
  <c r="BF314" i="12"/>
  <c r="BE314" i="12"/>
  <c r="BD314" i="12"/>
  <c r="BC314" i="12"/>
  <c r="BC341" i="12" s="1"/>
  <c r="BB314" i="12"/>
  <c r="BA314" i="12"/>
  <c r="AZ314" i="12"/>
  <c r="AY314" i="12"/>
  <c r="AY341" i="12" s="1"/>
  <c r="AX314" i="12"/>
  <c r="AW314" i="12"/>
  <c r="AV314" i="12"/>
  <c r="AU314" i="12"/>
  <c r="AU341" i="12" s="1"/>
  <c r="AT314" i="12"/>
  <c r="AS314" i="12"/>
  <c r="AR314" i="12"/>
  <c r="AQ314" i="12"/>
  <c r="AQ341" i="12" s="1"/>
  <c r="AP314" i="12"/>
  <c r="AO314" i="12"/>
  <c r="AN314" i="12"/>
  <c r="AM314" i="12"/>
  <c r="AM341" i="12" s="1"/>
  <c r="AL314" i="12"/>
  <c r="AK314" i="12"/>
  <c r="AJ314" i="12"/>
  <c r="AI314" i="12"/>
  <c r="AI341" i="12" s="1"/>
  <c r="AH314" i="12"/>
  <c r="AG314" i="12"/>
  <c r="AF314" i="12"/>
  <c r="AE314" i="12"/>
  <c r="AE341" i="12" s="1"/>
  <c r="AD314" i="12"/>
  <c r="AC314" i="12"/>
  <c r="AB314" i="12"/>
  <c r="AA314" i="12"/>
  <c r="AA341" i="12" s="1"/>
  <c r="Z314" i="12"/>
  <c r="Y314" i="12"/>
  <c r="X314" i="12"/>
  <c r="W314" i="12"/>
  <c r="W341" i="12" s="1"/>
  <c r="V314" i="12"/>
  <c r="U314" i="12"/>
  <c r="T314" i="12"/>
  <c r="S314" i="12"/>
  <c r="S341" i="12" s="1"/>
  <c r="R314" i="12"/>
  <c r="Q314" i="12"/>
  <c r="P314" i="12"/>
  <c r="O314" i="12"/>
  <c r="O341" i="12" s="1"/>
  <c r="N314" i="12"/>
  <c r="M314" i="12"/>
  <c r="L314" i="12"/>
  <c r="K314" i="12"/>
  <c r="K341" i="12" s="1"/>
  <c r="J314" i="12"/>
  <c r="I314" i="12"/>
  <c r="H314" i="12"/>
  <c r="G314" i="12"/>
  <c r="G341" i="12" s="1"/>
  <c r="F314" i="12"/>
  <c r="E314" i="12"/>
  <c r="D314" i="12"/>
  <c r="CX313" i="12"/>
  <c r="CW313" i="12"/>
  <c r="CV313" i="12"/>
  <c r="CU313" i="12"/>
  <c r="CT313" i="12"/>
  <c r="CT340" i="12" s="1"/>
  <c r="CS313" i="12"/>
  <c r="CR313" i="12"/>
  <c r="CQ313" i="12"/>
  <c r="CP313" i="12"/>
  <c r="CP340" i="12" s="1"/>
  <c r="CO313" i="12"/>
  <c r="CN313" i="12"/>
  <c r="CM313" i="12"/>
  <c r="CL313" i="12"/>
  <c r="CL340" i="12" s="1"/>
  <c r="CK313" i="12"/>
  <c r="CJ313" i="12"/>
  <c r="CI313" i="12"/>
  <c r="CH313" i="12"/>
  <c r="CG313" i="12"/>
  <c r="CF313" i="12"/>
  <c r="CE313" i="12"/>
  <c r="CD313" i="12"/>
  <c r="CD340" i="12" s="1"/>
  <c r="CC313" i="12"/>
  <c r="CB313" i="12"/>
  <c r="CA313" i="12"/>
  <c r="BZ313" i="12"/>
  <c r="BZ340" i="12" s="1"/>
  <c r="BY313" i="12"/>
  <c r="BX313" i="12"/>
  <c r="BW313" i="12"/>
  <c r="BV313" i="12"/>
  <c r="BV340" i="12" s="1"/>
  <c r="BU313" i="12"/>
  <c r="BT313" i="12"/>
  <c r="BS313" i="12"/>
  <c r="BR313" i="12"/>
  <c r="BQ313" i="12"/>
  <c r="BP313" i="12"/>
  <c r="BO313" i="12"/>
  <c r="BN313" i="12"/>
  <c r="BN340" i="12" s="1"/>
  <c r="BM313" i="12"/>
  <c r="BL313" i="12"/>
  <c r="BK313" i="12"/>
  <c r="BJ313" i="12"/>
  <c r="BJ340" i="12" s="1"/>
  <c r="BI313" i="12"/>
  <c r="BH313" i="12"/>
  <c r="BG313" i="12"/>
  <c r="BF313" i="12"/>
  <c r="BF340" i="12" s="1"/>
  <c r="BE313" i="12"/>
  <c r="BD313" i="12"/>
  <c r="BC313" i="12"/>
  <c r="BB313" i="12"/>
  <c r="BA313" i="12"/>
  <c r="AZ313" i="12"/>
  <c r="AY313" i="12"/>
  <c r="AX313" i="12"/>
  <c r="AX340" i="12" s="1"/>
  <c r="AW313" i="12"/>
  <c r="AV313" i="12"/>
  <c r="AU313" i="12"/>
  <c r="AT313" i="12"/>
  <c r="AT340" i="12" s="1"/>
  <c r="AS313" i="12"/>
  <c r="AR313" i="12"/>
  <c r="AQ313" i="12"/>
  <c r="AP313" i="12"/>
  <c r="AP340" i="12" s="1"/>
  <c r="AO313" i="12"/>
  <c r="AN313" i="12"/>
  <c r="AM313" i="12"/>
  <c r="AL313" i="12"/>
  <c r="AK313" i="12"/>
  <c r="AJ313" i="12"/>
  <c r="AI313" i="12"/>
  <c r="AH313" i="12"/>
  <c r="AH340" i="12" s="1"/>
  <c r="AG313" i="12"/>
  <c r="AF313" i="12"/>
  <c r="AE313" i="12"/>
  <c r="AD313" i="12"/>
  <c r="AD340" i="12" s="1"/>
  <c r="AC313" i="12"/>
  <c r="AB313" i="12"/>
  <c r="AA313" i="12"/>
  <c r="Z313" i="12"/>
  <c r="Z340" i="12" s="1"/>
  <c r="Y313" i="12"/>
  <c r="X313" i="12"/>
  <c r="W313" i="12"/>
  <c r="V313" i="12"/>
  <c r="U313" i="12"/>
  <c r="T313" i="12"/>
  <c r="S313" i="12"/>
  <c r="R313" i="12"/>
  <c r="R340" i="12" s="1"/>
  <c r="Q313" i="12"/>
  <c r="P313" i="12"/>
  <c r="O313" i="12"/>
  <c r="N313" i="12"/>
  <c r="N340" i="12" s="1"/>
  <c r="M313" i="12"/>
  <c r="L313" i="12"/>
  <c r="K313" i="12"/>
  <c r="J313" i="12"/>
  <c r="J340" i="12" s="1"/>
  <c r="I313" i="12"/>
  <c r="H313" i="12"/>
  <c r="G313" i="12"/>
  <c r="F313" i="12"/>
  <c r="E313" i="12"/>
  <c r="D313" i="12"/>
  <c r="CX303" i="12"/>
  <c r="CW303" i="12"/>
  <c r="CV303" i="12"/>
  <c r="CU303" i="12"/>
  <c r="CU355" i="12" s="1"/>
  <c r="CT303" i="12"/>
  <c r="CS303" i="12"/>
  <c r="CR303" i="12"/>
  <c r="CQ303" i="12"/>
  <c r="CQ355" i="12" s="1"/>
  <c r="CP303" i="12"/>
  <c r="CO303" i="12"/>
  <c r="CN303" i="12"/>
  <c r="CM303" i="12"/>
  <c r="CM355" i="12" s="1"/>
  <c r="CL303" i="12"/>
  <c r="CK303" i="12"/>
  <c r="CJ303" i="12"/>
  <c r="CI303" i="12"/>
  <c r="CI355" i="12" s="1"/>
  <c r="CH303" i="12"/>
  <c r="CG303" i="12"/>
  <c r="CF303" i="12"/>
  <c r="CE303" i="12"/>
  <c r="CE355" i="12" s="1"/>
  <c r="CD303" i="12"/>
  <c r="CC303" i="12"/>
  <c r="CB303" i="12"/>
  <c r="CA303" i="12"/>
  <c r="CA355" i="12" s="1"/>
  <c r="BZ303" i="12"/>
  <c r="BY303" i="12"/>
  <c r="BX303" i="12"/>
  <c r="BW303" i="12"/>
  <c r="BW355" i="12" s="1"/>
  <c r="BV303" i="12"/>
  <c r="BU303" i="12"/>
  <c r="BT303" i="12"/>
  <c r="BS303" i="12"/>
  <c r="BS355" i="12" s="1"/>
  <c r="BR303" i="12"/>
  <c r="BQ303" i="12"/>
  <c r="BP303" i="12"/>
  <c r="BO303" i="12"/>
  <c r="BO355" i="12" s="1"/>
  <c r="BN303" i="12"/>
  <c r="BM303" i="12"/>
  <c r="BL303" i="12"/>
  <c r="BK303" i="12"/>
  <c r="BK355" i="12" s="1"/>
  <c r="BJ303" i="12"/>
  <c r="BI303" i="12"/>
  <c r="BH303" i="12"/>
  <c r="BG303" i="12"/>
  <c r="BG355" i="12" s="1"/>
  <c r="BF303" i="12"/>
  <c r="BE303" i="12"/>
  <c r="BD303" i="12"/>
  <c r="BC303" i="12"/>
  <c r="BC355" i="12" s="1"/>
  <c r="BB303" i="12"/>
  <c r="BA303" i="12"/>
  <c r="AZ303" i="12"/>
  <c r="AY303" i="12"/>
  <c r="AY355" i="12" s="1"/>
  <c r="AX303" i="12"/>
  <c r="AW303" i="12"/>
  <c r="AV303" i="12"/>
  <c r="AU303" i="12"/>
  <c r="AU355" i="12" s="1"/>
  <c r="AT303" i="12"/>
  <c r="AS303" i="12"/>
  <c r="AR303" i="12"/>
  <c r="AQ303" i="12"/>
  <c r="AQ355" i="12" s="1"/>
  <c r="AP303" i="12"/>
  <c r="AO303" i="12"/>
  <c r="AN303" i="12"/>
  <c r="AM303" i="12"/>
  <c r="AM355" i="12" s="1"/>
  <c r="AL303" i="12"/>
  <c r="AK303" i="12"/>
  <c r="AJ303" i="12"/>
  <c r="AI303" i="12"/>
  <c r="AI355" i="12" s="1"/>
  <c r="AH303" i="12"/>
  <c r="AG303" i="12"/>
  <c r="AF303" i="12"/>
  <c r="AE303" i="12"/>
  <c r="AE355" i="12" s="1"/>
  <c r="AD303" i="12"/>
  <c r="AC303" i="12"/>
  <c r="AB303" i="12"/>
  <c r="AA303" i="12"/>
  <c r="AA355" i="12" s="1"/>
  <c r="Z303" i="12"/>
  <c r="Y303" i="12"/>
  <c r="X303" i="12"/>
  <c r="W303" i="12"/>
  <c r="W355" i="12" s="1"/>
  <c r="V303" i="12"/>
  <c r="U303" i="12"/>
  <c r="T303" i="12"/>
  <c r="S303" i="12"/>
  <c r="S355" i="12" s="1"/>
  <c r="R303" i="12"/>
  <c r="Q303" i="12"/>
  <c r="P303" i="12"/>
  <c r="O303" i="12"/>
  <c r="O355" i="12" s="1"/>
  <c r="N303" i="12"/>
  <c r="M303" i="12"/>
  <c r="L303" i="12"/>
  <c r="K303" i="12"/>
  <c r="K355" i="12" s="1"/>
  <c r="J303" i="12"/>
  <c r="I303" i="12"/>
  <c r="H303" i="12"/>
  <c r="G303" i="12"/>
  <c r="G355" i="12" s="1"/>
  <c r="F303" i="12"/>
  <c r="E303" i="12"/>
  <c r="D303" i="12"/>
  <c r="CX302" i="12"/>
  <c r="CX354" i="12" s="1"/>
  <c r="CW302" i="12"/>
  <c r="CV302" i="12"/>
  <c r="CU302" i="12"/>
  <c r="CT302" i="12"/>
  <c r="CT354" i="12" s="1"/>
  <c r="CS302" i="12"/>
  <c r="CR302" i="12"/>
  <c r="CQ302" i="12"/>
  <c r="CP302" i="12"/>
  <c r="CP354" i="12" s="1"/>
  <c r="CO302" i="12"/>
  <c r="CN302" i="12"/>
  <c r="CM302" i="12"/>
  <c r="CL302" i="12"/>
  <c r="CL354" i="12" s="1"/>
  <c r="CK302" i="12"/>
  <c r="CJ302" i="12"/>
  <c r="CI302" i="12"/>
  <c r="CH302" i="12"/>
  <c r="CH354" i="12" s="1"/>
  <c r="CG302" i="12"/>
  <c r="CF302" i="12"/>
  <c r="CE302" i="12"/>
  <c r="CD302" i="12"/>
  <c r="CD354" i="12" s="1"/>
  <c r="CC302" i="12"/>
  <c r="CB302" i="12"/>
  <c r="CA302" i="12"/>
  <c r="BZ302" i="12"/>
  <c r="BZ354" i="12" s="1"/>
  <c r="BY302" i="12"/>
  <c r="BX302" i="12"/>
  <c r="BW302" i="12"/>
  <c r="BV302" i="12"/>
  <c r="BV354" i="12" s="1"/>
  <c r="BU302" i="12"/>
  <c r="BT302" i="12"/>
  <c r="BS302" i="12"/>
  <c r="BR302" i="12"/>
  <c r="BR354" i="12" s="1"/>
  <c r="BQ302" i="12"/>
  <c r="BP302" i="12"/>
  <c r="BO302" i="12"/>
  <c r="BN302" i="12"/>
  <c r="BN354" i="12" s="1"/>
  <c r="BM302" i="12"/>
  <c r="BL302" i="12"/>
  <c r="BK302" i="12"/>
  <c r="BJ302" i="12"/>
  <c r="BJ354" i="12" s="1"/>
  <c r="BI302" i="12"/>
  <c r="BH302" i="12"/>
  <c r="BG302" i="12"/>
  <c r="BF302" i="12"/>
  <c r="BF354" i="12" s="1"/>
  <c r="BE302" i="12"/>
  <c r="BD302" i="12"/>
  <c r="BC302" i="12"/>
  <c r="BB302" i="12"/>
  <c r="BB354" i="12" s="1"/>
  <c r="BA302" i="12"/>
  <c r="AZ302" i="12"/>
  <c r="AY302" i="12"/>
  <c r="AX302" i="12"/>
  <c r="AX354" i="12" s="1"/>
  <c r="AW302" i="12"/>
  <c r="AV302" i="12"/>
  <c r="AU302" i="12"/>
  <c r="AT302" i="12"/>
  <c r="AT354" i="12" s="1"/>
  <c r="AS302" i="12"/>
  <c r="AR302" i="12"/>
  <c r="AQ302" i="12"/>
  <c r="AP302" i="12"/>
  <c r="AP354" i="12" s="1"/>
  <c r="AO302" i="12"/>
  <c r="AN302" i="12"/>
  <c r="AM302" i="12"/>
  <c r="AL302" i="12"/>
  <c r="AL354" i="12" s="1"/>
  <c r="AK302" i="12"/>
  <c r="AJ302" i="12"/>
  <c r="AI302" i="12"/>
  <c r="AH302" i="12"/>
  <c r="AH354" i="12" s="1"/>
  <c r="AG302" i="12"/>
  <c r="AF302" i="12"/>
  <c r="AE302" i="12"/>
  <c r="AD302" i="12"/>
  <c r="AD354" i="12" s="1"/>
  <c r="AC302" i="12"/>
  <c r="AB302" i="12"/>
  <c r="AA302" i="12"/>
  <c r="Z302" i="12"/>
  <c r="Z354" i="12" s="1"/>
  <c r="Y302" i="12"/>
  <c r="X302" i="12"/>
  <c r="W302" i="12"/>
  <c r="V302" i="12"/>
  <c r="V354" i="12" s="1"/>
  <c r="U302" i="12"/>
  <c r="T302" i="12"/>
  <c r="S302" i="12"/>
  <c r="R302" i="12"/>
  <c r="R354" i="12" s="1"/>
  <c r="Q302" i="12"/>
  <c r="P302" i="12"/>
  <c r="O302" i="12"/>
  <c r="N302" i="12"/>
  <c r="N354" i="12" s="1"/>
  <c r="M302" i="12"/>
  <c r="L302" i="12"/>
  <c r="K302" i="12"/>
  <c r="J302" i="12"/>
  <c r="J354" i="12" s="1"/>
  <c r="I302" i="12"/>
  <c r="H302" i="12"/>
  <c r="G302" i="12"/>
  <c r="F302" i="12"/>
  <c r="F354" i="12" s="1"/>
  <c r="E302" i="12"/>
  <c r="D302" i="12"/>
  <c r="CX301" i="12"/>
  <c r="CW301" i="12"/>
  <c r="CV301" i="12"/>
  <c r="CU301" i="12"/>
  <c r="CT301" i="12"/>
  <c r="CS301" i="12"/>
  <c r="CR301" i="12"/>
  <c r="CQ301" i="12"/>
  <c r="CP301" i="12"/>
  <c r="CO301" i="12"/>
  <c r="CN301" i="12"/>
  <c r="CM301" i="12"/>
  <c r="CL301" i="12"/>
  <c r="CK301" i="12"/>
  <c r="CJ301" i="12"/>
  <c r="CI301" i="12"/>
  <c r="CH301" i="12"/>
  <c r="CG301" i="12"/>
  <c r="CF301" i="12"/>
  <c r="CE301" i="12"/>
  <c r="CD301" i="12"/>
  <c r="CC301" i="12"/>
  <c r="CB301" i="12"/>
  <c r="CA301" i="12"/>
  <c r="BZ301" i="12"/>
  <c r="BY301" i="12"/>
  <c r="BX301" i="12"/>
  <c r="BW301" i="12"/>
  <c r="BV301" i="12"/>
  <c r="BU301" i="12"/>
  <c r="BT301" i="12"/>
  <c r="BS301" i="12"/>
  <c r="BR301" i="12"/>
  <c r="BQ301" i="12"/>
  <c r="BP301" i="12"/>
  <c r="BO301" i="12"/>
  <c r="BN301" i="12"/>
  <c r="BM301" i="12"/>
  <c r="BL301" i="12"/>
  <c r="BK301" i="12"/>
  <c r="BJ301" i="12"/>
  <c r="BI301" i="12"/>
  <c r="BH301" i="12"/>
  <c r="BG301" i="12"/>
  <c r="BF301" i="12"/>
  <c r="BE301" i="12"/>
  <c r="BD301" i="12"/>
  <c r="BC301" i="12"/>
  <c r="BB301" i="12"/>
  <c r="BA301" i="12"/>
  <c r="AZ301" i="12"/>
  <c r="AY301" i="12"/>
  <c r="AX301" i="12"/>
  <c r="AW301" i="12"/>
  <c r="AV301" i="12"/>
  <c r="AU301" i="12"/>
  <c r="AT301" i="12"/>
  <c r="AS301" i="12"/>
  <c r="AR301" i="12"/>
  <c r="AQ301" i="12"/>
  <c r="AP301" i="12"/>
  <c r="AO301" i="12"/>
  <c r="AN301" i="12"/>
  <c r="AM301" i="12"/>
  <c r="AL301" i="12"/>
  <c r="AK301" i="12"/>
  <c r="AJ301" i="12"/>
  <c r="AI301" i="12"/>
  <c r="AH301" i="12"/>
  <c r="AG301" i="12"/>
  <c r="AF301" i="12"/>
  <c r="AE301" i="12"/>
  <c r="AD301" i="12"/>
  <c r="AC301" i="12"/>
  <c r="AB301" i="12"/>
  <c r="AA301" i="12"/>
  <c r="Z301" i="12"/>
  <c r="Y301" i="12"/>
  <c r="X301" i="12"/>
  <c r="W301" i="12"/>
  <c r="V301" i="12"/>
  <c r="U301" i="12"/>
  <c r="T301" i="12"/>
  <c r="S301" i="12"/>
  <c r="R301" i="12"/>
  <c r="Q301" i="12"/>
  <c r="P301" i="12"/>
  <c r="O301" i="12"/>
  <c r="N301" i="12"/>
  <c r="M301" i="12"/>
  <c r="L301" i="12"/>
  <c r="K301" i="12"/>
  <c r="J301" i="12"/>
  <c r="I301" i="12"/>
  <c r="H301" i="12"/>
  <c r="G301" i="12"/>
  <c r="F301" i="12"/>
  <c r="E301" i="12"/>
  <c r="D301" i="12"/>
  <c r="CX300" i="12"/>
  <c r="CW300" i="12"/>
  <c r="CV300" i="12"/>
  <c r="CV352" i="12" s="1"/>
  <c r="CU300" i="12"/>
  <c r="CT300" i="12"/>
  <c r="CS300" i="12"/>
  <c r="CR300" i="12"/>
  <c r="CR352" i="12" s="1"/>
  <c r="CQ300" i="12"/>
  <c r="CP300" i="12"/>
  <c r="CO300" i="12"/>
  <c r="CN300" i="12"/>
  <c r="CN352" i="12" s="1"/>
  <c r="CM300" i="12"/>
  <c r="CL300" i="12"/>
  <c r="CK300" i="12"/>
  <c r="CJ300" i="12"/>
  <c r="CJ352" i="12" s="1"/>
  <c r="CI300" i="12"/>
  <c r="CH300" i="12"/>
  <c r="CG300" i="12"/>
  <c r="CF300" i="12"/>
  <c r="CF352" i="12" s="1"/>
  <c r="CE300" i="12"/>
  <c r="CD300" i="12"/>
  <c r="CC300" i="12"/>
  <c r="CB300" i="12"/>
  <c r="CB352" i="12" s="1"/>
  <c r="CA300" i="12"/>
  <c r="BZ300" i="12"/>
  <c r="BY300" i="12"/>
  <c r="BX300" i="12"/>
  <c r="BX352" i="12" s="1"/>
  <c r="BW300" i="12"/>
  <c r="BV300" i="12"/>
  <c r="BU300" i="12"/>
  <c r="BT300" i="12"/>
  <c r="BT352" i="12" s="1"/>
  <c r="BS300" i="12"/>
  <c r="BR300" i="12"/>
  <c r="BQ300" i="12"/>
  <c r="BP300" i="12"/>
  <c r="BP352" i="12" s="1"/>
  <c r="BO300" i="12"/>
  <c r="BN300" i="12"/>
  <c r="BM300" i="12"/>
  <c r="BL300" i="12"/>
  <c r="BL352" i="12" s="1"/>
  <c r="BK300" i="12"/>
  <c r="BJ300" i="12"/>
  <c r="BI300" i="12"/>
  <c r="BH300" i="12"/>
  <c r="BH352" i="12" s="1"/>
  <c r="BG300" i="12"/>
  <c r="BF300" i="12"/>
  <c r="BE300" i="12"/>
  <c r="BD300" i="12"/>
  <c r="BD352" i="12" s="1"/>
  <c r="BC300" i="12"/>
  <c r="BB300" i="12"/>
  <c r="BA300" i="12"/>
  <c r="AZ300" i="12"/>
  <c r="AZ352" i="12" s="1"/>
  <c r="AY300" i="12"/>
  <c r="AX300" i="12"/>
  <c r="AW300" i="12"/>
  <c r="AV300" i="12"/>
  <c r="AV352" i="12" s="1"/>
  <c r="AU300" i="12"/>
  <c r="AT300" i="12"/>
  <c r="AS300" i="12"/>
  <c r="AR300" i="12"/>
  <c r="AR352" i="12" s="1"/>
  <c r="AQ300" i="12"/>
  <c r="AP300" i="12"/>
  <c r="AO300" i="12"/>
  <c r="AN300" i="12"/>
  <c r="AN352" i="12" s="1"/>
  <c r="AM300" i="12"/>
  <c r="AL300" i="12"/>
  <c r="AK300" i="12"/>
  <c r="AJ300" i="12"/>
  <c r="AJ352" i="12" s="1"/>
  <c r="AI300" i="12"/>
  <c r="AH300" i="12"/>
  <c r="AG300" i="12"/>
  <c r="AF300" i="12"/>
  <c r="AF352" i="12" s="1"/>
  <c r="AE300" i="12"/>
  <c r="AD300" i="12"/>
  <c r="AC300" i="12"/>
  <c r="AB300" i="12"/>
  <c r="AB352" i="12" s="1"/>
  <c r="AA300" i="12"/>
  <c r="Z300" i="12"/>
  <c r="Y300" i="12"/>
  <c r="X300" i="12"/>
  <c r="X352" i="12" s="1"/>
  <c r="W300" i="12"/>
  <c r="V300" i="12"/>
  <c r="U300" i="12"/>
  <c r="T300" i="12"/>
  <c r="T352" i="12" s="1"/>
  <c r="S300" i="12"/>
  <c r="R300" i="12"/>
  <c r="Q300" i="12"/>
  <c r="P300" i="12"/>
  <c r="P352" i="12" s="1"/>
  <c r="O300" i="12"/>
  <c r="N300" i="12"/>
  <c r="M300" i="12"/>
  <c r="L300" i="12"/>
  <c r="L352" i="12" s="1"/>
  <c r="K300" i="12"/>
  <c r="J300" i="12"/>
  <c r="I300" i="12"/>
  <c r="H300" i="12"/>
  <c r="H352" i="12" s="1"/>
  <c r="G300" i="12"/>
  <c r="F300" i="12"/>
  <c r="E300" i="12"/>
  <c r="D300" i="12"/>
  <c r="CX299" i="12"/>
  <c r="CW299" i="12"/>
  <c r="CV299" i="12"/>
  <c r="CU299" i="12"/>
  <c r="CU351" i="12" s="1"/>
  <c r="CT299" i="12"/>
  <c r="CS299" i="12"/>
  <c r="CR299" i="12"/>
  <c r="CQ299" i="12"/>
  <c r="CQ351" i="12" s="1"/>
  <c r="CP299" i="12"/>
  <c r="CO299" i="12"/>
  <c r="CN299" i="12"/>
  <c r="CM299" i="12"/>
  <c r="CM351" i="12" s="1"/>
  <c r="CL299" i="12"/>
  <c r="CK299" i="12"/>
  <c r="CJ299" i="12"/>
  <c r="CI299" i="12"/>
  <c r="CI351" i="12" s="1"/>
  <c r="CH299" i="12"/>
  <c r="CG299" i="12"/>
  <c r="CF299" i="12"/>
  <c r="CE299" i="12"/>
  <c r="CE351" i="12" s="1"/>
  <c r="CD299" i="12"/>
  <c r="CC299" i="12"/>
  <c r="CB299" i="12"/>
  <c r="CA299" i="12"/>
  <c r="CA351" i="12" s="1"/>
  <c r="BZ299" i="12"/>
  <c r="BY299" i="12"/>
  <c r="BX299" i="12"/>
  <c r="BW299" i="12"/>
  <c r="BW351" i="12" s="1"/>
  <c r="BV299" i="12"/>
  <c r="BU299" i="12"/>
  <c r="BT299" i="12"/>
  <c r="BS299" i="12"/>
  <c r="BS351" i="12" s="1"/>
  <c r="BR299" i="12"/>
  <c r="BQ299" i="12"/>
  <c r="BP299" i="12"/>
  <c r="BO299" i="12"/>
  <c r="BO351" i="12" s="1"/>
  <c r="BN299" i="12"/>
  <c r="BM299" i="12"/>
  <c r="BL299" i="12"/>
  <c r="BK299" i="12"/>
  <c r="BK351" i="12" s="1"/>
  <c r="BJ299" i="12"/>
  <c r="BI299" i="12"/>
  <c r="BH299" i="12"/>
  <c r="BG299" i="12"/>
  <c r="BG351" i="12" s="1"/>
  <c r="BF299" i="12"/>
  <c r="BE299" i="12"/>
  <c r="BD299" i="12"/>
  <c r="BC299" i="12"/>
  <c r="BC351" i="12" s="1"/>
  <c r="BB299" i="12"/>
  <c r="BA299" i="12"/>
  <c r="AZ299" i="12"/>
  <c r="AY299" i="12"/>
  <c r="AY351" i="12" s="1"/>
  <c r="AX299" i="12"/>
  <c r="AW299" i="12"/>
  <c r="AV299" i="12"/>
  <c r="AU299" i="12"/>
  <c r="AU351" i="12" s="1"/>
  <c r="AT299" i="12"/>
  <c r="AS299" i="12"/>
  <c r="AR299" i="12"/>
  <c r="AQ299" i="12"/>
  <c r="AQ351" i="12" s="1"/>
  <c r="AP299" i="12"/>
  <c r="AO299" i="12"/>
  <c r="AN299" i="12"/>
  <c r="AM299" i="12"/>
  <c r="AM351" i="12" s="1"/>
  <c r="AL299" i="12"/>
  <c r="AK299" i="12"/>
  <c r="AJ299" i="12"/>
  <c r="AI299" i="12"/>
  <c r="AI351" i="12" s="1"/>
  <c r="AH299" i="12"/>
  <c r="AG299" i="12"/>
  <c r="AF299" i="12"/>
  <c r="AE299" i="12"/>
  <c r="AE351" i="12" s="1"/>
  <c r="AD299" i="12"/>
  <c r="AC299" i="12"/>
  <c r="AB299" i="12"/>
  <c r="AA299" i="12"/>
  <c r="AA351" i="12" s="1"/>
  <c r="Z299" i="12"/>
  <c r="Y299" i="12"/>
  <c r="X299" i="12"/>
  <c r="W299" i="12"/>
  <c r="W351" i="12" s="1"/>
  <c r="V299" i="12"/>
  <c r="U299" i="12"/>
  <c r="T299" i="12"/>
  <c r="S299" i="12"/>
  <c r="S351" i="12" s="1"/>
  <c r="R299" i="12"/>
  <c r="Q299" i="12"/>
  <c r="P299" i="12"/>
  <c r="O299" i="12"/>
  <c r="O351" i="12" s="1"/>
  <c r="N299" i="12"/>
  <c r="M299" i="12"/>
  <c r="L299" i="12"/>
  <c r="K299" i="12"/>
  <c r="K351" i="12" s="1"/>
  <c r="J299" i="12"/>
  <c r="I299" i="12"/>
  <c r="H299" i="12"/>
  <c r="G299" i="12"/>
  <c r="G351" i="12" s="1"/>
  <c r="F299" i="12"/>
  <c r="E299" i="12"/>
  <c r="D299" i="12"/>
  <c r="CX298" i="12"/>
  <c r="CX350" i="12" s="1"/>
  <c r="CW298" i="12"/>
  <c r="CV298" i="12"/>
  <c r="CU298" i="12"/>
  <c r="CT298" i="12"/>
  <c r="CT350" i="12" s="1"/>
  <c r="CS298" i="12"/>
  <c r="CR298" i="12"/>
  <c r="CQ298" i="12"/>
  <c r="CP298" i="12"/>
  <c r="CP350" i="12" s="1"/>
  <c r="CO298" i="12"/>
  <c r="CN298" i="12"/>
  <c r="CM298" i="12"/>
  <c r="CL298" i="12"/>
  <c r="CL350" i="12" s="1"/>
  <c r="CK298" i="12"/>
  <c r="CJ298" i="12"/>
  <c r="CI298" i="12"/>
  <c r="CH298" i="12"/>
  <c r="CH350" i="12" s="1"/>
  <c r="CG298" i="12"/>
  <c r="CF298" i="12"/>
  <c r="CE298" i="12"/>
  <c r="CD298" i="12"/>
  <c r="CD350" i="12" s="1"/>
  <c r="CC298" i="12"/>
  <c r="CB298" i="12"/>
  <c r="CA298" i="12"/>
  <c r="BZ298" i="12"/>
  <c r="BZ350" i="12" s="1"/>
  <c r="BY298" i="12"/>
  <c r="BX298" i="12"/>
  <c r="BW298" i="12"/>
  <c r="BV298" i="12"/>
  <c r="BV350" i="12" s="1"/>
  <c r="BU298" i="12"/>
  <c r="BT298" i="12"/>
  <c r="BS298" i="12"/>
  <c r="BR298" i="12"/>
  <c r="BR350" i="12" s="1"/>
  <c r="BQ298" i="12"/>
  <c r="BP298" i="12"/>
  <c r="BO298" i="12"/>
  <c r="BN298" i="12"/>
  <c r="BN350" i="12" s="1"/>
  <c r="BM298" i="12"/>
  <c r="BL298" i="12"/>
  <c r="BK298" i="12"/>
  <c r="BJ298" i="12"/>
  <c r="BJ350" i="12" s="1"/>
  <c r="BI298" i="12"/>
  <c r="BH298" i="12"/>
  <c r="BG298" i="12"/>
  <c r="BF298" i="12"/>
  <c r="BF350" i="12" s="1"/>
  <c r="BE298" i="12"/>
  <c r="BD298" i="12"/>
  <c r="BC298" i="12"/>
  <c r="BB298" i="12"/>
  <c r="BB350" i="12" s="1"/>
  <c r="BA298" i="12"/>
  <c r="AZ298" i="12"/>
  <c r="AY298" i="12"/>
  <c r="AX298" i="12"/>
  <c r="AX350" i="12" s="1"/>
  <c r="AW298" i="12"/>
  <c r="AV298" i="12"/>
  <c r="AU298" i="12"/>
  <c r="AT298" i="12"/>
  <c r="AT350" i="12" s="1"/>
  <c r="AS298" i="12"/>
  <c r="AR298" i="12"/>
  <c r="AQ298" i="12"/>
  <c r="AP298" i="12"/>
  <c r="AP350" i="12" s="1"/>
  <c r="AO298" i="12"/>
  <c r="AN298" i="12"/>
  <c r="AM298" i="12"/>
  <c r="AL298" i="12"/>
  <c r="AL350" i="12" s="1"/>
  <c r="AK298" i="12"/>
  <c r="AJ298" i="12"/>
  <c r="AI298" i="12"/>
  <c r="AH298" i="12"/>
  <c r="AH350" i="12" s="1"/>
  <c r="AG298" i="12"/>
  <c r="AF298" i="12"/>
  <c r="AE298" i="12"/>
  <c r="AD298" i="12"/>
  <c r="AD350" i="12" s="1"/>
  <c r="AC298" i="12"/>
  <c r="AB298" i="12"/>
  <c r="AA298" i="12"/>
  <c r="Z298" i="12"/>
  <c r="Z350" i="12" s="1"/>
  <c r="Y298" i="12"/>
  <c r="X298" i="12"/>
  <c r="W298" i="12"/>
  <c r="V298" i="12"/>
  <c r="V350" i="12" s="1"/>
  <c r="U298" i="12"/>
  <c r="T298" i="12"/>
  <c r="S298" i="12"/>
  <c r="R298" i="12"/>
  <c r="R350" i="12" s="1"/>
  <c r="Q298" i="12"/>
  <c r="P298" i="12"/>
  <c r="O298" i="12"/>
  <c r="N298" i="12"/>
  <c r="N350" i="12" s="1"/>
  <c r="M298" i="12"/>
  <c r="L298" i="12"/>
  <c r="K298" i="12"/>
  <c r="J298" i="12"/>
  <c r="J350" i="12" s="1"/>
  <c r="I298" i="12"/>
  <c r="H298" i="12"/>
  <c r="G298" i="12"/>
  <c r="F298" i="12"/>
  <c r="F350" i="12" s="1"/>
  <c r="E298" i="12"/>
  <c r="D298" i="12"/>
  <c r="CX297" i="12"/>
  <c r="CW297" i="12"/>
  <c r="CW349" i="12" s="1"/>
  <c r="CV297" i="12"/>
  <c r="CU297" i="12"/>
  <c r="CT297" i="12"/>
  <c r="CS297" i="12"/>
  <c r="CS349" i="12" s="1"/>
  <c r="CR297" i="12"/>
  <c r="CQ297" i="12"/>
  <c r="CP297" i="12"/>
  <c r="CO297" i="12"/>
  <c r="CO349" i="12" s="1"/>
  <c r="CN297" i="12"/>
  <c r="CM297" i="12"/>
  <c r="CL297" i="12"/>
  <c r="CK297" i="12"/>
  <c r="CK349" i="12" s="1"/>
  <c r="CJ297" i="12"/>
  <c r="CI297" i="12"/>
  <c r="CH297" i="12"/>
  <c r="CG297" i="12"/>
  <c r="CG349" i="12" s="1"/>
  <c r="CF297" i="12"/>
  <c r="CE297" i="12"/>
  <c r="CD297" i="12"/>
  <c r="CC297" i="12"/>
  <c r="CC349" i="12" s="1"/>
  <c r="CB297" i="12"/>
  <c r="CA297" i="12"/>
  <c r="BZ297" i="12"/>
  <c r="BY297" i="12"/>
  <c r="BY349" i="12" s="1"/>
  <c r="BX297" i="12"/>
  <c r="BW297" i="12"/>
  <c r="BV297" i="12"/>
  <c r="BU297" i="12"/>
  <c r="BU349" i="12" s="1"/>
  <c r="BT297" i="12"/>
  <c r="BS297" i="12"/>
  <c r="BR297" i="12"/>
  <c r="BQ297" i="12"/>
  <c r="BQ349" i="12" s="1"/>
  <c r="BP297" i="12"/>
  <c r="BO297" i="12"/>
  <c r="BN297" i="12"/>
  <c r="BM297" i="12"/>
  <c r="BM349" i="12" s="1"/>
  <c r="BL297" i="12"/>
  <c r="BK297" i="12"/>
  <c r="BJ297" i="12"/>
  <c r="BI297" i="12"/>
  <c r="BI349" i="12" s="1"/>
  <c r="BH297" i="12"/>
  <c r="BG297" i="12"/>
  <c r="BF297" i="12"/>
  <c r="BE297" i="12"/>
  <c r="BE349" i="12" s="1"/>
  <c r="BD297" i="12"/>
  <c r="BC297" i="12"/>
  <c r="BB297" i="12"/>
  <c r="BA297" i="12"/>
  <c r="BA349" i="12" s="1"/>
  <c r="AZ297" i="12"/>
  <c r="AY297" i="12"/>
  <c r="AX297" i="12"/>
  <c r="AW297" i="12"/>
  <c r="AW349" i="12" s="1"/>
  <c r="AV297" i="12"/>
  <c r="AU297" i="12"/>
  <c r="AT297" i="12"/>
  <c r="AS297" i="12"/>
  <c r="AS349" i="12" s="1"/>
  <c r="AR297" i="12"/>
  <c r="AQ297" i="12"/>
  <c r="AP297" i="12"/>
  <c r="AO297" i="12"/>
  <c r="AO349" i="12" s="1"/>
  <c r="AN297" i="12"/>
  <c r="AM297" i="12"/>
  <c r="AL297" i="12"/>
  <c r="AK297" i="12"/>
  <c r="AK349" i="12" s="1"/>
  <c r="AJ297" i="12"/>
  <c r="AI297" i="12"/>
  <c r="AH297" i="12"/>
  <c r="AG297" i="12"/>
  <c r="AG349" i="12" s="1"/>
  <c r="AF297" i="12"/>
  <c r="AE297" i="12"/>
  <c r="AD297" i="12"/>
  <c r="AC297" i="12"/>
  <c r="AC349" i="12" s="1"/>
  <c r="AB297" i="12"/>
  <c r="AA297" i="12"/>
  <c r="Z297" i="12"/>
  <c r="Y297" i="12"/>
  <c r="Y349" i="12" s="1"/>
  <c r="X297" i="12"/>
  <c r="W297" i="12"/>
  <c r="V297" i="12"/>
  <c r="U297" i="12"/>
  <c r="U349" i="12" s="1"/>
  <c r="T297" i="12"/>
  <c r="S297" i="12"/>
  <c r="R297" i="12"/>
  <c r="Q297" i="12"/>
  <c r="Q349" i="12" s="1"/>
  <c r="P297" i="12"/>
  <c r="O297" i="12"/>
  <c r="N297" i="12"/>
  <c r="M297" i="12"/>
  <c r="M349" i="12" s="1"/>
  <c r="L297" i="12"/>
  <c r="K297" i="12"/>
  <c r="J297" i="12"/>
  <c r="I297" i="12"/>
  <c r="I349" i="12" s="1"/>
  <c r="H297" i="12"/>
  <c r="G297" i="12"/>
  <c r="F297" i="12"/>
  <c r="E297" i="12"/>
  <c r="E349" i="12" s="1"/>
  <c r="D297" i="12"/>
  <c r="CX296" i="12"/>
  <c r="CW296" i="12"/>
  <c r="CV296" i="12"/>
  <c r="CV348" i="12" s="1"/>
  <c r="CU296" i="12"/>
  <c r="CT296" i="12"/>
  <c r="CS296" i="12"/>
  <c r="CR296" i="12"/>
  <c r="CR348" i="12" s="1"/>
  <c r="CQ296" i="12"/>
  <c r="CP296" i="12"/>
  <c r="CO296" i="12"/>
  <c r="CN296" i="12"/>
  <c r="CN348" i="12" s="1"/>
  <c r="CM296" i="12"/>
  <c r="CL296" i="12"/>
  <c r="CK296" i="12"/>
  <c r="CJ296" i="12"/>
  <c r="CJ348" i="12" s="1"/>
  <c r="CI296" i="12"/>
  <c r="CH296" i="12"/>
  <c r="CG296" i="12"/>
  <c r="CF296" i="12"/>
  <c r="CF348" i="12" s="1"/>
  <c r="CE296" i="12"/>
  <c r="CD296" i="12"/>
  <c r="CC296" i="12"/>
  <c r="CB296" i="12"/>
  <c r="CB348" i="12" s="1"/>
  <c r="CA296" i="12"/>
  <c r="BZ296" i="12"/>
  <c r="BY296" i="12"/>
  <c r="BX296" i="12"/>
  <c r="BX348" i="12" s="1"/>
  <c r="BW296" i="12"/>
  <c r="BV296" i="12"/>
  <c r="BU296" i="12"/>
  <c r="BT296" i="12"/>
  <c r="BT348" i="12" s="1"/>
  <c r="BS296" i="12"/>
  <c r="BR296" i="12"/>
  <c r="BQ296" i="12"/>
  <c r="BP296" i="12"/>
  <c r="BP348" i="12" s="1"/>
  <c r="BO296" i="12"/>
  <c r="BN296" i="12"/>
  <c r="BM296" i="12"/>
  <c r="BL296" i="12"/>
  <c r="BL348" i="12" s="1"/>
  <c r="BK296" i="12"/>
  <c r="BJ296" i="12"/>
  <c r="BI296" i="12"/>
  <c r="BH296" i="12"/>
  <c r="BH348" i="12" s="1"/>
  <c r="BG296" i="12"/>
  <c r="BF296" i="12"/>
  <c r="BE296" i="12"/>
  <c r="BD296" i="12"/>
  <c r="BD348" i="12" s="1"/>
  <c r="BC296" i="12"/>
  <c r="BB296" i="12"/>
  <c r="BA296" i="12"/>
  <c r="AZ296" i="12"/>
  <c r="AZ348" i="12" s="1"/>
  <c r="AY296" i="12"/>
  <c r="AX296" i="12"/>
  <c r="AW296" i="12"/>
  <c r="AV296" i="12"/>
  <c r="AV348" i="12" s="1"/>
  <c r="AU296" i="12"/>
  <c r="AT296" i="12"/>
  <c r="AS296" i="12"/>
  <c r="AR296" i="12"/>
  <c r="AR348" i="12" s="1"/>
  <c r="AQ296" i="12"/>
  <c r="AP296" i="12"/>
  <c r="AO296" i="12"/>
  <c r="AN296" i="12"/>
  <c r="AN348" i="12" s="1"/>
  <c r="AM296" i="12"/>
  <c r="AL296" i="12"/>
  <c r="AK296" i="12"/>
  <c r="AJ296" i="12"/>
  <c r="AJ348" i="12" s="1"/>
  <c r="AI296" i="12"/>
  <c r="AH296" i="12"/>
  <c r="AG296" i="12"/>
  <c r="AF296" i="12"/>
  <c r="AF348" i="12" s="1"/>
  <c r="AE296" i="12"/>
  <c r="AD296" i="12"/>
  <c r="AC296" i="12"/>
  <c r="AB296" i="12"/>
  <c r="AB348" i="12" s="1"/>
  <c r="AA296" i="12"/>
  <c r="Z296" i="12"/>
  <c r="Y296" i="12"/>
  <c r="X296" i="12"/>
  <c r="X348" i="12" s="1"/>
  <c r="W296" i="12"/>
  <c r="V296" i="12"/>
  <c r="U296" i="12"/>
  <c r="T296" i="12"/>
  <c r="T348" i="12" s="1"/>
  <c r="S296" i="12"/>
  <c r="R296" i="12"/>
  <c r="Q296" i="12"/>
  <c r="P296" i="12"/>
  <c r="P348" i="12" s="1"/>
  <c r="O296" i="12"/>
  <c r="N296" i="12"/>
  <c r="M296" i="12"/>
  <c r="L296" i="12"/>
  <c r="L348" i="12" s="1"/>
  <c r="K296" i="12"/>
  <c r="J296" i="12"/>
  <c r="I296" i="12"/>
  <c r="H296" i="12"/>
  <c r="H348" i="12" s="1"/>
  <c r="G296" i="12"/>
  <c r="F296" i="12"/>
  <c r="E296" i="12"/>
  <c r="D296" i="12"/>
  <c r="CX295" i="12"/>
  <c r="CW295" i="12"/>
  <c r="CV295" i="12"/>
  <c r="CU295" i="12"/>
  <c r="CU347" i="12" s="1"/>
  <c r="CT295" i="12"/>
  <c r="CS295" i="12"/>
  <c r="CR295" i="12"/>
  <c r="CQ295" i="12"/>
  <c r="CQ347" i="12" s="1"/>
  <c r="CP295" i="12"/>
  <c r="CO295" i="12"/>
  <c r="CN295" i="12"/>
  <c r="CM295" i="12"/>
  <c r="CM347" i="12" s="1"/>
  <c r="CL295" i="12"/>
  <c r="CK295" i="12"/>
  <c r="CJ295" i="12"/>
  <c r="CI295" i="12"/>
  <c r="CI347" i="12" s="1"/>
  <c r="CH295" i="12"/>
  <c r="CG295" i="12"/>
  <c r="CF295" i="12"/>
  <c r="CE295" i="12"/>
  <c r="CE347" i="12" s="1"/>
  <c r="CD295" i="12"/>
  <c r="CC295" i="12"/>
  <c r="CB295" i="12"/>
  <c r="CA295" i="12"/>
  <c r="CA347" i="12" s="1"/>
  <c r="BZ295" i="12"/>
  <c r="BY295" i="12"/>
  <c r="BX295" i="12"/>
  <c r="BW295" i="12"/>
  <c r="BW347" i="12" s="1"/>
  <c r="BV295" i="12"/>
  <c r="BU295" i="12"/>
  <c r="BT295" i="12"/>
  <c r="BS295" i="12"/>
  <c r="BS347" i="12" s="1"/>
  <c r="BR295" i="12"/>
  <c r="BQ295" i="12"/>
  <c r="BP295" i="12"/>
  <c r="BO295" i="12"/>
  <c r="BO347" i="12" s="1"/>
  <c r="BN295" i="12"/>
  <c r="BM295" i="12"/>
  <c r="BL295" i="12"/>
  <c r="BK295" i="12"/>
  <c r="BK347" i="12" s="1"/>
  <c r="BJ295" i="12"/>
  <c r="BI295" i="12"/>
  <c r="BH295" i="12"/>
  <c r="BG295" i="12"/>
  <c r="BG347" i="12" s="1"/>
  <c r="BF295" i="12"/>
  <c r="BE295" i="12"/>
  <c r="BD295" i="12"/>
  <c r="BC295" i="12"/>
  <c r="BC347" i="12" s="1"/>
  <c r="BB295" i="12"/>
  <c r="BA295" i="12"/>
  <c r="AZ295" i="12"/>
  <c r="AY295" i="12"/>
  <c r="AY347" i="12" s="1"/>
  <c r="AX295" i="12"/>
  <c r="AW295" i="12"/>
  <c r="AV295" i="12"/>
  <c r="AU295" i="12"/>
  <c r="AU347" i="12" s="1"/>
  <c r="AT295" i="12"/>
  <c r="AS295" i="12"/>
  <c r="AR295" i="12"/>
  <c r="AQ295" i="12"/>
  <c r="AQ347" i="12" s="1"/>
  <c r="AP295" i="12"/>
  <c r="AO295" i="12"/>
  <c r="AN295" i="12"/>
  <c r="AM295" i="12"/>
  <c r="AM347" i="12" s="1"/>
  <c r="AL295" i="12"/>
  <c r="AK295" i="12"/>
  <c r="AJ295" i="12"/>
  <c r="AI295" i="12"/>
  <c r="AI347" i="12" s="1"/>
  <c r="AH295" i="12"/>
  <c r="AG295" i="12"/>
  <c r="AF295" i="12"/>
  <c r="AE295" i="12"/>
  <c r="AE347" i="12" s="1"/>
  <c r="AD295" i="12"/>
  <c r="AC295" i="12"/>
  <c r="AB295" i="12"/>
  <c r="AA295" i="12"/>
  <c r="AA347" i="12" s="1"/>
  <c r="Z295" i="12"/>
  <c r="Y295" i="12"/>
  <c r="X295" i="12"/>
  <c r="W295" i="12"/>
  <c r="W347" i="12" s="1"/>
  <c r="V295" i="12"/>
  <c r="U295" i="12"/>
  <c r="T295" i="12"/>
  <c r="S295" i="12"/>
  <c r="S347" i="12" s="1"/>
  <c r="R295" i="12"/>
  <c r="Q295" i="12"/>
  <c r="P295" i="12"/>
  <c r="O295" i="12"/>
  <c r="O347" i="12" s="1"/>
  <c r="N295" i="12"/>
  <c r="M295" i="12"/>
  <c r="L295" i="12"/>
  <c r="K295" i="12"/>
  <c r="K347" i="12" s="1"/>
  <c r="J295" i="12"/>
  <c r="I295" i="12"/>
  <c r="H295" i="12"/>
  <c r="G295" i="12"/>
  <c r="G347" i="12" s="1"/>
  <c r="F295" i="12"/>
  <c r="E295" i="12"/>
  <c r="D295" i="12"/>
  <c r="CX294" i="12"/>
  <c r="CX346" i="12" s="1"/>
  <c r="CW294" i="12"/>
  <c r="CV294" i="12"/>
  <c r="CU294" i="12"/>
  <c r="CT294" i="12"/>
  <c r="CT346" i="12" s="1"/>
  <c r="CS294" i="12"/>
  <c r="CR294" i="12"/>
  <c r="CQ294" i="12"/>
  <c r="CP294" i="12"/>
  <c r="CP346" i="12" s="1"/>
  <c r="CO294" i="12"/>
  <c r="CN294" i="12"/>
  <c r="CM294" i="12"/>
  <c r="CL294" i="12"/>
  <c r="CL346" i="12" s="1"/>
  <c r="CK294" i="12"/>
  <c r="CJ294" i="12"/>
  <c r="CI294" i="12"/>
  <c r="CH294" i="12"/>
  <c r="CH346" i="12" s="1"/>
  <c r="CG294" i="12"/>
  <c r="CF294" i="12"/>
  <c r="CE294" i="12"/>
  <c r="CD294" i="12"/>
  <c r="CD346" i="12" s="1"/>
  <c r="CC294" i="12"/>
  <c r="CB294" i="12"/>
  <c r="CA294" i="12"/>
  <c r="BZ294" i="12"/>
  <c r="BZ346" i="12" s="1"/>
  <c r="BY294" i="12"/>
  <c r="BX294" i="12"/>
  <c r="BW294" i="12"/>
  <c r="BV294" i="12"/>
  <c r="BV346" i="12" s="1"/>
  <c r="BU294" i="12"/>
  <c r="BT294" i="12"/>
  <c r="BS294" i="12"/>
  <c r="BR294" i="12"/>
  <c r="BR346" i="12" s="1"/>
  <c r="BQ294" i="12"/>
  <c r="BP294" i="12"/>
  <c r="BO294" i="12"/>
  <c r="BN294" i="12"/>
  <c r="BN346" i="12" s="1"/>
  <c r="BM294" i="12"/>
  <c r="BL294" i="12"/>
  <c r="BK294" i="12"/>
  <c r="BJ294" i="12"/>
  <c r="BJ346" i="12" s="1"/>
  <c r="BI294" i="12"/>
  <c r="BH294" i="12"/>
  <c r="BG294" i="12"/>
  <c r="BF294" i="12"/>
  <c r="BF346" i="12" s="1"/>
  <c r="BE294" i="12"/>
  <c r="BD294" i="12"/>
  <c r="BC294" i="12"/>
  <c r="BB294" i="12"/>
  <c r="BB346" i="12" s="1"/>
  <c r="BA294" i="12"/>
  <c r="AZ294" i="12"/>
  <c r="AY294" i="12"/>
  <c r="AX294" i="12"/>
  <c r="AX346" i="12" s="1"/>
  <c r="AW294" i="12"/>
  <c r="AV294" i="12"/>
  <c r="AU294" i="12"/>
  <c r="AT294" i="12"/>
  <c r="AT346" i="12" s="1"/>
  <c r="AS294" i="12"/>
  <c r="AR294" i="12"/>
  <c r="AQ294" i="12"/>
  <c r="AP294" i="12"/>
  <c r="AP346" i="12" s="1"/>
  <c r="AO294" i="12"/>
  <c r="AN294" i="12"/>
  <c r="AM294" i="12"/>
  <c r="AL294" i="12"/>
  <c r="AL346" i="12" s="1"/>
  <c r="AK294" i="12"/>
  <c r="AJ294" i="12"/>
  <c r="AI294" i="12"/>
  <c r="AH294" i="12"/>
  <c r="AH346" i="12" s="1"/>
  <c r="AG294" i="12"/>
  <c r="AF294" i="12"/>
  <c r="AE294" i="12"/>
  <c r="AD294" i="12"/>
  <c r="AD346" i="12" s="1"/>
  <c r="AC294" i="12"/>
  <c r="AB294" i="12"/>
  <c r="AA294" i="12"/>
  <c r="Z294" i="12"/>
  <c r="Z346" i="12" s="1"/>
  <c r="Y294" i="12"/>
  <c r="X294" i="12"/>
  <c r="W294" i="12"/>
  <c r="V294" i="12"/>
  <c r="V346" i="12" s="1"/>
  <c r="U294" i="12"/>
  <c r="T294" i="12"/>
  <c r="S294" i="12"/>
  <c r="R294" i="12"/>
  <c r="R346" i="12" s="1"/>
  <c r="Q294" i="12"/>
  <c r="P294" i="12"/>
  <c r="O294" i="12"/>
  <c r="N294" i="12"/>
  <c r="N346" i="12" s="1"/>
  <c r="M294" i="12"/>
  <c r="L294" i="12"/>
  <c r="K294" i="12"/>
  <c r="J294" i="12"/>
  <c r="J346" i="12" s="1"/>
  <c r="I294" i="12"/>
  <c r="H294" i="12"/>
  <c r="G294" i="12"/>
  <c r="F294" i="12"/>
  <c r="F346" i="12" s="1"/>
  <c r="E294" i="12"/>
  <c r="D294" i="12"/>
  <c r="CX293" i="12"/>
  <c r="CW293" i="12"/>
  <c r="CW345" i="12" s="1"/>
  <c r="CV293" i="12"/>
  <c r="CU293" i="12"/>
  <c r="CT293" i="12"/>
  <c r="CS293" i="12"/>
  <c r="CS345" i="12" s="1"/>
  <c r="CR293" i="12"/>
  <c r="CQ293" i="12"/>
  <c r="CP293" i="12"/>
  <c r="CO293" i="12"/>
  <c r="CO345" i="12" s="1"/>
  <c r="CN293" i="12"/>
  <c r="CM293" i="12"/>
  <c r="CL293" i="12"/>
  <c r="CK293" i="12"/>
  <c r="CK345" i="12" s="1"/>
  <c r="CJ293" i="12"/>
  <c r="CI293" i="12"/>
  <c r="CH293" i="12"/>
  <c r="CG293" i="12"/>
  <c r="CG345" i="12" s="1"/>
  <c r="CF293" i="12"/>
  <c r="CE293" i="12"/>
  <c r="CD293" i="12"/>
  <c r="CC293" i="12"/>
  <c r="CC345" i="12" s="1"/>
  <c r="CB293" i="12"/>
  <c r="CA293" i="12"/>
  <c r="BZ293" i="12"/>
  <c r="BY293" i="12"/>
  <c r="BY345" i="12" s="1"/>
  <c r="BX293" i="12"/>
  <c r="BW293" i="12"/>
  <c r="BV293" i="12"/>
  <c r="BU293" i="12"/>
  <c r="BU345" i="12" s="1"/>
  <c r="BT293" i="12"/>
  <c r="BS293" i="12"/>
  <c r="BR293" i="12"/>
  <c r="BQ293" i="12"/>
  <c r="BQ345" i="12" s="1"/>
  <c r="BP293" i="12"/>
  <c r="BO293" i="12"/>
  <c r="BN293" i="12"/>
  <c r="BM293" i="12"/>
  <c r="BM345" i="12" s="1"/>
  <c r="BL293" i="12"/>
  <c r="BK293" i="12"/>
  <c r="BJ293" i="12"/>
  <c r="BI293" i="12"/>
  <c r="BI345" i="12" s="1"/>
  <c r="BH293" i="12"/>
  <c r="BG293" i="12"/>
  <c r="BF293" i="12"/>
  <c r="BE293" i="12"/>
  <c r="BE345" i="12" s="1"/>
  <c r="BD293" i="12"/>
  <c r="BC293" i="12"/>
  <c r="BB293" i="12"/>
  <c r="BA293" i="12"/>
  <c r="BA345" i="12" s="1"/>
  <c r="AZ293" i="12"/>
  <c r="AY293" i="12"/>
  <c r="AX293" i="12"/>
  <c r="AW293" i="12"/>
  <c r="AW345" i="12" s="1"/>
  <c r="AV293" i="12"/>
  <c r="AU293" i="12"/>
  <c r="AT293" i="12"/>
  <c r="AS293" i="12"/>
  <c r="AS345" i="12" s="1"/>
  <c r="AR293" i="12"/>
  <c r="AQ293" i="12"/>
  <c r="AP293" i="12"/>
  <c r="AO293" i="12"/>
  <c r="AO345" i="12" s="1"/>
  <c r="AN293" i="12"/>
  <c r="AM293" i="12"/>
  <c r="AL293" i="12"/>
  <c r="AK293" i="12"/>
  <c r="AK345" i="12" s="1"/>
  <c r="AJ293" i="12"/>
  <c r="AI293" i="12"/>
  <c r="AH293" i="12"/>
  <c r="AG293" i="12"/>
  <c r="AG345" i="12" s="1"/>
  <c r="AF293" i="12"/>
  <c r="AE293" i="12"/>
  <c r="AD293" i="12"/>
  <c r="AC293" i="12"/>
  <c r="AC345" i="12" s="1"/>
  <c r="AB293" i="12"/>
  <c r="AA293" i="12"/>
  <c r="Z293" i="12"/>
  <c r="Y293" i="12"/>
  <c r="Y345" i="12" s="1"/>
  <c r="X293" i="12"/>
  <c r="W293" i="12"/>
  <c r="V293" i="12"/>
  <c r="U293" i="12"/>
  <c r="U345" i="12" s="1"/>
  <c r="T293" i="12"/>
  <c r="S293" i="12"/>
  <c r="R293" i="12"/>
  <c r="Q293" i="12"/>
  <c r="Q345" i="12" s="1"/>
  <c r="P293" i="12"/>
  <c r="O293" i="12"/>
  <c r="N293" i="12"/>
  <c r="M293" i="12"/>
  <c r="M345" i="12" s="1"/>
  <c r="L293" i="12"/>
  <c r="K293" i="12"/>
  <c r="J293" i="12"/>
  <c r="I293" i="12"/>
  <c r="I345" i="12" s="1"/>
  <c r="H293" i="12"/>
  <c r="G293" i="12"/>
  <c r="F293" i="12"/>
  <c r="E293" i="12"/>
  <c r="E345" i="12" s="1"/>
  <c r="D293" i="12"/>
  <c r="CX292" i="12"/>
  <c r="CW292" i="12"/>
  <c r="CV292" i="12"/>
  <c r="CV344" i="12" s="1"/>
  <c r="CU292" i="12"/>
  <c r="CT292" i="12"/>
  <c r="CS292" i="12"/>
  <c r="CR292" i="12"/>
  <c r="CR344" i="12" s="1"/>
  <c r="CQ292" i="12"/>
  <c r="CP292" i="12"/>
  <c r="CO292" i="12"/>
  <c r="CN292" i="12"/>
  <c r="CN344" i="12" s="1"/>
  <c r="CM292" i="12"/>
  <c r="CL292" i="12"/>
  <c r="CK292" i="12"/>
  <c r="CJ292" i="12"/>
  <c r="CJ344" i="12" s="1"/>
  <c r="CI292" i="12"/>
  <c r="CH292" i="12"/>
  <c r="CG292" i="12"/>
  <c r="CF292" i="12"/>
  <c r="CF344" i="12" s="1"/>
  <c r="CE292" i="12"/>
  <c r="CD292" i="12"/>
  <c r="CC292" i="12"/>
  <c r="CB292" i="12"/>
  <c r="CB344" i="12" s="1"/>
  <c r="CA292" i="12"/>
  <c r="BZ292" i="12"/>
  <c r="BY292" i="12"/>
  <c r="BX292" i="12"/>
  <c r="BX344" i="12" s="1"/>
  <c r="BW292" i="12"/>
  <c r="BV292" i="12"/>
  <c r="BU292" i="12"/>
  <c r="BT292" i="12"/>
  <c r="BT344" i="12" s="1"/>
  <c r="BS292" i="12"/>
  <c r="BR292" i="12"/>
  <c r="BQ292" i="12"/>
  <c r="BP292" i="12"/>
  <c r="BP344" i="12" s="1"/>
  <c r="BO292" i="12"/>
  <c r="BN292" i="12"/>
  <c r="BM292" i="12"/>
  <c r="BL292" i="12"/>
  <c r="BL344" i="12" s="1"/>
  <c r="BK292" i="12"/>
  <c r="BJ292" i="12"/>
  <c r="BI292" i="12"/>
  <c r="BH292" i="12"/>
  <c r="BH344" i="12" s="1"/>
  <c r="BG292" i="12"/>
  <c r="BF292" i="12"/>
  <c r="BE292" i="12"/>
  <c r="BD292" i="12"/>
  <c r="BD344" i="12" s="1"/>
  <c r="BC292" i="12"/>
  <c r="BB292" i="12"/>
  <c r="BA292" i="12"/>
  <c r="AZ292" i="12"/>
  <c r="AZ344" i="12" s="1"/>
  <c r="AY292" i="12"/>
  <c r="AX292" i="12"/>
  <c r="AW292" i="12"/>
  <c r="AV292" i="12"/>
  <c r="AV344" i="12" s="1"/>
  <c r="AU292" i="12"/>
  <c r="AT292" i="12"/>
  <c r="AS292" i="12"/>
  <c r="AR292" i="12"/>
  <c r="AR344" i="12" s="1"/>
  <c r="AQ292" i="12"/>
  <c r="AP292" i="12"/>
  <c r="AO292" i="12"/>
  <c r="AN292" i="12"/>
  <c r="AN344" i="12" s="1"/>
  <c r="AM292" i="12"/>
  <c r="AL292" i="12"/>
  <c r="AK292" i="12"/>
  <c r="AJ292" i="12"/>
  <c r="AJ344" i="12" s="1"/>
  <c r="AI292" i="12"/>
  <c r="AH292" i="12"/>
  <c r="AG292" i="12"/>
  <c r="AF292" i="12"/>
  <c r="AF344" i="12" s="1"/>
  <c r="AE292" i="12"/>
  <c r="AD292" i="12"/>
  <c r="AC292" i="12"/>
  <c r="AB292" i="12"/>
  <c r="AB344" i="12" s="1"/>
  <c r="AA292" i="12"/>
  <c r="Z292" i="12"/>
  <c r="Y292" i="12"/>
  <c r="X292" i="12"/>
  <c r="X344" i="12" s="1"/>
  <c r="W292" i="12"/>
  <c r="V292" i="12"/>
  <c r="U292" i="12"/>
  <c r="T292" i="12"/>
  <c r="T344" i="12" s="1"/>
  <c r="S292" i="12"/>
  <c r="R292" i="12"/>
  <c r="Q292" i="12"/>
  <c r="P292" i="12"/>
  <c r="P344" i="12" s="1"/>
  <c r="O292" i="12"/>
  <c r="N292" i="12"/>
  <c r="M292" i="12"/>
  <c r="L292" i="12"/>
  <c r="L344" i="12" s="1"/>
  <c r="K292" i="12"/>
  <c r="J292" i="12"/>
  <c r="I292" i="12"/>
  <c r="H292" i="12"/>
  <c r="H344" i="12" s="1"/>
  <c r="G292" i="12"/>
  <c r="F292" i="12"/>
  <c r="E292" i="12"/>
  <c r="D292" i="12"/>
  <c r="D344" i="12" s="1"/>
  <c r="CX291" i="12"/>
  <c r="CW291" i="12"/>
  <c r="CV291" i="12"/>
  <c r="CU291" i="12"/>
  <c r="CU343" i="12" s="1"/>
  <c r="CT291" i="12"/>
  <c r="CS291" i="12"/>
  <c r="CR291" i="12"/>
  <c r="CQ291" i="12"/>
  <c r="CQ343" i="12" s="1"/>
  <c r="CP291" i="12"/>
  <c r="CO291" i="12"/>
  <c r="CN291" i="12"/>
  <c r="CM291" i="12"/>
  <c r="CM343" i="12" s="1"/>
  <c r="CL291" i="12"/>
  <c r="CK291" i="12"/>
  <c r="CJ291" i="12"/>
  <c r="CI291" i="12"/>
  <c r="CI343" i="12" s="1"/>
  <c r="CH291" i="12"/>
  <c r="CG291" i="12"/>
  <c r="CF291" i="12"/>
  <c r="CE291" i="12"/>
  <c r="CE343" i="12" s="1"/>
  <c r="CD291" i="12"/>
  <c r="CC291" i="12"/>
  <c r="CB291" i="12"/>
  <c r="CA291" i="12"/>
  <c r="CA343" i="12" s="1"/>
  <c r="BZ291" i="12"/>
  <c r="BY291" i="12"/>
  <c r="BX291" i="12"/>
  <c r="BW291" i="12"/>
  <c r="BW343" i="12" s="1"/>
  <c r="BV291" i="12"/>
  <c r="BU291" i="12"/>
  <c r="BT291" i="12"/>
  <c r="BS291" i="12"/>
  <c r="BS343" i="12" s="1"/>
  <c r="BR291" i="12"/>
  <c r="BQ291" i="12"/>
  <c r="BP291" i="12"/>
  <c r="BO291" i="12"/>
  <c r="BO343" i="12" s="1"/>
  <c r="BN291" i="12"/>
  <c r="BM291" i="12"/>
  <c r="BL291" i="12"/>
  <c r="BK291" i="12"/>
  <c r="BK343" i="12" s="1"/>
  <c r="BJ291" i="12"/>
  <c r="BI291" i="12"/>
  <c r="BH291" i="12"/>
  <c r="BG291" i="12"/>
  <c r="BG343" i="12" s="1"/>
  <c r="BF291" i="12"/>
  <c r="BE291" i="12"/>
  <c r="BD291" i="12"/>
  <c r="BC291" i="12"/>
  <c r="BC343" i="12" s="1"/>
  <c r="BB291" i="12"/>
  <c r="BA291" i="12"/>
  <c r="AZ291" i="12"/>
  <c r="AY291" i="12"/>
  <c r="AY343" i="12" s="1"/>
  <c r="AX291" i="12"/>
  <c r="AW291" i="12"/>
  <c r="AV291" i="12"/>
  <c r="AU291" i="12"/>
  <c r="AU343" i="12" s="1"/>
  <c r="AT291" i="12"/>
  <c r="AS291" i="12"/>
  <c r="AR291" i="12"/>
  <c r="AQ291" i="12"/>
  <c r="AQ343" i="12" s="1"/>
  <c r="AP291" i="12"/>
  <c r="AO291" i="12"/>
  <c r="AN291" i="12"/>
  <c r="AM291" i="12"/>
  <c r="AM343" i="12" s="1"/>
  <c r="AL291" i="12"/>
  <c r="AK291" i="12"/>
  <c r="AJ291" i="12"/>
  <c r="AI291" i="12"/>
  <c r="AI343" i="12" s="1"/>
  <c r="AH291" i="12"/>
  <c r="AG291" i="12"/>
  <c r="AF291" i="12"/>
  <c r="AE291" i="12"/>
  <c r="AE343" i="12" s="1"/>
  <c r="AD291" i="12"/>
  <c r="AC291" i="12"/>
  <c r="AB291" i="12"/>
  <c r="AA291" i="12"/>
  <c r="AA343" i="12" s="1"/>
  <c r="Z291" i="12"/>
  <c r="Y291" i="12"/>
  <c r="X291" i="12"/>
  <c r="W291" i="12"/>
  <c r="W343" i="12" s="1"/>
  <c r="V291" i="12"/>
  <c r="U291" i="12"/>
  <c r="T291" i="12"/>
  <c r="S291" i="12"/>
  <c r="S343" i="12" s="1"/>
  <c r="R291" i="12"/>
  <c r="Q291" i="12"/>
  <c r="P291" i="12"/>
  <c r="O291" i="12"/>
  <c r="O343" i="12" s="1"/>
  <c r="N291" i="12"/>
  <c r="M291" i="12"/>
  <c r="L291" i="12"/>
  <c r="K291" i="12"/>
  <c r="K343" i="12" s="1"/>
  <c r="J291" i="12"/>
  <c r="I291" i="12"/>
  <c r="H291" i="12"/>
  <c r="G291" i="12"/>
  <c r="G343" i="12" s="1"/>
  <c r="F291" i="12"/>
  <c r="E291" i="12"/>
  <c r="D291" i="12"/>
  <c r="CX290" i="12"/>
  <c r="CX342" i="12" s="1"/>
  <c r="CW290" i="12"/>
  <c r="CV290" i="12"/>
  <c r="CU290" i="12"/>
  <c r="CT290" i="12"/>
  <c r="CT342" i="12" s="1"/>
  <c r="CS290" i="12"/>
  <c r="CR290" i="12"/>
  <c r="CQ290" i="12"/>
  <c r="CP290" i="12"/>
  <c r="CP342" i="12" s="1"/>
  <c r="CO290" i="12"/>
  <c r="CN290" i="12"/>
  <c r="CM290" i="12"/>
  <c r="CL290" i="12"/>
  <c r="CL342" i="12" s="1"/>
  <c r="CK290" i="12"/>
  <c r="CJ290" i="12"/>
  <c r="CI290" i="12"/>
  <c r="CH290" i="12"/>
  <c r="CH342" i="12" s="1"/>
  <c r="CG290" i="12"/>
  <c r="CF290" i="12"/>
  <c r="CE290" i="12"/>
  <c r="CD290" i="12"/>
  <c r="CD342" i="12" s="1"/>
  <c r="CC290" i="12"/>
  <c r="CB290" i="12"/>
  <c r="CA290" i="12"/>
  <c r="BZ290" i="12"/>
  <c r="BZ342" i="12" s="1"/>
  <c r="BY290" i="12"/>
  <c r="BX290" i="12"/>
  <c r="BW290" i="12"/>
  <c r="BV290" i="12"/>
  <c r="BV342" i="12" s="1"/>
  <c r="BU290" i="12"/>
  <c r="BT290" i="12"/>
  <c r="BS290" i="12"/>
  <c r="BR290" i="12"/>
  <c r="BR342" i="12" s="1"/>
  <c r="BQ290" i="12"/>
  <c r="BP290" i="12"/>
  <c r="BO290" i="12"/>
  <c r="BN290" i="12"/>
  <c r="BN342" i="12" s="1"/>
  <c r="BM290" i="12"/>
  <c r="BL290" i="12"/>
  <c r="BK290" i="12"/>
  <c r="BJ290" i="12"/>
  <c r="BJ342" i="12" s="1"/>
  <c r="BI290" i="12"/>
  <c r="BH290" i="12"/>
  <c r="BG290" i="12"/>
  <c r="BF290" i="12"/>
  <c r="BF342" i="12" s="1"/>
  <c r="BE290" i="12"/>
  <c r="BD290" i="12"/>
  <c r="BC290" i="12"/>
  <c r="BB290" i="12"/>
  <c r="BB342" i="12" s="1"/>
  <c r="BA290" i="12"/>
  <c r="AZ290" i="12"/>
  <c r="AY290" i="12"/>
  <c r="AX290" i="12"/>
  <c r="AX342" i="12" s="1"/>
  <c r="AW290" i="12"/>
  <c r="AV290" i="12"/>
  <c r="AU290" i="12"/>
  <c r="AT290" i="12"/>
  <c r="AT342" i="12" s="1"/>
  <c r="AS290" i="12"/>
  <c r="AR290" i="12"/>
  <c r="AQ290" i="12"/>
  <c r="AP290" i="12"/>
  <c r="AP342" i="12" s="1"/>
  <c r="AO290" i="12"/>
  <c r="AN290" i="12"/>
  <c r="AM290" i="12"/>
  <c r="AL290" i="12"/>
  <c r="AL342" i="12" s="1"/>
  <c r="AK290" i="12"/>
  <c r="AJ290" i="12"/>
  <c r="AI290" i="12"/>
  <c r="AH290" i="12"/>
  <c r="AH342" i="12" s="1"/>
  <c r="AG290" i="12"/>
  <c r="AF290" i="12"/>
  <c r="AE290" i="12"/>
  <c r="AD290" i="12"/>
  <c r="AD342" i="12" s="1"/>
  <c r="AC290" i="12"/>
  <c r="AB290" i="12"/>
  <c r="AA290" i="12"/>
  <c r="Z290" i="12"/>
  <c r="Z342" i="12" s="1"/>
  <c r="Y290" i="12"/>
  <c r="X290" i="12"/>
  <c r="W290" i="12"/>
  <c r="V290" i="12"/>
  <c r="V342" i="12" s="1"/>
  <c r="U290" i="12"/>
  <c r="T290" i="12"/>
  <c r="S290" i="12"/>
  <c r="R290" i="12"/>
  <c r="R342" i="12" s="1"/>
  <c r="Q290" i="12"/>
  <c r="P290" i="12"/>
  <c r="O290" i="12"/>
  <c r="N290" i="12"/>
  <c r="N342" i="12" s="1"/>
  <c r="M290" i="12"/>
  <c r="L290" i="12"/>
  <c r="K290" i="12"/>
  <c r="J290" i="12"/>
  <c r="J342" i="12" s="1"/>
  <c r="I290" i="12"/>
  <c r="H290" i="12"/>
  <c r="G290" i="12"/>
  <c r="F290" i="12"/>
  <c r="F342" i="12" s="1"/>
  <c r="E290" i="12"/>
  <c r="D290" i="12"/>
  <c r="CX289" i="12"/>
  <c r="CW289" i="12"/>
  <c r="CV289" i="12"/>
  <c r="CU289" i="12"/>
  <c r="CT289" i="12"/>
  <c r="CS289" i="12"/>
  <c r="CR289" i="12"/>
  <c r="CQ289" i="12"/>
  <c r="CP289" i="12"/>
  <c r="CO289" i="12"/>
  <c r="CN289" i="12"/>
  <c r="CM289" i="12"/>
  <c r="CL289" i="12"/>
  <c r="CK289" i="12"/>
  <c r="CJ289" i="12"/>
  <c r="CI289" i="12"/>
  <c r="CH289" i="12"/>
  <c r="CG289" i="12"/>
  <c r="CF289" i="12"/>
  <c r="CE289" i="12"/>
  <c r="CD289" i="12"/>
  <c r="CC289" i="12"/>
  <c r="CB289" i="12"/>
  <c r="CA289" i="12"/>
  <c r="BZ289" i="12"/>
  <c r="BY289" i="12"/>
  <c r="BX289" i="12"/>
  <c r="BW289" i="12"/>
  <c r="BV289" i="12"/>
  <c r="BU289" i="12"/>
  <c r="BT289" i="12"/>
  <c r="BS289" i="12"/>
  <c r="BR289" i="12"/>
  <c r="BQ289" i="12"/>
  <c r="BP289" i="12"/>
  <c r="BO289" i="12"/>
  <c r="BN289" i="12"/>
  <c r="BM289" i="12"/>
  <c r="BL289" i="12"/>
  <c r="BK289" i="12"/>
  <c r="BJ289" i="12"/>
  <c r="BI289" i="12"/>
  <c r="BH289" i="12"/>
  <c r="BG289" i="12"/>
  <c r="BF289" i="12"/>
  <c r="BE289" i="12"/>
  <c r="BD289" i="12"/>
  <c r="BC289" i="12"/>
  <c r="BB289" i="12"/>
  <c r="BA289" i="12"/>
  <c r="AZ289" i="12"/>
  <c r="AY289" i="12"/>
  <c r="AX289" i="12"/>
  <c r="AW289" i="12"/>
  <c r="AV289" i="12"/>
  <c r="AU289" i="12"/>
  <c r="AT289" i="12"/>
  <c r="AS289" i="12"/>
  <c r="AR289" i="12"/>
  <c r="AQ289" i="12"/>
  <c r="AP289" i="12"/>
  <c r="AO289" i="12"/>
  <c r="AN289" i="12"/>
  <c r="AM289" i="12"/>
  <c r="AL289" i="12"/>
  <c r="AK289" i="12"/>
  <c r="AJ289" i="12"/>
  <c r="AI289" i="12"/>
  <c r="AH289" i="12"/>
  <c r="AG289" i="12"/>
  <c r="AF289" i="12"/>
  <c r="AE289" i="12"/>
  <c r="AD289" i="12"/>
  <c r="AC289" i="12"/>
  <c r="AB289" i="12"/>
  <c r="AA289" i="12"/>
  <c r="Z289" i="12"/>
  <c r="Y289" i="12"/>
  <c r="X289" i="12"/>
  <c r="W289" i="12"/>
  <c r="V289" i="12"/>
  <c r="U289" i="12"/>
  <c r="T289" i="12"/>
  <c r="S289" i="12"/>
  <c r="R289" i="12"/>
  <c r="Q289" i="12"/>
  <c r="P289" i="12"/>
  <c r="O289" i="12"/>
  <c r="N289" i="12"/>
  <c r="M289" i="12"/>
  <c r="L289" i="12"/>
  <c r="K289" i="12"/>
  <c r="J289" i="12"/>
  <c r="I289" i="12"/>
  <c r="H289" i="12"/>
  <c r="G289" i="12"/>
  <c r="F289" i="12"/>
  <c r="E289" i="12"/>
  <c r="D289" i="12"/>
  <c r="CX288" i="12"/>
  <c r="CW288" i="12"/>
  <c r="CV288" i="12"/>
  <c r="CV340" i="12" s="1"/>
  <c r="CU288" i="12"/>
  <c r="CT288" i="12"/>
  <c r="CS288" i="12"/>
  <c r="CR288" i="12"/>
  <c r="CR340" i="12" s="1"/>
  <c r="CQ288" i="12"/>
  <c r="CP288" i="12"/>
  <c r="CO288" i="12"/>
  <c r="CN288" i="12"/>
  <c r="CN340" i="12" s="1"/>
  <c r="CM288" i="12"/>
  <c r="CL288" i="12"/>
  <c r="CK288" i="12"/>
  <c r="CJ288" i="12"/>
  <c r="CJ340" i="12" s="1"/>
  <c r="CI288" i="12"/>
  <c r="CH288" i="12"/>
  <c r="CG288" i="12"/>
  <c r="CF288" i="12"/>
  <c r="CF340" i="12" s="1"/>
  <c r="CE288" i="12"/>
  <c r="CD288" i="12"/>
  <c r="CC288" i="12"/>
  <c r="CB288" i="12"/>
  <c r="CB340" i="12" s="1"/>
  <c r="CA288" i="12"/>
  <c r="BZ288" i="12"/>
  <c r="BY288" i="12"/>
  <c r="BX288" i="12"/>
  <c r="BX340" i="12" s="1"/>
  <c r="BW288" i="12"/>
  <c r="BV288" i="12"/>
  <c r="BU288" i="12"/>
  <c r="BT288" i="12"/>
  <c r="BT340" i="12" s="1"/>
  <c r="BS288" i="12"/>
  <c r="BR288" i="12"/>
  <c r="BQ288" i="12"/>
  <c r="BP288" i="12"/>
  <c r="BP340" i="12" s="1"/>
  <c r="BO288" i="12"/>
  <c r="BN288" i="12"/>
  <c r="BM288" i="12"/>
  <c r="BL288" i="12"/>
  <c r="BL340" i="12" s="1"/>
  <c r="BK288" i="12"/>
  <c r="BJ288" i="12"/>
  <c r="BI288" i="12"/>
  <c r="BH288" i="12"/>
  <c r="BH340" i="12" s="1"/>
  <c r="BG288" i="12"/>
  <c r="BF288" i="12"/>
  <c r="BE288" i="12"/>
  <c r="BD288" i="12"/>
  <c r="BD340" i="12" s="1"/>
  <c r="BC288" i="12"/>
  <c r="BB288" i="12"/>
  <c r="BA288" i="12"/>
  <c r="AZ288" i="12"/>
  <c r="AZ340" i="12" s="1"/>
  <c r="AY288" i="12"/>
  <c r="AX288" i="12"/>
  <c r="AW288" i="12"/>
  <c r="AV288" i="12"/>
  <c r="AV340" i="12" s="1"/>
  <c r="AU288" i="12"/>
  <c r="AT288" i="12"/>
  <c r="AS288" i="12"/>
  <c r="AR288" i="12"/>
  <c r="AR340" i="12" s="1"/>
  <c r="AQ288" i="12"/>
  <c r="AP288" i="12"/>
  <c r="AO288" i="12"/>
  <c r="AN288" i="12"/>
  <c r="AN340" i="12" s="1"/>
  <c r="AM288" i="12"/>
  <c r="AL288" i="12"/>
  <c r="AK288" i="12"/>
  <c r="AJ288" i="12"/>
  <c r="AJ340" i="12" s="1"/>
  <c r="AI288" i="12"/>
  <c r="AH288" i="12"/>
  <c r="AG288" i="12"/>
  <c r="AF288" i="12"/>
  <c r="AF340" i="12" s="1"/>
  <c r="AE288" i="12"/>
  <c r="AD288" i="12"/>
  <c r="AC288" i="12"/>
  <c r="AB288" i="12"/>
  <c r="AB340" i="12" s="1"/>
  <c r="AA288" i="12"/>
  <c r="Z288" i="12"/>
  <c r="Y288" i="12"/>
  <c r="X288" i="12"/>
  <c r="X340" i="12" s="1"/>
  <c r="W288" i="12"/>
  <c r="V288" i="12"/>
  <c r="U288" i="12"/>
  <c r="T288" i="12"/>
  <c r="T340" i="12" s="1"/>
  <c r="S288" i="12"/>
  <c r="R288" i="12"/>
  <c r="Q288" i="12"/>
  <c r="P288" i="12"/>
  <c r="P340" i="12" s="1"/>
  <c r="O288" i="12"/>
  <c r="N288" i="12"/>
  <c r="M288" i="12"/>
  <c r="L288" i="12"/>
  <c r="L340" i="12" s="1"/>
  <c r="K288" i="12"/>
  <c r="J288" i="12"/>
  <c r="I288" i="12"/>
  <c r="H288" i="12"/>
  <c r="H340" i="12" s="1"/>
  <c r="G288" i="12"/>
  <c r="F288" i="12"/>
  <c r="E288" i="12"/>
  <c r="D288" i="12"/>
  <c r="CX241" i="12"/>
  <c r="CW241" i="12"/>
  <c r="CV241" i="12"/>
  <c r="CU241" i="12"/>
  <c r="CU268" i="12" s="1"/>
  <c r="CT241" i="12"/>
  <c r="CS241" i="12"/>
  <c r="CR241" i="12"/>
  <c r="CQ241" i="12"/>
  <c r="CQ268" i="12" s="1"/>
  <c r="CP241" i="12"/>
  <c r="CO241" i="12"/>
  <c r="CN241" i="12"/>
  <c r="CM241" i="12"/>
  <c r="CM268" i="12" s="1"/>
  <c r="CL241" i="12"/>
  <c r="CK241" i="12"/>
  <c r="CJ241" i="12"/>
  <c r="CI241" i="12"/>
  <c r="CI268" i="12" s="1"/>
  <c r="CH241" i="12"/>
  <c r="CG241" i="12"/>
  <c r="CF241" i="12"/>
  <c r="CE241" i="12"/>
  <c r="CE268" i="12" s="1"/>
  <c r="CD241" i="12"/>
  <c r="CC241" i="12"/>
  <c r="CB241" i="12"/>
  <c r="CA241" i="12"/>
  <c r="CA268" i="12" s="1"/>
  <c r="BZ241" i="12"/>
  <c r="BY241" i="12"/>
  <c r="BX241" i="12"/>
  <c r="BW241" i="12"/>
  <c r="BW268" i="12" s="1"/>
  <c r="BV241" i="12"/>
  <c r="BU241" i="12"/>
  <c r="BT241" i="12"/>
  <c r="BS241" i="12"/>
  <c r="BS268" i="12" s="1"/>
  <c r="BR241" i="12"/>
  <c r="BQ241" i="12"/>
  <c r="BP241" i="12"/>
  <c r="BO241" i="12"/>
  <c r="BO268" i="12" s="1"/>
  <c r="BN241" i="12"/>
  <c r="BM241" i="12"/>
  <c r="BL241" i="12"/>
  <c r="BK241" i="12"/>
  <c r="BK268" i="12" s="1"/>
  <c r="BJ241" i="12"/>
  <c r="BI241" i="12"/>
  <c r="BH241" i="12"/>
  <c r="BG241" i="12"/>
  <c r="BG268" i="12" s="1"/>
  <c r="BF241" i="12"/>
  <c r="BE241" i="12"/>
  <c r="BD241" i="12"/>
  <c r="BC241" i="12"/>
  <c r="BC268" i="12" s="1"/>
  <c r="BB241" i="12"/>
  <c r="BA241" i="12"/>
  <c r="AZ241" i="12"/>
  <c r="AY241" i="12"/>
  <c r="AY268" i="12" s="1"/>
  <c r="AX241" i="12"/>
  <c r="AW241" i="12"/>
  <c r="AV241" i="12"/>
  <c r="AU241" i="12"/>
  <c r="AU268" i="12" s="1"/>
  <c r="AT241" i="12"/>
  <c r="AS241" i="12"/>
  <c r="AR241" i="12"/>
  <c r="AQ241" i="12"/>
  <c r="AQ268" i="12" s="1"/>
  <c r="AP241" i="12"/>
  <c r="AO241" i="12"/>
  <c r="AN241" i="12"/>
  <c r="AM241" i="12"/>
  <c r="AM268" i="12" s="1"/>
  <c r="AL241" i="12"/>
  <c r="AK241" i="12"/>
  <c r="AJ241" i="12"/>
  <c r="AI241" i="12"/>
  <c r="AI268" i="12" s="1"/>
  <c r="AH241" i="12"/>
  <c r="AG241" i="12"/>
  <c r="AF241" i="12"/>
  <c r="AE241" i="12"/>
  <c r="AE268" i="12" s="1"/>
  <c r="AD241" i="12"/>
  <c r="AC241" i="12"/>
  <c r="AB241" i="12"/>
  <c r="AA241" i="12"/>
  <c r="AA268" i="12" s="1"/>
  <c r="Z241" i="12"/>
  <c r="Y241" i="12"/>
  <c r="X241" i="12"/>
  <c r="W241" i="12"/>
  <c r="W268" i="12" s="1"/>
  <c r="V241" i="12"/>
  <c r="U241" i="12"/>
  <c r="T241" i="12"/>
  <c r="S241" i="12"/>
  <c r="S268" i="12" s="1"/>
  <c r="R241" i="12"/>
  <c r="Q241" i="12"/>
  <c r="P241" i="12"/>
  <c r="O241" i="12"/>
  <c r="O268" i="12" s="1"/>
  <c r="N241" i="12"/>
  <c r="M241" i="12"/>
  <c r="L241" i="12"/>
  <c r="K241" i="12"/>
  <c r="K268" i="12" s="1"/>
  <c r="J241" i="12"/>
  <c r="I241" i="12"/>
  <c r="H241" i="12"/>
  <c r="G241" i="12"/>
  <c r="G268" i="12" s="1"/>
  <c r="F241" i="12"/>
  <c r="E241" i="12"/>
  <c r="D241" i="12"/>
  <c r="CX240" i="12"/>
  <c r="CX267" i="12" s="1"/>
  <c r="CW240" i="12"/>
  <c r="CV240" i="12"/>
  <c r="CU240" i="12"/>
  <c r="CT240" i="12"/>
  <c r="CT267" i="12" s="1"/>
  <c r="CS240" i="12"/>
  <c r="CR240" i="12"/>
  <c r="CQ240" i="12"/>
  <c r="CP240" i="12"/>
  <c r="CP267" i="12" s="1"/>
  <c r="CO240" i="12"/>
  <c r="CN240" i="12"/>
  <c r="CM240" i="12"/>
  <c r="CL240" i="12"/>
  <c r="CL267" i="12" s="1"/>
  <c r="CK240" i="12"/>
  <c r="CJ240" i="12"/>
  <c r="CI240" i="12"/>
  <c r="CH240" i="12"/>
  <c r="CH267" i="12" s="1"/>
  <c r="CG240" i="12"/>
  <c r="CF240" i="12"/>
  <c r="CE240" i="12"/>
  <c r="CD240" i="12"/>
  <c r="CD267" i="12" s="1"/>
  <c r="CC240" i="12"/>
  <c r="CB240" i="12"/>
  <c r="CA240" i="12"/>
  <c r="BZ240" i="12"/>
  <c r="BZ267" i="12" s="1"/>
  <c r="BY240" i="12"/>
  <c r="BX240" i="12"/>
  <c r="BW240" i="12"/>
  <c r="BV240" i="12"/>
  <c r="BV267" i="12" s="1"/>
  <c r="BU240" i="12"/>
  <c r="BT240" i="12"/>
  <c r="BS240" i="12"/>
  <c r="BR240" i="12"/>
  <c r="BR267" i="12" s="1"/>
  <c r="BQ240" i="12"/>
  <c r="BP240" i="12"/>
  <c r="BO240" i="12"/>
  <c r="BN240" i="12"/>
  <c r="BN267" i="12" s="1"/>
  <c r="BM240" i="12"/>
  <c r="BL240" i="12"/>
  <c r="BK240" i="12"/>
  <c r="BJ240" i="12"/>
  <c r="BJ267" i="12" s="1"/>
  <c r="BI240" i="12"/>
  <c r="BH240" i="12"/>
  <c r="BG240" i="12"/>
  <c r="BF240" i="12"/>
  <c r="BF267" i="12" s="1"/>
  <c r="BE240" i="12"/>
  <c r="BD240" i="12"/>
  <c r="BC240" i="12"/>
  <c r="BB240" i="12"/>
  <c r="BB267" i="12" s="1"/>
  <c r="BA240" i="12"/>
  <c r="AZ240" i="12"/>
  <c r="AY240" i="12"/>
  <c r="AX240" i="12"/>
  <c r="AX267" i="12" s="1"/>
  <c r="AW240" i="12"/>
  <c r="AV240" i="12"/>
  <c r="AU240" i="12"/>
  <c r="AT240" i="12"/>
  <c r="AT267" i="12" s="1"/>
  <c r="AS240" i="12"/>
  <c r="AR240" i="12"/>
  <c r="AQ240" i="12"/>
  <c r="AP240" i="12"/>
  <c r="AP267" i="12" s="1"/>
  <c r="AO240" i="12"/>
  <c r="AN240" i="12"/>
  <c r="AM240" i="12"/>
  <c r="AL240" i="12"/>
  <c r="AL267" i="12" s="1"/>
  <c r="AK240" i="12"/>
  <c r="AJ240" i="12"/>
  <c r="AI240" i="12"/>
  <c r="AH240" i="12"/>
  <c r="AH267" i="12" s="1"/>
  <c r="AG240" i="12"/>
  <c r="AF240" i="12"/>
  <c r="AE240" i="12"/>
  <c r="AD240" i="12"/>
  <c r="AD267" i="12" s="1"/>
  <c r="AC240" i="12"/>
  <c r="AB240" i="12"/>
  <c r="AA240" i="12"/>
  <c r="Z240" i="12"/>
  <c r="Z267" i="12" s="1"/>
  <c r="Y240" i="12"/>
  <c r="X240" i="12"/>
  <c r="W240" i="12"/>
  <c r="V240" i="12"/>
  <c r="V267" i="12" s="1"/>
  <c r="U240" i="12"/>
  <c r="T240" i="12"/>
  <c r="S240" i="12"/>
  <c r="R240" i="12"/>
  <c r="R267" i="12" s="1"/>
  <c r="Q240" i="12"/>
  <c r="P240" i="12"/>
  <c r="O240" i="12"/>
  <c r="N240" i="12"/>
  <c r="N267" i="12" s="1"/>
  <c r="M240" i="12"/>
  <c r="L240" i="12"/>
  <c r="K240" i="12"/>
  <c r="J240" i="12"/>
  <c r="J267" i="12" s="1"/>
  <c r="I240" i="12"/>
  <c r="H240" i="12"/>
  <c r="G240" i="12"/>
  <c r="F240" i="12"/>
  <c r="F267" i="12" s="1"/>
  <c r="E240" i="12"/>
  <c r="D240" i="12"/>
  <c r="CX239" i="12"/>
  <c r="CW239" i="12"/>
  <c r="CW266" i="12" s="1"/>
  <c r="CV239" i="12"/>
  <c r="CU239" i="12"/>
  <c r="CT239" i="12"/>
  <c r="CS239" i="12"/>
  <c r="CS266" i="12" s="1"/>
  <c r="CR239" i="12"/>
  <c r="CQ239" i="12"/>
  <c r="CP239" i="12"/>
  <c r="CO239" i="12"/>
  <c r="CO266" i="12" s="1"/>
  <c r="CN239" i="12"/>
  <c r="CM239" i="12"/>
  <c r="CL239" i="12"/>
  <c r="CK239" i="12"/>
  <c r="CK266" i="12" s="1"/>
  <c r="CJ239" i="12"/>
  <c r="CI239" i="12"/>
  <c r="CH239" i="12"/>
  <c r="CG239" i="12"/>
  <c r="CG266" i="12" s="1"/>
  <c r="CF239" i="12"/>
  <c r="CE239" i="12"/>
  <c r="CD239" i="12"/>
  <c r="CC239" i="12"/>
  <c r="CC266" i="12" s="1"/>
  <c r="CB239" i="12"/>
  <c r="CA239" i="12"/>
  <c r="BZ239" i="12"/>
  <c r="BY239" i="12"/>
  <c r="BY266" i="12" s="1"/>
  <c r="BX239" i="12"/>
  <c r="BW239" i="12"/>
  <c r="BV239" i="12"/>
  <c r="BU239" i="12"/>
  <c r="BU266" i="12" s="1"/>
  <c r="BT239" i="12"/>
  <c r="BS239" i="12"/>
  <c r="BR239" i="12"/>
  <c r="BQ239" i="12"/>
  <c r="BQ266" i="12" s="1"/>
  <c r="BP239" i="12"/>
  <c r="BO239" i="12"/>
  <c r="BN239" i="12"/>
  <c r="BM239" i="12"/>
  <c r="BM266" i="12" s="1"/>
  <c r="BL239" i="12"/>
  <c r="BK239" i="12"/>
  <c r="BJ239" i="12"/>
  <c r="BI239" i="12"/>
  <c r="BI266" i="12" s="1"/>
  <c r="BH239" i="12"/>
  <c r="BG239" i="12"/>
  <c r="BF239" i="12"/>
  <c r="BE239" i="12"/>
  <c r="BE266" i="12" s="1"/>
  <c r="BD239" i="12"/>
  <c r="BC239" i="12"/>
  <c r="BB239" i="12"/>
  <c r="BA239" i="12"/>
  <c r="BA266" i="12" s="1"/>
  <c r="AZ239" i="12"/>
  <c r="AY239" i="12"/>
  <c r="AX239" i="12"/>
  <c r="AW239" i="12"/>
  <c r="AW266" i="12" s="1"/>
  <c r="AV239" i="12"/>
  <c r="AU239" i="12"/>
  <c r="AT239" i="12"/>
  <c r="AS239" i="12"/>
  <c r="AS266" i="12" s="1"/>
  <c r="AR239" i="12"/>
  <c r="AQ239" i="12"/>
  <c r="AP239" i="12"/>
  <c r="AO239" i="12"/>
  <c r="AO266" i="12" s="1"/>
  <c r="AN239" i="12"/>
  <c r="AM239" i="12"/>
  <c r="AL239" i="12"/>
  <c r="AK239" i="12"/>
  <c r="AK266" i="12" s="1"/>
  <c r="AJ239" i="12"/>
  <c r="AI239" i="12"/>
  <c r="AH239" i="12"/>
  <c r="AG239" i="12"/>
  <c r="AG266" i="12" s="1"/>
  <c r="AF239" i="12"/>
  <c r="AE239" i="12"/>
  <c r="AD239" i="12"/>
  <c r="AC239" i="12"/>
  <c r="AC266" i="12" s="1"/>
  <c r="AB239" i="12"/>
  <c r="AA239" i="12"/>
  <c r="Z239" i="12"/>
  <c r="Y239" i="12"/>
  <c r="Y266" i="12" s="1"/>
  <c r="X239" i="12"/>
  <c r="W239" i="12"/>
  <c r="V239" i="12"/>
  <c r="U239" i="12"/>
  <c r="U266" i="12" s="1"/>
  <c r="T239" i="12"/>
  <c r="S239" i="12"/>
  <c r="R239" i="12"/>
  <c r="Q239" i="12"/>
  <c r="Q266" i="12" s="1"/>
  <c r="P239" i="12"/>
  <c r="O239" i="12"/>
  <c r="N239" i="12"/>
  <c r="M239" i="12"/>
  <c r="M266" i="12" s="1"/>
  <c r="L239" i="12"/>
  <c r="K239" i="12"/>
  <c r="J239" i="12"/>
  <c r="I239" i="12"/>
  <c r="I266" i="12" s="1"/>
  <c r="H239" i="12"/>
  <c r="G239" i="12"/>
  <c r="F239" i="12"/>
  <c r="E239" i="12"/>
  <c r="E266" i="12" s="1"/>
  <c r="D239" i="12"/>
  <c r="CX238" i="12"/>
  <c r="CW238" i="12"/>
  <c r="CV238" i="12"/>
  <c r="CV265" i="12" s="1"/>
  <c r="CU238" i="12"/>
  <c r="CT238" i="12"/>
  <c r="CS238" i="12"/>
  <c r="CR238" i="12"/>
  <c r="CR265" i="12" s="1"/>
  <c r="CQ238" i="12"/>
  <c r="CP238" i="12"/>
  <c r="CO238" i="12"/>
  <c r="CN238" i="12"/>
  <c r="CN265" i="12" s="1"/>
  <c r="CM238" i="12"/>
  <c r="CL238" i="12"/>
  <c r="CK238" i="12"/>
  <c r="CJ238" i="12"/>
  <c r="CJ265" i="12" s="1"/>
  <c r="CI238" i="12"/>
  <c r="CH238" i="12"/>
  <c r="CG238" i="12"/>
  <c r="CF238" i="12"/>
  <c r="CF265" i="12" s="1"/>
  <c r="CE238" i="12"/>
  <c r="CD238" i="12"/>
  <c r="CC238" i="12"/>
  <c r="CB238" i="12"/>
  <c r="CB265" i="12" s="1"/>
  <c r="CA238" i="12"/>
  <c r="BZ238" i="12"/>
  <c r="BY238" i="12"/>
  <c r="BX238" i="12"/>
  <c r="BX265" i="12" s="1"/>
  <c r="BW238" i="12"/>
  <c r="BV238" i="12"/>
  <c r="BU238" i="12"/>
  <c r="BT238" i="12"/>
  <c r="BT265" i="12" s="1"/>
  <c r="BS238" i="12"/>
  <c r="BR238" i="12"/>
  <c r="BQ238" i="12"/>
  <c r="BP238" i="12"/>
  <c r="BP265" i="12" s="1"/>
  <c r="BO238" i="12"/>
  <c r="BN238" i="12"/>
  <c r="BM238" i="12"/>
  <c r="BL238" i="12"/>
  <c r="BL265" i="12" s="1"/>
  <c r="BK238" i="12"/>
  <c r="BJ238" i="12"/>
  <c r="BI238" i="12"/>
  <c r="BH238" i="12"/>
  <c r="BH265" i="12" s="1"/>
  <c r="BG238" i="12"/>
  <c r="BF238" i="12"/>
  <c r="BE238" i="12"/>
  <c r="BD238" i="12"/>
  <c r="BD265" i="12" s="1"/>
  <c r="BC238" i="12"/>
  <c r="BB238" i="12"/>
  <c r="BA238" i="12"/>
  <c r="AZ238" i="12"/>
  <c r="AZ265" i="12" s="1"/>
  <c r="AY238" i="12"/>
  <c r="AX238" i="12"/>
  <c r="AW238" i="12"/>
  <c r="AV238" i="12"/>
  <c r="AV265" i="12" s="1"/>
  <c r="AU238" i="12"/>
  <c r="AT238" i="12"/>
  <c r="AS238" i="12"/>
  <c r="AR238" i="12"/>
  <c r="AR265" i="12" s="1"/>
  <c r="AQ238" i="12"/>
  <c r="AP238" i="12"/>
  <c r="AO238" i="12"/>
  <c r="AN238" i="12"/>
  <c r="AM238" i="12"/>
  <c r="AL238" i="12"/>
  <c r="AK238" i="12"/>
  <c r="AJ238" i="12"/>
  <c r="AJ265" i="12" s="1"/>
  <c r="AI238" i="12"/>
  <c r="AH238" i="12"/>
  <c r="AG238" i="12"/>
  <c r="AF238" i="12"/>
  <c r="AF265" i="12" s="1"/>
  <c r="AE238" i="12"/>
  <c r="AD238" i="12"/>
  <c r="AC238" i="12"/>
  <c r="AB238" i="12"/>
  <c r="AB265" i="12" s="1"/>
  <c r="AA238" i="12"/>
  <c r="Z238" i="12"/>
  <c r="Y238" i="12"/>
  <c r="X238" i="12"/>
  <c r="X265" i="12" s="1"/>
  <c r="W238" i="12"/>
  <c r="V238" i="12"/>
  <c r="U238" i="12"/>
  <c r="T238" i="12"/>
  <c r="T265" i="12" s="1"/>
  <c r="S238" i="12"/>
  <c r="R238" i="12"/>
  <c r="Q238" i="12"/>
  <c r="P238" i="12"/>
  <c r="P265" i="12" s="1"/>
  <c r="O238" i="12"/>
  <c r="N238" i="12"/>
  <c r="M238" i="12"/>
  <c r="L238" i="12"/>
  <c r="L265" i="12" s="1"/>
  <c r="K238" i="12"/>
  <c r="J238" i="12"/>
  <c r="I238" i="12"/>
  <c r="H238" i="12"/>
  <c r="H265" i="12" s="1"/>
  <c r="G238" i="12"/>
  <c r="F238" i="12"/>
  <c r="E238" i="12"/>
  <c r="D238" i="12"/>
  <c r="CX237" i="12"/>
  <c r="CW237" i="12"/>
  <c r="CV237" i="12"/>
  <c r="CU237" i="12"/>
  <c r="CU264" i="12" s="1"/>
  <c r="CT237" i="12"/>
  <c r="CS237" i="12"/>
  <c r="CR237" i="12"/>
  <c r="CQ237" i="12"/>
  <c r="CQ264" i="12" s="1"/>
  <c r="CP237" i="12"/>
  <c r="CO237" i="12"/>
  <c r="CN237" i="12"/>
  <c r="CM237" i="12"/>
  <c r="CM264" i="12" s="1"/>
  <c r="CL237" i="12"/>
  <c r="CK237" i="12"/>
  <c r="CJ237" i="12"/>
  <c r="CI237" i="12"/>
  <c r="CI264" i="12" s="1"/>
  <c r="CH237" i="12"/>
  <c r="CG237" i="12"/>
  <c r="CF237" i="12"/>
  <c r="CE237" i="12"/>
  <c r="CE264" i="12" s="1"/>
  <c r="CD237" i="12"/>
  <c r="CC237" i="12"/>
  <c r="CB237" i="12"/>
  <c r="CA237" i="12"/>
  <c r="CA264" i="12" s="1"/>
  <c r="BZ237" i="12"/>
  <c r="BY237" i="12"/>
  <c r="BX237" i="12"/>
  <c r="BW237" i="12"/>
  <c r="BW264" i="12" s="1"/>
  <c r="BV237" i="12"/>
  <c r="BU237" i="12"/>
  <c r="BT237" i="12"/>
  <c r="BS237" i="12"/>
  <c r="BR237" i="12"/>
  <c r="BQ237" i="12"/>
  <c r="BP237" i="12"/>
  <c r="BO237" i="12"/>
  <c r="BO264" i="12" s="1"/>
  <c r="BN237" i="12"/>
  <c r="BM237" i="12"/>
  <c r="BL237" i="12"/>
  <c r="BK237" i="12"/>
  <c r="BK264" i="12" s="1"/>
  <c r="BJ237" i="12"/>
  <c r="BI237" i="12"/>
  <c r="BH237" i="12"/>
  <c r="BG237" i="12"/>
  <c r="BG264" i="12" s="1"/>
  <c r="BF237" i="12"/>
  <c r="BE237" i="12"/>
  <c r="BD237" i="12"/>
  <c r="BC237" i="12"/>
  <c r="BC264" i="12" s="1"/>
  <c r="BB237" i="12"/>
  <c r="BA237" i="12"/>
  <c r="AZ237" i="12"/>
  <c r="AY237" i="12"/>
  <c r="AY264" i="12" s="1"/>
  <c r="AX237" i="12"/>
  <c r="AW237" i="12"/>
  <c r="AV237" i="12"/>
  <c r="AU237" i="12"/>
  <c r="AU264" i="12" s="1"/>
  <c r="AT237" i="12"/>
  <c r="AS237" i="12"/>
  <c r="AR237" i="12"/>
  <c r="AQ237" i="12"/>
  <c r="AQ264" i="12" s="1"/>
  <c r="AP237" i="12"/>
  <c r="AO237" i="12"/>
  <c r="AN237" i="12"/>
  <c r="AM237" i="12"/>
  <c r="AL237" i="12"/>
  <c r="AK237" i="12"/>
  <c r="AJ237" i="12"/>
  <c r="AI237" i="12"/>
  <c r="AI264" i="12" s="1"/>
  <c r="AH237" i="12"/>
  <c r="AG237" i="12"/>
  <c r="AF237" i="12"/>
  <c r="AE237" i="12"/>
  <c r="AE264" i="12" s="1"/>
  <c r="AD237" i="12"/>
  <c r="AC237" i="12"/>
  <c r="AB237" i="12"/>
  <c r="AA237" i="12"/>
  <c r="AA264" i="12" s="1"/>
  <c r="Z237" i="12"/>
  <c r="Y237" i="12"/>
  <c r="X237" i="12"/>
  <c r="W237" i="12"/>
  <c r="W264" i="12" s="1"/>
  <c r="V237" i="12"/>
  <c r="U237" i="12"/>
  <c r="T237" i="12"/>
  <c r="S237" i="12"/>
  <c r="S264" i="12" s="1"/>
  <c r="R237" i="12"/>
  <c r="Q237" i="12"/>
  <c r="P237" i="12"/>
  <c r="O237" i="12"/>
  <c r="O264" i="12" s="1"/>
  <c r="N237" i="12"/>
  <c r="M237" i="12"/>
  <c r="L237" i="12"/>
  <c r="K237" i="12"/>
  <c r="K264" i="12" s="1"/>
  <c r="J237" i="12"/>
  <c r="I237" i="12"/>
  <c r="H237" i="12"/>
  <c r="G237" i="12"/>
  <c r="F237" i="12"/>
  <c r="E237" i="12"/>
  <c r="D237" i="12"/>
  <c r="CX236" i="12"/>
  <c r="CX263" i="12" s="1"/>
  <c r="CW236" i="12"/>
  <c r="CV236" i="12"/>
  <c r="CU236" i="12"/>
  <c r="CT236" i="12"/>
  <c r="CT263" i="12" s="1"/>
  <c r="CS236" i="12"/>
  <c r="CR236" i="12"/>
  <c r="CQ236" i="12"/>
  <c r="CP236" i="12"/>
  <c r="CP263" i="12" s="1"/>
  <c r="CO236" i="12"/>
  <c r="CN236" i="12"/>
  <c r="CM236" i="12"/>
  <c r="CL236" i="12"/>
  <c r="CL263" i="12" s="1"/>
  <c r="CK236" i="12"/>
  <c r="CJ236" i="12"/>
  <c r="CI236" i="12"/>
  <c r="CH236" i="12"/>
  <c r="CH263" i="12" s="1"/>
  <c r="CG236" i="12"/>
  <c r="CF236" i="12"/>
  <c r="CE236" i="12"/>
  <c r="CD236" i="12"/>
  <c r="CD263" i="12" s="1"/>
  <c r="CC236" i="12"/>
  <c r="CB236" i="12"/>
  <c r="CA236" i="12"/>
  <c r="BZ236" i="12"/>
  <c r="BZ263" i="12" s="1"/>
  <c r="BY236" i="12"/>
  <c r="BX236" i="12"/>
  <c r="BW236" i="12"/>
  <c r="BV236" i="12"/>
  <c r="BV263" i="12" s="1"/>
  <c r="BU236" i="12"/>
  <c r="BT236" i="12"/>
  <c r="BS236" i="12"/>
  <c r="BR236" i="12"/>
  <c r="BR263" i="12" s="1"/>
  <c r="BQ236" i="12"/>
  <c r="BP236" i="12"/>
  <c r="BO236" i="12"/>
  <c r="BN236" i="12"/>
  <c r="BN263" i="12" s="1"/>
  <c r="BM236" i="12"/>
  <c r="BL236" i="12"/>
  <c r="BK236" i="12"/>
  <c r="BJ236" i="12"/>
  <c r="BJ263" i="12" s="1"/>
  <c r="BI236" i="12"/>
  <c r="BH236" i="12"/>
  <c r="BG236" i="12"/>
  <c r="BF236" i="12"/>
  <c r="BF263" i="12" s="1"/>
  <c r="BE236" i="12"/>
  <c r="BD236" i="12"/>
  <c r="BC236" i="12"/>
  <c r="BB236" i="12"/>
  <c r="BB263" i="12" s="1"/>
  <c r="BA236" i="12"/>
  <c r="AZ236" i="12"/>
  <c r="AY236" i="12"/>
  <c r="AX236" i="12"/>
  <c r="AX263" i="12" s="1"/>
  <c r="AW236" i="12"/>
  <c r="AV236" i="12"/>
  <c r="AU236" i="12"/>
  <c r="AT236" i="12"/>
  <c r="AT263" i="12" s="1"/>
  <c r="AS236" i="12"/>
  <c r="AR236" i="12"/>
  <c r="AQ236" i="12"/>
  <c r="AP236" i="12"/>
  <c r="AP263" i="12" s="1"/>
  <c r="AO236" i="12"/>
  <c r="AN236" i="12"/>
  <c r="AM236" i="12"/>
  <c r="AL236" i="12"/>
  <c r="AL263" i="12" s="1"/>
  <c r="AK236" i="12"/>
  <c r="AJ236" i="12"/>
  <c r="AI236" i="12"/>
  <c r="AH236" i="12"/>
  <c r="AH263" i="12" s="1"/>
  <c r="AG236" i="12"/>
  <c r="AF236" i="12"/>
  <c r="AE236" i="12"/>
  <c r="AD236" i="12"/>
  <c r="AD263" i="12" s="1"/>
  <c r="AC236" i="12"/>
  <c r="AB236" i="12"/>
  <c r="AA236" i="12"/>
  <c r="Z236" i="12"/>
  <c r="Z263" i="12" s="1"/>
  <c r="Y236" i="12"/>
  <c r="X236" i="12"/>
  <c r="W236" i="12"/>
  <c r="V236" i="12"/>
  <c r="V263" i="12" s="1"/>
  <c r="U236" i="12"/>
  <c r="T236" i="12"/>
  <c r="S236" i="12"/>
  <c r="R236" i="12"/>
  <c r="R263" i="12" s="1"/>
  <c r="Q236" i="12"/>
  <c r="P236" i="12"/>
  <c r="O236" i="12"/>
  <c r="N236" i="12"/>
  <c r="N263" i="12" s="1"/>
  <c r="M236" i="12"/>
  <c r="L236" i="12"/>
  <c r="K236" i="12"/>
  <c r="J236" i="12"/>
  <c r="J263" i="12" s="1"/>
  <c r="I236" i="12"/>
  <c r="H236" i="12"/>
  <c r="G236" i="12"/>
  <c r="F236" i="12"/>
  <c r="F263" i="12" s="1"/>
  <c r="E236" i="12"/>
  <c r="D236" i="12"/>
  <c r="CX235" i="12"/>
  <c r="CW235" i="12"/>
  <c r="CW262" i="12" s="1"/>
  <c r="CV235" i="12"/>
  <c r="CU235" i="12"/>
  <c r="CT235" i="12"/>
  <c r="CS235" i="12"/>
  <c r="CS262" i="12" s="1"/>
  <c r="CR235" i="12"/>
  <c r="CQ235" i="12"/>
  <c r="CP235" i="12"/>
  <c r="CO235" i="12"/>
  <c r="CO262" i="12" s="1"/>
  <c r="CN235" i="12"/>
  <c r="CM235" i="12"/>
  <c r="CL235" i="12"/>
  <c r="CK235" i="12"/>
  <c r="CK262" i="12" s="1"/>
  <c r="CJ235" i="12"/>
  <c r="CI235" i="12"/>
  <c r="CH235" i="12"/>
  <c r="CG235" i="12"/>
  <c r="CG262" i="12" s="1"/>
  <c r="CF235" i="12"/>
  <c r="CE235" i="12"/>
  <c r="CD235" i="12"/>
  <c r="CC235" i="12"/>
  <c r="CC262" i="12" s="1"/>
  <c r="CB235" i="12"/>
  <c r="CA235" i="12"/>
  <c r="BZ235" i="12"/>
  <c r="BY235" i="12"/>
  <c r="BY262" i="12" s="1"/>
  <c r="BX235" i="12"/>
  <c r="BW235" i="12"/>
  <c r="BV235" i="12"/>
  <c r="BU235" i="12"/>
  <c r="BU262" i="12" s="1"/>
  <c r="BT235" i="12"/>
  <c r="BS235" i="12"/>
  <c r="BR235" i="12"/>
  <c r="BQ235" i="12"/>
  <c r="BQ262" i="12" s="1"/>
  <c r="BP235" i="12"/>
  <c r="BO235" i="12"/>
  <c r="BN235" i="12"/>
  <c r="BM235" i="12"/>
  <c r="BM262" i="12" s="1"/>
  <c r="BL235" i="12"/>
  <c r="BK235" i="12"/>
  <c r="BJ235" i="12"/>
  <c r="BI235" i="12"/>
  <c r="BI262" i="12" s="1"/>
  <c r="BH235" i="12"/>
  <c r="BG235" i="12"/>
  <c r="BF235" i="12"/>
  <c r="BE235" i="12"/>
  <c r="BE262" i="12" s="1"/>
  <c r="BD235" i="12"/>
  <c r="BC235" i="12"/>
  <c r="BB235" i="12"/>
  <c r="BA235" i="12"/>
  <c r="BA262" i="12" s="1"/>
  <c r="AZ235" i="12"/>
  <c r="AY235" i="12"/>
  <c r="AX235" i="12"/>
  <c r="AW235" i="12"/>
  <c r="AW262" i="12" s="1"/>
  <c r="AV235" i="12"/>
  <c r="AU235" i="12"/>
  <c r="AT235" i="12"/>
  <c r="AS235" i="12"/>
  <c r="AS262" i="12" s="1"/>
  <c r="AR235" i="12"/>
  <c r="AQ235" i="12"/>
  <c r="AP235" i="12"/>
  <c r="AO235" i="12"/>
  <c r="AO262" i="12" s="1"/>
  <c r="AN235" i="12"/>
  <c r="AM235" i="12"/>
  <c r="AL235" i="12"/>
  <c r="AK235" i="12"/>
  <c r="AK262" i="12" s="1"/>
  <c r="AJ235" i="12"/>
  <c r="AI235" i="12"/>
  <c r="AH235" i="12"/>
  <c r="AG235" i="12"/>
  <c r="AG262" i="12" s="1"/>
  <c r="AF235" i="12"/>
  <c r="AE235" i="12"/>
  <c r="AD235" i="12"/>
  <c r="AC235" i="12"/>
  <c r="AC262" i="12" s="1"/>
  <c r="AB235" i="12"/>
  <c r="AA235" i="12"/>
  <c r="Z235" i="12"/>
  <c r="Y235" i="12"/>
  <c r="Y262" i="12" s="1"/>
  <c r="X235" i="12"/>
  <c r="W235" i="12"/>
  <c r="V235" i="12"/>
  <c r="U235" i="12"/>
  <c r="U262" i="12" s="1"/>
  <c r="T235" i="12"/>
  <c r="S235" i="12"/>
  <c r="R235" i="12"/>
  <c r="Q235" i="12"/>
  <c r="Q262" i="12" s="1"/>
  <c r="P235" i="12"/>
  <c r="O235" i="12"/>
  <c r="N235" i="12"/>
  <c r="M235" i="12"/>
  <c r="M262" i="12" s="1"/>
  <c r="L235" i="12"/>
  <c r="K235" i="12"/>
  <c r="J235" i="12"/>
  <c r="I235" i="12"/>
  <c r="I262" i="12" s="1"/>
  <c r="H235" i="12"/>
  <c r="G235" i="12"/>
  <c r="F235" i="12"/>
  <c r="E235" i="12"/>
  <c r="E262" i="12" s="1"/>
  <c r="D235" i="12"/>
  <c r="CX234" i="12"/>
  <c r="CW234" i="12"/>
  <c r="CV234" i="12"/>
  <c r="CV261" i="12" s="1"/>
  <c r="CU234" i="12"/>
  <c r="CT234" i="12"/>
  <c r="CS234" i="12"/>
  <c r="CR234" i="12"/>
  <c r="CR261" i="12" s="1"/>
  <c r="CQ234" i="12"/>
  <c r="CP234" i="12"/>
  <c r="CO234" i="12"/>
  <c r="CN234" i="12"/>
  <c r="CN261" i="12" s="1"/>
  <c r="CM234" i="12"/>
  <c r="CL234" i="12"/>
  <c r="CK234" i="12"/>
  <c r="CJ234" i="12"/>
  <c r="CJ261" i="12" s="1"/>
  <c r="CI234" i="12"/>
  <c r="CH234" i="12"/>
  <c r="CG234" i="12"/>
  <c r="CF234" i="12"/>
  <c r="CF261" i="12" s="1"/>
  <c r="CE234" i="12"/>
  <c r="CD234" i="12"/>
  <c r="CC234" i="12"/>
  <c r="CB234" i="12"/>
  <c r="CA234" i="12"/>
  <c r="BZ234" i="12"/>
  <c r="BY234" i="12"/>
  <c r="BX234" i="12"/>
  <c r="BX261" i="12" s="1"/>
  <c r="BW234" i="12"/>
  <c r="BV234" i="12"/>
  <c r="BU234" i="12"/>
  <c r="BT234" i="12"/>
  <c r="BT261" i="12" s="1"/>
  <c r="BS234" i="12"/>
  <c r="BR234" i="12"/>
  <c r="BQ234" i="12"/>
  <c r="BP234" i="12"/>
  <c r="BP261" i="12" s="1"/>
  <c r="BO234" i="12"/>
  <c r="BN234" i="12"/>
  <c r="BM234" i="12"/>
  <c r="BL234" i="12"/>
  <c r="BL261" i="12" s="1"/>
  <c r="BK234" i="12"/>
  <c r="BJ234" i="12"/>
  <c r="BI234" i="12"/>
  <c r="BH234" i="12"/>
  <c r="BH261" i="12" s="1"/>
  <c r="BG234" i="12"/>
  <c r="BF234" i="12"/>
  <c r="BE234" i="12"/>
  <c r="BD234" i="12"/>
  <c r="BD261" i="12" s="1"/>
  <c r="BC234" i="12"/>
  <c r="BB234" i="12"/>
  <c r="BA234" i="12"/>
  <c r="AZ234" i="12"/>
  <c r="AZ261" i="12" s="1"/>
  <c r="AY234" i="12"/>
  <c r="AX234" i="12"/>
  <c r="AW234" i="12"/>
  <c r="AV234" i="12"/>
  <c r="AV261" i="12" s="1"/>
  <c r="AU234" i="12"/>
  <c r="AT234" i="12"/>
  <c r="AS234" i="12"/>
  <c r="AR234" i="12"/>
  <c r="AR261" i="12" s="1"/>
  <c r="AQ234" i="12"/>
  <c r="AP234" i="12"/>
  <c r="AO234" i="12"/>
  <c r="AN234" i="12"/>
  <c r="AN261" i="12" s="1"/>
  <c r="AM234" i="12"/>
  <c r="AL234" i="12"/>
  <c r="AK234" i="12"/>
  <c r="AJ234" i="12"/>
  <c r="AJ261" i="12" s="1"/>
  <c r="AI234" i="12"/>
  <c r="AH234" i="12"/>
  <c r="AG234" i="12"/>
  <c r="AF234" i="12"/>
  <c r="AF261" i="12" s="1"/>
  <c r="AE234" i="12"/>
  <c r="AD234" i="12"/>
  <c r="AC234" i="12"/>
  <c r="AB234" i="12"/>
  <c r="AB261" i="12" s="1"/>
  <c r="AA234" i="12"/>
  <c r="Z234" i="12"/>
  <c r="Y234" i="12"/>
  <c r="X234" i="12"/>
  <c r="X261" i="12" s="1"/>
  <c r="W234" i="12"/>
  <c r="V234" i="12"/>
  <c r="U234" i="12"/>
  <c r="T234" i="12"/>
  <c r="T261" i="12" s="1"/>
  <c r="S234" i="12"/>
  <c r="R234" i="12"/>
  <c r="Q234" i="12"/>
  <c r="P234" i="12"/>
  <c r="P261" i="12" s="1"/>
  <c r="O234" i="12"/>
  <c r="N234" i="12"/>
  <c r="M234" i="12"/>
  <c r="L234" i="12"/>
  <c r="L261" i="12" s="1"/>
  <c r="K234" i="12"/>
  <c r="J234" i="12"/>
  <c r="I234" i="12"/>
  <c r="H234" i="12"/>
  <c r="H261" i="12" s="1"/>
  <c r="G234" i="12"/>
  <c r="F234" i="12"/>
  <c r="E234" i="12"/>
  <c r="D234" i="12"/>
  <c r="CX233" i="12"/>
  <c r="CW233" i="12"/>
  <c r="CV233" i="12"/>
  <c r="CU233" i="12"/>
  <c r="CU260" i="12" s="1"/>
  <c r="CT233" i="12"/>
  <c r="CS233" i="12"/>
  <c r="CR233" i="12"/>
  <c r="CQ233" i="12"/>
  <c r="CQ260" i="12" s="1"/>
  <c r="CP233" i="12"/>
  <c r="CO233" i="12"/>
  <c r="CN233" i="12"/>
  <c r="CM233" i="12"/>
  <c r="CM260" i="12" s="1"/>
  <c r="CL233" i="12"/>
  <c r="CK233" i="12"/>
  <c r="CJ233" i="12"/>
  <c r="CI233" i="12"/>
  <c r="CI260" i="12" s="1"/>
  <c r="CH233" i="12"/>
  <c r="CG233" i="12"/>
  <c r="CF233" i="12"/>
  <c r="CE233" i="12"/>
  <c r="CE260" i="12" s="1"/>
  <c r="CD233" i="12"/>
  <c r="CC233" i="12"/>
  <c r="CB233" i="12"/>
  <c r="CA233" i="12"/>
  <c r="CA260" i="12" s="1"/>
  <c r="BZ233" i="12"/>
  <c r="BY233" i="12"/>
  <c r="BX233" i="12"/>
  <c r="BW233" i="12"/>
  <c r="BV233" i="12"/>
  <c r="BU233" i="12"/>
  <c r="BT233" i="12"/>
  <c r="BS233" i="12"/>
  <c r="BS260" i="12" s="1"/>
  <c r="BR233" i="12"/>
  <c r="BQ233" i="12"/>
  <c r="BP233" i="12"/>
  <c r="BO233" i="12"/>
  <c r="BO260" i="12" s="1"/>
  <c r="BN233" i="12"/>
  <c r="BM233" i="12"/>
  <c r="BL233" i="12"/>
  <c r="BK233" i="12"/>
  <c r="BK260" i="12" s="1"/>
  <c r="BJ233" i="12"/>
  <c r="BI233" i="12"/>
  <c r="BH233" i="12"/>
  <c r="BG233" i="12"/>
  <c r="BG260" i="12" s="1"/>
  <c r="BF233" i="12"/>
  <c r="BE233" i="12"/>
  <c r="BD233" i="12"/>
  <c r="BC233" i="12"/>
  <c r="BC260" i="12" s="1"/>
  <c r="BB233" i="12"/>
  <c r="BA233" i="12"/>
  <c r="AZ233" i="12"/>
  <c r="AY233" i="12"/>
  <c r="AY260" i="12" s="1"/>
  <c r="AX233" i="12"/>
  <c r="AW233" i="12"/>
  <c r="AV233" i="12"/>
  <c r="AU233" i="12"/>
  <c r="AU260" i="12" s="1"/>
  <c r="AT233" i="12"/>
  <c r="AS233" i="12"/>
  <c r="AR233" i="12"/>
  <c r="AQ233" i="12"/>
  <c r="AQ260" i="12" s="1"/>
  <c r="AP233" i="12"/>
  <c r="AO233" i="12"/>
  <c r="AN233" i="12"/>
  <c r="AM233" i="12"/>
  <c r="AM260" i="12" s="1"/>
  <c r="AL233" i="12"/>
  <c r="AK233" i="12"/>
  <c r="AJ233" i="12"/>
  <c r="AI233" i="12"/>
  <c r="AI260" i="12" s="1"/>
  <c r="AH233" i="12"/>
  <c r="AG233" i="12"/>
  <c r="AF233" i="12"/>
  <c r="AE233" i="12"/>
  <c r="AE260" i="12" s="1"/>
  <c r="AD233" i="12"/>
  <c r="AC233" i="12"/>
  <c r="AB233" i="12"/>
  <c r="AA233" i="12"/>
  <c r="Z233" i="12"/>
  <c r="Y233" i="12"/>
  <c r="X233" i="12"/>
  <c r="W233" i="12"/>
  <c r="W260" i="12" s="1"/>
  <c r="V233" i="12"/>
  <c r="U233" i="12"/>
  <c r="T233" i="12"/>
  <c r="S233" i="12"/>
  <c r="S260" i="12" s="1"/>
  <c r="R233" i="12"/>
  <c r="Q233" i="12"/>
  <c r="P233" i="12"/>
  <c r="O233" i="12"/>
  <c r="O260" i="12" s="1"/>
  <c r="N233" i="12"/>
  <c r="M233" i="12"/>
  <c r="L233" i="12"/>
  <c r="K233" i="12"/>
  <c r="K260" i="12" s="1"/>
  <c r="J233" i="12"/>
  <c r="I233" i="12"/>
  <c r="H233" i="12"/>
  <c r="G233" i="12"/>
  <c r="G260" i="12" s="1"/>
  <c r="F233" i="12"/>
  <c r="E233" i="12"/>
  <c r="D233" i="12"/>
  <c r="CX232" i="12"/>
  <c r="CX259" i="12" s="1"/>
  <c r="CW232" i="12"/>
  <c r="CV232" i="12"/>
  <c r="CU232" i="12"/>
  <c r="CT232" i="12"/>
  <c r="CT259" i="12" s="1"/>
  <c r="CS232" i="12"/>
  <c r="CR232" i="12"/>
  <c r="CQ232" i="12"/>
  <c r="CP232" i="12"/>
  <c r="CP259" i="12" s="1"/>
  <c r="CO232" i="12"/>
  <c r="CN232" i="12"/>
  <c r="CM232" i="12"/>
  <c r="CL232" i="12"/>
  <c r="CL259" i="12" s="1"/>
  <c r="CK232" i="12"/>
  <c r="CJ232" i="12"/>
  <c r="CI232" i="12"/>
  <c r="CH232" i="12"/>
  <c r="CH259" i="12" s="1"/>
  <c r="CG232" i="12"/>
  <c r="CF232" i="12"/>
  <c r="CE232" i="12"/>
  <c r="CD232" i="12"/>
  <c r="CD259" i="12" s="1"/>
  <c r="CC232" i="12"/>
  <c r="CB232" i="12"/>
  <c r="CA232" i="12"/>
  <c r="BZ232" i="12"/>
  <c r="BZ259" i="12" s="1"/>
  <c r="BY232" i="12"/>
  <c r="BX232" i="12"/>
  <c r="BW232" i="12"/>
  <c r="BV232" i="12"/>
  <c r="BV259" i="12" s="1"/>
  <c r="BU232" i="12"/>
  <c r="BT232" i="12"/>
  <c r="BS232" i="12"/>
  <c r="BR232" i="12"/>
  <c r="BR259" i="12" s="1"/>
  <c r="BQ232" i="12"/>
  <c r="BP232" i="12"/>
  <c r="BO232" i="12"/>
  <c r="BN232" i="12"/>
  <c r="BN259" i="12" s="1"/>
  <c r="BM232" i="12"/>
  <c r="BL232" i="12"/>
  <c r="BK232" i="12"/>
  <c r="BJ232" i="12"/>
  <c r="BJ259" i="12" s="1"/>
  <c r="BI232" i="12"/>
  <c r="BH232" i="12"/>
  <c r="BG232" i="12"/>
  <c r="BF232" i="12"/>
  <c r="BF259" i="12" s="1"/>
  <c r="BE232" i="12"/>
  <c r="BD232" i="12"/>
  <c r="BC232" i="12"/>
  <c r="BB232" i="12"/>
  <c r="BB259" i="12" s="1"/>
  <c r="BA232" i="12"/>
  <c r="AZ232" i="12"/>
  <c r="AY232" i="12"/>
  <c r="AX232" i="12"/>
  <c r="AX259" i="12" s="1"/>
  <c r="AW232" i="12"/>
  <c r="AV232" i="12"/>
  <c r="AU232" i="12"/>
  <c r="AT232" i="12"/>
  <c r="AT259" i="12" s="1"/>
  <c r="AS232" i="12"/>
  <c r="AR232" i="12"/>
  <c r="AQ232" i="12"/>
  <c r="AP232" i="12"/>
  <c r="AP259" i="12" s="1"/>
  <c r="AO232" i="12"/>
  <c r="AN232" i="12"/>
  <c r="AM232" i="12"/>
  <c r="AL232" i="12"/>
  <c r="AL259" i="12" s="1"/>
  <c r="AK232" i="12"/>
  <c r="AJ232" i="12"/>
  <c r="AI232" i="12"/>
  <c r="AH232" i="12"/>
  <c r="AH259" i="12" s="1"/>
  <c r="AG232" i="12"/>
  <c r="AF232" i="12"/>
  <c r="AE232" i="12"/>
  <c r="AD232" i="12"/>
  <c r="AD259" i="12" s="1"/>
  <c r="AC232" i="12"/>
  <c r="AB232" i="12"/>
  <c r="AA232" i="12"/>
  <c r="Z232" i="12"/>
  <c r="Z259" i="12" s="1"/>
  <c r="Y232" i="12"/>
  <c r="X232" i="12"/>
  <c r="W232" i="12"/>
  <c r="V232" i="12"/>
  <c r="V259" i="12" s="1"/>
  <c r="U232" i="12"/>
  <c r="T232" i="12"/>
  <c r="S232" i="12"/>
  <c r="R232" i="12"/>
  <c r="R259" i="12" s="1"/>
  <c r="Q232" i="12"/>
  <c r="P232" i="12"/>
  <c r="O232" i="12"/>
  <c r="N232" i="12"/>
  <c r="N259" i="12" s="1"/>
  <c r="M232" i="12"/>
  <c r="L232" i="12"/>
  <c r="K232" i="12"/>
  <c r="J232" i="12"/>
  <c r="J259" i="12" s="1"/>
  <c r="I232" i="12"/>
  <c r="H232" i="12"/>
  <c r="G232" i="12"/>
  <c r="F232" i="12"/>
  <c r="E232" i="12"/>
  <c r="D232" i="12"/>
  <c r="CX231" i="12"/>
  <c r="CW231" i="12"/>
  <c r="CW258" i="12" s="1"/>
  <c r="CV231" i="12"/>
  <c r="CU231" i="12"/>
  <c r="CT231" i="12"/>
  <c r="CS231" i="12"/>
  <c r="CS258" i="12" s="1"/>
  <c r="CR231" i="12"/>
  <c r="CQ231" i="12"/>
  <c r="CP231" i="12"/>
  <c r="CO231" i="12"/>
  <c r="CO258" i="12" s="1"/>
  <c r="CN231" i="12"/>
  <c r="CM231" i="12"/>
  <c r="CL231" i="12"/>
  <c r="CK231" i="12"/>
  <c r="CK258" i="12" s="1"/>
  <c r="CJ231" i="12"/>
  <c r="CI231" i="12"/>
  <c r="CH231" i="12"/>
  <c r="CG231" i="12"/>
  <c r="CG258" i="12" s="1"/>
  <c r="CF231" i="12"/>
  <c r="CE231" i="12"/>
  <c r="CD231" i="12"/>
  <c r="CC231" i="12"/>
  <c r="CC258" i="12" s="1"/>
  <c r="CB231" i="12"/>
  <c r="CA231" i="12"/>
  <c r="BZ231" i="12"/>
  <c r="BY231" i="12"/>
  <c r="BY258" i="12" s="1"/>
  <c r="BX231" i="12"/>
  <c r="BW231" i="12"/>
  <c r="BV231" i="12"/>
  <c r="BU231" i="12"/>
  <c r="BU258" i="12" s="1"/>
  <c r="BT231" i="12"/>
  <c r="BS231" i="12"/>
  <c r="BR231" i="12"/>
  <c r="BQ231" i="12"/>
  <c r="BQ258" i="12" s="1"/>
  <c r="BP231" i="12"/>
  <c r="BO231" i="12"/>
  <c r="BN231" i="12"/>
  <c r="BM231" i="12"/>
  <c r="BM258" i="12" s="1"/>
  <c r="BL231" i="12"/>
  <c r="BK231" i="12"/>
  <c r="BJ231" i="12"/>
  <c r="BI231" i="12"/>
  <c r="BI258" i="12" s="1"/>
  <c r="BH231" i="12"/>
  <c r="BG231" i="12"/>
  <c r="BF231" i="12"/>
  <c r="BE231" i="12"/>
  <c r="BD231" i="12"/>
  <c r="BC231" i="12"/>
  <c r="BB231" i="12"/>
  <c r="BA231" i="12"/>
  <c r="BA258" i="12" s="1"/>
  <c r="AZ231" i="12"/>
  <c r="AY231" i="12"/>
  <c r="AX231" i="12"/>
  <c r="AW231" i="12"/>
  <c r="AW258" i="12" s="1"/>
  <c r="AV231" i="12"/>
  <c r="AU231" i="12"/>
  <c r="AT231" i="12"/>
  <c r="AS231" i="12"/>
  <c r="AR231" i="12"/>
  <c r="AQ231" i="12"/>
  <c r="AP231" i="12"/>
  <c r="AO231" i="12"/>
  <c r="AO258" i="12" s="1"/>
  <c r="AN231" i="12"/>
  <c r="AM231" i="12"/>
  <c r="AL231" i="12"/>
  <c r="AK231" i="12"/>
  <c r="AJ231" i="12"/>
  <c r="AI231" i="12"/>
  <c r="AH231" i="12"/>
  <c r="AG231" i="12"/>
  <c r="AG258" i="12" s="1"/>
  <c r="AF231" i="12"/>
  <c r="AE231" i="12"/>
  <c r="AD231" i="12"/>
  <c r="AC231" i="12"/>
  <c r="AC258" i="12" s="1"/>
  <c r="AB231" i="12"/>
  <c r="AA231" i="12"/>
  <c r="Z231" i="12"/>
  <c r="Y231" i="12"/>
  <c r="Y258" i="12" s="1"/>
  <c r="X231" i="12"/>
  <c r="W231" i="12"/>
  <c r="V231" i="12"/>
  <c r="U231" i="12"/>
  <c r="U258" i="12" s="1"/>
  <c r="T231" i="12"/>
  <c r="S231" i="12"/>
  <c r="R231" i="12"/>
  <c r="Q231" i="12"/>
  <c r="P231" i="12"/>
  <c r="O231" i="12"/>
  <c r="N231" i="12"/>
  <c r="M231" i="12"/>
  <c r="M258" i="12" s="1"/>
  <c r="L231" i="12"/>
  <c r="K231" i="12"/>
  <c r="J231" i="12"/>
  <c r="I231" i="12"/>
  <c r="I258" i="12" s="1"/>
  <c r="H231" i="12"/>
  <c r="G231" i="12"/>
  <c r="F231" i="12"/>
  <c r="E231" i="12"/>
  <c r="E258" i="12" s="1"/>
  <c r="D231" i="12"/>
  <c r="CX230" i="12"/>
  <c r="CW230" i="12"/>
  <c r="CV230" i="12"/>
  <c r="CV257" i="12" s="1"/>
  <c r="CU230" i="12"/>
  <c r="CT230" i="12"/>
  <c r="CS230" i="12"/>
  <c r="CR230" i="12"/>
  <c r="CR257" i="12" s="1"/>
  <c r="CQ230" i="12"/>
  <c r="CP230" i="12"/>
  <c r="CO230" i="12"/>
  <c r="CN230" i="12"/>
  <c r="CN257" i="12" s="1"/>
  <c r="CM230" i="12"/>
  <c r="CL230" i="12"/>
  <c r="CK230" i="12"/>
  <c r="CJ230" i="12"/>
  <c r="CJ257" i="12" s="1"/>
  <c r="CI230" i="12"/>
  <c r="CH230" i="12"/>
  <c r="CG230" i="12"/>
  <c r="CF230" i="12"/>
  <c r="CF257" i="12" s="1"/>
  <c r="CE230" i="12"/>
  <c r="CD230" i="12"/>
  <c r="CC230" i="12"/>
  <c r="CB230" i="12"/>
  <c r="CB257" i="12" s="1"/>
  <c r="CA230" i="12"/>
  <c r="BZ230" i="12"/>
  <c r="BY230" i="12"/>
  <c r="BX230" i="12"/>
  <c r="BX257" i="12" s="1"/>
  <c r="BW230" i="12"/>
  <c r="BV230" i="12"/>
  <c r="BU230" i="12"/>
  <c r="BT230" i="12"/>
  <c r="BT257" i="12" s="1"/>
  <c r="BS230" i="12"/>
  <c r="BR230" i="12"/>
  <c r="BQ230" i="12"/>
  <c r="BP230" i="12"/>
  <c r="BP257" i="12" s="1"/>
  <c r="BO230" i="12"/>
  <c r="BN230" i="12"/>
  <c r="BM230" i="12"/>
  <c r="BL230" i="12"/>
  <c r="BL257" i="12" s="1"/>
  <c r="BK230" i="12"/>
  <c r="BJ230" i="12"/>
  <c r="BI230" i="12"/>
  <c r="BH230" i="12"/>
  <c r="BH257" i="12" s="1"/>
  <c r="BG230" i="12"/>
  <c r="BF230" i="12"/>
  <c r="BE230" i="12"/>
  <c r="BD230" i="12"/>
  <c r="BD257" i="12" s="1"/>
  <c r="BC230" i="12"/>
  <c r="BB230" i="12"/>
  <c r="BA230" i="12"/>
  <c r="AZ230" i="12"/>
  <c r="AZ257" i="12" s="1"/>
  <c r="AY230" i="12"/>
  <c r="AX230" i="12"/>
  <c r="AW230" i="12"/>
  <c r="AV230" i="12"/>
  <c r="AV257" i="12" s="1"/>
  <c r="AU230" i="12"/>
  <c r="AT230" i="12"/>
  <c r="AS230" i="12"/>
  <c r="AR230" i="12"/>
  <c r="AR257" i="12" s="1"/>
  <c r="AQ230" i="12"/>
  <c r="AP230" i="12"/>
  <c r="AO230" i="12"/>
  <c r="AN230" i="12"/>
  <c r="AN257" i="12" s="1"/>
  <c r="AM230" i="12"/>
  <c r="AL230" i="12"/>
  <c r="AK230" i="12"/>
  <c r="AJ230" i="12"/>
  <c r="AJ257" i="12" s="1"/>
  <c r="AI230" i="12"/>
  <c r="AH230" i="12"/>
  <c r="AG230" i="12"/>
  <c r="AF230" i="12"/>
  <c r="AF257" i="12" s="1"/>
  <c r="AE230" i="12"/>
  <c r="AD230" i="12"/>
  <c r="AC230" i="12"/>
  <c r="AB230" i="12"/>
  <c r="AB257" i="12" s="1"/>
  <c r="AA230" i="12"/>
  <c r="Z230" i="12"/>
  <c r="Y230" i="12"/>
  <c r="X230" i="12"/>
  <c r="X257" i="12" s="1"/>
  <c r="W230" i="12"/>
  <c r="V230" i="12"/>
  <c r="U230" i="12"/>
  <c r="T230" i="12"/>
  <c r="T257" i="12" s="1"/>
  <c r="S230" i="12"/>
  <c r="R230" i="12"/>
  <c r="Q230" i="12"/>
  <c r="P230" i="12"/>
  <c r="P257" i="12" s="1"/>
  <c r="O230" i="12"/>
  <c r="N230" i="12"/>
  <c r="M230" i="12"/>
  <c r="L230" i="12"/>
  <c r="L257" i="12" s="1"/>
  <c r="K230" i="12"/>
  <c r="J230" i="12"/>
  <c r="I230" i="12"/>
  <c r="H230" i="12"/>
  <c r="H257" i="12" s="1"/>
  <c r="G230" i="12"/>
  <c r="F230" i="12"/>
  <c r="E230" i="12"/>
  <c r="D230" i="12"/>
  <c r="D257" i="12" s="1"/>
  <c r="CX229" i="12"/>
  <c r="CW229" i="12"/>
  <c r="CV229" i="12"/>
  <c r="CU229" i="12"/>
  <c r="CU256" i="12" s="1"/>
  <c r="CT229" i="12"/>
  <c r="CS229" i="12"/>
  <c r="CR229" i="12"/>
  <c r="CQ229" i="12"/>
  <c r="CQ256" i="12" s="1"/>
  <c r="CP229" i="12"/>
  <c r="CO229" i="12"/>
  <c r="CN229" i="12"/>
  <c r="CM229" i="12"/>
  <c r="CM256" i="12" s="1"/>
  <c r="CL229" i="12"/>
  <c r="CK229" i="12"/>
  <c r="CJ229" i="12"/>
  <c r="CI229" i="12"/>
  <c r="CI256" i="12" s="1"/>
  <c r="CH229" i="12"/>
  <c r="CG229" i="12"/>
  <c r="CF229" i="12"/>
  <c r="CE229" i="12"/>
  <c r="CE256" i="12" s="1"/>
  <c r="CD229" i="12"/>
  <c r="CC229" i="12"/>
  <c r="CB229" i="12"/>
  <c r="CA229" i="12"/>
  <c r="CA256" i="12" s="1"/>
  <c r="BZ229" i="12"/>
  <c r="BY229" i="12"/>
  <c r="BX229" i="12"/>
  <c r="BW229" i="12"/>
  <c r="BW256" i="12" s="1"/>
  <c r="BV229" i="12"/>
  <c r="BU229" i="12"/>
  <c r="BT229" i="12"/>
  <c r="BS229" i="12"/>
  <c r="BS256" i="12" s="1"/>
  <c r="BR229" i="12"/>
  <c r="BQ229" i="12"/>
  <c r="BP229" i="12"/>
  <c r="BO229" i="12"/>
  <c r="BO256" i="12" s="1"/>
  <c r="BN229" i="12"/>
  <c r="BM229" i="12"/>
  <c r="BL229" i="12"/>
  <c r="BK229" i="12"/>
  <c r="BK256" i="12" s="1"/>
  <c r="BJ229" i="12"/>
  <c r="BI229" i="12"/>
  <c r="BH229" i="12"/>
  <c r="BG229" i="12"/>
  <c r="BG256" i="12" s="1"/>
  <c r="BF229" i="12"/>
  <c r="BE229" i="12"/>
  <c r="BD229" i="12"/>
  <c r="BC229" i="12"/>
  <c r="BC256" i="12" s="1"/>
  <c r="BB229" i="12"/>
  <c r="BA229" i="12"/>
  <c r="AZ229" i="12"/>
  <c r="AY229" i="12"/>
  <c r="AY256" i="12" s="1"/>
  <c r="AX229" i="12"/>
  <c r="AW229" i="12"/>
  <c r="AV229" i="12"/>
  <c r="AU229" i="12"/>
  <c r="AU256" i="12" s="1"/>
  <c r="AT229" i="12"/>
  <c r="AS229" i="12"/>
  <c r="AR229" i="12"/>
  <c r="AQ229" i="12"/>
  <c r="AQ256" i="12" s="1"/>
  <c r="AP229" i="12"/>
  <c r="AO229" i="12"/>
  <c r="AN229" i="12"/>
  <c r="AM229" i="12"/>
  <c r="AM256" i="12" s="1"/>
  <c r="AL229" i="12"/>
  <c r="AK229" i="12"/>
  <c r="AJ229" i="12"/>
  <c r="AI229" i="12"/>
  <c r="AI256" i="12" s="1"/>
  <c r="AH229" i="12"/>
  <c r="AG229" i="12"/>
  <c r="AF229" i="12"/>
  <c r="AE229" i="12"/>
  <c r="AE256" i="12" s="1"/>
  <c r="AD229" i="12"/>
  <c r="AC229" i="12"/>
  <c r="AB229" i="12"/>
  <c r="AA229" i="12"/>
  <c r="AA256" i="12" s="1"/>
  <c r="Z229" i="12"/>
  <c r="Y229" i="12"/>
  <c r="X229" i="12"/>
  <c r="W229" i="12"/>
  <c r="W256" i="12" s="1"/>
  <c r="V229" i="12"/>
  <c r="U229" i="12"/>
  <c r="T229" i="12"/>
  <c r="S229" i="12"/>
  <c r="S256" i="12" s="1"/>
  <c r="R229" i="12"/>
  <c r="Q229" i="12"/>
  <c r="P229" i="12"/>
  <c r="O229" i="12"/>
  <c r="O256" i="12" s="1"/>
  <c r="N229" i="12"/>
  <c r="M229" i="12"/>
  <c r="L229" i="12"/>
  <c r="K229" i="12"/>
  <c r="K256" i="12" s="1"/>
  <c r="J229" i="12"/>
  <c r="I229" i="12"/>
  <c r="H229" i="12"/>
  <c r="G229" i="12"/>
  <c r="G256" i="12" s="1"/>
  <c r="F229" i="12"/>
  <c r="E229" i="12"/>
  <c r="D229" i="12"/>
  <c r="CX228" i="12"/>
  <c r="CX255" i="12" s="1"/>
  <c r="CW228" i="12"/>
  <c r="CV228" i="12"/>
  <c r="CU228" i="12"/>
  <c r="CT228" i="12"/>
  <c r="CT255" i="12" s="1"/>
  <c r="CS228" i="12"/>
  <c r="CR228" i="12"/>
  <c r="CQ228" i="12"/>
  <c r="CP228" i="12"/>
  <c r="CP255" i="12" s="1"/>
  <c r="CO228" i="12"/>
  <c r="CN228" i="12"/>
  <c r="CM228" i="12"/>
  <c r="CL228" i="12"/>
  <c r="CL255" i="12" s="1"/>
  <c r="CK228" i="12"/>
  <c r="CJ228" i="12"/>
  <c r="CI228" i="12"/>
  <c r="CH228" i="12"/>
  <c r="CH255" i="12" s="1"/>
  <c r="CG228" i="12"/>
  <c r="CF228" i="12"/>
  <c r="CE228" i="12"/>
  <c r="CD228" i="12"/>
  <c r="CD255" i="12" s="1"/>
  <c r="CC228" i="12"/>
  <c r="CB228" i="12"/>
  <c r="CA228" i="12"/>
  <c r="BZ228" i="12"/>
  <c r="BZ255" i="12" s="1"/>
  <c r="BY228" i="12"/>
  <c r="BX228" i="12"/>
  <c r="BW228" i="12"/>
  <c r="BV228" i="12"/>
  <c r="BV255" i="12" s="1"/>
  <c r="BU228" i="12"/>
  <c r="BT228" i="12"/>
  <c r="BS228" i="12"/>
  <c r="BR228" i="12"/>
  <c r="BR255" i="12" s="1"/>
  <c r="BQ228" i="12"/>
  <c r="BP228" i="12"/>
  <c r="BO228" i="12"/>
  <c r="BN228" i="12"/>
  <c r="BN255" i="12" s="1"/>
  <c r="BM228" i="12"/>
  <c r="BL228" i="12"/>
  <c r="BK228" i="12"/>
  <c r="BJ228" i="12"/>
  <c r="BJ255" i="12" s="1"/>
  <c r="BI228" i="12"/>
  <c r="BH228" i="12"/>
  <c r="BG228" i="12"/>
  <c r="BF228" i="12"/>
  <c r="BF255" i="12" s="1"/>
  <c r="BE228" i="12"/>
  <c r="BD228" i="12"/>
  <c r="BC228" i="12"/>
  <c r="BB228" i="12"/>
  <c r="BB255" i="12" s="1"/>
  <c r="BA228" i="12"/>
  <c r="AZ228" i="12"/>
  <c r="AY228" i="12"/>
  <c r="AX228" i="12"/>
  <c r="AX255" i="12" s="1"/>
  <c r="AW228" i="12"/>
  <c r="AV228" i="12"/>
  <c r="AU228" i="12"/>
  <c r="AT228" i="12"/>
  <c r="AS228" i="12"/>
  <c r="AR228" i="12"/>
  <c r="AQ228" i="12"/>
  <c r="AP228" i="12"/>
  <c r="AO228" i="12"/>
  <c r="AN228" i="12"/>
  <c r="AM228" i="12"/>
  <c r="AL228" i="12"/>
  <c r="AK228" i="12"/>
  <c r="AJ228" i="12"/>
  <c r="AI228" i="12"/>
  <c r="AH228" i="12"/>
  <c r="AG228" i="12"/>
  <c r="AF228" i="12"/>
  <c r="AE228" i="12"/>
  <c r="AD228" i="12"/>
  <c r="AC228" i="12"/>
  <c r="AB228" i="12"/>
  <c r="AA228" i="12"/>
  <c r="Z228" i="12"/>
  <c r="Y228" i="12"/>
  <c r="X228" i="12"/>
  <c r="W228" i="12"/>
  <c r="V228" i="12"/>
  <c r="U228" i="12"/>
  <c r="T228" i="12"/>
  <c r="S228" i="12"/>
  <c r="R228" i="12"/>
  <c r="Q228" i="12"/>
  <c r="P228" i="12"/>
  <c r="O228" i="12"/>
  <c r="N228" i="12"/>
  <c r="M228" i="12"/>
  <c r="L228" i="12"/>
  <c r="K228" i="12"/>
  <c r="J228" i="12"/>
  <c r="I228" i="12"/>
  <c r="H228" i="12"/>
  <c r="G228" i="12"/>
  <c r="F228" i="12"/>
  <c r="E228" i="12"/>
  <c r="D228" i="12"/>
  <c r="CX227" i="12"/>
  <c r="CW227" i="12"/>
  <c r="CW254" i="12" s="1"/>
  <c r="CV227" i="12"/>
  <c r="CU227" i="12"/>
  <c r="CT227" i="12"/>
  <c r="CS227" i="12"/>
  <c r="CS254" i="12" s="1"/>
  <c r="CR227" i="12"/>
  <c r="CQ227" i="12"/>
  <c r="CP227" i="12"/>
  <c r="CO227" i="12"/>
  <c r="CO254" i="12" s="1"/>
  <c r="CN227" i="12"/>
  <c r="CM227" i="12"/>
  <c r="CL227" i="12"/>
  <c r="CK227" i="12"/>
  <c r="CJ227" i="12"/>
  <c r="CI227" i="12"/>
  <c r="CH227" i="12"/>
  <c r="CG227" i="12"/>
  <c r="CG254" i="12" s="1"/>
  <c r="CF227" i="12"/>
  <c r="CE227" i="12"/>
  <c r="CD227" i="12"/>
  <c r="CC227" i="12"/>
  <c r="CC254" i="12" s="1"/>
  <c r="CB227" i="12"/>
  <c r="CA227" i="12"/>
  <c r="BZ227" i="12"/>
  <c r="BY227" i="12"/>
  <c r="BY254" i="12" s="1"/>
  <c r="BX227" i="12"/>
  <c r="BW227" i="12"/>
  <c r="BV227" i="12"/>
  <c r="BU227" i="12"/>
  <c r="BT227" i="12"/>
  <c r="BS227" i="12"/>
  <c r="BR227" i="12"/>
  <c r="BQ227" i="12"/>
  <c r="BQ254" i="12" s="1"/>
  <c r="BP227" i="12"/>
  <c r="BO227" i="12"/>
  <c r="BN227" i="12"/>
  <c r="BM227" i="12"/>
  <c r="BM254" i="12" s="1"/>
  <c r="BL227" i="12"/>
  <c r="BK227" i="12"/>
  <c r="BJ227" i="12"/>
  <c r="BI227" i="12"/>
  <c r="BI254" i="12" s="1"/>
  <c r="BH227" i="12"/>
  <c r="BG227" i="12"/>
  <c r="BF227" i="12"/>
  <c r="BE227" i="12"/>
  <c r="BD227" i="12"/>
  <c r="BC227" i="12"/>
  <c r="BB227" i="12"/>
  <c r="BA227" i="12"/>
  <c r="BA254" i="12" s="1"/>
  <c r="AZ227" i="12"/>
  <c r="AY227" i="12"/>
  <c r="AX227" i="12"/>
  <c r="AW227" i="12"/>
  <c r="AW254" i="12" s="1"/>
  <c r="AV227" i="12"/>
  <c r="AU227" i="12"/>
  <c r="AT227" i="12"/>
  <c r="AS227" i="12"/>
  <c r="AS254" i="12" s="1"/>
  <c r="AR227" i="12"/>
  <c r="AQ227" i="12"/>
  <c r="AP227" i="12"/>
  <c r="AO227" i="12"/>
  <c r="AN227" i="12"/>
  <c r="AM227" i="12"/>
  <c r="AL227" i="12"/>
  <c r="AK227" i="12"/>
  <c r="AK254" i="12" s="1"/>
  <c r="AJ227" i="12"/>
  <c r="AI227" i="12"/>
  <c r="AH227" i="12"/>
  <c r="AG227" i="12"/>
  <c r="AG254" i="12" s="1"/>
  <c r="AF227" i="12"/>
  <c r="AE227" i="12"/>
  <c r="AD227" i="12"/>
  <c r="AC227" i="12"/>
  <c r="AC254" i="12" s="1"/>
  <c r="AB227" i="12"/>
  <c r="AA227" i="12"/>
  <c r="Z227" i="12"/>
  <c r="Y227" i="12"/>
  <c r="X227" i="12"/>
  <c r="W227" i="12"/>
  <c r="V227" i="12"/>
  <c r="U227" i="12"/>
  <c r="U254" i="12" s="1"/>
  <c r="T227" i="12"/>
  <c r="S227" i="12"/>
  <c r="R227" i="12"/>
  <c r="Q227" i="12"/>
  <c r="Q254" i="12" s="1"/>
  <c r="P227" i="12"/>
  <c r="O227" i="12"/>
  <c r="N227" i="12"/>
  <c r="M227" i="12"/>
  <c r="M254" i="12" s="1"/>
  <c r="L227" i="12"/>
  <c r="K227" i="12"/>
  <c r="J227" i="12"/>
  <c r="I227" i="12"/>
  <c r="H227" i="12"/>
  <c r="G227" i="12"/>
  <c r="F227" i="12"/>
  <c r="E227" i="12"/>
  <c r="E254" i="12" s="1"/>
  <c r="D227" i="12"/>
  <c r="CX226" i="12"/>
  <c r="CW226" i="12"/>
  <c r="CV226" i="12"/>
  <c r="CV253" i="12" s="1"/>
  <c r="CU226" i="12"/>
  <c r="CT226" i="12"/>
  <c r="CS226" i="12"/>
  <c r="CR226" i="12"/>
  <c r="CR253" i="12" s="1"/>
  <c r="CQ226" i="12"/>
  <c r="CP226" i="12"/>
  <c r="CO226" i="12"/>
  <c r="CN226" i="12"/>
  <c r="CN253" i="12" s="1"/>
  <c r="CM226" i="12"/>
  <c r="CL226" i="12"/>
  <c r="CK226" i="12"/>
  <c r="CJ226" i="12"/>
  <c r="CJ253" i="12" s="1"/>
  <c r="CI226" i="12"/>
  <c r="CH226" i="12"/>
  <c r="CG226" i="12"/>
  <c r="CF226" i="12"/>
  <c r="CF253" i="12" s="1"/>
  <c r="CE226" i="12"/>
  <c r="CD226" i="12"/>
  <c r="CC226" i="12"/>
  <c r="CB226" i="12"/>
  <c r="CB253" i="12" s="1"/>
  <c r="CA226" i="12"/>
  <c r="BZ226" i="12"/>
  <c r="BY226" i="12"/>
  <c r="BX226" i="12"/>
  <c r="BX253" i="12" s="1"/>
  <c r="BW226" i="12"/>
  <c r="BV226" i="12"/>
  <c r="BU226" i="12"/>
  <c r="BT226" i="12"/>
  <c r="BT253" i="12" s="1"/>
  <c r="BS226" i="12"/>
  <c r="BR226" i="12"/>
  <c r="BQ226" i="12"/>
  <c r="BP226" i="12"/>
  <c r="BP253" i="12" s="1"/>
  <c r="BO226" i="12"/>
  <c r="BN226" i="12"/>
  <c r="BM226" i="12"/>
  <c r="BL226" i="12"/>
  <c r="BL253" i="12" s="1"/>
  <c r="BK226" i="12"/>
  <c r="BJ226" i="12"/>
  <c r="BI226" i="12"/>
  <c r="BH226" i="12"/>
  <c r="BH253" i="12" s="1"/>
  <c r="BG226" i="12"/>
  <c r="BF226" i="12"/>
  <c r="BE226" i="12"/>
  <c r="BD226" i="12"/>
  <c r="BD253" i="12" s="1"/>
  <c r="BC226" i="12"/>
  <c r="BB226" i="12"/>
  <c r="BA226" i="12"/>
  <c r="AZ226" i="12"/>
  <c r="AZ253" i="12" s="1"/>
  <c r="AY226" i="12"/>
  <c r="AX226" i="12"/>
  <c r="AW226" i="12"/>
  <c r="AV226" i="12"/>
  <c r="AV253" i="12" s="1"/>
  <c r="AU226" i="12"/>
  <c r="AT226" i="12"/>
  <c r="AS226" i="12"/>
  <c r="AR226" i="12"/>
  <c r="AR253" i="12" s="1"/>
  <c r="AQ226" i="12"/>
  <c r="AP226" i="12"/>
  <c r="AO226" i="12"/>
  <c r="AN226" i="12"/>
  <c r="AN253" i="12" s="1"/>
  <c r="AM226" i="12"/>
  <c r="AL226" i="12"/>
  <c r="AK226" i="12"/>
  <c r="AJ226" i="12"/>
  <c r="AJ253" i="12" s="1"/>
  <c r="AI226" i="12"/>
  <c r="AH226" i="12"/>
  <c r="AG226" i="12"/>
  <c r="AF226" i="12"/>
  <c r="AF253" i="12" s="1"/>
  <c r="AE226" i="12"/>
  <c r="AD226" i="12"/>
  <c r="AC226" i="12"/>
  <c r="AB226" i="12"/>
  <c r="AB253" i="12" s="1"/>
  <c r="AA226" i="12"/>
  <c r="Z226" i="12"/>
  <c r="Y226" i="12"/>
  <c r="X226" i="12"/>
  <c r="X253" i="12" s="1"/>
  <c r="W226" i="12"/>
  <c r="V226" i="12"/>
  <c r="U226" i="12"/>
  <c r="T226" i="12"/>
  <c r="T253" i="12" s="1"/>
  <c r="S226" i="12"/>
  <c r="R226" i="12"/>
  <c r="Q226" i="12"/>
  <c r="P226" i="12"/>
  <c r="P253" i="12" s="1"/>
  <c r="O226" i="12"/>
  <c r="N226" i="12"/>
  <c r="M226" i="12"/>
  <c r="L226" i="12"/>
  <c r="L253" i="12" s="1"/>
  <c r="K226" i="12"/>
  <c r="J226" i="12"/>
  <c r="I226" i="12"/>
  <c r="H226" i="12"/>
  <c r="H253" i="12" s="1"/>
  <c r="G226" i="12"/>
  <c r="F226" i="12"/>
  <c r="E226" i="12"/>
  <c r="D226" i="12"/>
  <c r="D253" i="12" s="1"/>
  <c r="CX225" i="12"/>
  <c r="CW225" i="12"/>
  <c r="CV225" i="12"/>
  <c r="CU225" i="12"/>
  <c r="CU252" i="12" s="1"/>
  <c r="CT225" i="12"/>
  <c r="CS225" i="12"/>
  <c r="CR225" i="12"/>
  <c r="CQ225" i="12"/>
  <c r="CP225" i="12"/>
  <c r="CO225" i="12"/>
  <c r="CN225" i="12"/>
  <c r="CM225" i="12"/>
  <c r="CM252" i="12" s="1"/>
  <c r="CL225" i="12"/>
  <c r="CK225" i="12"/>
  <c r="CJ225" i="12"/>
  <c r="CI225" i="12"/>
  <c r="CH225" i="12"/>
  <c r="CG225" i="12"/>
  <c r="CF225" i="12"/>
  <c r="CE225" i="12"/>
  <c r="CE252" i="12" s="1"/>
  <c r="CD225" i="12"/>
  <c r="CC225" i="12"/>
  <c r="CB225" i="12"/>
  <c r="CA225" i="12"/>
  <c r="BZ225" i="12"/>
  <c r="BY225" i="12"/>
  <c r="BX225" i="12"/>
  <c r="BW225" i="12"/>
  <c r="BW252" i="12" s="1"/>
  <c r="BV225" i="12"/>
  <c r="BU225" i="12"/>
  <c r="BT225" i="12"/>
  <c r="BS225" i="12"/>
  <c r="BR225" i="12"/>
  <c r="BQ225" i="12"/>
  <c r="BP225" i="12"/>
  <c r="BO225" i="12"/>
  <c r="BO252" i="12" s="1"/>
  <c r="BN225" i="12"/>
  <c r="BM225" i="12"/>
  <c r="BL225" i="12"/>
  <c r="BK225" i="12"/>
  <c r="BJ225" i="12"/>
  <c r="BI225" i="12"/>
  <c r="BH225" i="12"/>
  <c r="BG225" i="12"/>
  <c r="BG252" i="12" s="1"/>
  <c r="BF225" i="12"/>
  <c r="BE225" i="12"/>
  <c r="BD225" i="12"/>
  <c r="BC225" i="12"/>
  <c r="BB225" i="12"/>
  <c r="BA225" i="12"/>
  <c r="AZ225" i="12"/>
  <c r="AY225" i="12"/>
  <c r="AY252" i="12" s="1"/>
  <c r="AX225" i="12"/>
  <c r="AW225" i="12"/>
  <c r="AV225" i="12"/>
  <c r="AU225" i="12"/>
  <c r="AT225" i="12"/>
  <c r="AS225" i="12"/>
  <c r="AR225" i="12"/>
  <c r="AQ225" i="12"/>
  <c r="AQ252" i="12" s="1"/>
  <c r="AP225" i="12"/>
  <c r="AO225" i="12"/>
  <c r="AN225" i="12"/>
  <c r="AM225" i="12"/>
  <c r="AL225" i="12"/>
  <c r="AK225" i="12"/>
  <c r="AJ225" i="12"/>
  <c r="AI225" i="12"/>
  <c r="AI252" i="12" s="1"/>
  <c r="AH225" i="12"/>
  <c r="AG225" i="12"/>
  <c r="AF225" i="12"/>
  <c r="AE225" i="12"/>
  <c r="AD225" i="12"/>
  <c r="AC225" i="12"/>
  <c r="AB225" i="12"/>
  <c r="AA225" i="12"/>
  <c r="AA252" i="12" s="1"/>
  <c r="Z225" i="12"/>
  <c r="Y225" i="12"/>
  <c r="X225" i="12"/>
  <c r="W225" i="12"/>
  <c r="V225" i="12"/>
  <c r="U225" i="12"/>
  <c r="T225" i="12"/>
  <c r="S225" i="12"/>
  <c r="S252" i="12" s="1"/>
  <c r="R225" i="12"/>
  <c r="Q225" i="12"/>
  <c r="P225" i="12"/>
  <c r="O225" i="12"/>
  <c r="N225" i="12"/>
  <c r="M225" i="12"/>
  <c r="L225" i="12"/>
  <c r="K225" i="12"/>
  <c r="K252" i="12" s="1"/>
  <c r="J225" i="12"/>
  <c r="I225" i="12"/>
  <c r="H225" i="12"/>
  <c r="G225" i="12"/>
  <c r="F225" i="12"/>
  <c r="E225" i="12"/>
  <c r="D225" i="12"/>
  <c r="CX224" i="12"/>
  <c r="CX251" i="12" s="1"/>
  <c r="CW224" i="12"/>
  <c r="CV224" i="12"/>
  <c r="CU224" i="12"/>
  <c r="CT224" i="12"/>
  <c r="CT251" i="12" s="1"/>
  <c r="CS224" i="12"/>
  <c r="CR224" i="12"/>
  <c r="CQ224" i="12"/>
  <c r="CP224" i="12"/>
  <c r="CP251" i="12" s="1"/>
  <c r="CO224" i="12"/>
  <c r="CN224" i="12"/>
  <c r="CM224" i="12"/>
  <c r="CL224" i="12"/>
  <c r="CL251" i="12" s="1"/>
  <c r="CK224" i="12"/>
  <c r="CJ224" i="12"/>
  <c r="CI224" i="12"/>
  <c r="CH224" i="12"/>
  <c r="CH251" i="12" s="1"/>
  <c r="CG224" i="12"/>
  <c r="CF224" i="12"/>
  <c r="CE224" i="12"/>
  <c r="CD224" i="12"/>
  <c r="CD251" i="12" s="1"/>
  <c r="CC224" i="12"/>
  <c r="CB224" i="12"/>
  <c r="CA224" i="12"/>
  <c r="BZ224" i="12"/>
  <c r="BZ251" i="12" s="1"/>
  <c r="BY224" i="12"/>
  <c r="BX224" i="12"/>
  <c r="BW224" i="12"/>
  <c r="BV224" i="12"/>
  <c r="BV251" i="12" s="1"/>
  <c r="BU224" i="12"/>
  <c r="BT224" i="12"/>
  <c r="BS224" i="12"/>
  <c r="BR224" i="12"/>
  <c r="BR251" i="12" s="1"/>
  <c r="BQ224" i="12"/>
  <c r="BP224" i="12"/>
  <c r="BO224" i="12"/>
  <c r="BN224" i="12"/>
  <c r="BN251" i="12" s="1"/>
  <c r="BM224" i="12"/>
  <c r="BL224" i="12"/>
  <c r="BK224" i="12"/>
  <c r="BJ224" i="12"/>
  <c r="BJ251" i="12" s="1"/>
  <c r="BI224" i="12"/>
  <c r="BH224" i="12"/>
  <c r="BG224" i="12"/>
  <c r="BF224" i="12"/>
  <c r="BF251" i="12" s="1"/>
  <c r="BE224" i="12"/>
  <c r="BD224" i="12"/>
  <c r="BC224" i="12"/>
  <c r="BB224" i="12"/>
  <c r="BB251" i="12" s="1"/>
  <c r="BA224" i="12"/>
  <c r="AZ224" i="12"/>
  <c r="AY224" i="12"/>
  <c r="AX224" i="12"/>
  <c r="AX251" i="12" s="1"/>
  <c r="AW224" i="12"/>
  <c r="AV224" i="12"/>
  <c r="AU224" i="12"/>
  <c r="AT224" i="12"/>
  <c r="AT251" i="12" s="1"/>
  <c r="AS224" i="12"/>
  <c r="AR224" i="12"/>
  <c r="AQ224" i="12"/>
  <c r="AP224" i="12"/>
  <c r="AP251" i="12" s="1"/>
  <c r="AO224" i="12"/>
  <c r="AN224" i="12"/>
  <c r="AM224" i="12"/>
  <c r="AL224" i="12"/>
  <c r="AL251" i="12" s="1"/>
  <c r="AK224" i="12"/>
  <c r="AJ224" i="12"/>
  <c r="AI224" i="12"/>
  <c r="AH224" i="12"/>
  <c r="AH251" i="12" s="1"/>
  <c r="AG224" i="12"/>
  <c r="AF224" i="12"/>
  <c r="AE224" i="12"/>
  <c r="AD224" i="12"/>
  <c r="AD251" i="12" s="1"/>
  <c r="AC224" i="12"/>
  <c r="AB224" i="12"/>
  <c r="AA224" i="12"/>
  <c r="Z224" i="12"/>
  <c r="Z251" i="12" s="1"/>
  <c r="Y224" i="12"/>
  <c r="X224" i="12"/>
  <c r="W224" i="12"/>
  <c r="V224" i="12"/>
  <c r="V251" i="12" s="1"/>
  <c r="U224" i="12"/>
  <c r="T224" i="12"/>
  <c r="S224" i="12"/>
  <c r="R224" i="12"/>
  <c r="R251" i="12" s="1"/>
  <c r="Q224" i="12"/>
  <c r="P224" i="12"/>
  <c r="O224" i="12"/>
  <c r="N224" i="12"/>
  <c r="N251" i="12" s="1"/>
  <c r="M224" i="12"/>
  <c r="L224" i="12"/>
  <c r="K224" i="12"/>
  <c r="J224" i="12"/>
  <c r="J251" i="12" s="1"/>
  <c r="I224" i="12"/>
  <c r="H224" i="12"/>
  <c r="G224" i="12"/>
  <c r="F224" i="12"/>
  <c r="F251" i="12" s="1"/>
  <c r="E224" i="12"/>
  <c r="D224" i="12"/>
  <c r="CX214" i="12"/>
  <c r="CW214" i="12"/>
  <c r="CV214" i="12"/>
  <c r="CU214" i="12"/>
  <c r="CT214" i="12"/>
  <c r="CS214" i="12"/>
  <c r="CR214" i="12"/>
  <c r="CQ214" i="12"/>
  <c r="CP214" i="12"/>
  <c r="CO214" i="12"/>
  <c r="CN214" i="12"/>
  <c r="CM214" i="12"/>
  <c r="CL214" i="12"/>
  <c r="CK214" i="12"/>
  <c r="CJ214" i="12"/>
  <c r="CI214" i="12"/>
  <c r="CH214" i="12"/>
  <c r="CG214" i="12"/>
  <c r="CF214" i="12"/>
  <c r="CE214" i="12"/>
  <c r="CD214" i="12"/>
  <c r="CC214" i="12"/>
  <c r="CB214" i="12"/>
  <c r="CA214" i="12"/>
  <c r="BZ214" i="12"/>
  <c r="BY214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E214" i="12"/>
  <c r="BD214" i="12"/>
  <c r="BC214" i="12"/>
  <c r="BB214" i="12"/>
  <c r="BA214" i="12"/>
  <c r="AZ214" i="12"/>
  <c r="AY214" i="12"/>
  <c r="AX214" i="12"/>
  <c r="AW214" i="12"/>
  <c r="AV214" i="12"/>
  <c r="AU214" i="12"/>
  <c r="AT214" i="12"/>
  <c r="AS214" i="12"/>
  <c r="AR214" i="12"/>
  <c r="AQ214" i="12"/>
  <c r="AP214" i="12"/>
  <c r="AO214" i="12"/>
  <c r="AN214" i="12"/>
  <c r="AM214" i="12"/>
  <c r="AL214" i="12"/>
  <c r="AK214" i="12"/>
  <c r="AJ214" i="12"/>
  <c r="AI214" i="12"/>
  <c r="AH214" i="12"/>
  <c r="AG214" i="12"/>
  <c r="AF214" i="12"/>
  <c r="AE214" i="12"/>
  <c r="AD214" i="12"/>
  <c r="AC214" i="12"/>
  <c r="AB214" i="12"/>
  <c r="AA214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K214" i="12"/>
  <c r="J214" i="12"/>
  <c r="I214" i="12"/>
  <c r="H214" i="12"/>
  <c r="G214" i="12"/>
  <c r="F214" i="12"/>
  <c r="E214" i="12"/>
  <c r="D214" i="12"/>
  <c r="CX213" i="12"/>
  <c r="CW213" i="12"/>
  <c r="CV213" i="12"/>
  <c r="CU213" i="12"/>
  <c r="CU265" i="12" s="1"/>
  <c r="CT213" i="12"/>
  <c r="CT265" i="12" s="1"/>
  <c r="CS213" i="12"/>
  <c r="CR213" i="12"/>
  <c r="CQ213" i="12"/>
  <c r="CQ265" i="12" s="1"/>
  <c r="CP213" i="12"/>
  <c r="CP265" i="12" s="1"/>
  <c r="CO213" i="12"/>
  <c r="CN213" i="12"/>
  <c r="CM213" i="12"/>
  <c r="CM265" i="12" s="1"/>
  <c r="CL213" i="12"/>
  <c r="CL265" i="12" s="1"/>
  <c r="CK213" i="12"/>
  <c r="CJ213" i="12"/>
  <c r="CI213" i="12"/>
  <c r="CI265" i="12" s="1"/>
  <c r="CH213" i="12"/>
  <c r="CH265" i="12" s="1"/>
  <c r="CG213" i="12"/>
  <c r="CF213" i="12"/>
  <c r="CE213" i="12"/>
  <c r="CE265" i="12" s="1"/>
  <c r="CD213" i="12"/>
  <c r="CD265" i="12" s="1"/>
  <c r="CC213" i="12"/>
  <c r="CB213" i="12"/>
  <c r="CA213" i="12"/>
  <c r="CA265" i="12" s="1"/>
  <c r="BZ213" i="12"/>
  <c r="BZ265" i="12" s="1"/>
  <c r="BY213" i="12"/>
  <c r="BX213" i="12"/>
  <c r="BW213" i="12"/>
  <c r="BW265" i="12" s="1"/>
  <c r="BV213" i="12"/>
  <c r="BU213" i="12"/>
  <c r="BT213" i="12"/>
  <c r="BS213" i="12"/>
  <c r="BS265" i="12" s="1"/>
  <c r="BR213" i="12"/>
  <c r="BQ213" i="12"/>
  <c r="BP213" i="12"/>
  <c r="BO213" i="12"/>
  <c r="BO265" i="12" s="1"/>
  <c r="BN213" i="12"/>
  <c r="BN265" i="12" s="1"/>
  <c r="BM213" i="12"/>
  <c r="BL213" i="12"/>
  <c r="BK213" i="12"/>
  <c r="BK265" i="12" s="1"/>
  <c r="BJ213" i="12"/>
  <c r="BJ265" i="12" s="1"/>
  <c r="BI213" i="12"/>
  <c r="BH213" i="12"/>
  <c r="BG213" i="12"/>
  <c r="BG265" i="12" s="1"/>
  <c r="BF213" i="12"/>
  <c r="BF265" i="12" s="1"/>
  <c r="BE213" i="12"/>
  <c r="BD213" i="12"/>
  <c r="BC213" i="12"/>
  <c r="BC265" i="12" s="1"/>
  <c r="BB213" i="12"/>
  <c r="BB265" i="12" s="1"/>
  <c r="BA213" i="12"/>
  <c r="AZ213" i="12"/>
  <c r="AY213" i="12"/>
  <c r="AY265" i="12" s="1"/>
  <c r="AX213" i="12"/>
  <c r="AX265" i="12" s="1"/>
  <c r="AW213" i="12"/>
  <c r="AV213" i="12"/>
  <c r="AU213" i="12"/>
  <c r="AU265" i="12" s="1"/>
  <c r="AT213" i="12"/>
  <c r="AT265" i="12" s="1"/>
  <c r="AS213" i="12"/>
  <c r="AR213" i="12"/>
  <c r="AQ213" i="12"/>
  <c r="AQ265" i="12" s="1"/>
  <c r="AP213" i="12"/>
  <c r="AO213" i="12"/>
  <c r="AN213" i="12"/>
  <c r="AM213" i="12"/>
  <c r="AM265" i="12" s="1"/>
  <c r="AL213" i="12"/>
  <c r="AK213" i="12"/>
  <c r="AJ213" i="12"/>
  <c r="AI213" i="12"/>
  <c r="AI265" i="12" s="1"/>
  <c r="AH213" i="12"/>
  <c r="AH265" i="12" s="1"/>
  <c r="AG213" i="12"/>
  <c r="AF213" i="12"/>
  <c r="AE213" i="12"/>
  <c r="AE265" i="12" s="1"/>
  <c r="AD213" i="12"/>
  <c r="AD265" i="12" s="1"/>
  <c r="AC213" i="12"/>
  <c r="AB213" i="12"/>
  <c r="AA213" i="12"/>
  <c r="AA265" i="12" s="1"/>
  <c r="Z213" i="12"/>
  <c r="Z265" i="12" s="1"/>
  <c r="Y213" i="12"/>
  <c r="X213" i="12"/>
  <c r="W213" i="12"/>
  <c r="W265" i="12" s="1"/>
  <c r="V213" i="12"/>
  <c r="V265" i="12" s="1"/>
  <c r="U213" i="12"/>
  <c r="T213" i="12"/>
  <c r="S213" i="12"/>
  <c r="S265" i="12" s="1"/>
  <c r="R213" i="12"/>
  <c r="R265" i="12" s="1"/>
  <c r="Q213" i="12"/>
  <c r="P213" i="12"/>
  <c r="O213" i="12"/>
  <c r="O265" i="12" s="1"/>
  <c r="N213" i="12"/>
  <c r="N265" i="12" s="1"/>
  <c r="M213" i="12"/>
  <c r="L213" i="12"/>
  <c r="K213" i="12"/>
  <c r="K265" i="12" s="1"/>
  <c r="J213" i="12"/>
  <c r="I213" i="12"/>
  <c r="H213" i="12"/>
  <c r="G213" i="12"/>
  <c r="G265" i="12" s="1"/>
  <c r="F213" i="12"/>
  <c r="E213" i="12"/>
  <c r="D213" i="12"/>
  <c r="CX212" i="12"/>
  <c r="CX264" i="12" s="1"/>
  <c r="CW212" i="12"/>
  <c r="CW264" i="12" s="1"/>
  <c r="CV212" i="12"/>
  <c r="CU212" i="12"/>
  <c r="CT212" i="12"/>
  <c r="CT264" i="12" s="1"/>
  <c r="CS212" i="12"/>
  <c r="CS264" i="12" s="1"/>
  <c r="CR212" i="12"/>
  <c r="CQ212" i="12"/>
  <c r="CP212" i="12"/>
  <c r="CP264" i="12" s="1"/>
  <c r="CO212" i="12"/>
  <c r="CO264" i="12" s="1"/>
  <c r="CN212" i="12"/>
  <c r="CM212" i="12"/>
  <c r="CL212" i="12"/>
  <c r="CL264" i="12" s="1"/>
  <c r="CK212" i="12"/>
  <c r="CK264" i="12" s="1"/>
  <c r="CJ212" i="12"/>
  <c r="CI212" i="12"/>
  <c r="CH212" i="12"/>
  <c r="CH264" i="12" s="1"/>
  <c r="CG212" i="12"/>
  <c r="CG264" i="12" s="1"/>
  <c r="CF212" i="12"/>
  <c r="CE212" i="12"/>
  <c r="CD212" i="12"/>
  <c r="CD264" i="12" s="1"/>
  <c r="CC212" i="12"/>
  <c r="CC264" i="12" s="1"/>
  <c r="CB212" i="12"/>
  <c r="CA212" i="12"/>
  <c r="BZ212" i="12"/>
  <c r="BZ264" i="12" s="1"/>
  <c r="BY212" i="12"/>
  <c r="BY264" i="12" s="1"/>
  <c r="BX212" i="12"/>
  <c r="BW212" i="12"/>
  <c r="BV212" i="12"/>
  <c r="BV264" i="12" s="1"/>
  <c r="BU212" i="12"/>
  <c r="BU264" i="12" s="1"/>
  <c r="BT212" i="12"/>
  <c r="BS212" i="12"/>
  <c r="BR212" i="12"/>
  <c r="BR264" i="12" s="1"/>
  <c r="BQ212" i="12"/>
  <c r="BQ264" i="12" s="1"/>
  <c r="BP212" i="12"/>
  <c r="BO212" i="12"/>
  <c r="BN212" i="12"/>
  <c r="BN264" i="12" s="1"/>
  <c r="BM212" i="12"/>
  <c r="BM264" i="12" s="1"/>
  <c r="BL212" i="12"/>
  <c r="BK212" i="12"/>
  <c r="BJ212" i="12"/>
  <c r="BJ264" i="12" s="1"/>
  <c r="BI212" i="12"/>
  <c r="BI264" i="12" s="1"/>
  <c r="BH212" i="12"/>
  <c r="BG212" i="12"/>
  <c r="BF212" i="12"/>
  <c r="BF264" i="12" s="1"/>
  <c r="BE212" i="12"/>
  <c r="BE264" i="12" s="1"/>
  <c r="BD212" i="12"/>
  <c r="BC212" i="12"/>
  <c r="BB212" i="12"/>
  <c r="BB264" i="12" s="1"/>
  <c r="BA212" i="12"/>
  <c r="BA264" i="12" s="1"/>
  <c r="AZ212" i="12"/>
  <c r="AY212" i="12"/>
  <c r="AX212" i="12"/>
  <c r="AX264" i="12" s="1"/>
  <c r="AW212" i="12"/>
  <c r="AW264" i="12" s="1"/>
  <c r="AV212" i="12"/>
  <c r="AU212" i="12"/>
  <c r="AT212" i="12"/>
  <c r="AT264" i="12" s="1"/>
  <c r="AS212" i="12"/>
  <c r="AS264" i="12" s="1"/>
  <c r="AR212" i="12"/>
  <c r="AQ212" i="12"/>
  <c r="AP212" i="12"/>
  <c r="AP264" i="12" s="1"/>
  <c r="AO212" i="12"/>
  <c r="AO264" i="12" s="1"/>
  <c r="AN212" i="12"/>
  <c r="AM212" i="12"/>
  <c r="AL212" i="12"/>
  <c r="AL264" i="12" s="1"/>
  <c r="AK212" i="12"/>
  <c r="AK264" i="12" s="1"/>
  <c r="AJ212" i="12"/>
  <c r="AI212" i="12"/>
  <c r="AH212" i="12"/>
  <c r="AH264" i="12" s="1"/>
  <c r="AG212" i="12"/>
  <c r="AG264" i="12" s="1"/>
  <c r="AF212" i="12"/>
  <c r="AE212" i="12"/>
  <c r="AD212" i="12"/>
  <c r="AD264" i="12" s="1"/>
  <c r="AC212" i="12"/>
  <c r="AC264" i="12" s="1"/>
  <c r="AB212" i="12"/>
  <c r="AA212" i="12"/>
  <c r="Z212" i="12"/>
  <c r="Z264" i="12" s="1"/>
  <c r="Y212" i="12"/>
  <c r="Y264" i="12" s="1"/>
  <c r="X212" i="12"/>
  <c r="W212" i="12"/>
  <c r="V212" i="12"/>
  <c r="V264" i="12" s="1"/>
  <c r="U212" i="12"/>
  <c r="U264" i="12" s="1"/>
  <c r="T212" i="12"/>
  <c r="S212" i="12"/>
  <c r="R212" i="12"/>
  <c r="R264" i="12" s="1"/>
  <c r="Q212" i="12"/>
  <c r="Q264" i="12" s="1"/>
  <c r="P212" i="12"/>
  <c r="O212" i="12"/>
  <c r="N212" i="12"/>
  <c r="N264" i="12" s="1"/>
  <c r="M212" i="12"/>
  <c r="M264" i="12" s="1"/>
  <c r="L212" i="12"/>
  <c r="K212" i="12"/>
  <c r="J212" i="12"/>
  <c r="J264" i="12" s="1"/>
  <c r="I212" i="12"/>
  <c r="I264" i="12" s="1"/>
  <c r="H212" i="12"/>
  <c r="G212" i="12"/>
  <c r="F212" i="12"/>
  <c r="F264" i="12" s="1"/>
  <c r="E212" i="12"/>
  <c r="E264" i="12" s="1"/>
  <c r="D212" i="12"/>
  <c r="CX211" i="12"/>
  <c r="CW211" i="12"/>
  <c r="CW263" i="12" s="1"/>
  <c r="CV211" i="12"/>
  <c r="CV263" i="12" s="1"/>
  <c r="CU211" i="12"/>
  <c r="CT211" i="12"/>
  <c r="CS211" i="12"/>
  <c r="CS263" i="12" s="1"/>
  <c r="CR211" i="12"/>
  <c r="CR263" i="12" s="1"/>
  <c r="CQ211" i="12"/>
  <c r="CP211" i="12"/>
  <c r="CO211" i="12"/>
  <c r="CN211" i="12"/>
  <c r="CN263" i="12" s="1"/>
  <c r="CM211" i="12"/>
  <c r="CL211" i="12"/>
  <c r="CK211" i="12"/>
  <c r="CJ211" i="12"/>
  <c r="CJ263" i="12" s="1"/>
  <c r="CI211" i="12"/>
  <c r="CH211" i="12"/>
  <c r="CG211" i="12"/>
  <c r="CG263" i="12" s="1"/>
  <c r="CF211" i="12"/>
  <c r="CF263" i="12" s="1"/>
  <c r="CE211" i="12"/>
  <c r="CD211" i="12"/>
  <c r="CC211" i="12"/>
  <c r="CC263" i="12" s="1"/>
  <c r="CB211" i="12"/>
  <c r="CB263" i="12" s="1"/>
  <c r="CA211" i="12"/>
  <c r="BZ211" i="12"/>
  <c r="BY211" i="12"/>
  <c r="BX211" i="12"/>
  <c r="BX263" i="12" s="1"/>
  <c r="BW211" i="12"/>
  <c r="BV211" i="12"/>
  <c r="BU211" i="12"/>
  <c r="BT211" i="12"/>
  <c r="BT263" i="12" s="1"/>
  <c r="BS211" i="12"/>
  <c r="BR211" i="12"/>
  <c r="BQ211" i="12"/>
  <c r="BQ263" i="12" s="1"/>
  <c r="BP211" i="12"/>
  <c r="BP263" i="12" s="1"/>
  <c r="BO211" i="12"/>
  <c r="BN211" i="12"/>
  <c r="BM211" i="12"/>
  <c r="BM263" i="12" s="1"/>
  <c r="BL211" i="12"/>
  <c r="BL263" i="12" s="1"/>
  <c r="BK211" i="12"/>
  <c r="BJ211" i="12"/>
  <c r="BI211" i="12"/>
  <c r="BH211" i="12"/>
  <c r="BH263" i="12" s="1"/>
  <c r="BG211" i="12"/>
  <c r="BF211" i="12"/>
  <c r="BE211" i="12"/>
  <c r="BD211" i="12"/>
  <c r="BD263" i="12" s="1"/>
  <c r="BC211" i="12"/>
  <c r="BB211" i="12"/>
  <c r="BA211" i="12"/>
  <c r="BA263" i="12" s="1"/>
  <c r="AZ211" i="12"/>
  <c r="AZ263" i="12" s="1"/>
  <c r="AY211" i="12"/>
  <c r="AX211" i="12"/>
  <c r="AW211" i="12"/>
  <c r="AW263" i="12" s="1"/>
  <c r="AV211" i="12"/>
  <c r="AV263" i="12" s="1"/>
  <c r="AU211" i="12"/>
  <c r="AT211" i="12"/>
  <c r="AS211" i="12"/>
  <c r="AR211" i="12"/>
  <c r="AR263" i="12" s="1"/>
  <c r="AQ211" i="12"/>
  <c r="AP211" i="12"/>
  <c r="AO211" i="12"/>
  <c r="AN211" i="12"/>
  <c r="AN263" i="12" s="1"/>
  <c r="AM211" i="12"/>
  <c r="AL211" i="12"/>
  <c r="AK211" i="12"/>
  <c r="AK263" i="12" s="1"/>
  <c r="AJ211" i="12"/>
  <c r="AJ263" i="12" s="1"/>
  <c r="AI211" i="12"/>
  <c r="AH211" i="12"/>
  <c r="AG211" i="12"/>
  <c r="AG263" i="12" s="1"/>
  <c r="AF211" i="12"/>
  <c r="AF263" i="12" s="1"/>
  <c r="AE211" i="12"/>
  <c r="AD211" i="12"/>
  <c r="AC211" i="12"/>
  <c r="AB211" i="12"/>
  <c r="AB263" i="12" s="1"/>
  <c r="AA211" i="12"/>
  <c r="Z211" i="12"/>
  <c r="Y211" i="12"/>
  <c r="X211" i="12"/>
  <c r="X263" i="12" s="1"/>
  <c r="W211" i="12"/>
  <c r="V211" i="12"/>
  <c r="U211" i="12"/>
  <c r="U263" i="12" s="1"/>
  <c r="T211" i="12"/>
  <c r="T263" i="12" s="1"/>
  <c r="S211" i="12"/>
  <c r="R211" i="12"/>
  <c r="Q211" i="12"/>
  <c r="Q263" i="12" s="1"/>
  <c r="P211" i="12"/>
  <c r="P263" i="12" s="1"/>
  <c r="O211" i="12"/>
  <c r="N211" i="12"/>
  <c r="M211" i="12"/>
  <c r="L211" i="12"/>
  <c r="L263" i="12" s="1"/>
  <c r="K211" i="12"/>
  <c r="J211" i="12"/>
  <c r="I211" i="12"/>
  <c r="H211" i="12"/>
  <c r="H263" i="12" s="1"/>
  <c r="G211" i="12"/>
  <c r="F211" i="12"/>
  <c r="E211" i="12"/>
  <c r="E263" i="12" s="1"/>
  <c r="D211" i="12"/>
  <c r="CX210" i="12"/>
  <c r="CW210" i="12"/>
  <c r="CV210" i="12"/>
  <c r="CV262" i="12" s="1"/>
  <c r="CU210" i="12"/>
  <c r="CU262" i="12" s="1"/>
  <c r="CT210" i="12"/>
  <c r="CS210" i="12"/>
  <c r="CR210" i="12"/>
  <c r="CR262" i="12" s="1"/>
  <c r="CQ210" i="12"/>
  <c r="CQ262" i="12" s="1"/>
  <c r="CP210" i="12"/>
  <c r="CO210" i="12"/>
  <c r="CN210" i="12"/>
  <c r="CN262" i="12" s="1"/>
  <c r="CM210" i="12"/>
  <c r="CM262" i="12" s="1"/>
  <c r="CL210" i="12"/>
  <c r="CK210" i="12"/>
  <c r="CJ210" i="12"/>
  <c r="CJ262" i="12" s="1"/>
  <c r="CI210" i="12"/>
  <c r="CI262" i="12" s="1"/>
  <c r="CH210" i="12"/>
  <c r="CG210" i="12"/>
  <c r="CF210" i="12"/>
  <c r="CF262" i="12" s="1"/>
  <c r="CE210" i="12"/>
  <c r="CE262" i="12" s="1"/>
  <c r="CD210" i="12"/>
  <c r="CC210" i="12"/>
  <c r="CB210" i="12"/>
  <c r="CB262" i="12" s="1"/>
  <c r="CA210" i="12"/>
  <c r="CA262" i="12" s="1"/>
  <c r="BZ210" i="12"/>
  <c r="BY210" i="12"/>
  <c r="BX210" i="12"/>
  <c r="BX262" i="12" s="1"/>
  <c r="BW210" i="12"/>
  <c r="BW262" i="12" s="1"/>
  <c r="BV210" i="12"/>
  <c r="BU210" i="12"/>
  <c r="BT210" i="12"/>
  <c r="BT262" i="12" s="1"/>
  <c r="BS210" i="12"/>
  <c r="BS262" i="12" s="1"/>
  <c r="BR210" i="12"/>
  <c r="BQ210" i="12"/>
  <c r="BP210" i="12"/>
  <c r="BP262" i="12" s="1"/>
  <c r="BO210" i="12"/>
  <c r="BO262" i="12" s="1"/>
  <c r="BN210" i="12"/>
  <c r="BM210" i="12"/>
  <c r="BL210" i="12"/>
  <c r="BL262" i="12" s="1"/>
  <c r="BK210" i="12"/>
  <c r="BK262" i="12" s="1"/>
  <c r="BJ210" i="12"/>
  <c r="BI210" i="12"/>
  <c r="BH210" i="12"/>
  <c r="BH262" i="12" s="1"/>
  <c r="BG210" i="12"/>
  <c r="BG262" i="12" s="1"/>
  <c r="BF210" i="12"/>
  <c r="BE210" i="12"/>
  <c r="BD210" i="12"/>
  <c r="BD262" i="12" s="1"/>
  <c r="BC210" i="12"/>
  <c r="BC262" i="12" s="1"/>
  <c r="BB210" i="12"/>
  <c r="BA210" i="12"/>
  <c r="AZ210" i="12"/>
  <c r="AZ262" i="12" s="1"/>
  <c r="AY210" i="12"/>
  <c r="AY262" i="12" s="1"/>
  <c r="AX210" i="12"/>
  <c r="AW210" i="12"/>
  <c r="AV210" i="12"/>
  <c r="AV262" i="12" s="1"/>
  <c r="AU210" i="12"/>
  <c r="AU262" i="12" s="1"/>
  <c r="AT210" i="12"/>
  <c r="AS210" i="12"/>
  <c r="AR210" i="12"/>
  <c r="AR262" i="12" s="1"/>
  <c r="AQ210" i="12"/>
  <c r="AQ262" i="12" s="1"/>
  <c r="AP210" i="12"/>
  <c r="AO210" i="12"/>
  <c r="AN210" i="12"/>
  <c r="AN262" i="12" s="1"/>
  <c r="AM210" i="12"/>
  <c r="AM262" i="12" s="1"/>
  <c r="AL210" i="12"/>
  <c r="AK210" i="12"/>
  <c r="AJ210" i="12"/>
  <c r="AJ262" i="12" s="1"/>
  <c r="AI210" i="12"/>
  <c r="AI262" i="12" s="1"/>
  <c r="AH210" i="12"/>
  <c r="AG210" i="12"/>
  <c r="AF210" i="12"/>
  <c r="AF262" i="12" s="1"/>
  <c r="AE210" i="12"/>
  <c r="AE262" i="12" s="1"/>
  <c r="AD210" i="12"/>
  <c r="AC210" i="12"/>
  <c r="AB210" i="12"/>
  <c r="AB262" i="12" s="1"/>
  <c r="AA210" i="12"/>
  <c r="AA262" i="12" s="1"/>
  <c r="Z210" i="12"/>
  <c r="Y210" i="12"/>
  <c r="X210" i="12"/>
  <c r="X262" i="12" s="1"/>
  <c r="W210" i="12"/>
  <c r="W262" i="12" s="1"/>
  <c r="V210" i="12"/>
  <c r="U210" i="12"/>
  <c r="T210" i="12"/>
  <c r="T262" i="12" s="1"/>
  <c r="S210" i="12"/>
  <c r="S262" i="12" s="1"/>
  <c r="R210" i="12"/>
  <c r="Q210" i="12"/>
  <c r="P210" i="12"/>
  <c r="P262" i="12" s="1"/>
  <c r="O210" i="12"/>
  <c r="O262" i="12" s="1"/>
  <c r="N210" i="12"/>
  <c r="M210" i="12"/>
  <c r="L210" i="12"/>
  <c r="L262" i="12" s="1"/>
  <c r="K210" i="12"/>
  <c r="K262" i="12" s="1"/>
  <c r="J210" i="12"/>
  <c r="I210" i="12"/>
  <c r="H210" i="12"/>
  <c r="H262" i="12" s="1"/>
  <c r="G210" i="12"/>
  <c r="G262" i="12" s="1"/>
  <c r="F210" i="12"/>
  <c r="E210" i="12"/>
  <c r="D210" i="12"/>
  <c r="CX209" i="12"/>
  <c r="CX261" i="12" s="1"/>
  <c r="CW209" i="12"/>
  <c r="CV209" i="12"/>
  <c r="CU209" i="12"/>
  <c r="CU261" i="12" s="1"/>
  <c r="CT209" i="12"/>
  <c r="CT261" i="12" s="1"/>
  <c r="CS209" i="12"/>
  <c r="CR209" i="12"/>
  <c r="CQ209" i="12"/>
  <c r="CQ261" i="12" s="1"/>
  <c r="CP209" i="12"/>
  <c r="CP261" i="12" s="1"/>
  <c r="CO209" i="12"/>
  <c r="CN209" i="12"/>
  <c r="CM209" i="12"/>
  <c r="CM261" i="12" s="1"/>
  <c r="CL209" i="12"/>
  <c r="CL261" i="12" s="1"/>
  <c r="CK209" i="12"/>
  <c r="CJ209" i="12"/>
  <c r="CI209" i="12"/>
  <c r="CI261" i="12" s="1"/>
  <c r="CH209" i="12"/>
  <c r="CH261" i="12" s="1"/>
  <c r="CG209" i="12"/>
  <c r="CF209" i="12"/>
  <c r="CE209" i="12"/>
  <c r="CE261" i="12" s="1"/>
  <c r="CD209" i="12"/>
  <c r="CC209" i="12"/>
  <c r="CB209" i="12"/>
  <c r="CA209" i="12"/>
  <c r="CA261" i="12" s="1"/>
  <c r="BZ209" i="12"/>
  <c r="BY209" i="12"/>
  <c r="BX209" i="12"/>
  <c r="BW209" i="12"/>
  <c r="BW261" i="12" s="1"/>
  <c r="BV209" i="12"/>
  <c r="BV261" i="12" s="1"/>
  <c r="BU209" i="12"/>
  <c r="BT209" i="12"/>
  <c r="BS209" i="12"/>
  <c r="BS261" i="12" s="1"/>
  <c r="BR209" i="12"/>
  <c r="BR261" i="12" s="1"/>
  <c r="BQ209" i="12"/>
  <c r="BP209" i="12"/>
  <c r="BO209" i="12"/>
  <c r="BO261" i="12" s="1"/>
  <c r="BN209" i="12"/>
  <c r="BN261" i="12" s="1"/>
  <c r="BM209" i="12"/>
  <c r="BL209" i="12"/>
  <c r="BK209" i="12"/>
  <c r="BK261" i="12" s="1"/>
  <c r="BJ209" i="12"/>
  <c r="BJ261" i="12" s="1"/>
  <c r="BI209" i="12"/>
  <c r="BH209" i="12"/>
  <c r="BG209" i="12"/>
  <c r="BG261" i="12" s="1"/>
  <c r="BF209" i="12"/>
  <c r="BF261" i="12" s="1"/>
  <c r="BE209" i="12"/>
  <c r="BD209" i="12"/>
  <c r="BC209" i="12"/>
  <c r="BC261" i="12" s="1"/>
  <c r="BB209" i="12"/>
  <c r="BB261" i="12" s="1"/>
  <c r="BA209" i="12"/>
  <c r="AZ209" i="12"/>
  <c r="AY209" i="12"/>
  <c r="AY261" i="12" s="1"/>
  <c r="AX209" i="12"/>
  <c r="AW209" i="12"/>
  <c r="AV209" i="12"/>
  <c r="AU209" i="12"/>
  <c r="AU261" i="12" s="1"/>
  <c r="AT209" i="12"/>
  <c r="AS209" i="12"/>
  <c r="AR209" i="12"/>
  <c r="AQ209" i="12"/>
  <c r="AQ261" i="12" s="1"/>
  <c r="AP209" i="12"/>
  <c r="AP261" i="12" s="1"/>
  <c r="AO209" i="12"/>
  <c r="AN209" i="12"/>
  <c r="AM209" i="12"/>
  <c r="AM261" i="12" s="1"/>
  <c r="AL209" i="12"/>
  <c r="AL261" i="12" s="1"/>
  <c r="AK209" i="12"/>
  <c r="AJ209" i="12"/>
  <c r="AI209" i="12"/>
  <c r="AI261" i="12" s="1"/>
  <c r="AH209" i="12"/>
  <c r="AH261" i="12" s="1"/>
  <c r="AG209" i="12"/>
  <c r="AF209" i="12"/>
  <c r="AE209" i="12"/>
  <c r="AE261" i="12" s="1"/>
  <c r="AD209" i="12"/>
  <c r="AD261" i="12" s="1"/>
  <c r="AC209" i="12"/>
  <c r="AB209" i="12"/>
  <c r="AA209" i="12"/>
  <c r="AA261" i="12" s="1"/>
  <c r="Z209" i="12"/>
  <c r="Z261" i="12" s="1"/>
  <c r="Y209" i="12"/>
  <c r="X209" i="12"/>
  <c r="W209" i="12"/>
  <c r="W261" i="12" s="1"/>
  <c r="V209" i="12"/>
  <c r="V261" i="12" s="1"/>
  <c r="U209" i="12"/>
  <c r="T209" i="12"/>
  <c r="S209" i="12"/>
  <c r="S261" i="12" s="1"/>
  <c r="R209" i="12"/>
  <c r="Q209" i="12"/>
  <c r="P209" i="12"/>
  <c r="O209" i="12"/>
  <c r="O261" i="12" s="1"/>
  <c r="N209" i="12"/>
  <c r="M209" i="12"/>
  <c r="L209" i="12"/>
  <c r="K209" i="12"/>
  <c r="K261" i="12" s="1"/>
  <c r="J209" i="12"/>
  <c r="J261" i="12" s="1"/>
  <c r="I209" i="12"/>
  <c r="H209" i="12"/>
  <c r="G209" i="12"/>
  <c r="G261" i="12" s="1"/>
  <c r="F209" i="12"/>
  <c r="F261" i="12" s="1"/>
  <c r="E209" i="12"/>
  <c r="D209" i="12"/>
  <c r="CX208" i="12"/>
  <c r="CX260" i="12" s="1"/>
  <c r="CW208" i="12"/>
  <c r="CW260" i="12" s="1"/>
  <c r="CV208" i="12"/>
  <c r="CU208" i="12"/>
  <c r="CT208" i="12"/>
  <c r="CT260" i="12" s="1"/>
  <c r="CS208" i="12"/>
  <c r="CS260" i="12" s="1"/>
  <c r="CR208" i="12"/>
  <c r="CQ208" i="12"/>
  <c r="CP208" i="12"/>
  <c r="CP260" i="12" s="1"/>
  <c r="CO208" i="12"/>
  <c r="CO260" i="12" s="1"/>
  <c r="CN208" i="12"/>
  <c r="CM208" i="12"/>
  <c r="CL208" i="12"/>
  <c r="CL260" i="12" s="1"/>
  <c r="CK208" i="12"/>
  <c r="CK260" i="12" s="1"/>
  <c r="CJ208" i="12"/>
  <c r="CI208" i="12"/>
  <c r="CH208" i="12"/>
  <c r="CH260" i="12" s="1"/>
  <c r="CG208" i="12"/>
  <c r="CG260" i="12" s="1"/>
  <c r="CF208" i="12"/>
  <c r="CE208" i="12"/>
  <c r="CD208" i="12"/>
  <c r="CD260" i="12" s="1"/>
  <c r="CC208" i="12"/>
  <c r="CC260" i="12" s="1"/>
  <c r="CB208" i="12"/>
  <c r="CA208" i="12"/>
  <c r="BZ208" i="12"/>
  <c r="BZ260" i="12" s="1"/>
  <c r="BY208" i="12"/>
  <c r="BY260" i="12" s="1"/>
  <c r="BX208" i="12"/>
  <c r="BW208" i="12"/>
  <c r="BV208" i="12"/>
  <c r="BV260" i="12" s="1"/>
  <c r="BU208" i="12"/>
  <c r="BU260" i="12" s="1"/>
  <c r="BT208" i="12"/>
  <c r="BS208" i="12"/>
  <c r="BR208" i="12"/>
  <c r="BQ208" i="12"/>
  <c r="BQ260" i="12" s="1"/>
  <c r="BP208" i="12"/>
  <c r="BO208" i="12"/>
  <c r="BN208" i="12"/>
  <c r="BM208" i="12"/>
  <c r="BM260" i="12" s="1"/>
  <c r="BL208" i="12"/>
  <c r="BK208" i="12"/>
  <c r="BJ208" i="12"/>
  <c r="BJ260" i="12" s="1"/>
  <c r="BI208" i="12"/>
  <c r="BI260" i="12" s="1"/>
  <c r="BH208" i="12"/>
  <c r="BG208" i="12"/>
  <c r="BF208" i="12"/>
  <c r="BF260" i="12" s="1"/>
  <c r="BE208" i="12"/>
  <c r="BE260" i="12" s="1"/>
  <c r="BD208" i="12"/>
  <c r="BC208" i="12"/>
  <c r="BB208" i="12"/>
  <c r="BA208" i="12"/>
  <c r="BA260" i="12" s="1"/>
  <c r="AZ208" i="12"/>
  <c r="AY208" i="12"/>
  <c r="AX208" i="12"/>
  <c r="AX260" i="12" s="1"/>
  <c r="AW208" i="12"/>
  <c r="AW260" i="12" s="1"/>
  <c r="AV208" i="12"/>
  <c r="AU208" i="12"/>
  <c r="AT208" i="12"/>
  <c r="AT260" i="12" s="1"/>
  <c r="AS208" i="12"/>
  <c r="AS260" i="12" s="1"/>
  <c r="AR208" i="12"/>
  <c r="AQ208" i="12"/>
  <c r="AP208" i="12"/>
  <c r="AP260" i="12" s="1"/>
  <c r="AO208" i="12"/>
  <c r="AO260" i="12" s="1"/>
  <c r="AN208" i="12"/>
  <c r="AM208" i="12"/>
  <c r="AL208" i="12"/>
  <c r="AK208" i="12"/>
  <c r="AK260" i="12" s="1"/>
  <c r="AJ208" i="12"/>
  <c r="AI208" i="12"/>
  <c r="AH208" i="12"/>
  <c r="AH260" i="12" s="1"/>
  <c r="AG208" i="12"/>
  <c r="AG260" i="12" s="1"/>
  <c r="AF208" i="12"/>
  <c r="AE208" i="12"/>
  <c r="AD208" i="12"/>
  <c r="AD260" i="12" s="1"/>
  <c r="AC208" i="12"/>
  <c r="AC260" i="12" s="1"/>
  <c r="AB208" i="12"/>
  <c r="AA208" i="12"/>
  <c r="Z208" i="12"/>
  <c r="Z260" i="12" s="1"/>
  <c r="Y208" i="12"/>
  <c r="Y260" i="12" s="1"/>
  <c r="X208" i="12"/>
  <c r="W208" i="12"/>
  <c r="V208" i="12"/>
  <c r="U208" i="12"/>
  <c r="U260" i="12" s="1"/>
  <c r="T208" i="12"/>
  <c r="S208" i="12"/>
  <c r="R208" i="12"/>
  <c r="R260" i="12" s="1"/>
  <c r="Q208" i="12"/>
  <c r="Q260" i="12" s="1"/>
  <c r="P208" i="12"/>
  <c r="O208" i="12"/>
  <c r="N208" i="12"/>
  <c r="N260" i="12" s="1"/>
  <c r="M208" i="12"/>
  <c r="M260" i="12" s="1"/>
  <c r="L208" i="12"/>
  <c r="K208" i="12"/>
  <c r="J208" i="12"/>
  <c r="J260" i="12" s="1"/>
  <c r="I208" i="12"/>
  <c r="I260" i="12" s="1"/>
  <c r="H208" i="12"/>
  <c r="G208" i="12"/>
  <c r="F208" i="12"/>
  <c r="E208" i="12"/>
  <c r="E260" i="12" s="1"/>
  <c r="D208" i="12"/>
  <c r="CX207" i="12"/>
  <c r="CW207" i="12"/>
  <c r="CW259" i="12" s="1"/>
  <c r="CV207" i="12"/>
  <c r="CV259" i="12" s="1"/>
  <c r="CU207" i="12"/>
  <c r="CT207" i="12"/>
  <c r="CS207" i="12"/>
  <c r="CS259" i="12" s="1"/>
  <c r="CR207" i="12"/>
  <c r="CR259" i="12" s="1"/>
  <c r="CQ207" i="12"/>
  <c r="CP207" i="12"/>
  <c r="CO207" i="12"/>
  <c r="CO259" i="12" s="1"/>
  <c r="CN207" i="12"/>
  <c r="CN259" i="12" s="1"/>
  <c r="CM207" i="12"/>
  <c r="CL207" i="12"/>
  <c r="CK207" i="12"/>
  <c r="CK259" i="12" s="1"/>
  <c r="CJ207" i="12"/>
  <c r="CJ259" i="12" s="1"/>
  <c r="CI207" i="12"/>
  <c r="CH207" i="12"/>
  <c r="CG207" i="12"/>
  <c r="CG259" i="12" s="1"/>
  <c r="CF207" i="12"/>
  <c r="CF259" i="12" s="1"/>
  <c r="CE207" i="12"/>
  <c r="CD207" i="12"/>
  <c r="CC207" i="12"/>
  <c r="CC259" i="12" s="1"/>
  <c r="CB207" i="12"/>
  <c r="CB259" i="12" s="1"/>
  <c r="CA207" i="12"/>
  <c r="BZ207" i="12"/>
  <c r="BY207" i="12"/>
  <c r="BY259" i="12" s="1"/>
  <c r="BX207" i="12"/>
  <c r="BX259" i="12" s="1"/>
  <c r="BW207" i="12"/>
  <c r="BV207" i="12"/>
  <c r="BU207" i="12"/>
  <c r="BU259" i="12" s="1"/>
  <c r="BT207" i="12"/>
  <c r="BT259" i="12" s="1"/>
  <c r="BS207" i="12"/>
  <c r="BR207" i="12"/>
  <c r="BQ207" i="12"/>
  <c r="BQ259" i="12" s="1"/>
  <c r="BP207" i="12"/>
  <c r="BP259" i="12" s="1"/>
  <c r="BO207" i="12"/>
  <c r="BN207" i="12"/>
  <c r="BM207" i="12"/>
  <c r="BM259" i="12" s="1"/>
  <c r="BL207" i="12"/>
  <c r="BL259" i="12" s="1"/>
  <c r="BK207" i="12"/>
  <c r="BJ207" i="12"/>
  <c r="BI207" i="12"/>
  <c r="BI259" i="12" s="1"/>
  <c r="BH207" i="12"/>
  <c r="BH259" i="12" s="1"/>
  <c r="BG207" i="12"/>
  <c r="BF207" i="12"/>
  <c r="BE207" i="12"/>
  <c r="BE259" i="12" s="1"/>
  <c r="BD207" i="12"/>
  <c r="BD259" i="12" s="1"/>
  <c r="BC207" i="12"/>
  <c r="BB207" i="12"/>
  <c r="BA207" i="12"/>
  <c r="BA259" i="12" s="1"/>
  <c r="AZ207" i="12"/>
  <c r="AZ259" i="12" s="1"/>
  <c r="AY207" i="12"/>
  <c r="AX207" i="12"/>
  <c r="AW207" i="12"/>
  <c r="AW259" i="12" s="1"/>
  <c r="AV207" i="12"/>
  <c r="AV259" i="12" s="1"/>
  <c r="AU207" i="12"/>
  <c r="AT207" i="12"/>
  <c r="AS207" i="12"/>
  <c r="AS259" i="12" s="1"/>
  <c r="AR207" i="12"/>
  <c r="AR259" i="12" s="1"/>
  <c r="AQ207" i="12"/>
  <c r="AP207" i="12"/>
  <c r="AO207" i="12"/>
  <c r="AO259" i="12" s="1"/>
  <c r="AN207" i="12"/>
  <c r="AN259" i="12" s="1"/>
  <c r="AM207" i="12"/>
  <c r="AL207" i="12"/>
  <c r="AK207" i="12"/>
  <c r="AK259" i="12" s="1"/>
  <c r="AJ207" i="12"/>
  <c r="AJ259" i="12" s="1"/>
  <c r="AI207" i="12"/>
  <c r="AH207" i="12"/>
  <c r="AG207" i="12"/>
  <c r="AG259" i="12" s="1"/>
  <c r="AF207" i="12"/>
  <c r="AF259" i="12" s="1"/>
  <c r="AE207" i="12"/>
  <c r="AD207" i="12"/>
  <c r="AC207" i="12"/>
  <c r="AC259" i="12" s="1"/>
  <c r="AB207" i="12"/>
  <c r="AB259" i="12" s="1"/>
  <c r="AA207" i="12"/>
  <c r="Z207" i="12"/>
  <c r="Y207" i="12"/>
  <c r="Y259" i="12" s="1"/>
  <c r="X207" i="12"/>
  <c r="X259" i="12" s="1"/>
  <c r="W207" i="12"/>
  <c r="V207" i="12"/>
  <c r="U207" i="12"/>
  <c r="U259" i="12" s="1"/>
  <c r="T207" i="12"/>
  <c r="T259" i="12" s="1"/>
  <c r="S207" i="12"/>
  <c r="R207" i="12"/>
  <c r="Q207" i="12"/>
  <c r="Q259" i="12" s="1"/>
  <c r="P207" i="12"/>
  <c r="P259" i="12" s="1"/>
  <c r="O207" i="12"/>
  <c r="N207" i="12"/>
  <c r="M207" i="12"/>
  <c r="M259" i="12" s="1"/>
  <c r="L207" i="12"/>
  <c r="L259" i="12" s="1"/>
  <c r="K207" i="12"/>
  <c r="J207" i="12"/>
  <c r="I207" i="12"/>
  <c r="I259" i="12" s="1"/>
  <c r="H207" i="12"/>
  <c r="H259" i="12" s="1"/>
  <c r="G207" i="12"/>
  <c r="F207" i="12"/>
  <c r="E207" i="12"/>
  <c r="E259" i="12" s="1"/>
  <c r="D207" i="12"/>
  <c r="CX206" i="12"/>
  <c r="CW206" i="12"/>
  <c r="CV206" i="12"/>
  <c r="CV258" i="12" s="1"/>
  <c r="CU206" i="12"/>
  <c r="CT206" i="12"/>
  <c r="CS206" i="12"/>
  <c r="CR206" i="12"/>
  <c r="CR258" i="12" s="1"/>
  <c r="CQ206" i="12"/>
  <c r="CP206" i="12"/>
  <c r="CO206" i="12"/>
  <c r="CN206" i="12"/>
  <c r="CN258" i="12" s="1"/>
  <c r="CM206" i="12"/>
  <c r="CM258" i="12" s="1"/>
  <c r="CL206" i="12"/>
  <c r="CK206" i="12"/>
  <c r="CJ206" i="12"/>
  <c r="CJ258" i="12" s="1"/>
  <c r="CI206" i="12"/>
  <c r="CI258" i="12" s="1"/>
  <c r="CH206" i="12"/>
  <c r="CG206" i="12"/>
  <c r="CF206" i="12"/>
  <c r="CF258" i="12" s="1"/>
  <c r="CE206" i="12"/>
  <c r="CD206" i="12"/>
  <c r="CC206" i="12"/>
  <c r="CB206" i="12"/>
  <c r="CB258" i="12" s="1"/>
  <c r="CA206" i="12"/>
  <c r="BZ206" i="12"/>
  <c r="BY206" i="12"/>
  <c r="BX206" i="12"/>
  <c r="BX258" i="12" s="1"/>
  <c r="BW206" i="12"/>
  <c r="BW258" i="12" s="1"/>
  <c r="BV206" i="12"/>
  <c r="BU206" i="12"/>
  <c r="BT206" i="12"/>
  <c r="BT258" i="12" s="1"/>
  <c r="BS206" i="12"/>
  <c r="BS258" i="12" s="1"/>
  <c r="BR206" i="12"/>
  <c r="BQ206" i="12"/>
  <c r="BP206" i="12"/>
  <c r="BP258" i="12" s="1"/>
  <c r="BO206" i="12"/>
  <c r="BN206" i="12"/>
  <c r="BM206" i="12"/>
  <c r="BL206" i="12"/>
  <c r="BL258" i="12" s="1"/>
  <c r="BK206" i="12"/>
  <c r="BJ206" i="12"/>
  <c r="BI206" i="12"/>
  <c r="BH206" i="12"/>
  <c r="BH258" i="12" s="1"/>
  <c r="BG206" i="12"/>
  <c r="BG258" i="12" s="1"/>
  <c r="BF206" i="12"/>
  <c r="BE206" i="12"/>
  <c r="BD206" i="12"/>
  <c r="BD258" i="12" s="1"/>
  <c r="BC206" i="12"/>
  <c r="BC258" i="12" s="1"/>
  <c r="BB206" i="12"/>
  <c r="BA206" i="12"/>
  <c r="AZ206" i="12"/>
  <c r="AZ258" i="12" s="1"/>
  <c r="AY206" i="12"/>
  <c r="AX206" i="12"/>
  <c r="AW206" i="12"/>
  <c r="AV206" i="12"/>
  <c r="AV258" i="12" s="1"/>
  <c r="AU206" i="12"/>
  <c r="AT206" i="12"/>
  <c r="AS206" i="12"/>
  <c r="AR206" i="12"/>
  <c r="AR258" i="12" s="1"/>
  <c r="AQ206" i="12"/>
  <c r="AQ258" i="12" s="1"/>
  <c r="AP206" i="12"/>
  <c r="AO206" i="12"/>
  <c r="AN206" i="12"/>
  <c r="AN258" i="12" s="1"/>
  <c r="AM206" i="12"/>
  <c r="AM258" i="12" s="1"/>
  <c r="AL206" i="12"/>
  <c r="AK206" i="12"/>
  <c r="AJ206" i="12"/>
  <c r="AJ258" i="12" s="1"/>
  <c r="AI206" i="12"/>
  <c r="AH206" i="12"/>
  <c r="AG206" i="12"/>
  <c r="AF206" i="12"/>
  <c r="AF258" i="12" s="1"/>
  <c r="AE206" i="12"/>
  <c r="AD206" i="12"/>
  <c r="AC206" i="12"/>
  <c r="AB206" i="12"/>
  <c r="AB258" i="12" s="1"/>
  <c r="AA206" i="12"/>
  <c r="AA258" i="12" s="1"/>
  <c r="Z206" i="12"/>
  <c r="Y206" i="12"/>
  <c r="X206" i="12"/>
  <c r="X258" i="12" s="1"/>
  <c r="W206" i="12"/>
  <c r="W258" i="12" s="1"/>
  <c r="V206" i="12"/>
  <c r="U206" i="12"/>
  <c r="T206" i="12"/>
  <c r="T258" i="12" s="1"/>
  <c r="S206" i="12"/>
  <c r="R206" i="12"/>
  <c r="Q206" i="12"/>
  <c r="P206" i="12"/>
  <c r="P258" i="12" s="1"/>
  <c r="O206" i="12"/>
  <c r="N206" i="12"/>
  <c r="M206" i="12"/>
  <c r="L206" i="12"/>
  <c r="L258" i="12" s="1"/>
  <c r="K206" i="12"/>
  <c r="K258" i="12" s="1"/>
  <c r="J206" i="12"/>
  <c r="I206" i="12"/>
  <c r="H206" i="12"/>
  <c r="H258" i="12" s="1"/>
  <c r="G206" i="12"/>
  <c r="G258" i="12" s="1"/>
  <c r="F206" i="12"/>
  <c r="E206" i="12"/>
  <c r="D206" i="12"/>
  <c r="D258" i="12" s="1"/>
  <c r="CX205" i="12"/>
  <c r="CX257" i="12" s="1"/>
  <c r="CW205" i="12"/>
  <c r="CV205" i="12"/>
  <c r="CU205" i="12"/>
  <c r="CU257" i="12" s="1"/>
  <c r="CT205" i="12"/>
  <c r="CT257" i="12" s="1"/>
  <c r="CS205" i="12"/>
  <c r="CR205" i="12"/>
  <c r="CQ205" i="12"/>
  <c r="CQ257" i="12" s="1"/>
  <c r="CP205" i="12"/>
  <c r="CP257" i="12" s="1"/>
  <c r="CO205" i="12"/>
  <c r="CN205" i="12"/>
  <c r="CM205" i="12"/>
  <c r="CM257" i="12" s="1"/>
  <c r="CL205" i="12"/>
  <c r="CL257" i="12" s="1"/>
  <c r="CK205" i="12"/>
  <c r="CJ205" i="12"/>
  <c r="CI205" i="12"/>
  <c r="CI257" i="12" s="1"/>
  <c r="CH205" i="12"/>
  <c r="CH257" i="12" s="1"/>
  <c r="CG205" i="12"/>
  <c r="CF205" i="12"/>
  <c r="CE205" i="12"/>
  <c r="CE257" i="12" s="1"/>
  <c r="CD205" i="12"/>
  <c r="CD257" i="12" s="1"/>
  <c r="CC205" i="12"/>
  <c r="CB205" i="12"/>
  <c r="CA205" i="12"/>
  <c r="CA257" i="12" s="1"/>
  <c r="BZ205" i="12"/>
  <c r="BZ257" i="12" s="1"/>
  <c r="BY205" i="12"/>
  <c r="BX205" i="12"/>
  <c r="BW205" i="12"/>
  <c r="BW257" i="12" s="1"/>
  <c r="BV205" i="12"/>
  <c r="BV257" i="12" s="1"/>
  <c r="BU205" i="12"/>
  <c r="BT205" i="12"/>
  <c r="BS205" i="12"/>
  <c r="BS257" i="12" s="1"/>
  <c r="BR205" i="12"/>
  <c r="BR257" i="12" s="1"/>
  <c r="BQ205" i="12"/>
  <c r="BP205" i="12"/>
  <c r="BO205" i="12"/>
  <c r="BO257" i="12" s="1"/>
  <c r="BN205" i="12"/>
  <c r="BN257" i="12" s="1"/>
  <c r="BM205" i="12"/>
  <c r="BL205" i="12"/>
  <c r="BK205" i="12"/>
  <c r="BK257" i="12" s="1"/>
  <c r="BJ205" i="12"/>
  <c r="BJ257" i="12" s="1"/>
  <c r="BI205" i="12"/>
  <c r="BH205" i="12"/>
  <c r="BG205" i="12"/>
  <c r="BG257" i="12" s="1"/>
  <c r="BF205" i="12"/>
  <c r="BF257" i="12" s="1"/>
  <c r="BE205" i="12"/>
  <c r="BD205" i="12"/>
  <c r="BC205" i="12"/>
  <c r="BC257" i="12" s="1"/>
  <c r="BB205" i="12"/>
  <c r="BB257" i="12" s="1"/>
  <c r="BA205" i="12"/>
  <c r="AZ205" i="12"/>
  <c r="AY205" i="12"/>
  <c r="AY257" i="12" s="1"/>
  <c r="AX205" i="12"/>
  <c r="AX257" i="12" s="1"/>
  <c r="AW205" i="12"/>
  <c r="AV205" i="12"/>
  <c r="AU205" i="12"/>
  <c r="AU257" i="12" s="1"/>
  <c r="AT205" i="12"/>
  <c r="AT257" i="12" s="1"/>
  <c r="AS205" i="12"/>
  <c r="AR205" i="12"/>
  <c r="AQ205" i="12"/>
  <c r="AQ257" i="12" s="1"/>
  <c r="AP205" i="12"/>
  <c r="AP257" i="12" s="1"/>
  <c r="AO205" i="12"/>
  <c r="AN205" i="12"/>
  <c r="AM205" i="12"/>
  <c r="AM257" i="12" s="1"/>
  <c r="AL205" i="12"/>
  <c r="AL257" i="12" s="1"/>
  <c r="AK205" i="12"/>
  <c r="AJ205" i="12"/>
  <c r="AI205" i="12"/>
  <c r="AI257" i="12" s="1"/>
  <c r="AH205" i="12"/>
  <c r="AH257" i="12" s="1"/>
  <c r="AG205" i="12"/>
  <c r="AF205" i="12"/>
  <c r="AE205" i="12"/>
  <c r="AE257" i="12" s="1"/>
  <c r="AD205" i="12"/>
  <c r="AD257" i="12" s="1"/>
  <c r="AC205" i="12"/>
  <c r="AB205" i="12"/>
  <c r="AA205" i="12"/>
  <c r="AA257" i="12" s="1"/>
  <c r="Z205" i="12"/>
  <c r="Z257" i="12" s="1"/>
  <c r="Y205" i="12"/>
  <c r="X205" i="12"/>
  <c r="W205" i="12"/>
  <c r="W257" i="12" s="1"/>
  <c r="V205" i="12"/>
  <c r="V257" i="12" s="1"/>
  <c r="U205" i="12"/>
  <c r="T205" i="12"/>
  <c r="S205" i="12"/>
  <c r="S257" i="12" s="1"/>
  <c r="R205" i="12"/>
  <c r="R257" i="12" s="1"/>
  <c r="Q205" i="12"/>
  <c r="P205" i="12"/>
  <c r="O205" i="12"/>
  <c r="O257" i="12" s="1"/>
  <c r="N205" i="12"/>
  <c r="N257" i="12" s="1"/>
  <c r="M205" i="12"/>
  <c r="L205" i="12"/>
  <c r="K205" i="12"/>
  <c r="K257" i="12" s="1"/>
  <c r="J205" i="12"/>
  <c r="J257" i="12" s="1"/>
  <c r="I205" i="12"/>
  <c r="H205" i="12"/>
  <c r="G205" i="12"/>
  <c r="G257" i="12" s="1"/>
  <c r="F205" i="12"/>
  <c r="F257" i="12" s="1"/>
  <c r="E205" i="12"/>
  <c r="D205" i="12"/>
  <c r="CX204" i="12"/>
  <c r="CW204" i="12"/>
  <c r="CW256" i="12" s="1"/>
  <c r="CV204" i="12"/>
  <c r="CU204" i="12"/>
  <c r="CT204" i="12"/>
  <c r="CT256" i="12" s="1"/>
  <c r="CS204" i="12"/>
  <c r="CS256" i="12" s="1"/>
  <c r="CR204" i="12"/>
  <c r="CQ204" i="12"/>
  <c r="CP204" i="12"/>
  <c r="CP256" i="12" s="1"/>
  <c r="CO204" i="12"/>
  <c r="CO256" i="12" s="1"/>
  <c r="CN204" i="12"/>
  <c r="CM204" i="12"/>
  <c r="CL204" i="12"/>
  <c r="CL256" i="12" s="1"/>
  <c r="CK204" i="12"/>
  <c r="CK256" i="12" s="1"/>
  <c r="CJ204" i="12"/>
  <c r="CI204" i="12"/>
  <c r="CH204" i="12"/>
  <c r="CH256" i="12" s="1"/>
  <c r="CG204" i="12"/>
  <c r="CG256" i="12" s="1"/>
  <c r="CF204" i="12"/>
  <c r="CE204" i="12"/>
  <c r="CD204" i="12"/>
  <c r="CD256" i="12" s="1"/>
  <c r="CC204" i="12"/>
  <c r="CC256" i="12" s="1"/>
  <c r="CB204" i="12"/>
  <c r="CA204" i="12"/>
  <c r="BZ204" i="12"/>
  <c r="BZ256" i="12" s="1"/>
  <c r="BY204" i="12"/>
  <c r="BY256" i="12" s="1"/>
  <c r="BX204" i="12"/>
  <c r="BW204" i="12"/>
  <c r="BV204" i="12"/>
  <c r="BV256" i="12" s="1"/>
  <c r="BU204" i="12"/>
  <c r="BU256" i="12" s="1"/>
  <c r="BT204" i="12"/>
  <c r="BS204" i="12"/>
  <c r="BR204" i="12"/>
  <c r="BR256" i="12" s="1"/>
  <c r="BQ204" i="12"/>
  <c r="BQ256" i="12" s="1"/>
  <c r="BP204" i="12"/>
  <c r="BO204" i="12"/>
  <c r="BN204" i="12"/>
  <c r="BN256" i="12" s="1"/>
  <c r="BM204" i="12"/>
  <c r="BM256" i="12" s="1"/>
  <c r="BL204" i="12"/>
  <c r="BK204" i="12"/>
  <c r="BJ204" i="12"/>
  <c r="BJ256" i="12" s="1"/>
  <c r="BI204" i="12"/>
  <c r="BI256" i="12" s="1"/>
  <c r="BH204" i="12"/>
  <c r="BG204" i="12"/>
  <c r="BF204" i="12"/>
  <c r="BF256" i="12" s="1"/>
  <c r="BE204" i="12"/>
  <c r="BE256" i="12" s="1"/>
  <c r="BD204" i="12"/>
  <c r="BC204" i="12"/>
  <c r="BB204" i="12"/>
  <c r="BB256" i="12" s="1"/>
  <c r="BA204" i="12"/>
  <c r="BA256" i="12" s="1"/>
  <c r="AZ204" i="12"/>
  <c r="AY204" i="12"/>
  <c r="AX204" i="12"/>
  <c r="AX256" i="12" s="1"/>
  <c r="AW204" i="12"/>
  <c r="AW256" i="12" s="1"/>
  <c r="AV204" i="12"/>
  <c r="AU204" i="12"/>
  <c r="AT204" i="12"/>
  <c r="AT256" i="12" s="1"/>
  <c r="AS204" i="12"/>
  <c r="AS256" i="12" s="1"/>
  <c r="AR204" i="12"/>
  <c r="AQ204" i="12"/>
  <c r="AP204" i="12"/>
  <c r="AP256" i="12" s="1"/>
  <c r="AO204" i="12"/>
  <c r="AO256" i="12" s="1"/>
  <c r="AN204" i="12"/>
  <c r="AM204" i="12"/>
  <c r="AL204" i="12"/>
  <c r="AL256" i="12" s="1"/>
  <c r="AK204" i="12"/>
  <c r="AK256" i="12" s="1"/>
  <c r="AJ204" i="12"/>
  <c r="AI204" i="12"/>
  <c r="AH204" i="12"/>
  <c r="AH256" i="12" s="1"/>
  <c r="AG204" i="12"/>
  <c r="AG256" i="12" s="1"/>
  <c r="AF204" i="12"/>
  <c r="AE204" i="12"/>
  <c r="AD204" i="12"/>
  <c r="AD256" i="12" s="1"/>
  <c r="AC204" i="12"/>
  <c r="AC256" i="12" s="1"/>
  <c r="AB204" i="12"/>
  <c r="AA204" i="12"/>
  <c r="Z204" i="12"/>
  <c r="Z256" i="12" s="1"/>
  <c r="Y204" i="12"/>
  <c r="Y256" i="12" s="1"/>
  <c r="X204" i="12"/>
  <c r="W204" i="12"/>
  <c r="V204" i="12"/>
  <c r="V256" i="12" s="1"/>
  <c r="U204" i="12"/>
  <c r="U256" i="12" s="1"/>
  <c r="T204" i="12"/>
  <c r="S204" i="12"/>
  <c r="R204" i="12"/>
  <c r="R256" i="12" s="1"/>
  <c r="Q204" i="12"/>
  <c r="Q256" i="12" s="1"/>
  <c r="P204" i="12"/>
  <c r="O204" i="12"/>
  <c r="N204" i="12"/>
  <c r="N256" i="12" s="1"/>
  <c r="M204" i="12"/>
  <c r="M256" i="12" s="1"/>
  <c r="L204" i="12"/>
  <c r="K204" i="12"/>
  <c r="J204" i="12"/>
  <c r="J256" i="12" s="1"/>
  <c r="I204" i="12"/>
  <c r="I256" i="12" s="1"/>
  <c r="H204" i="12"/>
  <c r="G204" i="12"/>
  <c r="F204" i="12"/>
  <c r="F256" i="12" s="1"/>
  <c r="E204" i="12"/>
  <c r="E256" i="12" s="1"/>
  <c r="D204" i="12"/>
  <c r="CX203" i="12"/>
  <c r="CW203" i="12"/>
  <c r="CV203" i="12"/>
  <c r="CU203" i="12"/>
  <c r="CT203" i="12"/>
  <c r="CS203" i="12"/>
  <c r="CR203" i="12"/>
  <c r="CQ203" i="12"/>
  <c r="CP203" i="12"/>
  <c r="CO203" i="12"/>
  <c r="CN203" i="12"/>
  <c r="CM203" i="12"/>
  <c r="CL203" i="12"/>
  <c r="CK203" i="12"/>
  <c r="CJ203" i="12"/>
  <c r="CI203" i="12"/>
  <c r="CH203" i="12"/>
  <c r="CG203" i="12"/>
  <c r="CF203" i="12"/>
  <c r="CE203" i="12"/>
  <c r="CD203" i="12"/>
  <c r="CC203" i="12"/>
  <c r="CB203" i="12"/>
  <c r="CA203" i="12"/>
  <c r="BZ203" i="12"/>
  <c r="BY203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E203" i="12"/>
  <c r="BD203" i="12"/>
  <c r="BC203" i="12"/>
  <c r="BB203" i="12"/>
  <c r="BA203" i="12"/>
  <c r="AZ203" i="12"/>
  <c r="AY203" i="12"/>
  <c r="AX203" i="12"/>
  <c r="AW203" i="12"/>
  <c r="AV203" i="12"/>
  <c r="AU203" i="12"/>
  <c r="AT203" i="12"/>
  <c r="AS203" i="12"/>
  <c r="AR203" i="12"/>
  <c r="AQ203" i="12"/>
  <c r="AP203" i="12"/>
  <c r="AO203" i="12"/>
  <c r="AN203" i="12"/>
  <c r="AM203" i="12"/>
  <c r="AL203" i="12"/>
  <c r="AK203" i="12"/>
  <c r="AJ203" i="12"/>
  <c r="AI203" i="12"/>
  <c r="AH203" i="12"/>
  <c r="AG203" i="12"/>
  <c r="AF203" i="12"/>
  <c r="AE203" i="12"/>
  <c r="AD203" i="12"/>
  <c r="AC203" i="12"/>
  <c r="AB203" i="12"/>
  <c r="AA203" i="12"/>
  <c r="Z203" i="12"/>
  <c r="Y203" i="12"/>
  <c r="X203" i="12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K203" i="12"/>
  <c r="J203" i="12"/>
  <c r="I203" i="12"/>
  <c r="H203" i="12"/>
  <c r="G203" i="12"/>
  <c r="F203" i="12"/>
  <c r="E203" i="12"/>
  <c r="D203" i="12"/>
  <c r="CX202" i="12"/>
  <c r="CW202" i="12"/>
  <c r="CV202" i="12"/>
  <c r="CV254" i="12" s="1"/>
  <c r="CU202" i="12"/>
  <c r="CT202" i="12"/>
  <c r="CS202" i="12"/>
  <c r="CR202" i="12"/>
  <c r="CR254" i="12" s="1"/>
  <c r="CQ202" i="12"/>
  <c r="CP202" i="12"/>
  <c r="CO202" i="12"/>
  <c r="CN202" i="12"/>
  <c r="CN254" i="12" s="1"/>
  <c r="CM202" i="12"/>
  <c r="CL202" i="12"/>
  <c r="CK202" i="12"/>
  <c r="CJ202" i="12"/>
  <c r="CJ254" i="12" s="1"/>
  <c r="CI202" i="12"/>
  <c r="CH202" i="12"/>
  <c r="CG202" i="12"/>
  <c r="CF202" i="12"/>
  <c r="CF254" i="12" s="1"/>
  <c r="CE202" i="12"/>
  <c r="CD202" i="12"/>
  <c r="CC202" i="12"/>
  <c r="CB202" i="12"/>
  <c r="CB254" i="12" s="1"/>
  <c r="CA202" i="12"/>
  <c r="BZ202" i="12"/>
  <c r="BY202" i="12"/>
  <c r="BX202" i="12"/>
  <c r="BX254" i="12" s="1"/>
  <c r="BW202" i="12"/>
  <c r="BV202" i="12"/>
  <c r="BU202" i="12"/>
  <c r="BT202" i="12"/>
  <c r="BT254" i="12" s="1"/>
  <c r="BS202" i="12"/>
  <c r="BR202" i="12"/>
  <c r="BQ202" i="12"/>
  <c r="BP202" i="12"/>
  <c r="BP254" i="12" s="1"/>
  <c r="BO202" i="12"/>
  <c r="BN202" i="12"/>
  <c r="BM202" i="12"/>
  <c r="BL202" i="12"/>
  <c r="BL254" i="12" s="1"/>
  <c r="BK202" i="12"/>
  <c r="BJ202" i="12"/>
  <c r="BI202" i="12"/>
  <c r="BH202" i="12"/>
  <c r="BH254" i="12" s="1"/>
  <c r="BG202" i="12"/>
  <c r="BF202" i="12"/>
  <c r="BE202" i="12"/>
  <c r="BD202" i="12"/>
  <c r="BD254" i="12" s="1"/>
  <c r="BC202" i="12"/>
  <c r="BB202" i="12"/>
  <c r="BA202" i="12"/>
  <c r="AZ202" i="12"/>
  <c r="AZ254" i="12" s="1"/>
  <c r="AY202" i="12"/>
  <c r="AX202" i="12"/>
  <c r="AW202" i="12"/>
  <c r="AV202" i="12"/>
  <c r="AV254" i="12" s="1"/>
  <c r="AU202" i="12"/>
  <c r="AT202" i="12"/>
  <c r="AS202" i="12"/>
  <c r="AR202" i="12"/>
  <c r="AR254" i="12" s="1"/>
  <c r="AQ202" i="12"/>
  <c r="AP202" i="12"/>
  <c r="AO202" i="12"/>
  <c r="AN202" i="12"/>
  <c r="AN254" i="12" s="1"/>
  <c r="AM202" i="12"/>
  <c r="AL202" i="12"/>
  <c r="AK202" i="12"/>
  <c r="AJ202" i="12"/>
  <c r="AJ254" i="12" s="1"/>
  <c r="AI202" i="12"/>
  <c r="AH202" i="12"/>
  <c r="AG202" i="12"/>
  <c r="AF202" i="12"/>
  <c r="AF254" i="12" s="1"/>
  <c r="AE202" i="12"/>
  <c r="AD202" i="12"/>
  <c r="AC202" i="12"/>
  <c r="AB202" i="12"/>
  <c r="AB254" i="12" s="1"/>
  <c r="AA202" i="12"/>
  <c r="Z202" i="12"/>
  <c r="Y202" i="12"/>
  <c r="X202" i="12"/>
  <c r="X254" i="12" s="1"/>
  <c r="W202" i="12"/>
  <c r="V202" i="12"/>
  <c r="U202" i="12"/>
  <c r="T202" i="12"/>
  <c r="T254" i="12" s="1"/>
  <c r="S202" i="12"/>
  <c r="R202" i="12"/>
  <c r="Q202" i="12"/>
  <c r="P202" i="12"/>
  <c r="P254" i="12" s="1"/>
  <c r="O202" i="12"/>
  <c r="N202" i="12"/>
  <c r="M202" i="12"/>
  <c r="L202" i="12"/>
  <c r="L254" i="12" s="1"/>
  <c r="K202" i="12"/>
  <c r="J202" i="12"/>
  <c r="I202" i="12"/>
  <c r="H202" i="12"/>
  <c r="H254" i="12" s="1"/>
  <c r="G202" i="12"/>
  <c r="F202" i="12"/>
  <c r="E202" i="12"/>
  <c r="D202" i="12"/>
  <c r="D254" i="12" s="1"/>
  <c r="CX201" i="12"/>
  <c r="CX253" i="12" s="1"/>
  <c r="CW201" i="12"/>
  <c r="CV201" i="12"/>
  <c r="CU201" i="12"/>
  <c r="CU253" i="12" s="1"/>
  <c r="CT201" i="12"/>
  <c r="CT253" i="12" s="1"/>
  <c r="CS201" i="12"/>
  <c r="CR201" i="12"/>
  <c r="CQ201" i="12"/>
  <c r="CQ253" i="12" s="1"/>
  <c r="CP201" i="12"/>
  <c r="CP253" i="12" s="1"/>
  <c r="CO201" i="12"/>
  <c r="CN201" i="12"/>
  <c r="CM201" i="12"/>
  <c r="CM253" i="12" s="1"/>
  <c r="CL201" i="12"/>
  <c r="CL253" i="12" s="1"/>
  <c r="CK201" i="12"/>
  <c r="CJ201" i="12"/>
  <c r="CI201" i="12"/>
  <c r="CI253" i="12" s="1"/>
  <c r="CH201" i="12"/>
  <c r="CH253" i="12" s="1"/>
  <c r="CG201" i="12"/>
  <c r="CF201" i="12"/>
  <c r="CE201" i="12"/>
  <c r="CE253" i="12" s="1"/>
  <c r="CD201" i="12"/>
  <c r="CD253" i="12" s="1"/>
  <c r="CC201" i="12"/>
  <c r="CB201" i="12"/>
  <c r="CA201" i="12"/>
  <c r="CA253" i="12" s="1"/>
  <c r="BZ201" i="12"/>
  <c r="BZ253" i="12" s="1"/>
  <c r="BY201" i="12"/>
  <c r="BX201" i="12"/>
  <c r="BW201" i="12"/>
  <c r="BW253" i="12" s="1"/>
  <c r="BV201" i="12"/>
  <c r="BV253" i="12" s="1"/>
  <c r="BU201" i="12"/>
  <c r="BT201" i="12"/>
  <c r="BS201" i="12"/>
  <c r="BS253" i="12" s="1"/>
  <c r="BR201" i="12"/>
  <c r="BR253" i="12" s="1"/>
  <c r="BQ201" i="12"/>
  <c r="BP201" i="12"/>
  <c r="BO201" i="12"/>
  <c r="BO253" i="12" s="1"/>
  <c r="BN201" i="12"/>
  <c r="BN253" i="12" s="1"/>
  <c r="BM201" i="12"/>
  <c r="BL201" i="12"/>
  <c r="BK201" i="12"/>
  <c r="BK253" i="12" s="1"/>
  <c r="BJ201" i="12"/>
  <c r="BJ253" i="12" s="1"/>
  <c r="BI201" i="12"/>
  <c r="BH201" i="12"/>
  <c r="BG201" i="12"/>
  <c r="BG253" i="12" s="1"/>
  <c r="BF201" i="12"/>
  <c r="BF253" i="12" s="1"/>
  <c r="BE201" i="12"/>
  <c r="BD201" i="12"/>
  <c r="BC201" i="12"/>
  <c r="BC253" i="12" s="1"/>
  <c r="BB201" i="12"/>
  <c r="BB253" i="12" s="1"/>
  <c r="BA201" i="12"/>
  <c r="AZ201" i="12"/>
  <c r="AY201" i="12"/>
  <c r="AY253" i="12" s="1"/>
  <c r="AX201" i="12"/>
  <c r="AX253" i="12" s="1"/>
  <c r="AW201" i="12"/>
  <c r="AV201" i="12"/>
  <c r="AU201" i="12"/>
  <c r="AU253" i="12" s="1"/>
  <c r="AT201" i="12"/>
  <c r="AT253" i="12" s="1"/>
  <c r="AS201" i="12"/>
  <c r="AR201" i="12"/>
  <c r="AQ201" i="12"/>
  <c r="AQ253" i="12" s="1"/>
  <c r="AP201" i="12"/>
  <c r="AP253" i="12" s="1"/>
  <c r="AO201" i="12"/>
  <c r="AN201" i="12"/>
  <c r="AM201" i="12"/>
  <c r="AM253" i="12" s="1"/>
  <c r="AL201" i="12"/>
  <c r="AL253" i="12" s="1"/>
  <c r="AK201" i="12"/>
  <c r="AJ201" i="12"/>
  <c r="AI201" i="12"/>
  <c r="AI253" i="12" s="1"/>
  <c r="AH201" i="12"/>
  <c r="AH253" i="12" s="1"/>
  <c r="AG201" i="12"/>
  <c r="AF201" i="12"/>
  <c r="AE201" i="12"/>
  <c r="AE253" i="12" s="1"/>
  <c r="AD201" i="12"/>
  <c r="AD253" i="12" s="1"/>
  <c r="AC201" i="12"/>
  <c r="AB201" i="12"/>
  <c r="AA201" i="12"/>
  <c r="AA253" i="12" s="1"/>
  <c r="Z201" i="12"/>
  <c r="Z253" i="12" s="1"/>
  <c r="Y201" i="12"/>
  <c r="X201" i="12"/>
  <c r="W201" i="12"/>
  <c r="W253" i="12" s="1"/>
  <c r="V201" i="12"/>
  <c r="V253" i="12" s="1"/>
  <c r="U201" i="12"/>
  <c r="T201" i="12"/>
  <c r="S201" i="12"/>
  <c r="S253" i="12" s="1"/>
  <c r="R201" i="12"/>
  <c r="R253" i="12" s="1"/>
  <c r="Q201" i="12"/>
  <c r="P201" i="12"/>
  <c r="O201" i="12"/>
  <c r="O253" i="12" s="1"/>
  <c r="N201" i="12"/>
  <c r="N253" i="12" s="1"/>
  <c r="M201" i="12"/>
  <c r="L201" i="12"/>
  <c r="K201" i="12"/>
  <c r="K253" i="12" s="1"/>
  <c r="J201" i="12"/>
  <c r="J253" i="12" s="1"/>
  <c r="I201" i="12"/>
  <c r="H201" i="12"/>
  <c r="G201" i="12"/>
  <c r="G253" i="12" s="1"/>
  <c r="F201" i="12"/>
  <c r="F253" i="12" s="1"/>
  <c r="E201" i="12"/>
  <c r="D201" i="12"/>
  <c r="CX200" i="12"/>
  <c r="CX252" i="12" s="1"/>
  <c r="CW200" i="12"/>
  <c r="CW252" i="12" s="1"/>
  <c r="CV200" i="12"/>
  <c r="CU200" i="12"/>
  <c r="CT200" i="12"/>
  <c r="CT252" i="12" s="1"/>
  <c r="CS200" i="12"/>
  <c r="CS252" i="12" s="1"/>
  <c r="CR200" i="12"/>
  <c r="CQ200" i="12"/>
  <c r="CP200" i="12"/>
  <c r="CP252" i="12" s="1"/>
  <c r="CO200" i="12"/>
  <c r="CO252" i="12" s="1"/>
  <c r="CN200" i="12"/>
  <c r="CM200" i="12"/>
  <c r="CL200" i="12"/>
  <c r="CL252" i="12" s="1"/>
  <c r="CK200" i="12"/>
  <c r="CK252" i="12" s="1"/>
  <c r="CJ200" i="12"/>
  <c r="CI200" i="12"/>
  <c r="CH200" i="12"/>
  <c r="CH252" i="12" s="1"/>
  <c r="CG200" i="12"/>
  <c r="CG252" i="12" s="1"/>
  <c r="CF200" i="12"/>
  <c r="CE200" i="12"/>
  <c r="CD200" i="12"/>
  <c r="CD252" i="12" s="1"/>
  <c r="CC200" i="12"/>
  <c r="CC252" i="12" s="1"/>
  <c r="CB200" i="12"/>
  <c r="CA200" i="12"/>
  <c r="BZ200" i="12"/>
  <c r="BZ252" i="12" s="1"/>
  <c r="BY200" i="12"/>
  <c r="BY252" i="12" s="1"/>
  <c r="BX200" i="12"/>
  <c r="BW200" i="12"/>
  <c r="BV200" i="12"/>
  <c r="BV252" i="12" s="1"/>
  <c r="BU200" i="12"/>
  <c r="BU252" i="12" s="1"/>
  <c r="BT200" i="12"/>
  <c r="BS200" i="12"/>
  <c r="BR200" i="12"/>
  <c r="BR252" i="12" s="1"/>
  <c r="BQ200" i="12"/>
  <c r="BQ252" i="12" s="1"/>
  <c r="BP200" i="12"/>
  <c r="BO200" i="12"/>
  <c r="BN200" i="12"/>
  <c r="BN252" i="12" s="1"/>
  <c r="BM200" i="12"/>
  <c r="BM252" i="12" s="1"/>
  <c r="BL200" i="12"/>
  <c r="BK200" i="12"/>
  <c r="BJ200" i="12"/>
  <c r="BJ252" i="12" s="1"/>
  <c r="BI200" i="12"/>
  <c r="BI252" i="12" s="1"/>
  <c r="BH200" i="12"/>
  <c r="BG200" i="12"/>
  <c r="BF200" i="12"/>
  <c r="BF252" i="12" s="1"/>
  <c r="BE200" i="12"/>
  <c r="BE252" i="12" s="1"/>
  <c r="BD200" i="12"/>
  <c r="BC200" i="12"/>
  <c r="BB200" i="12"/>
  <c r="BB252" i="12" s="1"/>
  <c r="BA200" i="12"/>
  <c r="BA252" i="12" s="1"/>
  <c r="AZ200" i="12"/>
  <c r="AY200" i="12"/>
  <c r="AX200" i="12"/>
  <c r="AX252" i="12" s="1"/>
  <c r="AW200" i="12"/>
  <c r="AW252" i="12" s="1"/>
  <c r="AV200" i="12"/>
  <c r="AU200" i="12"/>
  <c r="AT200" i="12"/>
  <c r="AT252" i="12" s="1"/>
  <c r="AS200" i="12"/>
  <c r="AS252" i="12" s="1"/>
  <c r="AR200" i="12"/>
  <c r="AQ200" i="12"/>
  <c r="AP200" i="12"/>
  <c r="AP252" i="12" s="1"/>
  <c r="AO200" i="12"/>
  <c r="AO252" i="12" s="1"/>
  <c r="AN200" i="12"/>
  <c r="AM200" i="12"/>
  <c r="AL200" i="12"/>
  <c r="AL252" i="12" s="1"/>
  <c r="AK200" i="12"/>
  <c r="AK252" i="12" s="1"/>
  <c r="AJ200" i="12"/>
  <c r="AI200" i="12"/>
  <c r="AH200" i="12"/>
  <c r="AH252" i="12" s="1"/>
  <c r="AG200" i="12"/>
  <c r="AG252" i="12" s="1"/>
  <c r="AF200" i="12"/>
  <c r="AE200" i="12"/>
  <c r="AD200" i="12"/>
  <c r="AD252" i="12" s="1"/>
  <c r="AC200" i="12"/>
  <c r="AC252" i="12" s="1"/>
  <c r="AB200" i="12"/>
  <c r="AA200" i="12"/>
  <c r="Z200" i="12"/>
  <c r="Z252" i="12" s="1"/>
  <c r="Y200" i="12"/>
  <c r="Y252" i="12" s="1"/>
  <c r="X200" i="12"/>
  <c r="W200" i="12"/>
  <c r="V200" i="12"/>
  <c r="V252" i="12" s="1"/>
  <c r="U200" i="12"/>
  <c r="U252" i="12" s="1"/>
  <c r="T200" i="12"/>
  <c r="S200" i="12"/>
  <c r="R200" i="12"/>
  <c r="R252" i="12" s="1"/>
  <c r="Q200" i="12"/>
  <c r="Q252" i="12" s="1"/>
  <c r="P200" i="12"/>
  <c r="O200" i="12"/>
  <c r="N200" i="12"/>
  <c r="N252" i="12" s="1"/>
  <c r="M200" i="12"/>
  <c r="M252" i="12" s="1"/>
  <c r="L200" i="12"/>
  <c r="K200" i="12"/>
  <c r="J200" i="12"/>
  <c r="J252" i="12" s="1"/>
  <c r="I200" i="12"/>
  <c r="I252" i="12" s="1"/>
  <c r="H200" i="12"/>
  <c r="G200" i="12"/>
  <c r="F200" i="12"/>
  <c r="F252" i="12" s="1"/>
  <c r="E200" i="12"/>
  <c r="E252" i="12" s="1"/>
  <c r="D200" i="12"/>
  <c r="CX199" i="12"/>
  <c r="CW199" i="12"/>
  <c r="CV199" i="12"/>
  <c r="CU199" i="12"/>
  <c r="CT199" i="12"/>
  <c r="CS199" i="12"/>
  <c r="CR199" i="12"/>
  <c r="CQ199" i="12"/>
  <c r="CP199" i="12"/>
  <c r="CO199" i="12"/>
  <c r="CN199" i="12"/>
  <c r="CM199" i="12"/>
  <c r="CL199" i="12"/>
  <c r="CK199" i="12"/>
  <c r="CJ199" i="12"/>
  <c r="CI199" i="12"/>
  <c r="CH199" i="12"/>
  <c r="CG199" i="12"/>
  <c r="CF199" i="12"/>
  <c r="CE199" i="12"/>
  <c r="CD199" i="12"/>
  <c r="CC199" i="12"/>
  <c r="CB199" i="12"/>
  <c r="CA199" i="12"/>
  <c r="BZ199" i="12"/>
  <c r="BY199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E199" i="12"/>
  <c r="BD199" i="12"/>
  <c r="BC199" i="12"/>
  <c r="BB199" i="12"/>
  <c r="BA199" i="12"/>
  <c r="AZ199" i="12"/>
  <c r="AY199" i="12"/>
  <c r="AX199" i="12"/>
  <c r="AW199" i="12"/>
  <c r="AV199" i="12"/>
  <c r="AU199" i="12"/>
  <c r="AT199" i="12"/>
  <c r="AS199" i="12"/>
  <c r="AR199" i="12"/>
  <c r="AQ199" i="12"/>
  <c r="AP199" i="12"/>
  <c r="AO199" i="12"/>
  <c r="AN199" i="12"/>
  <c r="AM199" i="12"/>
  <c r="AL199" i="12"/>
  <c r="AK199" i="12"/>
  <c r="AJ199" i="12"/>
  <c r="AI199" i="12"/>
  <c r="AH199" i="12"/>
  <c r="AG199" i="12"/>
  <c r="AF199" i="12"/>
  <c r="AE199" i="12"/>
  <c r="AD199" i="12"/>
  <c r="AC199" i="12"/>
  <c r="AB199" i="12"/>
  <c r="AA199" i="12"/>
  <c r="Z199" i="12"/>
  <c r="Y199" i="12"/>
  <c r="X199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K199" i="12"/>
  <c r="J199" i="12"/>
  <c r="I199" i="12"/>
  <c r="H199" i="12"/>
  <c r="G199" i="12"/>
  <c r="F199" i="12"/>
  <c r="E199" i="12"/>
  <c r="D199" i="12"/>
  <c r="CX357" i="12"/>
  <c r="CW357" i="12"/>
  <c r="CV357" i="12"/>
  <c r="CU357" i="12"/>
  <c r="CT357" i="12"/>
  <c r="CS357" i="12"/>
  <c r="CR357" i="12"/>
  <c r="CQ357" i="12"/>
  <c r="CP357" i="12"/>
  <c r="CO357" i="12"/>
  <c r="CN357" i="12"/>
  <c r="CM357" i="12"/>
  <c r="CL357" i="12"/>
  <c r="CK357" i="12"/>
  <c r="CJ357" i="12"/>
  <c r="CI357" i="12"/>
  <c r="CH357" i="12"/>
  <c r="CG357" i="12"/>
  <c r="CF357" i="12"/>
  <c r="CE357" i="12"/>
  <c r="CD357" i="12"/>
  <c r="CC357" i="12"/>
  <c r="CB357" i="12"/>
  <c r="CA357" i="12"/>
  <c r="BZ357" i="12"/>
  <c r="BY357" i="12"/>
  <c r="BX357" i="12"/>
  <c r="BW357" i="12"/>
  <c r="BV357" i="12"/>
  <c r="BU357" i="12"/>
  <c r="BT357" i="12"/>
  <c r="BS357" i="12"/>
  <c r="BR357" i="12"/>
  <c r="BQ357" i="12"/>
  <c r="BP357" i="12"/>
  <c r="BO357" i="12"/>
  <c r="BN357" i="12"/>
  <c r="BM357" i="12"/>
  <c r="BL357" i="12"/>
  <c r="BK357" i="12"/>
  <c r="BJ357" i="12"/>
  <c r="BI357" i="12"/>
  <c r="BH357" i="12"/>
  <c r="BG357" i="12"/>
  <c r="BF357" i="12"/>
  <c r="BE357" i="12"/>
  <c r="BD357" i="12"/>
  <c r="BC357" i="12"/>
  <c r="BB357" i="12"/>
  <c r="BA357" i="12"/>
  <c r="AZ357" i="12"/>
  <c r="AY357" i="12"/>
  <c r="AX357" i="12"/>
  <c r="AW357" i="12"/>
  <c r="AV357" i="12"/>
  <c r="AU357" i="12"/>
  <c r="AT357" i="12"/>
  <c r="AS357" i="12"/>
  <c r="AR357" i="12"/>
  <c r="AQ357" i="12"/>
  <c r="AP357" i="12"/>
  <c r="AO357" i="12"/>
  <c r="AN357" i="12"/>
  <c r="AM357" i="12"/>
  <c r="AL357" i="12"/>
  <c r="AK357" i="12"/>
  <c r="AJ357" i="12"/>
  <c r="AI357" i="12"/>
  <c r="AH357" i="12"/>
  <c r="AG357" i="12"/>
  <c r="AF357" i="12"/>
  <c r="AE357" i="12"/>
  <c r="AD357" i="12"/>
  <c r="AC357" i="12"/>
  <c r="AB357" i="12"/>
  <c r="AA357" i="12"/>
  <c r="Z357" i="12"/>
  <c r="Y357" i="12"/>
  <c r="X357" i="12"/>
  <c r="W357" i="12"/>
  <c r="V357" i="12"/>
  <c r="U357" i="12"/>
  <c r="T357" i="12"/>
  <c r="S357" i="12"/>
  <c r="R357" i="12"/>
  <c r="Q357" i="12"/>
  <c r="P357" i="12"/>
  <c r="O357" i="12"/>
  <c r="N357" i="12"/>
  <c r="M357" i="12"/>
  <c r="L357" i="12"/>
  <c r="K357" i="12"/>
  <c r="J357" i="12"/>
  <c r="I357" i="12"/>
  <c r="H357" i="12"/>
  <c r="G357" i="12"/>
  <c r="F357" i="12"/>
  <c r="E357" i="12"/>
  <c r="CW356" i="12"/>
  <c r="CV356" i="12"/>
  <c r="CU356" i="12"/>
  <c r="CS356" i="12"/>
  <c r="CR356" i="12"/>
  <c r="CQ356" i="12"/>
  <c r="CO356" i="12"/>
  <c r="CN356" i="12"/>
  <c r="CM356" i="12"/>
  <c r="CK356" i="12"/>
  <c r="CJ356" i="12"/>
  <c r="CI356" i="12"/>
  <c r="CG356" i="12"/>
  <c r="CF356" i="12"/>
  <c r="CE356" i="12"/>
  <c r="CC356" i="12"/>
  <c r="CB356" i="12"/>
  <c r="CA356" i="12"/>
  <c r="BY356" i="12"/>
  <c r="BX356" i="12"/>
  <c r="BW356" i="12"/>
  <c r="BU356" i="12"/>
  <c r="BT356" i="12"/>
  <c r="BS356" i="12"/>
  <c r="BQ356" i="12"/>
  <c r="BP356" i="12"/>
  <c r="BO356" i="12"/>
  <c r="BM356" i="12"/>
  <c r="BL356" i="12"/>
  <c r="BK356" i="12"/>
  <c r="BI356" i="12"/>
  <c r="BH356" i="12"/>
  <c r="BG356" i="12"/>
  <c r="BE356" i="12"/>
  <c r="BD356" i="12"/>
  <c r="BC356" i="12"/>
  <c r="BA356" i="12"/>
  <c r="AZ356" i="12"/>
  <c r="AY356" i="12"/>
  <c r="AW356" i="12"/>
  <c r="AV356" i="12"/>
  <c r="AU356" i="12"/>
  <c r="AS356" i="12"/>
  <c r="AR356" i="12"/>
  <c r="AQ356" i="12"/>
  <c r="AO356" i="12"/>
  <c r="AN356" i="12"/>
  <c r="AM356" i="12"/>
  <c r="AK356" i="12"/>
  <c r="AJ356" i="12"/>
  <c r="AI356" i="12"/>
  <c r="AG356" i="12"/>
  <c r="AF356" i="12"/>
  <c r="AE356" i="12"/>
  <c r="AC356" i="12"/>
  <c r="AB356" i="12"/>
  <c r="AA356" i="12"/>
  <c r="Y356" i="12"/>
  <c r="X356" i="12"/>
  <c r="W356" i="12"/>
  <c r="U356" i="12"/>
  <c r="T356" i="12"/>
  <c r="S356" i="12"/>
  <c r="Q356" i="12"/>
  <c r="P356" i="12"/>
  <c r="O356" i="12"/>
  <c r="M356" i="12"/>
  <c r="L356" i="12"/>
  <c r="K356" i="12"/>
  <c r="I356" i="12"/>
  <c r="H356" i="12"/>
  <c r="G356" i="12"/>
  <c r="E356" i="12"/>
  <c r="CX355" i="12"/>
  <c r="CW355" i="12"/>
  <c r="CV355" i="12"/>
  <c r="CT355" i="12"/>
  <c r="CR355" i="12"/>
  <c r="CP355" i="12"/>
  <c r="CO355" i="12"/>
  <c r="CN355" i="12"/>
  <c r="CL355" i="12"/>
  <c r="CJ355" i="12"/>
  <c r="CH355" i="12"/>
  <c r="CG355" i="12"/>
  <c r="CF355" i="12"/>
  <c r="CD355" i="12"/>
  <c r="CB355" i="12"/>
  <c r="BZ355" i="12"/>
  <c r="BY355" i="12"/>
  <c r="BX355" i="12"/>
  <c r="BV355" i="12"/>
  <c r="BT355" i="12"/>
  <c r="BR355" i="12"/>
  <c r="BQ355" i="12"/>
  <c r="BP355" i="12"/>
  <c r="BN355" i="12"/>
  <c r="BL355" i="12"/>
  <c r="BJ355" i="12"/>
  <c r="BI355" i="12"/>
  <c r="BH355" i="12"/>
  <c r="BF355" i="12"/>
  <c r="BD355" i="12"/>
  <c r="BB355" i="12"/>
  <c r="BA355" i="12"/>
  <c r="AZ355" i="12"/>
  <c r="AX355" i="12"/>
  <c r="AV355" i="12"/>
  <c r="AT355" i="12"/>
  <c r="AS355" i="12"/>
  <c r="AR355" i="12"/>
  <c r="AP355" i="12"/>
  <c r="AN355" i="12"/>
  <c r="AL355" i="12"/>
  <c r="AK355" i="12"/>
  <c r="AJ355" i="12"/>
  <c r="AH355" i="12"/>
  <c r="AF355" i="12"/>
  <c r="AD355" i="12"/>
  <c r="AC355" i="12"/>
  <c r="AB355" i="12"/>
  <c r="Z355" i="12"/>
  <c r="X355" i="12"/>
  <c r="V355" i="12"/>
  <c r="U355" i="12"/>
  <c r="T355" i="12"/>
  <c r="R355" i="12"/>
  <c r="P355" i="12"/>
  <c r="N355" i="12"/>
  <c r="M355" i="12"/>
  <c r="L355" i="12"/>
  <c r="J355" i="12"/>
  <c r="H355" i="12"/>
  <c r="F355" i="12"/>
  <c r="E355" i="12"/>
  <c r="CW354" i="12"/>
  <c r="CV354" i="12"/>
  <c r="CU354" i="12"/>
  <c r="CS354" i="12"/>
  <c r="CQ354" i="12"/>
  <c r="CO354" i="12"/>
  <c r="CN354" i="12"/>
  <c r="CM354" i="12"/>
  <c r="CK354" i="12"/>
  <c r="CI354" i="12"/>
  <c r="CG354" i="12"/>
  <c r="CF354" i="12"/>
  <c r="CE354" i="12"/>
  <c r="CC354" i="12"/>
  <c r="CA354" i="12"/>
  <c r="BY354" i="12"/>
  <c r="BX354" i="12"/>
  <c r="BW354" i="12"/>
  <c r="BU354" i="12"/>
  <c r="BS354" i="12"/>
  <c r="BQ354" i="12"/>
  <c r="BP354" i="12"/>
  <c r="BO354" i="12"/>
  <c r="BM354" i="12"/>
  <c r="BK354" i="12"/>
  <c r="BI354" i="12"/>
  <c r="BH354" i="12"/>
  <c r="BG354" i="12"/>
  <c r="BE354" i="12"/>
  <c r="BC354" i="12"/>
  <c r="BA354" i="12"/>
  <c r="AZ354" i="12"/>
  <c r="AY354" i="12"/>
  <c r="AW354" i="12"/>
  <c r="AU354" i="12"/>
  <c r="AS354" i="12"/>
  <c r="AR354" i="12"/>
  <c r="AQ354" i="12"/>
  <c r="AO354" i="12"/>
  <c r="AM354" i="12"/>
  <c r="AK354" i="12"/>
  <c r="AJ354" i="12"/>
  <c r="AI354" i="12"/>
  <c r="AG354" i="12"/>
  <c r="AE354" i="12"/>
  <c r="AC354" i="12"/>
  <c r="AB354" i="12"/>
  <c r="AA354" i="12"/>
  <c r="Y354" i="12"/>
  <c r="W354" i="12"/>
  <c r="U354" i="12"/>
  <c r="T354" i="12"/>
  <c r="S354" i="12"/>
  <c r="Q354" i="12"/>
  <c r="O354" i="12"/>
  <c r="M354" i="12"/>
  <c r="L354" i="12"/>
  <c r="K354" i="12"/>
  <c r="I354" i="12"/>
  <c r="G354" i="12"/>
  <c r="E354" i="12"/>
  <c r="CX353" i="12"/>
  <c r="CW353" i="12"/>
  <c r="CV353" i="12"/>
  <c r="CT353" i="12"/>
  <c r="CS353" i="12"/>
  <c r="CR353" i="12"/>
  <c r="CP353" i="12"/>
  <c r="CO353" i="12"/>
  <c r="CN353" i="12"/>
  <c r="CL353" i="12"/>
  <c r="CK353" i="12"/>
  <c r="CJ353" i="12"/>
  <c r="CH353" i="12"/>
  <c r="CG353" i="12"/>
  <c r="CF353" i="12"/>
  <c r="CD353" i="12"/>
  <c r="CC353" i="12"/>
  <c r="CB353" i="12"/>
  <c r="BZ353" i="12"/>
  <c r="BY353" i="12"/>
  <c r="BX353" i="12"/>
  <c r="BV353" i="12"/>
  <c r="BU353" i="12"/>
  <c r="BT353" i="12"/>
  <c r="BR353" i="12"/>
  <c r="BQ353" i="12"/>
  <c r="BP353" i="12"/>
  <c r="BN353" i="12"/>
  <c r="BM353" i="12"/>
  <c r="BL353" i="12"/>
  <c r="BJ353" i="12"/>
  <c r="BI353" i="12"/>
  <c r="BH353" i="12"/>
  <c r="BF353" i="12"/>
  <c r="BE353" i="12"/>
  <c r="BD353" i="12"/>
  <c r="BB353" i="12"/>
  <c r="BA353" i="12"/>
  <c r="AZ353" i="12"/>
  <c r="AX353" i="12"/>
  <c r="AW353" i="12"/>
  <c r="AV353" i="12"/>
  <c r="AT353" i="12"/>
  <c r="AS353" i="12"/>
  <c r="AR353" i="12"/>
  <c r="AP353" i="12"/>
  <c r="AO353" i="12"/>
  <c r="AN353" i="12"/>
  <c r="AL353" i="12"/>
  <c r="AK353" i="12"/>
  <c r="AJ353" i="12"/>
  <c r="AH353" i="12"/>
  <c r="AG353" i="12"/>
  <c r="AF353" i="12"/>
  <c r="AD353" i="12"/>
  <c r="AC353" i="12"/>
  <c r="AB353" i="12"/>
  <c r="Z353" i="12"/>
  <c r="Y353" i="12"/>
  <c r="X353" i="12"/>
  <c r="V353" i="12"/>
  <c r="U353" i="12"/>
  <c r="T353" i="12"/>
  <c r="R353" i="12"/>
  <c r="Q353" i="12"/>
  <c r="P353" i="12"/>
  <c r="N353" i="12"/>
  <c r="M353" i="12"/>
  <c r="L353" i="12"/>
  <c r="J353" i="12"/>
  <c r="I353" i="12"/>
  <c r="H353" i="12"/>
  <c r="F353" i="12"/>
  <c r="E353" i="12"/>
  <c r="CX352" i="12"/>
  <c r="CW352" i="12"/>
  <c r="CU352" i="12"/>
  <c r="CS352" i="12"/>
  <c r="CQ352" i="12"/>
  <c r="CP352" i="12"/>
  <c r="CO352" i="12"/>
  <c r="CM352" i="12"/>
  <c r="CK352" i="12"/>
  <c r="CI352" i="12"/>
  <c r="CH352" i="12"/>
  <c r="CG352" i="12"/>
  <c r="CE352" i="12"/>
  <c r="CC352" i="12"/>
  <c r="CA352" i="12"/>
  <c r="BZ352" i="12"/>
  <c r="BY352" i="12"/>
  <c r="BW352" i="12"/>
  <c r="BU352" i="12"/>
  <c r="BS352" i="12"/>
  <c r="BR352" i="12"/>
  <c r="BQ352" i="12"/>
  <c r="BO352" i="12"/>
  <c r="BM352" i="12"/>
  <c r="BK352" i="12"/>
  <c r="BJ352" i="12"/>
  <c r="BI352" i="12"/>
  <c r="BG352" i="12"/>
  <c r="BE352" i="12"/>
  <c r="BC352" i="12"/>
  <c r="BB352" i="12"/>
  <c r="BA352" i="12"/>
  <c r="AY352" i="12"/>
  <c r="AW352" i="12"/>
  <c r="AU352" i="12"/>
  <c r="AT352" i="12"/>
  <c r="AS352" i="12"/>
  <c r="AQ352" i="12"/>
  <c r="AO352" i="12"/>
  <c r="AM352" i="12"/>
  <c r="AL352" i="12"/>
  <c r="AK352" i="12"/>
  <c r="AI352" i="12"/>
  <c r="AG352" i="12"/>
  <c r="AE352" i="12"/>
  <c r="AD352" i="12"/>
  <c r="AC352" i="12"/>
  <c r="AA352" i="12"/>
  <c r="Y352" i="12"/>
  <c r="W352" i="12"/>
  <c r="V352" i="12"/>
  <c r="U352" i="12"/>
  <c r="S352" i="12"/>
  <c r="Q352" i="12"/>
  <c r="O352" i="12"/>
  <c r="N352" i="12"/>
  <c r="M352" i="12"/>
  <c r="K352" i="12"/>
  <c r="I352" i="12"/>
  <c r="G352" i="12"/>
  <c r="F352" i="12"/>
  <c r="E352" i="12"/>
  <c r="CX351" i="12"/>
  <c r="CV351" i="12"/>
  <c r="CT351" i="12"/>
  <c r="CS351" i="12"/>
  <c r="CR351" i="12"/>
  <c r="CP351" i="12"/>
  <c r="CN351" i="12"/>
  <c r="CL351" i="12"/>
  <c r="CK351" i="12"/>
  <c r="CJ351" i="12"/>
  <c r="CH351" i="12"/>
  <c r="CF351" i="12"/>
  <c r="CD351" i="12"/>
  <c r="CC351" i="12"/>
  <c r="CB351" i="12"/>
  <c r="BZ351" i="12"/>
  <c r="BX351" i="12"/>
  <c r="BV351" i="12"/>
  <c r="BU351" i="12"/>
  <c r="BT351" i="12"/>
  <c r="BR351" i="12"/>
  <c r="BP351" i="12"/>
  <c r="BN351" i="12"/>
  <c r="BM351" i="12"/>
  <c r="BL351" i="12"/>
  <c r="BJ351" i="12"/>
  <c r="BH351" i="12"/>
  <c r="BF351" i="12"/>
  <c r="BE351" i="12"/>
  <c r="BD351" i="12"/>
  <c r="BB351" i="12"/>
  <c r="AZ351" i="12"/>
  <c r="AX351" i="12"/>
  <c r="AW351" i="12"/>
  <c r="AV351" i="12"/>
  <c r="AT351" i="12"/>
  <c r="AR351" i="12"/>
  <c r="AP351" i="12"/>
  <c r="AO351" i="12"/>
  <c r="AN351" i="12"/>
  <c r="AL351" i="12"/>
  <c r="AJ351" i="12"/>
  <c r="AH351" i="12"/>
  <c r="AG351" i="12"/>
  <c r="AF351" i="12"/>
  <c r="AD351" i="12"/>
  <c r="AB351" i="12"/>
  <c r="Z351" i="12"/>
  <c r="Y351" i="12"/>
  <c r="X351" i="12"/>
  <c r="V351" i="12"/>
  <c r="T351" i="12"/>
  <c r="R351" i="12"/>
  <c r="Q351" i="12"/>
  <c r="P351" i="12"/>
  <c r="N351" i="12"/>
  <c r="L351" i="12"/>
  <c r="J351" i="12"/>
  <c r="I351" i="12"/>
  <c r="H351" i="12"/>
  <c r="F351" i="12"/>
  <c r="CW350" i="12"/>
  <c r="CU350" i="12"/>
  <c r="CS350" i="12"/>
  <c r="CR350" i="12"/>
  <c r="CQ350" i="12"/>
  <c r="CO350" i="12"/>
  <c r="CM350" i="12"/>
  <c r="CK350" i="12"/>
  <c r="CJ350" i="12"/>
  <c r="CI350" i="12"/>
  <c r="CG350" i="12"/>
  <c r="CE350" i="12"/>
  <c r="CC350" i="12"/>
  <c r="CB350" i="12"/>
  <c r="CA350" i="12"/>
  <c r="BY350" i="12"/>
  <c r="BW350" i="12"/>
  <c r="BU350" i="12"/>
  <c r="BT350" i="12"/>
  <c r="BS350" i="12"/>
  <c r="BQ350" i="12"/>
  <c r="BO350" i="12"/>
  <c r="BM350" i="12"/>
  <c r="BL350" i="12"/>
  <c r="BK350" i="12"/>
  <c r="BI350" i="12"/>
  <c r="BG350" i="12"/>
  <c r="BE350" i="12"/>
  <c r="BD350" i="12"/>
  <c r="BC350" i="12"/>
  <c r="BA350" i="12"/>
  <c r="AY350" i="12"/>
  <c r="AW350" i="12"/>
  <c r="AV350" i="12"/>
  <c r="AU350" i="12"/>
  <c r="AS350" i="12"/>
  <c r="AQ350" i="12"/>
  <c r="AO350" i="12"/>
  <c r="AN350" i="12"/>
  <c r="AM350" i="12"/>
  <c r="AK350" i="12"/>
  <c r="AI350" i="12"/>
  <c r="AG350" i="12"/>
  <c r="AF350" i="12"/>
  <c r="AE350" i="12"/>
  <c r="AC350" i="12"/>
  <c r="AA350" i="12"/>
  <c r="Y350" i="12"/>
  <c r="X350" i="12"/>
  <c r="W350" i="12"/>
  <c r="U350" i="12"/>
  <c r="S350" i="12"/>
  <c r="Q350" i="12"/>
  <c r="P350" i="12"/>
  <c r="O350" i="12"/>
  <c r="M350" i="12"/>
  <c r="K350" i="12"/>
  <c r="I350" i="12"/>
  <c r="H350" i="12"/>
  <c r="G350" i="12"/>
  <c r="E350" i="12"/>
  <c r="CX349" i="12"/>
  <c r="CV349" i="12"/>
  <c r="CT349" i="12"/>
  <c r="CR349" i="12"/>
  <c r="CQ349" i="12"/>
  <c r="CP349" i="12"/>
  <c r="CN349" i="12"/>
  <c r="CL349" i="12"/>
  <c r="CJ349" i="12"/>
  <c r="CI349" i="12"/>
  <c r="CH349" i="12"/>
  <c r="CF349" i="12"/>
  <c r="CD349" i="12"/>
  <c r="CB349" i="12"/>
  <c r="CA349" i="12"/>
  <c r="BZ349" i="12"/>
  <c r="BX349" i="12"/>
  <c r="BV349" i="12"/>
  <c r="BT349" i="12"/>
  <c r="BS349" i="12"/>
  <c r="BR349" i="12"/>
  <c r="BP349" i="12"/>
  <c r="BN349" i="12"/>
  <c r="BL349" i="12"/>
  <c r="BK349" i="12"/>
  <c r="BJ349" i="12"/>
  <c r="BH349" i="12"/>
  <c r="BF349" i="12"/>
  <c r="BD349" i="12"/>
  <c r="BC349" i="12"/>
  <c r="BB349" i="12"/>
  <c r="AZ349" i="12"/>
  <c r="AX349" i="12"/>
  <c r="AV349" i="12"/>
  <c r="AU349" i="12"/>
  <c r="AT349" i="12"/>
  <c r="AR349" i="12"/>
  <c r="AP349" i="12"/>
  <c r="AN349" i="12"/>
  <c r="AM349" i="12"/>
  <c r="AL349" i="12"/>
  <c r="AJ349" i="12"/>
  <c r="AH349" i="12"/>
  <c r="AF349" i="12"/>
  <c r="AE349" i="12"/>
  <c r="AD349" i="12"/>
  <c r="AB349" i="12"/>
  <c r="Z349" i="12"/>
  <c r="X349" i="12"/>
  <c r="W349" i="12"/>
  <c r="V349" i="12"/>
  <c r="T349" i="12"/>
  <c r="R349" i="12"/>
  <c r="P349" i="12"/>
  <c r="O349" i="12"/>
  <c r="N349" i="12"/>
  <c r="L349" i="12"/>
  <c r="J349" i="12"/>
  <c r="H349" i="12"/>
  <c r="G349" i="12"/>
  <c r="F349" i="12"/>
  <c r="CX348" i="12"/>
  <c r="CW348" i="12"/>
  <c r="CU348" i="12"/>
  <c r="CS348" i="12"/>
  <c r="CQ348" i="12"/>
  <c r="CP348" i="12"/>
  <c r="CO348" i="12"/>
  <c r="CM348" i="12"/>
  <c r="CK348" i="12"/>
  <c r="CI348" i="12"/>
  <c r="CH348" i="12"/>
  <c r="CG348" i="12"/>
  <c r="CE348" i="12"/>
  <c r="CD348" i="12"/>
  <c r="CC348" i="12"/>
  <c r="CA348" i="12"/>
  <c r="BZ348" i="12"/>
  <c r="BY348" i="12"/>
  <c r="BW348" i="12"/>
  <c r="BU348" i="12"/>
  <c r="BS348" i="12"/>
  <c r="BR348" i="12"/>
  <c r="BQ348" i="12"/>
  <c r="BO348" i="12"/>
  <c r="BN348" i="12"/>
  <c r="BM348" i="12"/>
  <c r="BK348" i="12"/>
  <c r="BJ348" i="12"/>
  <c r="BI348" i="12"/>
  <c r="BG348" i="12"/>
  <c r="BE348" i="12"/>
  <c r="BC348" i="12"/>
  <c r="BB348" i="12"/>
  <c r="BA348" i="12"/>
  <c r="AY348" i="12"/>
  <c r="AX348" i="12"/>
  <c r="AW348" i="12"/>
  <c r="AU348" i="12"/>
  <c r="AS348" i="12"/>
  <c r="AQ348" i="12"/>
  <c r="AO348" i="12"/>
  <c r="AM348" i="12"/>
  <c r="AL348" i="12"/>
  <c r="AK348" i="12"/>
  <c r="AI348" i="12"/>
  <c r="AG348" i="12"/>
  <c r="AE348" i="12"/>
  <c r="AD348" i="12"/>
  <c r="AC348" i="12"/>
  <c r="AA348" i="12"/>
  <c r="Y348" i="12"/>
  <c r="W348" i="12"/>
  <c r="U348" i="12"/>
  <c r="S348" i="12"/>
  <c r="R348" i="12"/>
  <c r="Q348" i="12"/>
  <c r="O348" i="12"/>
  <c r="N348" i="12"/>
  <c r="M348" i="12"/>
  <c r="K348" i="12"/>
  <c r="I348" i="12"/>
  <c r="G348" i="12"/>
  <c r="F348" i="12"/>
  <c r="E348" i="12"/>
  <c r="CX347" i="12"/>
  <c r="CW347" i="12"/>
  <c r="CV347" i="12"/>
  <c r="CT347" i="12"/>
  <c r="CS347" i="12"/>
  <c r="CR347" i="12"/>
  <c r="CP347" i="12"/>
  <c r="CN347" i="12"/>
  <c r="CL347" i="12"/>
  <c r="CK347" i="12"/>
  <c r="CJ347" i="12"/>
  <c r="CH347" i="12"/>
  <c r="CG347" i="12"/>
  <c r="CF347" i="12"/>
  <c r="CD347" i="12"/>
  <c r="CB347" i="12"/>
  <c r="BZ347" i="12"/>
  <c r="BX347" i="12"/>
  <c r="BV347" i="12"/>
  <c r="BU347" i="12"/>
  <c r="BT347" i="12"/>
  <c r="BR347" i="12"/>
  <c r="BP347" i="12"/>
  <c r="BN347" i="12"/>
  <c r="BM347" i="12"/>
  <c r="BL347" i="12"/>
  <c r="BJ347" i="12"/>
  <c r="BH347" i="12"/>
  <c r="BF347" i="12"/>
  <c r="BD347" i="12"/>
  <c r="BB347" i="12"/>
  <c r="BA347" i="12"/>
  <c r="AZ347" i="12"/>
  <c r="AX347" i="12"/>
  <c r="AV347" i="12"/>
  <c r="AT347" i="12"/>
  <c r="AR347" i="12"/>
  <c r="AP347" i="12"/>
  <c r="AO347" i="12"/>
  <c r="AN347" i="12"/>
  <c r="AL347" i="12"/>
  <c r="AK347" i="12"/>
  <c r="AJ347" i="12"/>
  <c r="AH347" i="12"/>
  <c r="AG347" i="12"/>
  <c r="AF347" i="12"/>
  <c r="AD347" i="12"/>
  <c r="AB347" i="12"/>
  <c r="Z347" i="12"/>
  <c r="X347" i="12"/>
  <c r="V347" i="12"/>
  <c r="U347" i="12"/>
  <c r="T347" i="12"/>
  <c r="R347" i="12"/>
  <c r="P347" i="12"/>
  <c r="N347" i="12"/>
  <c r="L347" i="12"/>
  <c r="J347" i="12"/>
  <c r="I347" i="12"/>
  <c r="H347" i="12"/>
  <c r="F347" i="12"/>
  <c r="CW346" i="12"/>
  <c r="CU346" i="12"/>
  <c r="CS346" i="12"/>
  <c r="CQ346" i="12"/>
  <c r="CO346" i="12"/>
  <c r="CN346" i="12"/>
  <c r="CM346" i="12"/>
  <c r="CK346" i="12"/>
  <c r="CI346" i="12"/>
  <c r="CG346" i="12"/>
  <c r="CE346" i="12"/>
  <c r="CC346" i="12"/>
  <c r="CB346" i="12"/>
  <c r="CA346" i="12"/>
  <c r="BY346" i="12"/>
  <c r="BW346" i="12"/>
  <c r="BU346" i="12"/>
  <c r="BT346" i="12"/>
  <c r="BS346" i="12"/>
  <c r="BQ346" i="12"/>
  <c r="BO346" i="12"/>
  <c r="BM346" i="12"/>
  <c r="BK346" i="12"/>
  <c r="BI346" i="12"/>
  <c r="BH346" i="12"/>
  <c r="BG346" i="12"/>
  <c r="BE346" i="12"/>
  <c r="BC346" i="12"/>
  <c r="BA346" i="12"/>
  <c r="AZ346" i="12"/>
  <c r="AY346" i="12"/>
  <c r="AW346" i="12"/>
  <c r="AU346" i="12"/>
  <c r="AS346" i="12"/>
  <c r="AR346" i="12"/>
  <c r="AQ346" i="12"/>
  <c r="AO346" i="12"/>
  <c r="AM346" i="12"/>
  <c r="AK346" i="12"/>
  <c r="AJ346" i="12"/>
  <c r="AI346" i="12"/>
  <c r="AG346" i="12"/>
  <c r="AE346" i="12"/>
  <c r="AC346" i="12"/>
  <c r="AB346" i="12"/>
  <c r="AA346" i="12"/>
  <c r="Y346" i="12"/>
  <c r="W346" i="12"/>
  <c r="U346" i="12"/>
  <c r="T346" i="12"/>
  <c r="S346" i="12"/>
  <c r="Q346" i="12"/>
  <c r="O346" i="12"/>
  <c r="M346" i="12"/>
  <c r="L346" i="12"/>
  <c r="K346" i="12"/>
  <c r="I346" i="12"/>
  <c r="G346" i="12"/>
  <c r="E346" i="12"/>
  <c r="CX345" i="12"/>
  <c r="CV345" i="12"/>
  <c r="CU345" i="12"/>
  <c r="CT345" i="12"/>
  <c r="CR345" i="12"/>
  <c r="CP345" i="12"/>
  <c r="CN345" i="12"/>
  <c r="CM345" i="12"/>
  <c r="CL345" i="12"/>
  <c r="CJ345" i="12"/>
  <c r="CH345" i="12"/>
  <c r="CF345" i="12"/>
  <c r="CE345" i="12"/>
  <c r="CD345" i="12"/>
  <c r="CB345" i="12"/>
  <c r="BZ345" i="12"/>
  <c r="BX345" i="12"/>
  <c r="BW345" i="12"/>
  <c r="BV345" i="12"/>
  <c r="BT345" i="12"/>
  <c r="BR345" i="12"/>
  <c r="BP345" i="12"/>
  <c r="BO345" i="12"/>
  <c r="BN345" i="12"/>
  <c r="BL345" i="12"/>
  <c r="BJ345" i="12"/>
  <c r="BH345" i="12"/>
  <c r="BG345" i="12"/>
  <c r="BF345" i="12"/>
  <c r="BD345" i="12"/>
  <c r="BB345" i="12"/>
  <c r="AZ345" i="12"/>
  <c r="AX345" i="12"/>
  <c r="AV345" i="12"/>
  <c r="AT345" i="12"/>
  <c r="AR345" i="12"/>
  <c r="AQ345" i="12"/>
  <c r="AP345" i="12"/>
  <c r="AN345" i="12"/>
  <c r="AL345" i="12"/>
  <c r="AJ345" i="12"/>
  <c r="AI345" i="12"/>
  <c r="AH345" i="12"/>
  <c r="AF345" i="12"/>
  <c r="AD345" i="12"/>
  <c r="AB345" i="12"/>
  <c r="AA345" i="12"/>
  <c r="Z345" i="12"/>
  <c r="X345" i="12"/>
  <c r="V345" i="12"/>
  <c r="T345" i="12"/>
  <c r="R345" i="12"/>
  <c r="P345" i="12"/>
  <c r="N345" i="12"/>
  <c r="L345" i="12"/>
  <c r="K345" i="12"/>
  <c r="J345" i="12"/>
  <c r="H345" i="12"/>
  <c r="F345" i="12"/>
  <c r="CW344" i="12"/>
  <c r="CU344" i="12"/>
  <c r="CT344" i="12"/>
  <c r="CS344" i="12"/>
  <c r="CQ344" i="12"/>
  <c r="CO344" i="12"/>
  <c r="CM344" i="12"/>
  <c r="CK344" i="12"/>
  <c r="CI344" i="12"/>
  <c r="CG344" i="12"/>
  <c r="CE344" i="12"/>
  <c r="CD344" i="12"/>
  <c r="CC344" i="12"/>
  <c r="CA344" i="12"/>
  <c r="BY344" i="12"/>
  <c r="BW344" i="12"/>
  <c r="BU344" i="12"/>
  <c r="BS344" i="12"/>
  <c r="BQ344" i="12"/>
  <c r="BO344" i="12"/>
  <c r="BN344" i="12"/>
  <c r="BM344" i="12"/>
  <c r="BK344" i="12"/>
  <c r="BI344" i="12"/>
  <c r="BG344" i="12"/>
  <c r="BE344" i="12"/>
  <c r="BC344" i="12"/>
  <c r="BA344" i="12"/>
  <c r="AY344" i="12"/>
  <c r="AX344" i="12"/>
  <c r="AW344" i="12"/>
  <c r="AU344" i="12"/>
  <c r="AS344" i="12"/>
  <c r="AQ344" i="12"/>
  <c r="AO344" i="12"/>
  <c r="AM344" i="12"/>
  <c r="AK344" i="12"/>
  <c r="AI344" i="12"/>
  <c r="AH344" i="12"/>
  <c r="AG344" i="12"/>
  <c r="AE344" i="12"/>
  <c r="AC344" i="12"/>
  <c r="AA344" i="12"/>
  <c r="Y344" i="12"/>
  <c r="W344" i="12"/>
  <c r="U344" i="12"/>
  <c r="S344" i="12"/>
  <c r="R344" i="12"/>
  <c r="Q344" i="12"/>
  <c r="O344" i="12"/>
  <c r="M344" i="12"/>
  <c r="K344" i="12"/>
  <c r="I344" i="12"/>
  <c r="G344" i="12"/>
  <c r="E344" i="12"/>
  <c r="CX343" i="12"/>
  <c r="CW343" i="12"/>
  <c r="CV343" i="12"/>
  <c r="CT343" i="12"/>
  <c r="CR343" i="12"/>
  <c r="CP343" i="12"/>
  <c r="CN343" i="12"/>
  <c r="CL343" i="12"/>
  <c r="CJ343" i="12"/>
  <c r="CH343" i="12"/>
  <c r="CG343" i="12"/>
  <c r="CF343" i="12"/>
  <c r="CD343" i="12"/>
  <c r="CB343" i="12"/>
  <c r="BZ343" i="12"/>
  <c r="BX343" i="12"/>
  <c r="BV343" i="12"/>
  <c r="BT343" i="12"/>
  <c r="BR343" i="12"/>
  <c r="BQ343" i="12"/>
  <c r="BP343" i="12"/>
  <c r="BN343" i="12"/>
  <c r="BL343" i="12"/>
  <c r="BJ343" i="12"/>
  <c r="BH343" i="12"/>
  <c r="BF343" i="12"/>
  <c r="BD343" i="12"/>
  <c r="BB343" i="12"/>
  <c r="BA343" i="12"/>
  <c r="AZ343" i="12"/>
  <c r="AX343" i="12"/>
  <c r="AV343" i="12"/>
  <c r="AT343" i="12"/>
  <c r="AR343" i="12"/>
  <c r="AP343" i="12"/>
  <c r="AN343" i="12"/>
  <c r="AL343" i="12"/>
  <c r="AK343" i="12"/>
  <c r="AJ343" i="12"/>
  <c r="AH343" i="12"/>
  <c r="AF343" i="12"/>
  <c r="AD343" i="12"/>
  <c r="AB343" i="12"/>
  <c r="Z343" i="12"/>
  <c r="X343" i="12"/>
  <c r="V343" i="12"/>
  <c r="U343" i="12"/>
  <c r="T343" i="12"/>
  <c r="R343" i="12"/>
  <c r="P343" i="12"/>
  <c r="N343" i="12"/>
  <c r="L343" i="12"/>
  <c r="J343" i="12"/>
  <c r="H343" i="12"/>
  <c r="F343" i="12"/>
  <c r="E343" i="12"/>
  <c r="CW342" i="12"/>
  <c r="CU342" i="12"/>
  <c r="CS342" i="12"/>
  <c r="CQ342" i="12"/>
  <c r="CO342" i="12"/>
  <c r="CN342" i="12"/>
  <c r="CM342" i="12"/>
  <c r="CK342" i="12"/>
  <c r="CI342" i="12"/>
  <c r="CG342" i="12"/>
  <c r="CE342" i="12"/>
  <c r="CC342" i="12"/>
  <c r="CA342" i="12"/>
  <c r="BY342" i="12"/>
  <c r="BX342" i="12"/>
  <c r="BW342" i="12"/>
  <c r="BU342" i="12"/>
  <c r="BS342" i="12"/>
  <c r="BQ342" i="12"/>
  <c r="BO342" i="12"/>
  <c r="BM342" i="12"/>
  <c r="BK342" i="12"/>
  <c r="BI342" i="12"/>
  <c r="BH342" i="12"/>
  <c r="BG342" i="12"/>
  <c r="BE342" i="12"/>
  <c r="BC342" i="12"/>
  <c r="BA342" i="12"/>
  <c r="AY342" i="12"/>
  <c r="AW342" i="12"/>
  <c r="AU342" i="12"/>
  <c r="AS342" i="12"/>
  <c r="AR342" i="12"/>
  <c r="AQ342" i="12"/>
  <c r="AO342" i="12"/>
  <c r="AM342" i="12"/>
  <c r="AK342" i="12"/>
  <c r="AI342" i="12"/>
  <c r="AG342" i="12"/>
  <c r="AE342" i="12"/>
  <c r="AC342" i="12"/>
  <c r="AB342" i="12"/>
  <c r="AA342" i="12"/>
  <c r="Y342" i="12"/>
  <c r="W342" i="12"/>
  <c r="U342" i="12"/>
  <c r="S342" i="12"/>
  <c r="Q342" i="12"/>
  <c r="O342" i="12"/>
  <c r="M342" i="12"/>
  <c r="L342" i="12"/>
  <c r="K342" i="12"/>
  <c r="I342" i="12"/>
  <c r="G342" i="12"/>
  <c r="E342" i="12"/>
  <c r="CX341" i="12"/>
  <c r="CW341" i="12"/>
  <c r="CV341" i="12"/>
  <c r="CT341" i="12"/>
  <c r="CS341" i="12"/>
  <c r="CR341" i="12"/>
  <c r="CP341" i="12"/>
  <c r="CO341" i="12"/>
  <c r="CN341" i="12"/>
  <c r="CL341" i="12"/>
  <c r="CK341" i="12"/>
  <c r="CJ341" i="12"/>
  <c r="CH341" i="12"/>
  <c r="CG341" i="12"/>
  <c r="CF341" i="12"/>
  <c r="CD341" i="12"/>
  <c r="CC341" i="12"/>
  <c r="CB341" i="12"/>
  <c r="BZ341" i="12"/>
  <c r="BY341" i="12"/>
  <c r="BX341" i="12"/>
  <c r="BV341" i="12"/>
  <c r="BU341" i="12"/>
  <c r="BT341" i="12"/>
  <c r="BR341" i="12"/>
  <c r="BQ341" i="12"/>
  <c r="BP341" i="12"/>
  <c r="BN341" i="12"/>
  <c r="BM341" i="12"/>
  <c r="BL341" i="12"/>
  <c r="BJ341" i="12"/>
  <c r="BI341" i="12"/>
  <c r="BH341" i="12"/>
  <c r="BF341" i="12"/>
  <c r="BE341" i="12"/>
  <c r="BD341" i="12"/>
  <c r="BB341" i="12"/>
  <c r="BA341" i="12"/>
  <c r="AZ341" i="12"/>
  <c r="AX341" i="12"/>
  <c r="AW341" i="12"/>
  <c r="AV341" i="12"/>
  <c r="AT341" i="12"/>
  <c r="AS341" i="12"/>
  <c r="AR341" i="12"/>
  <c r="AP341" i="12"/>
  <c r="AO341" i="12"/>
  <c r="AN341" i="12"/>
  <c r="AL341" i="12"/>
  <c r="AK341" i="12"/>
  <c r="AJ341" i="12"/>
  <c r="AH341" i="12"/>
  <c r="AG341" i="12"/>
  <c r="AF341" i="12"/>
  <c r="AD341" i="12"/>
  <c r="AC341" i="12"/>
  <c r="AB341" i="12"/>
  <c r="Z341" i="12"/>
  <c r="Y341" i="12"/>
  <c r="X341" i="12"/>
  <c r="V341" i="12"/>
  <c r="U341" i="12"/>
  <c r="T341" i="12"/>
  <c r="R341" i="12"/>
  <c r="Q341" i="12"/>
  <c r="P341" i="12"/>
  <c r="N341" i="12"/>
  <c r="M341" i="12"/>
  <c r="L341" i="12"/>
  <c r="J341" i="12"/>
  <c r="I341" i="12"/>
  <c r="H341" i="12"/>
  <c r="F341" i="12"/>
  <c r="E341" i="12"/>
  <c r="CX340" i="12"/>
  <c r="CW340" i="12"/>
  <c r="CU340" i="12"/>
  <c r="CS340" i="12"/>
  <c r="CQ340" i="12"/>
  <c r="CO340" i="12"/>
  <c r="CM340" i="12"/>
  <c r="CK340" i="12"/>
  <c r="CI340" i="12"/>
  <c r="CH340" i="12"/>
  <c r="CG340" i="12"/>
  <c r="CE340" i="12"/>
  <c r="CC340" i="12"/>
  <c r="CA340" i="12"/>
  <c r="BY340" i="12"/>
  <c r="BW340" i="12"/>
  <c r="BU340" i="12"/>
  <c r="BS340" i="12"/>
  <c r="BR340" i="12"/>
  <c r="BQ340" i="12"/>
  <c r="BO340" i="12"/>
  <c r="BM340" i="12"/>
  <c r="BK340" i="12"/>
  <c r="BI340" i="12"/>
  <c r="BG340" i="12"/>
  <c r="BE340" i="12"/>
  <c r="BC340" i="12"/>
  <c r="BB340" i="12"/>
  <c r="BA340" i="12"/>
  <c r="AY340" i="12"/>
  <c r="AW340" i="12"/>
  <c r="AU340" i="12"/>
  <c r="AS340" i="12"/>
  <c r="AQ340" i="12"/>
  <c r="AO340" i="12"/>
  <c r="AM340" i="12"/>
  <c r="AL340" i="12"/>
  <c r="AK340" i="12"/>
  <c r="AI340" i="12"/>
  <c r="AG340" i="12"/>
  <c r="AE340" i="12"/>
  <c r="AC340" i="12"/>
  <c r="AA340" i="12"/>
  <c r="Y340" i="12"/>
  <c r="W340" i="12"/>
  <c r="V340" i="12"/>
  <c r="U340" i="12"/>
  <c r="S340" i="12"/>
  <c r="Q340" i="12"/>
  <c r="O340" i="12"/>
  <c r="M340" i="12"/>
  <c r="K340" i="12"/>
  <c r="I340" i="12"/>
  <c r="G340" i="12"/>
  <c r="F340" i="12"/>
  <c r="E340" i="12"/>
  <c r="CX268" i="12"/>
  <c r="CW268" i="12"/>
  <c r="CV268" i="12"/>
  <c r="CT268" i="12"/>
  <c r="CS268" i="12"/>
  <c r="CR268" i="12"/>
  <c r="CP268" i="12"/>
  <c r="CO268" i="12"/>
  <c r="CN268" i="12"/>
  <c r="CL268" i="12"/>
  <c r="CK268" i="12"/>
  <c r="CJ268" i="12"/>
  <c r="CH268" i="12"/>
  <c r="CG268" i="12"/>
  <c r="CF268" i="12"/>
  <c r="CD268" i="12"/>
  <c r="CC268" i="12"/>
  <c r="CB268" i="12"/>
  <c r="BZ268" i="12"/>
  <c r="BY268" i="12"/>
  <c r="BX268" i="12"/>
  <c r="BV268" i="12"/>
  <c r="BU268" i="12"/>
  <c r="BT268" i="12"/>
  <c r="BR268" i="12"/>
  <c r="BQ268" i="12"/>
  <c r="BP268" i="12"/>
  <c r="BN268" i="12"/>
  <c r="BM268" i="12"/>
  <c r="BL268" i="12"/>
  <c r="BJ268" i="12"/>
  <c r="BI268" i="12"/>
  <c r="BH268" i="12"/>
  <c r="BF268" i="12"/>
  <c r="BE268" i="12"/>
  <c r="BD268" i="12"/>
  <c r="BB268" i="12"/>
  <c r="BA268" i="12"/>
  <c r="AZ268" i="12"/>
  <c r="AX268" i="12"/>
  <c r="AW268" i="12"/>
  <c r="AV268" i="12"/>
  <c r="AT268" i="12"/>
  <c r="AS268" i="12"/>
  <c r="AR268" i="12"/>
  <c r="AP268" i="12"/>
  <c r="AO268" i="12"/>
  <c r="AN268" i="12"/>
  <c r="AL268" i="12"/>
  <c r="AK268" i="12"/>
  <c r="AJ268" i="12"/>
  <c r="AH268" i="12"/>
  <c r="AG268" i="12"/>
  <c r="AF268" i="12"/>
  <c r="AD268" i="12"/>
  <c r="AC268" i="12"/>
  <c r="AB268" i="12"/>
  <c r="Z268" i="12"/>
  <c r="Y268" i="12"/>
  <c r="X268" i="12"/>
  <c r="V268" i="12"/>
  <c r="U268" i="12"/>
  <c r="T268" i="12"/>
  <c r="R268" i="12"/>
  <c r="Q268" i="12"/>
  <c r="P268" i="12"/>
  <c r="N268" i="12"/>
  <c r="M268" i="12"/>
  <c r="L268" i="12"/>
  <c r="J268" i="12"/>
  <c r="I268" i="12"/>
  <c r="H268" i="12"/>
  <c r="F268" i="12"/>
  <c r="E268" i="12"/>
  <c r="CW267" i="12"/>
  <c r="CV267" i="12"/>
  <c r="CU267" i="12"/>
  <c r="CS267" i="12"/>
  <c r="CR267" i="12"/>
  <c r="CQ267" i="12"/>
  <c r="CO267" i="12"/>
  <c r="CN267" i="12"/>
  <c r="CM267" i="12"/>
  <c r="CK267" i="12"/>
  <c r="CJ267" i="12"/>
  <c r="CI267" i="12"/>
  <c r="CG267" i="12"/>
  <c r="CF267" i="12"/>
  <c r="CE267" i="12"/>
  <c r="CC267" i="12"/>
  <c r="CB267" i="12"/>
  <c r="CA267" i="12"/>
  <c r="BY267" i="12"/>
  <c r="BX267" i="12"/>
  <c r="BW267" i="12"/>
  <c r="BU267" i="12"/>
  <c r="BT267" i="12"/>
  <c r="BS267" i="12"/>
  <c r="BQ267" i="12"/>
  <c r="BP267" i="12"/>
  <c r="BO267" i="12"/>
  <c r="BM267" i="12"/>
  <c r="BL267" i="12"/>
  <c r="BK267" i="12"/>
  <c r="BI267" i="12"/>
  <c r="BH267" i="12"/>
  <c r="BG267" i="12"/>
  <c r="BE267" i="12"/>
  <c r="BD267" i="12"/>
  <c r="BC267" i="12"/>
  <c r="BA267" i="12"/>
  <c r="AZ267" i="12"/>
  <c r="AY267" i="12"/>
  <c r="AW267" i="12"/>
  <c r="AV267" i="12"/>
  <c r="AU267" i="12"/>
  <c r="AS267" i="12"/>
  <c r="AR267" i="12"/>
  <c r="AQ267" i="12"/>
  <c r="AO267" i="12"/>
  <c r="AN267" i="12"/>
  <c r="AM267" i="12"/>
  <c r="AK267" i="12"/>
  <c r="AJ267" i="12"/>
  <c r="AI267" i="12"/>
  <c r="AG267" i="12"/>
  <c r="AF267" i="12"/>
  <c r="AE267" i="12"/>
  <c r="AC267" i="12"/>
  <c r="AB267" i="12"/>
  <c r="AA267" i="12"/>
  <c r="Y267" i="12"/>
  <c r="X267" i="12"/>
  <c r="W267" i="12"/>
  <c r="U267" i="12"/>
  <c r="T267" i="12"/>
  <c r="S267" i="12"/>
  <c r="Q267" i="12"/>
  <c r="P267" i="12"/>
  <c r="O267" i="12"/>
  <c r="M267" i="12"/>
  <c r="L267" i="12"/>
  <c r="K267" i="12"/>
  <c r="I267" i="12"/>
  <c r="H267" i="12"/>
  <c r="G267" i="12"/>
  <c r="E267" i="12"/>
  <c r="CX266" i="12"/>
  <c r="CV266" i="12"/>
  <c r="CU266" i="12"/>
  <c r="CT266" i="12"/>
  <c r="CR266" i="12"/>
  <c r="CQ266" i="12"/>
  <c r="CP266" i="12"/>
  <c r="CN266" i="12"/>
  <c r="CM266" i="12"/>
  <c r="CL266" i="12"/>
  <c r="CJ266" i="12"/>
  <c r="CI266" i="12"/>
  <c r="CH266" i="12"/>
  <c r="CF266" i="12"/>
  <c r="CE266" i="12"/>
  <c r="CD266" i="12"/>
  <c r="CB266" i="12"/>
  <c r="CA266" i="12"/>
  <c r="BZ266" i="12"/>
  <c r="BX266" i="12"/>
  <c r="BW266" i="12"/>
  <c r="BV266" i="12"/>
  <c r="BT266" i="12"/>
  <c r="BS266" i="12"/>
  <c r="BR266" i="12"/>
  <c r="BP266" i="12"/>
  <c r="BO266" i="12"/>
  <c r="BN266" i="12"/>
  <c r="BL266" i="12"/>
  <c r="BK266" i="12"/>
  <c r="BJ266" i="12"/>
  <c r="BH266" i="12"/>
  <c r="BG266" i="12"/>
  <c r="BF266" i="12"/>
  <c r="BD266" i="12"/>
  <c r="BC266" i="12"/>
  <c r="BB266" i="12"/>
  <c r="AZ266" i="12"/>
  <c r="AY266" i="12"/>
  <c r="AX266" i="12"/>
  <c r="AV266" i="12"/>
  <c r="AU266" i="12"/>
  <c r="AT266" i="12"/>
  <c r="AR266" i="12"/>
  <c r="AQ266" i="12"/>
  <c r="AP266" i="12"/>
  <c r="AN266" i="12"/>
  <c r="AM266" i="12"/>
  <c r="AL266" i="12"/>
  <c r="AJ266" i="12"/>
  <c r="AI266" i="12"/>
  <c r="AH266" i="12"/>
  <c r="AF266" i="12"/>
  <c r="AE266" i="12"/>
  <c r="AD266" i="12"/>
  <c r="AB266" i="12"/>
  <c r="AA266" i="12"/>
  <c r="Z266" i="12"/>
  <c r="X266" i="12"/>
  <c r="W266" i="12"/>
  <c r="V266" i="12"/>
  <c r="T266" i="12"/>
  <c r="S266" i="12"/>
  <c r="R266" i="12"/>
  <c r="P266" i="12"/>
  <c r="O266" i="12"/>
  <c r="N266" i="12"/>
  <c r="L266" i="12"/>
  <c r="K266" i="12"/>
  <c r="J266" i="12"/>
  <c r="H266" i="12"/>
  <c r="G266" i="12"/>
  <c r="F266" i="12"/>
  <c r="CX265" i="12"/>
  <c r="CW265" i="12"/>
  <c r="CS265" i="12"/>
  <c r="CO265" i="12"/>
  <c r="CK265" i="12"/>
  <c r="CG265" i="12"/>
  <c r="CC265" i="12"/>
  <c r="BY265" i="12"/>
  <c r="BV265" i="12"/>
  <c r="BU265" i="12"/>
  <c r="BR265" i="12"/>
  <c r="BQ265" i="12"/>
  <c r="BM265" i="12"/>
  <c r="BI265" i="12"/>
  <c r="BE265" i="12"/>
  <c r="BA265" i="12"/>
  <c r="AW265" i="12"/>
  <c r="AS265" i="12"/>
  <c r="AP265" i="12"/>
  <c r="AO265" i="12"/>
  <c r="AN265" i="12"/>
  <c r="AL265" i="12"/>
  <c r="AK265" i="12"/>
  <c r="AG265" i="12"/>
  <c r="AC265" i="12"/>
  <c r="Y265" i="12"/>
  <c r="U265" i="12"/>
  <c r="Q265" i="12"/>
  <c r="M265" i="12"/>
  <c r="J265" i="12"/>
  <c r="I265" i="12"/>
  <c r="F265" i="12"/>
  <c r="E265" i="12"/>
  <c r="CV264" i="12"/>
  <c r="CR264" i="12"/>
  <c r="CN264" i="12"/>
  <c r="CJ264" i="12"/>
  <c r="CF264" i="12"/>
  <c r="CB264" i="12"/>
  <c r="BX264" i="12"/>
  <c r="BT264" i="12"/>
  <c r="BS264" i="12"/>
  <c r="BP264" i="12"/>
  <c r="BL264" i="12"/>
  <c r="BH264" i="12"/>
  <c r="BD264" i="12"/>
  <c r="AZ264" i="12"/>
  <c r="AV264" i="12"/>
  <c r="AR264" i="12"/>
  <c r="AN264" i="12"/>
  <c r="AM264" i="12"/>
  <c r="AJ264" i="12"/>
  <c r="AF264" i="12"/>
  <c r="AB264" i="12"/>
  <c r="X264" i="12"/>
  <c r="T264" i="12"/>
  <c r="P264" i="12"/>
  <c r="L264" i="12"/>
  <c r="H264" i="12"/>
  <c r="G264" i="12"/>
  <c r="CU263" i="12"/>
  <c r="CQ263" i="12"/>
  <c r="CO263" i="12"/>
  <c r="CM263" i="12"/>
  <c r="CK263" i="12"/>
  <c r="CI263" i="12"/>
  <c r="CE263" i="12"/>
  <c r="CA263" i="12"/>
  <c r="BY263" i="12"/>
  <c r="BW263" i="12"/>
  <c r="BU263" i="12"/>
  <c r="BS263" i="12"/>
  <c r="BO263" i="12"/>
  <c r="BK263" i="12"/>
  <c r="BI263" i="12"/>
  <c r="BG263" i="12"/>
  <c r="BE263" i="12"/>
  <c r="BC263" i="12"/>
  <c r="AY263" i="12"/>
  <c r="AU263" i="12"/>
  <c r="AS263" i="12"/>
  <c r="AQ263" i="12"/>
  <c r="AO263" i="12"/>
  <c r="AM263" i="12"/>
  <c r="AI263" i="12"/>
  <c r="AE263" i="12"/>
  <c r="AC263" i="12"/>
  <c r="AA263" i="12"/>
  <c r="Y263" i="12"/>
  <c r="W263" i="12"/>
  <c r="S263" i="12"/>
  <c r="O263" i="12"/>
  <c r="M263" i="12"/>
  <c r="K263" i="12"/>
  <c r="I263" i="12"/>
  <c r="G263" i="12"/>
  <c r="CX262" i="12"/>
  <c r="CT262" i="12"/>
  <c r="CP262" i="12"/>
  <c r="CL262" i="12"/>
  <c r="CH262" i="12"/>
  <c r="CD262" i="12"/>
  <c r="BZ262" i="12"/>
  <c r="BV262" i="12"/>
  <c r="BR262" i="12"/>
  <c r="BN262" i="12"/>
  <c r="BJ262" i="12"/>
  <c r="BF262" i="12"/>
  <c r="BB262" i="12"/>
  <c r="AX262" i="12"/>
  <c r="AT262" i="12"/>
  <c r="AP262" i="12"/>
  <c r="AL262" i="12"/>
  <c r="AH262" i="12"/>
  <c r="AD262" i="12"/>
  <c r="Z262" i="12"/>
  <c r="V262" i="12"/>
  <c r="R262" i="12"/>
  <c r="N262" i="12"/>
  <c r="J262" i="12"/>
  <c r="F262" i="12"/>
  <c r="CW261" i="12"/>
  <c r="CS261" i="12"/>
  <c r="CO261" i="12"/>
  <c r="CK261" i="12"/>
  <c r="CG261" i="12"/>
  <c r="CD261" i="12"/>
  <c r="CC261" i="12"/>
  <c r="CB261" i="12"/>
  <c r="BZ261" i="12"/>
  <c r="BY261" i="12"/>
  <c r="BU261" i="12"/>
  <c r="BQ261" i="12"/>
  <c r="BM261" i="12"/>
  <c r="BI261" i="12"/>
  <c r="BE261" i="12"/>
  <c r="BA261" i="12"/>
  <c r="AX261" i="12"/>
  <c r="AW261" i="12"/>
  <c r="AT261" i="12"/>
  <c r="AS261" i="12"/>
  <c r="AO261" i="12"/>
  <c r="AK261" i="12"/>
  <c r="AG261" i="12"/>
  <c r="AC261" i="12"/>
  <c r="Y261" i="12"/>
  <c r="U261" i="12"/>
  <c r="R261" i="12"/>
  <c r="Q261" i="12"/>
  <c r="N261" i="12"/>
  <c r="M261" i="12"/>
  <c r="I261" i="12"/>
  <c r="E261" i="12"/>
  <c r="CV260" i="12"/>
  <c r="CR260" i="12"/>
  <c r="CN260" i="12"/>
  <c r="CJ260" i="12"/>
  <c r="CF260" i="12"/>
  <c r="CB260" i="12"/>
  <c r="BX260" i="12"/>
  <c r="BW260" i="12"/>
  <c r="BT260" i="12"/>
  <c r="BR260" i="12"/>
  <c r="BP260" i="12"/>
  <c r="BN260" i="12"/>
  <c r="BL260" i="12"/>
  <c r="BH260" i="12"/>
  <c r="BD260" i="12"/>
  <c r="BB260" i="12"/>
  <c r="AZ260" i="12"/>
  <c r="AV260" i="12"/>
  <c r="AR260" i="12"/>
  <c r="AN260" i="12"/>
  <c r="AL260" i="12"/>
  <c r="AJ260" i="12"/>
  <c r="AF260" i="12"/>
  <c r="AB260" i="12"/>
  <c r="AA260" i="12"/>
  <c r="X260" i="12"/>
  <c r="V260" i="12"/>
  <c r="T260" i="12"/>
  <c r="P260" i="12"/>
  <c r="L260" i="12"/>
  <c r="H260" i="12"/>
  <c r="F260" i="12"/>
  <c r="CU259" i="12"/>
  <c r="CQ259" i="12"/>
  <c r="CM259" i="12"/>
  <c r="CI259" i="12"/>
  <c r="CE259" i="12"/>
  <c r="CA259" i="12"/>
  <c r="BW259" i="12"/>
  <c r="BS259" i="12"/>
  <c r="BO259" i="12"/>
  <c r="BK259" i="12"/>
  <c r="BG259" i="12"/>
  <c r="BC259" i="12"/>
  <c r="AY259" i="12"/>
  <c r="AU259" i="12"/>
  <c r="AQ259" i="12"/>
  <c r="AM259" i="12"/>
  <c r="AI259" i="12"/>
  <c r="AE259" i="12"/>
  <c r="AA259" i="12"/>
  <c r="W259" i="12"/>
  <c r="S259" i="12"/>
  <c r="O259" i="12"/>
  <c r="K259" i="12"/>
  <c r="G259" i="12"/>
  <c r="F259" i="12"/>
  <c r="CX258" i="12"/>
  <c r="CU258" i="12"/>
  <c r="CT258" i="12"/>
  <c r="CQ258" i="12"/>
  <c r="CP258" i="12"/>
  <c r="CL258" i="12"/>
  <c r="CH258" i="12"/>
  <c r="CE258" i="12"/>
  <c r="CD258" i="12"/>
  <c r="CA258" i="12"/>
  <c r="BZ258" i="12"/>
  <c r="BV258" i="12"/>
  <c r="BR258" i="12"/>
  <c r="BO258" i="12"/>
  <c r="BN258" i="12"/>
  <c r="BK258" i="12"/>
  <c r="BJ258" i="12"/>
  <c r="BF258" i="12"/>
  <c r="BE258" i="12"/>
  <c r="BB258" i="12"/>
  <c r="AY258" i="12"/>
  <c r="AX258" i="12"/>
  <c r="AU258" i="12"/>
  <c r="AT258" i="12"/>
  <c r="AS258" i="12"/>
  <c r="AP258" i="12"/>
  <c r="AL258" i="12"/>
  <c r="AK258" i="12"/>
  <c r="AI258" i="12"/>
  <c r="AH258" i="12"/>
  <c r="AE258" i="12"/>
  <c r="AD258" i="12"/>
  <c r="Z258" i="12"/>
  <c r="V258" i="12"/>
  <c r="S258" i="12"/>
  <c r="R258" i="12"/>
  <c r="Q258" i="12"/>
  <c r="O258" i="12"/>
  <c r="N258" i="12"/>
  <c r="J258" i="12"/>
  <c r="F258" i="12"/>
  <c r="CW257" i="12"/>
  <c r="CS257" i="12"/>
  <c r="CO257" i="12"/>
  <c r="CK257" i="12"/>
  <c r="CG257" i="12"/>
  <c r="CC257" i="12"/>
  <c r="BY257" i="12"/>
  <c r="BU257" i="12"/>
  <c r="BQ257" i="12"/>
  <c r="BM257" i="12"/>
  <c r="BI257" i="12"/>
  <c r="BE257" i="12"/>
  <c r="BA257" i="12"/>
  <c r="AW257" i="12"/>
  <c r="AS257" i="12"/>
  <c r="AO257" i="12"/>
  <c r="AK257" i="12"/>
  <c r="AG257" i="12"/>
  <c r="AC257" i="12"/>
  <c r="Y257" i="12"/>
  <c r="U257" i="12"/>
  <c r="Q257" i="12"/>
  <c r="M257" i="12"/>
  <c r="I257" i="12"/>
  <c r="E257" i="12"/>
  <c r="CX256" i="12"/>
  <c r="CV256" i="12"/>
  <c r="CR256" i="12"/>
  <c r="CN256" i="12"/>
  <c r="CJ256" i="12"/>
  <c r="CF256" i="12"/>
  <c r="CB256" i="12"/>
  <c r="BX256" i="12"/>
  <c r="BT256" i="12"/>
  <c r="BP256" i="12"/>
  <c r="BL256" i="12"/>
  <c r="BH256" i="12"/>
  <c r="BD256" i="12"/>
  <c r="AZ256" i="12"/>
  <c r="AV256" i="12"/>
  <c r="AR256" i="12"/>
  <c r="AN256" i="12"/>
  <c r="AJ256" i="12"/>
  <c r="AF256" i="12"/>
  <c r="AB256" i="12"/>
  <c r="X256" i="12"/>
  <c r="T256" i="12"/>
  <c r="P256" i="12"/>
  <c r="L256" i="12"/>
  <c r="H256" i="12"/>
  <c r="CW255" i="12"/>
  <c r="CV255" i="12"/>
  <c r="CU255" i="12"/>
  <c r="CS255" i="12"/>
  <c r="CR255" i="12"/>
  <c r="CQ255" i="12"/>
  <c r="CO255" i="12"/>
  <c r="CN255" i="12"/>
  <c r="CM255" i="12"/>
  <c r="CK255" i="12"/>
  <c r="CJ255" i="12"/>
  <c r="CI255" i="12"/>
  <c r="CG255" i="12"/>
  <c r="CF255" i="12"/>
  <c r="CE255" i="12"/>
  <c r="CC255" i="12"/>
  <c r="CB255" i="12"/>
  <c r="CA255" i="12"/>
  <c r="BY255" i="12"/>
  <c r="BX255" i="12"/>
  <c r="BW255" i="12"/>
  <c r="BU255" i="12"/>
  <c r="BT255" i="12"/>
  <c r="BS255" i="12"/>
  <c r="BQ255" i="12"/>
  <c r="BP255" i="12"/>
  <c r="BO255" i="12"/>
  <c r="BM255" i="12"/>
  <c r="BL255" i="12"/>
  <c r="BK255" i="12"/>
  <c r="BI255" i="12"/>
  <c r="BH255" i="12"/>
  <c r="BG255" i="12"/>
  <c r="BE255" i="12"/>
  <c r="BD255" i="12"/>
  <c r="BC255" i="12"/>
  <c r="BA255" i="12"/>
  <c r="AZ255" i="12"/>
  <c r="AY255" i="12"/>
  <c r="AW255" i="12"/>
  <c r="AV255" i="12"/>
  <c r="AU255" i="12"/>
  <c r="AT255" i="12"/>
  <c r="AS255" i="12"/>
  <c r="AR255" i="12"/>
  <c r="AQ255" i="12"/>
  <c r="AP255" i="12"/>
  <c r="AO255" i="12"/>
  <c r="AN255" i="12"/>
  <c r="AM255" i="12"/>
  <c r="AL255" i="12"/>
  <c r="AK255" i="12"/>
  <c r="AJ255" i="12"/>
  <c r="AI255" i="12"/>
  <c r="AH255" i="12"/>
  <c r="AG255" i="12"/>
  <c r="AF255" i="12"/>
  <c r="AE255" i="12"/>
  <c r="AD255" i="12"/>
  <c r="AC255" i="12"/>
  <c r="AB255" i="12"/>
  <c r="AA255" i="12"/>
  <c r="Z255" i="12"/>
  <c r="Y255" i="12"/>
  <c r="X255" i="12"/>
  <c r="W255" i="12"/>
  <c r="V255" i="12"/>
  <c r="U255" i="12"/>
  <c r="T255" i="12"/>
  <c r="S255" i="12"/>
  <c r="R255" i="12"/>
  <c r="Q255" i="12"/>
  <c r="P255" i="12"/>
  <c r="O255" i="12"/>
  <c r="N255" i="12"/>
  <c r="M255" i="12"/>
  <c r="L255" i="12"/>
  <c r="K255" i="12"/>
  <c r="J255" i="12"/>
  <c r="I255" i="12"/>
  <c r="H255" i="12"/>
  <c r="G255" i="12"/>
  <c r="F255" i="12"/>
  <c r="E255" i="12"/>
  <c r="CX254" i="12"/>
  <c r="CU254" i="12"/>
  <c r="CT254" i="12"/>
  <c r="CQ254" i="12"/>
  <c r="CP254" i="12"/>
  <c r="CM254" i="12"/>
  <c r="CL254" i="12"/>
  <c r="CK254" i="12"/>
  <c r="CI254" i="12"/>
  <c r="CH254" i="12"/>
  <c r="CE254" i="12"/>
  <c r="CD254" i="12"/>
  <c r="CA254" i="12"/>
  <c r="BZ254" i="12"/>
  <c r="BW254" i="12"/>
  <c r="BV254" i="12"/>
  <c r="BU254" i="12"/>
  <c r="BS254" i="12"/>
  <c r="BR254" i="12"/>
  <c r="BO254" i="12"/>
  <c r="BN254" i="12"/>
  <c r="BK254" i="12"/>
  <c r="BJ254" i="12"/>
  <c r="BG254" i="12"/>
  <c r="BF254" i="12"/>
  <c r="BE254" i="12"/>
  <c r="BC254" i="12"/>
  <c r="BB254" i="12"/>
  <c r="AY254" i="12"/>
  <c r="AX254" i="12"/>
  <c r="AU254" i="12"/>
  <c r="AT254" i="12"/>
  <c r="AQ254" i="12"/>
  <c r="AP254" i="12"/>
  <c r="AO254" i="12"/>
  <c r="AM254" i="12"/>
  <c r="AL254" i="12"/>
  <c r="AI254" i="12"/>
  <c r="AH254" i="12"/>
  <c r="AE254" i="12"/>
  <c r="AD254" i="12"/>
  <c r="AA254" i="12"/>
  <c r="Z254" i="12"/>
  <c r="Y254" i="12"/>
  <c r="W254" i="12"/>
  <c r="V254" i="12"/>
  <c r="S254" i="12"/>
  <c r="R254" i="12"/>
  <c r="O254" i="12"/>
  <c r="N254" i="12"/>
  <c r="K254" i="12"/>
  <c r="J254" i="12"/>
  <c r="I254" i="12"/>
  <c r="G254" i="12"/>
  <c r="F254" i="12"/>
  <c r="CW253" i="12"/>
  <c r="CS253" i="12"/>
  <c r="CO253" i="12"/>
  <c r="CK253" i="12"/>
  <c r="CG253" i="12"/>
  <c r="CC253" i="12"/>
  <c r="BY253" i="12"/>
  <c r="BU253" i="12"/>
  <c r="BQ253" i="12"/>
  <c r="BM253" i="12"/>
  <c r="BI253" i="12"/>
  <c r="BE253" i="12"/>
  <c r="BA253" i="12"/>
  <c r="AW253" i="12"/>
  <c r="AS253" i="12"/>
  <c r="AO253" i="12"/>
  <c r="AK253" i="12"/>
  <c r="AG253" i="12"/>
  <c r="AC253" i="12"/>
  <c r="Y253" i="12"/>
  <c r="U253" i="12"/>
  <c r="Q253" i="12"/>
  <c r="M253" i="12"/>
  <c r="I253" i="12"/>
  <c r="E253" i="12"/>
  <c r="CV252" i="12"/>
  <c r="CR252" i="12"/>
  <c r="CQ252" i="12"/>
  <c r="CN252" i="12"/>
  <c r="CJ252" i="12"/>
  <c r="CI252" i="12"/>
  <c r="CF252" i="12"/>
  <c r="CB252" i="12"/>
  <c r="CA252" i="12"/>
  <c r="BX252" i="12"/>
  <c r="BT252" i="12"/>
  <c r="BS252" i="12"/>
  <c r="BP252" i="12"/>
  <c r="BL252" i="12"/>
  <c r="BK252" i="12"/>
  <c r="BH252" i="12"/>
  <c r="BD252" i="12"/>
  <c r="BC252" i="12"/>
  <c r="AZ252" i="12"/>
  <c r="AV252" i="12"/>
  <c r="AU252" i="12"/>
  <c r="AR252" i="12"/>
  <c r="AN252" i="12"/>
  <c r="AM252" i="12"/>
  <c r="AJ252" i="12"/>
  <c r="AF252" i="12"/>
  <c r="AE252" i="12"/>
  <c r="AB252" i="12"/>
  <c r="X252" i="12"/>
  <c r="W252" i="12"/>
  <c r="T252" i="12"/>
  <c r="P252" i="12"/>
  <c r="O252" i="12"/>
  <c r="L252" i="12"/>
  <c r="H252" i="12"/>
  <c r="G252" i="12"/>
  <c r="CW251" i="12"/>
  <c r="CV251" i="12"/>
  <c r="CU251" i="12"/>
  <c r="CS251" i="12"/>
  <c r="CR251" i="12"/>
  <c r="CQ251" i="12"/>
  <c r="CO251" i="12"/>
  <c r="CN251" i="12"/>
  <c r="CM251" i="12"/>
  <c r="CK251" i="12"/>
  <c r="CJ251" i="12"/>
  <c r="CI251" i="12"/>
  <c r="CG251" i="12"/>
  <c r="CF251" i="12"/>
  <c r="CE251" i="12"/>
  <c r="CC251" i="12"/>
  <c r="CB251" i="12"/>
  <c r="CA251" i="12"/>
  <c r="BY251" i="12"/>
  <c r="BX251" i="12"/>
  <c r="BW251" i="12"/>
  <c r="BU251" i="12"/>
  <c r="BT251" i="12"/>
  <c r="BS251" i="12"/>
  <c r="BQ251" i="12"/>
  <c r="BP251" i="12"/>
  <c r="BO251" i="12"/>
  <c r="BM251" i="12"/>
  <c r="BL251" i="12"/>
  <c r="BK251" i="12"/>
  <c r="BI251" i="12"/>
  <c r="BH251" i="12"/>
  <c r="BG251" i="12"/>
  <c r="BE251" i="12"/>
  <c r="BD251" i="12"/>
  <c r="BC251" i="12"/>
  <c r="BA251" i="12"/>
  <c r="AZ251" i="12"/>
  <c r="AY251" i="12"/>
  <c r="AW251" i="12"/>
  <c r="AV251" i="12"/>
  <c r="AU251" i="12"/>
  <c r="AS251" i="12"/>
  <c r="AR251" i="12"/>
  <c r="AQ251" i="12"/>
  <c r="AO251" i="12"/>
  <c r="AN251" i="12"/>
  <c r="AM251" i="12"/>
  <c r="AK251" i="12"/>
  <c r="AJ251" i="12"/>
  <c r="AI251" i="12"/>
  <c r="AG251" i="12"/>
  <c r="AF251" i="12"/>
  <c r="AE251" i="12"/>
  <c r="AC251" i="12"/>
  <c r="AB251" i="12"/>
  <c r="AA251" i="12"/>
  <c r="Y251" i="12"/>
  <c r="X251" i="12"/>
  <c r="W251" i="12"/>
  <c r="U251" i="12"/>
  <c r="T251" i="12"/>
  <c r="S251" i="12"/>
  <c r="Q251" i="12"/>
  <c r="P251" i="12"/>
  <c r="O251" i="12"/>
  <c r="M251" i="12"/>
  <c r="L251" i="12"/>
  <c r="K251" i="12"/>
  <c r="I251" i="12"/>
  <c r="H251" i="12"/>
  <c r="G251" i="12"/>
  <c r="E251" i="12"/>
  <c r="D357" i="12"/>
  <c r="D356" i="12"/>
  <c r="D355" i="12"/>
  <c r="D354" i="12"/>
  <c r="D353" i="12"/>
  <c r="D352" i="12"/>
  <c r="D351" i="12"/>
  <c r="D350" i="12"/>
  <c r="D349" i="12"/>
  <c r="D348" i="12"/>
  <c r="D347" i="12"/>
  <c r="D346" i="12"/>
  <c r="D345" i="12"/>
  <c r="D343" i="12"/>
  <c r="D342" i="12"/>
  <c r="D341" i="12"/>
  <c r="D340" i="12"/>
  <c r="D268" i="12"/>
  <c r="D267" i="12"/>
  <c r="D266" i="12"/>
  <c r="D265" i="12"/>
  <c r="D264" i="12"/>
  <c r="D263" i="12"/>
  <c r="D262" i="12"/>
  <c r="D261" i="12"/>
  <c r="D260" i="12"/>
  <c r="D259" i="12"/>
  <c r="D256" i="12"/>
  <c r="D255" i="12"/>
  <c r="D252" i="12"/>
  <c r="D251" i="12"/>
  <c r="CX152" i="12"/>
  <c r="CX179" i="12" s="1"/>
  <c r="CW152" i="12"/>
  <c r="CW179" i="12" s="1"/>
  <c r="CV152" i="12"/>
  <c r="CV179" i="12" s="1"/>
  <c r="CU152" i="12"/>
  <c r="CU179" i="12" s="1"/>
  <c r="CT152" i="12"/>
  <c r="CT179" i="12" s="1"/>
  <c r="CS152" i="12"/>
  <c r="CS179" i="12" s="1"/>
  <c r="CR152" i="12"/>
  <c r="CR179" i="12" s="1"/>
  <c r="CQ152" i="12"/>
  <c r="CQ179" i="12" s="1"/>
  <c r="CP152" i="12"/>
  <c r="CP179" i="12" s="1"/>
  <c r="CO152" i="12"/>
  <c r="CO179" i="12" s="1"/>
  <c r="CN152" i="12"/>
  <c r="CN179" i="12" s="1"/>
  <c r="CM152" i="12"/>
  <c r="CM179" i="12" s="1"/>
  <c r="CL152" i="12"/>
  <c r="CL179" i="12" s="1"/>
  <c r="CK152" i="12"/>
  <c r="CK179" i="12" s="1"/>
  <c r="CJ152" i="12"/>
  <c r="CJ179" i="12" s="1"/>
  <c r="CI152" i="12"/>
  <c r="CI179" i="12" s="1"/>
  <c r="CH152" i="12"/>
  <c r="CH179" i="12" s="1"/>
  <c r="CG152" i="12"/>
  <c r="CG179" i="12" s="1"/>
  <c r="CF152" i="12"/>
  <c r="CF179" i="12" s="1"/>
  <c r="CE152" i="12"/>
  <c r="CE179" i="12" s="1"/>
  <c r="CD152" i="12"/>
  <c r="CD179" i="12" s="1"/>
  <c r="CC152" i="12"/>
  <c r="CC179" i="12" s="1"/>
  <c r="CB152" i="12"/>
  <c r="CB179" i="12" s="1"/>
  <c r="CA152" i="12"/>
  <c r="CA179" i="12" s="1"/>
  <c r="BZ152" i="12"/>
  <c r="BZ179" i="12" s="1"/>
  <c r="BY152" i="12"/>
  <c r="BY179" i="12" s="1"/>
  <c r="BX152" i="12"/>
  <c r="BX179" i="12" s="1"/>
  <c r="BW152" i="12"/>
  <c r="BW179" i="12" s="1"/>
  <c r="BV152" i="12"/>
  <c r="BV179" i="12" s="1"/>
  <c r="BU152" i="12"/>
  <c r="BU179" i="12" s="1"/>
  <c r="BT152" i="12"/>
  <c r="BT179" i="12" s="1"/>
  <c r="BS152" i="12"/>
  <c r="BS179" i="12" s="1"/>
  <c r="BR152" i="12"/>
  <c r="BR179" i="12" s="1"/>
  <c r="BQ152" i="12"/>
  <c r="BQ179" i="12" s="1"/>
  <c r="BP152" i="12"/>
  <c r="BP179" i="12" s="1"/>
  <c r="BO152" i="12"/>
  <c r="BO179" i="12" s="1"/>
  <c r="BN152" i="12"/>
  <c r="BN179" i="12" s="1"/>
  <c r="BM152" i="12"/>
  <c r="BM179" i="12" s="1"/>
  <c r="BL152" i="12"/>
  <c r="BL179" i="12" s="1"/>
  <c r="BK152" i="12"/>
  <c r="BK179" i="12" s="1"/>
  <c r="BJ152" i="12"/>
  <c r="BJ179" i="12" s="1"/>
  <c r="BI152" i="12"/>
  <c r="BI179" i="12" s="1"/>
  <c r="BH152" i="12"/>
  <c r="BH179" i="12" s="1"/>
  <c r="BG152" i="12"/>
  <c r="BG179" i="12" s="1"/>
  <c r="BF152" i="12"/>
  <c r="BF179" i="12" s="1"/>
  <c r="BE152" i="12"/>
  <c r="BE179" i="12" s="1"/>
  <c r="BD152" i="12"/>
  <c r="BD179" i="12" s="1"/>
  <c r="BC152" i="12"/>
  <c r="BC179" i="12" s="1"/>
  <c r="BB152" i="12"/>
  <c r="BB179" i="12" s="1"/>
  <c r="BA152" i="12"/>
  <c r="BA179" i="12" s="1"/>
  <c r="AZ152" i="12"/>
  <c r="AZ179" i="12" s="1"/>
  <c r="AY152" i="12"/>
  <c r="AY179" i="12" s="1"/>
  <c r="AX152" i="12"/>
  <c r="AX179" i="12" s="1"/>
  <c r="AW152" i="12"/>
  <c r="AW179" i="12" s="1"/>
  <c r="AV152" i="12"/>
  <c r="AV179" i="12" s="1"/>
  <c r="AU152" i="12"/>
  <c r="AU179" i="12" s="1"/>
  <c r="AT152" i="12"/>
  <c r="AT179" i="12" s="1"/>
  <c r="AS152" i="12"/>
  <c r="AS179" i="12" s="1"/>
  <c r="AR152" i="12"/>
  <c r="AR179" i="12" s="1"/>
  <c r="AQ152" i="12"/>
  <c r="AQ179" i="12" s="1"/>
  <c r="AP152" i="12"/>
  <c r="AP179" i="12" s="1"/>
  <c r="AO152" i="12"/>
  <c r="AO179" i="12" s="1"/>
  <c r="AN152" i="12"/>
  <c r="AN179" i="12" s="1"/>
  <c r="AM152" i="12"/>
  <c r="AM179" i="12" s="1"/>
  <c r="AL152" i="12"/>
  <c r="AL179" i="12" s="1"/>
  <c r="AK152" i="12"/>
  <c r="AK179" i="12" s="1"/>
  <c r="AJ152" i="12"/>
  <c r="AJ179" i="12" s="1"/>
  <c r="AI152" i="12"/>
  <c r="AI179" i="12" s="1"/>
  <c r="AH152" i="12"/>
  <c r="AH179" i="12" s="1"/>
  <c r="AG152" i="12"/>
  <c r="AG179" i="12" s="1"/>
  <c r="AF152" i="12"/>
  <c r="AF179" i="12" s="1"/>
  <c r="AE152" i="12"/>
  <c r="AE179" i="12" s="1"/>
  <c r="AD152" i="12"/>
  <c r="AD179" i="12" s="1"/>
  <c r="AC152" i="12"/>
  <c r="AC179" i="12" s="1"/>
  <c r="AB152" i="12"/>
  <c r="AB179" i="12" s="1"/>
  <c r="AA152" i="12"/>
  <c r="AA179" i="12" s="1"/>
  <c r="Z152" i="12"/>
  <c r="Z179" i="12" s="1"/>
  <c r="Y152" i="12"/>
  <c r="Y179" i="12" s="1"/>
  <c r="X152" i="12"/>
  <c r="X179" i="12" s="1"/>
  <c r="W152" i="12"/>
  <c r="W179" i="12" s="1"/>
  <c r="V152" i="12"/>
  <c r="V179" i="12" s="1"/>
  <c r="U152" i="12"/>
  <c r="U179" i="12" s="1"/>
  <c r="T152" i="12"/>
  <c r="T179" i="12" s="1"/>
  <c r="S152" i="12"/>
  <c r="S179" i="12" s="1"/>
  <c r="R152" i="12"/>
  <c r="R179" i="12" s="1"/>
  <c r="Q152" i="12"/>
  <c r="Q179" i="12" s="1"/>
  <c r="P152" i="12"/>
  <c r="P179" i="12" s="1"/>
  <c r="O152" i="12"/>
  <c r="O179" i="12" s="1"/>
  <c r="N152" i="12"/>
  <c r="N179" i="12" s="1"/>
  <c r="M152" i="12"/>
  <c r="M179" i="12" s="1"/>
  <c r="L152" i="12"/>
  <c r="L179" i="12" s="1"/>
  <c r="K152" i="12"/>
  <c r="K179" i="12" s="1"/>
  <c r="J152" i="12"/>
  <c r="J179" i="12" s="1"/>
  <c r="I152" i="12"/>
  <c r="I179" i="12" s="1"/>
  <c r="H152" i="12"/>
  <c r="H179" i="12" s="1"/>
  <c r="G152" i="12"/>
  <c r="G179" i="12" s="1"/>
  <c r="F152" i="12"/>
  <c r="F179" i="12" s="1"/>
  <c r="E152" i="12"/>
  <c r="E179" i="12" s="1"/>
  <c r="D152" i="12"/>
  <c r="D179" i="12" s="1"/>
  <c r="CX151" i="12"/>
  <c r="CX178" i="12" s="1"/>
  <c r="CW151" i="12"/>
  <c r="CW178" i="12" s="1"/>
  <c r="CV151" i="12"/>
  <c r="CV178" i="12" s="1"/>
  <c r="CU151" i="12"/>
  <c r="CU178" i="12" s="1"/>
  <c r="CT151" i="12"/>
  <c r="CT178" i="12" s="1"/>
  <c r="CS151" i="12"/>
  <c r="CS178" i="12" s="1"/>
  <c r="CR151" i="12"/>
  <c r="CR178" i="12" s="1"/>
  <c r="CQ151" i="12"/>
  <c r="CQ178" i="12" s="1"/>
  <c r="CP151" i="12"/>
  <c r="CP178" i="12" s="1"/>
  <c r="CO151" i="12"/>
  <c r="CO178" i="12" s="1"/>
  <c r="CN151" i="12"/>
  <c r="CN178" i="12" s="1"/>
  <c r="CM151" i="12"/>
  <c r="CM178" i="12" s="1"/>
  <c r="CL151" i="12"/>
  <c r="CL178" i="12" s="1"/>
  <c r="CK151" i="12"/>
  <c r="CK178" i="12" s="1"/>
  <c r="CJ151" i="12"/>
  <c r="CJ178" i="12" s="1"/>
  <c r="CI151" i="12"/>
  <c r="CI178" i="12" s="1"/>
  <c r="CH151" i="12"/>
  <c r="CH178" i="12" s="1"/>
  <c r="CG151" i="12"/>
  <c r="CG178" i="12" s="1"/>
  <c r="CF151" i="12"/>
  <c r="CF178" i="12" s="1"/>
  <c r="CE151" i="12"/>
  <c r="CE178" i="12" s="1"/>
  <c r="CD151" i="12"/>
  <c r="CD178" i="12" s="1"/>
  <c r="CC151" i="12"/>
  <c r="CC178" i="12" s="1"/>
  <c r="CB151" i="12"/>
  <c r="CB178" i="12" s="1"/>
  <c r="CA151" i="12"/>
  <c r="CA178" i="12" s="1"/>
  <c r="BZ151" i="12"/>
  <c r="BZ178" i="12" s="1"/>
  <c r="BY151" i="12"/>
  <c r="BY178" i="12" s="1"/>
  <c r="BX151" i="12"/>
  <c r="BX178" i="12" s="1"/>
  <c r="BW151" i="12"/>
  <c r="BW178" i="12" s="1"/>
  <c r="BV151" i="12"/>
  <c r="BV178" i="12" s="1"/>
  <c r="BU151" i="12"/>
  <c r="BU178" i="12" s="1"/>
  <c r="BT151" i="12"/>
  <c r="BT178" i="12" s="1"/>
  <c r="BS151" i="12"/>
  <c r="BS178" i="12" s="1"/>
  <c r="BR151" i="12"/>
  <c r="BR178" i="12" s="1"/>
  <c r="BQ151" i="12"/>
  <c r="BQ178" i="12" s="1"/>
  <c r="BP151" i="12"/>
  <c r="BP178" i="12" s="1"/>
  <c r="BO151" i="12"/>
  <c r="BO178" i="12" s="1"/>
  <c r="BN151" i="12"/>
  <c r="BN178" i="12" s="1"/>
  <c r="BM151" i="12"/>
  <c r="BM178" i="12" s="1"/>
  <c r="BL151" i="12"/>
  <c r="BL178" i="12" s="1"/>
  <c r="BK151" i="12"/>
  <c r="BK178" i="12" s="1"/>
  <c r="BJ151" i="12"/>
  <c r="BJ178" i="12" s="1"/>
  <c r="BI151" i="12"/>
  <c r="BI178" i="12" s="1"/>
  <c r="BH151" i="12"/>
  <c r="BH178" i="12" s="1"/>
  <c r="BG151" i="12"/>
  <c r="BG178" i="12" s="1"/>
  <c r="BF151" i="12"/>
  <c r="BF178" i="12" s="1"/>
  <c r="BE151" i="12"/>
  <c r="BE178" i="12" s="1"/>
  <c r="BD151" i="12"/>
  <c r="BD178" i="12" s="1"/>
  <c r="BC151" i="12"/>
  <c r="BC178" i="12" s="1"/>
  <c r="BB151" i="12"/>
  <c r="BB178" i="12" s="1"/>
  <c r="BA151" i="12"/>
  <c r="BA178" i="12" s="1"/>
  <c r="AZ151" i="12"/>
  <c r="AZ178" i="12" s="1"/>
  <c r="AY151" i="12"/>
  <c r="AY178" i="12" s="1"/>
  <c r="AX151" i="12"/>
  <c r="AX178" i="12" s="1"/>
  <c r="AW151" i="12"/>
  <c r="AW178" i="12" s="1"/>
  <c r="AV151" i="12"/>
  <c r="AV178" i="12" s="1"/>
  <c r="AU151" i="12"/>
  <c r="AU178" i="12" s="1"/>
  <c r="AT151" i="12"/>
  <c r="AT178" i="12" s="1"/>
  <c r="AS151" i="12"/>
  <c r="AS178" i="12" s="1"/>
  <c r="AR151" i="12"/>
  <c r="AR178" i="12" s="1"/>
  <c r="AQ151" i="12"/>
  <c r="AQ178" i="12" s="1"/>
  <c r="AP151" i="12"/>
  <c r="AP178" i="12" s="1"/>
  <c r="AO151" i="12"/>
  <c r="AO178" i="12" s="1"/>
  <c r="AN151" i="12"/>
  <c r="AN178" i="12" s="1"/>
  <c r="AM151" i="12"/>
  <c r="AM178" i="12" s="1"/>
  <c r="AL151" i="12"/>
  <c r="AL178" i="12" s="1"/>
  <c r="AK151" i="12"/>
  <c r="AK178" i="12" s="1"/>
  <c r="AJ151" i="12"/>
  <c r="AJ178" i="12" s="1"/>
  <c r="AI151" i="12"/>
  <c r="AI178" i="12" s="1"/>
  <c r="AH151" i="12"/>
  <c r="AH178" i="12" s="1"/>
  <c r="AG151" i="12"/>
  <c r="AG178" i="12" s="1"/>
  <c r="AF151" i="12"/>
  <c r="AF178" i="12" s="1"/>
  <c r="AE151" i="12"/>
  <c r="AE178" i="12" s="1"/>
  <c r="AD151" i="12"/>
  <c r="AD178" i="12" s="1"/>
  <c r="AC151" i="12"/>
  <c r="AC178" i="12" s="1"/>
  <c r="AB151" i="12"/>
  <c r="AB178" i="12" s="1"/>
  <c r="AA151" i="12"/>
  <c r="AA178" i="12" s="1"/>
  <c r="Z151" i="12"/>
  <c r="Z178" i="12" s="1"/>
  <c r="Y151" i="12"/>
  <c r="Y178" i="12" s="1"/>
  <c r="X151" i="12"/>
  <c r="X178" i="12" s="1"/>
  <c r="W151" i="12"/>
  <c r="W178" i="12" s="1"/>
  <c r="V151" i="12"/>
  <c r="V178" i="12" s="1"/>
  <c r="U151" i="12"/>
  <c r="U178" i="12" s="1"/>
  <c r="T151" i="12"/>
  <c r="T178" i="12" s="1"/>
  <c r="S151" i="12"/>
  <c r="S178" i="12" s="1"/>
  <c r="R151" i="12"/>
  <c r="R178" i="12" s="1"/>
  <c r="Q151" i="12"/>
  <c r="Q178" i="12" s="1"/>
  <c r="P151" i="12"/>
  <c r="P178" i="12" s="1"/>
  <c r="O151" i="12"/>
  <c r="O178" i="12" s="1"/>
  <c r="N151" i="12"/>
  <c r="N178" i="12" s="1"/>
  <c r="M151" i="12"/>
  <c r="M178" i="12" s="1"/>
  <c r="L151" i="12"/>
  <c r="L178" i="12" s="1"/>
  <c r="K151" i="12"/>
  <c r="K178" i="12" s="1"/>
  <c r="J151" i="12"/>
  <c r="J178" i="12" s="1"/>
  <c r="I151" i="12"/>
  <c r="I178" i="12" s="1"/>
  <c r="H151" i="12"/>
  <c r="H178" i="12" s="1"/>
  <c r="G151" i="12"/>
  <c r="G178" i="12" s="1"/>
  <c r="F151" i="12"/>
  <c r="F178" i="12" s="1"/>
  <c r="E151" i="12"/>
  <c r="E178" i="12" s="1"/>
  <c r="D151" i="12"/>
  <c r="D178" i="12" s="1"/>
  <c r="CX150" i="12"/>
  <c r="CW150" i="12"/>
  <c r="CV150" i="12"/>
  <c r="CU150" i="12"/>
  <c r="CT150" i="12"/>
  <c r="CS150" i="12"/>
  <c r="CR150" i="12"/>
  <c r="CQ150" i="12"/>
  <c r="CP150" i="12"/>
  <c r="CO150" i="12"/>
  <c r="CN150" i="12"/>
  <c r="CM150" i="12"/>
  <c r="CL150" i="12"/>
  <c r="CK150" i="12"/>
  <c r="CJ150" i="12"/>
  <c r="CI150" i="12"/>
  <c r="CH150" i="12"/>
  <c r="CG150" i="12"/>
  <c r="CF150" i="12"/>
  <c r="CE150" i="12"/>
  <c r="CD150" i="12"/>
  <c r="CC150" i="12"/>
  <c r="CB150" i="12"/>
  <c r="CA150" i="12"/>
  <c r="BZ150" i="12"/>
  <c r="BY150" i="12"/>
  <c r="BX150" i="12"/>
  <c r="BW150" i="12"/>
  <c r="BV150" i="12"/>
  <c r="BU150" i="12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E150" i="12"/>
  <c r="BD150" i="12"/>
  <c r="BC150" i="12"/>
  <c r="BB150" i="12"/>
  <c r="BA150" i="12"/>
  <c r="AZ150" i="12"/>
  <c r="AY150" i="12"/>
  <c r="AX150" i="12"/>
  <c r="AW150" i="12"/>
  <c r="AV150" i="12"/>
  <c r="AU150" i="12"/>
  <c r="AT150" i="12"/>
  <c r="AS150" i="12"/>
  <c r="AR150" i="12"/>
  <c r="AQ150" i="12"/>
  <c r="AP150" i="12"/>
  <c r="AO150" i="12"/>
  <c r="AN150" i="12"/>
  <c r="AM150" i="12"/>
  <c r="AL150" i="12"/>
  <c r="AK150" i="12"/>
  <c r="AJ150" i="12"/>
  <c r="AI150" i="12"/>
  <c r="AH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K150" i="12"/>
  <c r="J150" i="12"/>
  <c r="I150" i="12"/>
  <c r="H150" i="12"/>
  <c r="G150" i="12"/>
  <c r="F150" i="12"/>
  <c r="E150" i="12"/>
  <c r="D150" i="12"/>
  <c r="CX149" i="12"/>
  <c r="CW149" i="12"/>
  <c r="CV149" i="12"/>
  <c r="CU149" i="12"/>
  <c r="CT149" i="12"/>
  <c r="CS149" i="12"/>
  <c r="CR149" i="12"/>
  <c r="CQ149" i="12"/>
  <c r="CP149" i="12"/>
  <c r="CO149" i="12"/>
  <c r="CN149" i="12"/>
  <c r="CM149" i="12"/>
  <c r="CL149" i="12"/>
  <c r="CK149" i="12"/>
  <c r="CJ149" i="12"/>
  <c r="CI149" i="12"/>
  <c r="CH149" i="12"/>
  <c r="CG149" i="12"/>
  <c r="CF149" i="12"/>
  <c r="CE149" i="12"/>
  <c r="CD149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E149" i="12"/>
  <c r="BD149" i="12"/>
  <c r="BC149" i="12"/>
  <c r="BB149" i="12"/>
  <c r="BA149" i="12"/>
  <c r="AZ149" i="12"/>
  <c r="AY149" i="12"/>
  <c r="AX149" i="12"/>
  <c r="AW149" i="12"/>
  <c r="AV149" i="12"/>
  <c r="AU149" i="12"/>
  <c r="AT149" i="12"/>
  <c r="AS149" i="12"/>
  <c r="AR149" i="12"/>
  <c r="AQ149" i="12"/>
  <c r="AP149" i="12"/>
  <c r="AO149" i="12"/>
  <c r="AN149" i="12"/>
  <c r="AM149" i="12"/>
  <c r="AL149" i="12"/>
  <c r="AK149" i="12"/>
  <c r="AJ149" i="12"/>
  <c r="AI149" i="12"/>
  <c r="AH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K149" i="12"/>
  <c r="J149" i="12"/>
  <c r="I149" i="12"/>
  <c r="H149" i="12"/>
  <c r="G149" i="12"/>
  <c r="F149" i="12"/>
  <c r="E149" i="12"/>
  <c r="D149" i="12"/>
  <c r="CX148" i="12"/>
  <c r="CW148" i="12"/>
  <c r="CV148" i="12"/>
  <c r="CU148" i="12"/>
  <c r="CT148" i="12"/>
  <c r="CS148" i="12"/>
  <c r="CR148" i="12"/>
  <c r="CQ148" i="12"/>
  <c r="CP148" i="12"/>
  <c r="CO148" i="12"/>
  <c r="CN148" i="12"/>
  <c r="CM148" i="12"/>
  <c r="CL148" i="12"/>
  <c r="CK148" i="12"/>
  <c r="CJ148" i="12"/>
  <c r="CI148" i="12"/>
  <c r="CH148" i="12"/>
  <c r="CG148" i="12"/>
  <c r="CF148" i="12"/>
  <c r="CE148" i="12"/>
  <c r="CD148" i="12"/>
  <c r="CC148" i="12"/>
  <c r="CB148" i="12"/>
  <c r="CA148" i="12"/>
  <c r="BZ148" i="12"/>
  <c r="BY148" i="12"/>
  <c r="BX148" i="12"/>
  <c r="BW148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E148" i="12"/>
  <c r="BD148" i="12"/>
  <c r="BC148" i="12"/>
  <c r="BB148" i="12"/>
  <c r="BA148" i="12"/>
  <c r="AZ148" i="12"/>
  <c r="AY148" i="12"/>
  <c r="AX148" i="12"/>
  <c r="AW148" i="12"/>
  <c r="AV148" i="12"/>
  <c r="AU148" i="12"/>
  <c r="AT148" i="12"/>
  <c r="AS148" i="12"/>
  <c r="AR148" i="12"/>
  <c r="AQ148" i="12"/>
  <c r="AP148" i="12"/>
  <c r="AO148" i="12"/>
  <c r="AN148" i="12"/>
  <c r="AM148" i="12"/>
  <c r="AL148" i="12"/>
  <c r="AK148" i="12"/>
  <c r="AJ148" i="12"/>
  <c r="AI148" i="12"/>
  <c r="AH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K148" i="12"/>
  <c r="J148" i="12"/>
  <c r="I148" i="12"/>
  <c r="H148" i="12"/>
  <c r="G148" i="12"/>
  <c r="F148" i="12"/>
  <c r="E148" i="12"/>
  <c r="D148" i="12"/>
  <c r="CX147" i="12"/>
  <c r="CW147" i="12"/>
  <c r="CV147" i="12"/>
  <c r="CU147" i="12"/>
  <c r="CT147" i="12"/>
  <c r="CS147" i="12"/>
  <c r="CR147" i="12"/>
  <c r="CQ147" i="12"/>
  <c r="CP147" i="12"/>
  <c r="CO147" i="12"/>
  <c r="CN147" i="12"/>
  <c r="CM147" i="12"/>
  <c r="CL147" i="12"/>
  <c r="CK147" i="12"/>
  <c r="CJ147" i="12"/>
  <c r="CI147" i="12"/>
  <c r="CH147" i="12"/>
  <c r="CG147" i="12"/>
  <c r="CF147" i="12"/>
  <c r="CE147" i="12"/>
  <c r="CD147" i="12"/>
  <c r="CC147" i="12"/>
  <c r="CB147" i="12"/>
  <c r="CA147" i="12"/>
  <c r="BZ147" i="12"/>
  <c r="BY147" i="12"/>
  <c r="BX147" i="12"/>
  <c r="BW147" i="12"/>
  <c r="BV147" i="12"/>
  <c r="BU147" i="12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E147" i="12"/>
  <c r="BD147" i="12"/>
  <c r="BC147" i="12"/>
  <c r="BB147" i="12"/>
  <c r="BA147" i="12"/>
  <c r="AZ147" i="12"/>
  <c r="AY147" i="12"/>
  <c r="AX147" i="12"/>
  <c r="AW147" i="12"/>
  <c r="AV147" i="12"/>
  <c r="AU147" i="12"/>
  <c r="AT147" i="12"/>
  <c r="AS147" i="12"/>
  <c r="AR147" i="12"/>
  <c r="AQ147" i="12"/>
  <c r="AP147" i="12"/>
  <c r="AO147" i="12"/>
  <c r="AN147" i="12"/>
  <c r="AM147" i="12"/>
  <c r="AL147" i="12"/>
  <c r="AK147" i="12"/>
  <c r="AJ147" i="12"/>
  <c r="AI147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K147" i="12"/>
  <c r="J147" i="12"/>
  <c r="I147" i="12"/>
  <c r="H147" i="12"/>
  <c r="G147" i="12"/>
  <c r="F147" i="12"/>
  <c r="E147" i="12"/>
  <c r="D147" i="12"/>
  <c r="CX146" i="12"/>
  <c r="CW146" i="12"/>
  <c r="CV146" i="12"/>
  <c r="CU146" i="12"/>
  <c r="CT146" i="12"/>
  <c r="CS146" i="12"/>
  <c r="CR146" i="12"/>
  <c r="CQ146" i="12"/>
  <c r="CP146" i="12"/>
  <c r="CO146" i="12"/>
  <c r="CN146" i="12"/>
  <c r="CM146" i="12"/>
  <c r="CL146" i="12"/>
  <c r="CK146" i="12"/>
  <c r="CJ146" i="12"/>
  <c r="CI146" i="12"/>
  <c r="CH146" i="12"/>
  <c r="CG146" i="12"/>
  <c r="CF146" i="12"/>
  <c r="CE146" i="12"/>
  <c r="CD146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E146" i="12"/>
  <c r="BD146" i="12"/>
  <c r="BC146" i="12"/>
  <c r="BB146" i="12"/>
  <c r="BA146" i="12"/>
  <c r="AZ146" i="12"/>
  <c r="AY146" i="12"/>
  <c r="AX146" i="12"/>
  <c r="AW146" i="12"/>
  <c r="AV146" i="12"/>
  <c r="AU146" i="12"/>
  <c r="AT146" i="12"/>
  <c r="AS146" i="12"/>
  <c r="AR146" i="12"/>
  <c r="AQ146" i="12"/>
  <c r="AP146" i="12"/>
  <c r="AO146" i="12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K146" i="12"/>
  <c r="J146" i="12"/>
  <c r="I146" i="12"/>
  <c r="H146" i="12"/>
  <c r="G146" i="12"/>
  <c r="F146" i="12"/>
  <c r="E146" i="12"/>
  <c r="D146" i="12"/>
  <c r="CX145" i="12"/>
  <c r="CW145" i="12"/>
  <c r="CV145" i="12"/>
  <c r="CU145" i="12"/>
  <c r="CT145" i="12"/>
  <c r="CS145" i="12"/>
  <c r="CR145" i="12"/>
  <c r="CQ145" i="12"/>
  <c r="CP145" i="12"/>
  <c r="CO145" i="12"/>
  <c r="CN145" i="12"/>
  <c r="CM145" i="12"/>
  <c r="CL145" i="12"/>
  <c r="CK145" i="12"/>
  <c r="CJ145" i="12"/>
  <c r="CI145" i="12"/>
  <c r="CH145" i="12"/>
  <c r="CG145" i="12"/>
  <c r="CF145" i="12"/>
  <c r="CE145" i="12"/>
  <c r="CD145" i="12"/>
  <c r="CC145" i="12"/>
  <c r="CB145" i="12"/>
  <c r="CA145" i="12"/>
  <c r="BZ145" i="12"/>
  <c r="BY145" i="12"/>
  <c r="BX145" i="12"/>
  <c r="BW145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E145" i="12"/>
  <c r="BD145" i="12"/>
  <c r="BC145" i="12"/>
  <c r="BB145" i="12"/>
  <c r="BA145" i="12"/>
  <c r="AZ145" i="12"/>
  <c r="AY145" i="12"/>
  <c r="AX145" i="12"/>
  <c r="AW145" i="12"/>
  <c r="AV145" i="12"/>
  <c r="AU145" i="12"/>
  <c r="AT145" i="12"/>
  <c r="AS145" i="12"/>
  <c r="AR145" i="12"/>
  <c r="AQ145" i="12"/>
  <c r="AP145" i="12"/>
  <c r="AO145" i="12"/>
  <c r="AN145" i="12"/>
  <c r="AM145" i="12"/>
  <c r="AL145" i="12"/>
  <c r="AK145" i="12"/>
  <c r="AJ145" i="12"/>
  <c r="AI145" i="12"/>
  <c r="AH145" i="12"/>
  <c r="AG145" i="12"/>
  <c r="AF145" i="12"/>
  <c r="AE145" i="12"/>
  <c r="AD145" i="12"/>
  <c r="AC145" i="12"/>
  <c r="AB145" i="12"/>
  <c r="AA145" i="12"/>
  <c r="Z145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K145" i="12"/>
  <c r="J145" i="12"/>
  <c r="I145" i="12"/>
  <c r="H145" i="12"/>
  <c r="G145" i="12"/>
  <c r="F145" i="12"/>
  <c r="E145" i="12"/>
  <c r="D145" i="12"/>
  <c r="CX144" i="12"/>
  <c r="CW144" i="12"/>
  <c r="CV144" i="12"/>
  <c r="CU144" i="12"/>
  <c r="CT144" i="12"/>
  <c r="CS144" i="12"/>
  <c r="CR144" i="12"/>
  <c r="CQ144" i="12"/>
  <c r="CP144" i="12"/>
  <c r="CO144" i="12"/>
  <c r="CN144" i="12"/>
  <c r="CM144" i="12"/>
  <c r="CL144" i="12"/>
  <c r="CK144" i="12"/>
  <c r="CJ144" i="12"/>
  <c r="CI144" i="12"/>
  <c r="CH144" i="12"/>
  <c r="CG144" i="12"/>
  <c r="CF144" i="12"/>
  <c r="CE144" i="12"/>
  <c r="CD144" i="12"/>
  <c r="CC144" i="12"/>
  <c r="CB144" i="12"/>
  <c r="CA144" i="12"/>
  <c r="BZ144" i="12"/>
  <c r="BY144" i="12"/>
  <c r="BX144" i="12"/>
  <c r="BW144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E144" i="12"/>
  <c r="BD144" i="12"/>
  <c r="BC144" i="12"/>
  <c r="BB144" i="12"/>
  <c r="BA144" i="12"/>
  <c r="AZ144" i="12"/>
  <c r="AY144" i="12"/>
  <c r="AX144" i="12"/>
  <c r="AW144" i="12"/>
  <c r="AV144" i="12"/>
  <c r="AU144" i="12"/>
  <c r="AT144" i="12"/>
  <c r="AS144" i="12"/>
  <c r="AR144" i="12"/>
  <c r="AQ144" i="12"/>
  <c r="AP144" i="12"/>
  <c r="AO144" i="12"/>
  <c r="AN144" i="12"/>
  <c r="AM144" i="12"/>
  <c r="AL144" i="12"/>
  <c r="AK144" i="12"/>
  <c r="AJ144" i="12"/>
  <c r="AI144" i="12"/>
  <c r="AH144" i="12"/>
  <c r="AG144" i="12"/>
  <c r="AF144" i="12"/>
  <c r="AE144" i="12"/>
  <c r="AD144" i="12"/>
  <c r="AC144" i="12"/>
  <c r="AB144" i="12"/>
  <c r="AA144" i="12"/>
  <c r="Z144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K144" i="12"/>
  <c r="J144" i="12"/>
  <c r="I144" i="12"/>
  <c r="H144" i="12"/>
  <c r="G144" i="12"/>
  <c r="F144" i="12"/>
  <c r="E144" i="12"/>
  <c r="D144" i="12"/>
  <c r="CX143" i="12"/>
  <c r="CW143" i="12"/>
  <c r="CV143" i="12"/>
  <c r="CU143" i="12"/>
  <c r="CT143" i="12"/>
  <c r="CS143" i="12"/>
  <c r="CR143" i="12"/>
  <c r="CQ143" i="12"/>
  <c r="CP143" i="12"/>
  <c r="CO143" i="12"/>
  <c r="CN143" i="12"/>
  <c r="CM143" i="12"/>
  <c r="CL143" i="12"/>
  <c r="CK143" i="12"/>
  <c r="CJ143" i="12"/>
  <c r="CI143" i="12"/>
  <c r="CH143" i="12"/>
  <c r="CG143" i="12"/>
  <c r="CF143" i="12"/>
  <c r="CE143" i="12"/>
  <c r="CD143" i="12"/>
  <c r="CC143" i="12"/>
  <c r="CB143" i="12"/>
  <c r="CA143" i="12"/>
  <c r="BZ143" i="12"/>
  <c r="BY143" i="12"/>
  <c r="BX143" i="12"/>
  <c r="BW143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E143" i="12"/>
  <c r="BD143" i="12"/>
  <c r="BC143" i="12"/>
  <c r="BB143" i="12"/>
  <c r="BA143" i="12"/>
  <c r="AZ143" i="12"/>
  <c r="AY143" i="12"/>
  <c r="AX143" i="12"/>
  <c r="AW143" i="12"/>
  <c r="AV143" i="12"/>
  <c r="AU143" i="12"/>
  <c r="AT143" i="12"/>
  <c r="AS143" i="12"/>
  <c r="AR143" i="12"/>
  <c r="AQ143" i="12"/>
  <c r="AP143" i="12"/>
  <c r="AO143" i="12"/>
  <c r="AN143" i="12"/>
  <c r="AM143" i="12"/>
  <c r="AL143" i="12"/>
  <c r="AK143" i="12"/>
  <c r="AJ143" i="12"/>
  <c r="AI143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K143" i="12"/>
  <c r="J143" i="12"/>
  <c r="I143" i="12"/>
  <c r="H143" i="12"/>
  <c r="G143" i="12"/>
  <c r="F143" i="12"/>
  <c r="E143" i="12"/>
  <c r="D143" i="12"/>
  <c r="CX142" i="12"/>
  <c r="CW142" i="12"/>
  <c r="CV142" i="12"/>
  <c r="CU142" i="12"/>
  <c r="CT142" i="12"/>
  <c r="CS142" i="12"/>
  <c r="CR142" i="12"/>
  <c r="CQ142" i="12"/>
  <c r="CP142" i="12"/>
  <c r="CO142" i="12"/>
  <c r="CN142" i="12"/>
  <c r="CM142" i="12"/>
  <c r="CL142" i="12"/>
  <c r="CK142" i="12"/>
  <c r="CJ142" i="12"/>
  <c r="CI142" i="12"/>
  <c r="CH142" i="12"/>
  <c r="CG142" i="12"/>
  <c r="CF142" i="12"/>
  <c r="CE142" i="12"/>
  <c r="CD142" i="12"/>
  <c r="CC142" i="12"/>
  <c r="CB142" i="12"/>
  <c r="CA142" i="12"/>
  <c r="BZ142" i="12"/>
  <c r="BY142" i="12"/>
  <c r="BX142" i="12"/>
  <c r="BW142" i="12"/>
  <c r="BV142" i="12"/>
  <c r="BU142" i="12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E142" i="12"/>
  <c r="BD142" i="12"/>
  <c r="BC142" i="12"/>
  <c r="BB142" i="12"/>
  <c r="BA142" i="12"/>
  <c r="AZ142" i="12"/>
  <c r="AY142" i="12"/>
  <c r="AX142" i="12"/>
  <c r="AW142" i="12"/>
  <c r="AV142" i="12"/>
  <c r="AU142" i="12"/>
  <c r="AT142" i="12"/>
  <c r="AS142" i="12"/>
  <c r="AR142" i="12"/>
  <c r="AQ142" i="12"/>
  <c r="AP142" i="12"/>
  <c r="AO142" i="12"/>
  <c r="AN142" i="12"/>
  <c r="AM142" i="12"/>
  <c r="AL142" i="12"/>
  <c r="AK142" i="12"/>
  <c r="AJ142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D142" i="12"/>
  <c r="CX141" i="12"/>
  <c r="CW141" i="12"/>
  <c r="CV141" i="12"/>
  <c r="CU141" i="12"/>
  <c r="CT141" i="12"/>
  <c r="CS141" i="12"/>
  <c r="CR141" i="12"/>
  <c r="CQ141" i="12"/>
  <c r="CP141" i="12"/>
  <c r="CO141" i="12"/>
  <c r="CN141" i="12"/>
  <c r="CM141" i="12"/>
  <c r="CL141" i="12"/>
  <c r="CK141" i="12"/>
  <c r="CJ141" i="12"/>
  <c r="CI141" i="12"/>
  <c r="CH141" i="12"/>
  <c r="CG141" i="12"/>
  <c r="CF141" i="12"/>
  <c r="CE141" i="12"/>
  <c r="CD141" i="12"/>
  <c r="CC141" i="12"/>
  <c r="CB141" i="12"/>
  <c r="CA141" i="12"/>
  <c r="BZ141" i="12"/>
  <c r="BY141" i="12"/>
  <c r="BX141" i="12"/>
  <c r="BW141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E141" i="12"/>
  <c r="BD141" i="12"/>
  <c r="BC141" i="12"/>
  <c r="BB141" i="12"/>
  <c r="BA141" i="12"/>
  <c r="AZ141" i="12"/>
  <c r="AY141" i="12"/>
  <c r="AX141" i="12"/>
  <c r="AW141" i="12"/>
  <c r="AV141" i="12"/>
  <c r="AU141" i="12"/>
  <c r="AT141" i="12"/>
  <c r="AS141" i="12"/>
  <c r="AR141" i="12"/>
  <c r="AQ141" i="12"/>
  <c r="AP141" i="12"/>
  <c r="AO141" i="12"/>
  <c r="AN141" i="12"/>
  <c r="AM141" i="12"/>
  <c r="AL141" i="12"/>
  <c r="AK141" i="12"/>
  <c r="AJ141" i="12"/>
  <c r="AI141" i="12"/>
  <c r="AH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D141" i="12"/>
  <c r="CX140" i="12"/>
  <c r="CW140" i="12"/>
  <c r="CV140" i="12"/>
  <c r="CU140" i="12"/>
  <c r="CT140" i="12"/>
  <c r="CS140" i="12"/>
  <c r="CR140" i="12"/>
  <c r="CQ140" i="12"/>
  <c r="CP140" i="12"/>
  <c r="CO140" i="12"/>
  <c r="CN140" i="12"/>
  <c r="CM140" i="12"/>
  <c r="CL140" i="12"/>
  <c r="CK140" i="12"/>
  <c r="CJ140" i="12"/>
  <c r="CI140" i="12"/>
  <c r="CH140" i="12"/>
  <c r="CG140" i="12"/>
  <c r="CF140" i="12"/>
  <c r="CE140" i="12"/>
  <c r="CD140" i="12"/>
  <c r="CC140" i="12"/>
  <c r="CB140" i="12"/>
  <c r="CA140" i="12"/>
  <c r="BZ140" i="12"/>
  <c r="BY140" i="12"/>
  <c r="BX140" i="12"/>
  <c r="BW140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E140" i="12"/>
  <c r="BD140" i="12"/>
  <c r="BC140" i="12"/>
  <c r="BB140" i="12"/>
  <c r="BA140" i="12"/>
  <c r="AZ140" i="12"/>
  <c r="AY140" i="12"/>
  <c r="AX140" i="12"/>
  <c r="AW140" i="12"/>
  <c r="AV140" i="12"/>
  <c r="AU140" i="12"/>
  <c r="AT140" i="12"/>
  <c r="AS140" i="12"/>
  <c r="AR140" i="12"/>
  <c r="AQ140" i="12"/>
  <c r="AP140" i="12"/>
  <c r="AO140" i="12"/>
  <c r="AN140" i="12"/>
  <c r="AM140" i="12"/>
  <c r="AL140" i="12"/>
  <c r="AK140" i="12"/>
  <c r="AJ140" i="12"/>
  <c r="AI140" i="12"/>
  <c r="AH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F140" i="12"/>
  <c r="E140" i="12"/>
  <c r="D140" i="12"/>
  <c r="CX139" i="12"/>
  <c r="CW139" i="12"/>
  <c r="CV139" i="12"/>
  <c r="CU139" i="12"/>
  <c r="CT139" i="12"/>
  <c r="CS139" i="12"/>
  <c r="CR139" i="12"/>
  <c r="CQ139" i="12"/>
  <c r="CP139" i="12"/>
  <c r="CO139" i="12"/>
  <c r="CN139" i="12"/>
  <c r="CM139" i="12"/>
  <c r="CL139" i="12"/>
  <c r="CK139" i="12"/>
  <c r="CJ139" i="12"/>
  <c r="CI139" i="12"/>
  <c r="CH139" i="12"/>
  <c r="CG139" i="12"/>
  <c r="CF139" i="12"/>
  <c r="CE139" i="12"/>
  <c r="CD139" i="12"/>
  <c r="CC139" i="12"/>
  <c r="CB139" i="12"/>
  <c r="CA139" i="12"/>
  <c r="BZ139" i="12"/>
  <c r="BY139" i="12"/>
  <c r="BX139" i="12"/>
  <c r="BW139" i="12"/>
  <c r="BV139" i="12"/>
  <c r="BU139" i="12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E139" i="12"/>
  <c r="BD139" i="12"/>
  <c r="BC139" i="12"/>
  <c r="BB139" i="12"/>
  <c r="BA139" i="12"/>
  <c r="AZ139" i="12"/>
  <c r="AY139" i="12"/>
  <c r="AX139" i="12"/>
  <c r="AW139" i="12"/>
  <c r="AV139" i="12"/>
  <c r="AU139" i="12"/>
  <c r="AT139" i="12"/>
  <c r="AS139" i="12"/>
  <c r="AR139" i="12"/>
  <c r="AQ139" i="12"/>
  <c r="AP139" i="12"/>
  <c r="AO139" i="12"/>
  <c r="AN139" i="12"/>
  <c r="AM139" i="12"/>
  <c r="AL139" i="12"/>
  <c r="AK139" i="12"/>
  <c r="AJ139" i="12"/>
  <c r="AI139" i="12"/>
  <c r="AH139" i="12"/>
  <c r="AG139" i="12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CX138" i="12"/>
  <c r="CW138" i="12"/>
  <c r="CV138" i="12"/>
  <c r="CU138" i="12"/>
  <c r="CT138" i="12"/>
  <c r="CS138" i="12"/>
  <c r="CR138" i="12"/>
  <c r="CQ138" i="12"/>
  <c r="CP138" i="12"/>
  <c r="CO138" i="12"/>
  <c r="CN138" i="12"/>
  <c r="CM138" i="12"/>
  <c r="CL138" i="12"/>
  <c r="CK138" i="12"/>
  <c r="CJ138" i="12"/>
  <c r="CI138" i="12"/>
  <c r="CH138" i="12"/>
  <c r="CG138" i="12"/>
  <c r="CF138" i="12"/>
  <c r="CE138" i="12"/>
  <c r="CD138" i="12"/>
  <c r="CC138" i="12"/>
  <c r="CB138" i="12"/>
  <c r="CA138" i="12"/>
  <c r="BZ138" i="12"/>
  <c r="BY138" i="12"/>
  <c r="BX138" i="12"/>
  <c r="BW138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E138" i="12"/>
  <c r="BD138" i="12"/>
  <c r="BC138" i="12"/>
  <c r="BB138" i="12"/>
  <c r="BA138" i="12"/>
  <c r="AZ138" i="12"/>
  <c r="AY138" i="12"/>
  <c r="AX138" i="12"/>
  <c r="AW138" i="12"/>
  <c r="AV138" i="12"/>
  <c r="AU138" i="12"/>
  <c r="AT138" i="12"/>
  <c r="AS138" i="12"/>
  <c r="AR138" i="12"/>
  <c r="AQ138" i="12"/>
  <c r="AP138" i="12"/>
  <c r="AO138" i="12"/>
  <c r="AN138" i="12"/>
  <c r="AM138" i="12"/>
  <c r="AL138" i="12"/>
  <c r="AK138" i="12"/>
  <c r="AJ138" i="12"/>
  <c r="AI138" i="12"/>
  <c r="AH138" i="12"/>
  <c r="AG138" i="12"/>
  <c r="AF138" i="12"/>
  <c r="AE138" i="12"/>
  <c r="AD138" i="12"/>
  <c r="AC138" i="12"/>
  <c r="AB138" i="12"/>
  <c r="AA138" i="12"/>
  <c r="Z138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CX137" i="12"/>
  <c r="CW137" i="12"/>
  <c r="CV137" i="12"/>
  <c r="CU137" i="12"/>
  <c r="CT137" i="12"/>
  <c r="CS137" i="12"/>
  <c r="CR137" i="12"/>
  <c r="CQ137" i="12"/>
  <c r="CP137" i="12"/>
  <c r="CO137" i="12"/>
  <c r="CN137" i="12"/>
  <c r="CM137" i="12"/>
  <c r="CL137" i="12"/>
  <c r="CK137" i="12"/>
  <c r="CJ137" i="12"/>
  <c r="CI137" i="12"/>
  <c r="CH137" i="12"/>
  <c r="CG137" i="12"/>
  <c r="CF137" i="12"/>
  <c r="CE137" i="12"/>
  <c r="CD137" i="12"/>
  <c r="CC137" i="12"/>
  <c r="CB137" i="12"/>
  <c r="CA137" i="12"/>
  <c r="BZ137" i="12"/>
  <c r="BY137" i="12"/>
  <c r="BX137" i="12"/>
  <c r="BW137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E137" i="12"/>
  <c r="BD137" i="12"/>
  <c r="BC137" i="12"/>
  <c r="BB137" i="12"/>
  <c r="BA137" i="12"/>
  <c r="AZ137" i="12"/>
  <c r="AY137" i="12"/>
  <c r="AX137" i="12"/>
  <c r="AW137" i="12"/>
  <c r="AV137" i="12"/>
  <c r="AU137" i="12"/>
  <c r="AT137" i="12"/>
  <c r="AS137" i="12"/>
  <c r="AR137" i="12"/>
  <c r="AQ137" i="12"/>
  <c r="AP137" i="12"/>
  <c r="AO137" i="12"/>
  <c r="AN137" i="12"/>
  <c r="AM137" i="12"/>
  <c r="AL137" i="12"/>
  <c r="AK137" i="12"/>
  <c r="AJ137" i="12"/>
  <c r="AI137" i="12"/>
  <c r="AH137" i="12"/>
  <c r="AG137" i="12"/>
  <c r="AF137" i="12"/>
  <c r="AE137" i="12"/>
  <c r="AD137" i="12"/>
  <c r="AC137" i="12"/>
  <c r="AB137" i="12"/>
  <c r="AA137" i="12"/>
  <c r="Z137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CX136" i="12"/>
  <c r="CW136" i="12"/>
  <c r="CV136" i="12"/>
  <c r="CU136" i="12"/>
  <c r="CT136" i="12"/>
  <c r="CS136" i="12"/>
  <c r="CR136" i="12"/>
  <c r="CQ136" i="12"/>
  <c r="CP136" i="12"/>
  <c r="CO136" i="12"/>
  <c r="CN136" i="12"/>
  <c r="CM136" i="12"/>
  <c r="CL136" i="12"/>
  <c r="CK136" i="12"/>
  <c r="CJ136" i="12"/>
  <c r="CI136" i="12"/>
  <c r="CH136" i="12"/>
  <c r="CG136" i="12"/>
  <c r="CF136" i="12"/>
  <c r="CE136" i="12"/>
  <c r="CD136" i="12"/>
  <c r="CC136" i="12"/>
  <c r="CB136" i="12"/>
  <c r="CA136" i="12"/>
  <c r="BZ136" i="12"/>
  <c r="BY136" i="12"/>
  <c r="BX136" i="12"/>
  <c r="BW136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E136" i="12"/>
  <c r="BD136" i="12"/>
  <c r="BC136" i="12"/>
  <c r="BB136" i="12"/>
  <c r="BA136" i="12"/>
  <c r="AZ136" i="12"/>
  <c r="AY136" i="12"/>
  <c r="AX136" i="12"/>
  <c r="AW136" i="12"/>
  <c r="AV136" i="12"/>
  <c r="AU136" i="12"/>
  <c r="AT136" i="12"/>
  <c r="AS136" i="12"/>
  <c r="AR136" i="12"/>
  <c r="AQ136" i="12"/>
  <c r="AP136" i="12"/>
  <c r="AO136" i="12"/>
  <c r="AN136" i="12"/>
  <c r="AM136" i="12"/>
  <c r="AL136" i="12"/>
  <c r="AK136" i="12"/>
  <c r="AJ136" i="12"/>
  <c r="AI136" i="12"/>
  <c r="AH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CX135" i="12"/>
  <c r="CW135" i="12"/>
  <c r="CV135" i="12"/>
  <c r="CU135" i="12"/>
  <c r="CT135" i="12"/>
  <c r="CS135" i="12"/>
  <c r="CR135" i="12"/>
  <c r="CQ135" i="12"/>
  <c r="CP135" i="12"/>
  <c r="CO135" i="12"/>
  <c r="CN135" i="12"/>
  <c r="CM135" i="12"/>
  <c r="CL135" i="12"/>
  <c r="CK135" i="12"/>
  <c r="CJ135" i="12"/>
  <c r="CI135" i="12"/>
  <c r="CH135" i="12"/>
  <c r="CG135" i="12"/>
  <c r="CF135" i="12"/>
  <c r="CE135" i="12"/>
  <c r="CD135" i="12"/>
  <c r="CC135" i="12"/>
  <c r="CB135" i="12"/>
  <c r="CA135" i="12"/>
  <c r="BZ135" i="12"/>
  <c r="BY135" i="12"/>
  <c r="BX135" i="12"/>
  <c r="BW135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E135" i="12"/>
  <c r="BD135" i="12"/>
  <c r="BC135" i="12"/>
  <c r="BB135" i="12"/>
  <c r="BA135" i="12"/>
  <c r="AZ135" i="12"/>
  <c r="AY135" i="12"/>
  <c r="AX135" i="12"/>
  <c r="AW135" i="12"/>
  <c r="AV135" i="12"/>
  <c r="AU135" i="12"/>
  <c r="AT135" i="12"/>
  <c r="AS135" i="12"/>
  <c r="AR135" i="12"/>
  <c r="AQ135" i="12"/>
  <c r="AP135" i="12"/>
  <c r="AO135" i="12"/>
  <c r="AN135" i="12"/>
  <c r="AM135" i="12"/>
  <c r="AL135" i="12"/>
  <c r="AK135" i="12"/>
  <c r="AJ135" i="12"/>
  <c r="AI135" i="12"/>
  <c r="AH135" i="12"/>
  <c r="AG135" i="12"/>
  <c r="AF135" i="12"/>
  <c r="AE135" i="12"/>
  <c r="AD135" i="12"/>
  <c r="AC135" i="12"/>
  <c r="AB135" i="12"/>
  <c r="AA135" i="12"/>
  <c r="Z135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CX125" i="12"/>
  <c r="CX177" i="12" s="1"/>
  <c r="CW125" i="12"/>
  <c r="CW177" i="12" s="1"/>
  <c r="CV125" i="12"/>
  <c r="CV177" i="12" s="1"/>
  <c r="CU125" i="12"/>
  <c r="CU177" i="12" s="1"/>
  <c r="CT125" i="12"/>
  <c r="CT177" i="12" s="1"/>
  <c r="CS125" i="12"/>
  <c r="CS177" i="12" s="1"/>
  <c r="CR125" i="12"/>
  <c r="CR177" i="12" s="1"/>
  <c r="CQ125" i="12"/>
  <c r="CQ177" i="12" s="1"/>
  <c r="CP125" i="12"/>
  <c r="CP177" i="12" s="1"/>
  <c r="CO125" i="12"/>
  <c r="CO177" i="12" s="1"/>
  <c r="CN125" i="12"/>
  <c r="CN177" i="12" s="1"/>
  <c r="CM125" i="12"/>
  <c r="CM177" i="12" s="1"/>
  <c r="CL125" i="12"/>
  <c r="CL177" i="12" s="1"/>
  <c r="CK125" i="12"/>
  <c r="CK177" i="12" s="1"/>
  <c r="CJ125" i="12"/>
  <c r="CJ177" i="12" s="1"/>
  <c r="CI125" i="12"/>
  <c r="CI177" i="12" s="1"/>
  <c r="CH125" i="12"/>
  <c r="CH177" i="12" s="1"/>
  <c r="CG125" i="12"/>
  <c r="CG177" i="12" s="1"/>
  <c r="CF125" i="12"/>
  <c r="CF177" i="12" s="1"/>
  <c r="CE125" i="12"/>
  <c r="CE177" i="12" s="1"/>
  <c r="CD125" i="12"/>
  <c r="CD177" i="12" s="1"/>
  <c r="CC125" i="12"/>
  <c r="CC177" i="12" s="1"/>
  <c r="CB125" i="12"/>
  <c r="CB177" i="12" s="1"/>
  <c r="CA125" i="12"/>
  <c r="CA177" i="12" s="1"/>
  <c r="BZ125" i="12"/>
  <c r="BZ177" i="12" s="1"/>
  <c r="BY125" i="12"/>
  <c r="BY177" i="12" s="1"/>
  <c r="BX125" i="12"/>
  <c r="BX177" i="12" s="1"/>
  <c r="BW125" i="12"/>
  <c r="BW177" i="12" s="1"/>
  <c r="BV125" i="12"/>
  <c r="BV177" i="12" s="1"/>
  <c r="BU125" i="12"/>
  <c r="BU177" i="12" s="1"/>
  <c r="BT125" i="12"/>
  <c r="BT177" i="12" s="1"/>
  <c r="BS125" i="12"/>
  <c r="BS177" i="12" s="1"/>
  <c r="BR125" i="12"/>
  <c r="BR177" i="12" s="1"/>
  <c r="BQ125" i="12"/>
  <c r="BQ177" i="12" s="1"/>
  <c r="BP125" i="12"/>
  <c r="BP177" i="12" s="1"/>
  <c r="BO125" i="12"/>
  <c r="BO177" i="12" s="1"/>
  <c r="BN125" i="12"/>
  <c r="BN177" i="12" s="1"/>
  <c r="BM125" i="12"/>
  <c r="BM177" i="12" s="1"/>
  <c r="BL125" i="12"/>
  <c r="BL177" i="12" s="1"/>
  <c r="BK125" i="12"/>
  <c r="BK177" i="12" s="1"/>
  <c r="BJ125" i="12"/>
  <c r="BJ177" i="12" s="1"/>
  <c r="BI125" i="12"/>
  <c r="BI177" i="12" s="1"/>
  <c r="BH125" i="12"/>
  <c r="BH177" i="12" s="1"/>
  <c r="BG125" i="12"/>
  <c r="BG177" i="12" s="1"/>
  <c r="BF125" i="12"/>
  <c r="BF177" i="12" s="1"/>
  <c r="BE125" i="12"/>
  <c r="BE177" i="12" s="1"/>
  <c r="BD125" i="12"/>
  <c r="BD177" i="12" s="1"/>
  <c r="BC125" i="12"/>
  <c r="BC177" i="12" s="1"/>
  <c r="BB125" i="12"/>
  <c r="BB177" i="12" s="1"/>
  <c r="BA125" i="12"/>
  <c r="BA177" i="12" s="1"/>
  <c r="AZ125" i="12"/>
  <c r="AZ177" i="12" s="1"/>
  <c r="AY125" i="12"/>
  <c r="AY177" i="12" s="1"/>
  <c r="AX125" i="12"/>
  <c r="AX177" i="12" s="1"/>
  <c r="AW125" i="12"/>
  <c r="AW177" i="12" s="1"/>
  <c r="AV125" i="12"/>
  <c r="AV177" i="12" s="1"/>
  <c r="AU125" i="12"/>
  <c r="AU177" i="12" s="1"/>
  <c r="AT125" i="12"/>
  <c r="AT177" i="12" s="1"/>
  <c r="AS125" i="12"/>
  <c r="AS177" i="12" s="1"/>
  <c r="AR125" i="12"/>
  <c r="AR177" i="12" s="1"/>
  <c r="AQ125" i="12"/>
  <c r="AQ177" i="12" s="1"/>
  <c r="AP125" i="12"/>
  <c r="AP177" i="12" s="1"/>
  <c r="AO125" i="12"/>
  <c r="AO177" i="12" s="1"/>
  <c r="AN125" i="12"/>
  <c r="AN177" i="12" s="1"/>
  <c r="AM125" i="12"/>
  <c r="AM177" i="12" s="1"/>
  <c r="AL125" i="12"/>
  <c r="AL177" i="12" s="1"/>
  <c r="AK125" i="12"/>
  <c r="AK177" i="12" s="1"/>
  <c r="AJ125" i="12"/>
  <c r="AJ177" i="12" s="1"/>
  <c r="AI125" i="12"/>
  <c r="AI177" i="12" s="1"/>
  <c r="AH125" i="12"/>
  <c r="AH177" i="12" s="1"/>
  <c r="AG125" i="12"/>
  <c r="AG177" i="12" s="1"/>
  <c r="AF125" i="12"/>
  <c r="AF177" i="12" s="1"/>
  <c r="AE125" i="12"/>
  <c r="AE177" i="12" s="1"/>
  <c r="AD125" i="12"/>
  <c r="AD177" i="12" s="1"/>
  <c r="AC125" i="12"/>
  <c r="AC177" i="12" s="1"/>
  <c r="AB125" i="12"/>
  <c r="AB177" i="12" s="1"/>
  <c r="AA125" i="12"/>
  <c r="AA177" i="12" s="1"/>
  <c r="Z125" i="12"/>
  <c r="Z177" i="12" s="1"/>
  <c r="Y125" i="12"/>
  <c r="Y177" i="12" s="1"/>
  <c r="X125" i="12"/>
  <c r="X177" i="12" s="1"/>
  <c r="W125" i="12"/>
  <c r="W177" i="12" s="1"/>
  <c r="V125" i="12"/>
  <c r="V177" i="12" s="1"/>
  <c r="U125" i="12"/>
  <c r="U177" i="12" s="1"/>
  <c r="T125" i="12"/>
  <c r="T177" i="12" s="1"/>
  <c r="S125" i="12"/>
  <c r="S177" i="12" s="1"/>
  <c r="R125" i="12"/>
  <c r="R177" i="12" s="1"/>
  <c r="Q125" i="12"/>
  <c r="Q177" i="12" s="1"/>
  <c r="P125" i="12"/>
  <c r="P177" i="12" s="1"/>
  <c r="O125" i="12"/>
  <c r="O177" i="12" s="1"/>
  <c r="N125" i="12"/>
  <c r="N177" i="12" s="1"/>
  <c r="M125" i="12"/>
  <c r="M177" i="12" s="1"/>
  <c r="L125" i="12"/>
  <c r="L177" i="12" s="1"/>
  <c r="K125" i="12"/>
  <c r="K177" i="12" s="1"/>
  <c r="J125" i="12"/>
  <c r="J177" i="12" s="1"/>
  <c r="I125" i="12"/>
  <c r="I177" i="12" s="1"/>
  <c r="H125" i="12"/>
  <c r="H177" i="12" s="1"/>
  <c r="G125" i="12"/>
  <c r="G177" i="12" s="1"/>
  <c r="F125" i="12"/>
  <c r="F177" i="12" s="1"/>
  <c r="E125" i="12"/>
  <c r="E177" i="12" s="1"/>
  <c r="D125" i="12"/>
  <c r="D177" i="12" s="1"/>
  <c r="CX124" i="12"/>
  <c r="CX176" i="12" s="1"/>
  <c r="CW124" i="12"/>
  <c r="CW176" i="12" s="1"/>
  <c r="CV124" i="12"/>
  <c r="CV176" i="12" s="1"/>
  <c r="CU124" i="12"/>
  <c r="CU176" i="12" s="1"/>
  <c r="CT124" i="12"/>
  <c r="CT176" i="12" s="1"/>
  <c r="CS124" i="12"/>
  <c r="CS176" i="12" s="1"/>
  <c r="CR124" i="12"/>
  <c r="CR176" i="12" s="1"/>
  <c r="CQ124" i="12"/>
  <c r="CQ176" i="12" s="1"/>
  <c r="CP124" i="12"/>
  <c r="CP176" i="12" s="1"/>
  <c r="CO124" i="12"/>
  <c r="CO176" i="12" s="1"/>
  <c r="CN124" i="12"/>
  <c r="CN176" i="12" s="1"/>
  <c r="CM124" i="12"/>
  <c r="CM176" i="12" s="1"/>
  <c r="CL124" i="12"/>
  <c r="CL176" i="12" s="1"/>
  <c r="CK124" i="12"/>
  <c r="CK176" i="12" s="1"/>
  <c r="CJ124" i="12"/>
  <c r="CJ176" i="12" s="1"/>
  <c r="CI124" i="12"/>
  <c r="CI176" i="12" s="1"/>
  <c r="CH124" i="12"/>
  <c r="CH176" i="12" s="1"/>
  <c r="CG124" i="12"/>
  <c r="CG176" i="12" s="1"/>
  <c r="CF124" i="12"/>
  <c r="CF176" i="12" s="1"/>
  <c r="CE124" i="12"/>
  <c r="CE176" i="12" s="1"/>
  <c r="CD124" i="12"/>
  <c r="CD176" i="12" s="1"/>
  <c r="CC124" i="12"/>
  <c r="CC176" i="12" s="1"/>
  <c r="CB124" i="12"/>
  <c r="CB176" i="12" s="1"/>
  <c r="CA124" i="12"/>
  <c r="CA176" i="12" s="1"/>
  <c r="BZ124" i="12"/>
  <c r="BZ176" i="12" s="1"/>
  <c r="BY124" i="12"/>
  <c r="BY176" i="12" s="1"/>
  <c r="BX124" i="12"/>
  <c r="BX176" i="12" s="1"/>
  <c r="BW124" i="12"/>
  <c r="BW176" i="12" s="1"/>
  <c r="BV124" i="12"/>
  <c r="BV176" i="12" s="1"/>
  <c r="BU124" i="12"/>
  <c r="BU176" i="12" s="1"/>
  <c r="BT124" i="12"/>
  <c r="BT176" i="12" s="1"/>
  <c r="BS124" i="12"/>
  <c r="BS176" i="12" s="1"/>
  <c r="BR124" i="12"/>
  <c r="BR176" i="12" s="1"/>
  <c r="BQ124" i="12"/>
  <c r="BQ176" i="12" s="1"/>
  <c r="BP124" i="12"/>
  <c r="BP176" i="12" s="1"/>
  <c r="BO124" i="12"/>
  <c r="BO176" i="12" s="1"/>
  <c r="BN124" i="12"/>
  <c r="BN176" i="12" s="1"/>
  <c r="BM124" i="12"/>
  <c r="BM176" i="12" s="1"/>
  <c r="BL124" i="12"/>
  <c r="BL176" i="12" s="1"/>
  <c r="BK124" i="12"/>
  <c r="BK176" i="12" s="1"/>
  <c r="BJ124" i="12"/>
  <c r="BJ176" i="12" s="1"/>
  <c r="BI124" i="12"/>
  <c r="BI176" i="12" s="1"/>
  <c r="BH124" i="12"/>
  <c r="BH176" i="12" s="1"/>
  <c r="BG124" i="12"/>
  <c r="BG176" i="12" s="1"/>
  <c r="BF124" i="12"/>
  <c r="BF176" i="12" s="1"/>
  <c r="BE124" i="12"/>
  <c r="BE176" i="12" s="1"/>
  <c r="BD124" i="12"/>
  <c r="BD176" i="12" s="1"/>
  <c r="BC124" i="12"/>
  <c r="BC176" i="12" s="1"/>
  <c r="BB124" i="12"/>
  <c r="BB176" i="12" s="1"/>
  <c r="BA124" i="12"/>
  <c r="BA176" i="12" s="1"/>
  <c r="AZ124" i="12"/>
  <c r="AZ176" i="12" s="1"/>
  <c r="AY124" i="12"/>
  <c r="AY176" i="12" s="1"/>
  <c r="AX124" i="12"/>
  <c r="AX176" i="12" s="1"/>
  <c r="AW124" i="12"/>
  <c r="AW176" i="12" s="1"/>
  <c r="AV124" i="12"/>
  <c r="AV176" i="12" s="1"/>
  <c r="AU124" i="12"/>
  <c r="AU176" i="12" s="1"/>
  <c r="AT124" i="12"/>
  <c r="AT176" i="12" s="1"/>
  <c r="AS124" i="12"/>
  <c r="AS176" i="12" s="1"/>
  <c r="AR124" i="12"/>
  <c r="AR176" i="12" s="1"/>
  <c r="AQ124" i="12"/>
  <c r="AQ176" i="12" s="1"/>
  <c r="AP124" i="12"/>
  <c r="AP176" i="12" s="1"/>
  <c r="AO124" i="12"/>
  <c r="AO176" i="12" s="1"/>
  <c r="AN124" i="12"/>
  <c r="AN176" i="12" s="1"/>
  <c r="AM124" i="12"/>
  <c r="AM176" i="12" s="1"/>
  <c r="AL124" i="12"/>
  <c r="AL176" i="12" s="1"/>
  <c r="AK124" i="12"/>
  <c r="AK176" i="12" s="1"/>
  <c r="AJ124" i="12"/>
  <c r="AJ176" i="12" s="1"/>
  <c r="AI124" i="12"/>
  <c r="AI176" i="12" s="1"/>
  <c r="AH124" i="12"/>
  <c r="AH176" i="12" s="1"/>
  <c r="AG124" i="12"/>
  <c r="AG176" i="12" s="1"/>
  <c r="AF124" i="12"/>
  <c r="AF176" i="12" s="1"/>
  <c r="AE124" i="12"/>
  <c r="AE176" i="12" s="1"/>
  <c r="AD124" i="12"/>
  <c r="AD176" i="12" s="1"/>
  <c r="AC124" i="12"/>
  <c r="AC176" i="12" s="1"/>
  <c r="AB124" i="12"/>
  <c r="AB176" i="12" s="1"/>
  <c r="AA124" i="12"/>
  <c r="AA176" i="12" s="1"/>
  <c r="Z124" i="12"/>
  <c r="Z176" i="12" s="1"/>
  <c r="Y124" i="12"/>
  <c r="Y176" i="12" s="1"/>
  <c r="X124" i="12"/>
  <c r="X176" i="12" s="1"/>
  <c r="W124" i="12"/>
  <c r="W176" i="12" s="1"/>
  <c r="V124" i="12"/>
  <c r="V176" i="12" s="1"/>
  <c r="U124" i="12"/>
  <c r="U176" i="12" s="1"/>
  <c r="T124" i="12"/>
  <c r="T176" i="12" s="1"/>
  <c r="S124" i="12"/>
  <c r="S176" i="12" s="1"/>
  <c r="R124" i="12"/>
  <c r="R176" i="12" s="1"/>
  <c r="Q124" i="12"/>
  <c r="Q176" i="12" s="1"/>
  <c r="P124" i="12"/>
  <c r="P176" i="12" s="1"/>
  <c r="O124" i="12"/>
  <c r="O176" i="12" s="1"/>
  <c r="N124" i="12"/>
  <c r="N176" i="12" s="1"/>
  <c r="M124" i="12"/>
  <c r="M176" i="12" s="1"/>
  <c r="L124" i="12"/>
  <c r="L176" i="12" s="1"/>
  <c r="K124" i="12"/>
  <c r="K176" i="12" s="1"/>
  <c r="J124" i="12"/>
  <c r="J176" i="12" s="1"/>
  <c r="I124" i="12"/>
  <c r="I176" i="12" s="1"/>
  <c r="H124" i="12"/>
  <c r="H176" i="12" s="1"/>
  <c r="G124" i="12"/>
  <c r="G176" i="12" s="1"/>
  <c r="F124" i="12"/>
  <c r="F176" i="12" s="1"/>
  <c r="E124" i="12"/>
  <c r="E176" i="12" s="1"/>
  <c r="D124" i="12"/>
  <c r="D176" i="12" s="1"/>
  <c r="CX123" i="12"/>
  <c r="CX175" i="12" s="1"/>
  <c r="CW123" i="12"/>
  <c r="CW175" i="12" s="1"/>
  <c r="CV123" i="12"/>
  <c r="CV175" i="12" s="1"/>
  <c r="CU123" i="12"/>
  <c r="CU175" i="12" s="1"/>
  <c r="CT123" i="12"/>
  <c r="CT175" i="12" s="1"/>
  <c r="CS123" i="12"/>
  <c r="CS175" i="12" s="1"/>
  <c r="CR123" i="12"/>
  <c r="CR175" i="12" s="1"/>
  <c r="CQ123" i="12"/>
  <c r="CQ175" i="12" s="1"/>
  <c r="CP123" i="12"/>
  <c r="CP175" i="12" s="1"/>
  <c r="CO123" i="12"/>
  <c r="CO175" i="12" s="1"/>
  <c r="CN123" i="12"/>
  <c r="CN175" i="12" s="1"/>
  <c r="CM123" i="12"/>
  <c r="CM175" i="12" s="1"/>
  <c r="CL123" i="12"/>
  <c r="CL175" i="12" s="1"/>
  <c r="CK123" i="12"/>
  <c r="CK175" i="12" s="1"/>
  <c r="CJ123" i="12"/>
  <c r="CJ175" i="12" s="1"/>
  <c r="CI123" i="12"/>
  <c r="CI175" i="12" s="1"/>
  <c r="CH123" i="12"/>
  <c r="CH175" i="12" s="1"/>
  <c r="CG123" i="12"/>
  <c r="CG175" i="12" s="1"/>
  <c r="CF123" i="12"/>
  <c r="CF175" i="12" s="1"/>
  <c r="CE123" i="12"/>
  <c r="CE175" i="12" s="1"/>
  <c r="CD123" i="12"/>
  <c r="CD175" i="12" s="1"/>
  <c r="CC123" i="12"/>
  <c r="CC175" i="12" s="1"/>
  <c r="CB123" i="12"/>
  <c r="CB175" i="12" s="1"/>
  <c r="CA123" i="12"/>
  <c r="CA175" i="12" s="1"/>
  <c r="BZ123" i="12"/>
  <c r="BZ175" i="12" s="1"/>
  <c r="BY123" i="12"/>
  <c r="BY175" i="12" s="1"/>
  <c r="BX123" i="12"/>
  <c r="BX175" i="12" s="1"/>
  <c r="BW123" i="12"/>
  <c r="BW175" i="12" s="1"/>
  <c r="BV123" i="12"/>
  <c r="BV175" i="12" s="1"/>
  <c r="BU123" i="12"/>
  <c r="BU175" i="12" s="1"/>
  <c r="BT123" i="12"/>
  <c r="BT175" i="12" s="1"/>
  <c r="BS123" i="12"/>
  <c r="BS175" i="12" s="1"/>
  <c r="BR123" i="12"/>
  <c r="BR175" i="12" s="1"/>
  <c r="BQ123" i="12"/>
  <c r="BQ175" i="12" s="1"/>
  <c r="BP123" i="12"/>
  <c r="BP175" i="12" s="1"/>
  <c r="BO123" i="12"/>
  <c r="BO175" i="12" s="1"/>
  <c r="BN123" i="12"/>
  <c r="BN175" i="12" s="1"/>
  <c r="BM123" i="12"/>
  <c r="BM175" i="12" s="1"/>
  <c r="BL123" i="12"/>
  <c r="BL175" i="12" s="1"/>
  <c r="BK123" i="12"/>
  <c r="BK175" i="12" s="1"/>
  <c r="BJ123" i="12"/>
  <c r="BJ175" i="12" s="1"/>
  <c r="BI123" i="12"/>
  <c r="BI175" i="12" s="1"/>
  <c r="BH123" i="12"/>
  <c r="BH175" i="12" s="1"/>
  <c r="BG123" i="12"/>
  <c r="BG175" i="12" s="1"/>
  <c r="BF123" i="12"/>
  <c r="BF175" i="12" s="1"/>
  <c r="BE123" i="12"/>
  <c r="BE175" i="12" s="1"/>
  <c r="BD123" i="12"/>
  <c r="BD175" i="12" s="1"/>
  <c r="BC123" i="12"/>
  <c r="BC175" i="12" s="1"/>
  <c r="BB123" i="12"/>
  <c r="BB175" i="12" s="1"/>
  <c r="BA123" i="12"/>
  <c r="BA175" i="12" s="1"/>
  <c r="AZ123" i="12"/>
  <c r="AZ175" i="12" s="1"/>
  <c r="AY123" i="12"/>
  <c r="AY175" i="12" s="1"/>
  <c r="AX123" i="12"/>
  <c r="AX175" i="12" s="1"/>
  <c r="AW123" i="12"/>
  <c r="AW175" i="12" s="1"/>
  <c r="AV123" i="12"/>
  <c r="AV175" i="12" s="1"/>
  <c r="AU123" i="12"/>
  <c r="AU175" i="12" s="1"/>
  <c r="AT123" i="12"/>
  <c r="AT175" i="12" s="1"/>
  <c r="AS123" i="12"/>
  <c r="AS175" i="12" s="1"/>
  <c r="AR123" i="12"/>
  <c r="AR175" i="12" s="1"/>
  <c r="AQ123" i="12"/>
  <c r="AQ175" i="12" s="1"/>
  <c r="AP123" i="12"/>
  <c r="AP175" i="12" s="1"/>
  <c r="AO123" i="12"/>
  <c r="AO175" i="12" s="1"/>
  <c r="AN123" i="12"/>
  <c r="AN175" i="12" s="1"/>
  <c r="AM123" i="12"/>
  <c r="AM175" i="12" s="1"/>
  <c r="AL123" i="12"/>
  <c r="AL175" i="12" s="1"/>
  <c r="AK123" i="12"/>
  <c r="AK175" i="12" s="1"/>
  <c r="AJ123" i="12"/>
  <c r="AJ175" i="12" s="1"/>
  <c r="AI123" i="12"/>
  <c r="AI175" i="12" s="1"/>
  <c r="AH123" i="12"/>
  <c r="AH175" i="12" s="1"/>
  <c r="AG123" i="12"/>
  <c r="AG175" i="12" s="1"/>
  <c r="AF123" i="12"/>
  <c r="AF175" i="12" s="1"/>
  <c r="AE123" i="12"/>
  <c r="AE175" i="12" s="1"/>
  <c r="AD123" i="12"/>
  <c r="AD175" i="12" s="1"/>
  <c r="AC123" i="12"/>
  <c r="AC175" i="12" s="1"/>
  <c r="AB123" i="12"/>
  <c r="AB175" i="12" s="1"/>
  <c r="AA123" i="12"/>
  <c r="AA175" i="12" s="1"/>
  <c r="Z123" i="12"/>
  <c r="Z175" i="12" s="1"/>
  <c r="Y123" i="12"/>
  <c r="Y175" i="12" s="1"/>
  <c r="X123" i="12"/>
  <c r="X175" i="12" s="1"/>
  <c r="W123" i="12"/>
  <c r="W175" i="12" s="1"/>
  <c r="V123" i="12"/>
  <c r="V175" i="12" s="1"/>
  <c r="U123" i="12"/>
  <c r="U175" i="12" s="1"/>
  <c r="T123" i="12"/>
  <c r="T175" i="12" s="1"/>
  <c r="S123" i="12"/>
  <c r="S175" i="12" s="1"/>
  <c r="R123" i="12"/>
  <c r="R175" i="12" s="1"/>
  <c r="Q123" i="12"/>
  <c r="Q175" i="12" s="1"/>
  <c r="P123" i="12"/>
  <c r="P175" i="12" s="1"/>
  <c r="O123" i="12"/>
  <c r="O175" i="12" s="1"/>
  <c r="N123" i="12"/>
  <c r="N175" i="12" s="1"/>
  <c r="M123" i="12"/>
  <c r="M175" i="12" s="1"/>
  <c r="L123" i="12"/>
  <c r="L175" i="12" s="1"/>
  <c r="K123" i="12"/>
  <c r="K175" i="12" s="1"/>
  <c r="J123" i="12"/>
  <c r="J175" i="12" s="1"/>
  <c r="I123" i="12"/>
  <c r="I175" i="12" s="1"/>
  <c r="H123" i="12"/>
  <c r="H175" i="12" s="1"/>
  <c r="G123" i="12"/>
  <c r="G175" i="12" s="1"/>
  <c r="F123" i="12"/>
  <c r="F175" i="12" s="1"/>
  <c r="E123" i="12"/>
  <c r="E175" i="12" s="1"/>
  <c r="D123" i="12"/>
  <c r="D175" i="12" s="1"/>
  <c r="CX122" i="12"/>
  <c r="CX174" i="12" s="1"/>
  <c r="CW122" i="12"/>
  <c r="CW174" i="12" s="1"/>
  <c r="CV122" i="12"/>
  <c r="CV174" i="12" s="1"/>
  <c r="CU122" i="12"/>
  <c r="CU174" i="12" s="1"/>
  <c r="CT122" i="12"/>
  <c r="CT174" i="12" s="1"/>
  <c r="CS122" i="12"/>
  <c r="CS174" i="12" s="1"/>
  <c r="CR122" i="12"/>
  <c r="CR174" i="12" s="1"/>
  <c r="CQ122" i="12"/>
  <c r="CQ174" i="12" s="1"/>
  <c r="CP122" i="12"/>
  <c r="CP174" i="12" s="1"/>
  <c r="CO122" i="12"/>
  <c r="CO174" i="12" s="1"/>
  <c r="CN122" i="12"/>
  <c r="CN174" i="12" s="1"/>
  <c r="CM122" i="12"/>
  <c r="CM174" i="12" s="1"/>
  <c r="CL122" i="12"/>
  <c r="CL174" i="12" s="1"/>
  <c r="CK122" i="12"/>
  <c r="CK174" i="12" s="1"/>
  <c r="CJ122" i="12"/>
  <c r="CJ174" i="12" s="1"/>
  <c r="CI122" i="12"/>
  <c r="CI174" i="12" s="1"/>
  <c r="CH122" i="12"/>
  <c r="CH174" i="12" s="1"/>
  <c r="CG122" i="12"/>
  <c r="CG174" i="12" s="1"/>
  <c r="CF122" i="12"/>
  <c r="CF174" i="12" s="1"/>
  <c r="CE122" i="12"/>
  <c r="CE174" i="12" s="1"/>
  <c r="CD122" i="12"/>
  <c r="CD174" i="12" s="1"/>
  <c r="CC122" i="12"/>
  <c r="CC174" i="12" s="1"/>
  <c r="CB122" i="12"/>
  <c r="CB174" i="12" s="1"/>
  <c r="CA122" i="12"/>
  <c r="CA174" i="12" s="1"/>
  <c r="BZ122" i="12"/>
  <c r="BZ174" i="12" s="1"/>
  <c r="BY122" i="12"/>
  <c r="BY174" i="12" s="1"/>
  <c r="BX122" i="12"/>
  <c r="BX174" i="12" s="1"/>
  <c r="BW122" i="12"/>
  <c r="BW174" i="12" s="1"/>
  <c r="BV122" i="12"/>
  <c r="BV174" i="12" s="1"/>
  <c r="BU122" i="12"/>
  <c r="BU174" i="12" s="1"/>
  <c r="BT122" i="12"/>
  <c r="BT174" i="12" s="1"/>
  <c r="BS122" i="12"/>
  <c r="BS174" i="12" s="1"/>
  <c r="BR122" i="12"/>
  <c r="BR174" i="12" s="1"/>
  <c r="BQ122" i="12"/>
  <c r="BQ174" i="12" s="1"/>
  <c r="BP122" i="12"/>
  <c r="BP174" i="12" s="1"/>
  <c r="BO122" i="12"/>
  <c r="BO174" i="12" s="1"/>
  <c r="BN122" i="12"/>
  <c r="BN174" i="12" s="1"/>
  <c r="BM122" i="12"/>
  <c r="BM174" i="12" s="1"/>
  <c r="BL122" i="12"/>
  <c r="BL174" i="12" s="1"/>
  <c r="BK122" i="12"/>
  <c r="BK174" i="12" s="1"/>
  <c r="BJ122" i="12"/>
  <c r="BJ174" i="12" s="1"/>
  <c r="BI122" i="12"/>
  <c r="BI174" i="12" s="1"/>
  <c r="BH122" i="12"/>
  <c r="BH174" i="12" s="1"/>
  <c r="BG122" i="12"/>
  <c r="BG174" i="12" s="1"/>
  <c r="BF122" i="12"/>
  <c r="BF174" i="12" s="1"/>
  <c r="BE122" i="12"/>
  <c r="BE174" i="12" s="1"/>
  <c r="BD122" i="12"/>
  <c r="BD174" i="12" s="1"/>
  <c r="BC122" i="12"/>
  <c r="BC174" i="12" s="1"/>
  <c r="BB122" i="12"/>
  <c r="BB174" i="12" s="1"/>
  <c r="BA122" i="12"/>
  <c r="BA174" i="12" s="1"/>
  <c r="AZ122" i="12"/>
  <c r="AZ174" i="12" s="1"/>
  <c r="AY122" i="12"/>
  <c r="AY174" i="12" s="1"/>
  <c r="AX122" i="12"/>
  <c r="AX174" i="12" s="1"/>
  <c r="AW122" i="12"/>
  <c r="AW174" i="12" s="1"/>
  <c r="AV122" i="12"/>
  <c r="AV174" i="12" s="1"/>
  <c r="AU122" i="12"/>
  <c r="AU174" i="12" s="1"/>
  <c r="AT122" i="12"/>
  <c r="AT174" i="12" s="1"/>
  <c r="AS122" i="12"/>
  <c r="AS174" i="12" s="1"/>
  <c r="AR122" i="12"/>
  <c r="AR174" i="12" s="1"/>
  <c r="AQ122" i="12"/>
  <c r="AQ174" i="12" s="1"/>
  <c r="AP122" i="12"/>
  <c r="AP174" i="12" s="1"/>
  <c r="AO122" i="12"/>
  <c r="AO174" i="12" s="1"/>
  <c r="AN122" i="12"/>
  <c r="AN174" i="12" s="1"/>
  <c r="AM122" i="12"/>
  <c r="AM174" i="12" s="1"/>
  <c r="AL122" i="12"/>
  <c r="AL174" i="12" s="1"/>
  <c r="AK122" i="12"/>
  <c r="AK174" i="12" s="1"/>
  <c r="AJ122" i="12"/>
  <c r="AJ174" i="12" s="1"/>
  <c r="AI122" i="12"/>
  <c r="AI174" i="12" s="1"/>
  <c r="AH122" i="12"/>
  <c r="AH174" i="12" s="1"/>
  <c r="AG122" i="12"/>
  <c r="AG174" i="12" s="1"/>
  <c r="AF122" i="12"/>
  <c r="AF174" i="12" s="1"/>
  <c r="AE122" i="12"/>
  <c r="AE174" i="12" s="1"/>
  <c r="AD122" i="12"/>
  <c r="AD174" i="12" s="1"/>
  <c r="AC122" i="12"/>
  <c r="AC174" i="12" s="1"/>
  <c r="AB122" i="12"/>
  <c r="AB174" i="12" s="1"/>
  <c r="AA122" i="12"/>
  <c r="AA174" i="12" s="1"/>
  <c r="Z122" i="12"/>
  <c r="Z174" i="12" s="1"/>
  <c r="Y122" i="12"/>
  <c r="Y174" i="12" s="1"/>
  <c r="X122" i="12"/>
  <c r="X174" i="12" s="1"/>
  <c r="W122" i="12"/>
  <c r="W174" i="12" s="1"/>
  <c r="V122" i="12"/>
  <c r="V174" i="12" s="1"/>
  <c r="U122" i="12"/>
  <c r="U174" i="12" s="1"/>
  <c r="T122" i="12"/>
  <c r="T174" i="12" s="1"/>
  <c r="S122" i="12"/>
  <c r="S174" i="12" s="1"/>
  <c r="R122" i="12"/>
  <c r="R174" i="12" s="1"/>
  <c r="Q122" i="12"/>
  <c r="Q174" i="12" s="1"/>
  <c r="P122" i="12"/>
  <c r="P174" i="12" s="1"/>
  <c r="O122" i="12"/>
  <c r="O174" i="12" s="1"/>
  <c r="N122" i="12"/>
  <c r="N174" i="12" s="1"/>
  <c r="M122" i="12"/>
  <c r="M174" i="12" s="1"/>
  <c r="L122" i="12"/>
  <c r="L174" i="12" s="1"/>
  <c r="K122" i="12"/>
  <c r="K174" i="12" s="1"/>
  <c r="J122" i="12"/>
  <c r="J174" i="12" s="1"/>
  <c r="I122" i="12"/>
  <c r="I174" i="12" s="1"/>
  <c r="H122" i="12"/>
  <c r="H174" i="12" s="1"/>
  <c r="G122" i="12"/>
  <c r="G174" i="12" s="1"/>
  <c r="F122" i="12"/>
  <c r="F174" i="12" s="1"/>
  <c r="E122" i="12"/>
  <c r="E174" i="12" s="1"/>
  <c r="D122" i="12"/>
  <c r="D174" i="12" s="1"/>
  <c r="CX121" i="12"/>
  <c r="CX173" i="12" s="1"/>
  <c r="CW121" i="12"/>
  <c r="CW173" i="12" s="1"/>
  <c r="CV121" i="12"/>
  <c r="CV173" i="12" s="1"/>
  <c r="CU121" i="12"/>
  <c r="CU173" i="12" s="1"/>
  <c r="CT121" i="12"/>
  <c r="CT173" i="12" s="1"/>
  <c r="CS121" i="12"/>
  <c r="CS173" i="12" s="1"/>
  <c r="CR121" i="12"/>
  <c r="CR173" i="12" s="1"/>
  <c r="CQ121" i="12"/>
  <c r="CQ173" i="12" s="1"/>
  <c r="CP121" i="12"/>
  <c r="CP173" i="12" s="1"/>
  <c r="CO121" i="12"/>
  <c r="CO173" i="12" s="1"/>
  <c r="CN121" i="12"/>
  <c r="CN173" i="12" s="1"/>
  <c r="CM121" i="12"/>
  <c r="CM173" i="12" s="1"/>
  <c r="CL121" i="12"/>
  <c r="CL173" i="12" s="1"/>
  <c r="CK121" i="12"/>
  <c r="CK173" i="12" s="1"/>
  <c r="CJ121" i="12"/>
  <c r="CJ173" i="12" s="1"/>
  <c r="CI121" i="12"/>
  <c r="CI173" i="12" s="1"/>
  <c r="CH121" i="12"/>
  <c r="CH173" i="12" s="1"/>
  <c r="CG121" i="12"/>
  <c r="CG173" i="12" s="1"/>
  <c r="CF121" i="12"/>
  <c r="CF173" i="12" s="1"/>
  <c r="CE121" i="12"/>
  <c r="CE173" i="12" s="1"/>
  <c r="CD121" i="12"/>
  <c r="CD173" i="12" s="1"/>
  <c r="CC121" i="12"/>
  <c r="CC173" i="12" s="1"/>
  <c r="CB121" i="12"/>
  <c r="CB173" i="12" s="1"/>
  <c r="CA121" i="12"/>
  <c r="CA173" i="12" s="1"/>
  <c r="BZ121" i="12"/>
  <c r="BZ173" i="12" s="1"/>
  <c r="BY121" i="12"/>
  <c r="BY173" i="12" s="1"/>
  <c r="BX121" i="12"/>
  <c r="BX173" i="12" s="1"/>
  <c r="BW121" i="12"/>
  <c r="BW173" i="12" s="1"/>
  <c r="BV121" i="12"/>
  <c r="BV173" i="12" s="1"/>
  <c r="BU121" i="12"/>
  <c r="BU173" i="12" s="1"/>
  <c r="BT121" i="12"/>
  <c r="BT173" i="12" s="1"/>
  <c r="BS121" i="12"/>
  <c r="BS173" i="12" s="1"/>
  <c r="BR121" i="12"/>
  <c r="BR173" i="12" s="1"/>
  <c r="BQ121" i="12"/>
  <c r="BQ173" i="12" s="1"/>
  <c r="BP121" i="12"/>
  <c r="BP173" i="12" s="1"/>
  <c r="BO121" i="12"/>
  <c r="BO173" i="12" s="1"/>
  <c r="BN121" i="12"/>
  <c r="BN173" i="12" s="1"/>
  <c r="BM121" i="12"/>
  <c r="BM173" i="12" s="1"/>
  <c r="BL121" i="12"/>
  <c r="BL173" i="12" s="1"/>
  <c r="BK121" i="12"/>
  <c r="BK173" i="12" s="1"/>
  <c r="BJ121" i="12"/>
  <c r="BJ173" i="12" s="1"/>
  <c r="BI121" i="12"/>
  <c r="BI173" i="12" s="1"/>
  <c r="BH121" i="12"/>
  <c r="BH173" i="12" s="1"/>
  <c r="BG121" i="12"/>
  <c r="BG173" i="12" s="1"/>
  <c r="BF121" i="12"/>
  <c r="BF173" i="12" s="1"/>
  <c r="BE121" i="12"/>
  <c r="BE173" i="12" s="1"/>
  <c r="BD121" i="12"/>
  <c r="BD173" i="12" s="1"/>
  <c r="BC121" i="12"/>
  <c r="BC173" i="12" s="1"/>
  <c r="BB121" i="12"/>
  <c r="BB173" i="12" s="1"/>
  <c r="BA121" i="12"/>
  <c r="BA173" i="12" s="1"/>
  <c r="AZ121" i="12"/>
  <c r="AZ173" i="12" s="1"/>
  <c r="AY121" i="12"/>
  <c r="AY173" i="12" s="1"/>
  <c r="AX121" i="12"/>
  <c r="AX173" i="12" s="1"/>
  <c r="AW121" i="12"/>
  <c r="AW173" i="12" s="1"/>
  <c r="AV121" i="12"/>
  <c r="AV173" i="12" s="1"/>
  <c r="AU121" i="12"/>
  <c r="AU173" i="12" s="1"/>
  <c r="AT121" i="12"/>
  <c r="AT173" i="12" s="1"/>
  <c r="AS121" i="12"/>
  <c r="AS173" i="12" s="1"/>
  <c r="AR121" i="12"/>
  <c r="AR173" i="12" s="1"/>
  <c r="AQ121" i="12"/>
  <c r="AQ173" i="12" s="1"/>
  <c r="AP121" i="12"/>
  <c r="AP173" i="12" s="1"/>
  <c r="AO121" i="12"/>
  <c r="AO173" i="12" s="1"/>
  <c r="AN121" i="12"/>
  <c r="AN173" i="12" s="1"/>
  <c r="AM121" i="12"/>
  <c r="AM173" i="12" s="1"/>
  <c r="AL121" i="12"/>
  <c r="AL173" i="12" s="1"/>
  <c r="AK121" i="12"/>
  <c r="AK173" i="12" s="1"/>
  <c r="AJ121" i="12"/>
  <c r="AJ173" i="12" s="1"/>
  <c r="AI121" i="12"/>
  <c r="AI173" i="12" s="1"/>
  <c r="AH121" i="12"/>
  <c r="AH173" i="12" s="1"/>
  <c r="AG121" i="12"/>
  <c r="AG173" i="12" s="1"/>
  <c r="AF121" i="12"/>
  <c r="AF173" i="12" s="1"/>
  <c r="AE121" i="12"/>
  <c r="AE173" i="12" s="1"/>
  <c r="AD121" i="12"/>
  <c r="AD173" i="12" s="1"/>
  <c r="AC121" i="12"/>
  <c r="AC173" i="12" s="1"/>
  <c r="AB121" i="12"/>
  <c r="AB173" i="12" s="1"/>
  <c r="AA121" i="12"/>
  <c r="AA173" i="12" s="1"/>
  <c r="Z121" i="12"/>
  <c r="Z173" i="12" s="1"/>
  <c r="Y121" i="12"/>
  <c r="Y173" i="12" s="1"/>
  <c r="X121" i="12"/>
  <c r="X173" i="12" s="1"/>
  <c r="W121" i="12"/>
  <c r="W173" i="12" s="1"/>
  <c r="V121" i="12"/>
  <c r="V173" i="12" s="1"/>
  <c r="U121" i="12"/>
  <c r="U173" i="12" s="1"/>
  <c r="T121" i="12"/>
  <c r="T173" i="12" s="1"/>
  <c r="S121" i="12"/>
  <c r="S173" i="12" s="1"/>
  <c r="R121" i="12"/>
  <c r="R173" i="12" s="1"/>
  <c r="Q121" i="12"/>
  <c r="Q173" i="12" s="1"/>
  <c r="P121" i="12"/>
  <c r="P173" i="12" s="1"/>
  <c r="O121" i="12"/>
  <c r="O173" i="12" s="1"/>
  <c r="N121" i="12"/>
  <c r="N173" i="12" s="1"/>
  <c r="M121" i="12"/>
  <c r="M173" i="12" s="1"/>
  <c r="L121" i="12"/>
  <c r="L173" i="12" s="1"/>
  <c r="K121" i="12"/>
  <c r="K173" i="12" s="1"/>
  <c r="J121" i="12"/>
  <c r="J173" i="12" s="1"/>
  <c r="I121" i="12"/>
  <c r="I173" i="12" s="1"/>
  <c r="H121" i="12"/>
  <c r="H173" i="12" s="1"/>
  <c r="G121" i="12"/>
  <c r="G173" i="12" s="1"/>
  <c r="F121" i="12"/>
  <c r="F173" i="12" s="1"/>
  <c r="E121" i="12"/>
  <c r="E173" i="12" s="1"/>
  <c r="D121" i="12"/>
  <c r="D173" i="12" s="1"/>
  <c r="CX120" i="12"/>
  <c r="CX172" i="12" s="1"/>
  <c r="CW120" i="12"/>
  <c r="CW172" i="12" s="1"/>
  <c r="CV120" i="12"/>
  <c r="CV172" i="12" s="1"/>
  <c r="CU120" i="12"/>
  <c r="CU172" i="12" s="1"/>
  <c r="CT120" i="12"/>
  <c r="CT172" i="12" s="1"/>
  <c r="CS120" i="12"/>
  <c r="CS172" i="12" s="1"/>
  <c r="CR120" i="12"/>
  <c r="CR172" i="12" s="1"/>
  <c r="CQ120" i="12"/>
  <c r="CQ172" i="12" s="1"/>
  <c r="CP120" i="12"/>
  <c r="CP172" i="12" s="1"/>
  <c r="CO120" i="12"/>
  <c r="CO172" i="12" s="1"/>
  <c r="CN120" i="12"/>
  <c r="CN172" i="12" s="1"/>
  <c r="CM120" i="12"/>
  <c r="CM172" i="12" s="1"/>
  <c r="CL120" i="12"/>
  <c r="CL172" i="12" s="1"/>
  <c r="CK120" i="12"/>
  <c r="CK172" i="12" s="1"/>
  <c r="CJ120" i="12"/>
  <c r="CJ172" i="12" s="1"/>
  <c r="CI120" i="12"/>
  <c r="CI172" i="12" s="1"/>
  <c r="CH120" i="12"/>
  <c r="CH172" i="12" s="1"/>
  <c r="CG120" i="12"/>
  <c r="CG172" i="12" s="1"/>
  <c r="CF120" i="12"/>
  <c r="CF172" i="12" s="1"/>
  <c r="CE120" i="12"/>
  <c r="CE172" i="12" s="1"/>
  <c r="CD120" i="12"/>
  <c r="CD172" i="12" s="1"/>
  <c r="CC120" i="12"/>
  <c r="CC172" i="12" s="1"/>
  <c r="CB120" i="12"/>
  <c r="CB172" i="12" s="1"/>
  <c r="CA120" i="12"/>
  <c r="CA172" i="12" s="1"/>
  <c r="BZ120" i="12"/>
  <c r="BZ172" i="12" s="1"/>
  <c r="BY120" i="12"/>
  <c r="BY172" i="12" s="1"/>
  <c r="BX120" i="12"/>
  <c r="BX172" i="12" s="1"/>
  <c r="BW120" i="12"/>
  <c r="BW172" i="12" s="1"/>
  <c r="BV120" i="12"/>
  <c r="BV172" i="12" s="1"/>
  <c r="BU120" i="12"/>
  <c r="BU172" i="12" s="1"/>
  <c r="BT120" i="12"/>
  <c r="BT172" i="12" s="1"/>
  <c r="BS120" i="12"/>
  <c r="BS172" i="12" s="1"/>
  <c r="BR120" i="12"/>
  <c r="BR172" i="12" s="1"/>
  <c r="BQ120" i="12"/>
  <c r="BQ172" i="12" s="1"/>
  <c r="BP120" i="12"/>
  <c r="BP172" i="12" s="1"/>
  <c r="BO120" i="12"/>
  <c r="BO172" i="12" s="1"/>
  <c r="BN120" i="12"/>
  <c r="BN172" i="12" s="1"/>
  <c r="BM120" i="12"/>
  <c r="BM172" i="12" s="1"/>
  <c r="BL120" i="12"/>
  <c r="BL172" i="12" s="1"/>
  <c r="BK120" i="12"/>
  <c r="BK172" i="12" s="1"/>
  <c r="BJ120" i="12"/>
  <c r="BJ172" i="12" s="1"/>
  <c r="BI120" i="12"/>
  <c r="BI172" i="12" s="1"/>
  <c r="BH120" i="12"/>
  <c r="BH172" i="12" s="1"/>
  <c r="BG120" i="12"/>
  <c r="BG172" i="12" s="1"/>
  <c r="BF120" i="12"/>
  <c r="BF172" i="12" s="1"/>
  <c r="BE120" i="12"/>
  <c r="BE172" i="12" s="1"/>
  <c r="BD120" i="12"/>
  <c r="BD172" i="12" s="1"/>
  <c r="BC120" i="12"/>
  <c r="BC172" i="12" s="1"/>
  <c r="BB120" i="12"/>
  <c r="BB172" i="12" s="1"/>
  <c r="BA120" i="12"/>
  <c r="BA172" i="12" s="1"/>
  <c r="AZ120" i="12"/>
  <c r="AZ172" i="12" s="1"/>
  <c r="AY120" i="12"/>
  <c r="AY172" i="12" s="1"/>
  <c r="AX120" i="12"/>
  <c r="AX172" i="12" s="1"/>
  <c r="AW120" i="12"/>
  <c r="AW172" i="12" s="1"/>
  <c r="AV120" i="12"/>
  <c r="AV172" i="12" s="1"/>
  <c r="AU120" i="12"/>
  <c r="AU172" i="12" s="1"/>
  <c r="AT120" i="12"/>
  <c r="AT172" i="12" s="1"/>
  <c r="AS120" i="12"/>
  <c r="AS172" i="12" s="1"/>
  <c r="AR120" i="12"/>
  <c r="AR172" i="12" s="1"/>
  <c r="AQ120" i="12"/>
  <c r="AQ172" i="12" s="1"/>
  <c r="AP120" i="12"/>
  <c r="AP172" i="12" s="1"/>
  <c r="AO120" i="12"/>
  <c r="AO172" i="12" s="1"/>
  <c r="AN120" i="12"/>
  <c r="AN172" i="12" s="1"/>
  <c r="AM120" i="12"/>
  <c r="AM172" i="12" s="1"/>
  <c r="AL120" i="12"/>
  <c r="AL172" i="12" s="1"/>
  <c r="AK120" i="12"/>
  <c r="AK172" i="12" s="1"/>
  <c r="AJ120" i="12"/>
  <c r="AJ172" i="12" s="1"/>
  <c r="AI120" i="12"/>
  <c r="AI172" i="12" s="1"/>
  <c r="AH120" i="12"/>
  <c r="AH172" i="12" s="1"/>
  <c r="AG120" i="12"/>
  <c r="AG172" i="12" s="1"/>
  <c r="AF120" i="12"/>
  <c r="AF172" i="12" s="1"/>
  <c r="AE120" i="12"/>
  <c r="AE172" i="12" s="1"/>
  <c r="AD120" i="12"/>
  <c r="AD172" i="12" s="1"/>
  <c r="AC120" i="12"/>
  <c r="AC172" i="12" s="1"/>
  <c r="AB120" i="12"/>
  <c r="AB172" i="12" s="1"/>
  <c r="AA120" i="12"/>
  <c r="AA172" i="12" s="1"/>
  <c r="Z120" i="12"/>
  <c r="Z172" i="12" s="1"/>
  <c r="Y120" i="12"/>
  <c r="Y172" i="12" s="1"/>
  <c r="X120" i="12"/>
  <c r="X172" i="12" s="1"/>
  <c r="W120" i="12"/>
  <c r="W172" i="12" s="1"/>
  <c r="V120" i="12"/>
  <c r="V172" i="12" s="1"/>
  <c r="U120" i="12"/>
  <c r="U172" i="12" s="1"/>
  <c r="T120" i="12"/>
  <c r="T172" i="12" s="1"/>
  <c r="S120" i="12"/>
  <c r="S172" i="12" s="1"/>
  <c r="R120" i="12"/>
  <c r="R172" i="12" s="1"/>
  <c r="Q120" i="12"/>
  <c r="Q172" i="12" s="1"/>
  <c r="P120" i="12"/>
  <c r="P172" i="12" s="1"/>
  <c r="O120" i="12"/>
  <c r="O172" i="12" s="1"/>
  <c r="N120" i="12"/>
  <c r="N172" i="12" s="1"/>
  <c r="M120" i="12"/>
  <c r="M172" i="12" s="1"/>
  <c r="L120" i="12"/>
  <c r="L172" i="12" s="1"/>
  <c r="K120" i="12"/>
  <c r="K172" i="12" s="1"/>
  <c r="J120" i="12"/>
  <c r="J172" i="12" s="1"/>
  <c r="I120" i="12"/>
  <c r="I172" i="12" s="1"/>
  <c r="H120" i="12"/>
  <c r="H172" i="12" s="1"/>
  <c r="G120" i="12"/>
  <c r="G172" i="12" s="1"/>
  <c r="F120" i="12"/>
  <c r="F172" i="12" s="1"/>
  <c r="E120" i="12"/>
  <c r="E172" i="12" s="1"/>
  <c r="D120" i="12"/>
  <c r="D172" i="12" s="1"/>
  <c r="CX119" i="12"/>
  <c r="CX171" i="12" s="1"/>
  <c r="CW119" i="12"/>
  <c r="CW171" i="12" s="1"/>
  <c r="CV119" i="12"/>
  <c r="CV171" i="12" s="1"/>
  <c r="CU119" i="12"/>
  <c r="CU171" i="12" s="1"/>
  <c r="CT119" i="12"/>
  <c r="CT171" i="12" s="1"/>
  <c r="CS119" i="12"/>
  <c r="CS171" i="12" s="1"/>
  <c r="CR119" i="12"/>
  <c r="CR171" i="12" s="1"/>
  <c r="CQ119" i="12"/>
  <c r="CQ171" i="12" s="1"/>
  <c r="CP119" i="12"/>
  <c r="CP171" i="12" s="1"/>
  <c r="CO119" i="12"/>
  <c r="CO171" i="12" s="1"/>
  <c r="CN119" i="12"/>
  <c r="CN171" i="12" s="1"/>
  <c r="CM119" i="12"/>
  <c r="CM171" i="12" s="1"/>
  <c r="CL119" i="12"/>
  <c r="CL171" i="12" s="1"/>
  <c r="CK119" i="12"/>
  <c r="CK171" i="12" s="1"/>
  <c r="CJ119" i="12"/>
  <c r="CJ171" i="12" s="1"/>
  <c r="CI119" i="12"/>
  <c r="CI171" i="12" s="1"/>
  <c r="CH119" i="12"/>
  <c r="CH171" i="12" s="1"/>
  <c r="CG119" i="12"/>
  <c r="CG171" i="12" s="1"/>
  <c r="CF119" i="12"/>
  <c r="CF171" i="12" s="1"/>
  <c r="CE119" i="12"/>
  <c r="CE171" i="12" s="1"/>
  <c r="CD119" i="12"/>
  <c r="CD171" i="12" s="1"/>
  <c r="CC119" i="12"/>
  <c r="CC171" i="12" s="1"/>
  <c r="CB119" i="12"/>
  <c r="CB171" i="12" s="1"/>
  <c r="CA119" i="12"/>
  <c r="CA171" i="12" s="1"/>
  <c r="BZ119" i="12"/>
  <c r="BZ171" i="12" s="1"/>
  <c r="BY119" i="12"/>
  <c r="BY171" i="12" s="1"/>
  <c r="BX119" i="12"/>
  <c r="BX171" i="12" s="1"/>
  <c r="BW119" i="12"/>
  <c r="BW171" i="12" s="1"/>
  <c r="BV119" i="12"/>
  <c r="BV171" i="12" s="1"/>
  <c r="BU119" i="12"/>
  <c r="BU171" i="12" s="1"/>
  <c r="BT119" i="12"/>
  <c r="BT171" i="12" s="1"/>
  <c r="BS119" i="12"/>
  <c r="BS171" i="12" s="1"/>
  <c r="BR119" i="12"/>
  <c r="BR171" i="12" s="1"/>
  <c r="BQ119" i="12"/>
  <c r="BQ171" i="12" s="1"/>
  <c r="BP119" i="12"/>
  <c r="BP171" i="12" s="1"/>
  <c r="BO119" i="12"/>
  <c r="BO171" i="12" s="1"/>
  <c r="BN119" i="12"/>
  <c r="BN171" i="12" s="1"/>
  <c r="BM119" i="12"/>
  <c r="BM171" i="12" s="1"/>
  <c r="BL119" i="12"/>
  <c r="BL171" i="12" s="1"/>
  <c r="BK119" i="12"/>
  <c r="BK171" i="12" s="1"/>
  <c r="BJ119" i="12"/>
  <c r="BJ171" i="12" s="1"/>
  <c r="BI119" i="12"/>
  <c r="BI171" i="12" s="1"/>
  <c r="BH119" i="12"/>
  <c r="BH171" i="12" s="1"/>
  <c r="BG119" i="12"/>
  <c r="BG171" i="12" s="1"/>
  <c r="BF119" i="12"/>
  <c r="BF171" i="12" s="1"/>
  <c r="BE119" i="12"/>
  <c r="BE171" i="12" s="1"/>
  <c r="BD119" i="12"/>
  <c r="BD171" i="12" s="1"/>
  <c r="BC119" i="12"/>
  <c r="BC171" i="12" s="1"/>
  <c r="BB119" i="12"/>
  <c r="BB171" i="12" s="1"/>
  <c r="BA119" i="12"/>
  <c r="BA171" i="12" s="1"/>
  <c r="AZ119" i="12"/>
  <c r="AZ171" i="12" s="1"/>
  <c r="AY119" i="12"/>
  <c r="AY171" i="12" s="1"/>
  <c r="AX119" i="12"/>
  <c r="AX171" i="12" s="1"/>
  <c r="AW119" i="12"/>
  <c r="AW171" i="12" s="1"/>
  <c r="AV119" i="12"/>
  <c r="AV171" i="12" s="1"/>
  <c r="AU119" i="12"/>
  <c r="AU171" i="12" s="1"/>
  <c r="AT119" i="12"/>
  <c r="AT171" i="12" s="1"/>
  <c r="AS119" i="12"/>
  <c r="AS171" i="12" s="1"/>
  <c r="AR119" i="12"/>
  <c r="AR171" i="12" s="1"/>
  <c r="AQ119" i="12"/>
  <c r="AQ171" i="12" s="1"/>
  <c r="AP119" i="12"/>
  <c r="AP171" i="12" s="1"/>
  <c r="AO119" i="12"/>
  <c r="AO171" i="12" s="1"/>
  <c r="AN119" i="12"/>
  <c r="AN171" i="12" s="1"/>
  <c r="AM119" i="12"/>
  <c r="AM171" i="12" s="1"/>
  <c r="AL119" i="12"/>
  <c r="AL171" i="12" s="1"/>
  <c r="AK119" i="12"/>
  <c r="AK171" i="12" s="1"/>
  <c r="AJ119" i="12"/>
  <c r="AJ171" i="12" s="1"/>
  <c r="AI119" i="12"/>
  <c r="AI171" i="12" s="1"/>
  <c r="AH119" i="12"/>
  <c r="AH171" i="12" s="1"/>
  <c r="AG119" i="12"/>
  <c r="AG171" i="12" s="1"/>
  <c r="AF119" i="12"/>
  <c r="AF171" i="12" s="1"/>
  <c r="AE119" i="12"/>
  <c r="AE171" i="12" s="1"/>
  <c r="AD119" i="12"/>
  <c r="AD171" i="12" s="1"/>
  <c r="AC119" i="12"/>
  <c r="AC171" i="12" s="1"/>
  <c r="AB119" i="12"/>
  <c r="AB171" i="12" s="1"/>
  <c r="AA119" i="12"/>
  <c r="AA171" i="12" s="1"/>
  <c r="Z119" i="12"/>
  <c r="Z171" i="12" s="1"/>
  <c r="Y119" i="12"/>
  <c r="Y171" i="12" s="1"/>
  <c r="X119" i="12"/>
  <c r="X171" i="12" s="1"/>
  <c r="W119" i="12"/>
  <c r="W171" i="12" s="1"/>
  <c r="V119" i="12"/>
  <c r="V171" i="12" s="1"/>
  <c r="U119" i="12"/>
  <c r="U171" i="12" s="1"/>
  <c r="T119" i="12"/>
  <c r="T171" i="12" s="1"/>
  <c r="S119" i="12"/>
  <c r="S171" i="12" s="1"/>
  <c r="R119" i="12"/>
  <c r="R171" i="12" s="1"/>
  <c r="Q119" i="12"/>
  <c r="Q171" i="12" s="1"/>
  <c r="P119" i="12"/>
  <c r="P171" i="12" s="1"/>
  <c r="O119" i="12"/>
  <c r="O171" i="12" s="1"/>
  <c r="N119" i="12"/>
  <c r="N171" i="12" s="1"/>
  <c r="M119" i="12"/>
  <c r="M171" i="12" s="1"/>
  <c r="L119" i="12"/>
  <c r="L171" i="12" s="1"/>
  <c r="K119" i="12"/>
  <c r="K171" i="12" s="1"/>
  <c r="J119" i="12"/>
  <c r="J171" i="12" s="1"/>
  <c r="I119" i="12"/>
  <c r="I171" i="12" s="1"/>
  <c r="H119" i="12"/>
  <c r="H171" i="12" s="1"/>
  <c r="G119" i="12"/>
  <c r="G171" i="12" s="1"/>
  <c r="F119" i="12"/>
  <c r="F171" i="12" s="1"/>
  <c r="E119" i="12"/>
  <c r="E171" i="12" s="1"/>
  <c r="D119" i="12"/>
  <c r="D171" i="12" s="1"/>
  <c r="CX118" i="12"/>
  <c r="CX170" i="12" s="1"/>
  <c r="CW118" i="12"/>
  <c r="CW170" i="12" s="1"/>
  <c r="CV118" i="12"/>
  <c r="CV170" i="12" s="1"/>
  <c r="CU118" i="12"/>
  <c r="CU170" i="12" s="1"/>
  <c r="CT118" i="12"/>
  <c r="CT170" i="12" s="1"/>
  <c r="CS118" i="12"/>
  <c r="CS170" i="12" s="1"/>
  <c r="CR118" i="12"/>
  <c r="CR170" i="12" s="1"/>
  <c r="CQ118" i="12"/>
  <c r="CQ170" i="12" s="1"/>
  <c r="CP118" i="12"/>
  <c r="CP170" i="12" s="1"/>
  <c r="CO118" i="12"/>
  <c r="CO170" i="12" s="1"/>
  <c r="CN118" i="12"/>
  <c r="CN170" i="12" s="1"/>
  <c r="CM118" i="12"/>
  <c r="CM170" i="12" s="1"/>
  <c r="CL118" i="12"/>
  <c r="CL170" i="12" s="1"/>
  <c r="CK118" i="12"/>
  <c r="CK170" i="12" s="1"/>
  <c r="CJ118" i="12"/>
  <c r="CJ170" i="12" s="1"/>
  <c r="CI118" i="12"/>
  <c r="CI170" i="12" s="1"/>
  <c r="CH118" i="12"/>
  <c r="CH170" i="12" s="1"/>
  <c r="CG118" i="12"/>
  <c r="CG170" i="12" s="1"/>
  <c r="CF118" i="12"/>
  <c r="CF170" i="12" s="1"/>
  <c r="CE118" i="12"/>
  <c r="CE170" i="12" s="1"/>
  <c r="CD118" i="12"/>
  <c r="CD170" i="12" s="1"/>
  <c r="CC118" i="12"/>
  <c r="CC170" i="12" s="1"/>
  <c r="CB118" i="12"/>
  <c r="CB170" i="12" s="1"/>
  <c r="CA118" i="12"/>
  <c r="CA170" i="12" s="1"/>
  <c r="BZ118" i="12"/>
  <c r="BZ170" i="12" s="1"/>
  <c r="BY118" i="12"/>
  <c r="BY170" i="12" s="1"/>
  <c r="BX118" i="12"/>
  <c r="BX170" i="12" s="1"/>
  <c r="BW118" i="12"/>
  <c r="BW170" i="12" s="1"/>
  <c r="BV118" i="12"/>
  <c r="BV170" i="12" s="1"/>
  <c r="BU118" i="12"/>
  <c r="BU170" i="12" s="1"/>
  <c r="BT118" i="12"/>
  <c r="BT170" i="12" s="1"/>
  <c r="BS118" i="12"/>
  <c r="BS170" i="12" s="1"/>
  <c r="BR118" i="12"/>
  <c r="BR170" i="12" s="1"/>
  <c r="BQ118" i="12"/>
  <c r="BQ170" i="12" s="1"/>
  <c r="BP118" i="12"/>
  <c r="BP170" i="12" s="1"/>
  <c r="BO118" i="12"/>
  <c r="BO170" i="12" s="1"/>
  <c r="BN118" i="12"/>
  <c r="BN170" i="12" s="1"/>
  <c r="BM118" i="12"/>
  <c r="BM170" i="12" s="1"/>
  <c r="BL118" i="12"/>
  <c r="BL170" i="12" s="1"/>
  <c r="BK118" i="12"/>
  <c r="BK170" i="12" s="1"/>
  <c r="BJ118" i="12"/>
  <c r="BJ170" i="12" s="1"/>
  <c r="BI118" i="12"/>
  <c r="BI170" i="12" s="1"/>
  <c r="BH118" i="12"/>
  <c r="BH170" i="12" s="1"/>
  <c r="BG118" i="12"/>
  <c r="BG170" i="12" s="1"/>
  <c r="BF118" i="12"/>
  <c r="BF170" i="12" s="1"/>
  <c r="BE118" i="12"/>
  <c r="BE170" i="12" s="1"/>
  <c r="BD118" i="12"/>
  <c r="BD170" i="12" s="1"/>
  <c r="BC118" i="12"/>
  <c r="BC170" i="12" s="1"/>
  <c r="BB118" i="12"/>
  <c r="BB170" i="12" s="1"/>
  <c r="BA118" i="12"/>
  <c r="BA170" i="12" s="1"/>
  <c r="AZ118" i="12"/>
  <c r="AZ170" i="12" s="1"/>
  <c r="AY118" i="12"/>
  <c r="AY170" i="12" s="1"/>
  <c r="AX118" i="12"/>
  <c r="AX170" i="12" s="1"/>
  <c r="AW118" i="12"/>
  <c r="AW170" i="12" s="1"/>
  <c r="AV118" i="12"/>
  <c r="AV170" i="12" s="1"/>
  <c r="AU118" i="12"/>
  <c r="AU170" i="12" s="1"/>
  <c r="AT118" i="12"/>
  <c r="AT170" i="12" s="1"/>
  <c r="AS118" i="12"/>
  <c r="AS170" i="12" s="1"/>
  <c r="AR118" i="12"/>
  <c r="AR170" i="12" s="1"/>
  <c r="AQ118" i="12"/>
  <c r="AQ170" i="12" s="1"/>
  <c r="AP118" i="12"/>
  <c r="AP170" i="12" s="1"/>
  <c r="AO118" i="12"/>
  <c r="AO170" i="12" s="1"/>
  <c r="AN118" i="12"/>
  <c r="AN170" i="12" s="1"/>
  <c r="AM118" i="12"/>
  <c r="AM170" i="12" s="1"/>
  <c r="AL118" i="12"/>
  <c r="AL170" i="12" s="1"/>
  <c r="AK118" i="12"/>
  <c r="AK170" i="12" s="1"/>
  <c r="AJ118" i="12"/>
  <c r="AJ170" i="12" s="1"/>
  <c r="AI118" i="12"/>
  <c r="AI170" i="12" s="1"/>
  <c r="AH118" i="12"/>
  <c r="AH170" i="12" s="1"/>
  <c r="AG118" i="12"/>
  <c r="AG170" i="12" s="1"/>
  <c r="AF118" i="12"/>
  <c r="AF170" i="12" s="1"/>
  <c r="AE118" i="12"/>
  <c r="AE170" i="12" s="1"/>
  <c r="AD118" i="12"/>
  <c r="AD170" i="12" s="1"/>
  <c r="AC118" i="12"/>
  <c r="AC170" i="12" s="1"/>
  <c r="AB118" i="12"/>
  <c r="AB170" i="12" s="1"/>
  <c r="AA118" i="12"/>
  <c r="AA170" i="12" s="1"/>
  <c r="Z118" i="12"/>
  <c r="Z170" i="12" s="1"/>
  <c r="Y118" i="12"/>
  <c r="Y170" i="12" s="1"/>
  <c r="X118" i="12"/>
  <c r="X170" i="12" s="1"/>
  <c r="W118" i="12"/>
  <c r="W170" i="12" s="1"/>
  <c r="V118" i="12"/>
  <c r="V170" i="12" s="1"/>
  <c r="U118" i="12"/>
  <c r="U170" i="12" s="1"/>
  <c r="T118" i="12"/>
  <c r="T170" i="12" s="1"/>
  <c r="S118" i="12"/>
  <c r="S170" i="12" s="1"/>
  <c r="R118" i="12"/>
  <c r="R170" i="12" s="1"/>
  <c r="Q118" i="12"/>
  <c r="Q170" i="12" s="1"/>
  <c r="P118" i="12"/>
  <c r="P170" i="12" s="1"/>
  <c r="O118" i="12"/>
  <c r="O170" i="12" s="1"/>
  <c r="N118" i="12"/>
  <c r="N170" i="12" s="1"/>
  <c r="M118" i="12"/>
  <c r="M170" i="12" s="1"/>
  <c r="L118" i="12"/>
  <c r="L170" i="12" s="1"/>
  <c r="K118" i="12"/>
  <c r="K170" i="12" s="1"/>
  <c r="J118" i="12"/>
  <c r="J170" i="12" s="1"/>
  <c r="I118" i="12"/>
  <c r="I170" i="12" s="1"/>
  <c r="H118" i="12"/>
  <c r="H170" i="12" s="1"/>
  <c r="G118" i="12"/>
  <c r="G170" i="12" s="1"/>
  <c r="F118" i="12"/>
  <c r="F170" i="12" s="1"/>
  <c r="E118" i="12"/>
  <c r="E170" i="12" s="1"/>
  <c r="D118" i="12"/>
  <c r="D170" i="12" s="1"/>
  <c r="CX117" i="12"/>
  <c r="CX169" i="12" s="1"/>
  <c r="CW117" i="12"/>
  <c r="CW169" i="12" s="1"/>
  <c r="CV117" i="12"/>
  <c r="CV169" i="12" s="1"/>
  <c r="CU117" i="12"/>
  <c r="CU169" i="12" s="1"/>
  <c r="CT117" i="12"/>
  <c r="CT169" i="12" s="1"/>
  <c r="CS117" i="12"/>
  <c r="CS169" i="12" s="1"/>
  <c r="CR117" i="12"/>
  <c r="CR169" i="12" s="1"/>
  <c r="CQ117" i="12"/>
  <c r="CQ169" i="12" s="1"/>
  <c r="CP117" i="12"/>
  <c r="CP169" i="12" s="1"/>
  <c r="CO117" i="12"/>
  <c r="CO169" i="12" s="1"/>
  <c r="CN117" i="12"/>
  <c r="CN169" i="12" s="1"/>
  <c r="CM117" i="12"/>
  <c r="CM169" i="12" s="1"/>
  <c r="CL117" i="12"/>
  <c r="CL169" i="12" s="1"/>
  <c r="CK117" i="12"/>
  <c r="CK169" i="12" s="1"/>
  <c r="CJ117" i="12"/>
  <c r="CJ169" i="12" s="1"/>
  <c r="CI117" i="12"/>
  <c r="CI169" i="12" s="1"/>
  <c r="CH117" i="12"/>
  <c r="CH169" i="12" s="1"/>
  <c r="CG117" i="12"/>
  <c r="CG169" i="12" s="1"/>
  <c r="CF117" i="12"/>
  <c r="CF169" i="12" s="1"/>
  <c r="CE117" i="12"/>
  <c r="CE169" i="12" s="1"/>
  <c r="CD117" i="12"/>
  <c r="CD169" i="12" s="1"/>
  <c r="CC117" i="12"/>
  <c r="CC169" i="12" s="1"/>
  <c r="CB117" i="12"/>
  <c r="CB169" i="12" s="1"/>
  <c r="CA117" i="12"/>
  <c r="CA169" i="12" s="1"/>
  <c r="BZ117" i="12"/>
  <c r="BZ169" i="12" s="1"/>
  <c r="BY117" i="12"/>
  <c r="BY169" i="12" s="1"/>
  <c r="BX117" i="12"/>
  <c r="BX169" i="12" s="1"/>
  <c r="BW117" i="12"/>
  <c r="BW169" i="12" s="1"/>
  <c r="BV117" i="12"/>
  <c r="BV169" i="12" s="1"/>
  <c r="BU117" i="12"/>
  <c r="BU169" i="12" s="1"/>
  <c r="BT117" i="12"/>
  <c r="BT169" i="12" s="1"/>
  <c r="BS117" i="12"/>
  <c r="BS169" i="12" s="1"/>
  <c r="BR117" i="12"/>
  <c r="BR169" i="12" s="1"/>
  <c r="BQ117" i="12"/>
  <c r="BQ169" i="12" s="1"/>
  <c r="BP117" i="12"/>
  <c r="BP169" i="12" s="1"/>
  <c r="BO117" i="12"/>
  <c r="BO169" i="12" s="1"/>
  <c r="BN117" i="12"/>
  <c r="BN169" i="12" s="1"/>
  <c r="BM117" i="12"/>
  <c r="BM169" i="12" s="1"/>
  <c r="BL117" i="12"/>
  <c r="BL169" i="12" s="1"/>
  <c r="BK117" i="12"/>
  <c r="BK169" i="12" s="1"/>
  <c r="BJ117" i="12"/>
  <c r="BJ169" i="12" s="1"/>
  <c r="BI117" i="12"/>
  <c r="BI169" i="12" s="1"/>
  <c r="BH117" i="12"/>
  <c r="BH169" i="12" s="1"/>
  <c r="BG117" i="12"/>
  <c r="BG169" i="12" s="1"/>
  <c r="BF117" i="12"/>
  <c r="BF169" i="12" s="1"/>
  <c r="BE117" i="12"/>
  <c r="BE169" i="12" s="1"/>
  <c r="BD117" i="12"/>
  <c r="BD169" i="12" s="1"/>
  <c r="BC117" i="12"/>
  <c r="BC169" i="12" s="1"/>
  <c r="BB117" i="12"/>
  <c r="BB169" i="12" s="1"/>
  <c r="BA117" i="12"/>
  <c r="BA169" i="12" s="1"/>
  <c r="AZ117" i="12"/>
  <c r="AZ169" i="12" s="1"/>
  <c r="AY117" i="12"/>
  <c r="AY169" i="12" s="1"/>
  <c r="AX117" i="12"/>
  <c r="AX169" i="12" s="1"/>
  <c r="AW117" i="12"/>
  <c r="AW169" i="12" s="1"/>
  <c r="AV117" i="12"/>
  <c r="AV169" i="12" s="1"/>
  <c r="AU117" i="12"/>
  <c r="AU169" i="12" s="1"/>
  <c r="AT117" i="12"/>
  <c r="AT169" i="12" s="1"/>
  <c r="AS117" i="12"/>
  <c r="AS169" i="12" s="1"/>
  <c r="AR117" i="12"/>
  <c r="AR169" i="12" s="1"/>
  <c r="AQ117" i="12"/>
  <c r="AQ169" i="12" s="1"/>
  <c r="AP117" i="12"/>
  <c r="AP169" i="12" s="1"/>
  <c r="AO117" i="12"/>
  <c r="AO169" i="12" s="1"/>
  <c r="AN117" i="12"/>
  <c r="AN169" i="12" s="1"/>
  <c r="AM117" i="12"/>
  <c r="AM169" i="12" s="1"/>
  <c r="AL117" i="12"/>
  <c r="AL169" i="12" s="1"/>
  <c r="AK117" i="12"/>
  <c r="AK169" i="12" s="1"/>
  <c r="AJ117" i="12"/>
  <c r="AJ169" i="12" s="1"/>
  <c r="AI117" i="12"/>
  <c r="AI169" i="12" s="1"/>
  <c r="AH117" i="12"/>
  <c r="AH169" i="12" s="1"/>
  <c r="AG117" i="12"/>
  <c r="AG169" i="12" s="1"/>
  <c r="AF117" i="12"/>
  <c r="AF169" i="12" s="1"/>
  <c r="AE117" i="12"/>
  <c r="AE169" i="12" s="1"/>
  <c r="AD117" i="12"/>
  <c r="AD169" i="12" s="1"/>
  <c r="AC117" i="12"/>
  <c r="AC169" i="12" s="1"/>
  <c r="AB117" i="12"/>
  <c r="AB169" i="12" s="1"/>
  <c r="AA117" i="12"/>
  <c r="AA169" i="12" s="1"/>
  <c r="Z117" i="12"/>
  <c r="Z169" i="12" s="1"/>
  <c r="Y117" i="12"/>
  <c r="Y169" i="12" s="1"/>
  <c r="X117" i="12"/>
  <c r="X169" i="12" s="1"/>
  <c r="W117" i="12"/>
  <c r="W169" i="12" s="1"/>
  <c r="V117" i="12"/>
  <c r="V169" i="12" s="1"/>
  <c r="U117" i="12"/>
  <c r="U169" i="12" s="1"/>
  <c r="T117" i="12"/>
  <c r="T169" i="12" s="1"/>
  <c r="S117" i="12"/>
  <c r="S169" i="12" s="1"/>
  <c r="R117" i="12"/>
  <c r="R169" i="12" s="1"/>
  <c r="Q117" i="12"/>
  <c r="Q169" i="12" s="1"/>
  <c r="P117" i="12"/>
  <c r="P169" i="12" s="1"/>
  <c r="O117" i="12"/>
  <c r="O169" i="12" s="1"/>
  <c r="N117" i="12"/>
  <c r="N169" i="12" s="1"/>
  <c r="M117" i="12"/>
  <c r="M169" i="12" s="1"/>
  <c r="L117" i="12"/>
  <c r="L169" i="12" s="1"/>
  <c r="K117" i="12"/>
  <c r="K169" i="12" s="1"/>
  <c r="J117" i="12"/>
  <c r="J169" i="12" s="1"/>
  <c r="I117" i="12"/>
  <c r="I169" i="12" s="1"/>
  <c r="H117" i="12"/>
  <c r="H169" i="12" s="1"/>
  <c r="G117" i="12"/>
  <c r="G169" i="12" s="1"/>
  <c r="F117" i="12"/>
  <c r="F169" i="12" s="1"/>
  <c r="E117" i="12"/>
  <c r="E169" i="12" s="1"/>
  <c r="D117" i="12"/>
  <c r="D169" i="12" s="1"/>
  <c r="CX116" i="12"/>
  <c r="CX168" i="12" s="1"/>
  <c r="CW116" i="12"/>
  <c r="CW168" i="12" s="1"/>
  <c r="CV116" i="12"/>
  <c r="CV168" i="12" s="1"/>
  <c r="CU116" i="12"/>
  <c r="CU168" i="12" s="1"/>
  <c r="CT116" i="12"/>
  <c r="CT168" i="12" s="1"/>
  <c r="CS116" i="12"/>
  <c r="CS168" i="12" s="1"/>
  <c r="CR116" i="12"/>
  <c r="CR168" i="12" s="1"/>
  <c r="CQ116" i="12"/>
  <c r="CQ168" i="12" s="1"/>
  <c r="CP116" i="12"/>
  <c r="CP168" i="12" s="1"/>
  <c r="CO116" i="12"/>
  <c r="CO168" i="12" s="1"/>
  <c r="CN116" i="12"/>
  <c r="CN168" i="12" s="1"/>
  <c r="CM116" i="12"/>
  <c r="CM168" i="12" s="1"/>
  <c r="CL116" i="12"/>
  <c r="CL168" i="12" s="1"/>
  <c r="CK116" i="12"/>
  <c r="CK168" i="12" s="1"/>
  <c r="CJ116" i="12"/>
  <c r="CJ168" i="12" s="1"/>
  <c r="CI116" i="12"/>
  <c r="CI168" i="12" s="1"/>
  <c r="CH116" i="12"/>
  <c r="CH168" i="12" s="1"/>
  <c r="CG116" i="12"/>
  <c r="CG168" i="12" s="1"/>
  <c r="CF116" i="12"/>
  <c r="CF168" i="12" s="1"/>
  <c r="CE116" i="12"/>
  <c r="CE168" i="12" s="1"/>
  <c r="CD116" i="12"/>
  <c r="CD168" i="12" s="1"/>
  <c r="CC116" i="12"/>
  <c r="CC168" i="12" s="1"/>
  <c r="CB116" i="12"/>
  <c r="CB168" i="12" s="1"/>
  <c r="CA116" i="12"/>
  <c r="CA168" i="12" s="1"/>
  <c r="BZ116" i="12"/>
  <c r="BZ168" i="12" s="1"/>
  <c r="BY116" i="12"/>
  <c r="BY168" i="12" s="1"/>
  <c r="BX116" i="12"/>
  <c r="BX168" i="12" s="1"/>
  <c r="BW116" i="12"/>
  <c r="BW168" i="12" s="1"/>
  <c r="BV116" i="12"/>
  <c r="BV168" i="12" s="1"/>
  <c r="BU116" i="12"/>
  <c r="BU168" i="12" s="1"/>
  <c r="BT116" i="12"/>
  <c r="BT168" i="12" s="1"/>
  <c r="BS116" i="12"/>
  <c r="BS168" i="12" s="1"/>
  <c r="BR116" i="12"/>
  <c r="BR168" i="12" s="1"/>
  <c r="BQ116" i="12"/>
  <c r="BQ168" i="12" s="1"/>
  <c r="BP116" i="12"/>
  <c r="BP168" i="12" s="1"/>
  <c r="BO116" i="12"/>
  <c r="BO168" i="12" s="1"/>
  <c r="BN116" i="12"/>
  <c r="BN168" i="12" s="1"/>
  <c r="BM116" i="12"/>
  <c r="BM168" i="12" s="1"/>
  <c r="BL116" i="12"/>
  <c r="BL168" i="12" s="1"/>
  <c r="BK116" i="12"/>
  <c r="BK168" i="12" s="1"/>
  <c r="BJ116" i="12"/>
  <c r="BJ168" i="12" s="1"/>
  <c r="BI116" i="12"/>
  <c r="BI168" i="12" s="1"/>
  <c r="BH116" i="12"/>
  <c r="BH168" i="12" s="1"/>
  <c r="BG116" i="12"/>
  <c r="BG168" i="12" s="1"/>
  <c r="BF116" i="12"/>
  <c r="BF168" i="12" s="1"/>
  <c r="BE116" i="12"/>
  <c r="BE168" i="12" s="1"/>
  <c r="BD116" i="12"/>
  <c r="BD168" i="12" s="1"/>
  <c r="BC116" i="12"/>
  <c r="BC168" i="12" s="1"/>
  <c r="BB116" i="12"/>
  <c r="BB168" i="12" s="1"/>
  <c r="BA116" i="12"/>
  <c r="BA168" i="12" s="1"/>
  <c r="AZ116" i="12"/>
  <c r="AZ168" i="12" s="1"/>
  <c r="AY116" i="12"/>
  <c r="AY168" i="12" s="1"/>
  <c r="AX116" i="12"/>
  <c r="AX168" i="12" s="1"/>
  <c r="AW116" i="12"/>
  <c r="AW168" i="12" s="1"/>
  <c r="AV116" i="12"/>
  <c r="AV168" i="12" s="1"/>
  <c r="AU116" i="12"/>
  <c r="AU168" i="12" s="1"/>
  <c r="AT116" i="12"/>
  <c r="AT168" i="12" s="1"/>
  <c r="AS116" i="12"/>
  <c r="AS168" i="12" s="1"/>
  <c r="AR116" i="12"/>
  <c r="AR168" i="12" s="1"/>
  <c r="AQ116" i="12"/>
  <c r="AQ168" i="12" s="1"/>
  <c r="AP116" i="12"/>
  <c r="AP168" i="12" s="1"/>
  <c r="AO116" i="12"/>
  <c r="AO168" i="12" s="1"/>
  <c r="AN116" i="12"/>
  <c r="AN168" i="12" s="1"/>
  <c r="AM116" i="12"/>
  <c r="AM168" i="12" s="1"/>
  <c r="AL116" i="12"/>
  <c r="AL168" i="12" s="1"/>
  <c r="AK116" i="12"/>
  <c r="AK168" i="12" s="1"/>
  <c r="AJ116" i="12"/>
  <c r="AJ168" i="12" s="1"/>
  <c r="AI116" i="12"/>
  <c r="AI168" i="12" s="1"/>
  <c r="AH116" i="12"/>
  <c r="AH168" i="12" s="1"/>
  <c r="AG116" i="12"/>
  <c r="AG168" i="12" s="1"/>
  <c r="AF116" i="12"/>
  <c r="AF168" i="12" s="1"/>
  <c r="AE116" i="12"/>
  <c r="AE168" i="12" s="1"/>
  <c r="AD116" i="12"/>
  <c r="AD168" i="12" s="1"/>
  <c r="AC116" i="12"/>
  <c r="AC168" i="12" s="1"/>
  <c r="AB116" i="12"/>
  <c r="AB168" i="12" s="1"/>
  <c r="AA116" i="12"/>
  <c r="AA168" i="12" s="1"/>
  <c r="Z116" i="12"/>
  <c r="Z168" i="12" s="1"/>
  <c r="Y116" i="12"/>
  <c r="Y168" i="12" s="1"/>
  <c r="X116" i="12"/>
  <c r="X168" i="12" s="1"/>
  <c r="W116" i="12"/>
  <c r="W168" i="12" s="1"/>
  <c r="V116" i="12"/>
  <c r="V168" i="12" s="1"/>
  <c r="U116" i="12"/>
  <c r="U168" i="12" s="1"/>
  <c r="T116" i="12"/>
  <c r="T168" i="12" s="1"/>
  <c r="S116" i="12"/>
  <c r="S168" i="12" s="1"/>
  <c r="R116" i="12"/>
  <c r="R168" i="12" s="1"/>
  <c r="Q116" i="12"/>
  <c r="Q168" i="12" s="1"/>
  <c r="P116" i="12"/>
  <c r="P168" i="12" s="1"/>
  <c r="O116" i="12"/>
  <c r="O168" i="12" s="1"/>
  <c r="N116" i="12"/>
  <c r="N168" i="12" s="1"/>
  <c r="M116" i="12"/>
  <c r="M168" i="12" s="1"/>
  <c r="L116" i="12"/>
  <c r="L168" i="12" s="1"/>
  <c r="K116" i="12"/>
  <c r="K168" i="12" s="1"/>
  <c r="J116" i="12"/>
  <c r="J168" i="12" s="1"/>
  <c r="I116" i="12"/>
  <c r="I168" i="12" s="1"/>
  <c r="H116" i="12"/>
  <c r="H168" i="12" s="1"/>
  <c r="G116" i="12"/>
  <c r="G168" i="12" s="1"/>
  <c r="F116" i="12"/>
  <c r="F168" i="12" s="1"/>
  <c r="E116" i="12"/>
  <c r="E168" i="12" s="1"/>
  <c r="D116" i="12"/>
  <c r="D168" i="12" s="1"/>
  <c r="CX115" i="12"/>
  <c r="CX167" i="12" s="1"/>
  <c r="CW115" i="12"/>
  <c r="CW167" i="12" s="1"/>
  <c r="CV115" i="12"/>
  <c r="CV167" i="12" s="1"/>
  <c r="CU115" i="12"/>
  <c r="CU167" i="12" s="1"/>
  <c r="CT115" i="12"/>
  <c r="CT167" i="12" s="1"/>
  <c r="CS115" i="12"/>
  <c r="CS167" i="12" s="1"/>
  <c r="CR115" i="12"/>
  <c r="CR167" i="12" s="1"/>
  <c r="CQ115" i="12"/>
  <c r="CQ167" i="12" s="1"/>
  <c r="CP115" i="12"/>
  <c r="CP167" i="12" s="1"/>
  <c r="CO115" i="12"/>
  <c r="CO167" i="12" s="1"/>
  <c r="CN115" i="12"/>
  <c r="CN167" i="12" s="1"/>
  <c r="CM115" i="12"/>
  <c r="CM167" i="12" s="1"/>
  <c r="CL115" i="12"/>
  <c r="CL167" i="12" s="1"/>
  <c r="CK115" i="12"/>
  <c r="CK167" i="12" s="1"/>
  <c r="CJ115" i="12"/>
  <c r="CJ167" i="12" s="1"/>
  <c r="CI115" i="12"/>
  <c r="CI167" i="12" s="1"/>
  <c r="CH115" i="12"/>
  <c r="CH167" i="12" s="1"/>
  <c r="CG115" i="12"/>
  <c r="CG167" i="12" s="1"/>
  <c r="CF115" i="12"/>
  <c r="CF167" i="12" s="1"/>
  <c r="CE115" i="12"/>
  <c r="CE167" i="12" s="1"/>
  <c r="CD115" i="12"/>
  <c r="CD167" i="12" s="1"/>
  <c r="CC115" i="12"/>
  <c r="CC167" i="12" s="1"/>
  <c r="CB115" i="12"/>
  <c r="CB167" i="12" s="1"/>
  <c r="CA115" i="12"/>
  <c r="CA167" i="12" s="1"/>
  <c r="BZ115" i="12"/>
  <c r="BZ167" i="12" s="1"/>
  <c r="BY115" i="12"/>
  <c r="BY167" i="12" s="1"/>
  <c r="BX115" i="12"/>
  <c r="BX167" i="12" s="1"/>
  <c r="BW115" i="12"/>
  <c r="BW167" i="12" s="1"/>
  <c r="BV115" i="12"/>
  <c r="BV167" i="12" s="1"/>
  <c r="BU115" i="12"/>
  <c r="BU167" i="12" s="1"/>
  <c r="BT115" i="12"/>
  <c r="BT167" i="12" s="1"/>
  <c r="BS115" i="12"/>
  <c r="BS167" i="12" s="1"/>
  <c r="BR115" i="12"/>
  <c r="BR167" i="12" s="1"/>
  <c r="BQ115" i="12"/>
  <c r="BQ167" i="12" s="1"/>
  <c r="BP115" i="12"/>
  <c r="BP167" i="12" s="1"/>
  <c r="BO115" i="12"/>
  <c r="BO167" i="12" s="1"/>
  <c r="BN115" i="12"/>
  <c r="BN167" i="12" s="1"/>
  <c r="BM115" i="12"/>
  <c r="BM167" i="12" s="1"/>
  <c r="BL115" i="12"/>
  <c r="BL167" i="12" s="1"/>
  <c r="BK115" i="12"/>
  <c r="BK167" i="12" s="1"/>
  <c r="BJ115" i="12"/>
  <c r="BJ167" i="12" s="1"/>
  <c r="BI115" i="12"/>
  <c r="BI167" i="12" s="1"/>
  <c r="BH115" i="12"/>
  <c r="BH167" i="12" s="1"/>
  <c r="BG115" i="12"/>
  <c r="BG167" i="12" s="1"/>
  <c r="BF115" i="12"/>
  <c r="BF167" i="12" s="1"/>
  <c r="BE115" i="12"/>
  <c r="BE167" i="12" s="1"/>
  <c r="BD115" i="12"/>
  <c r="BD167" i="12" s="1"/>
  <c r="BC115" i="12"/>
  <c r="BC167" i="12" s="1"/>
  <c r="BB115" i="12"/>
  <c r="BB167" i="12" s="1"/>
  <c r="BA115" i="12"/>
  <c r="BA167" i="12" s="1"/>
  <c r="AZ115" i="12"/>
  <c r="AZ167" i="12" s="1"/>
  <c r="AY115" i="12"/>
  <c r="AY167" i="12" s="1"/>
  <c r="AX115" i="12"/>
  <c r="AX167" i="12" s="1"/>
  <c r="AW115" i="12"/>
  <c r="AW167" i="12" s="1"/>
  <c r="AV115" i="12"/>
  <c r="AV167" i="12" s="1"/>
  <c r="AU115" i="12"/>
  <c r="AU167" i="12" s="1"/>
  <c r="AT115" i="12"/>
  <c r="AT167" i="12" s="1"/>
  <c r="AS115" i="12"/>
  <c r="AS167" i="12" s="1"/>
  <c r="AR115" i="12"/>
  <c r="AR167" i="12" s="1"/>
  <c r="AQ115" i="12"/>
  <c r="AQ167" i="12" s="1"/>
  <c r="AP115" i="12"/>
  <c r="AP167" i="12" s="1"/>
  <c r="AO115" i="12"/>
  <c r="AO167" i="12" s="1"/>
  <c r="AN115" i="12"/>
  <c r="AN167" i="12" s="1"/>
  <c r="AM115" i="12"/>
  <c r="AM167" i="12" s="1"/>
  <c r="AL115" i="12"/>
  <c r="AL167" i="12" s="1"/>
  <c r="AK115" i="12"/>
  <c r="AK167" i="12" s="1"/>
  <c r="AJ115" i="12"/>
  <c r="AJ167" i="12" s="1"/>
  <c r="AI115" i="12"/>
  <c r="AI167" i="12" s="1"/>
  <c r="AH115" i="12"/>
  <c r="AH167" i="12" s="1"/>
  <c r="AG115" i="12"/>
  <c r="AG167" i="12" s="1"/>
  <c r="AF115" i="12"/>
  <c r="AF167" i="12" s="1"/>
  <c r="AE115" i="12"/>
  <c r="AE167" i="12" s="1"/>
  <c r="AD115" i="12"/>
  <c r="AD167" i="12" s="1"/>
  <c r="AC115" i="12"/>
  <c r="AC167" i="12" s="1"/>
  <c r="AB115" i="12"/>
  <c r="AB167" i="12" s="1"/>
  <c r="AA115" i="12"/>
  <c r="AA167" i="12" s="1"/>
  <c r="Z115" i="12"/>
  <c r="Z167" i="12" s="1"/>
  <c r="Y115" i="12"/>
  <c r="Y167" i="12" s="1"/>
  <c r="X115" i="12"/>
  <c r="X167" i="12" s="1"/>
  <c r="W115" i="12"/>
  <c r="W167" i="12" s="1"/>
  <c r="V115" i="12"/>
  <c r="V167" i="12" s="1"/>
  <c r="U115" i="12"/>
  <c r="U167" i="12" s="1"/>
  <c r="T115" i="12"/>
  <c r="T167" i="12" s="1"/>
  <c r="S115" i="12"/>
  <c r="S167" i="12" s="1"/>
  <c r="R115" i="12"/>
  <c r="R167" i="12" s="1"/>
  <c r="Q115" i="12"/>
  <c r="Q167" i="12" s="1"/>
  <c r="P115" i="12"/>
  <c r="P167" i="12" s="1"/>
  <c r="O115" i="12"/>
  <c r="O167" i="12" s="1"/>
  <c r="N115" i="12"/>
  <c r="N167" i="12" s="1"/>
  <c r="M115" i="12"/>
  <c r="M167" i="12" s="1"/>
  <c r="L115" i="12"/>
  <c r="L167" i="12" s="1"/>
  <c r="K115" i="12"/>
  <c r="K167" i="12" s="1"/>
  <c r="J115" i="12"/>
  <c r="J167" i="12" s="1"/>
  <c r="I115" i="12"/>
  <c r="I167" i="12" s="1"/>
  <c r="H115" i="12"/>
  <c r="H167" i="12" s="1"/>
  <c r="G115" i="12"/>
  <c r="G167" i="12" s="1"/>
  <c r="F115" i="12"/>
  <c r="F167" i="12" s="1"/>
  <c r="E115" i="12"/>
  <c r="E167" i="12" s="1"/>
  <c r="D115" i="12"/>
  <c r="D167" i="12" s="1"/>
  <c r="CX114" i="12"/>
  <c r="CX166" i="12" s="1"/>
  <c r="CW114" i="12"/>
  <c r="CW166" i="12" s="1"/>
  <c r="CV114" i="12"/>
  <c r="CV166" i="12" s="1"/>
  <c r="CU114" i="12"/>
  <c r="CU166" i="12" s="1"/>
  <c r="CT114" i="12"/>
  <c r="CT166" i="12" s="1"/>
  <c r="CS114" i="12"/>
  <c r="CS166" i="12" s="1"/>
  <c r="CR114" i="12"/>
  <c r="CR166" i="12" s="1"/>
  <c r="CQ114" i="12"/>
  <c r="CQ166" i="12" s="1"/>
  <c r="CP114" i="12"/>
  <c r="CP166" i="12" s="1"/>
  <c r="CO114" i="12"/>
  <c r="CO166" i="12" s="1"/>
  <c r="CN114" i="12"/>
  <c r="CN166" i="12" s="1"/>
  <c r="CM114" i="12"/>
  <c r="CM166" i="12" s="1"/>
  <c r="CL114" i="12"/>
  <c r="CL166" i="12" s="1"/>
  <c r="CK114" i="12"/>
  <c r="CK166" i="12" s="1"/>
  <c r="CJ114" i="12"/>
  <c r="CJ166" i="12" s="1"/>
  <c r="CI114" i="12"/>
  <c r="CI166" i="12" s="1"/>
  <c r="CH114" i="12"/>
  <c r="CH166" i="12" s="1"/>
  <c r="CG114" i="12"/>
  <c r="CG166" i="12" s="1"/>
  <c r="CF114" i="12"/>
  <c r="CF166" i="12" s="1"/>
  <c r="CE114" i="12"/>
  <c r="CE166" i="12" s="1"/>
  <c r="CD114" i="12"/>
  <c r="CD166" i="12" s="1"/>
  <c r="CC114" i="12"/>
  <c r="CC166" i="12" s="1"/>
  <c r="CB114" i="12"/>
  <c r="CB166" i="12" s="1"/>
  <c r="CA114" i="12"/>
  <c r="CA166" i="12" s="1"/>
  <c r="BZ114" i="12"/>
  <c r="BZ166" i="12" s="1"/>
  <c r="BY114" i="12"/>
  <c r="BY166" i="12" s="1"/>
  <c r="BX114" i="12"/>
  <c r="BX166" i="12" s="1"/>
  <c r="BW114" i="12"/>
  <c r="BW166" i="12" s="1"/>
  <c r="BV114" i="12"/>
  <c r="BV166" i="12" s="1"/>
  <c r="BU114" i="12"/>
  <c r="BU166" i="12" s="1"/>
  <c r="BT114" i="12"/>
  <c r="BT166" i="12" s="1"/>
  <c r="BS114" i="12"/>
  <c r="BS166" i="12" s="1"/>
  <c r="BR114" i="12"/>
  <c r="BR166" i="12" s="1"/>
  <c r="BQ114" i="12"/>
  <c r="BQ166" i="12" s="1"/>
  <c r="BP114" i="12"/>
  <c r="BP166" i="12" s="1"/>
  <c r="BO114" i="12"/>
  <c r="BO166" i="12" s="1"/>
  <c r="BN114" i="12"/>
  <c r="BN166" i="12" s="1"/>
  <c r="BM114" i="12"/>
  <c r="BM166" i="12" s="1"/>
  <c r="BL114" i="12"/>
  <c r="BL166" i="12" s="1"/>
  <c r="BK114" i="12"/>
  <c r="BK166" i="12" s="1"/>
  <c r="BJ114" i="12"/>
  <c r="BJ166" i="12" s="1"/>
  <c r="BI114" i="12"/>
  <c r="BI166" i="12" s="1"/>
  <c r="BH114" i="12"/>
  <c r="BH166" i="12" s="1"/>
  <c r="BG114" i="12"/>
  <c r="BG166" i="12" s="1"/>
  <c r="BF114" i="12"/>
  <c r="BF166" i="12" s="1"/>
  <c r="BE114" i="12"/>
  <c r="BE166" i="12" s="1"/>
  <c r="BD114" i="12"/>
  <c r="BD166" i="12" s="1"/>
  <c r="BC114" i="12"/>
  <c r="BC166" i="12" s="1"/>
  <c r="BB114" i="12"/>
  <c r="BB166" i="12" s="1"/>
  <c r="BA114" i="12"/>
  <c r="BA166" i="12" s="1"/>
  <c r="AZ114" i="12"/>
  <c r="AZ166" i="12" s="1"/>
  <c r="AY114" i="12"/>
  <c r="AY166" i="12" s="1"/>
  <c r="AX114" i="12"/>
  <c r="AX166" i="12" s="1"/>
  <c r="AW114" i="12"/>
  <c r="AW166" i="12" s="1"/>
  <c r="AV114" i="12"/>
  <c r="AV166" i="12" s="1"/>
  <c r="AU114" i="12"/>
  <c r="AU166" i="12" s="1"/>
  <c r="AT114" i="12"/>
  <c r="AT166" i="12" s="1"/>
  <c r="AS114" i="12"/>
  <c r="AS166" i="12" s="1"/>
  <c r="AR114" i="12"/>
  <c r="AR166" i="12" s="1"/>
  <c r="AQ114" i="12"/>
  <c r="AQ166" i="12" s="1"/>
  <c r="AP114" i="12"/>
  <c r="AP166" i="12" s="1"/>
  <c r="AO114" i="12"/>
  <c r="AO166" i="12" s="1"/>
  <c r="AN114" i="12"/>
  <c r="AN166" i="12" s="1"/>
  <c r="AM114" i="12"/>
  <c r="AM166" i="12" s="1"/>
  <c r="AL114" i="12"/>
  <c r="AL166" i="12" s="1"/>
  <c r="AK114" i="12"/>
  <c r="AK166" i="12" s="1"/>
  <c r="AJ114" i="12"/>
  <c r="AJ166" i="12" s="1"/>
  <c r="AI114" i="12"/>
  <c r="AI166" i="12" s="1"/>
  <c r="AH114" i="12"/>
  <c r="AH166" i="12" s="1"/>
  <c r="AG114" i="12"/>
  <c r="AG166" i="12" s="1"/>
  <c r="AF114" i="12"/>
  <c r="AF166" i="12" s="1"/>
  <c r="AE114" i="12"/>
  <c r="AE166" i="12" s="1"/>
  <c r="AD114" i="12"/>
  <c r="AD166" i="12" s="1"/>
  <c r="AC114" i="12"/>
  <c r="AC166" i="12" s="1"/>
  <c r="AB114" i="12"/>
  <c r="AB166" i="12" s="1"/>
  <c r="AA114" i="12"/>
  <c r="AA166" i="12" s="1"/>
  <c r="Z114" i="12"/>
  <c r="Z166" i="12" s="1"/>
  <c r="Y114" i="12"/>
  <c r="Y166" i="12" s="1"/>
  <c r="X114" i="12"/>
  <c r="X166" i="12" s="1"/>
  <c r="W114" i="12"/>
  <c r="W166" i="12" s="1"/>
  <c r="V114" i="12"/>
  <c r="V166" i="12" s="1"/>
  <c r="U114" i="12"/>
  <c r="U166" i="12" s="1"/>
  <c r="T114" i="12"/>
  <c r="T166" i="12" s="1"/>
  <c r="S114" i="12"/>
  <c r="S166" i="12" s="1"/>
  <c r="R114" i="12"/>
  <c r="R166" i="12" s="1"/>
  <c r="Q114" i="12"/>
  <c r="Q166" i="12" s="1"/>
  <c r="P114" i="12"/>
  <c r="P166" i="12" s="1"/>
  <c r="O114" i="12"/>
  <c r="O166" i="12" s="1"/>
  <c r="N114" i="12"/>
  <c r="N166" i="12" s="1"/>
  <c r="M114" i="12"/>
  <c r="M166" i="12" s="1"/>
  <c r="L114" i="12"/>
  <c r="L166" i="12" s="1"/>
  <c r="K114" i="12"/>
  <c r="K166" i="12" s="1"/>
  <c r="J114" i="12"/>
  <c r="J166" i="12" s="1"/>
  <c r="I114" i="12"/>
  <c r="I166" i="12" s="1"/>
  <c r="H114" i="12"/>
  <c r="H166" i="12" s="1"/>
  <c r="G114" i="12"/>
  <c r="G166" i="12" s="1"/>
  <c r="F114" i="12"/>
  <c r="F166" i="12" s="1"/>
  <c r="E114" i="12"/>
  <c r="E166" i="12" s="1"/>
  <c r="D114" i="12"/>
  <c r="D166" i="12" s="1"/>
  <c r="CX113" i="12"/>
  <c r="CX165" i="12" s="1"/>
  <c r="CW113" i="12"/>
  <c r="CW165" i="12" s="1"/>
  <c r="CV113" i="12"/>
  <c r="CV165" i="12" s="1"/>
  <c r="CU113" i="12"/>
  <c r="CU165" i="12" s="1"/>
  <c r="CT113" i="12"/>
  <c r="CT165" i="12" s="1"/>
  <c r="CS113" i="12"/>
  <c r="CS165" i="12" s="1"/>
  <c r="CR113" i="12"/>
  <c r="CR165" i="12" s="1"/>
  <c r="CQ113" i="12"/>
  <c r="CQ165" i="12" s="1"/>
  <c r="CP113" i="12"/>
  <c r="CP165" i="12" s="1"/>
  <c r="CO113" i="12"/>
  <c r="CO165" i="12" s="1"/>
  <c r="CN113" i="12"/>
  <c r="CN165" i="12" s="1"/>
  <c r="CM113" i="12"/>
  <c r="CM165" i="12" s="1"/>
  <c r="CL113" i="12"/>
  <c r="CL165" i="12" s="1"/>
  <c r="CK113" i="12"/>
  <c r="CK165" i="12" s="1"/>
  <c r="CJ113" i="12"/>
  <c r="CJ165" i="12" s="1"/>
  <c r="CI113" i="12"/>
  <c r="CI165" i="12" s="1"/>
  <c r="CH113" i="12"/>
  <c r="CH165" i="12" s="1"/>
  <c r="CG113" i="12"/>
  <c r="CG165" i="12" s="1"/>
  <c r="CF113" i="12"/>
  <c r="CF165" i="12" s="1"/>
  <c r="CE113" i="12"/>
  <c r="CE165" i="12" s="1"/>
  <c r="CD113" i="12"/>
  <c r="CD165" i="12" s="1"/>
  <c r="CC113" i="12"/>
  <c r="CC165" i="12" s="1"/>
  <c r="CB113" i="12"/>
  <c r="CB165" i="12" s="1"/>
  <c r="CA113" i="12"/>
  <c r="CA165" i="12" s="1"/>
  <c r="BZ113" i="12"/>
  <c r="BZ165" i="12" s="1"/>
  <c r="BY113" i="12"/>
  <c r="BY165" i="12" s="1"/>
  <c r="BX113" i="12"/>
  <c r="BX165" i="12" s="1"/>
  <c r="BW113" i="12"/>
  <c r="BW165" i="12" s="1"/>
  <c r="BV113" i="12"/>
  <c r="BV165" i="12" s="1"/>
  <c r="BU113" i="12"/>
  <c r="BU165" i="12" s="1"/>
  <c r="BT113" i="12"/>
  <c r="BT165" i="12" s="1"/>
  <c r="BS113" i="12"/>
  <c r="BS165" i="12" s="1"/>
  <c r="BR113" i="12"/>
  <c r="BR165" i="12" s="1"/>
  <c r="BQ113" i="12"/>
  <c r="BQ165" i="12" s="1"/>
  <c r="BP113" i="12"/>
  <c r="BP165" i="12" s="1"/>
  <c r="BO113" i="12"/>
  <c r="BO165" i="12" s="1"/>
  <c r="BN113" i="12"/>
  <c r="BN165" i="12" s="1"/>
  <c r="BM113" i="12"/>
  <c r="BM165" i="12" s="1"/>
  <c r="BL113" i="12"/>
  <c r="BL165" i="12" s="1"/>
  <c r="BK113" i="12"/>
  <c r="BK165" i="12" s="1"/>
  <c r="BJ113" i="12"/>
  <c r="BJ165" i="12" s="1"/>
  <c r="BI113" i="12"/>
  <c r="BI165" i="12" s="1"/>
  <c r="BH113" i="12"/>
  <c r="BH165" i="12" s="1"/>
  <c r="BG113" i="12"/>
  <c r="BG165" i="12" s="1"/>
  <c r="BF113" i="12"/>
  <c r="BF165" i="12" s="1"/>
  <c r="BE113" i="12"/>
  <c r="BE165" i="12" s="1"/>
  <c r="BD113" i="12"/>
  <c r="BD165" i="12" s="1"/>
  <c r="BC113" i="12"/>
  <c r="BC165" i="12" s="1"/>
  <c r="BB113" i="12"/>
  <c r="BB165" i="12" s="1"/>
  <c r="BA113" i="12"/>
  <c r="BA165" i="12" s="1"/>
  <c r="AZ113" i="12"/>
  <c r="AZ165" i="12" s="1"/>
  <c r="AY113" i="12"/>
  <c r="AY165" i="12" s="1"/>
  <c r="AX113" i="12"/>
  <c r="AX165" i="12" s="1"/>
  <c r="AW113" i="12"/>
  <c r="AW165" i="12" s="1"/>
  <c r="AV113" i="12"/>
  <c r="AV165" i="12" s="1"/>
  <c r="AU113" i="12"/>
  <c r="AU165" i="12" s="1"/>
  <c r="AT113" i="12"/>
  <c r="AT165" i="12" s="1"/>
  <c r="AS113" i="12"/>
  <c r="AS165" i="12" s="1"/>
  <c r="AR113" i="12"/>
  <c r="AR165" i="12" s="1"/>
  <c r="AQ113" i="12"/>
  <c r="AQ165" i="12" s="1"/>
  <c r="AP113" i="12"/>
  <c r="AP165" i="12" s="1"/>
  <c r="AO113" i="12"/>
  <c r="AO165" i="12" s="1"/>
  <c r="AN113" i="12"/>
  <c r="AN165" i="12" s="1"/>
  <c r="AM113" i="12"/>
  <c r="AM165" i="12" s="1"/>
  <c r="AL113" i="12"/>
  <c r="AL165" i="12" s="1"/>
  <c r="AK113" i="12"/>
  <c r="AK165" i="12" s="1"/>
  <c r="AJ113" i="12"/>
  <c r="AJ165" i="12" s="1"/>
  <c r="AI113" i="12"/>
  <c r="AI165" i="12" s="1"/>
  <c r="AH113" i="12"/>
  <c r="AH165" i="12" s="1"/>
  <c r="AG113" i="12"/>
  <c r="AG165" i="12" s="1"/>
  <c r="AF113" i="12"/>
  <c r="AF165" i="12" s="1"/>
  <c r="AE113" i="12"/>
  <c r="AE165" i="12" s="1"/>
  <c r="AD113" i="12"/>
  <c r="AD165" i="12" s="1"/>
  <c r="AC113" i="12"/>
  <c r="AC165" i="12" s="1"/>
  <c r="AB113" i="12"/>
  <c r="AB165" i="12" s="1"/>
  <c r="AA113" i="12"/>
  <c r="AA165" i="12" s="1"/>
  <c r="Z113" i="12"/>
  <c r="Z165" i="12" s="1"/>
  <c r="Y113" i="12"/>
  <c r="Y165" i="12" s="1"/>
  <c r="X113" i="12"/>
  <c r="X165" i="12" s="1"/>
  <c r="W113" i="12"/>
  <c r="W165" i="12" s="1"/>
  <c r="V113" i="12"/>
  <c r="V165" i="12" s="1"/>
  <c r="U113" i="12"/>
  <c r="U165" i="12" s="1"/>
  <c r="T113" i="12"/>
  <c r="T165" i="12" s="1"/>
  <c r="S113" i="12"/>
  <c r="S165" i="12" s="1"/>
  <c r="R113" i="12"/>
  <c r="R165" i="12" s="1"/>
  <c r="Q113" i="12"/>
  <c r="Q165" i="12" s="1"/>
  <c r="P113" i="12"/>
  <c r="P165" i="12" s="1"/>
  <c r="O113" i="12"/>
  <c r="O165" i="12" s="1"/>
  <c r="N113" i="12"/>
  <c r="N165" i="12" s="1"/>
  <c r="M113" i="12"/>
  <c r="M165" i="12" s="1"/>
  <c r="L113" i="12"/>
  <c r="L165" i="12" s="1"/>
  <c r="K113" i="12"/>
  <c r="K165" i="12" s="1"/>
  <c r="J113" i="12"/>
  <c r="J165" i="12" s="1"/>
  <c r="I113" i="12"/>
  <c r="I165" i="12" s="1"/>
  <c r="H113" i="12"/>
  <c r="H165" i="12" s="1"/>
  <c r="G113" i="12"/>
  <c r="G165" i="12" s="1"/>
  <c r="F113" i="12"/>
  <c r="F165" i="12" s="1"/>
  <c r="E113" i="12"/>
  <c r="E165" i="12" s="1"/>
  <c r="D113" i="12"/>
  <c r="D165" i="12" s="1"/>
  <c r="CX112" i="12"/>
  <c r="CX164" i="12" s="1"/>
  <c r="CW112" i="12"/>
  <c r="CW164" i="12" s="1"/>
  <c r="CV112" i="12"/>
  <c r="CV164" i="12" s="1"/>
  <c r="CU112" i="12"/>
  <c r="CU164" i="12" s="1"/>
  <c r="CT112" i="12"/>
  <c r="CT164" i="12" s="1"/>
  <c r="CS112" i="12"/>
  <c r="CS164" i="12" s="1"/>
  <c r="CR112" i="12"/>
  <c r="CR164" i="12" s="1"/>
  <c r="CQ112" i="12"/>
  <c r="CQ164" i="12" s="1"/>
  <c r="CP112" i="12"/>
  <c r="CP164" i="12" s="1"/>
  <c r="CO112" i="12"/>
  <c r="CO164" i="12" s="1"/>
  <c r="CN112" i="12"/>
  <c r="CN164" i="12" s="1"/>
  <c r="CM112" i="12"/>
  <c r="CM164" i="12" s="1"/>
  <c r="CL112" i="12"/>
  <c r="CL164" i="12" s="1"/>
  <c r="CK112" i="12"/>
  <c r="CK164" i="12" s="1"/>
  <c r="CJ112" i="12"/>
  <c r="CJ164" i="12" s="1"/>
  <c r="CI112" i="12"/>
  <c r="CI164" i="12" s="1"/>
  <c r="CH112" i="12"/>
  <c r="CH164" i="12" s="1"/>
  <c r="CG112" i="12"/>
  <c r="CG164" i="12" s="1"/>
  <c r="CF112" i="12"/>
  <c r="CF164" i="12" s="1"/>
  <c r="CE112" i="12"/>
  <c r="CE164" i="12" s="1"/>
  <c r="CD112" i="12"/>
  <c r="CD164" i="12" s="1"/>
  <c r="CC112" i="12"/>
  <c r="CC164" i="12" s="1"/>
  <c r="CB112" i="12"/>
  <c r="CB164" i="12" s="1"/>
  <c r="CA112" i="12"/>
  <c r="CA164" i="12" s="1"/>
  <c r="BZ112" i="12"/>
  <c r="BZ164" i="12" s="1"/>
  <c r="BY112" i="12"/>
  <c r="BY164" i="12" s="1"/>
  <c r="BX112" i="12"/>
  <c r="BX164" i="12" s="1"/>
  <c r="BW112" i="12"/>
  <c r="BW164" i="12" s="1"/>
  <c r="BV112" i="12"/>
  <c r="BV164" i="12" s="1"/>
  <c r="BU112" i="12"/>
  <c r="BU164" i="12" s="1"/>
  <c r="BT112" i="12"/>
  <c r="BT164" i="12" s="1"/>
  <c r="BS112" i="12"/>
  <c r="BS164" i="12" s="1"/>
  <c r="BR112" i="12"/>
  <c r="BR164" i="12" s="1"/>
  <c r="BQ112" i="12"/>
  <c r="BQ164" i="12" s="1"/>
  <c r="BP112" i="12"/>
  <c r="BP164" i="12" s="1"/>
  <c r="BO112" i="12"/>
  <c r="BO164" i="12" s="1"/>
  <c r="BN112" i="12"/>
  <c r="BN164" i="12" s="1"/>
  <c r="BM112" i="12"/>
  <c r="BM164" i="12" s="1"/>
  <c r="BL112" i="12"/>
  <c r="BL164" i="12" s="1"/>
  <c r="BK112" i="12"/>
  <c r="BK164" i="12" s="1"/>
  <c r="BJ112" i="12"/>
  <c r="BJ164" i="12" s="1"/>
  <c r="BI112" i="12"/>
  <c r="BI164" i="12" s="1"/>
  <c r="BH112" i="12"/>
  <c r="BH164" i="12" s="1"/>
  <c r="BG112" i="12"/>
  <c r="BG164" i="12" s="1"/>
  <c r="BF112" i="12"/>
  <c r="BF164" i="12" s="1"/>
  <c r="BE112" i="12"/>
  <c r="BE164" i="12" s="1"/>
  <c r="BD112" i="12"/>
  <c r="BD164" i="12" s="1"/>
  <c r="BC112" i="12"/>
  <c r="BC164" i="12" s="1"/>
  <c r="BB112" i="12"/>
  <c r="BB164" i="12" s="1"/>
  <c r="BA112" i="12"/>
  <c r="BA164" i="12" s="1"/>
  <c r="AZ112" i="12"/>
  <c r="AZ164" i="12" s="1"/>
  <c r="AY112" i="12"/>
  <c r="AY164" i="12" s="1"/>
  <c r="AX112" i="12"/>
  <c r="AX164" i="12" s="1"/>
  <c r="AW112" i="12"/>
  <c r="AW164" i="12" s="1"/>
  <c r="AV112" i="12"/>
  <c r="AV164" i="12" s="1"/>
  <c r="AU112" i="12"/>
  <c r="AU164" i="12" s="1"/>
  <c r="AT112" i="12"/>
  <c r="AT164" i="12" s="1"/>
  <c r="AS112" i="12"/>
  <c r="AS164" i="12" s="1"/>
  <c r="AR112" i="12"/>
  <c r="AR164" i="12" s="1"/>
  <c r="AQ112" i="12"/>
  <c r="AQ164" i="12" s="1"/>
  <c r="AP112" i="12"/>
  <c r="AP164" i="12" s="1"/>
  <c r="AO112" i="12"/>
  <c r="AO164" i="12" s="1"/>
  <c r="AN112" i="12"/>
  <c r="AN164" i="12" s="1"/>
  <c r="AM112" i="12"/>
  <c r="AM164" i="12" s="1"/>
  <c r="AL112" i="12"/>
  <c r="AL164" i="12" s="1"/>
  <c r="AK112" i="12"/>
  <c r="AK164" i="12" s="1"/>
  <c r="AJ112" i="12"/>
  <c r="AJ164" i="12" s="1"/>
  <c r="AI112" i="12"/>
  <c r="AI164" i="12" s="1"/>
  <c r="AH112" i="12"/>
  <c r="AH164" i="12" s="1"/>
  <c r="AG112" i="12"/>
  <c r="AG164" i="12" s="1"/>
  <c r="AF112" i="12"/>
  <c r="AF164" i="12" s="1"/>
  <c r="AE112" i="12"/>
  <c r="AE164" i="12" s="1"/>
  <c r="AD112" i="12"/>
  <c r="AD164" i="12" s="1"/>
  <c r="AC112" i="12"/>
  <c r="AC164" i="12" s="1"/>
  <c r="AB112" i="12"/>
  <c r="AB164" i="12" s="1"/>
  <c r="AA112" i="12"/>
  <c r="AA164" i="12" s="1"/>
  <c r="Z112" i="12"/>
  <c r="Z164" i="12" s="1"/>
  <c r="Y112" i="12"/>
  <c r="Y164" i="12" s="1"/>
  <c r="X112" i="12"/>
  <c r="X164" i="12" s="1"/>
  <c r="W112" i="12"/>
  <c r="W164" i="12" s="1"/>
  <c r="V112" i="12"/>
  <c r="V164" i="12" s="1"/>
  <c r="U112" i="12"/>
  <c r="U164" i="12" s="1"/>
  <c r="T112" i="12"/>
  <c r="T164" i="12" s="1"/>
  <c r="S112" i="12"/>
  <c r="S164" i="12" s="1"/>
  <c r="R112" i="12"/>
  <c r="R164" i="12" s="1"/>
  <c r="Q112" i="12"/>
  <c r="Q164" i="12" s="1"/>
  <c r="P112" i="12"/>
  <c r="P164" i="12" s="1"/>
  <c r="O112" i="12"/>
  <c r="O164" i="12" s="1"/>
  <c r="N112" i="12"/>
  <c r="N164" i="12" s="1"/>
  <c r="M112" i="12"/>
  <c r="M164" i="12" s="1"/>
  <c r="L112" i="12"/>
  <c r="L164" i="12" s="1"/>
  <c r="K112" i="12"/>
  <c r="K164" i="12" s="1"/>
  <c r="J112" i="12"/>
  <c r="J164" i="12" s="1"/>
  <c r="I112" i="12"/>
  <c r="I164" i="12" s="1"/>
  <c r="H112" i="12"/>
  <c r="H164" i="12" s="1"/>
  <c r="G112" i="12"/>
  <c r="G164" i="12" s="1"/>
  <c r="F112" i="12"/>
  <c r="F164" i="12" s="1"/>
  <c r="E112" i="12"/>
  <c r="E164" i="12" s="1"/>
  <c r="D112" i="12"/>
  <c r="D164" i="12" s="1"/>
  <c r="CX111" i="12"/>
  <c r="CX163" i="12" s="1"/>
  <c r="CW111" i="12"/>
  <c r="CW163" i="12" s="1"/>
  <c r="CV111" i="12"/>
  <c r="CV163" i="12" s="1"/>
  <c r="CU111" i="12"/>
  <c r="CU163" i="12" s="1"/>
  <c r="CT111" i="12"/>
  <c r="CT163" i="12" s="1"/>
  <c r="CS111" i="12"/>
  <c r="CS163" i="12" s="1"/>
  <c r="CR111" i="12"/>
  <c r="CR163" i="12" s="1"/>
  <c r="CQ111" i="12"/>
  <c r="CQ163" i="12" s="1"/>
  <c r="CP111" i="12"/>
  <c r="CP163" i="12" s="1"/>
  <c r="CO111" i="12"/>
  <c r="CO163" i="12" s="1"/>
  <c r="CN111" i="12"/>
  <c r="CN163" i="12" s="1"/>
  <c r="CM111" i="12"/>
  <c r="CM163" i="12" s="1"/>
  <c r="CL111" i="12"/>
  <c r="CL163" i="12" s="1"/>
  <c r="CK111" i="12"/>
  <c r="CK163" i="12" s="1"/>
  <c r="CJ111" i="12"/>
  <c r="CJ163" i="12" s="1"/>
  <c r="CI111" i="12"/>
  <c r="CI163" i="12" s="1"/>
  <c r="CH111" i="12"/>
  <c r="CH163" i="12" s="1"/>
  <c r="CG111" i="12"/>
  <c r="CG163" i="12" s="1"/>
  <c r="CF111" i="12"/>
  <c r="CF163" i="12" s="1"/>
  <c r="CE111" i="12"/>
  <c r="CE163" i="12" s="1"/>
  <c r="CD111" i="12"/>
  <c r="CD163" i="12" s="1"/>
  <c r="CC111" i="12"/>
  <c r="CC163" i="12" s="1"/>
  <c r="CB111" i="12"/>
  <c r="CB163" i="12" s="1"/>
  <c r="CA111" i="12"/>
  <c r="CA163" i="12" s="1"/>
  <c r="BZ111" i="12"/>
  <c r="BZ163" i="12" s="1"/>
  <c r="BY111" i="12"/>
  <c r="BY163" i="12" s="1"/>
  <c r="BX111" i="12"/>
  <c r="BX163" i="12" s="1"/>
  <c r="BW111" i="12"/>
  <c r="BW163" i="12" s="1"/>
  <c r="BV111" i="12"/>
  <c r="BV163" i="12" s="1"/>
  <c r="BU111" i="12"/>
  <c r="BU163" i="12" s="1"/>
  <c r="BT111" i="12"/>
  <c r="BT163" i="12" s="1"/>
  <c r="BS111" i="12"/>
  <c r="BS163" i="12" s="1"/>
  <c r="BR111" i="12"/>
  <c r="BR163" i="12" s="1"/>
  <c r="BQ111" i="12"/>
  <c r="BQ163" i="12" s="1"/>
  <c r="BP111" i="12"/>
  <c r="BP163" i="12" s="1"/>
  <c r="BO111" i="12"/>
  <c r="BO163" i="12" s="1"/>
  <c r="BN111" i="12"/>
  <c r="BN163" i="12" s="1"/>
  <c r="BM111" i="12"/>
  <c r="BM163" i="12" s="1"/>
  <c r="BL111" i="12"/>
  <c r="BL163" i="12" s="1"/>
  <c r="BK111" i="12"/>
  <c r="BK163" i="12" s="1"/>
  <c r="BJ111" i="12"/>
  <c r="BJ163" i="12" s="1"/>
  <c r="BI111" i="12"/>
  <c r="BI163" i="12" s="1"/>
  <c r="BH111" i="12"/>
  <c r="BH163" i="12" s="1"/>
  <c r="BG111" i="12"/>
  <c r="BG163" i="12" s="1"/>
  <c r="BF111" i="12"/>
  <c r="BF163" i="12" s="1"/>
  <c r="BE111" i="12"/>
  <c r="BE163" i="12" s="1"/>
  <c r="BD111" i="12"/>
  <c r="BD163" i="12" s="1"/>
  <c r="BC111" i="12"/>
  <c r="BC163" i="12" s="1"/>
  <c r="BB111" i="12"/>
  <c r="BB163" i="12" s="1"/>
  <c r="BA111" i="12"/>
  <c r="BA163" i="12" s="1"/>
  <c r="AZ111" i="12"/>
  <c r="AZ163" i="12" s="1"/>
  <c r="AY111" i="12"/>
  <c r="AY163" i="12" s="1"/>
  <c r="AX111" i="12"/>
  <c r="AX163" i="12" s="1"/>
  <c r="AW111" i="12"/>
  <c r="AW163" i="12" s="1"/>
  <c r="AV111" i="12"/>
  <c r="AV163" i="12" s="1"/>
  <c r="AU111" i="12"/>
  <c r="AU163" i="12" s="1"/>
  <c r="AT111" i="12"/>
  <c r="AT163" i="12" s="1"/>
  <c r="AS111" i="12"/>
  <c r="AS163" i="12" s="1"/>
  <c r="AR111" i="12"/>
  <c r="AR163" i="12" s="1"/>
  <c r="AQ111" i="12"/>
  <c r="AQ163" i="12" s="1"/>
  <c r="AP111" i="12"/>
  <c r="AP163" i="12" s="1"/>
  <c r="AO111" i="12"/>
  <c r="AO163" i="12" s="1"/>
  <c r="AN111" i="12"/>
  <c r="AN163" i="12" s="1"/>
  <c r="AM111" i="12"/>
  <c r="AM163" i="12" s="1"/>
  <c r="AL111" i="12"/>
  <c r="AL163" i="12" s="1"/>
  <c r="AK111" i="12"/>
  <c r="AK163" i="12" s="1"/>
  <c r="AJ111" i="12"/>
  <c r="AJ163" i="12" s="1"/>
  <c r="AI111" i="12"/>
  <c r="AI163" i="12" s="1"/>
  <c r="AH111" i="12"/>
  <c r="AH163" i="12" s="1"/>
  <c r="AG111" i="12"/>
  <c r="AG163" i="12" s="1"/>
  <c r="AF111" i="12"/>
  <c r="AF163" i="12" s="1"/>
  <c r="AE111" i="12"/>
  <c r="AE163" i="12" s="1"/>
  <c r="AD111" i="12"/>
  <c r="AD163" i="12" s="1"/>
  <c r="AC111" i="12"/>
  <c r="AC163" i="12" s="1"/>
  <c r="AB111" i="12"/>
  <c r="AB163" i="12" s="1"/>
  <c r="AA111" i="12"/>
  <c r="AA163" i="12" s="1"/>
  <c r="Z111" i="12"/>
  <c r="Z163" i="12" s="1"/>
  <c r="Y111" i="12"/>
  <c r="Y163" i="12" s="1"/>
  <c r="X111" i="12"/>
  <c r="X163" i="12" s="1"/>
  <c r="W111" i="12"/>
  <c r="W163" i="12" s="1"/>
  <c r="V111" i="12"/>
  <c r="V163" i="12" s="1"/>
  <c r="U111" i="12"/>
  <c r="U163" i="12" s="1"/>
  <c r="T111" i="12"/>
  <c r="T163" i="12" s="1"/>
  <c r="S111" i="12"/>
  <c r="S163" i="12" s="1"/>
  <c r="R111" i="12"/>
  <c r="R163" i="12" s="1"/>
  <c r="Q111" i="12"/>
  <c r="Q163" i="12" s="1"/>
  <c r="P111" i="12"/>
  <c r="P163" i="12" s="1"/>
  <c r="O111" i="12"/>
  <c r="O163" i="12" s="1"/>
  <c r="N111" i="12"/>
  <c r="N163" i="12" s="1"/>
  <c r="M111" i="12"/>
  <c r="M163" i="12" s="1"/>
  <c r="L111" i="12"/>
  <c r="L163" i="12" s="1"/>
  <c r="K111" i="12"/>
  <c r="K163" i="12" s="1"/>
  <c r="J111" i="12"/>
  <c r="J163" i="12" s="1"/>
  <c r="I111" i="12"/>
  <c r="I163" i="12" s="1"/>
  <c r="H111" i="12"/>
  <c r="H163" i="12" s="1"/>
  <c r="G111" i="12"/>
  <c r="G163" i="12" s="1"/>
  <c r="F111" i="12"/>
  <c r="F163" i="12" s="1"/>
  <c r="E111" i="12"/>
  <c r="E163" i="12" s="1"/>
  <c r="D111" i="12"/>
  <c r="D163" i="12" s="1"/>
  <c r="CX110" i="12"/>
  <c r="CX162" i="12" s="1"/>
  <c r="CW110" i="12"/>
  <c r="CW162" i="12" s="1"/>
  <c r="CV110" i="12"/>
  <c r="CV162" i="12" s="1"/>
  <c r="CU110" i="12"/>
  <c r="CU162" i="12" s="1"/>
  <c r="CT110" i="12"/>
  <c r="CT162" i="12" s="1"/>
  <c r="CS110" i="12"/>
  <c r="CS162" i="12" s="1"/>
  <c r="CR110" i="12"/>
  <c r="CR162" i="12" s="1"/>
  <c r="CQ110" i="12"/>
  <c r="CQ162" i="12" s="1"/>
  <c r="CP110" i="12"/>
  <c r="CP162" i="12" s="1"/>
  <c r="CO110" i="12"/>
  <c r="CO162" i="12" s="1"/>
  <c r="CN110" i="12"/>
  <c r="CN162" i="12" s="1"/>
  <c r="CM110" i="12"/>
  <c r="CM162" i="12" s="1"/>
  <c r="CL110" i="12"/>
  <c r="CL162" i="12" s="1"/>
  <c r="CK110" i="12"/>
  <c r="CK162" i="12" s="1"/>
  <c r="CJ110" i="12"/>
  <c r="CJ162" i="12" s="1"/>
  <c r="CI110" i="12"/>
  <c r="CI162" i="12" s="1"/>
  <c r="CH110" i="12"/>
  <c r="CH162" i="12" s="1"/>
  <c r="CG110" i="12"/>
  <c r="CG162" i="12" s="1"/>
  <c r="CF110" i="12"/>
  <c r="CF162" i="12" s="1"/>
  <c r="CE110" i="12"/>
  <c r="CE162" i="12" s="1"/>
  <c r="CD110" i="12"/>
  <c r="CD162" i="12" s="1"/>
  <c r="CC110" i="12"/>
  <c r="CC162" i="12" s="1"/>
  <c r="CB110" i="12"/>
  <c r="CB162" i="12" s="1"/>
  <c r="CA110" i="12"/>
  <c r="CA162" i="12" s="1"/>
  <c r="BZ110" i="12"/>
  <c r="BZ162" i="12" s="1"/>
  <c r="BY110" i="12"/>
  <c r="BY162" i="12" s="1"/>
  <c r="BX110" i="12"/>
  <c r="BX162" i="12" s="1"/>
  <c r="BW110" i="12"/>
  <c r="BW162" i="12" s="1"/>
  <c r="BV110" i="12"/>
  <c r="BV162" i="12" s="1"/>
  <c r="BU110" i="12"/>
  <c r="BU162" i="12" s="1"/>
  <c r="BT110" i="12"/>
  <c r="BT162" i="12" s="1"/>
  <c r="BS110" i="12"/>
  <c r="BS162" i="12" s="1"/>
  <c r="BR110" i="12"/>
  <c r="BR162" i="12" s="1"/>
  <c r="BQ110" i="12"/>
  <c r="BQ162" i="12" s="1"/>
  <c r="BP110" i="12"/>
  <c r="BP162" i="12" s="1"/>
  <c r="BO110" i="12"/>
  <c r="BO162" i="12" s="1"/>
  <c r="BN110" i="12"/>
  <c r="BN162" i="12" s="1"/>
  <c r="BM110" i="12"/>
  <c r="BM162" i="12" s="1"/>
  <c r="BL110" i="12"/>
  <c r="BL162" i="12" s="1"/>
  <c r="BK110" i="12"/>
  <c r="BK162" i="12" s="1"/>
  <c r="BJ110" i="12"/>
  <c r="BJ162" i="12" s="1"/>
  <c r="BI110" i="12"/>
  <c r="BI162" i="12" s="1"/>
  <c r="BH110" i="12"/>
  <c r="BH162" i="12" s="1"/>
  <c r="BG110" i="12"/>
  <c r="BG162" i="12" s="1"/>
  <c r="BF110" i="12"/>
  <c r="BF162" i="12" s="1"/>
  <c r="BE110" i="12"/>
  <c r="BE162" i="12" s="1"/>
  <c r="BD110" i="12"/>
  <c r="BD162" i="12" s="1"/>
  <c r="BC110" i="12"/>
  <c r="BC162" i="12" s="1"/>
  <c r="BB110" i="12"/>
  <c r="BB162" i="12" s="1"/>
  <c r="BA110" i="12"/>
  <c r="BA162" i="12" s="1"/>
  <c r="AZ110" i="12"/>
  <c r="AZ162" i="12" s="1"/>
  <c r="AY110" i="12"/>
  <c r="AY162" i="12" s="1"/>
  <c r="AX110" i="12"/>
  <c r="AX162" i="12" s="1"/>
  <c r="AW110" i="12"/>
  <c r="AW162" i="12" s="1"/>
  <c r="AV110" i="12"/>
  <c r="AV162" i="12" s="1"/>
  <c r="AU110" i="12"/>
  <c r="AU162" i="12" s="1"/>
  <c r="AT110" i="12"/>
  <c r="AT162" i="12" s="1"/>
  <c r="AS110" i="12"/>
  <c r="AS162" i="12" s="1"/>
  <c r="AR110" i="12"/>
  <c r="AR162" i="12" s="1"/>
  <c r="AQ110" i="12"/>
  <c r="AQ162" i="12" s="1"/>
  <c r="AP110" i="12"/>
  <c r="AP162" i="12" s="1"/>
  <c r="AO110" i="12"/>
  <c r="AO162" i="12" s="1"/>
  <c r="AN110" i="12"/>
  <c r="AN162" i="12" s="1"/>
  <c r="AM110" i="12"/>
  <c r="AM162" i="12" s="1"/>
  <c r="AL110" i="12"/>
  <c r="AL162" i="12" s="1"/>
  <c r="AK110" i="12"/>
  <c r="AK162" i="12" s="1"/>
  <c r="AJ110" i="12"/>
  <c r="AJ162" i="12" s="1"/>
  <c r="AI110" i="12"/>
  <c r="AI162" i="12" s="1"/>
  <c r="AH110" i="12"/>
  <c r="AH162" i="12" s="1"/>
  <c r="AG110" i="12"/>
  <c r="AG162" i="12" s="1"/>
  <c r="AF110" i="12"/>
  <c r="AF162" i="12" s="1"/>
  <c r="AE110" i="12"/>
  <c r="AE162" i="12" s="1"/>
  <c r="AD110" i="12"/>
  <c r="AD162" i="12" s="1"/>
  <c r="AC110" i="12"/>
  <c r="AC162" i="12" s="1"/>
  <c r="AB110" i="12"/>
  <c r="AB162" i="12" s="1"/>
  <c r="AA110" i="12"/>
  <c r="AA162" i="12" s="1"/>
  <c r="Z110" i="12"/>
  <c r="Z162" i="12" s="1"/>
  <c r="Y110" i="12"/>
  <c r="Y162" i="12" s="1"/>
  <c r="X110" i="12"/>
  <c r="X162" i="12" s="1"/>
  <c r="W110" i="12"/>
  <c r="W162" i="12" s="1"/>
  <c r="V110" i="12"/>
  <c r="V162" i="12" s="1"/>
  <c r="U110" i="12"/>
  <c r="U162" i="12" s="1"/>
  <c r="T110" i="12"/>
  <c r="T162" i="12" s="1"/>
  <c r="S110" i="12"/>
  <c r="S162" i="12" s="1"/>
  <c r="R110" i="12"/>
  <c r="R162" i="12" s="1"/>
  <c r="Q110" i="12"/>
  <c r="Q162" i="12" s="1"/>
  <c r="P110" i="12"/>
  <c r="P162" i="12" s="1"/>
  <c r="O110" i="12"/>
  <c r="O162" i="12" s="1"/>
  <c r="N110" i="12"/>
  <c r="N162" i="12" s="1"/>
  <c r="M110" i="12"/>
  <c r="M162" i="12" s="1"/>
  <c r="L110" i="12"/>
  <c r="L162" i="12" s="1"/>
  <c r="K110" i="12"/>
  <c r="K162" i="12" s="1"/>
  <c r="J110" i="12"/>
  <c r="J162" i="12" s="1"/>
  <c r="I110" i="12"/>
  <c r="I162" i="12" s="1"/>
  <c r="H110" i="12"/>
  <c r="H162" i="12" s="1"/>
  <c r="G110" i="12"/>
  <c r="G162" i="12" s="1"/>
  <c r="F110" i="12"/>
  <c r="F162" i="12" s="1"/>
  <c r="E110" i="12"/>
  <c r="E162" i="12" s="1"/>
  <c r="D110" i="12"/>
  <c r="D162" i="12" s="1"/>
  <c r="CX63" i="12"/>
  <c r="CX90" i="12" s="1"/>
  <c r="CW63" i="12"/>
  <c r="CW90" i="12" s="1"/>
  <c r="CV63" i="12"/>
  <c r="CV90" i="12" s="1"/>
  <c r="CU63" i="12"/>
  <c r="CU90" i="12" s="1"/>
  <c r="CT63" i="12"/>
  <c r="CT90" i="12" s="1"/>
  <c r="CS63" i="12"/>
  <c r="CS90" i="12" s="1"/>
  <c r="CR63" i="12"/>
  <c r="CR90" i="12" s="1"/>
  <c r="CQ63" i="12"/>
  <c r="CQ90" i="12" s="1"/>
  <c r="CP63" i="12"/>
  <c r="CP90" i="12" s="1"/>
  <c r="CO63" i="12"/>
  <c r="CO90" i="12" s="1"/>
  <c r="CN63" i="12"/>
  <c r="CN90" i="12" s="1"/>
  <c r="CM63" i="12"/>
  <c r="CM90" i="12" s="1"/>
  <c r="CL63" i="12"/>
  <c r="CL90" i="12" s="1"/>
  <c r="CK63" i="12"/>
  <c r="CK90" i="12" s="1"/>
  <c r="CJ63" i="12"/>
  <c r="CJ90" i="12" s="1"/>
  <c r="CI63" i="12"/>
  <c r="CI90" i="12" s="1"/>
  <c r="CH63" i="12"/>
  <c r="CH90" i="12" s="1"/>
  <c r="CG63" i="12"/>
  <c r="CG90" i="12" s="1"/>
  <c r="CF63" i="12"/>
  <c r="CF90" i="12" s="1"/>
  <c r="CE63" i="12"/>
  <c r="CE90" i="12" s="1"/>
  <c r="CD63" i="12"/>
  <c r="CD90" i="12" s="1"/>
  <c r="CC63" i="12"/>
  <c r="CC90" i="12" s="1"/>
  <c r="CB63" i="12"/>
  <c r="CB90" i="12" s="1"/>
  <c r="CA63" i="12"/>
  <c r="CA90" i="12" s="1"/>
  <c r="BZ63" i="12"/>
  <c r="BZ90" i="12" s="1"/>
  <c r="BY63" i="12"/>
  <c r="BY90" i="12" s="1"/>
  <c r="BX63" i="12"/>
  <c r="BX90" i="12" s="1"/>
  <c r="BW63" i="12"/>
  <c r="BW90" i="12" s="1"/>
  <c r="BV63" i="12"/>
  <c r="BV90" i="12" s="1"/>
  <c r="BU63" i="12"/>
  <c r="BU90" i="12" s="1"/>
  <c r="BT63" i="12"/>
  <c r="BT90" i="12" s="1"/>
  <c r="BS63" i="12"/>
  <c r="BS90" i="12" s="1"/>
  <c r="BR63" i="12"/>
  <c r="BR90" i="12" s="1"/>
  <c r="BQ63" i="12"/>
  <c r="BQ90" i="12" s="1"/>
  <c r="BP63" i="12"/>
  <c r="BP90" i="12" s="1"/>
  <c r="BO63" i="12"/>
  <c r="BO90" i="12" s="1"/>
  <c r="BN63" i="12"/>
  <c r="BN90" i="12" s="1"/>
  <c r="BM63" i="12"/>
  <c r="BM90" i="12" s="1"/>
  <c r="BL63" i="12"/>
  <c r="BL90" i="12" s="1"/>
  <c r="BK63" i="12"/>
  <c r="BK90" i="12" s="1"/>
  <c r="BJ63" i="12"/>
  <c r="BJ90" i="12" s="1"/>
  <c r="BI63" i="12"/>
  <c r="BI90" i="12" s="1"/>
  <c r="BH63" i="12"/>
  <c r="BH90" i="12" s="1"/>
  <c r="BG63" i="12"/>
  <c r="BG90" i="12" s="1"/>
  <c r="BF63" i="12"/>
  <c r="BF90" i="12" s="1"/>
  <c r="BE63" i="12"/>
  <c r="BE90" i="12" s="1"/>
  <c r="BD63" i="12"/>
  <c r="BD90" i="12" s="1"/>
  <c r="BC63" i="12"/>
  <c r="BC90" i="12" s="1"/>
  <c r="BB63" i="12"/>
  <c r="BB90" i="12" s="1"/>
  <c r="BA63" i="12"/>
  <c r="BA90" i="12" s="1"/>
  <c r="AZ63" i="12"/>
  <c r="AZ90" i="12" s="1"/>
  <c r="AY63" i="12"/>
  <c r="AY90" i="12" s="1"/>
  <c r="AX63" i="12"/>
  <c r="AX90" i="12" s="1"/>
  <c r="AW63" i="12"/>
  <c r="AW90" i="12" s="1"/>
  <c r="AV63" i="12"/>
  <c r="AV90" i="12" s="1"/>
  <c r="AU63" i="12"/>
  <c r="AU90" i="12" s="1"/>
  <c r="AT63" i="12"/>
  <c r="AT90" i="12" s="1"/>
  <c r="AS63" i="12"/>
  <c r="AS90" i="12" s="1"/>
  <c r="AR63" i="12"/>
  <c r="AR90" i="12" s="1"/>
  <c r="AQ63" i="12"/>
  <c r="AQ90" i="12" s="1"/>
  <c r="AP63" i="12"/>
  <c r="AP90" i="12" s="1"/>
  <c r="AO63" i="12"/>
  <c r="AO90" i="12" s="1"/>
  <c r="AN63" i="12"/>
  <c r="AN90" i="12" s="1"/>
  <c r="AM63" i="12"/>
  <c r="AM90" i="12" s="1"/>
  <c r="AL63" i="12"/>
  <c r="AL90" i="12" s="1"/>
  <c r="AK63" i="12"/>
  <c r="AK90" i="12" s="1"/>
  <c r="AJ63" i="12"/>
  <c r="AJ90" i="12" s="1"/>
  <c r="AI63" i="12"/>
  <c r="AI90" i="12" s="1"/>
  <c r="AH63" i="12"/>
  <c r="AH90" i="12" s="1"/>
  <c r="AG63" i="12"/>
  <c r="AG90" i="12" s="1"/>
  <c r="AF63" i="12"/>
  <c r="AF90" i="12" s="1"/>
  <c r="AE63" i="12"/>
  <c r="AE90" i="12" s="1"/>
  <c r="AD63" i="12"/>
  <c r="AD90" i="12" s="1"/>
  <c r="AC63" i="12"/>
  <c r="AC90" i="12" s="1"/>
  <c r="AB63" i="12"/>
  <c r="AB90" i="12" s="1"/>
  <c r="AA63" i="12"/>
  <c r="AA90" i="12" s="1"/>
  <c r="Z63" i="12"/>
  <c r="Z90" i="12" s="1"/>
  <c r="Y63" i="12"/>
  <c r="Y90" i="12" s="1"/>
  <c r="X63" i="12"/>
  <c r="X90" i="12" s="1"/>
  <c r="W63" i="12"/>
  <c r="W90" i="12" s="1"/>
  <c r="V63" i="12"/>
  <c r="V90" i="12" s="1"/>
  <c r="U63" i="12"/>
  <c r="U90" i="12" s="1"/>
  <c r="T63" i="12"/>
  <c r="T90" i="12" s="1"/>
  <c r="S63" i="12"/>
  <c r="S90" i="12" s="1"/>
  <c r="R63" i="12"/>
  <c r="R90" i="12" s="1"/>
  <c r="Q63" i="12"/>
  <c r="Q90" i="12" s="1"/>
  <c r="P63" i="12"/>
  <c r="P90" i="12" s="1"/>
  <c r="O63" i="12"/>
  <c r="O90" i="12" s="1"/>
  <c r="N63" i="12"/>
  <c r="N90" i="12" s="1"/>
  <c r="M63" i="12"/>
  <c r="M90" i="12" s="1"/>
  <c r="L63" i="12"/>
  <c r="L90" i="12" s="1"/>
  <c r="K63" i="12"/>
  <c r="K90" i="12" s="1"/>
  <c r="J63" i="12"/>
  <c r="J90" i="12" s="1"/>
  <c r="I63" i="12"/>
  <c r="I90" i="12" s="1"/>
  <c r="H63" i="12"/>
  <c r="H90" i="12" s="1"/>
  <c r="G63" i="12"/>
  <c r="G90" i="12" s="1"/>
  <c r="F63" i="12"/>
  <c r="F90" i="12" s="1"/>
  <c r="E63" i="12"/>
  <c r="E90" i="12" s="1"/>
  <c r="D63" i="12"/>
  <c r="D90" i="12" s="1"/>
  <c r="CX62" i="12"/>
  <c r="CX89" i="12" s="1"/>
  <c r="CW62" i="12"/>
  <c r="CW89" i="12" s="1"/>
  <c r="CV62" i="12"/>
  <c r="CV89" i="12" s="1"/>
  <c r="CU62" i="12"/>
  <c r="CU89" i="12" s="1"/>
  <c r="CT62" i="12"/>
  <c r="CT89" i="12" s="1"/>
  <c r="CS62" i="12"/>
  <c r="CS89" i="12" s="1"/>
  <c r="CR62" i="12"/>
  <c r="CR89" i="12" s="1"/>
  <c r="CQ62" i="12"/>
  <c r="CQ89" i="12" s="1"/>
  <c r="CP62" i="12"/>
  <c r="CP89" i="12" s="1"/>
  <c r="CO62" i="12"/>
  <c r="CO89" i="12" s="1"/>
  <c r="CN62" i="12"/>
  <c r="CN89" i="12" s="1"/>
  <c r="CM62" i="12"/>
  <c r="CM89" i="12" s="1"/>
  <c r="CL62" i="12"/>
  <c r="CL89" i="12" s="1"/>
  <c r="CK62" i="12"/>
  <c r="CK89" i="12" s="1"/>
  <c r="CJ62" i="12"/>
  <c r="CJ89" i="12" s="1"/>
  <c r="CI62" i="12"/>
  <c r="CI89" i="12" s="1"/>
  <c r="CH62" i="12"/>
  <c r="CH89" i="12" s="1"/>
  <c r="CG62" i="12"/>
  <c r="CG89" i="12" s="1"/>
  <c r="CF62" i="12"/>
  <c r="CF89" i="12" s="1"/>
  <c r="CE62" i="12"/>
  <c r="CE89" i="12" s="1"/>
  <c r="CD62" i="12"/>
  <c r="CD89" i="12" s="1"/>
  <c r="CC62" i="12"/>
  <c r="CC89" i="12" s="1"/>
  <c r="CB62" i="12"/>
  <c r="CB89" i="12" s="1"/>
  <c r="CA62" i="12"/>
  <c r="CA89" i="12" s="1"/>
  <c r="BZ62" i="12"/>
  <c r="BZ89" i="12" s="1"/>
  <c r="BY62" i="12"/>
  <c r="BY89" i="12" s="1"/>
  <c r="BX62" i="12"/>
  <c r="BX89" i="12" s="1"/>
  <c r="BW62" i="12"/>
  <c r="BW89" i="12" s="1"/>
  <c r="BV62" i="12"/>
  <c r="BV89" i="12" s="1"/>
  <c r="BU62" i="12"/>
  <c r="BU89" i="12" s="1"/>
  <c r="BT62" i="12"/>
  <c r="BT89" i="12" s="1"/>
  <c r="BS62" i="12"/>
  <c r="BS89" i="12" s="1"/>
  <c r="BR62" i="12"/>
  <c r="BR89" i="12" s="1"/>
  <c r="BQ62" i="12"/>
  <c r="BQ89" i="12" s="1"/>
  <c r="BP62" i="12"/>
  <c r="BP89" i="12" s="1"/>
  <c r="BO62" i="12"/>
  <c r="BO89" i="12" s="1"/>
  <c r="BN62" i="12"/>
  <c r="BN89" i="12" s="1"/>
  <c r="BM62" i="12"/>
  <c r="BM89" i="12" s="1"/>
  <c r="BL62" i="12"/>
  <c r="BL89" i="12" s="1"/>
  <c r="BK62" i="12"/>
  <c r="BK89" i="12" s="1"/>
  <c r="BJ62" i="12"/>
  <c r="BJ89" i="12" s="1"/>
  <c r="BI62" i="12"/>
  <c r="BI89" i="12" s="1"/>
  <c r="BH62" i="12"/>
  <c r="BH89" i="12" s="1"/>
  <c r="BG62" i="12"/>
  <c r="BG89" i="12" s="1"/>
  <c r="BF62" i="12"/>
  <c r="BF89" i="12" s="1"/>
  <c r="BE62" i="12"/>
  <c r="BE89" i="12" s="1"/>
  <c r="BD62" i="12"/>
  <c r="BD89" i="12" s="1"/>
  <c r="BC62" i="12"/>
  <c r="BC89" i="12" s="1"/>
  <c r="BB62" i="12"/>
  <c r="BB89" i="12" s="1"/>
  <c r="BA62" i="12"/>
  <c r="BA89" i="12" s="1"/>
  <c r="AZ62" i="12"/>
  <c r="AZ89" i="12" s="1"/>
  <c r="AY62" i="12"/>
  <c r="AY89" i="12" s="1"/>
  <c r="AX62" i="12"/>
  <c r="AX89" i="12" s="1"/>
  <c r="AW62" i="12"/>
  <c r="AW89" i="12" s="1"/>
  <c r="AV62" i="12"/>
  <c r="AV89" i="12" s="1"/>
  <c r="AU62" i="12"/>
  <c r="AU89" i="12" s="1"/>
  <c r="AT62" i="12"/>
  <c r="AT89" i="12" s="1"/>
  <c r="AS62" i="12"/>
  <c r="AS89" i="12" s="1"/>
  <c r="AR62" i="12"/>
  <c r="AR89" i="12" s="1"/>
  <c r="AQ62" i="12"/>
  <c r="AQ89" i="12" s="1"/>
  <c r="AP62" i="12"/>
  <c r="AP89" i="12" s="1"/>
  <c r="AO62" i="12"/>
  <c r="AO89" i="12" s="1"/>
  <c r="AN62" i="12"/>
  <c r="AN89" i="12" s="1"/>
  <c r="AM62" i="12"/>
  <c r="AM89" i="12" s="1"/>
  <c r="AL62" i="12"/>
  <c r="AL89" i="12" s="1"/>
  <c r="AK62" i="12"/>
  <c r="AK89" i="12" s="1"/>
  <c r="AJ62" i="12"/>
  <c r="AJ89" i="12" s="1"/>
  <c r="AI62" i="12"/>
  <c r="AI89" i="12" s="1"/>
  <c r="AH62" i="12"/>
  <c r="AH89" i="12" s="1"/>
  <c r="AG62" i="12"/>
  <c r="AG89" i="12" s="1"/>
  <c r="AF62" i="12"/>
  <c r="AF89" i="12" s="1"/>
  <c r="AE62" i="12"/>
  <c r="AE89" i="12" s="1"/>
  <c r="AD62" i="12"/>
  <c r="AD89" i="12" s="1"/>
  <c r="AC62" i="12"/>
  <c r="AC89" i="12" s="1"/>
  <c r="AB62" i="12"/>
  <c r="AB89" i="12" s="1"/>
  <c r="AA62" i="12"/>
  <c r="AA89" i="12" s="1"/>
  <c r="Z62" i="12"/>
  <c r="Z89" i="12" s="1"/>
  <c r="Y62" i="12"/>
  <c r="Y89" i="12" s="1"/>
  <c r="X62" i="12"/>
  <c r="X89" i="12" s="1"/>
  <c r="W62" i="12"/>
  <c r="W89" i="12" s="1"/>
  <c r="V62" i="12"/>
  <c r="V89" i="12" s="1"/>
  <c r="U62" i="12"/>
  <c r="U89" i="12" s="1"/>
  <c r="T62" i="12"/>
  <c r="T89" i="12" s="1"/>
  <c r="S62" i="12"/>
  <c r="S89" i="12" s="1"/>
  <c r="R62" i="12"/>
  <c r="R89" i="12" s="1"/>
  <c r="Q62" i="12"/>
  <c r="Q89" i="12" s="1"/>
  <c r="P62" i="12"/>
  <c r="P89" i="12" s="1"/>
  <c r="O62" i="12"/>
  <c r="O89" i="12" s="1"/>
  <c r="N62" i="12"/>
  <c r="N89" i="12" s="1"/>
  <c r="M62" i="12"/>
  <c r="M89" i="12" s="1"/>
  <c r="L62" i="12"/>
  <c r="L89" i="12" s="1"/>
  <c r="K62" i="12"/>
  <c r="K89" i="12" s="1"/>
  <c r="J62" i="12"/>
  <c r="J89" i="12" s="1"/>
  <c r="I62" i="12"/>
  <c r="I89" i="12" s="1"/>
  <c r="H62" i="12"/>
  <c r="H89" i="12" s="1"/>
  <c r="G62" i="12"/>
  <c r="G89" i="12" s="1"/>
  <c r="F62" i="12"/>
  <c r="F89" i="12" s="1"/>
  <c r="E62" i="12"/>
  <c r="E89" i="12" s="1"/>
  <c r="D62" i="12"/>
  <c r="D89" i="12" s="1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J50" i="12"/>
  <c r="I50" i="12"/>
  <c r="H50" i="12"/>
  <c r="G50" i="12"/>
  <c r="F50" i="12"/>
  <c r="E50" i="12"/>
  <c r="D50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D49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K48" i="12"/>
  <c r="J48" i="12"/>
  <c r="I48" i="12"/>
  <c r="H48" i="12"/>
  <c r="G48" i="12"/>
  <c r="F48" i="12"/>
  <c r="E48" i="12"/>
  <c r="D48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K47" i="12"/>
  <c r="J47" i="12"/>
  <c r="I47" i="12"/>
  <c r="H47" i="12"/>
  <c r="G47" i="12"/>
  <c r="F47" i="12"/>
  <c r="E47" i="12"/>
  <c r="D47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CX36" i="12"/>
  <c r="CX88" i="12" s="1"/>
  <c r="CW36" i="12"/>
  <c r="CW88" i="12" s="1"/>
  <c r="CV36" i="12"/>
  <c r="CV88" i="12" s="1"/>
  <c r="CU36" i="12"/>
  <c r="CU88" i="12" s="1"/>
  <c r="CT36" i="12"/>
  <c r="CT88" i="12" s="1"/>
  <c r="CS36" i="12"/>
  <c r="CS88" i="12" s="1"/>
  <c r="CR36" i="12"/>
  <c r="CR88" i="12" s="1"/>
  <c r="CQ36" i="12"/>
  <c r="CQ88" i="12" s="1"/>
  <c r="CP36" i="12"/>
  <c r="CP88" i="12" s="1"/>
  <c r="CO36" i="12"/>
  <c r="CO88" i="12" s="1"/>
  <c r="CN36" i="12"/>
  <c r="CN88" i="12" s="1"/>
  <c r="CM36" i="12"/>
  <c r="CM88" i="12" s="1"/>
  <c r="CL36" i="12"/>
  <c r="CL88" i="12" s="1"/>
  <c r="CK36" i="12"/>
  <c r="CK88" i="12" s="1"/>
  <c r="CJ36" i="12"/>
  <c r="CJ88" i="12" s="1"/>
  <c r="CI36" i="12"/>
  <c r="CI88" i="12" s="1"/>
  <c r="CH36" i="12"/>
  <c r="CH88" i="12" s="1"/>
  <c r="CG36" i="12"/>
  <c r="CG88" i="12" s="1"/>
  <c r="CF36" i="12"/>
  <c r="CF88" i="12" s="1"/>
  <c r="CE36" i="12"/>
  <c r="CE88" i="12" s="1"/>
  <c r="CD36" i="12"/>
  <c r="CD88" i="12" s="1"/>
  <c r="CC36" i="12"/>
  <c r="CC88" i="12" s="1"/>
  <c r="CB36" i="12"/>
  <c r="CB88" i="12" s="1"/>
  <c r="CA36" i="12"/>
  <c r="CA88" i="12" s="1"/>
  <c r="BZ36" i="12"/>
  <c r="BZ88" i="12" s="1"/>
  <c r="BY36" i="12"/>
  <c r="BY88" i="12" s="1"/>
  <c r="BX36" i="12"/>
  <c r="BX88" i="12" s="1"/>
  <c r="BW36" i="12"/>
  <c r="BW88" i="12" s="1"/>
  <c r="BV36" i="12"/>
  <c r="BV88" i="12" s="1"/>
  <c r="BU36" i="12"/>
  <c r="BU88" i="12" s="1"/>
  <c r="BT36" i="12"/>
  <c r="BT88" i="12" s="1"/>
  <c r="BS36" i="12"/>
  <c r="BS88" i="12" s="1"/>
  <c r="BR36" i="12"/>
  <c r="BR88" i="12" s="1"/>
  <c r="BQ36" i="12"/>
  <c r="BQ88" i="12" s="1"/>
  <c r="BP36" i="12"/>
  <c r="BP88" i="12" s="1"/>
  <c r="BO36" i="12"/>
  <c r="BO88" i="12" s="1"/>
  <c r="BN36" i="12"/>
  <c r="BN88" i="12" s="1"/>
  <c r="BM36" i="12"/>
  <c r="BM88" i="12" s="1"/>
  <c r="BL36" i="12"/>
  <c r="BL88" i="12" s="1"/>
  <c r="BK36" i="12"/>
  <c r="BK88" i="12" s="1"/>
  <c r="BJ36" i="12"/>
  <c r="BJ88" i="12" s="1"/>
  <c r="BI36" i="12"/>
  <c r="BI88" i="12" s="1"/>
  <c r="BH36" i="12"/>
  <c r="BH88" i="12" s="1"/>
  <c r="BG36" i="12"/>
  <c r="BG88" i="12" s="1"/>
  <c r="BF36" i="12"/>
  <c r="BF88" i="12" s="1"/>
  <c r="BE36" i="12"/>
  <c r="BE88" i="12" s="1"/>
  <c r="BD36" i="12"/>
  <c r="BD88" i="12" s="1"/>
  <c r="BC36" i="12"/>
  <c r="BC88" i="12" s="1"/>
  <c r="BB36" i="12"/>
  <c r="BB88" i="12" s="1"/>
  <c r="BA36" i="12"/>
  <c r="BA88" i="12" s="1"/>
  <c r="AZ36" i="12"/>
  <c r="AZ88" i="12" s="1"/>
  <c r="AY36" i="12"/>
  <c r="AY88" i="12" s="1"/>
  <c r="AX36" i="12"/>
  <c r="AX88" i="12" s="1"/>
  <c r="AW36" i="12"/>
  <c r="AW88" i="12" s="1"/>
  <c r="AV36" i="12"/>
  <c r="AV88" i="12" s="1"/>
  <c r="AU36" i="12"/>
  <c r="AU88" i="12" s="1"/>
  <c r="AT36" i="12"/>
  <c r="AT88" i="12" s="1"/>
  <c r="AS36" i="12"/>
  <c r="AS88" i="12" s="1"/>
  <c r="AR36" i="12"/>
  <c r="AR88" i="12" s="1"/>
  <c r="AQ36" i="12"/>
  <c r="AQ88" i="12" s="1"/>
  <c r="AP36" i="12"/>
  <c r="AP88" i="12" s="1"/>
  <c r="AO36" i="12"/>
  <c r="AO88" i="12" s="1"/>
  <c r="AN36" i="12"/>
  <c r="AN88" i="12" s="1"/>
  <c r="AM36" i="12"/>
  <c r="AM88" i="12" s="1"/>
  <c r="AL36" i="12"/>
  <c r="AL88" i="12" s="1"/>
  <c r="AK36" i="12"/>
  <c r="AK88" i="12" s="1"/>
  <c r="AJ36" i="12"/>
  <c r="AJ88" i="12" s="1"/>
  <c r="AI36" i="12"/>
  <c r="AI88" i="12" s="1"/>
  <c r="AH36" i="12"/>
  <c r="AH88" i="12" s="1"/>
  <c r="AG36" i="12"/>
  <c r="AG88" i="12" s="1"/>
  <c r="AF36" i="12"/>
  <c r="AF88" i="12" s="1"/>
  <c r="AE36" i="12"/>
  <c r="AE88" i="12" s="1"/>
  <c r="AD36" i="12"/>
  <c r="AD88" i="12" s="1"/>
  <c r="AC36" i="12"/>
  <c r="AC88" i="12" s="1"/>
  <c r="AB36" i="12"/>
  <c r="AB88" i="12" s="1"/>
  <c r="AA36" i="12"/>
  <c r="AA88" i="12" s="1"/>
  <c r="Z36" i="12"/>
  <c r="Z88" i="12" s="1"/>
  <c r="Y36" i="12"/>
  <c r="Y88" i="12" s="1"/>
  <c r="X36" i="12"/>
  <c r="X88" i="12" s="1"/>
  <c r="W36" i="12"/>
  <c r="W88" i="12" s="1"/>
  <c r="V36" i="12"/>
  <c r="V88" i="12" s="1"/>
  <c r="U36" i="12"/>
  <c r="U88" i="12" s="1"/>
  <c r="T36" i="12"/>
  <c r="T88" i="12" s="1"/>
  <c r="S36" i="12"/>
  <c r="S88" i="12" s="1"/>
  <c r="R36" i="12"/>
  <c r="R88" i="12" s="1"/>
  <c r="Q36" i="12"/>
  <c r="Q88" i="12" s="1"/>
  <c r="P36" i="12"/>
  <c r="P88" i="12" s="1"/>
  <c r="O36" i="12"/>
  <c r="O88" i="12" s="1"/>
  <c r="N36" i="12"/>
  <c r="N88" i="12" s="1"/>
  <c r="M36" i="12"/>
  <c r="M88" i="12" s="1"/>
  <c r="L36" i="12"/>
  <c r="L88" i="12" s="1"/>
  <c r="K36" i="12"/>
  <c r="K88" i="12" s="1"/>
  <c r="J36" i="12"/>
  <c r="J88" i="12" s="1"/>
  <c r="I36" i="12"/>
  <c r="I88" i="12" s="1"/>
  <c r="H36" i="12"/>
  <c r="H88" i="12" s="1"/>
  <c r="G36" i="12"/>
  <c r="G88" i="12" s="1"/>
  <c r="F36" i="12"/>
  <c r="F88" i="12" s="1"/>
  <c r="E36" i="12"/>
  <c r="E88" i="12" s="1"/>
  <c r="D36" i="12"/>
  <c r="D88" i="12" s="1"/>
  <c r="CX35" i="12"/>
  <c r="CX87" i="12" s="1"/>
  <c r="CW35" i="12"/>
  <c r="CW87" i="12" s="1"/>
  <c r="CV35" i="12"/>
  <c r="CV87" i="12" s="1"/>
  <c r="CU35" i="12"/>
  <c r="CU87" i="12" s="1"/>
  <c r="CT35" i="12"/>
  <c r="CT87" i="12" s="1"/>
  <c r="CS35" i="12"/>
  <c r="CS87" i="12" s="1"/>
  <c r="CR35" i="12"/>
  <c r="CR87" i="12" s="1"/>
  <c r="CQ35" i="12"/>
  <c r="CQ87" i="12" s="1"/>
  <c r="CP35" i="12"/>
  <c r="CP87" i="12" s="1"/>
  <c r="CO35" i="12"/>
  <c r="CO87" i="12" s="1"/>
  <c r="CN35" i="12"/>
  <c r="CN87" i="12" s="1"/>
  <c r="CM35" i="12"/>
  <c r="CM87" i="12" s="1"/>
  <c r="CL35" i="12"/>
  <c r="CL87" i="12" s="1"/>
  <c r="CK35" i="12"/>
  <c r="CK87" i="12" s="1"/>
  <c r="CJ35" i="12"/>
  <c r="CJ87" i="12" s="1"/>
  <c r="CI35" i="12"/>
  <c r="CI87" i="12" s="1"/>
  <c r="CH35" i="12"/>
  <c r="CH87" i="12" s="1"/>
  <c r="CG35" i="12"/>
  <c r="CG87" i="12" s="1"/>
  <c r="CF35" i="12"/>
  <c r="CF87" i="12" s="1"/>
  <c r="CE35" i="12"/>
  <c r="CE87" i="12" s="1"/>
  <c r="CD35" i="12"/>
  <c r="CD87" i="12" s="1"/>
  <c r="CC35" i="12"/>
  <c r="CC87" i="12" s="1"/>
  <c r="CB35" i="12"/>
  <c r="CB87" i="12" s="1"/>
  <c r="CA35" i="12"/>
  <c r="CA87" i="12" s="1"/>
  <c r="BZ35" i="12"/>
  <c r="BZ87" i="12" s="1"/>
  <c r="BY35" i="12"/>
  <c r="BY87" i="12" s="1"/>
  <c r="BX35" i="12"/>
  <c r="BX87" i="12" s="1"/>
  <c r="BW35" i="12"/>
  <c r="BW87" i="12" s="1"/>
  <c r="BV35" i="12"/>
  <c r="BV87" i="12" s="1"/>
  <c r="BU35" i="12"/>
  <c r="BU87" i="12" s="1"/>
  <c r="BT35" i="12"/>
  <c r="BT87" i="12" s="1"/>
  <c r="BS35" i="12"/>
  <c r="BS87" i="12" s="1"/>
  <c r="BR35" i="12"/>
  <c r="BR87" i="12" s="1"/>
  <c r="BQ35" i="12"/>
  <c r="BQ87" i="12" s="1"/>
  <c r="BP35" i="12"/>
  <c r="BP87" i="12" s="1"/>
  <c r="BO35" i="12"/>
  <c r="BO87" i="12" s="1"/>
  <c r="BN35" i="12"/>
  <c r="BN87" i="12" s="1"/>
  <c r="BM35" i="12"/>
  <c r="BM87" i="12" s="1"/>
  <c r="BL35" i="12"/>
  <c r="BL87" i="12" s="1"/>
  <c r="BK35" i="12"/>
  <c r="BK87" i="12" s="1"/>
  <c r="BJ35" i="12"/>
  <c r="BJ87" i="12" s="1"/>
  <c r="BI35" i="12"/>
  <c r="BI87" i="12" s="1"/>
  <c r="BH35" i="12"/>
  <c r="BH87" i="12" s="1"/>
  <c r="BG35" i="12"/>
  <c r="BG87" i="12" s="1"/>
  <c r="BF35" i="12"/>
  <c r="BF87" i="12" s="1"/>
  <c r="BE35" i="12"/>
  <c r="BE87" i="12" s="1"/>
  <c r="BD35" i="12"/>
  <c r="BD87" i="12" s="1"/>
  <c r="BC35" i="12"/>
  <c r="BC87" i="12" s="1"/>
  <c r="BB35" i="12"/>
  <c r="BB87" i="12" s="1"/>
  <c r="BA35" i="12"/>
  <c r="BA87" i="12" s="1"/>
  <c r="AZ35" i="12"/>
  <c r="AZ87" i="12" s="1"/>
  <c r="AY35" i="12"/>
  <c r="AY87" i="12" s="1"/>
  <c r="AX35" i="12"/>
  <c r="AX87" i="12" s="1"/>
  <c r="AW35" i="12"/>
  <c r="AW87" i="12" s="1"/>
  <c r="AV35" i="12"/>
  <c r="AV87" i="12" s="1"/>
  <c r="AU35" i="12"/>
  <c r="AU87" i="12" s="1"/>
  <c r="AT35" i="12"/>
  <c r="AT87" i="12" s="1"/>
  <c r="AS35" i="12"/>
  <c r="AS87" i="12" s="1"/>
  <c r="AR35" i="12"/>
  <c r="AR87" i="12" s="1"/>
  <c r="AQ35" i="12"/>
  <c r="AQ87" i="12" s="1"/>
  <c r="AP35" i="12"/>
  <c r="AP87" i="12" s="1"/>
  <c r="AO35" i="12"/>
  <c r="AO87" i="12" s="1"/>
  <c r="AN35" i="12"/>
  <c r="AN87" i="12" s="1"/>
  <c r="AM35" i="12"/>
  <c r="AM87" i="12" s="1"/>
  <c r="AL35" i="12"/>
  <c r="AL87" i="12" s="1"/>
  <c r="AK35" i="12"/>
  <c r="AK87" i="12" s="1"/>
  <c r="AJ35" i="12"/>
  <c r="AJ87" i="12" s="1"/>
  <c r="AI35" i="12"/>
  <c r="AI87" i="12" s="1"/>
  <c r="AH35" i="12"/>
  <c r="AH87" i="12" s="1"/>
  <c r="AG35" i="12"/>
  <c r="AG87" i="12" s="1"/>
  <c r="AF35" i="12"/>
  <c r="AF87" i="12" s="1"/>
  <c r="AE35" i="12"/>
  <c r="AE87" i="12" s="1"/>
  <c r="AD35" i="12"/>
  <c r="AD87" i="12" s="1"/>
  <c r="AC35" i="12"/>
  <c r="AC87" i="12" s="1"/>
  <c r="AB35" i="12"/>
  <c r="AB87" i="12" s="1"/>
  <c r="AA35" i="12"/>
  <c r="AA87" i="12" s="1"/>
  <c r="Z35" i="12"/>
  <c r="Z87" i="12" s="1"/>
  <c r="Y35" i="12"/>
  <c r="Y87" i="12" s="1"/>
  <c r="X35" i="12"/>
  <c r="X87" i="12" s="1"/>
  <c r="W35" i="12"/>
  <c r="W87" i="12" s="1"/>
  <c r="V35" i="12"/>
  <c r="V87" i="12" s="1"/>
  <c r="U35" i="12"/>
  <c r="U87" i="12" s="1"/>
  <c r="T35" i="12"/>
  <c r="T87" i="12" s="1"/>
  <c r="S35" i="12"/>
  <c r="S87" i="12" s="1"/>
  <c r="R35" i="12"/>
  <c r="R87" i="12" s="1"/>
  <c r="Q35" i="12"/>
  <c r="Q87" i="12" s="1"/>
  <c r="P35" i="12"/>
  <c r="P87" i="12" s="1"/>
  <c r="O35" i="12"/>
  <c r="O87" i="12" s="1"/>
  <c r="N35" i="12"/>
  <c r="N87" i="12" s="1"/>
  <c r="M35" i="12"/>
  <c r="M87" i="12" s="1"/>
  <c r="L35" i="12"/>
  <c r="L87" i="12" s="1"/>
  <c r="K35" i="12"/>
  <c r="K87" i="12" s="1"/>
  <c r="J35" i="12"/>
  <c r="J87" i="12" s="1"/>
  <c r="I35" i="12"/>
  <c r="I87" i="12" s="1"/>
  <c r="H35" i="12"/>
  <c r="H87" i="12" s="1"/>
  <c r="G35" i="12"/>
  <c r="G87" i="12" s="1"/>
  <c r="F35" i="12"/>
  <c r="F87" i="12" s="1"/>
  <c r="E35" i="12"/>
  <c r="E87" i="12" s="1"/>
  <c r="D35" i="12"/>
  <c r="D87" i="12" s="1"/>
  <c r="CX34" i="12"/>
  <c r="CX86" i="12" s="1"/>
  <c r="CW34" i="12"/>
  <c r="CW86" i="12" s="1"/>
  <c r="CV34" i="12"/>
  <c r="CV86" i="12" s="1"/>
  <c r="CU34" i="12"/>
  <c r="CU86" i="12" s="1"/>
  <c r="CT34" i="12"/>
  <c r="CT86" i="12" s="1"/>
  <c r="CS34" i="12"/>
  <c r="CS86" i="12" s="1"/>
  <c r="CR34" i="12"/>
  <c r="CR86" i="12" s="1"/>
  <c r="CQ34" i="12"/>
  <c r="CQ86" i="12" s="1"/>
  <c r="CP34" i="12"/>
  <c r="CP86" i="12" s="1"/>
  <c r="CO34" i="12"/>
  <c r="CO86" i="12" s="1"/>
  <c r="CN34" i="12"/>
  <c r="CN86" i="12" s="1"/>
  <c r="CM34" i="12"/>
  <c r="CM86" i="12" s="1"/>
  <c r="CL34" i="12"/>
  <c r="CL86" i="12" s="1"/>
  <c r="CK34" i="12"/>
  <c r="CK86" i="12" s="1"/>
  <c r="CJ34" i="12"/>
  <c r="CJ86" i="12" s="1"/>
  <c r="CI34" i="12"/>
  <c r="CI86" i="12" s="1"/>
  <c r="CH34" i="12"/>
  <c r="CH86" i="12" s="1"/>
  <c r="CG34" i="12"/>
  <c r="CG86" i="12" s="1"/>
  <c r="CF34" i="12"/>
  <c r="CF86" i="12" s="1"/>
  <c r="CE34" i="12"/>
  <c r="CE86" i="12" s="1"/>
  <c r="CD34" i="12"/>
  <c r="CD86" i="12" s="1"/>
  <c r="CC34" i="12"/>
  <c r="CC86" i="12" s="1"/>
  <c r="CB34" i="12"/>
  <c r="CB86" i="12" s="1"/>
  <c r="CA34" i="12"/>
  <c r="CA86" i="12" s="1"/>
  <c r="BZ34" i="12"/>
  <c r="BZ86" i="12" s="1"/>
  <c r="BY34" i="12"/>
  <c r="BY86" i="12" s="1"/>
  <c r="BX34" i="12"/>
  <c r="BX86" i="12" s="1"/>
  <c r="BW34" i="12"/>
  <c r="BW86" i="12" s="1"/>
  <c r="BV34" i="12"/>
  <c r="BV86" i="12" s="1"/>
  <c r="BU34" i="12"/>
  <c r="BU86" i="12" s="1"/>
  <c r="BT34" i="12"/>
  <c r="BT86" i="12" s="1"/>
  <c r="BS34" i="12"/>
  <c r="BS86" i="12" s="1"/>
  <c r="BR34" i="12"/>
  <c r="BR86" i="12" s="1"/>
  <c r="BQ34" i="12"/>
  <c r="BQ86" i="12" s="1"/>
  <c r="BP34" i="12"/>
  <c r="BP86" i="12" s="1"/>
  <c r="BO34" i="12"/>
  <c r="BO86" i="12" s="1"/>
  <c r="BN34" i="12"/>
  <c r="BN86" i="12" s="1"/>
  <c r="BM34" i="12"/>
  <c r="BM86" i="12" s="1"/>
  <c r="BL34" i="12"/>
  <c r="BL86" i="12" s="1"/>
  <c r="BK34" i="12"/>
  <c r="BK86" i="12" s="1"/>
  <c r="BJ34" i="12"/>
  <c r="BJ86" i="12" s="1"/>
  <c r="BI34" i="12"/>
  <c r="BI86" i="12" s="1"/>
  <c r="BH34" i="12"/>
  <c r="BH86" i="12" s="1"/>
  <c r="BG34" i="12"/>
  <c r="BG86" i="12" s="1"/>
  <c r="BF34" i="12"/>
  <c r="BF86" i="12" s="1"/>
  <c r="BE34" i="12"/>
  <c r="BE86" i="12" s="1"/>
  <c r="BD34" i="12"/>
  <c r="BD86" i="12" s="1"/>
  <c r="BC34" i="12"/>
  <c r="BC86" i="12" s="1"/>
  <c r="BB34" i="12"/>
  <c r="BB86" i="12" s="1"/>
  <c r="BA34" i="12"/>
  <c r="BA86" i="12" s="1"/>
  <c r="AZ34" i="12"/>
  <c r="AZ86" i="12" s="1"/>
  <c r="AY34" i="12"/>
  <c r="AY86" i="12" s="1"/>
  <c r="AX34" i="12"/>
  <c r="AX86" i="12" s="1"/>
  <c r="AW34" i="12"/>
  <c r="AW86" i="12" s="1"/>
  <c r="AV34" i="12"/>
  <c r="AV86" i="12" s="1"/>
  <c r="AU34" i="12"/>
  <c r="AU86" i="12" s="1"/>
  <c r="AT34" i="12"/>
  <c r="AT86" i="12" s="1"/>
  <c r="AS34" i="12"/>
  <c r="AS86" i="12" s="1"/>
  <c r="AR34" i="12"/>
  <c r="AR86" i="12" s="1"/>
  <c r="AQ34" i="12"/>
  <c r="AQ86" i="12" s="1"/>
  <c r="AP34" i="12"/>
  <c r="AP86" i="12" s="1"/>
  <c r="AO34" i="12"/>
  <c r="AO86" i="12" s="1"/>
  <c r="AN34" i="12"/>
  <c r="AN86" i="12" s="1"/>
  <c r="AM34" i="12"/>
  <c r="AM86" i="12" s="1"/>
  <c r="AL34" i="12"/>
  <c r="AL86" i="12" s="1"/>
  <c r="AK34" i="12"/>
  <c r="AK86" i="12" s="1"/>
  <c r="AJ34" i="12"/>
  <c r="AJ86" i="12" s="1"/>
  <c r="AI34" i="12"/>
  <c r="AI86" i="12" s="1"/>
  <c r="AH34" i="12"/>
  <c r="AH86" i="12" s="1"/>
  <c r="AG34" i="12"/>
  <c r="AG86" i="12" s="1"/>
  <c r="AF34" i="12"/>
  <c r="AF86" i="12" s="1"/>
  <c r="AE34" i="12"/>
  <c r="AE86" i="12" s="1"/>
  <c r="AD34" i="12"/>
  <c r="AD86" i="12" s="1"/>
  <c r="AC34" i="12"/>
  <c r="AC86" i="12" s="1"/>
  <c r="AB34" i="12"/>
  <c r="AB86" i="12" s="1"/>
  <c r="AA34" i="12"/>
  <c r="AA86" i="12" s="1"/>
  <c r="Z34" i="12"/>
  <c r="Z86" i="12" s="1"/>
  <c r="Y34" i="12"/>
  <c r="Y86" i="12" s="1"/>
  <c r="X34" i="12"/>
  <c r="X86" i="12" s="1"/>
  <c r="W34" i="12"/>
  <c r="W86" i="12" s="1"/>
  <c r="V34" i="12"/>
  <c r="V86" i="12" s="1"/>
  <c r="U34" i="12"/>
  <c r="U86" i="12" s="1"/>
  <c r="T34" i="12"/>
  <c r="T86" i="12" s="1"/>
  <c r="S34" i="12"/>
  <c r="S86" i="12" s="1"/>
  <c r="R34" i="12"/>
  <c r="R86" i="12" s="1"/>
  <c r="Q34" i="12"/>
  <c r="Q86" i="12" s="1"/>
  <c r="P34" i="12"/>
  <c r="P86" i="12" s="1"/>
  <c r="O34" i="12"/>
  <c r="O86" i="12" s="1"/>
  <c r="N34" i="12"/>
  <c r="N86" i="12" s="1"/>
  <c r="M34" i="12"/>
  <c r="M86" i="12" s="1"/>
  <c r="L34" i="12"/>
  <c r="L86" i="12" s="1"/>
  <c r="K34" i="12"/>
  <c r="K86" i="12" s="1"/>
  <c r="J34" i="12"/>
  <c r="J86" i="12" s="1"/>
  <c r="I34" i="12"/>
  <c r="I86" i="12" s="1"/>
  <c r="H34" i="12"/>
  <c r="H86" i="12" s="1"/>
  <c r="G34" i="12"/>
  <c r="G86" i="12" s="1"/>
  <c r="F34" i="12"/>
  <c r="F86" i="12" s="1"/>
  <c r="E34" i="12"/>
  <c r="E86" i="12" s="1"/>
  <c r="D34" i="12"/>
  <c r="D86" i="12" s="1"/>
  <c r="CX33" i="12"/>
  <c r="CX85" i="12" s="1"/>
  <c r="CW33" i="12"/>
  <c r="CW85" i="12" s="1"/>
  <c r="CV33" i="12"/>
  <c r="CV85" i="12" s="1"/>
  <c r="CU33" i="12"/>
  <c r="CU85" i="12" s="1"/>
  <c r="CT33" i="12"/>
  <c r="CT85" i="12" s="1"/>
  <c r="CS33" i="12"/>
  <c r="CS85" i="12" s="1"/>
  <c r="CR33" i="12"/>
  <c r="CR85" i="12" s="1"/>
  <c r="CQ33" i="12"/>
  <c r="CQ85" i="12" s="1"/>
  <c r="CP33" i="12"/>
  <c r="CP85" i="12" s="1"/>
  <c r="CO33" i="12"/>
  <c r="CO85" i="12" s="1"/>
  <c r="CN33" i="12"/>
  <c r="CN85" i="12" s="1"/>
  <c r="CM33" i="12"/>
  <c r="CM85" i="12" s="1"/>
  <c r="CL33" i="12"/>
  <c r="CL85" i="12" s="1"/>
  <c r="CK33" i="12"/>
  <c r="CK85" i="12" s="1"/>
  <c r="CJ33" i="12"/>
  <c r="CJ85" i="12" s="1"/>
  <c r="CI33" i="12"/>
  <c r="CI85" i="12" s="1"/>
  <c r="CH33" i="12"/>
  <c r="CH85" i="12" s="1"/>
  <c r="CG33" i="12"/>
  <c r="CG85" i="12" s="1"/>
  <c r="CF33" i="12"/>
  <c r="CF85" i="12" s="1"/>
  <c r="CE33" i="12"/>
  <c r="CE85" i="12" s="1"/>
  <c r="CD33" i="12"/>
  <c r="CD85" i="12" s="1"/>
  <c r="CC33" i="12"/>
  <c r="CC85" i="12" s="1"/>
  <c r="CB33" i="12"/>
  <c r="CB85" i="12" s="1"/>
  <c r="CA33" i="12"/>
  <c r="CA85" i="12" s="1"/>
  <c r="BZ33" i="12"/>
  <c r="BZ85" i="12" s="1"/>
  <c r="BY33" i="12"/>
  <c r="BY85" i="12" s="1"/>
  <c r="BX33" i="12"/>
  <c r="BX85" i="12" s="1"/>
  <c r="BW33" i="12"/>
  <c r="BW85" i="12" s="1"/>
  <c r="BV33" i="12"/>
  <c r="BV85" i="12" s="1"/>
  <c r="BU33" i="12"/>
  <c r="BU85" i="12" s="1"/>
  <c r="BT33" i="12"/>
  <c r="BT85" i="12" s="1"/>
  <c r="BS33" i="12"/>
  <c r="BS85" i="12" s="1"/>
  <c r="BR33" i="12"/>
  <c r="BR85" i="12" s="1"/>
  <c r="BQ33" i="12"/>
  <c r="BQ85" i="12" s="1"/>
  <c r="BP33" i="12"/>
  <c r="BP85" i="12" s="1"/>
  <c r="BO33" i="12"/>
  <c r="BO85" i="12" s="1"/>
  <c r="BN33" i="12"/>
  <c r="BN85" i="12" s="1"/>
  <c r="BM33" i="12"/>
  <c r="BM85" i="12" s="1"/>
  <c r="BL33" i="12"/>
  <c r="BL85" i="12" s="1"/>
  <c r="BK33" i="12"/>
  <c r="BK85" i="12" s="1"/>
  <c r="BJ33" i="12"/>
  <c r="BJ85" i="12" s="1"/>
  <c r="BI33" i="12"/>
  <c r="BI85" i="12" s="1"/>
  <c r="BH33" i="12"/>
  <c r="BH85" i="12" s="1"/>
  <c r="BG33" i="12"/>
  <c r="BG85" i="12" s="1"/>
  <c r="BF33" i="12"/>
  <c r="BF85" i="12" s="1"/>
  <c r="BE33" i="12"/>
  <c r="BE85" i="12" s="1"/>
  <c r="BD33" i="12"/>
  <c r="BD85" i="12" s="1"/>
  <c r="BC33" i="12"/>
  <c r="BC85" i="12" s="1"/>
  <c r="BB33" i="12"/>
  <c r="BB85" i="12" s="1"/>
  <c r="BA33" i="12"/>
  <c r="BA85" i="12" s="1"/>
  <c r="AZ33" i="12"/>
  <c r="AZ85" i="12" s="1"/>
  <c r="AY33" i="12"/>
  <c r="AY85" i="12" s="1"/>
  <c r="AX33" i="12"/>
  <c r="AX85" i="12" s="1"/>
  <c r="AW33" i="12"/>
  <c r="AW85" i="12" s="1"/>
  <c r="AV33" i="12"/>
  <c r="AV85" i="12" s="1"/>
  <c r="AU33" i="12"/>
  <c r="AU85" i="12" s="1"/>
  <c r="AT33" i="12"/>
  <c r="AT85" i="12" s="1"/>
  <c r="AS33" i="12"/>
  <c r="AS85" i="12" s="1"/>
  <c r="AR33" i="12"/>
  <c r="AR85" i="12" s="1"/>
  <c r="AQ33" i="12"/>
  <c r="AQ85" i="12" s="1"/>
  <c r="AP33" i="12"/>
  <c r="AP85" i="12" s="1"/>
  <c r="AO33" i="12"/>
  <c r="AO85" i="12" s="1"/>
  <c r="AN33" i="12"/>
  <c r="AN85" i="12" s="1"/>
  <c r="AM33" i="12"/>
  <c r="AM85" i="12" s="1"/>
  <c r="AL33" i="12"/>
  <c r="AL85" i="12" s="1"/>
  <c r="AK33" i="12"/>
  <c r="AK85" i="12" s="1"/>
  <c r="AJ33" i="12"/>
  <c r="AJ85" i="12" s="1"/>
  <c r="AI33" i="12"/>
  <c r="AI85" i="12" s="1"/>
  <c r="AH33" i="12"/>
  <c r="AH85" i="12" s="1"/>
  <c r="AG33" i="12"/>
  <c r="AG85" i="12" s="1"/>
  <c r="AF33" i="12"/>
  <c r="AF85" i="12" s="1"/>
  <c r="AE33" i="12"/>
  <c r="AE85" i="12" s="1"/>
  <c r="AD33" i="12"/>
  <c r="AD85" i="12" s="1"/>
  <c r="AC33" i="12"/>
  <c r="AC85" i="12" s="1"/>
  <c r="AB33" i="12"/>
  <c r="AB85" i="12" s="1"/>
  <c r="AA33" i="12"/>
  <c r="AA85" i="12" s="1"/>
  <c r="Z33" i="12"/>
  <c r="Z85" i="12" s="1"/>
  <c r="Y33" i="12"/>
  <c r="Y85" i="12" s="1"/>
  <c r="X33" i="12"/>
  <c r="X85" i="12" s="1"/>
  <c r="W33" i="12"/>
  <c r="W85" i="12" s="1"/>
  <c r="V33" i="12"/>
  <c r="V85" i="12" s="1"/>
  <c r="U33" i="12"/>
  <c r="U85" i="12" s="1"/>
  <c r="T33" i="12"/>
  <c r="T85" i="12" s="1"/>
  <c r="S33" i="12"/>
  <c r="S85" i="12" s="1"/>
  <c r="R33" i="12"/>
  <c r="R85" i="12" s="1"/>
  <c r="Q33" i="12"/>
  <c r="Q85" i="12" s="1"/>
  <c r="P33" i="12"/>
  <c r="P85" i="12" s="1"/>
  <c r="O33" i="12"/>
  <c r="O85" i="12" s="1"/>
  <c r="N33" i="12"/>
  <c r="N85" i="12" s="1"/>
  <c r="M33" i="12"/>
  <c r="M85" i="12" s="1"/>
  <c r="L33" i="12"/>
  <c r="L85" i="12" s="1"/>
  <c r="K33" i="12"/>
  <c r="K85" i="12" s="1"/>
  <c r="J33" i="12"/>
  <c r="J85" i="12" s="1"/>
  <c r="I33" i="12"/>
  <c r="I85" i="12" s="1"/>
  <c r="H33" i="12"/>
  <c r="H85" i="12" s="1"/>
  <c r="G33" i="12"/>
  <c r="G85" i="12" s="1"/>
  <c r="F33" i="12"/>
  <c r="F85" i="12" s="1"/>
  <c r="E33" i="12"/>
  <c r="E85" i="12" s="1"/>
  <c r="D33" i="12"/>
  <c r="D85" i="12" s="1"/>
  <c r="CX32" i="12"/>
  <c r="CX84" i="12" s="1"/>
  <c r="CW32" i="12"/>
  <c r="CW84" i="12" s="1"/>
  <c r="CV32" i="12"/>
  <c r="CV84" i="12" s="1"/>
  <c r="CU32" i="12"/>
  <c r="CU84" i="12" s="1"/>
  <c r="CT32" i="12"/>
  <c r="CT84" i="12" s="1"/>
  <c r="CS32" i="12"/>
  <c r="CS84" i="12" s="1"/>
  <c r="CR32" i="12"/>
  <c r="CR84" i="12" s="1"/>
  <c r="CQ32" i="12"/>
  <c r="CQ84" i="12" s="1"/>
  <c r="CP32" i="12"/>
  <c r="CP84" i="12" s="1"/>
  <c r="CO32" i="12"/>
  <c r="CO84" i="12" s="1"/>
  <c r="CN32" i="12"/>
  <c r="CN84" i="12" s="1"/>
  <c r="CM32" i="12"/>
  <c r="CM84" i="12" s="1"/>
  <c r="CL32" i="12"/>
  <c r="CL84" i="12" s="1"/>
  <c r="CK32" i="12"/>
  <c r="CK84" i="12" s="1"/>
  <c r="CJ32" i="12"/>
  <c r="CJ84" i="12" s="1"/>
  <c r="CI32" i="12"/>
  <c r="CI84" i="12" s="1"/>
  <c r="CH32" i="12"/>
  <c r="CH84" i="12" s="1"/>
  <c r="CG32" i="12"/>
  <c r="CG84" i="12" s="1"/>
  <c r="CF32" i="12"/>
  <c r="CF84" i="12" s="1"/>
  <c r="CE32" i="12"/>
  <c r="CE84" i="12" s="1"/>
  <c r="CD32" i="12"/>
  <c r="CD84" i="12" s="1"/>
  <c r="CC32" i="12"/>
  <c r="CC84" i="12" s="1"/>
  <c r="CB32" i="12"/>
  <c r="CB84" i="12" s="1"/>
  <c r="CA32" i="12"/>
  <c r="CA84" i="12" s="1"/>
  <c r="BZ32" i="12"/>
  <c r="BZ84" i="12" s="1"/>
  <c r="BY32" i="12"/>
  <c r="BY84" i="12" s="1"/>
  <c r="BX32" i="12"/>
  <c r="BX84" i="12" s="1"/>
  <c r="BW32" i="12"/>
  <c r="BW84" i="12" s="1"/>
  <c r="BV32" i="12"/>
  <c r="BV84" i="12" s="1"/>
  <c r="BU32" i="12"/>
  <c r="BU84" i="12" s="1"/>
  <c r="BT32" i="12"/>
  <c r="BT84" i="12" s="1"/>
  <c r="BS32" i="12"/>
  <c r="BS84" i="12" s="1"/>
  <c r="BR32" i="12"/>
  <c r="BR84" i="12" s="1"/>
  <c r="BQ32" i="12"/>
  <c r="BQ84" i="12" s="1"/>
  <c r="BP32" i="12"/>
  <c r="BP84" i="12" s="1"/>
  <c r="BO32" i="12"/>
  <c r="BO84" i="12" s="1"/>
  <c r="BN32" i="12"/>
  <c r="BN84" i="12" s="1"/>
  <c r="BM32" i="12"/>
  <c r="BM84" i="12" s="1"/>
  <c r="BL32" i="12"/>
  <c r="BL84" i="12" s="1"/>
  <c r="BK32" i="12"/>
  <c r="BK84" i="12" s="1"/>
  <c r="BJ32" i="12"/>
  <c r="BJ84" i="12" s="1"/>
  <c r="BI32" i="12"/>
  <c r="BI84" i="12" s="1"/>
  <c r="BH32" i="12"/>
  <c r="BH84" i="12" s="1"/>
  <c r="BG32" i="12"/>
  <c r="BG84" i="12" s="1"/>
  <c r="BF32" i="12"/>
  <c r="BF84" i="12" s="1"/>
  <c r="BE32" i="12"/>
  <c r="BE84" i="12" s="1"/>
  <c r="BD32" i="12"/>
  <c r="BD84" i="12" s="1"/>
  <c r="BC32" i="12"/>
  <c r="BC84" i="12" s="1"/>
  <c r="BB32" i="12"/>
  <c r="BB84" i="12" s="1"/>
  <c r="BA32" i="12"/>
  <c r="BA84" i="12" s="1"/>
  <c r="AZ32" i="12"/>
  <c r="AZ84" i="12" s="1"/>
  <c r="AY32" i="12"/>
  <c r="AY84" i="12" s="1"/>
  <c r="AX32" i="12"/>
  <c r="AX84" i="12" s="1"/>
  <c r="AW32" i="12"/>
  <c r="AW84" i="12" s="1"/>
  <c r="AV32" i="12"/>
  <c r="AV84" i="12" s="1"/>
  <c r="AU32" i="12"/>
  <c r="AU84" i="12" s="1"/>
  <c r="AT32" i="12"/>
  <c r="AT84" i="12" s="1"/>
  <c r="AS32" i="12"/>
  <c r="AS84" i="12" s="1"/>
  <c r="AR32" i="12"/>
  <c r="AR84" i="12" s="1"/>
  <c r="AQ32" i="12"/>
  <c r="AQ84" i="12" s="1"/>
  <c r="AP32" i="12"/>
  <c r="AP84" i="12" s="1"/>
  <c r="AO32" i="12"/>
  <c r="AO84" i="12" s="1"/>
  <c r="AN32" i="12"/>
  <c r="AN84" i="12" s="1"/>
  <c r="AM32" i="12"/>
  <c r="AM84" i="12" s="1"/>
  <c r="AL32" i="12"/>
  <c r="AL84" i="12" s="1"/>
  <c r="AK32" i="12"/>
  <c r="AK84" i="12" s="1"/>
  <c r="AJ32" i="12"/>
  <c r="AJ84" i="12" s="1"/>
  <c r="AI32" i="12"/>
  <c r="AI84" i="12" s="1"/>
  <c r="AH32" i="12"/>
  <c r="AH84" i="12" s="1"/>
  <c r="AG32" i="12"/>
  <c r="AG84" i="12" s="1"/>
  <c r="AF32" i="12"/>
  <c r="AF84" i="12" s="1"/>
  <c r="AE32" i="12"/>
  <c r="AE84" i="12" s="1"/>
  <c r="AD32" i="12"/>
  <c r="AD84" i="12" s="1"/>
  <c r="AC32" i="12"/>
  <c r="AC84" i="12" s="1"/>
  <c r="AB32" i="12"/>
  <c r="AB84" i="12" s="1"/>
  <c r="AA32" i="12"/>
  <c r="AA84" i="12" s="1"/>
  <c r="Z32" i="12"/>
  <c r="Z84" i="12" s="1"/>
  <c r="Y32" i="12"/>
  <c r="Y84" i="12" s="1"/>
  <c r="X32" i="12"/>
  <c r="X84" i="12" s="1"/>
  <c r="W32" i="12"/>
  <c r="W84" i="12" s="1"/>
  <c r="V32" i="12"/>
  <c r="V84" i="12" s="1"/>
  <c r="U32" i="12"/>
  <c r="U84" i="12" s="1"/>
  <c r="T32" i="12"/>
  <c r="T84" i="12" s="1"/>
  <c r="S32" i="12"/>
  <c r="S84" i="12" s="1"/>
  <c r="R32" i="12"/>
  <c r="R84" i="12" s="1"/>
  <c r="Q32" i="12"/>
  <c r="Q84" i="12" s="1"/>
  <c r="P32" i="12"/>
  <c r="P84" i="12" s="1"/>
  <c r="O32" i="12"/>
  <c r="O84" i="12" s="1"/>
  <c r="N32" i="12"/>
  <c r="N84" i="12" s="1"/>
  <c r="M32" i="12"/>
  <c r="M84" i="12" s="1"/>
  <c r="L32" i="12"/>
  <c r="L84" i="12" s="1"/>
  <c r="K32" i="12"/>
  <c r="K84" i="12" s="1"/>
  <c r="J32" i="12"/>
  <c r="J84" i="12" s="1"/>
  <c r="I32" i="12"/>
  <c r="I84" i="12" s="1"/>
  <c r="H32" i="12"/>
  <c r="H84" i="12" s="1"/>
  <c r="G32" i="12"/>
  <c r="G84" i="12" s="1"/>
  <c r="F32" i="12"/>
  <c r="F84" i="12" s="1"/>
  <c r="E32" i="12"/>
  <c r="E84" i="12" s="1"/>
  <c r="D32" i="12"/>
  <c r="D84" i="12" s="1"/>
  <c r="CX31" i="12"/>
  <c r="CX83" i="12" s="1"/>
  <c r="CW31" i="12"/>
  <c r="CW83" i="12" s="1"/>
  <c r="CV31" i="12"/>
  <c r="CV83" i="12" s="1"/>
  <c r="CU31" i="12"/>
  <c r="CU83" i="12" s="1"/>
  <c r="CT31" i="12"/>
  <c r="CT83" i="12" s="1"/>
  <c r="CS31" i="12"/>
  <c r="CS83" i="12" s="1"/>
  <c r="CR31" i="12"/>
  <c r="CR83" i="12" s="1"/>
  <c r="CQ31" i="12"/>
  <c r="CQ83" i="12" s="1"/>
  <c r="CP31" i="12"/>
  <c r="CP83" i="12" s="1"/>
  <c r="CO31" i="12"/>
  <c r="CO83" i="12" s="1"/>
  <c r="CN31" i="12"/>
  <c r="CN83" i="12" s="1"/>
  <c r="CM31" i="12"/>
  <c r="CM83" i="12" s="1"/>
  <c r="CL31" i="12"/>
  <c r="CL83" i="12" s="1"/>
  <c r="CK31" i="12"/>
  <c r="CK83" i="12" s="1"/>
  <c r="CJ31" i="12"/>
  <c r="CJ83" i="12" s="1"/>
  <c r="CI31" i="12"/>
  <c r="CI83" i="12" s="1"/>
  <c r="CH31" i="12"/>
  <c r="CH83" i="12" s="1"/>
  <c r="CG31" i="12"/>
  <c r="CG83" i="12" s="1"/>
  <c r="CF31" i="12"/>
  <c r="CF83" i="12" s="1"/>
  <c r="CE31" i="12"/>
  <c r="CE83" i="12" s="1"/>
  <c r="CD31" i="12"/>
  <c r="CD83" i="12" s="1"/>
  <c r="CC31" i="12"/>
  <c r="CC83" i="12" s="1"/>
  <c r="CB31" i="12"/>
  <c r="CB83" i="12" s="1"/>
  <c r="CA31" i="12"/>
  <c r="CA83" i="12" s="1"/>
  <c r="BZ31" i="12"/>
  <c r="BZ83" i="12" s="1"/>
  <c r="BY31" i="12"/>
  <c r="BY83" i="12" s="1"/>
  <c r="BX31" i="12"/>
  <c r="BX83" i="12" s="1"/>
  <c r="BW31" i="12"/>
  <c r="BW83" i="12" s="1"/>
  <c r="BV31" i="12"/>
  <c r="BV83" i="12" s="1"/>
  <c r="BU31" i="12"/>
  <c r="BU83" i="12" s="1"/>
  <c r="BT31" i="12"/>
  <c r="BT83" i="12" s="1"/>
  <c r="BS31" i="12"/>
  <c r="BS83" i="12" s="1"/>
  <c r="BR31" i="12"/>
  <c r="BR83" i="12" s="1"/>
  <c r="BQ31" i="12"/>
  <c r="BQ83" i="12" s="1"/>
  <c r="BP31" i="12"/>
  <c r="BP83" i="12" s="1"/>
  <c r="BO31" i="12"/>
  <c r="BO83" i="12" s="1"/>
  <c r="BN31" i="12"/>
  <c r="BN83" i="12" s="1"/>
  <c r="BM31" i="12"/>
  <c r="BM83" i="12" s="1"/>
  <c r="BL31" i="12"/>
  <c r="BL83" i="12" s="1"/>
  <c r="BK31" i="12"/>
  <c r="BK83" i="12" s="1"/>
  <c r="BJ31" i="12"/>
  <c r="BJ83" i="12" s="1"/>
  <c r="BI31" i="12"/>
  <c r="BI83" i="12" s="1"/>
  <c r="BH31" i="12"/>
  <c r="BH83" i="12" s="1"/>
  <c r="BG31" i="12"/>
  <c r="BG83" i="12" s="1"/>
  <c r="BF31" i="12"/>
  <c r="BF83" i="12" s="1"/>
  <c r="BE31" i="12"/>
  <c r="BE83" i="12" s="1"/>
  <c r="BD31" i="12"/>
  <c r="BD83" i="12" s="1"/>
  <c r="BC31" i="12"/>
  <c r="BC83" i="12" s="1"/>
  <c r="BB31" i="12"/>
  <c r="BB83" i="12" s="1"/>
  <c r="BA31" i="12"/>
  <c r="BA83" i="12" s="1"/>
  <c r="AZ31" i="12"/>
  <c r="AZ83" i="12" s="1"/>
  <c r="AY31" i="12"/>
  <c r="AY83" i="12" s="1"/>
  <c r="AX31" i="12"/>
  <c r="AX83" i="12" s="1"/>
  <c r="AW31" i="12"/>
  <c r="AW83" i="12" s="1"/>
  <c r="AV31" i="12"/>
  <c r="AV83" i="12" s="1"/>
  <c r="AU31" i="12"/>
  <c r="AU83" i="12" s="1"/>
  <c r="AT31" i="12"/>
  <c r="AT83" i="12" s="1"/>
  <c r="AS31" i="12"/>
  <c r="AS83" i="12" s="1"/>
  <c r="AR31" i="12"/>
  <c r="AR83" i="12" s="1"/>
  <c r="AQ31" i="12"/>
  <c r="AQ83" i="12" s="1"/>
  <c r="AP31" i="12"/>
  <c r="AP83" i="12" s="1"/>
  <c r="AO31" i="12"/>
  <c r="AO83" i="12" s="1"/>
  <c r="AN31" i="12"/>
  <c r="AN83" i="12" s="1"/>
  <c r="AM31" i="12"/>
  <c r="AM83" i="12" s="1"/>
  <c r="AL31" i="12"/>
  <c r="AL83" i="12" s="1"/>
  <c r="AK31" i="12"/>
  <c r="AK83" i="12" s="1"/>
  <c r="AJ31" i="12"/>
  <c r="AJ83" i="12" s="1"/>
  <c r="AI31" i="12"/>
  <c r="AI83" i="12" s="1"/>
  <c r="AH31" i="12"/>
  <c r="AH83" i="12" s="1"/>
  <c r="AG31" i="12"/>
  <c r="AG83" i="12" s="1"/>
  <c r="AF31" i="12"/>
  <c r="AF83" i="12" s="1"/>
  <c r="AE31" i="12"/>
  <c r="AE83" i="12" s="1"/>
  <c r="AD31" i="12"/>
  <c r="AD83" i="12" s="1"/>
  <c r="AC31" i="12"/>
  <c r="AC83" i="12" s="1"/>
  <c r="AB31" i="12"/>
  <c r="AB83" i="12" s="1"/>
  <c r="AA31" i="12"/>
  <c r="AA83" i="12" s="1"/>
  <c r="Z31" i="12"/>
  <c r="Z83" i="12" s="1"/>
  <c r="Y31" i="12"/>
  <c r="Y83" i="12" s="1"/>
  <c r="X31" i="12"/>
  <c r="X83" i="12" s="1"/>
  <c r="W31" i="12"/>
  <c r="W83" i="12" s="1"/>
  <c r="V31" i="12"/>
  <c r="V83" i="12" s="1"/>
  <c r="U31" i="12"/>
  <c r="U83" i="12" s="1"/>
  <c r="T31" i="12"/>
  <c r="T83" i="12" s="1"/>
  <c r="S31" i="12"/>
  <c r="S83" i="12" s="1"/>
  <c r="R31" i="12"/>
  <c r="R83" i="12" s="1"/>
  <c r="Q31" i="12"/>
  <c r="Q83" i="12" s="1"/>
  <c r="P31" i="12"/>
  <c r="P83" i="12" s="1"/>
  <c r="O31" i="12"/>
  <c r="O83" i="12" s="1"/>
  <c r="N31" i="12"/>
  <c r="N83" i="12" s="1"/>
  <c r="M31" i="12"/>
  <c r="M83" i="12" s="1"/>
  <c r="L31" i="12"/>
  <c r="L83" i="12" s="1"/>
  <c r="K31" i="12"/>
  <c r="K83" i="12" s="1"/>
  <c r="J31" i="12"/>
  <c r="J83" i="12" s="1"/>
  <c r="I31" i="12"/>
  <c r="I83" i="12" s="1"/>
  <c r="H31" i="12"/>
  <c r="H83" i="12" s="1"/>
  <c r="G31" i="12"/>
  <c r="G83" i="12" s="1"/>
  <c r="F31" i="12"/>
  <c r="F83" i="12" s="1"/>
  <c r="E31" i="12"/>
  <c r="E83" i="12" s="1"/>
  <c r="D31" i="12"/>
  <c r="D83" i="12" s="1"/>
  <c r="CX30" i="12"/>
  <c r="CX82" i="12" s="1"/>
  <c r="CW30" i="12"/>
  <c r="CW82" i="12" s="1"/>
  <c r="CV30" i="12"/>
  <c r="CV82" i="12" s="1"/>
  <c r="CU30" i="12"/>
  <c r="CU82" i="12" s="1"/>
  <c r="CT30" i="12"/>
  <c r="CT82" i="12" s="1"/>
  <c r="CS30" i="12"/>
  <c r="CS82" i="12" s="1"/>
  <c r="CR30" i="12"/>
  <c r="CR82" i="12" s="1"/>
  <c r="CQ30" i="12"/>
  <c r="CQ82" i="12" s="1"/>
  <c r="CP30" i="12"/>
  <c r="CP82" i="12" s="1"/>
  <c r="CO30" i="12"/>
  <c r="CO82" i="12" s="1"/>
  <c r="CN30" i="12"/>
  <c r="CN82" i="12" s="1"/>
  <c r="CM30" i="12"/>
  <c r="CM82" i="12" s="1"/>
  <c r="CL30" i="12"/>
  <c r="CL82" i="12" s="1"/>
  <c r="CK30" i="12"/>
  <c r="CK82" i="12" s="1"/>
  <c r="CJ30" i="12"/>
  <c r="CJ82" i="12" s="1"/>
  <c r="CI30" i="12"/>
  <c r="CI82" i="12" s="1"/>
  <c r="CH30" i="12"/>
  <c r="CH82" i="12" s="1"/>
  <c r="CG30" i="12"/>
  <c r="CG82" i="12" s="1"/>
  <c r="CF30" i="12"/>
  <c r="CF82" i="12" s="1"/>
  <c r="CE30" i="12"/>
  <c r="CE82" i="12" s="1"/>
  <c r="CD30" i="12"/>
  <c r="CD82" i="12" s="1"/>
  <c r="CC30" i="12"/>
  <c r="CC82" i="12" s="1"/>
  <c r="CB30" i="12"/>
  <c r="CB82" i="12" s="1"/>
  <c r="CA30" i="12"/>
  <c r="CA82" i="12" s="1"/>
  <c r="BZ30" i="12"/>
  <c r="BZ82" i="12" s="1"/>
  <c r="BY30" i="12"/>
  <c r="BY82" i="12" s="1"/>
  <c r="BX30" i="12"/>
  <c r="BX82" i="12" s="1"/>
  <c r="BW30" i="12"/>
  <c r="BW82" i="12" s="1"/>
  <c r="BV30" i="12"/>
  <c r="BV82" i="12" s="1"/>
  <c r="BU30" i="12"/>
  <c r="BU82" i="12" s="1"/>
  <c r="BT30" i="12"/>
  <c r="BT82" i="12" s="1"/>
  <c r="BS30" i="12"/>
  <c r="BS82" i="12" s="1"/>
  <c r="BR30" i="12"/>
  <c r="BR82" i="12" s="1"/>
  <c r="BQ30" i="12"/>
  <c r="BQ82" i="12" s="1"/>
  <c r="BP30" i="12"/>
  <c r="BP82" i="12" s="1"/>
  <c r="BO30" i="12"/>
  <c r="BO82" i="12" s="1"/>
  <c r="BN30" i="12"/>
  <c r="BN82" i="12" s="1"/>
  <c r="BM30" i="12"/>
  <c r="BM82" i="12" s="1"/>
  <c r="BL30" i="12"/>
  <c r="BL82" i="12" s="1"/>
  <c r="BK30" i="12"/>
  <c r="BK82" i="12" s="1"/>
  <c r="BJ30" i="12"/>
  <c r="BJ82" i="12" s="1"/>
  <c r="BI30" i="12"/>
  <c r="BI82" i="12" s="1"/>
  <c r="BH30" i="12"/>
  <c r="BH82" i="12" s="1"/>
  <c r="BG30" i="12"/>
  <c r="BG82" i="12" s="1"/>
  <c r="BF30" i="12"/>
  <c r="BF82" i="12" s="1"/>
  <c r="BE30" i="12"/>
  <c r="BE82" i="12" s="1"/>
  <c r="BD30" i="12"/>
  <c r="BD82" i="12" s="1"/>
  <c r="BC30" i="12"/>
  <c r="BC82" i="12" s="1"/>
  <c r="BB30" i="12"/>
  <c r="BB82" i="12" s="1"/>
  <c r="BA30" i="12"/>
  <c r="BA82" i="12" s="1"/>
  <c r="AZ30" i="12"/>
  <c r="AZ82" i="12" s="1"/>
  <c r="AY30" i="12"/>
  <c r="AY82" i="12" s="1"/>
  <c r="AX30" i="12"/>
  <c r="AX82" i="12" s="1"/>
  <c r="AW30" i="12"/>
  <c r="AW82" i="12" s="1"/>
  <c r="AV30" i="12"/>
  <c r="AV82" i="12" s="1"/>
  <c r="AU30" i="12"/>
  <c r="AU82" i="12" s="1"/>
  <c r="AT30" i="12"/>
  <c r="AT82" i="12" s="1"/>
  <c r="AS30" i="12"/>
  <c r="AS82" i="12" s="1"/>
  <c r="AR30" i="12"/>
  <c r="AR82" i="12" s="1"/>
  <c r="AQ30" i="12"/>
  <c r="AQ82" i="12" s="1"/>
  <c r="AP30" i="12"/>
  <c r="AP82" i="12" s="1"/>
  <c r="AO30" i="12"/>
  <c r="AO82" i="12" s="1"/>
  <c r="AN30" i="12"/>
  <c r="AN82" i="12" s="1"/>
  <c r="AM30" i="12"/>
  <c r="AM82" i="12" s="1"/>
  <c r="AL30" i="12"/>
  <c r="AL82" i="12" s="1"/>
  <c r="AK30" i="12"/>
  <c r="AK82" i="12" s="1"/>
  <c r="AJ30" i="12"/>
  <c r="AJ82" i="12" s="1"/>
  <c r="AI30" i="12"/>
  <c r="AI82" i="12" s="1"/>
  <c r="AH30" i="12"/>
  <c r="AH82" i="12" s="1"/>
  <c r="AG30" i="12"/>
  <c r="AG82" i="12" s="1"/>
  <c r="AF30" i="12"/>
  <c r="AF82" i="12" s="1"/>
  <c r="AE30" i="12"/>
  <c r="AE82" i="12" s="1"/>
  <c r="AD30" i="12"/>
  <c r="AD82" i="12" s="1"/>
  <c r="AC30" i="12"/>
  <c r="AC82" i="12" s="1"/>
  <c r="AB30" i="12"/>
  <c r="AB82" i="12" s="1"/>
  <c r="AA30" i="12"/>
  <c r="AA82" i="12" s="1"/>
  <c r="Z30" i="12"/>
  <c r="Z82" i="12" s="1"/>
  <c r="Y30" i="12"/>
  <c r="Y82" i="12" s="1"/>
  <c r="X30" i="12"/>
  <c r="X82" i="12" s="1"/>
  <c r="W30" i="12"/>
  <c r="W82" i="12" s="1"/>
  <c r="V30" i="12"/>
  <c r="V82" i="12" s="1"/>
  <c r="U30" i="12"/>
  <c r="U82" i="12" s="1"/>
  <c r="T30" i="12"/>
  <c r="T82" i="12" s="1"/>
  <c r="S30" i="12"/>
  <c r="S82" i="12" s="1"/>
  <c r="R30" i="12"/>
  <c r="R82" i="12" s="1"/>
  <c r="Q30" i="12"/>
  <c r="Q82" i="12" s="1"/>
  <c r="P30" i="12"/>
  <c r="P82" i="12" s="1"/>
  <c r="O30" i="12"/>
  <c r="O82" i="12" s="1"/>
  <c r="N30" i="12"/>
  <c r="N82" i="12" s="1"/>
  <c r="M30" i="12"/>
  <c r="M82" i="12" s="1"/>
  <c r="L30" i="12"/>
  <c r="L82" i="12" s="1"/>
  <c r="K30" i="12"/>
  <c r="K82" i="12" s="1"/>
  <c r="J30" i="12"/>
  <c r="J82" i="12" s="1"/>
  <c r="I30" i="12"/>
  <c r="I82" i="12" s="1"/>
  <c r="H30" i="12"/>
  <c r="H82" i="12" s="1"/>
  <c r="G30" i="12"/>
  <c r="G82" i="12" s="1"/>
  <c r="F30" i="12"/>
  <c r="F82" i="12" s="1"/>
  <c r="E30" i="12"/>
  <c r="E82" i="12" s="1"/>
  <c r="D30" i="12"/>
  <c r="D82" i="12" s="1"/>
  <c r="CX29" i="12"/>
  <c r="CX81" i="12" s="1"/>
  <c r="CW29" i="12"/>
  <c r="CW81" i="12" s="1"/>
  <c r="CV29" i="12"/>
  <c r="CV81" i="12" s="1"/>
  <c r="CU29" i="12"/>
  <c r="CU81" i="12" s="1"/>
  <c r="CT29" i="12"/>
  <c r="CT81" i="12" s="1"/>
  <c r="CS29" i="12"/>
  <c r="CS81" i="12" s="1"/>
  <c r="CR29" i="12"/>
  <c r="CR81" i="12" s="1"/>
  <c r="CQ29" i="12"/>
  <c r="CQ81" i="12" s="1"/>
  <c r="CP29" i="12"/>
  <c r="CP81" i="12" s="1"/>
  <c r="CO29" i="12"/>
  <c r="CO81" i="12" s="1"/>
  <c r="CN29" i="12"/>
  <c r="CN81" i="12" s="1"/>
  <c r="CM29" i="12"/>
  <c r="CM81" i="12" s="1"/>
  <c r="CL29" i="12"/>
  <c r="CL81" i="12" s="1"/>
  <c r="CK29" i="12"/>
  <c r="CK81" i="12" s="1"/>
  <c r="CJ29" i="12"/>
  <c r="CJ81" i="12" s="1"/>
  <c r="CI29" i="12"/>
  <c r="CI81" i="12" s="1"/>
  <c r="CH29" i="12"/>
  <c r="CH81" i="12" s="1"/>
  <c r="CG29" i="12"/>
  <c r="CG81" i="12" s="1"/>
  <c r="CF29" i="12"/>
  <c r="CF81" i="12" s="1"/>
  <c r="CE29" i="12"/>
  <c r="CE81" i="12" s="1"/>
  <c r="CD29" i="12"/>
  <c r="CD81" i="12" s="1"/>
  <c r="CC29" i="12"/>
  <c r="CC81" i="12" s="1"/>
  <c r="CB29" i="12"/>
  <c r="CB81" i="12" s="1"/>
  <c r="CA29" i="12"/>
  <c r="CA81" i="12" s="1"/>
  <c r="BZ29" i="12"/>
  <c r="BZ81" i="12" s="1"/>
  <c r="BY29" i="12"/>
  <c r="BY81" i="12" s="1"/>
  <c r="BX29" i="12"/>
  <c r="BX81" i="12" s="1"/>
  <c r="BW29" i="12"/>
  <c r="BW81" i="12" s="1"/>
  <c r="BV29" i="12"/>
  <c r="BV81" i="12" s="1"/>
  <c r="BU29" i="12"/>
  <c r="BU81" i="12" s="1"/>
  <c r="BT29" i="12"/>
  <c r="BT81" i="12" s="1"/>
  <c r="BS29" i="12"/>
  <c r="BS81" i="12" s="1"/>
  <c r="BR29" i="12"/>
  <c r="BR81" i="12" s="1"/>
  <c r="BQ29" i="12"/>
  <c r="BQ81" i="12" s="1"/>
  <c r="BP29" i="12"/>
  <c r="BP81" i="12" s="1"/>
  <c r="BO29" i="12"/>
  <c r="BO81" i="12" s="1"/>
  <c r="BN29" i="12"/>
  <c r="BN81" i="12" s="1"/>
  <c r="BM29" i="12"/>
  <c r="BM81" i="12" s="1"/>
  <c r="BL29" i="12"/>
  <c r="BL81" i="12" s="1"/>
  <c r="BK29" i="12"/>
  <c r="BK81" i="12" s="1"/>
  <c r="BJ29" i="12"/>
  <c r="BJ81" i="12" s="1"/>
  <c r="BI29" i="12"/>
  <c r="BI81" i="12" s="1"/>
  <c r="BH29" i="12"/>
  <c r="BH81" i="12" s="1"/>
  <c r="BG29" i="12"/>
  <c r="BG81" i="12" s="1"/>
  <c r="BF29" i="12"/>
  <c r="BF81" i="12" s="1"/>
  <c r="BE29" i="12"/>
  <c r="BE81" i="12" s="1"/>
  <c r="BD29" i="12"/>
  <c r="BD81" i="12" s="1"/>
  <c r="BC29" i="12"/>
  <c r="BC81" i="12" s="1"/>
  <c r="BB29" i="12"/>
  <c r="BB81" i="12" s="1"/>
  <c r="BA29" i="12"/>
  <c r="BA81" i="12" s="1"/>
  <c r="AZ29" i="12"/>
  <c r="AZ81" i="12" s="1"/>
  <c r="AY29" i="12"/>
  <c r="AY81" i="12" s="1"/>
  <c r="AX29" i="12"/>
  <c r="AX81" i="12" s="1"/>
  <c r="AW29" i="12"/>
  <c r="AW81" i="12" s="1"/>
  <c r="AV29" i="12"/>
  <c r="AV81" i="12" s="1"/>
  <c r="AU29" i="12"/>
  <c r="AU81" i="12" s="1"/>
  <c r="AT29" i="12"/>
  <c r="AT81" i="12" s="1"/>
  <c r="AS29" i="12"/>
  <c r="AS81" i="12" s="1"/>
  <c r="AR29" i="12"/>
  <c r="AR81" i="12" s="1"/>
  <c r="AQ29" i="12"/>
  <c r="AQ81" i="12" s="1"/>
  <c r="AP29" i="12"/>
  <c r="AP81" i="12" s="1"/>
  <c r="AO29" i="12"/>
  <c r="AO81" i="12" s="1"/>
  <c r="AN29" i="12"/>
  <c r="AN81" i="12" s="1"/>
  <c r="AM29" i="12"/>
  <c r="AM81" i="12" s="1"/>
  <c r="AL29" i="12"/>
  <c r="AL81" i="12" s="1"/>
  <c r="AK29" i="12"/>
  <c r="AK81" i="12" s="1"/>
  <c r="AJ29" i="12"/>
  <c r="AJ81" i="12" s="1"/>
  <c r="AI29" i="12"/>
  <c r="AI81" i="12" s="1"/>
  <c r="AH29" i="12"/>
  <c r="AH81" i="12" s="1"/>
  <c r="AG29" i="12"/>
  <c r="AG81" i="12" s="1"/>
  <c r="AF29" i="12"/>
  <c r="AF81" i="12" s="1"/>
  <c r="AE29" i="12"/>
  <c r="AE81" i="12" s="1"/>
  <c r="AD29" i="12"/>
  <c r="AD81" i="12" s="1"/>
  <c r="AC29" i="12"/>
  <c r="AC81" i="12" s="1"/>
  <c r="AB29" i="12"/>
  <c r="AB81" i="12" s="1"/>
  <c r="AA29" i="12"/>
  <c r="AA81" i="12" s="1"/>
  <c r="Z29" i="12"/>
  <c r="Z81" i="12" s="1"/>
  <c r="Y29" i="12"/>
  <c r="Y81" i="12" s="1"/>
  <c r="X29" i="12"/>
  <c r="X81" i="12" s="1"/>
  <c r="W29" i="12"/>
  <c r="W81" i="12" s="1"/>
  <c r="V29" i="12"/>
  <c r="V81" i="12" s="1"/>
  <c r="U29" i="12"/>
  <c r="U81" i="12" s="1"/>
  <c r="T29" i="12"/>
  <c r="T81" i="12" s="1"/>
  <c r="S29" i="12"/>
  <c r="S81" i="12" s="1"/>
  <c r="R29" i="12"/>
  <c r="R81" i="12" s="1"/>
  <c r="Q29" i="12"/>
  <c r="Q81" i="12" s="1"/>
  <c r="P29" i="12"/>
  <c r="P81" i="12" s="1"/>
  <c r="O29" i="12"/>
  <c r="O81" i="12" s="1"/>
  <c r="N29" i="12"/>
  <c r="N81" i="12" s="1"/>
  <c r="M29" i="12"/>
  <c r="M81" i="12" s="1"/>
  <c r="L29" i="12"/>
  <c r="L81" i="12" s="1"/>
  <c r="K29" i="12"/>
  <c r="K81" i="12" s="1"/>
  <c r="J29" i="12"/>
  <c r="J81" i="12" s="1"/>
  <c r="I29" i="12"/>
  <c r="I81" i="12" s="1"/>
  <c r="H29" i="12"/>
  <c r="H81" i="12" s="1"/>
  <c r="G29" i="12"/>
  <c r="G81" i="12" s="1"/>
  <c r="F29" i="12"/>
  <c r="F81" i="12" s="1"/>
  <c r="E29" i="12"/>
  <c r="E81" i="12" s="1"/>
  <c r="D29" i="12"/>
  <c r="D81" i="12" s="1"/>
  <c r="CX28" i="12"/>
  <c r="CX80" i="12" s="1"/>
  <c r="CW28" i="12"/>
  <c r="CW80" i="12" s="1"/>
  <c r="CV28" i="12"/>
  <c r="CV80" i="12" s="1"/>
  <c r="CU28" i="12"/>
  <c r="CU80" i="12" s="1"/>
  <c r="CT28" i="12"/>
  <c r="CT80" i="12" s="1"/>
  <c r="CS28" i="12"/>
  <c r="CS80" i="12" s="1"/>
  <c r="CR28" i="12"/>
  <c r="CR80" i="12" s="1"/>
  <c r="CQ28" i="12"/>
  <c r="CQ80" i="12" s="1"/>
  <c r="CP28" i="12"/>
  <c r="CP80" i="12" s="1"/>
  <c r="CO28" i="12"/>
  <c r="CO80" i="12" s="1"/>
  <c r="CN28" i="12"/>
  <c r="CN80" i="12" s="1"/>
  <c r="CM28" i="12"/>
  <c r="CM80" i="12" s="1"/>
  <c r="CL28" i="12"/>
  <c r="CL80" i="12" s="1"/>
  <c r="CK28" i="12"/>
  <c r="CK80" i="12" s="1"/>
  <c r="CJ28" i="12"/>
  <c r="CJ80" i="12" s="1"/>
  <c r="CI28" i="12"/>
  <c r="CI80" i="12" s="1"/>
  <c r="CH28" i="12"/>
  <c r="CH80" i="12" s="1"/>
  <c r="CG28" i="12"/>
  <c r="CG80" i="12" s="1"/>
  <c r="CF28" i="12"/>
  <c r="CF80" i="12" s="1"/>
  <c r="CE28" i="12"/>
  <c r="CE80" i="12" s="1"/>
  <c r="CD28" i="12"/>
  <c r="CD80" i="12" s="1"/>
  <c r="CC28" i="12"/>
  <c r="CC80" i="12" s="1"/>
  <c r="CB28" i="12"/>
  <c r="CB80" i="12" s="1"/>
  <c r="CA28" i="12"/>
  <c r="CA80" i="12" s="1"/>
  <c r="BZ28" i="12"/>
  <c r="BZ80" i="12" s="1"/>
  <c r="BY28" i="12"/>
  <c r="BY80" i="12" s="1"/>
  <c r="BX28" i="12"/>
  <c r="BX80" i="12" s="1"/>
  <c r="BW28" i="12"/>
  <c r="BW80" i="12" s="1"/>
  <c r="BV28" i="12"/>
  <c r="BV80" i="12" s="1"/>
  <c r="BU28" i="12"/>
  <c r="BU80" i="12" s="1"/>
  <c r="BT28" i="12"/>
  <c r="BT80" i="12" s="1"/>
  <c r="BS28" i="12"/>
  <c r="BS80" i="12" s="1"/>
  <c r="BR28" i="12"/>
  <c r="BR80" i="12" s="1"/>
  <c r="BQ28" i="12"/>
  <c r="BQ80" i="12" s="1"/>
  <c r="BP28" i="12"/>
  <c r="BP80" i="12" s="1"/>
  <c r="BO28" i="12"/>
  <c r="BO80" i="12" s="1"/>
  <c r="BN28" i="12"/>
  <c r="BN80" i="12" s="1"/>
  <c r="BM28" i="12"/>
  <c r="BM80" i="12" s="1"/>
  <c r="BL28" i="12"/>
  <c r="BL80" i="12" s="1"/>
  <c r="BK28" i="12"/>
  <c r="BK80" i="12" s="1"/>
  <c r="BJ28" i="12"/>
  <c r="BJ80" i="12" s="1"/>
  <c r="BI28" i="12"/>
  <c r="BI80" i="12" s="1"/>
  <c r="BH28" i="12"/>
  <c r="BH80" i="12" s="1"/>
  <c r="BG28" i="12"/>
  <c r="BG80" i="12" s="1"/>
  <c r="BF28" i="12"/>
  <c r="BF80" i="12" s="1"/>
  <c r="BE28" i="12"/>
  <c r="BE80" i="12" s="1"/>
  <c r="BD28" i="12"/>
  <c r="BD80" i="12" s="1"/>
  <c r="BC28" i="12"/>
  <c r="BC80" i="12" s="1"/>
  <c r="BB28" i="12"/>
  <c r="BB80" i="12" s="1"/>
  <c r="BA28" i="12"/>
  <c r="BA80" i="12" s="1"/>
  <c r="AZ28" i="12"/>
  <c r="AZ80" i="12" s="1"/>
  <c r="AY28" i="12"/>
  <c r="AY80" i="12" s="1"/>
  <c r="AX28" i="12"/>
  <c r="AX80" i="12" s="1"/>
  <c r="AW28" i="12"/>
  <c r="AW80" i="12" s="1"/>
  <c r="AV28" i="12"/>
  <c r="AV80" i="12" s="1"/>
  <c r="AU28" i="12"/>
  <c r="AU80" i="12" s="1"/>
  <c r="AT28" i="12"/>
  <c r="AT80" i="12" s="1"/>
  <c r="AS28" i="12"/>
  <c r="AS80" i="12" s="1"/>
  <c r="AR28" i="12"/>
  <c r="AR80" i="12" s="1"/>
  <c r="AQ28" i="12"/>
  <c r="AQ80" i="12" s="1"/>
  <c r="AP28" i="12"/>
  <c r="AP80" i="12" s="1"/>
  <c r="AO28" i="12"/>
  <c r="AO80" i="12" s="1"/>
  <c r="AN28" i="12"/>
  <c r="AN80" i="12" s="1"/>
  <c r="AM28" i="12"/>
  <c r="AM80" i="12" s="1"/>
  <c r="AL28" i="12"/>
  <c r="AL80" i="12" s="1"/>
  <c r="AK28" i="12"/>
  <c r="AK80" i="12" s="1"/>
  <c r="AJ28" i="12"/>
  <c r="AJ80" i="12" s="1"/>
  <c r="AI28" i="12"/>
  <c r="AI80" i="12" s="1"/>
  <c r="AH28" i="12"/>
  <c r="AH80" i="12" s="1"/>
  <c r="AG28" i="12"/>
  <c r="AG80" i="12" s="1"/>
  <c r="AF28" i="12"/>
  <c r="AF80" i="12" s="1"/>
  <c r="AE28" i="12"/>
  <c r="AE80" i="12" s="1"/>
  <c r="AD28" i="12"/>
  <c r="AD80" i="12" s="1"/>
  <c r="AC28" i="12"/>
  <c r="AC80" i="12" s="1"/>
  <c r="AB28" i="12"/>
  <c r="AB80" i="12" s="1"/>
  <c r="AA28" i="12"/>
  <c r="AA80" i="12" s="1"/>
  <c r="Z28" i="12"/>
  <c r="Z80" i="12" s="1"/>
  <c r="Y28" i="12"/>
  <c r="Y80" i="12" s="1"/>
  <c r="X28" i="12"/>
  <c r="X80" i="12" s="1"/>
  <c r="W28" i="12"/>
  <c r="W80" i="12" s="1"/>
  <c r="V28" i="12"/>
  <c r="V80" i="12" s="1"/>
  <c r="U28" i="12"/>
  <c r="U80" i="12" s="1"/>
  <c r="T28" i="12"/>
  <c r="T80" i="12" s="1"/>
  <c r="S28" i="12"/>
  <c r="S80" i="12" s="1"/>
  <c r="R28" i="12"/>
  <c r="R80" i="12" s="1"/>
  <c r="Q28" i="12"/>
  <c r="Q80" i="12" s="1"/>
  <c r="P28" i="12"/>
  <c r="P80" i="12" s="1"/>
  <c r="O28" i="12"/>
  <c r="O80" i="12" s="1"/>
  <c r="N28" i="12"/>
  <c r="N80" i="12" s="1"/>
  <c r="M28" i="12"/>
  <c r="M80" i="12" s="1"/>
  <c r="L28" i="12"/>
  <c r="L80" i="12" s="1"/>
  <c r="K28" i="12"/>
  <c r="K80" i="12" s="1"/>
  <c r="J28" i="12"/>
  <c r="J80" i="12" s="1"/>
  <c r="I28" i="12"/>
  <c r="I80" i="12" s="1"/>
  <c r="H28" i="12"/>
  <c r="H80" i="12" s="1"/>
  <c r="G28" i="12"/>
  <c r="G80" i="12" s="1"/>
  <c r="F28" i="12"/>
  <c r="F80" i="12" s="1"/>
  <c r="E28" i="12"/>
  <c r="E80" i="12" s="1"/>
  <c r="D28" i="12"/>
  <c r="D80" i="12" s="1"/>
  <c r="CX27" i="12"/>
  <c r="CX79" i="12" s="1"/>
  <c r="CW27" i="12"/>
  <c r="CW79" i="12" s="1"/>
  <c r="CV27" i="12"/>
  <c r="CV79" i="12" s="1"/>
  <c r="CU27" i="12"/>
  <c r="CU79" i="12" s="1"/>
  <c r="CT27" i="12"/>
  <c r="CT79" i="12" s="1"/>
  <c r="CS27" i="12"/>
  <c r="CS79" i="12" s="1"/>
  <c r="CR27" i="12"/>
  <c r="CR79" i="12" s="1"/>
  <c r="CQ27" i="12"/>
  <c r="CQ79" i="12" s="1"/>
  <c r="CP27" i="12"/>
  <c r="CP79" i="12" s="1"/>
  <c r="CO27" i="12"/>
  <c r="CO79" i="12" s="1"/>
  <c r="CN27" i="12"/>
  <c r="CN79" i="12" s="1"/>
  <c r="CM27" i="12"/>
  <c r="CM79" i="12" s="1"/>
  <c r="CL27" i="12"/>
  <c r="CL79" i="12" s="1"/>
  <c r="CK27" i="12"/>
  <c r="CK79" i="12" s="1"/>
  <c r="CJ27" i="12"/>
  <c r="CJ79" i="12" s="1"/>
  <c r="CI27" i="12"/>
  <c r="CI79" i="12" s="1"/>
  <c r="CH27" i="12"/>
  <c r="CH79" i="12" s="1"/>
  <c r="CG27" i="12"/>
  <c r="CG79" i="12" s="1"/>
  <c r="CF27" i="12"/>
  <c r="CF79" i="12" s="1"/>
  <c r="CE27" i="12"/>
  <c r="CE79" i="12" s="1"/>
  <c r="CD27" i="12"/>
  <c r="CD79" i="12" s="1"/>
  <c r="CC27" i="12"/>
  <c r="CC79" i="12" s="1"/>
  <c r="CB27" i="12"/>
  <c r="CB79" i="12" s="1"/>
  <c r="CA27" i="12"/>
  <c r="CA79" i="12" s="1"/>
  <c r="BZ27" i="12"/>
  <c r="BZ79" i="12" s="1"/>
  <c r="BY27" i="12"/>
  <c r="BY79" i="12" s="1"/>
  <c r="BX27" i="12"/>
  <c r="BX79" i="12" s="1"/>
  <c r="BW27" i="12"/>
  <c r="BW79" i="12" s="1"/>
  <c r="BV27" i="12"/>
  <c r="BV79" i="12" s="1"/>
  <c r="BU27" i="12"/>
  <c r="BU79" i="12" s="1"/>
  <c r="BT27" i="12"/>
  <c r="BT79" i="12" s="1"/>
  <c r="BS27" i="12"/>
  <c r="BS79" i="12" s="1"/>
  <c r="BR27" i="12"/>
  <c r="BR79" i="12" s="1"/>
  <c r="BQ27" i="12"/>
  <c r="BQ79" i="12" s="1"/>
  <c r="BP27" i="12"/>
  <c r="BP79" i="12" s="1"/>
  <c r="BO27" i="12"/>
  <c r="BO79" i="12" s="1"/>
  <c r="BN27" i="12"/>
  <c r="BN79" i="12" s="1"/>
  <c r="BM27" i="12"/>
  <c r="BM79" i="12" s="1"/>
  <c r="BL27" i="12"/>
  <c r="BL79" i="12" s="1"/>
  <c r="BK27" i="12"/>
  <c r="BK79" i="12" s="1"/>
  <c r="BJ27" i="12"/>
  <c r="BJ79" i="12" s="1"/>
  <c r="BI27" i="12"/>
  <c r="BI79" i="12" s="1"/>
  <c r="BH27" i="12"/>
  <c r="BH79" i="12" s="1"/>
  <c r="BG27" i="12"/>
  <c r="BG79" i="12" s="1"/>
  <c r="BF27" i="12"/>
  <c r="BF79" i="12" s="1"/>
  <c r="BE27" i="12"/>
  <c r="BE79" i="12" s="1"/>
  <c r="BD27" i="12"/>
  <c r="BD79" i="12" s="1"/>
  <c r="BC27" i="12"/>
  <c r="BC79" i="12" s="1"/>
  <c r="BB27" i="12"/>
  <c r="BB79" i="12" s="1"/>
  <c r="BA27" i="12"/>
  <c r="BA79" i="12" s="1"/>
  <c r="AZ27" i="12"/>
  <c r="AZ79" i="12" s="1"/>
  <c r="AY27" i="12"/>
  <c r="AY79" i="12" s="1"/>
  <c r="AX27" i="12"/>
  <c r="AX79" i="12" s="1"/>
  <c r="AW27" i="12"/>
  <c r="AW79" i="12" s="1"/>
  <c r="AV27" i="12"/>
  <c r="AV79" i="12" s="1"/>
  <c r="AU27" i="12"/>
  <c r="AU79" i="12" s="1"/>
  <c r="AT27" i="12"/>
  <c r="AT79" i="12" s="1"/>
  <c r="AS27" i="12"/>
  <c r="AS79" i="12" s="1"/>
  <c r="AR27" i="12"/>
  <c r="AR79" i="12" s="1"/>
  <c r="AQ27" i="12"/>
  <c r="AQ79" i="12" s="1"/>
  <c r="AP27" i="12"/>
  <c r="AP79" i="12" s="1"/>
  <c r="AO27" i="12"/>
  <c r="AO79" i="12" s="1"/>
  <c r="AN27" i="12"/>
  <c r="AN79" i="12" s="1"/>
  <c r="AM27" i="12"/>
  <c r="AM79" i="12" s="1"/>
  <c r="AL27" i="12"/>
  <c r="AL79" i="12" s="1"/>
  <c r="AK27" i="12"/>
  <c r="AK79" i="12" s="1"/>
  <c r="AJ27" i="12"/>
  <c r="AJ79" i="12" s="1"/>
  <c r="AI27" i="12"/>
  <c r="AI79" i="12" s="1"/>
  <c r="AH27" i="12"/>
  <c r="AH79" i="12" s="1"/>
  <c r="AG27" i="12"/>
  <c r="AG79" i="12" s="1"/>
  <c r="AF27" i="12"/>
  <c r="AF79" i="12" s="1"/>
  <c r="AE27" i="12"/>
  <c r="AE79" i="12" s="1"/>
  <c r="AD27" i="12"/>
  <c r="AD79" i="12" s="1"/>
  <c r="AC27" i="12"/>
  <c r="AC79" i="12" s="1"/>
  <c r="AB27" i="12"/>
  <c r="AB79" i="12" s="1"/>
  <c r="AA27" i="12"/>
  <c r="AA79" i="12" s="1"/>
  <c r="Z27" i="12"/>
  <c r="Z79" i="12" s="1"/>
  <c r="Y27" i="12"/>
  <c r="Y79" i="12" s="1"/>
  <c r="X27" i="12"/>
  <c r="X79" i="12" s="1"/>
  <c r="W27" i="12"/>
  <c r="W79" i="12" s="1"/>
  <c r="V27" i="12"/>
  <c r="V79" i="12" s="1"/>
  <c r="U27" i="12"/>
  <c r="U79" i="12" s="1"/>
  <c r="T27" i="12"/>
  <c r="T79" i="12" s="1"/>
  <c r="S27" i="12"/>
  <c r="S79" i="12" s="1"/>
  <c r="R27" i="12"/>
  <c r="R79" i="12" s="1"/>
  <c r="Q27" i="12"/>
  <c r="Q79" i="12" s="1"/>
  <c r="P27" i="12"/>
  <c r="P79" i="12" s="1"/>
  <c r="O27" i="12"/>
  <c r="O79" i="12" s="1"/>
  <c r="N27" i="12"/>
  <c r="N79" i="12" s="1"/>
  <c r="M27" i="12"/>
  <c r="M79" i="12" s="1"/>
  <c r="L27" i="12"/>
  <c r="L79" i="12" s="1"/>
  <c r="K27" i="12"/>
  <c r="K79" i="12" s="1"/>
  <c r="J27" i="12"/>
  <c r="J79" i="12" s="1"/>
  <c r="I27" i="12"/>
  <c r="I79" i="12" s="1"/>
  <c r="H27" i="12"/>
  <c r="H79" i="12" s="1"/>
  <c r="G27" i="12"/>
  <c r="G79" i="12" s="1"/>
  <c r="F27" i="12"/>
  <c r="F79" i="12" s="1"/>
  <c r="E27" i="12"/>
  <c r="E79" i="12" s="1"/>
  <c r="D27" i="12"/>
  <c r="D79" i="12" s="1"/>
  <c r="CX26" i="12"/>
  <c r="CX78" i="12" s="1"/>
  <c r="CW26" i="12"/>
  <c r="CW78" i="12" s="1"/>
  <c r="CV26" i="12"/>
  <c r="CV78" i="12" s="1"/>
  <c r="CU26" i="12"/>
  <c r="CU78" i="12" s="1"/>
  <c r="CT26" i="12"/>
  <c r="CT78" i="12" s="1"/>
  <c r="CS26" i="12"/>
  <c r="CS78" i="12" s="1"/>
  <c r="CR26" i="12"/>
  <c r="CR78" i="12" s="1"/>
  <c r="CQ26" i="12"/>
  <c r="CQ78" i="12" s="1"/>
  <c r="CP26" i="12"/>
  <c r="CP78" i="12" s="1"/>
  <c r="CO26" i="12"/>
  <c r="CO78" i="12" s="1"/>
  <c r="CN26" i="12"/>
  <c r="CN78" i="12" s="1"/>
  <c r="CM26" i="12"/>
  <c r="CM78" i="12" s="1"/>
  <c r="CL26" i="12"/>
  <c r="CL78" i="12" s="1"/>
  <c r="CK26" i="12"/>
  <c r="CK78" i="12" s="1"/>
  <c r="CJ26" i="12"/>
  <c r="CJ78" i="12" s="1"/>
  <c r="CI26" i="12"/>
  <c r="CI78" i="12" s="1"/>
  <c r="CH26" i="12"/>
  <c r="CH78" i="12" s="1"/>
  <c r="CG26" i="12"/>
  <c r="CG78" i="12" s="1"/>
  <c r="CF26" i="12"/>
  <c r="CF78" i="12" s="1"/>
  <c r="CE26" i="12"/>
  <c r="CE78" i="12" s="1"/>
  <c r="CD26" i="12"/>
  <c r="CD78" i="12" s="1"/>
  <c r="CC26" i="12"/>
  <c r="CC78" i="12" s="1"/>
  <c r="CB26" i="12"/>
  <c r="CB78" i="12" s="1"/>
  <c r="CA26" i="12"/>
  <c r="CA78" i="12" s="1"/>
  <c r="BZ26" i="12"/>
  <c r="BZ78" i="12" s="1"/>
  <c r="BY26" i="12"/>
  <c r="BY78" i="12" s="1"/>
  <c r="BX26" i="12"/>
  <c r="BX78" i="12" s="1"/>
  <c r="BW26" i="12"/>
  <c r="BW78" i="12" s="1"/>
  <c r="BV26" i="12"/>
  <c r="BV78" i="12" s="1"/>
  <c r="BU26" i="12"/>
  <c r="BU78" i="12" s="1"/>
  <c r="BT26" i="12"/>
  <c r="BT78" i="12" s="1"/>
  <c r="BS26" i="12"/>
  <c r="BS78" i="12" s="1"/>
  <c r="BR26" i="12"/>
  <c r="BR78" i="12" s="1"/>
  <c r="BQ26" i="12"/>
  <c r="BQ78" i="12" s="1"/>
  <c r="BP26" i="12"/>
  <c r="BP78" i="12" s="1"/>
  <c r="BO26" i="12"/>
  <c r="BO78" i="12" s="1"/>
  <c r="BN26" i="12"/>
  <c r="BN78" i="12" s="1"/>
  <c r="BM26" i="12"/>
  <c r="BM78" i="12" s="1"/>
  <c r="BL26" i="12"/>
  <c r="BL78" i="12" s="1"/>
  <c r="BK26" i="12"/>
  <c r="BK78" i="12" s="1"/>
  <c r="BJ26" i="12"/>
  <c r="BJ78" i="12" s="1"/>
  <c r="BI26" i="12"/>
  <c r="BI78" i="12" s="1"/>
  <c r="BH26" i="12"/>
  <c r="BH78" i="12" s="1"/>
  <c r="BG26" i="12"/>
  <c r="BG78" i="12" s="1"/>
  <c r="BF26" i="12"/>
  <c r="BF78" i="12" s="1"/>
  <c r="BE26" i="12"/>
  <c r="BE78" i="12" s="1"/>
  <c r="BD26" i="12"/>
  <c r="BD78" i="12" s="1"/>
  <c r="BC26" i="12"/>
  <c r="BC78" i="12" s="1"/>
  <c r="BB26" i="12"/>
  <c r="BB78" i="12" s="1"/>
  <c r="BA26" i="12"/>
  <c r="BA78" i="12" s="1"/>
  <c r="AZ26" i="12"/>
  <c r="AZ78" i="12" s="1"/>
  <c r="AY26" i="12"/>
  <c r="AY78" i="12" s="1"/>
  <c r="AX26" i="12"/>
  <c r="AX78" i="12" s="1"/>
  <c r="AW26" i="12"/>
  <c r="AW78" i="12" s="1"/>
  <c r="AV26" i="12"/>
  <c r="AV78" i="12" s="1"/>
  <c r="AU26" i="12"/>
  <c r="AU78" i="12" s="1"/>
  <c r="AT26" i="12"/>
  <c r="AT78" i="12" s="1"/>
  <c r="AS26" i="12"/>
  <c r="AS78" i="12" s="1"/>
  <c r="AR26" i="12"/>
  <c r="AR78" i="12" s="1"/>
  <c r="AQ26" i="12"/>
  <c r="AQ78" i="12" s="1"/>
  <c r="AP26" i="12"/>
  <c r="AP78" i="12" s="1"/>
  <c r="AO26" i="12"/>
  <c r="AO78" i="12" s="1"/>
  <c r="AN26" i="12"/>
  <c r="AN78" i="12" s="1"/>
  <c r="AM26" i="12"/>
  <c r="AM78" i="12" s="1"/>
  <c r="AL26" i="12"/>
  <c r="AL78" i="12" s="1"/>
  <c r="AK26" i="12"/>
  <c r="AK78" i="12" s="1"/>
  <c r="AJ26" i="12"/>
  <c r="AJ78" i="12" s="1"/>
  <c r="AI26" i="12"/>
  <c r="AI78" i="12" s="1"/>
  <c r="AH26" i="12"/>
  <c r="AH78" i="12" s="1"/>
  <c r="AG26" i="12"/>
  <c r="AG78" i="12" s="1"/>
  <c r="AF26" i="12"/>
  <c r="AF78" i="12" s="1"/>
  <c r="AE26" i="12"/>
  <c r="AE78" i="12" s="1"/>
  <c r="AD26" i="12"/>
  <c r="AD78" i="12" s="1"/>
  <c r="AC26" i="12"/>
  <c r="AC78" i="12" s="1"/>
  <c r="AB26" i="12"/>
  <c r="AB78" i="12" s="1"/>
  <c r="AA26" i="12"/>
  <c r="AA78" i="12" s="1"/>
  <c r="Z26" i="12"/>
  <c r="Z78" i="12" s="1"/>
  <c r="Y26" i="12"/>
  <c r="Y78" i="12" s="1"/>
  <c r="X26" i="12"/>
  <c r="X78" i="12" s="1"/>
  <c r="W26" i="12"/>
  <c r="W78" i="12" s="1"/>
  <c r="V26" i="12"/>
  <c r="V78" i="12" s="1"/>
  <c r="U26" i="12"/>
  <c r="U78" i="12" s="1"/>
  <c r="T26" i="12"/>
  <c r="T78" i="12" s="1"/>
  <c r="S26" i="12"/>
  <c r="S78" i="12" s="1"/>
  <c r="R26" i="12"/>
  <c r="R78" i="12" s="1"/>
  <c r="Q26" i="12"/>
  <c r="Q78" i="12" s="1"/>
  <c r="P26" i="12"/>
  <c r="P78" i="12" s="1"/>
  <c r="O26" i="12"/>
  <c r="O78" i="12" s="1"/>
  <c r="N26" i="12"/>
  <c r="N78" i="12" s="1"/>
  <c r="M26" i="12"/>
  <c r="M78" i="12" s="1"/>
  <c r="L26" i="12"/>
  <c r="L78" i="12" s="1"/>
  <c r="K26" i="12"/>
  <c r="K78" i="12" s="1"/>
  <c r="J26" i="12"/>
  <c r="J78" i="12" s="1"/>
  <c r="I26" i="12"/>
  <c r="I78" i="12" s="1"/>
  <c r="H26" i="12"/>
  <c r="H78" i="12" s="1"/>
  <c r="G26" i="12"/>
  <c r="G78" i="12" s="1"/>
  <c r="F26" i="12"/>
  <c r="F78" i="12" s="1"/>
  <c r="E26" i="12"/>
  <c r="D26" i="12"/>
  <c r="D78" i="12" s="1"/>
  <c r="CX25" i="12"/>
  <c r="CX77" i="12" s="1"/>
  <c r="CW25" i="12"/>
  <c r="CW77" i="12" s="1"/>
  <c r="CV25" i="12"/>
  <c r="CV77" i="12" s="1"/>
  <c r="CU25" i="12"/>
  <c r="CU77" i="12" s="1"/>
  <c r="CT25" i="12"/>
  <c r="CT77" i="12" s="1"/>
  <c r="CS25" i="12"/>
  <c r="CS77" i="12" s="1"/>
  <c r="CR25" i="12"/>
  <c r="CR77" i="12" s="1"/>
  <c r="CQ25" i="12"/>
  <c r="CQ77" i="12" s="1"/>
  <c r="CP25" i="12"/>
  <c r="CP77" i="12" s="1"/>
  <c r="CO25" i="12"/>
  <c r="CO77" i="12" s="1"/>
  <c r="CN25" i="12"/>
  <c r="CN77" i="12" s="1"/>
  <c r="CM25" i="12"/>
  <c r="CM77" i="12" s="1"/>
  <c r="CL25" i="12"/>
  <c r="CL77" i="12" s="1"/>
  <c r="CK25" i="12"/>
  <c r="CK77" i="12" s="1"/>
  <c r="CJ25" i="12"/>
  <c r="CJ77" i="12" s="1"/>
  <c r="CI25" i="12"/>
  <c r="CI77" i="12" s="1"/>
  <c r="CH25" i="12"/>
  <c r="CH77" i="12" s="1"/>
  <c r="CG25" i="12"/>
  <c r="CG77" i="12" s="1"/>
  <c r="CF25" i="12"/>
  <c r="CF77" i="12" s="1"/>
  <c r="CE25" i="12"/>
  <c r="CE77" i="12" s="1"/>
  <c r="CD25" i="12"/>
  <c r="CD77" i="12" s="1"/>
  <c r="CC25" i="12"/>
  <c r="CC77" i="12" s="1"/>
  <c r="CB25" i="12"/>
  <c r="CB77" i="12" s="1"/>
  <c r="CA25" i="12"/>
  <c r="CA77" i="12" s="1"/>
  <c r="BZ25" i="12"/>
  <c r="BZ77" i="12" s="1"/>
  <c r="BY25" i="12"/>
  <c r="BY77" i="12" s="1"/>
  <c r="BX25" i="12"/>
  <c r="BX77" i="12" s="1"/>
  <c r="BW25" i="12"/>
  <c r="BW77" i="12" s="1"/>
  <c r="BV25" i="12"/>
  <c r="BV77" i="12" s="1"/>
  <c r="BU25" i="12"/>
  <c r="BU77" i="12" s="1"/>
  <c r="BT25" i="12"/>
  <c r="BT77" i="12" s="1"/>
  <c r="BS25" i="12"/>
  <c r="BS77" i="12" s="1"/>
  <c r="BR25" i="12"/>
  <c r="BR77" i="12" s="1"/>
  <c r="BQ25" i="12"/>
  <c r="BQ77" i="12" s="1"/>
  <c r="BP25" i="12"/>
  <c r="BP77" i="12" s="1"/>
  <c r="BO25" i="12"/>
  <c r="BO77" i="12" s="1"/>
  <c r="BN25" i="12"/>
  <c r="BN77" i="12" s="1"/>
  <c r="BM25" i="12"/>
  <c r="BM77" i="12" s="1"/>
  <c r="BL25" i="12"/>
  <c r="BL77" i="12" s="1"/>
  <c r="BK25" i="12"/>
  <c r="BK77" i="12" s="1"/>
  <c r="BJ25" i="12"/>
  <c r="BJ77" i="12" s="1"/>
  <c r="BI25" i="12"/>
  <c r="BI77" i="12" s="1"/>
  <c r="BH25" i="12"/>
  <c r="BH77" i="12" s="1"/>
  <c r="BG25" i="12"/>
  <c r="BG77" i="12" s="1"/>
  <c r="BF25" i="12"/>
  <c r="BF77" i="12" s="1"/>
  <c r="BE25" i="12"/>
  <c r="BE77" i="12" s="1"/>
  <c r="BD25" i="12"/>
  <c r="BD77" i="12" s="1"/>
  <c r="BC25" i="12"/>
  <c r="BC77" i="12" s="1"/>
  <c r="BB25" i="12"/>
  <c r="BB77" i="12" s="1"/>
  <c r="BA25" i="12"/>
  <c r="BA77" i="12" s="1"/>
  <c r="AZ25" i="12"/>
  <c r="AZ77" i="12" s="1"/>
  <c r="AY25" i="12"/>
  <c r="AY77" i="12" s="1"/>
  <c r="AX25" i="12"/>
  <c r="AX77" i="12" s="1"/>
  <c r="AW25" i="12"/>
  <c r="AW77" i="12" s="1"/>
  <c r="AV25" i="12"/>
  <c r="AV77" i="12" s="1"/>
  <c r="AU25" i="12"/>
  <c r="AU77" i="12" s="1"/>
  <c r="AT25" i="12"/>
  <c r="AT77" i="12" s="1"/>
  <c r="AS25" i="12"/>
  <c r="AS77" i="12" s="1"/>
  <c r="AR25" i="12"/>
  <c r="AR77" i="12" s="1"/>
  <c r="AQ25" i="12"/>
  <c r="AQ77" i="12" s="1"/>
  <c r="AP25" i="12"/>
  <c r="AP77" i="12" s="1"/>
  <c r="AO25" i="12"/>
  <c r="AO77" i="12" s="1"/>
  <c r="AN25" i="12"/>
  <c r="AN77" i="12" s="1"/>
  <c r="AM25" i="12"/>
  <c r="AM77" i="12" s="1"/>
  <c r="AL25" i="12"/>
  <c r="AL77" i="12" s="1"/>
  <c r="AK25" i="12"/>
  <c r="AK77" i="12" s="1"/>
  <c r="AJ25" i="12"/>
  <c r="AJ77" i="12" s="1"/>
  <c r="AI25" i="12"/>
  <c r="AI77" i="12" s="1"/>
  <c r="AH25" i="12"/>
  <c r="AH77" i="12" s="1"/>
  <c r="AG25" i="12"/>
  <c r="AG77" i="12" s="1"/>
  <c r="AF25" i="12"/>
  <c r="AF77" i="12" s="1"/>
  <c r="AE25" i="12"/>
  <c r="AE77" i="12" s="1"/>
  <c r="AD25" i="12"/>
  <c r="AD77" i="12" s="1"/>
  <c r="AC25" i="12"/>
  <c r="AC77" i="12" s="1"/>
  <c r="AB25" i="12"/>
  <c r="AB77" i="12" s="1"/>
  <c r="AA25" i="12"/>
  <c r="AA77" i="12" s="1"/>
  <c r="Z25" i="12"/>
  <c r="Z77" i="12" s="1"/>
  <c r="Y25" i="12"/>
  <c r="Y77" i="12" s="1"/>
  <c r="X25" i="12"/>
  <c r="X77" i="12" s="1"/>
  <c r="W25" i="12"/>
  <c r="W77" i="12" s="1"/>
  <c r="V25" i="12"/>
  <c r="V77" i="12" s="1"/>
  <c r="U25" i="12"/>
  <c r="U77" i="12" s="1"/>
  <c r="T25" i="12"/>
  <c r="T77" i="12" s="1"/>
  <c r="S25" i="12"/>
  <c r="S77" i="12" s="1"/>
  <c r="R25" i="12"/>
  <c r="R77" i="12" s="1"/>
  <c r="Q25" i="12"/>
  <c r="Q77" i="12" s="1"/>
  <c r="P25" i="12"/>
  <c r="P77" i="12" s="1"/>
  <c r="O25" i="12"/>
  <c r="O77" i="12" s="1"/>
  <c r="N25" i="12"/>
  <c r="N77" i="12" s="1"/>
  <c r="M25" i="12"/>
  <c r="M77" i="12" s="1"/>
  <c r="L25" i="12"/>
  <c r="L77" i="12" s="1"/>
  <c r="K25" i="12"/>
  <c r="K77" i="12" s="1"/>
  <c r="J25" i="12"/>
  <c r="J77" i="12" s="1"/>
  <c r="I25" i="12"/>
  <c r="I77" i="12" s="1"/>
  <c r="H25" i="12"/>
  <c r="H77" i="12" s="1"/>
  <c r="G25" i="12"/>
  <c r="G77" i="12" s="1"/>
  <c r="F25" i="12"/>
  <c r="F77" i="12" s="1"/>
  <c r="E25" i="12"/>
  <c r="E77" i="12" s="1"/>
  <c r="D25" i="12"/>
  <c r="D77" i="12" s="1"/>
  <c r="CX24" i="12"/>
  <c r="CX76" i="12" s="1"/>
  <c r="CW24" i="12"/>
  <c r="CW76" i="12" s="1"/>
  <c r="CV24" i="12"/>
  <c r="CV76" i="12" s="1"/>
  <c r="CU24" i="12"/>
  <c r="CU76" i="12" s="1"/>
  <c r="CT24" i="12"/>
  <c r="CT76" i="12" s="1"/>
  <c r="CS24" i="12"/>
  <c r="CS76" i="12" s="1"/>
  <c r="CR24" i="12"/>
  <c r="CR76" i="12" s="1"/>
  <c r="CQ24" i="12"/>
  <c r="CQ76" i="12" s="1"/>
  <c r="CP24" i="12"/>
  <c r="CP76" i="12" s="1"/>
  <c r="CO24" i="12"/>
  <c r="CO76" i="12" s="1"/>
  <c r="CN24" i="12"/>
  <c r="CN76" i="12" s="1"/>
  <c r="CM24" i="12"/>
  <c r="CM76" i="12" s="1"/>
  <c r="CL24" i="12"/>
  <c r="CL76" i="12" s="1"/>
  <c r="CK24" i="12"/>
  <c r="CK76" i="12" s="1"/>
  <c r="CJ24" i="12"/>
  <c r="CJ76" i="12" s="1"/>
  <c r="CI24" i="12"/>
  <c r="CI76" i="12" s="1"/>
  <c r="CH24" i="12"/>
  <c r="CH76" i="12" s="1"/>
  <c r="CG24" i="12"/>
  <c r="CG76" i="12" s="1"/>
  <c r="CF24" i="12"/>
  <c r="CF76" i="12" s="1"/>
  <c r="CE24" i="12"/>
  <c r="CE76" i="12" s="1"/>
  <c r="CD24" i="12"/>
  <c r="CD76" i="12" s="1"/>
  <c r="CC24" i="12"/>
  <c r="CC76" i="12" s="1"/>
  <c r="CB24" i="12"/>
  <c r="CB76" i="12" s="1"/>
  <c r="CA24" i="12"/>
  <c r="CA76" i="12" s="1"/>
  <c r="BZ24" i="12"/>
  <c r="BZ76" i="12" s="1"/>
  <c r="BY24" i="12"/>
  <c r="BY76" i="12" s="1"/>
  <c r="BX24" i="12"/>
  <c r="BX76" i="12" s="1"/>
  <c r="BW24" i="12"/>
  <c r="BW76" i="12" s="1"/>
  <c r="BV24" i="12"/>
  <c r="BV76" i="12" s="1"/>
  <c r="BU24" i="12"/>
  <c r="BU76" i="12" s="1"/>
  <c r="BT24" i="12"/>
  <c r="BT76" i="12" s="1"/>
  <c r="BS24" i="12"/>
  <c r="BS76" i="12" s="1"/>
  <c r="BR24" i="12"/>
  <c r="BR76" i="12" s="1"/>
  <c r="BQ24" i="12"/>
  <c r="BQ76" i="12" s="1"/>
  <c r="BP24" i="12"/>
  <c r="BP76" i="12" s="1"/>
  <c r="BO24" i="12"/>
  <c r="BO76" i="12" s="1"/>
  <c r="BN24" i="12"/>
  <c r="BN76" i="12" s="1"/>
  <c r="BM24" i="12"/>
  <c r="BM76" i="12" s="1"/>
  <c r="BL24" i="12"/>
  <c r="BL76" i="12" s="1"/>
  <c r="BK24" i="12"/>
  <c r="BK76" i="12" s="1"/>
  <c r="BJ24" i="12"/>
  <c r="BJ76" i="12" s="1"/>
  <c r="BI24" i="12"/>
  <c r="BI76" i="12" s="1"/>
  <c r="BH24" i="12"/>
  <c r="BH76" i="12" s="1"/>
  <c r="BG24" i="12"/>
  <c r="BG76" i="12" s="1"/>
  <c r="BF24" i="12"/>
  <c r="BF76" i="12" s="1"/>
  <c r="BE24" i="12"/>
  <c r="BE76" i="12" s="1"/>
  <c r="BD24" i="12"/>
  <c r="BD76" i="12" s="1"/>
  <c r="BC24" i="12"/>
  <c r="BC76" i="12" s="1"/>
  <c r="BB24" i="12"/>
  <c r="BB76" i="12" s="1"/>
  <c r="BA24" i="12"/>
  <c r="BA76" i="12" s="1"/>
  <c r="AZ24" i="12"/>
  <c r="AZ76" i="12" s="1"/>
  <c r="AY24" i="12"/>
  <c r="AY76" i="12" s="1"/>
  <c r="AX24" i="12"/>
  <c r="AX76" i="12" s="1"/>
  <c r="AW24" i="12"/>
  <c r="AW76" i="12" s="1"/>
  <c r="AV24" i="12"/>
  <c r="AV76" i="12" s="1"/>
  <c r="AU24" i="12"/>
  <c r="AU76" i="12" s="1"/>
  <c r="AT24" i="12"/>
  <c r="AT76" i="12" s="1"/>
  <c r="AS24" i="12"/>
  <c r="AS76" i="12" s="1"/>
  <c r="AR24" i="12"/>
  <c r="AR76" i="12" s="1"/>
  <c r="AQ24" i="12"/>
  <c r="AQ76" i="12" s="1"/>
  <c r="AP24" i="12"/>
  <c r="AP76" i="12" s="1"/>
  <c r="AO24" i="12"/>
  <c r="AO76" i="12" s="1"/>
  <c r="AN24" i="12"/>
  <c r="AN76" i="12" s="1"/>
  <c r="AM24" i="12"/>
  <c r="AM76" i="12" s="1"/>
  <c r="AL24" i="12"/>
  <c r="AL76" i="12" s="1"/>
  <c r="AK24" i="12"/>
  <c r="AK76" i="12" s="1"/>
  <c r="AJ24" i="12"/>
  <c r="AJ76" i="12" s="1"/>
  <c r="AI24" i="12"/>
  <c r="AI76" i="12" s="1"/>
  <c r="AH24" i="12"/>
  <c r="AH76" i="12" s="1"/>
  <c r="AG24" i="12"/>
  <c r="AG76" i="12" s="1"/>
  <c r="AF24" i="12"/>
  <c r="AF76" i="12" s="1"/>
  <c r="AE24" i="12"/>
  <c r="AE76" i="12" s="1"/>
  <c r="AD24" i="12"/>
  <c r="AD76" i="12" s="1"/>
  <c r="AC24" i="12"/>
  <c r="AC76" i="12" s="1"/>
  <c r="AB24" i="12"/>
  <c r="AB76" i="12" s="1"/>
  <c r="AA24" i="12"/>
  <c r="AA76" i="12" s="1"/>
  <c r="Z24" i="12"/>
  <c r="Z76" i="12" s="1"/>
  <c r="Y24" i="12"/>
  <c r="Y76" i="12" s="1"/>
  <c r="X24" i="12"/>
  <c r="X76" i="12" s="1"/>
  <c r="W24" i="12"/>
  <c r="W76" i="12" s="1"/>
  <c r="V24" i="12"/>
  <c r="V76" i="12" s="1"/>
  <c r="U24" i="12"/>
  <c r="U76" i="12" s="1"/>
  <c r="T24" i="12"/>
  <c r="T76" i="12" s="1"/>
  <c r="S24" i="12"/>
  <c r="S76" i="12" s="1"/>
  <c r="R24" i="12"/>
  <c r="R76" i="12" s="1"/>
  <c r="Q24" i="12"/>
  <c r="Q76" i="12" s="1"/>
  <c r="P24" i="12"/>
  <c r="P76" i="12" s="1"/>
  <c r="O24" i="12"/>
  <c r="O76" i="12" s="1"/>
  <c r="N24" i="12"/>
  <c r="N76" i="12" s="1"/>
  <c r="M24" i="12"/>
  <c r="M76" i="12" s="1"/>
  <c r="L24" i="12"/>
  <c r="L76" i="12" s="1"/>
  <c r="K24" i="12"/>
  <c r="K76" i="12" s="1"/>
  <c r="J24" i="12"/>
  <c r="J76" i="12" s="1"/>
  <c r="I24" i="12"/>
  <c r="I76" i="12" s="1"/>
  <c r="H24" i="12"/>
  <c r="H76" i="12" s="1"/>
  <c r="G24" i="12"/>
  <c r="G76" i="12" s="1"/>
  <c r="F24" i="12"/>
  <c r="F76" i="12" s="1"/>
  <c r="E24" i="12"/>
  <c r="E76" i="12" s="1"/>
  <c r="D24" i="12"/>
  <c r="D76" i="12" s="1"/>
  <c r="CX23" i="12"/>
  <c r="CX75" i="12" s="1"/>
  <c r="CW23" i="12"/>
  <c r="CW75" i="12" s="1"/>
  <c r="CV23" i="12"/>
  <c r="CV75" i="12" s="1"/>
  <c r="CU23" i="12"/>
  <c r="CU75" i="12" s="1"/>
  <c r="CT23" i="12"/>
  <c r="CT75" i="12" s="1"/>
  <c r="CS23" i="12"/>
  <c r="CS75" i="12" s="1"/>
  <c r="CR23" i="12"/>
  <c r="CR75" i="12" s="1"/>
  <c r="CQ23" i="12"/>
  <c r="CQ75" i="12" s="1"/>
  <c r="CP23" i="12"/>
  <c r="CP75" i="12" s="1"/>
  <c r="CO23" i="12"/>
  <c r="CO75" i="12" s="1"/>
  <c r="CN23" i="12"/>
  <c r="CN75" i="12" s="1"/>
  <c r="CM23" i="12"/>
  <c r="CM75" i="12" s="1"/>
  <c r="CL23" i="12"/>
  <c r="CL75" i="12" s="1"/>
  <c r="CK23" i="12"/>
  <c r="CK75" i="12" s="1"/>
  <c r="CJ23" i="12"/>
  <c r="CJ75" i="12" s="1"/>
  <c r="CI23" i="12"/>
  <c r="CI75" i="12" s="1"/>
  <c r="CH23" i="12"/>
  <c r="CH75" i="12" s="1"/>
  <c r="CG23" i="12"/>
  <c r="CG75" i="12" s="1"/>
  <c r="CF23" i="12"/>
  <c r="CF75" i="12" s="1"/>
  <c r="CE23" i="12"/>
  <c r="CE75" i="12" s="1"/>
  <c r="CD23" i="12"/>
  <c r="CD75" i="12" s="1"/>
  <c r="CC23" i="12"/>
  <c r="CC75" i="12" s="1"/>
  <c r="CB23" i="12"/>
  <c r="CB75" i="12" s="1"/>
  <c r="CA23" i="12"/>
  <c r="CA75" i="12" s="1"/>
  <c r="BZ23" i="12"/>
  <c r="BZ75" i="12" s="1"/>
  <c r="BY23" i="12"/>
  <c r="BY75" i="12" s="1"/>
  <c r="BX23" i="12"/>
  <c r="BX75" i="12" s="1"/>
  <c r="BW23" i="12"/>
  <c r="BW75" i="12" s="1"/>
  <c r="BV23" i="12"/>
  <c r="BV75" i="12" s="1"/>
  <c r="BU23" i="12"/>
  <c r="BU75" i="12" s="1"/>
  <c r="BT23" i="12"/>
  <c r="BT75" i="12" s="1"/>
  <c r="BS23" i="12"/>
  <c r="BS75" i="12" s="1"/>
  <c r="BR23" i="12"/>
  <c r="BR75" i="12" s="1"/>
  <c r="BQ23" i="12"/>
  <c r="BQ75" i="12" s="1"/>
  <c r="BP23" i="12"/>
  <c r="BP75" i="12" s="1"/>
  <c r="BO23" i="12"/>
  <c r="BO75" i="12" s="1"/>
  <c r="BN23" i="12"/>
  <c r="BN75" i="12" s="1"/>
  <c r="BM23" i="12"/>
  <c r="BM75" i="12" s="1"/>
  <c r="BL23" i="12"/>
  <c r="BL75" i="12" s="1"/>
  <c r="BK23" i="12"/>
  <c r="BK75" i="12" s="1"/>
  <c r="BJ23" i="12"/>
  <c r="BJ75" i="12" s="1"/>
  <c r="BI23" i="12"/>
  <c r="BI75" i="12" s="1"/>
  <c r="BH23" i="12"/>
  <c r="BH75" i="12" s="1"/>
  <c r="BG23" i="12"/>
  <c r="BG75" i="12" s="1"/>
  <c r="BF23" i="12"/>
  <c r="BF75" i="12" s="1"/>
  <c r="BE23" i="12"/>
  <c r="BE75" i="12" s="1"/>
  <c r="BD23" i="12"/>
  <c r="BD75" i="12" s="1"/>
  <c r="BC23" i="12"/>
  <c r="BC75" i="12" s="1"/>
  <c r="BB23" i="12"/>
  <c r="BB75" i="12" s="1"/>
  <c r="BA23" i="12"/>
  <c r="BA75" i="12" s="1"/>
  <c r="AZ23" i="12"/>
  <c r="AZ75" i="12" s="1"/>
  <c r="AY23" i="12"/>
  <c r="AY75" i="12" s="1"/>
  <c r="AX23" i="12"/>
  <c r="AX75" i="12" s="1"/>
  <c r="AW23" i="12"/>
  <c r="AW75" i="12" s="1"/>
  <c r="AV23" i="12"/>
  <c r="AV75" i="12" s="1"/>
  <c r="AU23" i="12"/>
  <c r="AU75" i="12" s="1"/>
  <c r="AT23" i="12"/>
  <c r="AT75" i="12" s="1"/>
  <c r="AS23" i="12"/>
  <c r="AS75" i="12" s="1"/>
  <c r="AR23" i="12"/>
  <c r="AR75" i="12" s="1"/>
  <c r="AQ23" i="12"/>
  <c r="AQ75" i="12" s="1"/>
  <c r="AP23" i="12"/>
  <c r="AP75" i="12" s="1"/>
  <c r="AO23" i="12"/>
  <c r="AO75" i="12" s="1"/>
  <c r="AN23" i="12"/>
  <c r="AN75" i="12" s="1"/>
  <c r="AM23" i="12"/>
  <c r="AM75" i="12" s="1"/>
  <c r="AL23" i="12"/>
  <c r="AL75" i="12" s="1"/>
  <c r="AK23" i="12"/>
  <c r="AK75" i="12" s="1"/>
  <c r="AJ23" i="12"/>
  <c r="AJ75" i="12" s="1"/>
  <c r="AI23" i="12"/>
  <c r="AI75" i="12" s="1"/>
  <c r="AH23" i="12"/>
  <c r="AH75" i="12" s="1"/>
  <c r="AG23" i="12"/>
  <c r="AG75" i="12" s="1"/>
  <c r="AF23" i="12"/>
  <c r="AF75" i="12" s="1"/>
  <c r="AE23" i="12"/>
  <c r="AE75" i="12" s="1"/>
  <c r="AD23" i="12"/>
  <c r="AD75" i="12" s="1"/>
  <c r="AC23" i="12"/>
  <c r="AC75" i="12" s="1"/>
  <c r="AB23" i="12"/>
  <c r="AB75" i="12" s="1"/>
  <c r="AA23" i="12"/>
  <c r="AA75" i="12" s="1"/>
  <c r="Z23" i="12"/>
  <c r="Z75" i="12" s="1"/>
  <c r="Y23" i="12"/>
  <c r="Y75" i="12" s="1"/>
  <c r="X23" i="12"/>
  <c r="X75" i="12" s="1"/>
  <c r="W23" i="12"/>
  <c r="W75" i="12" s="1"/>
  <c r="V23" i="12"/>
  <c r="V75" i="12" s="1"/>
  <c r="U23" i="12"/>
  <c r="U75" i="12" s="1"/>
  <c r="T23" i="12"/>
  <c r="T75" i="12" s="1"/>
  <c r="S23" i="12"/>
  <c r="S75" i="12" s="1"/>
  <c r="R23" i="12"/>
  <c r="R75" i="12" s="1"/>
  <c r="Q23" i="12"/>
  <c r="Q75" i="12" s="1"/>
  <c r="P23" i="12"/>
  <c r="P75" i="12" s="1"/>
  <c r="O23" i="12"/>
  <c r="O75" i="12" s="1"/>
  <c r="N23" i="12"/>
  <c r="N75" i="12" s="1"/>
  <c r="M23" i="12"/>
  <c r="M75" i="12" s="1"/>
  <c r="L23" i="12"/>
  <c r="L75" i="12" s="1"/>
  <c r="K23" i="12"/>
  <c r="K75" i="12" s="1"/>
  <c r="J23" i="12"/>
  <c r="J75" i="12" s="1"/>
  <c r="I23" i="12"/>
  <c r="I75" i="12" s="1"/>
  <c r="H23" i="12"/>
  <c r="H75" i="12" s="1"/>
  <c r="G23" i="12"/>
  <c r="G75" i="12" s="1"/>
  <c r="F23" i="12"/>
  <c r="F75" i="12" s="1"/>
  <c r="E23" i="12"/>
  <c r="E75" i="12" s="1"/>
  <c r="D23" i="12"/>
  <c r="D75" i="12" s="1"/>
  <c r="CX22" i="12"/>
  <c r="CX74" i="12" s="1"/>
  <c r="CW22" i="12"/>
  <c r="CW74" i="12" s="1"/>
  <c r="CV22" i="12"/>
  <c r="CV74" i="12" s="1"/>
  <c r="CU22" i="12"/>
  <c r="CU74" i="12" s="1"/>
  <c r="CT22" i="12"/>
  <c r="CT74" i="12" s="1"/>
  <c r="CS22" i="12"/>
  <c r="CS74" i="12" s="1"/>
  <c r="CR22" i="12"/>
  <c r="CR74" i="12" s="1"/>
  <c r="CQ22" i="12"/>
  <c r="CQ74" i="12" s="1"/>
  <c r="CP22" i="12"/>
  <c r="CP74" i="12" s="1"/>
  <c r="CO22" i="12"/>
  <c r="CO74" i="12" s="1"/>
  <c r="CN22" i="12"/>
  <c r="CN74" i="12" s="1"/>
  <c r="CM22" i="12"/>
  <c r="CM74" i="12" s="1"/>
  <c r="CL22" i="12"/>
  <c r="CL74" i="12" s="1"/>
  <c r="CK22" i="12"/>
  <c r="CK74" i="12" s="1"/>
  <c r="CJ22" i="12"/>
  <c r="CJ74" i="12" s="1"/>
  <c r="CI22" i="12"/>
  <c r="CI74" i="12" s="1"/>
  <c r="CH22" i="12"/>
  <c r="CH74" i="12" s="1"/>
  <c r="CG22" i="12"/>
  <c r="CG74" i="12" s="1"/>
  <c r="CF22" i="12"/>
  <c r="CF74" i="12" s="1"/>
  <c r="CE22" i="12"/>
  <c r="CE74" i="12" s="1"/>
  <c r="CD22" i="12"/>
  <c r="CD74" i="12" s="1"/>
  <c r="CC22" i="12"/>
  <c r="CC74" i="12" s="1"/>
  <c r="CB22" i="12"/>
  <c r="CB74" i="12" s="1"/>
  <c r="CA22" i="12"/>
  <c r="CA74" i="12" s="1"/>
  <c r="BZ22" i="12"/>
  <c r="BZ74" i="12" s="1"/>
  <c r="BY22" i="12"/>
  <c r="BY74" i="12" s="1"/>
  <c r="BX22" i="12"/>
  <c r="BX74" i="12" s="1"/>
  <c r="BW22" i="12"/>
  <c r="BW74" i="12" s="1"/>
  <c r="BV22" i="12"/>
  <c r="BV74" i="12" s="1"/>
  <c r="BU22" i="12"/>
  <c r="BU74" i="12" s="1"/>
  <c r="BT22" i="12"/>
  <c r="BT74" i="12" s="1"/>
  <c r="BS22" i="12"/>
  <c r="BS74" i="12" s="1"/>
  <c r="BR22" i="12"/>
  <c r="BR74" i="12" s="1"/>
  <c r="BQ22" i="12"/>
  <c r="BQ74" i="12" s="1"/>
  <c r="BP22" i="12"/>
  <c r="BP74" i="12" s="1"/>
  <c r="BO22" i="12"/>
  <c r="BO74" i="12" s="1"/>
  <c r="BN22" i="12"/>
  <c r="BN74" i="12" s="1"/>
  <c r="BM22" i="12"/>
  <c r="BM74" i="12" s="1"/>
  <c r="BL22" i="12"/>
  <c r="BL74" i="12" s="1"/>
  <c r="BK22" i="12"/>
  <c r="BK74" i="12" s="1"/>
  <c r="BJ22" i="12"/>
  <c r="BJ74" i="12" s="1"/>
  <c r="BI22" i="12"/>
  <c r="BI74" i="12" s="1"/>
  <c r="BH22" i="12"/>
  <c r="BH74" i="12" s="1"/>
  <c r="BG22" i="12"/>
  <c r="BG74" i="12" s="1"/>
  <c r="BF22" i="12"/>
  <c r="BF74" i="12" s="1"/>
  <c r="BE22" i="12"/>
  <c r="BE74" i="12" s="1"/>
  <c r="BD22" i="12"/>
  <c r="BD74" i="12" s="1"/>
  <c r="BC22" i="12"/>
  <c r="BC74" i="12" s="1"/>
  <c r="BB22" i="12"/>
  <c r="BB74" i="12" s="1"/>
  <c r="BA22" i="12"/>
  <c r="BA74" i="12" s="1"/>
  <c r="AZ22" i="12"/>
  <c r="AZ74" i="12" s="1"/>
  <c r="AY22" i="12"/>
  <c r="AY74" i="12" s="1"/>
  <c r="AX22" i="12"/>
  <c r="AX74" i="12" s="1"/>
  <c r="AW22" i="12"/>
  <c r="AW74" i="12" s="1"/>
  <c r="AV22" i="12"/>
  <c r="AV74" i="12" s="1"/>
  <c r="AU22" i="12"/>
  <c r="AU74" i="12" s="1"/>
  <c r="AT22" i="12"/>
  <c r="AT74" i="12" s="1"/>
  <c r="AS22" i="12"/>
  <c r="AS74" i="12" s="1"/>
  <c r="AR22" i="12"/>
  <c r="AR74" i="12" s="1"/>
  <c r="AQ22" i="12"/>
  <c r="AQ74" i="12" s="1"/>
  <c r="AP22" i="12"/>
  <c r="AP74" i="12" s="1"/>
  <c r="AO22" i="12"/>
  <c r="AO74" i="12" s="1"/>
  <c r="AN22" i="12"/>
  <c r="AN74" i="12" s="1"/>
  <c r="AM22" i="12"/>
  <c r="AM74" i="12" s="1"/>
  <c r="AL22" i="12"/>
  <c r="AL74" i="12" s="1"/>
  <c r="AK22" i="12"/>
  <c r="AK74" i="12" s="1"/>
  <c r="AJ22" i="12"/>
  <c r="AJ74" i="12" s="1"/>
  <c r="AI22" i="12"/>
  <c r="AI74" i="12" s="1"/>
  <c r="AH22" i="12"/>
  <c r="AH74" i="12" s="1"/>
  <c r="AG22" i="12"/>
  <c r="AG74" i="12" s="1"/>
  <c r="AF22" i="12"/>
  <c r="AF74" i="12" s="1"/>
  <c r="AE22" i="12"/>
  <c r="AE74" i="12" s="1"/>
  <c r="AD22" i="12"/>
  <c r="AD74" i="12" s="1"/>
  <c r="AC22" i="12"/>
  <c r="AC74" i="12" s="1"/>
  <c r="AB22" i="12"/>
  <c r="AB74" i="12" s="1"/>
  <c r="AA22" i="12"/>
  <c r="AA74" i="12" s="1"/>
  <c r="Z22" i="12"/>
  <c r="Z74" i="12" s="1"/>
  <c r="Y22" i="12"/>
  <c r="Y74" i="12" s="1"/>
  <c r="X22" i="12"/>
  <c r="X74" i="12" s="1"/>
  <c r="W22" i="12"/>
  <c r="W74" i="12" s="1"/>
  <c r="V22" i="12"/>
  <c r="V74" i="12" s="1"/>
  <c r="U22" i="12"/>
  <c r="U74" i="12" s="1"/>
  <c r="T22" i="12"/>
  <c r="T74" i="12" s="1"/>
  <c r="S22" i="12"/>
  <c r="S74" i="12" s="1"/>
  <c r="R22" i="12"/>
  <c r="R74" i="12" s="1"/>
  <c r="Q22" i="12"/>
  <c r="Q74" i="12" s="1"/>
  <c r="P22" i="12"/>
  <c r="P74" i="12" s="1"/>
  <c r="O22" i="12"/>
  <c r="O74" i="12" s="1"/>
  <c r="N22" i="12"/>
  <c r="N74" i="12" s="1"/>
  <c r="M22" i="12"/>
  <c r="M74" i="12" s="1"/>
  <c r="L22" i="12"/>
  <c r="L74" i="12" s="1"/>
  <c r="K22" i="12"/>
  <c r="K74" i="12" s="1"/>
  <c r="J22" i="12"/>
  <c r="J74" i="12" s="1"/>
  <c r="I22" i="12"/>
  <c r="I74" i="12" s="1"/>
  <c r="H22" i="12"/>
  <c r="H74" i="12" s="1"/>
  <c r="G22" i="12"/>
  <c r="G74" i="12" s="1"/>
  <c r="F22" i="12"/>
  <c r="F74" i="12" s="1"/>
  <c r="E22" i="12"/>
  <c r="E74" i="12" s="1"/>
  <c r="D22" i="12"/>
  <c r="D74" i="12" s="1"/>
  <c r="CX21" i="12"/>
  <c r="CX73" i="12" s="1"/>
  <c r="CW21" i="12"/>
  <c r="CW73" i="12" s="1"/>
  <c r="CV21" i="12"/>
  <c r="CV73" i="12" s="1"/>
  <c r="CU21" i="12"/>
  <c r="CU73" i="12" s="1"/>
  <c r="CT21" i="12"/>
  <c r="CT73" i="12" s="1"/>
  <c r="CS21" i="12"/>
  <c r="CS73" i="12" s="1"/>
  <c r="CR21" i="12"/>
  <c r="CR73" i="12" s="1"/>
  <c r="CQ21" i="12"/>
  <c r="CQ73" i="12" s="1"/>
  <c r="CP21" i="12"/>
  <c r="CP73" i="12" s="1"/>
  <c r="CO21" i="12"/>
  <c r="CO73" i="12" s="1"/>
  <c r="CN21" i="12"/>
  <c r="CN73" i="12" s="1"/>
  <c r="CM21" i="12"/>
  <c r="CM73" i="12" s="1"/>
  <c r="CL21" i="12"/>
  <c r="CL73" i="12" s="1"/>
  <c r="CK21" i="12"/>
  <c r="CK73" i="12" s="1"/>
  <c r="CJ21" i="12"/>
  <c r="CJ73" i="12" s="1"/>
  <c r="CI21" i="12"/>
  <c r="CI73" i="12" s="1"/>
  <c r="CH21" i="12"/>
  <c r="CH73" i="12" s="1"/>
  <c r="CG21" i="12"/>
  <c r="CG73" i="12" s="1"/>
  <c r="CF21" i="12"/>
  <c r="CF73" i="12" s="1"/>
  <c r="CE21" i="12"/>
  <c r="CE73" i="12" s="1"/>
  <c r="CD21" i="12"/>
  <c r="CD73" i="12" s="1"/>
  <c r="CC21" i="12"/>
  <c r="CC73" i="12" s="1"/>
  <c r="CB21" i="12"/>
  <c r="CB73" i="12" s="1"/>
  <c r="CA21" i="12"/>
  <c r="CA73" i="12" s="1"/>
  <c r="BZ21" i="12"/>
  <c r="BZ73" i="12" s="1"/>
  <c r="BY21" i="12"/>
  <c r="BY73" i="12" s="1"/>
  <c r="BX21" i="12"/>
  <c r="BX73" i="12" s="1"/>
  <c r="BW21" i="12"/>
  <c r="BW73" i="12" s="1"/>
  <c r="BV21" i="12"/>
  <c r="BV73" i="12" s="1"/>
  <c r="BU21" i="12"/>
  <c r="BU73" i="12" s="1"/>
  <c r="BT21" i="12"/>
  <c r="BT73" i="12" s="1"/>
  <c r="BS21" i="12"/>
  <c r="BS73" i="12" s="1"/>
  <c r="BR21" i="12"/>
  <c r="BR73" i="12" s="1"/>
  <c r="BQ21" i="12"/>
  <c r="BQ73" i="12" s="1"/>
  <c r="BP21" i="12"/>
  <c r="BP73" i="12" s="1"/>
  <c r="BO21" i="12"/>
  <c r="BO73" i="12" s="1"/>
  <c r="BN21" i="12"/>
  <c r="BN73" i="12" s="1"/>
  <c r="BM21" i="12"/>
  <c r="BM73" i="12" s="1"/>
  <c r="BL21" i="12"/>
  <c r="BL73" i="12" s="1"/>
  <c r="BK21" i="12"/>
  <c r="BK73" i="12" s="1"/>
  <c r="BJ21" i="12"/>
  <c r="BJ73" i="12" s="1"/>
  <c r="BI21" i="12"/>
  <c r="BI73" i="12" s="1"/>
  <c r="BH21" i="12"/>
  <c r="BH73" i="12" s="1"/>
  <c r="BG21" i="12"/>
  <c r="BG73" i="12" s="1"/>
  <c r="BF21" i="12"/>
  <c r="BF73" i="12" s="1"/>
  <c r="BE21" i="12"/>
  <c r="BE73" i="12" s="1"/>
  <c r="BD21" i="12"/>
  <c r="BD73" i="12" s="1"/>
  <c r="BC21" i="12"/>
  <c r="BC73" i="12" s="1"/>
  <c r="BB21" i="12"/>
  <c r="BB73" i="12" s="1"/>
  <c r="BA21" i="12"/>
  <c r="BA73" i="12" s="1"/>
  <c r="AZ21" i="12"/>
  <c r="AZ73" i="12" s="1"/>
  <c r="AY21" i="12"/>
  <c r="AY73" i="12" s="1"/>
  <c r="AX21" i="12"/>
  <c r="AX73" i="12" s="1"/>
  <c r="AW21" i="12"/>
  <c r="AW73" i="12" s="1"/>
  <c r="AV21" i="12"/>
  <c r="AV73" i="12" s="1"/>
  <c r="AU21" i="12"/>
  <c r="AU73" i="12" s="1"/>
  <c r="AT21" i="12"/>
  <c r="AT73" i="12" s="1"/>
  <c r="AS21" i="12"/>
  <c r="AS73" i="12" s="1"/>
  <c r="AR21" i="12"/>
  <c r="AR73" i="12" s="1"/>
  <c r="AQ21" i="12"/>
  <c r="AQ73" i="12" s="1"/>
  <c r="AP21" i="12"/>
  <c r="AP73" i="12" s="1"/>
  <c r="AO21" i="12"/>
  <c r="AO73" i="12" s="1"/>
  <c r="AN21" i="12"/>
  <c r="AN73" i="12" s="1"/>
  <c r="AM21" i="12"/>
  <c r="AM73" i="12" s="1"/>
  <c r="AL21" i="12"/>
  <c r="AL73" i="12" s="1"/>
  <c r="AK21" i="12"/>
  <c r="AK73" i="12" s="1"/>
  <c r="AJ21" i="12"/>
  <c r="AJ73" i="12" s="1"/>
  <c r="AI21" i="12"/>
  <c r="AI73" i="12" s="1"/>
  <c r="AH21" i="12"/>
  <c r="AH73" i="12" s="1"/>
  <c r="AG21" i="12"/>
  <c r="AG73" i="12" s="1"/>
  <c r="AF21" i="12"/>
  <c r="AF73" i="12" s="1"/>
  <c r="AE21" i="12"/>
  <c r="AE73" i="12" s="1"/>
  <c r="AD21" i="12"/>
  <c r="AD73" i="12" s="1"/>
  <c r="AC21" i="12"/>
  <c r="AC73" i="12" s="1"/>
  <c r="AB21" i="12"/>
  <c r="AB73" i="12" s="1"/>
  <c r="AA21" i="12"/>
  <c r="AA73" i="12" s="1"/>
  <c r="Z21" i="12"/>
  <c r="Z73" i="12" s="1"/>
  <c r="Y21" i="12"/>
  <c r="Y73" i="12" s="1"/>
  <c r="X21" i="12"/>
  <c r="X73" i="12" s="1"/>
  <c r="W21" i="12"/>
  <c r="W73" i="12" s="1"/>
  <c r="V21" i="12"/>
  <c r="V73" i="12" s="1"/>
  <c r="U21" i="12"/>
  <c r="U73" i="12" s="1"/>
  <c r="T21" i="12"/>
  <c r="T73" i="12" s="1"/>
  <c r="S21" i="12"/>
  <c r="S73" i="12" s="1"/>
  <c r="R21" i="12"/>
  <c r="R73" i="12" s="1"/>
  <c r="Q21" i="12"/>
  <c r="Q73" i="12" s="1"/>
  <c r="P21" i="12"/>
  <c r="P73" i="12" s="1"/>
  <c r="O21" i="12"/>
  <c r="O73" i="12" s="1"/>
  <c r="N21" i="12"/>
  <c r="N73" i="12" s="1"/>
  <c r="M21" i="12"/>
  <c r="M73" i="12" s="1"/>
  <c r="L21" i="12"/>
  <c r="L73" i="12" s="1"/>
  <c r="K21" i="12"/>
  <c r="K73" i="12" s="1"/>
  <c r="J21" i="12"/>
  <c r="J73" i="12" s="1"/>
  <c r="I21" i="12"/>
  <c r="I73" i="12" s="1"/>
  <c r="H21" i="12"/>
  <c r="H73" i="12" s="1"/>
  <c r="G21" i="12"/>
  <c r="G73" i="12" s="1"/>
  <c r="F21" i="12"/>
  <c r="F73" i="12" s="1"/>
  <c r="E21" i="12"/>
  <c r="E73" i="12" s="1"/>
  <c r="D21" i="12"/>
  <c r="D73" i="12" s="1"/>
  <c r="CX279" i="12"/>
  <c r="CW279" i="12"/>
  <c r="CV279" i="12"/>
  <c r="CU279" i="12"/>
  <c r="CT279" i="12"/>
  <c r="CS279" i="12"/>
  <c r="CR279" i="12"/>
  <c r="CQ279" i="12"/>
  <c r="CP279" i="12"/>
  <c r="CO279" i="12"/>
  <c r="CN279" i="12"/>
  <c r="CM279" i="12"/>
  <c r="CL279" i="12"/>
  <c r="CK279" i="12"/>
  <c r="CJ279" i="12"/>
  <c r="CI279" i="12"/>
  <c r="CH279" i="12"/>
  <c r="CG279" i="12"/>
  <c r="CF279" i="12"/>
  <c r="CE279" i="12"/>
  <c r="CD279" i="12"/>
  <c r="CC279" i="12"/>
  <c r="CB279" i="12"/>
  <c r="CA279" i="12"/>
  <c r="BZ279" i="12"/>
  <c r="BY279" i="12"/>
  <c r="BX279" i="12"/>
  <c r="BW279" i="12"/>
  <c r="BV279" i="12"/>
  <c r="BU279" i="12"/>
  <c r="BT279" i="12"/>
  <c r="BS279" i="12"/>
  <c r="BR279" i="12"/>
  <c r="BQ279" i="12"/>
  <c r="BP279" i="12"/>
  <c r="BO279" i="12"/>
  <c r="BN279" i="12"/>
  <c r="BM279" i="12"/>
  <c r="BL279" i="12"/>
  <c r="BK279" i="12"/>
  <c r="BJ279" i="12"/>
  <c r="BI279" i="12"/>
  <c r="BH279" i="12"/>
  <c r="BG279" i="12"/>
  <c r="BF279" i="12"/>
  <c r="BE279" i="12"/>
  <c r="BD279" i="12"/>
  <c r="BC279" i="12"/>
  <c r="BB279" i="12"/>
  <c r="BA279" i="12"/>
  <c r="AZ279" i="12"/>
  <c r="AY279" i="12"/>
  <c r="AX279" i="12"/>
  <c r="AW279" i="12"/>
  <c r="AV279" i="12"/>
  <c r="AU279" i="12"/>
  <c r="AT279" i="12"/>
  <c r="AS279" i="12"/>
  <c r="AR279" i="12"/>
  <c r="AQ279" i="12"/>
  <c r="AP279" i="12"/>
  <c r="AO279" i="12"/>
  <c r="AN279" i="12"/>
  <c r="AM279" i="12"/>
  <c r="AL279" i="12"/>
  <c r="AK279" i="12"/>
  <c r="AJ279" i="12"/>
  <c r="AI279" i="12"/>
  <c r="AH279" i="12"/>
  <c r="AG279" i="12"/>
  <c r="AF279" i="12"/>
  <c r="AE279" i="12"/>
  <c r="AD279" i="12"/>
  <c r="AC279" i="12"/>
  <c r="AB279" i="12"/>
  <c r="AA279" i="12"/>
  <c r="Z279" i="12"/>
  <c r="Y279" i="12"/>
  <c r="X279" i="12"/>
  <c r="W279" i="12"/>
  <c r="V279" i="12"/>
  <c r="U279" i="12"/>
  <c r="T279" i="12"/>
  <c r="S279" i="12"/>
  <c r="R279" i="12"/>
  <c r="Q279" i="12"/>
  <c r="P279" i="12"/>
  <c r="O279" i="12"/>
  <c r="N279" i="12"/>
  <c r="M279" i="12"/>
  <c r="L279" i="12"/>
  <c r="K279" i="12"/>
  <c r="J279" i="12"/>
  <c r="I279" i="12"/>
  <c r="H279" i="12"/>
  <c r="G279" i="12"/>
  <c r="F279" i="12"/>
  <c r="E279" i="12"/>
  <c r="D279" i="12"/>
  <c r="CX278" i="12"/>
  <c r="CW278" i="12"/>
  <c r="CV278" i="12"/>
  <c r="CU278" i="12"/>
  <c r="CT278" i="12"/>
  <c r="CS278" i="12"/>
  <c r="CR278" i="12"/>
  <c r="CQ278" i="12"/>
  <c r="CP278" i="12"/>
  <c r="CO278" i="12"/>
  <c r="CN278" i="12"/>
  <c r="CM278" i="12"/>
  <c r="CL278" i="12"/>
  <c r="CK278" i="12"/>
  <c r="CJ278" i="12"/>
  <c r="CI278" i="12"/>
  <c r="CH278" i="12"/>
  <c r="CG278" i="12"/>
  <c r="CF278" i="12"/>
  <c r="CE278" i="12"/>
  <c r="CD278" i="12"/>
  <c r="CC278" i="12"/>
  <c r="CB278" i="12"/>
  <c r="CA278" i="12"/>
  <c r="BZ278" i="12"/>
  <c r="BY278" i="12"/>
  <c r="BX278" i="12"/>
  <c r="BW278" i="12"/>
  <c r="BV278" i="12"/>
  <c r="BU278" i="12"/>
  <c r="BT278" i="12"/>
  <c r="BS278" i="12"/>
  <c r="BR278" i="12"/>
  <c r="BQ278" i="12"/>
  <c r="BP278" i="12"/>
  <c r="BO278" i="12"/>
  <c r="BN278" i="12"/>
  <c r="BM278" i="12"/>
  <c r="BL278" i="12"/>
  <c r="BK278" i="12"/>
  <c r="BJ278" i="12"/>
  <c r="BI278" i="12"/>
  <c r="BH278" i="12"/>
  <c r="BG278" i="12"/>
  <c r="BF278" i="12"/>
  <c r="BE278" i="12"/>
  <c r="BD278" i="12"/>
  <c r="BC278" i="12"/>
  <c r="BB278" i="12"/>
  <c r="BA278" i="12"/>
  <c r="AZ278" i="12"/>
  <c r="AY278" i="12"/>
  <c r="AX278" i="12"/>
  <c r="AW278" i="12"/>
  <c r="AV278" i="12"/>
  <c r="AU278" i="12"/>
  <c r="AT278" i="12"/>
  <c r="AS278" i="12"/>
  <c r="AR278" i="12"/>
  <c r="AQ278" i="12"/>
  <c r="AP278" i="12"/>
  <c r="AO278" i="12"/>
  <c r="AN278" i="12"/>
  <c r="AM278" i="12"/>
  <c r="AL278" i="12"/>
  <c r="AK278" i="12"/>
  <c r="AJ278" i="12"/>
  <c r="AI278" i="12"/>
  <c r="AH278" i="12"/>
  <c r="AG278" i="12"/>
  <c r="AF278" i="12"/>
  <c r="AE278" i="12"/>
  <c r="AD278" i="12"/>
  <c r="AC278" i="12"/>
  <c r="AB278" i="12"/>
  <c r="AA278" i="12"/>
  <c r="Z278" i="12"/>
  <c r="Y278" i="12"/>
  <c r="X278" i="12"/>
  <c r="W278" i="12"/>
  <c r="V278" i="12"/>
  <c r="U278" i="12"/>
  <c r="T278" i="12"/>
  <c r="S278" i="12"/>
  <c r="R278" i="12"/>
  <c r="Q278" i="12"/>
  <c r="P278" i="12"/>
  <c r="O278" i="12"/>
  <c r="N278" i="12"/>
  <c r="M278" i="12"/>
  <c r="L278" i="12"/>
  <c r="K278" i="12"/>
  <c r="J278" i="12"/>
  <c r="I278" i="12"/>
  <c r="H278" i="12"/>
  <c r="G278" i="12"/>
  <c r="F278" i="12"/>
  <c r="E278" i="12"/>
  <c r="D278" i="12"/>
  <c r="CX277" i="12"/>
  <c r="CW277" i="12"/>
  <c r="CV277" i="12"/>
  <c r="CU277" i="12"/>
  <c r="CT277" i="12"/>
  <c r="CS277" i="12"/>
  <c r="CR277" i="12"/>
  <c r="CQ277" i="12"/>
  <c r="CP277" i="12"/>
  <c r="CO277" i="12"/>
  <c r="CN277" i="12"/>
  <c r="CM277" i="12"/>
  <c r="CL277" i="12"/>
  <c r="CK277" i="12"/>
  <c r="CJ277" i="12"/>
  <c r="CI277" i="12"/>
  <c r="CH277" i="12"/>
  <c r="CG277" i="12"/>
  <c r="CF277" i="12"/>
  <c r="CE277" i="12"/>
  <c r="CD277" i="12"/>
  <c r="CC277" i="12"/>
  <c r="CB277" i="12"/>
  <c r="CA277" i="12"/>
  <c r="BZ277" i="12"/>
  <c r="BY277" i="12"/>
  <c r="BX277" i="12"/>
  <c r="BW277" i="12"/>
  <c r="BV277" i="12"/>
  <c r="BU277" i="12"/>
  <c r="BT277" i="12"/>
  <c r="BS277" i="12"/>
  <c r="BR277" i="12"/>
  <c r="BQ277" i="12"/>
  <c r="BP277" i="12"/>
  <c r="BO277" i="12"/>
  <c r="BN277" i="12"/>
  <c r="BM277" i="12"/>
  <c r="BL277" i="12"/>
  <c r="BK277" i="12"/>
  <c r="BJ277" i="12"/>
  <c r="BI277" i="12"/>
  <c r="BH277" i="12"/>
  <c r="BG277" i="12"/>
  <c r="BF277" i="12"/>
  <c r="BE277" i="12"/>
  <c r="BD277" i="12"/>
  <c r="BC277" i="12"/>
  <c r="BB277" i="12"/>
  <c r="BA277" i="12"/>
  <c r="AZ277" i="12"/>
  <c r="AY277" i="12"/>
  <c r="AX277" i="12"/>
  <c r="AW277" i="12"/>
  <c r="AV277" i="12"/>
  <c r="AU277" i="12"/>
  <c r="AT277" i="12"/>
  <c r="AS277" i="12"/>
  <c r="AR277" i="12"/>
  <c r="AQ277" i="12"/>
  <c r="AP277" i="12"/>
  <c r="AO277" i="12"/>
  <c r="AN277" i="12"/>
  <c r="AM277" i="12"/>
  <c r="AL277" i="12"/>
  <c r="AK277" i="12"/>
  <c r="AJ277" i="12"/>
  <c r="AI277" i="12"/>
  <c r="AH277" i="12"/>
  <c r="AG277" i="12"/>
  <c r="AF277" i="12"/>
  <c r="AE277" i="12"/>
  <c r="AD277" i="12"/>
  <c r="AC277" i="12"/>
  <c r="AB277" i="12"/>
  <c r="AA277" i="12"/>
  <c r="Z277" i="12"/>
  <c r="Y277" i="12"/>
  <c r="X277" i="12"/>
  <c r="W277" i="12"/>
  <c r="V277" i="12"/>
  <c r="U277" i="12"/>
  <c r="T277" i="12"/>
  <c r="S277" i="12"/>
  <c r="R277" i="12"/>
  <c r="Q277" i="12"/>
  <c r="P277" i="12"/>
  <c r="O277" i="12"/>
  <c r="N277" i="12"/>
  <c r="M277" i="12"/>
  <c r="L277" i="12"/>
  <c r="K277" i="12"/>
  <c r="J277" i="12"/>
  <c r="I277" i="12"/>
  <c r="H277" i="12"/>
  <c r="G277" i="12"/>
  <c r="F277" i="12"/>
  <c r="E277" i="12"/>
  <c r="D277" i="12"/>
  <c r="CX276" i="12"/>
  <c r="CW276" i="12"/>
  <c r="CV276" i="12"/>
  <c r="CU276" i="12"/>
  <c r="CT276" i="12"/>
  <c r="CS276" i="12"/>
  <c r="CR276" i="12"/>
  <c r="CQ276" i="12"/>
  <c r="CP276" i="12"/>
  <c r="CO276" i="12"/>
  <c r="CN276" i="12"/>
  <c r="CM276" i="12"/>
  <c r="CL276" i="12"/>
  <c r="CK276" i="12"/>
  <c r="CJ276" i="12"/>
  <c r="CI276" i="12"/>
  <c r="CH276" i="12"/>
  <c r="CG276" i="12"/>
  <c r="CF276" i="12"/>
  <c r="CE276" i="12"/>
  <c r="CD276" i="12"/>
  <c r="CC276" i="12"/>
  <c r="CB276" i="12"/>
  <c r="CA276" i="12"/>
  <c r="BZ276" i="12"/>
  <c r="BY276" i="12"/>
  <c r="BX276" i="12"/>
  <c r="BW276" i="12"/>
  <c r="BV276" i="12"/>
  <c r="BU276" i="12"/>
  <c r="BT276" i="12"/>
  <c r="BS276" i="12"/>
  <c r="BR276" i="12"/>
  <c r="BQ276" i="12"/>
  <c r="BP276" i="12"/>
  <c r="BO276" i="12"/>
  <c r="BN276" i="12"/>
  <c r="BM276" i="12"/>
  <c r="BL276" i="12"/>
  <c r="BK276" i="12"/>
  <c r="BJ276" i="12"/>
  <c r="BI276" i="12"/>
  <c r="BH276" i="12"/>
  <c r="BG276" i="12"/>
  <c r="BF276" i="12"/>
  <c r="BE276" i="12"/>
  <c r="BD276" i="12"/>
  <c r="BC276" i="12"/>
  <c r="BB276" i="12"/>
  <c r="BA276" i="12"/>
  <c r="AZ276" i="12"/>
  <c r="AY276" i="12"/>
  <c r="AX276" i="12"/>
  <c r="AW276" i="12"/>
  <c r="AV276" i="12"/>
  <c r="AU276" i="12"/>
  <c r="AT276" i="12"/>
  <c r="AS276" i="12"/>
  <c r="AR276" i="12"/>
  <c r="AQ276" i="12"/>
  <c r="AP276" i="12"/>
  <c r="AO276" i="12"/>
  <c r="AN276" i="12"/>
  <c r="AM276" i="12"/>
  <c r="AL276" i="12"/>
  <c r="AK276" i="12"/>
  <c r="AJ276" i="12"/>
  <c r="AI276" i="12"/>
  <c r="AH276" i="12"/>
  <c r="AG276" i="12"/>
  <c r="AF276" i="12"/>
  <c r="AE276" i="12"/>
  <c r="AD276" i="12"/>
  <c r="AC276" i="12"/>
  <c r="AB276" i="12"/>
  <c r="AA276" i="12"/>
  <c r="Z276" i="12"/>
  <c r="Y276" i="12"/>
  <c r="X276" i="12"/>
  <c r="W276" i="12"/>
  <c r="V276" i="12"/>
  <c r="U276" i="12"/>
  <c r="T276" i="12"/>
  <c r="S276" i="12"/>
  <c r="R276" i="12"/>
  <c r="Q276" i="12"/>
  <c r="P276" i="12"/>
  <c r="O276" i="12"/>
  <c r="N276" i="12"/>
  <c r="M276" i="12"/>
  <c r="L276" i="12"/>
  <c r="K276" i="12"/>
  <c r="J276" i="12"/>
  <c r="I276" i="12"/>
  <c r="H276" i="12"/>
  <c r="G276" i="12"/>
  <c r="F276" i="12"/>
  <c r="E276" i="12"/>
  <c r="D276" i="12"/>
  <c r="CX275" i="12"/>
  <c r="CW275" i="12"/>
  <c r="CV275" i="12"/>
  <c r="CU275" i="12"/>
  <c r="CT275" i="12"/>
  <c r="CS275" i="12"/>
  <c r="CR275" i="12"/>
  <c r="CQ275" i="12"/>
  <c r="CP275" i="12"/>
  <c r="CO275" i="12"/>
  <c r="CN275" i="12"/>
  <c r="CM275" i="12"/>
  <c r="CL275" i="12"/>
  <c r="CK275" i="12"/>
  <c r="CJ275" i="12"/>
  <c r="CI275" i="12"/>
  <c r="CH275" i="12"/>
  <c r="CG275" i="12"/>
  <c r="CF275" i="12"/>
  <c r="CE275" i="12"/>
  <c r="CD275" i="12"/>
  <c r="CC275" i="12"/>
  <c r="CB275" i="12"/>
  <c r="CA275" i="12"/>
  <c r="BZ275" i="12"/>
  <c r="BY275" i="12"/>
  <c r="BX275" i="12"/>
  <c r="BW275" i="12"/>
  <c r="BV275" i="12"/>
  <c r="BU275" i="12"/>
  <c r="BT275" i="12"/>
  <c r="BS275" i="12"/>
  <c r="BR275" i="12"/>
  <c r="BQ275" i="12"/>
  <c r="BP275" i="12"/>
  <c r="BO275" i="12"/>
  <c r="BN275" i="12"/>
  <c r="BM275" i="12"/>
  <c r="BL275" i="12"/>
  <c r="BK275" i="12"/>
  <c r="BJ275" i="12"/>
  <c r="BI275" i="12"/>
  <c r="BH275" i="12"/>
  <c r="BG275" i="12"/>
  <c r="BF275" i="12"/>
  <c r="BE275" i="12"/>
  <c r="BD275" i="12"/>
  <c r="BC275" i="12"/>
  <c r="BB275" i="12"/>
  <c r="BA275" i="12"/>
  <c r="AZ275" i="12"/>
  <c r="AY275" i="12"/>
  <c r="AX275" i="12"/>
  <c r="AW275" i="12"/>
  <c r="AV275" i="12"/>
  <c r="AU275" i="12"/>
  <c r="AT275" i="12"/>
  <c r="AS275" i="12"/>
  <c r="AR275" i="12"/>
  <c r="AQ275" i="12"/>
  <c r="AP275" i="12"/>
  <c r="AO275" i="12"/>
  <c r="AN275" i="12"/>
  <c r="AM275" i="12"/>
  <c r="AL275" i="12"/>
  <c r="AK275" i="12"/>
  <c r="AJ275" i="12"/>
  <c r="AI275" i="12"/>
  <c r="AH275" i="12"/>
  <c r="AG275" i="12"/>
  <c r="AF275" i="12"/>
  <c r="AE275" i="12"/>
  <c r="AD275" i="12"/>
  <c r="AC275" i="12"/>
  <c r="AB275" i="12"/>
  <c r="AA275" i="12"/>
  <c r="Z275" i="12"/>
  <c r="Y275" i="12"/>
  <c r="X275" i="12"/>
  <c r="W275" i="12"/>
  <c r="V275" i="12"/>
  <c r="U275" i="12"/>
  <c r="T275" i="12"/>
  <c r="S275" i="12"/>
  <c r="R275" i="12"/>
  <c r="Q275" i="12"/>
  <c r="P275" i="12"/>
  <c r="O275" i="12"/>
  <c r="N275" i="12"/>
  <c r="M275" i="12"/>
  <c r="L275" i="12"/>
  <c r="K275" i="12"/>
  <c r="J275" i="12"/>
  <c r="I275" i="12"/>
  <c r="H275" i="12"/>
  <c r="G275" i="12"/>
  <c r="F275" i="12"/>
  <c r="E275" i="12"/>
  <c r="D275" i="12"/>
  <c r="CX274" i="12"/>
  <c r="CW274" i="12"/>
  <c r="CV274" i="12"/>
  <c r="CU274" i="12"/>
  <c r="CT274" i="12"/>
  <c r="CS274" i="12"/>
  <c r="CR274" i="12"/>
  <c r="CQ274" i="12"/>
  <c r="CP274" i="12"/>
  <c r="CO274" i="12"/>
  <c r="CN274" i="12"/>
  <c r="CM274" i="12"/>
  <c r="CL274" i="12"/>
  <c r="CK274" i="12"/>
  <c r="CJ274" i="12"/>
  <c r="CI274" i="12"/>
  <c r="CH274" i="12"/>
  <c r="CG274" i="12"/>
  <c r="CF274" i="12"/>
  <c r="CE274" i="12"/>
  <c r="CD274" i="12"/>
  <c r="CC274" i="12"/>
  <c r="CB274" i="12"/>
  <c r="CA274" i="12"/>
  <c r="BZ274" i="12"/>
  <c r="BY274" i="12"/>
  <c r="BX274" i="12"/>
  <c r="BW274" i="12"/>
  <c r="BV274" i="12"/>
  <c r="BU274" i="12"/>
  <c r="BT274" i="12"/>
  <c r="BS274" i="12"/>
  <c r="BR274" i="12"/>
  <c r="BQ274" i="12"/>
  <c r="BP274" i="12"/>
  <c r="BO274" i="12"/>
  <c r="BN274" i="12"/>
  <c r="BM274" i="12"/>
  <c r="BL274" i="12"/>
  <c r="BK274" i="12"/>
  <c r="BJ274" i="12"/>
  <c r="BI274" i="12"/>
  <c r="BH274" i="12"/>
  <c r="BG274" i="12"/>
  <c r="BF274" i="12"/>
  <c r="BE274" i="12"/>
  <c r="BD274" i="12"/>
  <c r="BC274" i="12"/>
  <c r="BB274" i="12"/>
  <c r="BA274" i="12"/>
  <c r="AZ274" i="12"/>
  <c r="AY274" i="12"/>
  <c r="AX274" i="12"/>
  <c r="AW274" i="12"/>
  <c r="AV274" i="12"/>
  <c r="AU274" i="12"/>
  <c r="AT274" i="12"/>
  <c r="AS274" i="12"/>
  <c r="AR274" i="12"/>
  <c r="AQ274" i="12"/>
  <c r="AP274" i="12"/>
  <c r="AO274" i="12"/>
  <c r="AN274" i="12"/>
  <c r="AM274" i="12"/>
  <c r="AL274" i="12"/>
  <c r="AK274" i="12"/>
  <c r="AJ274" i="12"/>
  <c r="AI274" i="12"/>
  <c r="AH274" i="12"/>
  <c r="AG274" i="12"/>
  <c r="AF274" i="12"/>
  <c r="AE274" i="12"/>
  <c r="AD274" i="12"/>
  <c r="AC274" i="12"/>
  <c r="AB274" i="12"/>
  <c r="AA274" i="12"/>
  <c r="Z274" i="12"/>
  <c r="Y274" i="12"/>
  <c r="X274" i="12"/>
  <c r="W274" i="12"/>
  <c r="V274" i="12"/>
  <c r="U274" i="12"/>
  <c r="T274" i="12"/>
  <c r="S274" i="12"/>
  <c r="R274" i="12"/>
  <c r="Q274" i="12"/>
  <c r="P274" i="12"/>
  <c r="O274" i="12"/>
  <c r="N274" i="12"/>
  <c r="M274" i="12"/>
  <c r="L274" i="12"/>
  <c r="K274" i="12"/>
  <c r="J274" i="12"/>
  <c r="I274" i="12"/>
  <c r="H274" i="12"/>
  <c r="G274" i="12"/>
  <c r="F274" i="12"/>
  <c r="E274" i="12"/>
  <c r="D274" i="12"/>
  <c r="A1" i="17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AC1" i="17"/>
  <c r="AD1" i="17"/>
  <c r="AE1" i="17"/>
  <c r="AF1" i="17"/>
  <c r="AG1" i="17"/>
  <c r="AH1" i="17"/>
  <c r="AI1" i="17"/>
  <c r="AJ1" i="17"/>
  <c r="AK1" i="17"/>
  <c r="AL1" i="17"/>
  <c r="AM1" i="17"/>
  <c r="AN1" i="17"/>
  <c r="AO1" i="17"/>
  <c r="AP1" i="17"/>
  <c r="AQ1" i="17"/>
  <c r="AR1" i="17"/>
  <c r="AS1" i="17"/>
  <c r="AT1" i="17"/>
  <c r="AU1" i="17"/>
  <c r="AV1" i="17"/>
  <c r="AW1" i="17"/>
  <c r="AX1" i="17"/>
  <c r="AY1" i="17"/>
  <c r="AZ1" i="17"/>
  <c r="BA1" i="17"/>
  <c r="BB1" i="17"/>
  <c r="BC1" i="17"/>
  <c r="BD1" i="17"/>
  <c r="BE1" i="17"/>
  <c r="BF1" i="17"/>
  <c r="BG1" i="17"/>
  <c r="BH1" i="17"/>
  <c r="BI1" i="17"/>
  <c r="BJ1" i="17"/>
  <c r="BK1" i="17"/>
  <c r="BL1" i="17"/>
  <c r="BM1" i="17"/>
  <c r="BN1" i="17"/>
  <c r="BO1" i="17"/>
  <c r="BP1" i="17"/>
  <c r="BQ1" i="17"/>
  <c r="BR1" i="17"/>
  <c r="BS1" i="17"/>
  <c r="BT1" i="17"/>
  <c r="BU1" i="17"/>
  <c r="BV1" i="17"/>
  <c r="BW1" i="17"/>
  <c r="BX1" i="17"/>
  <c r="BY1" i="17"/>
  <c r="BZ1" i="17"/>
  <c r="CA1" i="17"/>
  <c r="CB1" i="17"/>
  <c r="CC1" i="17"/>
  <c r="CD1" i="17"/>
  <c r="CE1" i="17"/>
  <c r="CF1" i="17"/>
  <c r="CG1" i="17"/>
  <c r="CH1" i="17"/>
  <c r="CI1" i="17"/>
  <c r="CJ1" i="17"/>
  <c r="CK1" i="17"/>
  <c r="CL1" i="17"/>
  <c r="CM1" i="17"/>
  <c r="CN1" i="17"/>
  <c r="CO1" i="17"/>
  <c r="CP1" i="17"/>
  <c r="CQ1" i="17"/>
  <c r="CR1" i="17"/>
  <c r="CS1" i="17"/>
  <c r="CT1" i="17"/>
  <c r="CU1" i="17"/>
  <c r="CV1" i="17"/>
  <c r="CW1" i="17"/>
  <c r="CX1" i="17"/>
  <c r="CY1" i="17"/>
  <c r="CZ1" i="17"/>
  <c r="DA1" i="17"/>
  <c r="DB1" i="17"/>
  <c r="DC1" i="17"/>
  <c r="DD1" i="17"/>
  <c r="DE1" i="17"/>
  <c r="DF1" i="17"/>
  <c r="DG1" i="17"/>
  <c r="DH1" i="17"/>
  <c r="DI1" i="17"/>
  <c r="DJ1" i="17"/>
  <c r="DK1" i="17"/>
  <c r="DL1" i="17"/>
  <c r="DM1" i="17"/>
  <c r="DN1" i="17"/>
  <c r="DO1" i="17"/>
  <c r="DP1" i="17"/>
  <c r="DQ1" i="17"/>
  <c r="DR1" i="17"/>
  <c r="DS1" i="17"/>
  <c r="DT1" i="17"/>
  <c r="DU1" i="17"/>
  <c r="DV1" i="17"/>
  <c r="DW1" i="17"/>
  <c r="DX1" i="17"/>
  <c r="DY1" i="17"/>
  <c r="DZ1" i="17"/>
  <c r="EA1" i="17"/>
  <c r="EB1" i="17"/>
  <c r="EC1" i="17"/>
  <c r="ED1" i="17"/>
  <c r="EE1" i="17"/>
  <c r="EF1" i="17"/>
  <c r="EG1" i="17"/>
  <c r="EH1" i="17"/>
  <c r="EI1" i="17"/>
  <c r="EJ1" i="17"/>
  <c r="EK1" i="17"/>
  <c r="EL1" i="17"/>
  <c r="EM1" i="17"/>
  <c r="EN1" i="17"/>
  <c r="EO1" i="17"/>
  <c r="EP1" i="17"/>
  <c r="EQ1" i="17"/>
  <c r="ER1" i="17"/>
  <c r="ES1" i="17"/>
  <c r="ET1" i="17"/>
  <c r="EU1" i="17"/>
  <c r="EV1" i="17"/>
  <c r="EW1" i="17"/>
  <c r="EX1" i="17"/>
  <c r="EY1" i="17"/>
  <c r="EZ1" i="17"/>
  <c r="FA1" i="17"/>
  <c r="FB1" i="17"/>
  <c r="FC1" i="17"/>
  <c r="FD1" i="17"/>
  <c r="FE1" i="17"/>
  <c r="FF1" i="17"/>
  <c r="FG1" i="17"/>
  <c r="FH1" i="17"/>
  <c r="FI1" i="17"/>
  <c r="FJ1" i="17"/>
  <c r="FK1" i="17"/>
  <c r="FL1" i="17"/>
  <c r="FM1" i="17"/>
  <c r="FN1" i="17"/>
  <c r="FO1" i="17"/>
  <c r="FP1" i="17"/>
  <c r="FQ1" i="17"/>
  <c r="FR1" i="17"/>
  <c r="FS1" i="17"/>
  <c r="FT1" i="17"/>
  <c r="FU1" i="17"/>
  <c r="FV1" i="17"/>
  <c r="FW1" i="17"/>
  <c r="FX1" i="17"/>
  <c r="FY1" i="17"/>
  <c r="FZ1" i="17"/>
  <c r="GA1" i="17"/>
  <c r="GB1" i="17"/>
  <c r="GC1" i="17"/>
  <c r="GD1" i="17"/>
  <c r="GE1" i="17"/>
  <c r="GF1" i="17"/>
  <c r="GG1" i="17"/>
  <c r="GH1" i="17"/>
  <c r="GI1" i="17"/>
  <c r="GJ1" i="17"/>
  <c r="GK1" i="17"/>
  <c r="GL1" i="17"/>
  <c r="GM1" i="17"/>
  <c r="GN1" i="17"/>
  <c r="GO1" i="17"/>
  <c r="GP1" i="17"/>
  <c r="GQ1" i="17"/>
  <c r="A2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C2" i="17"/>
  <c r="AD2" i="17"/>
  <c r="AE2" i="17"/>
  <c r="AF2" i="17"/>
  <c r="AG2" i="17"/>
  <c r="AH2" i="17"/>
  <c r="AI2" i="17"/>
  <c r="AJ2" i="17"/>
  <c r="AK2" i="17"/>
  <c r="AL2" i="17"/>
  <c r="AM2" i="17"/>
  <c r="AN2" i="17"/>
  <c r="AO2" i="17"/>
  <c r="AP2" i="17"/>
  <c r="AQ2" i="17"/>
  <c r="AR2" i="17"/>
  <c r="AS2" i="17"/>
  <c r="AT2" i="17"/>
  <c r="AU2" i="17"/>
  <c r="AV2" i="17"/>
  <c r="AW2" i="17"/>
  <c r="AX2" i="17"/>
  <c r="AY2" i="17"/>
  <c r="AZ2" i="17"/>
  <c r="BA2" i="17"/>
  <c r="BB2" i="17"/>
  <c r="BC2" i="17"/>
  <c r="BD2" i="17"/>
  <c r="BE2" i="17"/>
  <c r="BF2" i="17"/>
  <c r="BG2" i="17"/>
  <c r="BH2" i="17"/>
  <c r="BI2" i="17"/>
  <c r="BJ2" i="17"/>
  <c r="BK2" i="17"/>
  <c r="BL2" i="17"/>
  <c r="BM2" i="17"/>
  <c r="BN2" i="17"/>
  <c r="BO2" i="17"/>
  <c r="BP2" i="17"/>
  <c r="BQ2" i="17"/>
  <c r="BR2" i="17"/>
  <c r="BS2" i="17"/>
  <c r="BT2" i="17"/>
  <c r="BU2" i="17"/>
  <c r="BV2" i="17"/>
  <c r="BW2" i="17"/>
  <c r="BX2" i="17"/>
  <c r="BY2" i="17"/>
  <c r="BZ2" i="17"/>
  <c r="CA2" i="17"/>
  <c r="CB2" i="17"/>
  <c r="CC2" i="17"/>
  <c r="CD2" i="17"/>
  <c r="CE2" i="17"/>
  <c r="CF2" i="17"/>
  <c r="CG2" i="17"/>
  <c r="CH2" i="17"/>
  <c r="CI2" i="17"/>
  <c r="CJ2" i="17"/>
  <c r="CK2" i="17"/>
  <c r="CL2" i="17"/>
  <c r="CM2" i="17"/>
  <c r="CN2" i="17"/>
  <c r="CO2" i="17"/>
  <c r="CP2" i="17"/>
  <c r="CQ2" i="17"/>
  <c r="CR2" i="17"/>
  <c r="CS2" i="17"/>
  <c r="CT2" i="17"/>
  <c r="CU2" i="17"/>
  <c r="CV2" i="17"/>
  <c r="CW2" i="17"/>
  <c r="CX2" i="17"/>
  <c r="CY2" i="17"/>
  <c r="CZ2" i="17"/>
  <c r="DA2" i="17"/>
  <c r="DB2" i="17"/>
  <c r="DC2" i="17"/>
  <c r="DD2" i="17"/>
  <c r="DE2" i="17"/>
  <c r="DF2" i="17"/>
  <c r="DG2" i="17"/>
  <c r="DH2" i="17"/>
  <c r="DI2" i="17"/>
  <c r="DJ2" i="17"/>
  <c r="DK2" i="17"/>
  <c r="DL2" i="17"/>
  <c r="DM2" i="17"/>
  <c r="DN2" i="17"/>
  <c r="DO2" i="17"/>
  <c r="DP2" i="17"/>
  <c r="DQ2" i="17"/>
  <c r="DR2" i="17"/>
  <c r="DS2" i="17"/>
  <c r="DT2" i="17"/>
  <c r="DU2" i="17"/>
  <c r="DV2" i="17"/>
  <c r="DW2" i="17"/>
  <c r="DX2" i="17"/>
  <c r="DY2" i="17"/>
  <c r="DZ2" i="17"/>
  <c r="EA2" i="17"/>
  <c r="EB2" i="17"/>
  <c r="EC2" i="17"/>
  <c r="ED2" i="17"/>
  <c r="EE2" i="17"/>
  <c r="EF2" i="17"/>
  <c r="EG2" i="17"/>
  <c r="EH2" i="17"/>
  <c r="EI2" i="17"/>
  <c r="EJ2" i="17"/>
  <c r="EK2" i="17"/>
  <c r="EL2" i="17"/>
  <c r="EM2" i="17"/>
  <c r="EN2" i="17"/>
  <c r="EO2" i="17"/>
  <c r="EP2" i="17"/>
  <c r="EQ2" i="17"/>
  <c r="ER2" i="17"/>
  <c r="ES2" i="17"/>
  <c r="ET2" i="17"/>
  <c r="EU2" i="17"/>
  <c r="EV2" i="17"/>
  <c r="EW2" i="17"/>
  <c r="EX2" i="17"/>
  <c r="EY2" i="17"/>
  <c r="EZ2" i="17"/>
  <c r="FA2" i="17"/>
  <c r="FB2" i="17"/>
  <c r="FC2" i="17"/>
  <c r="FD2" i="17"/>
  <c r="FE2" i="17"/>
  <c r="FF2" i="17"/>
  <c r="FG2" i="17"/>
  <c r="FH2" i="17"/>
  <c r="FI2" i="17"/>
  <c r="FJ2" i="17"/>
  <c r="FK2" i="17"/>
  <c r="FL2" i="17"/>
  <c r="FM2" i="17"/>
  <c r="FN2" i="17"/>
  <c r="FO2" i="17"/>
  <c r="FP2" i="17"/>
  <c r="FQ2" i="17"/>
  <c r="FR2" i="17"/>
  <c r="FS2" i="17"/>
  <c r="FT2" i="17"/>
  <c r="FU2" i="17"/>
  <c r="FV2" i="17"/>
  <c r="FW2" i="17"/>
  <c r="FX2" i="17"/>
  <c r="FY2" i="17"/>
  <c r="FZ2" i="17"/>
  <c r="GA2" i="17"/>
  <c r="GB2" i="17"/>
  <c r="GC2" i="17"/>
  <c r="GD2" i="17"/>
  <c r="GE2" i="17"/>
  <c r="GF2" i="17"/>
  <c r="GG2" i="17"/>
  <c r="GH2" i="17"/>
  <c r="GI2" i="17"/>
  <c r="GJ2" i="17"/>
  <c r="GK2" i="17"/>
  <c r="GL2" i="17"/>
  <c r="GM2" i="17"/>
  <c r="GN2" i="17"/>
  <c r="GO2" i="17"/>
  <c r="GP2" i="17"/>
  <c r="GQ2" i="17"/>
  <c r="A3" i="17"/>
  <c r="B3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AD3" i="17"/>
  <c r="AE3" i="17"/>
  <c r="AF3" i="17"/>
  <c r="AG3" i="17"/>
  <c r="AH3" i="17"/>
  <c r="AI3" i="17"/>
  <c r="AJ3" i="17"/>
  <c r="AK3" i="17"/>
  <c r="AL3" i="17"/>
  <c r="AM3" i="17"/>
  <c r="AN3" i="17"/>
  <c r="AO3" i="17"/>
  <c r="AP3" i="17"/>
  <c r="AQ3" i="17"/>
  <c r="AR3" i="17"/>
  <c r="AS3" i="17"/>
  <c r="AT3" i="17"/>
  <c r="AU3" i="17"/>
  <c r="AV3" i="17"/>
  <c r="AW3" i="17"/>
  <c r="AX3" i="17"/>
  <c r="AY3" i="17"/>
  <c r="AZ3" i="17"/>
  <c r="BA3" i="17"/>
  <c r="BB3" i="17"/>
  <c r="BC3" i="17"/>
  <c r="BD3" i="17"/>
  <c r="BE3" i="17"/>
  <c r="BF3" i="17"/>
  <c r="BG3" i="17"/>
  <c r="BH3" i="17"/>
  <c r="BI3" i="17"/>
  <c r="BJ3" i="17"/>
  <c r="BK3" i="17"/>
  <c r="BL3" i="17"/>
  <c r="BM3" i="17"/>
  <c r="BN3" i="17"/>
  <c r="BO3" i="17"/>
  <c r="BP3" i="17"/>
  <c r="BQ3" i="17"/>
  <c r="BR3" i="17"/>
  <c r="BS3" i="17"/>
  <c r="BT3" i="17"/>
  <c r="BU3" i="17"/>
  <c r="BV3" i="17"/>
  <c r="BW3" i="17"/>
  <c r="BX3" i="17"/>
  <c r="BY3" i="17"/>
  <c r="BZ3" i="17"/>
  <c r="CA3" i="17"/>
  <c r="CB3" i="17"/>
  <c r="CC3" i="17"/>
  <c r="CD3" i="17"/>
  <c r="CE3" i="17"/>
  <c r="CF3" i="17"/>
  <c r="CG3" i="17"/>
  <c r="CH3" i="17"/>
  <c r="CI3" i="17"/>
  <c r="CJ3" i="17"/>
  <c r="CK3" i="17"/>
  <c r="CL3" i="17"/>
  <c r="CM3" i="17"/>
  <c r="CN3" i="17"/>
  <c r="CO3" i="17"/>
  <c r="CP3" i="17"/>
  <c r="CQ3" i="17"/>
  <c r="CR3" i="17"/>
  <c r="CS3" i="17"/>
  <c r="CT3" i="17"/>
  <c r="CU3" i="17"/>
  <c r="CV3" i="17"/>
  <c r="CW3" i="17"/>
  <c r="CX3" i="17"/>
  <c r="CY3" i="17"/>
  <c r="CZ3" i="17"/>
  <c r="DA3" i="17"/>
  <c r="DB3" i="17"/>
  <c r="DC3" i="17"/>
  <c r="DD3" i="17"/>
  <c r="DE3" i="17"/>
  <c r="DF3" i="17"/>
  <c r="DG3" i="17"/>
  <c r="DH3" i="17"/>
  <c r="DI3" i="17"/>
  <c r="DJ3" i="17"/>
  <c r="DK3" i="17"/>
  <c r="DL3" i="17"/>
  <c r="DM3" i="17"/>
  <c r="DN3" i="17"/>
  <c r="DO3" i="17"/>
  <c r="DP3" i="17"/>
  <c r="DQ3" i="17"/>
  <c r="DR3" i="17"/>
  <c r="DS3" i="17"/>
  <c r="DT3" i="17"/>
  <c r="DU3" i="17"/>
  <c r="DV3" i="17"/>
  <c r="DW3" i="17"/>
  <c r="DX3" i="17"/>
  <c r="DY3" i="17"/>
  <c r="DZ3" i="17"/>
  <c r="EA3" i="17"/>
  <c r="EB3" i="17"/>
  <c r="EC3" i="17"/>
  <c r="ED3" i="17"/>
  <c r="EE3" i="17"/>
  <c r="EF3" i="17"/>
  <c r="EG3" i="17"/>
  <c r="EH3" i="17"/>
  <c r="EI3" i="17"/>
  <c r="EJ3" i="17"/>
  <c r="EK3" i="17"/>
  <c r="EL3" i="17"/>
  <c r="EM3" i="17"/>
  <c r="EN3" i="17"/>
  <c r="EO3" i="17"/>
  <c r="EP3" i="17"/>
  <c r="EQ3" i="17"/>
  <c r="ER3" i="17"/>
  <c r="ES3" i="17"/>
  <c r="ET3" i="17"/>
  <c r="EU3" i="17"/>
  <c r="EV3" i="17"/>
  <c r="EW3" i="17"/>
  <c r="EX3" i="17"/>
  <c r="EY3" i="17"/>
  <c r="EZ3" i="17"/>
  <c r="FA3" i="17"/>
  <c r="FB3" i="17"/>
  <c r="FC3" i="17"/>
  <c r="FD3" i="17"/>
  <c r="FE3" i="17"/>
  <c r="FF3" i="17"/>
  <c r="FG3" i="17"/>
  <c r="FH3" i="17"/>
  <c r="FI3" i="17"/>
  <c r="FJ3" i="17"/>
  <c r="FK3" i="17"/>
  <c r="FL3" i="17"/>
  <c r="FM3" i="17"/>
  <c r="FN3" i="17"/>
  <c r="FO3" i="17"/>
  <c r="FP3" i="17"/>
  <c r="FQ3" i="17"/>
  <c r="FR3" i="17"/>
  <c r="FS3" i="17"/>
  <c r="FT3" i="17"/>
  <c r="FU3" i="17"/>
  <c r="FV3" i="17"/>
  <c r="FW3" i="17"/>
  <c r="FX3" i="17"/>
  <c r="FY3" i="17"/>
  <c r="FZ3" i="17"/>
  <c r="GA3" i="17"/>
  <c r="GB3" i="17"/>
  <c r="GC3" i="17"/>
  <c r="GD3" i="17"/>
  <c r="GE3" i="17"/>
  <c r="GF3" i="17"/>
  <c r="GG3" i="17"/>
  <c r="GH3" i="17"/>
  <c r="GI3" i="17"/>
  <c r="GJ3" i="17"/>
  <c r="GK3" i="17"/>
  <c r="GL3" i="17"/>
  <c r="GM3" i="17"/>
  <c r="GN3" i="17"/>
  <c r="GO3" i="17"/>
  <c r="GP3" i="17"/>
  <c r="GQ3" i="17"/>
  <c r="A4" i="17"/>
  <c r="B4" i="17"/>
  <c r="E4" i="17"/>
  <c r="H4" i="17"/>
  <c r="K4" i="17"/>
  <c r="N4" i="17"/>
  <c r="Q4" i="17"/>
  <c r="T4" i="17"/>
  <c r="W4" i="17"/>
  <c r="Z4" i="17"/>
  <c r="AC4" i="17"/>
  <c r="AF4" i="17"/>
  <c r="AI4" i="17"/>
  <c r="AL4" i="17"/>
  <c r="AO4" i="17"/>
  <c r="AR4" i="17"/>
  <c r="AU4" i="17"/>
  <c r="AX4" i="17"/>
  <c r="BA4" i="17"/>
  <c r="BD4" i="17"/>
  <c r="BG4" i="17"/>
  <c r="BJ4" i="17"/>
  <c r="BM4" i="17"/>
  <c r="BP4" i="17"/>
  <c r="BS4" i="17"/>
  <c r="BV4" i="17"/>
  <c r="BY4" i="17"/>
  <c r="CB4" i="17"/>
  <c r="CE4" i="17"/>
  <c r="CH4" i="17"/>
  <c r="CK4" i="17"/>
  <c r="CN4" i="17"/>
  <c r="CQ4" i="17"/>
  <c r="CT4" i="17"/>
  <c r="CW4" i="17"/>
  <c r="CZ4" i="17"/>
  <c r="DC4" i="17"/>
  <c r="DF4" i="17"/>
  <c r="DI4" i="17"/>
  <c r="DL4" i="17"/>
  <c r="DO4" i="17"/>
  <c r="DR4" i="17"/>
  <c r="DU4" i="17"/>
  <c r="DX4" i="17"/>
  <c r="EA4" i="17"/>
  <c r="ED4" i="17"/>
  <c r="EG4" i="17"/>
  <c r="EJ4" i="17"/>
  <c r="EM4" i="17"/>
  <c r="EP4" i="17"/>
  <c r="ES4" i="17"/>
  <c r="EV4" i="17"/>
  <c r="EY4" i="17"/>
  <c r="FB4" i="17"/>
  <c r="FE4" i="17"/>
  <c r="FH4" i="17"/>
  <c r="FK4" i="17"/>
  <c r="FN4" i="17"/>
  <c r="FQ4" i="17"/>
  <c r="FT4" i="17"/>
  <c r="FW4" i="17"/>
  <c r="FZ4" i="17"/>
  <c r="GC4" i="17"/>
  <c r="GF4" i="17"/>
  <c r="GI4" i="17"/>
  <c r="GL4" i="17"/>
  <c r="GO4" i="17"/>
  <c r="GR4" i="17"/>
  <c r="GU4" i="17"/>
  <c r="GX4" i="17"/>
  <c r="HA4" i="17"/>
  <c r="HD4" i="17"/>
  <c r="HG4" i="17"/>
  <c r="HJ4" i="17"/>
  <c r="HM4" i="17"/>
  <c r="HP4" i="17"/>
  <c r="HS4" i="17"/>
  <c r="HV4" i="17"/>
  <c r="HY4" i="17"/>
  <c r="IB4" i="17"/>
  <c r="IE4" i="17"/>
  <c r="IH4" i="17"/>
  <c r="IK4" i="17"/>
  <c r="IN4" i="17"/>
  <c r="IQ4" i="17"/>
  <c r="IT4" i="17"/>
  <c r="IW4" i="17"/>
  <c r="IZ4" i="17"/>
  <c r="JC4" i="17"/>
  <c r="JF4" i="17"/>
  <c r="JI4" i="17"/>
  <c r="JL4" i="17"/>
  <c r="JO4" i="17"/>
  <c r="JR4" i="17"/>
  <c r="JU4" i="17"/>
  <c r="JX4" i="17"/>
  <c r="KA4" i="17"/>
  <c r="KD4" i="17"/>
  <c r="KG4" i="17"/>
  <c r="KJ4" i="17"/>
  <c r="A5" i="17"/>
  <c r="B5" i="17"/>
  <c r="E5" i="17"/>
  <c r="H5" i="17"/>
  <c r="K5" i="17"/>
  <c r="N5" i="17"/>
  <c r="Q5" i="17"/>
  <c r="T5" i="17"/>
  <c r="W5" i="17"/>
  <c r="Z5" i="17"/>
  <c r="AC5" i="17"/>
  <c r="AF5" i="17"/>
  <c r="AI5" i="17"/>
  <c r="AL5" i="17"/>
  <c r="AO5" i="17"/>
  <c r="AR5" i="17"/>
  <c r="AU5" i="17"/>
  <c r="AX5" i="17"/>
  <c r="BA5" i="17"/>
  <c r="BD5" i="17"/>
  <c r="BG5" i="17"/>
  <c r="BJ5" i="17"/>
  <c r="BM5" i="17"/>
  <c r="BP5" i="17"/>
  <c r="BS5" i="17"/>
  <c r="BV5" i="17"/>
  <c r="BY5" i="17"/>
  <c r="CB5" i="17"/>
  <c r="CE5" i="17"/>
  <c r="CH5" i="17"/>
  <c r="CK5" i="17"/>
  <c r="CN5" i="17"/>
  <c r="CQ5" i="17"/>
  <c r="CT5" i="17"/>
  <c r="CW5" i="17"/>
  <c r="CZ5" i="17"/>
  <c r="DC5" i="17"/>
  <c r="DF5" i="17"/>
  <c r="DI5" i="17"/>
  <c r="DL5" i="17"/>
  <c r="DO5" i="17"/>
  <c r="DR5" i="17"/>
  <c r="DU5" i="17"/>
  <c r="DX5" i="17"/>
  <c r="EA5" i="17"/>
  <c r="ED5" i="17"/>
  <c r="EG5" i="17"/>
  <c r="EJ5" i="17"/>
  <c r="EM5" i="17"/>
  <c r="EP5" i="17"/>
  <c r="ES5" i="17"/>
  <c r="EV5" i="17"/>
  <c r="EY5" i="17"/>
  <c r="FB5" i="17"/>
  <c r="FE5" i="17"/>
  <c r="FH5" i="17"/>
  <c r="FK5" i="17"/>
  <c r="FN5" i="17"/>
  <c r="FQ5" i="17"/>
  <c r="FT5" i="17"/>
  <c r="FW5" i="17"/>
  <c r="FZ5" i="17"/>
  <c r="GC5" i="17"/>
  <c r="GF5" i="17"/>
  <c r="GI5" i="17"/>
  <c r="GL5" i="17"/>
  <c r="GO5" i="17"/>
  <c r="GR5" i="17"/>
  <c r="GU5" i="17"/>
  <c r="GX5" i="17"/>
  <c r="HA5" i="17"/>
  <c r="HD5" i="17"/>
  <c r="HG5" i="17"/>
  <c r="HJ5" i="17"/>
  <c r="HM5" i="17"/>
  <c r="HP5" i="17"/>
  <c r="HS5" i="17"/>
  <c r="HV5" i="17"/>
  <c r="HY5" i="17"/>
  <c r="IB5" i="17"/>
  <c r="IE5" i="17"/>
  <c r="IH5" i="17"/>
  <c r="IK5" i="17"/>
  <c r="IN5" i="17"/>
  <c r="IQ5" i="17"/>
  <c r="IT5" i="17"/>
  <c r="IW5" i="17"/>
  <c r="IZ5" i="17"/>
  <c r="JC5" i="17"/>
  <c r="JF5" i="17"/>
  <c r="JI5" i="17"/>
  <c r="JL5" i="17"/>
  <c r="JO5" i="17"/>
  <c r="JR5" i="17"/>
  <c r="JU5" i="17"/>
  <c r="JX5" i="17"/>
  <c r="KA5" i="17"/>
  <c r="KD5" i="17"/>
  <c r="KG5" i="17"/>
  <c r="KJ5" i="17"/>
  <c r="A6" i="17"/>
  <c r="B6" i="17"/>
  <c r="E6" i="17"/>
  <c r="H6" i="17"/>
  <c r="K6" i="17"/>
  <c r="N6" i="17"/>
  <c r="Q6" i="17"/>
  <c r="T6" i="17"/>
  <c r="W6" i="17"/>
  <c r="Z6" i="17"/>
  <c r="AC6" i="17"/>
  <c r="AF6" i="17"/>
  <c r="AI6" i="17"/>
  <c r="AL6" i="17"/>
  <c r="AO6" i="17"/>
  <c r="AR6" i="17"/>
  <c r="AU6" i="17"/>
  <c r="AX6" i="17"/>
  <c r="BA6" i="17"/>
  <c r="BD6" i="17"/>
  <c r="BG6" i="17"/>
  <c r="BJ6" i="17"/>
  <c r="BM6" i="17"/>
  <c r="BP6" i="17"/>
  <c r="BS6" i="17"/>
  <c r="BV6" i="17"/>
  <c r="BY6" i="17"/>
  <c r="CB6" i="17"/>
  <c r="CE6" i="17"/>
  <c r="CH6" i="17"/>
  <c r="CK6" i="17"/>
  <c r="CN6" i="17"/>
  <c r="CQ6" i="17"/>
  <c r="CT6" i="17"/>
  <c r="CW6" i="17"/>
  <c r="CZ6" i="17"/>
  <c r="DC6" i="17"/>
  <c r="DF6" i="17"/>
  <c r="DI6" i="17"/>
  <c r="DL6" i="17"/>
  <c r="DO6" i="17"/>
  <c r="DR6" i="17"/>
  <c r="DU6" i="17"/>
  <c r="DX6" i="17"/>
  <c r="EA6" i="17"/>
  <c r="ED6" i="17"/>
  <c r="EG6" i="17"/>
  <c r="EJ6" i="17"/>
  <c r="EM6" i="17"/>
  <c r="EP6" i="17"/>
  <c r="ES6" i="17"/>
  <c r="EV6" i="17"/>
  <c r="EY6" i="17"/>
  <c r="FB6" i="17"/>
  <c r="FE6" i="17"/>
  <c r="FH6" i="17"/>
  <c r="FK6" i="17"/>
  <c r="FN6" i="17"/>
  <c r="FQ6" i="17"/>
  <c r="FT6" i="17"/>
  <c r="FW6" i="17"/>
  <c r="FZ6" i="17"/>
  <c r="GC6" i="17"/>
  <c r="GF6" i="17"/>
  <c r="GI6" i="17"/>
  <c r="GL6" i="17"/>
  <c r="GO6" i="17"/>
  <c r="GR6" i="17"/>
  <c r="GU6" i="17"/>
  <c r="GX6" i="17"/>
  <c r="HA6" i="17"/>
  <c r="HD6" i="17"/>
  <c r="HG6" i="17"/>
  <c r="HJ6" i="17"/>
  <c r="HM6" i="17"/>
  <c r="HP6" i="17"/>
  <c r="HS6" i="17"/>
  <c r="HV6" i="17"/>
  <c r="HY6" i="17"/>
  <c r="IB6" i="17"/>
  <c r="IE6" i="17"/>
  <c r="IH6" i="17"/>
  <c r="IK6" i="17"/>
  <c r="IN6" i="17"/>
  <c r="IQ6" i="17"/>
  <c r="IT6" i="17"/>
  <c r="IW6" i="17"/>
  <c r="IZ6" i="17"/>
  <c r="JC6" i="17"/>
  <c r="JF6" i="17"/>
  <c r="JI6" i="17"/>
  <c r="JL6" i="17"/>
  <c r="JO6" i="17"/>
  <c r="JR6" i="17"/>
  <c r="JU6" i="17"/>
  <c r="JX6" i="17"/>
  <c r="KA6" i="17"/>
  <c r="KD6" i="17"/>
  <c r="KG6" i="17"/>
  <c r="KJ6" i="17"/>
  <c r="A7" i="17"/>
  <c r="B7" i="17"/>
  <c r="E7" i="17"/>
  <c r="H7" i="17"/>
  <c r="K7" i="17"/>
  <c r="N7" i="17"/>
  <c r="Q7" i="17"/>
  <c r="T7" i="17"/>
  <c r="W7" i="17"/>
  <c r="Z7" i="17"/>
  <c r="AC7" i="17"/>
  <c r="AF7" i="17"/>
  <c r="AI7" i="17"/>
  <c r="AL7" i="17"/>
  <c r="AO7" i="17"/>
  <c r="AR7" i="17"/>
  <c r="AU7" i="17"/>
  <c r="AX7" i="17"/>
  <c r="BA7" i="17"/>
  <c r="BD7" i="17"/>
  <c r="BG7" i="17"/>
  <c r="BJ7" i="17"/>
  <c r="BM7" i="17"/>
  <c r="BP7" i="17"/>
  <c r="BS7" i="17"/>
  <c r="BV7" i="17"/>
  <c r="BY7" i="17"/>
  <c r="CB7" i="17"/>
  <c r="CE7" i="17"/>
  <c r="CH7" i="17"/>
  <c r="CK7" i="17"/>
  <c r="CN7" i="17"/>
  <c r="CQ7" i="17"/>
  <c r="CT7" i="17"/>
  <c r="CW7" i="17"/>
  <c r="CZ7" i="17"/>
  <c r="DC7" i="17"/>
  <c r="DF7" i="17"/>
  <c r="DI7" i="17"/>
  <c r="DL7" i="17"/>
  <c r="DO7" i="17"/>
  <c r="DR7" i="17"/>
  <c r="DU7" i="17"/>
  <c r="DX7" i="17"/>
  <c r="EA7" i="17"/>
  <c r="ED7" i="17"/>
  <c r="EG7" i="17"/>
  <c r="EJ7" i="17"/>
  <c r="EM7" i="17"/>
  <c r="EP7" i="17"/>
  <c r="ES7" i="17"/>
  <c r="EV7" i="17"/>
  <c r="EY7" i="17"/>
  <c r="FB7" i="17"/>
  <c r="FE7" i="17"/>
  <c r="FH7" i="17"/>
  <c r="FK7" i="17"/>
  <c r="FN7" i="17"/>
  <c r="FQ7" i="17"/>
  <c r="FT7" i="17"/>
  <c r="FW7" i="17"/>
  <c r="FZ7" i="17"/>
  <c r="GC7" i="17"/>
  <c r="GF7" i="17"/>
  <c r="GI7" i="17"/>
  <c r="GL7" i="17"/>
  <c r="GO7" i="17"/>
  <c r="GR7" i="17"/>
  <c r="GU7" i="17"/>
  <c r="GX7" i="17"/>
  <c r="HA7" i="17"/>
  <c r="HD7" i="17"/>
  <c r="HG7" i="17"/>
  <c r="HJ7" i="17"/>
  <c r="HM7" i="17"/>
  <c r="HP7" i="17"/>
  <c r="HS7" i="17"/>
  <c r="HV7" i="17"/>
  <c r="HY7" i="17"/>
  <c r="IB7" i="17"/>
  <c r="IE7" i="17"/>
  <c r="IH7" i="17"/>
  <c r="IK7" i="17"/>
  <c r="IN7" i="17"/>
  <c r="IQ7" i="17"/>
  <c r="IT7" i="17"/>
  <c r="IW7" i="17"/>
  <c r="IZ7" i="17"/>
  <c r="JC7" i="17"/>
  <c r="JF7" i="17"/>
  <c r="JI7" i="17"/>
  <c r="JL7" i="17"/>
  <c r="JO7" i="17"/>
  <c r="JR7" i="17"/>
  <c r="JU7" i="17"/>
  <c r="JX7" i="17"/>
  <c r="KA7" i="17"/>
  <c r="KD7" i="17"/>
  <c r="KG7" i="17"/>
  <c r="KJ7" i="17"/>
  <c r="A8" i="17"/>
  <c r="B8" i="17"/>
  <c r="E8" i="17"/>
  <c r="H8" i="17"/>
  <c r="K8" i="17"/>
  <c r="N8" i="17"/>
  <c r="Q8" i="17"/>
  <c r="T8" i="17"/>
  <c r="W8" i="17"/>
  <c r="Z8" i="17"/>
  <c r="AC8" i="17"/>
  <c r="AF8" i="17"/>
  <c r="AI8" i="17"/>
  <c r="AL8" i="17"/>
  <c r="AO8" i="17"/>
  <c r="AR8" i="17"/>
  <c r="AU8" i="17"/>
  <c r="AX8" i="17"/>
  <c r="BA8" i="17"/>
  <c r="BD8" i="17"/>
  <c r="BG8" i="17"/>
  <c r="BJ8" i="17"/>
  <c r="BM8" i="17"/>
  <c r="BP8" i="17"/>
  <c r="BS8" i="17"/>
  <c r="BV8" i="17"/>
  <c r="BY8" i="17"/>
  <c r="CB8" i="17"/>
  <c r="CE8" i="17"/>
  <c r="CH8" i="17"/>
  <c r="CK8" i="17"/>
  <c r="CN8" i="17"/>
  <c r="CQ8" i="17"/>
  <c r="CT8" i="17"/>
  <c r="CW8" i="17"/>
  <c r="CZ8" i="17"/>
  <c r="DC8" i="17"/>
  <c r="DF8" i="17"/>
  <c r="DI8" i="17"/>
  <c r="DL8" i="17"/>
  <c r="DO8" i="17"/>
  <c r="DR8" i="17"/>
  <c r="DU8" i="17"/>
  <c r="DX8" i="17"/>
  <c r="EA8" i="17"/>
  <c r="ED8" i="17"/>
  <c r="EG8" i="17"/>
  <c r="EJ8" i="17"/>
  <c r="EM8" i="17"/>
  <c r="EP8" i="17"/>
  <c r="ES8" i="17"/>
  <c r="EV8" i="17"/>
  <c r="EY8" i="17"/>
  <c r="FB8" i="17"/>
  <c r="FE8" i="17"/>
  <c r="FH8" i="17"/>
  <c r="FK8" i="17"/>
  <c r="FN8" i="17"/>
  <c r="FQ8" i="17"/>
  <c r="FT8" i="17"/>
  <c r="FW8" i="17"/>
  <c r="FZ8" i="17"/>
  <c r="GC8" i="17"/>
  <c r="GF8" i="17"/>
  <c r="GI8" i="17"/>
  <c r="GL8" i="17"/>
  <c r="GO8" i="17"/>
  <c r="GR8" i="17"/>
  <c r="GU8" i="17"/>
  <c r="GX8" i="17"/>
  <c r="HA8" i="17"/>
  <c r="HD8" i="17"/>
  <c r="HG8" i="17"/>
  <c r="HJ8" i="17"/>
  <c r="HM8" i="17"/>
  <c r="HP8" i="17"/>
  <c r="HS8" i="17"/>
  <c r="HV8" i="17"/>
  <c r="HY8" i="17"/>
  <c r="IB8" i="17"/>
  <c r="IE8" i="17"/>
  <c r="IH8" i="17"/>
  <c r="IK8" i="17"/>
  <c r="IN8" i="17"/>
  <c r="IQ8" i="17"/>
  <c r="IT8" i="17"/>
  <c r="IW8" i="17"/>
  <c r="IZ8" i="17"/>
  <c r="JC8" i="17"/>
  <c r="JF8" i="17"/>
  <c r="JI8" i="17"/>
  <c r="JL8" i="17"/>
  <c r="JO8" i="17"/>
  <c r="JR8" i="17"/>
  <c r="JU8" i="17"/>
  <c r="JX8" i="17"/>
  <c r="KA8" i="17"/>
  <c r="KD8" i="17"/>
  <c r="KG8" i="17"/>
  <c r="KJ8" i="17"/>
  <c r="A9" i="17"/>
  <c r="B9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EQ9" i="17"/>
  <c r="ER9" i="17"/>
  <c r="ES9" i="17"/>
  <c r="ET9" i="17"/>
  <c r="EU9" i="17"/>
  <c r="EV9" i="17"/>
  <c r="EW9" i="17"/>
  <c r="EX9" i="17"/>
  <c r="EY9" i="17"/>
  <c r="EZ9" i="17"/>
  <c r="FA9" i="17"/>
  <c r="FB9" i="17"/>
  <c r="FC9" i="17"/>
  <c r="FD9" i="17"/>
  <c r="FE9" i="17"/>
  <c r="FF9" i="17"/>
  <c r="FG9" i="17"/>
  <c r="FH9" i="17"/>
  <c r="FI9" i="17"/>
  <c r="FJ9" i="17"/>
  <c r="FK9" i="17"/>
  <c r="FL9" i="17"/>
  <c r="FM9" i="17"/>
  <c r="FN9" i="17"/>
  <c r="FO9" i="17"/>
  <c r="FP9" i="17"/>
  <c r="FQ9" i="17"/>
  <c r="FR9" i="17"/>
  <c r="FS9" i="17"/>
  <c r="FT9" i="17"/>
  <c r="FU9" i="17"/>
  <c r="FV9" i="17"/>
  <c r="FW9" i="17"/>
  <c r="FX9" i="17"/>
  <c r="FY9" i="17"/>
  <c r="FZ9" i="17"/>
  <c r="GA9" i="17"/>
  <c r="GB9" i="17"/>
  <c r="GC9" i="17"/>
  <c r="GD9" i="17"/>
  <c r="GE9" i="17"/>
  <c r="GF9" i="17"/>
  <c r="GG9" i="17"/>
  <c r="GH9" i="17"/>
  <c r="GI9" i="17"/>
  <c r="GJ9" i="17"/>
  <c r="GK9" i="17"/>
  <c r="GL9" i="17"/>
  <c r="GM9" i="17"/>
  <c r="GN9" i="17"/>
  <c r="GO9" i="17"/>
  <c r="GP9" i="17"/>
  <c r="GQ9" i="17"/>
  <c r="A10" i="17"/>
  <c r="B10" i="17"/>
  <c r="E10" i="17"/>
  <c r="H10" i="17"/>
  <c r="K10" i="17"/>
  <c r="N10" i="17"/>
  <c r="Q10" i="17"/>
  <c r="T10" i="17"/>
  <c r="W10" i="17"/>
  <c r="Z10" i="17"/>
  <c r="AC10" i="17"/>
  <c r="AF10" i="17"/>
  <c r="AI10" i="17"/>
  <c r="AL10" i="17"/>
  <c r="AO10" i="17"/>
  <c r="AR10" i="17"/>
  <c r="AU10" i="17"/>
  <c r="AX10" i="17"/>
  <c r="BA10" i="17"/>
  <c r="BD10" i="17"/>
  <c r="BG10" i="17"/>
  <c r="BJ10" i="17"/>
  <c r="BM10" i="17"/>
  <c r="BP10" i="17"/>
  <c r="BS10" i="17"/>
  <c r="BV10" i="17"/>
  <c r="BY10" i="17"/>
  <c r="CB10" i="17"/>
  <c r="CE10" i="17"/>
  <c r="CH10" i="17"/>
  <c r="CK10" i="17"/>
  <c r="CN10" i="17"/>
  <c r="CQ10" i="17"/>
  <c r="CT10" i="17"/>
  <c r="CW10" i="17"/>
  <c r="CZ10" i="17"/>
  <c r="DC10" i="17"/>
  <c r="DF10" i="17"/>
  <c r="DI10" i="17"/>
  <c r="DL10" i="17"/>
  <c r="DO10" i="17"/>
  <c r="DR10" i="17"/>
  <c r="DU10" i="17"/>
  <c r="DX10" i="17"/>
  <c r="EA10" i="17"/>
  <c r="ED10" i="17"/>
  <c r="EG10" i="17"/>
  <c r="EJ10" i="17"/>
  <c r="EM10" i="17"/>
  <c r="EP10" i="17"/>
  <c r="ES10" i="17"/>
  <c r="EV10" i="17"/>
  <c r="EY10" i="17"/>
  <c r="FB10" i="17"/>
  <c r="FE10" i="17"/>
  <c r="FH10" i="17"/>
  <c r="FK10" i="17"/>
  <c r="FN10" i="17"/>
  <c r="FQ10" i="17"/>
  <c r="FT10" i="17"/>
  <c r="FW10" i="17"/>
  <c r="FZ10" i="17"/>
  <c r="GC10" i="17"/>
  <c r="GF10" i="17"/>
  <c r="GI10" i="17"/>
  <c r="GL10" i="17"/>
  <c r="GO10" i="17"/>
  <c r="GR10" i="17"/>
  <c r="GU10" i="17"/>
  <c r="GX10" i="17"/>
  <c r="HA10" i="17"/>
  <c r="HD10" i="17"/>
  <c r="HG10" i="17"/>
  <c r="HJ10" i="17"/>
  <c r="HM10" i="17"/>
  <c r="HP10" i="17"/>
  <c r="HS10" i="17"/>
  <c r="HV10" i="17"/>
  <c r="HY10" i="17"/>
  <c r="IB10" i="17"/>
  <c r="IE10" i="17"/>
  <c r="IH10" i="17"/>
  <c r="IK10" i="17"/>
  <c r="IN10" i="17"/>
  <c r="IQ10" i="17"/>
  <c r="IT10" i="17"/>
  <c r="IW10" i="17"/>
  <c r="IZ10" i="17"/>
  <c r="JC10" i="17"/>
  <c r="JF10" i="17"/>
  <c r="JI10" i="17"/>
  <c r="JL10" i="17"/>
  <c r="JO10" i="17"/>
  <c r="JR10" i="17"/>
  <c r="JU10" i="17"/>
  <c r="JX10" i="17"/>
  <c r="KA10" i="17"/>
  <c r="KD10" i="17"/>
  <c r="KG10" i="17"/>
  <c r="KJ10" i="17"/>
  <c r="A11" i="17"/>
  <c r="B11" i="17"/>
  <c r="E11" i="17"/>
  <c r="H11" i="17"/>
  <c r="K11" i="17"/>
  <c r="N11" i="17"/>
  <c r="Q11" i="17"/>
  <c r="T11" i="17"/>
  <c r="W11" i="17"/>
  <c r="Z11" i="17"/>
  <c r="AC11" i="17"/>
  <c r="AF11" i="17"/>
  <c r="AI11" i="17"/>
  <c r="AL11" i="17"/>
  <c r="AO11" i="17"/>
  <c r="AR11" i="17"/>
  <c r="AU11" i="17"/>
  <c r="AX11" i="17"/>
  <c r="BA11" i="17"/>
  <c r="BD11" i="17"/>
  <c r="BG11" i="17"/>
  <c r="BJ11" i="17"/>
  <c r="BM11" i="17"/>
  <c r="BP11" i="17"/>
  <c r="BS11" i="17"/>
  <c r="BV11" i="17"/>
  <c r="BY11" i="17"/>
  <c r="CB11" i="17"/>
  <c r="CE11" i="17"/>
  <c r="CH11" i="17"/>
  <c r="CK11" i="17"/>
  <c r="CN11" i="17"/>
  <c r="CQ11" i="17"/>
  <c r="CT11" i="17"/>
  <c r="CW11" i="17"/>
  <c r="CZ11" i="17"/>
  <c r="DC11" i="17"/>
  <c r="DF11" i="17"/>
  <c r="DI11" i="17"/>
  <c r="DL11" i="17"/>
  <c r="DO11" i="17"/>
  <c r="DR11" i="17"/>
  <c r="DU11" i="17"/>
  <c r="DX11" i="17"/>
  <c r="EA11" i="17"/>
  <c r="ED11" i="17"/>
  <c r="EG11" i="17"/>
  <c r="EJ11" i="17"/>
  <c r="EM11" i="17"/>
  <c r="EP11" i="17"/>
  <c r="ES11" i="17"/>
  <c r="EV11" i="17"/>
  <c r="EY11" i="17"/>
  <c r="FB11" i="17"/>
  <c r="FE11" i="17"/>
  <c r="FH11" i="17"/>
  <c r="FK11" i="17"/>
  <c r="FN11" i="17"/>
  <c r="FQ11" i="17"/>
  <c r="FT11" i="17"/>
  <c r="FW11" i="17"/>
  <c r="FZ11" i="17"/>
  <c r="GC11" i="17"/>
  <c r="GF11" i="17"/>
  <c r="GI11" i="17"/>
  <c r="GL11" i="17"/>
  <c r="GO11" i="17"/>
  <c r="GR11" i="17"/>
  <c r="GU11" i="17"/>
  <c r="GX11" i="17"/>
  <c r="HA11" i="17"/>
  <c r="HD11" i="17"/>
  <c r="HG11" i="17"/>
  <c r="HJ11" i="17"/>
  <c r="HM11" i="17"/>
  <c r="HP11" i="17"/>
  <c r="HS11" i="17"/>
  <c r="HV11" i="17"/>
  <c r="HY11" i="17"/>
  <c r="IB11" i="17"/>
  <c r="IE11" i="17"/>
  <c r="IH11" i="17"/>
  <c r="IK11" i="17"/>
  <c r="IN11" i="17"/>
  <c r="IQ11" i="17"/>
  <c r="IT11" i="17"/>
  <c r="IW11" i="17"/>
  <c r="IZ11" i="17"/>
  <c r="JC11" i="17"/>
  <c r="JF11" i="17"/>
  <c r="JI11" i="17"/>
  <c r="JL11" i="17"/>
  <c r="JO11" i="17"/>
  <c r="JR11" i="17"/>
  <c r="JU11" i="17"/>
  <c r="JX11" i="17"/>
  <c r="KA11" i="17"/>
  <c r="KD11" i="17"/>
  <c r="KG11" i="17"/>
  <c r="KJ11" i="17"/>
  <c r="A12" i="17"/>
  <c r="B12" i="17"/>
  <c r="E12" i="17"/>
  <c r="H12" i="17"/>
  <c r="K12" i="17"/>
  <c r="N12" i="17"/>
  <c r="Q12" i="17"/>
  <c r="T12" i="17"/>
  <c r="W12" i="17"/>
  <c r="Z12" i="17"/>
  <c r="AC12" i="17"/>
  <c r="AF12" i="17"/>
  <c r="AI12" i="17"/>
  <c r="AL12" i="17"/>
  <c r="AO12" i="17"/>
  <c r="AR12" i="17"/>
  <c r="AU12" i="17"/>
  <c r="AX12" i="17"/>
  <c r="BA12" i="17"/>
  <c r="BD12" i="17"/>
  <c r="BG12" i="17"/>
  <c r="BJ12" i="17"/>
  <c r="BM12" i="17"/>
  <c r="BP12" i="17"/>
  <c r="BS12" i="17"/>
  <c r="BV12" i="17"/>
  <c r="BY12" i="17"/>
  <c r="CB12" i="17"/>
  <c r="CE12" i="17"/>
  <c r="CH12" i="17"/>
  <c r="CK12" i="17"/>
  <c r="CN12" i="17"/>
  <c r="CQ12" i="17"/>
  <c r="CT12" i="17"/>
  <c r="CW12" i="17"/>
  <c r="CZ12" i="17"/>
  <c r="DC12" i="17"/>
  <c r="DF12" i="17"/>
  <c r="DI12" i="17"/>
  <c r="DL12" i="17"/>
  <c r="DO12" i="17"/>
  <c r="DR12" i="17"/>
  <c r="DU12" i="17"/>
  <c r="DX12" i="17"/>
  <c r="EA12" i="17"/>
  <c r="ED12" i="17"/>
  <c r="EG12" i="17"/>
  <c r="EJ12" i="17"/>
  <c r="EM12" i="17"/>
  <c r="EP12" i="17"/>
  <c r="ES12" i="17"/>
  <c r="EV12" i="17"/>
  <c r="EY12" i="17"/>
  <c r="FB12" i="17"/>
  <c r="FE12" i="17"/>
  <c r="FH12" i="17"/>
  <c r="FK12" i="17"/>
  <c r="FN12" i="17"/>
  <c r="FQ12" i="17"/>
  <c r="FT12" i="17"/>
  <c r="FW12" i="17"/>
  <c r="FZ12" i="17"/>
  <c r="GC12" i="17"/>
  <c r="GF12" i="17"/>
  <c r="GI12" i="17"/>
  <c r="GL12" i="17"/>
  <c r="GO12" i="17"/>
  <c r="GR12" i="17"/>
  <c r="GU12" i="17"/>
  <c r="GX12" i="17"/>
  <c r="HA12" i="17"/>
  <c r="HD12" i="17"/>
  <c r="HG12" i="17"/>
  <c r="HJ12" i="17"/>
  <c r="HM12" i="17"/>
  <c r="HP12" i="17"/>
  <c r="HS12" i="17"/>
  <c r="HV12" i="17"/>
  <c r="HY12" i="17"/>
  <c r="IB12" i="17"/>
  <c r="IE12" i="17"/>
  <c r="IH12" i="17"/>
  <c r="IK12" i="17"/>
  <c r="IN12" i="17"/>
  <c r="IQ12" i="17"/>
  <c r="IT12" i="17"/>
  <c r="IW12" i="17"/>
  <c r="IZ12" i="17"/>
  <c r="JC12" i="17"/>
  <c r="JF12" i="17"/>
  <c r="JI12" i="17"/>
  <c r="JL12" i="17"/>
  <c r="JO12" i="17"/>
  <c r="JR12" i="17"/>
  <c r="JU12" i="17"/>
  <c r="JX12" i="17"/>
  <c r="KA12" i="17"/>
  <c r="KD12" i="17"/>
  <c r="KG12" i="17"/>
  <c r="KJ12" i="17"/>
  <c r="A13" i="17"/>
  <c r="B13" i="17"/>
  <c r="E13" i="17"/>
  <c r="H13" i="17"/>
  <c r="K13" i="17"/>
  <c r="N13" i="17"/>
  <c r="Q13" i="17"/>
  <c r="T13" i="17"/>
  <c r="W13" i="17"/>
  <c r="Z13" i="17"/>
  <c r="AC13" i="17"/>
  <c r="AF13" i="17"/>
  <c r="AI13" i="17"/>
  <c r="AL13" i="17"/>
  <c r="AO13" i="17"/>
  <c r="AR13" i="17"/>
  <c r="AU13" i="17"/>
  <c r="AX13" i="17"/>
  <c r="BA13" i="17"/>
  <c r="BD13" i="17"/>
  <c r="BG13" i="17"/>
  <c r="BJ13" i="17"/>
  <c r="BM13" i="17"/>
  <c r="BP13" i="17"/>
  <c r="BS13" i="17"/>
  <c r="BV13" i="17"/>
  <c r="BY13" i="17"/>
  <c r="CB13" i="17"/>
  <c r="CE13" i="17"/>
  <c r="CH13" i="17"/>
  <c r="CK13" i="17"/>
  <c r="CN13" i="17"/>
  <c r="CQ13" i="17"/>
  <c r="CT13" i="17"/>
  <c r="CW13" i="17"/>
  <c r="CZ13" i="17"/>
  <c r="DC13" i="17"/>
  <c r="DF13" i="17"/>
  <c r="DI13" i="17"/>
  <c r="DL13" i="17"/>
  <c r="DO13" i="17"/>
  <c r="DR13" i="17"/>
  <c r="DU13" i="17"/>
  <c r="DX13" i="17"/>
  <c r="EA13" i="17"/>
  <c r="ED13" i="17"/>
  <c r="EG13" i="17"/>
  <c r="EJ13" i="17"/>
  <c r="EM13" i="17"/>
  <c r="EP13" i="17"/>
  <c r="ES13" i="17"/>
  <c r="EV13" i="17"/>
  <c r="EY13" i="17"/>
  <c r="FB13" i="17"/>
  <c r="FE13" i="17"/>
  <c r="FH13" i="17"/>
  <c r="FK13" i="17"/>
  <c r="FN13" i="17"/>
  <c r="FQ13" i="17"/>
  <c r="FT13" i="17"/>
  <c r="FW13" i="17"/>
  <c r="FZ13" i="17"/>
  <c r="GC13" i="17"/>
  <c r="GF13" i="17"/>
  <c r="GI13" i="17"/>
  <c r="GL13" i="17"/>
  <c r="GO13" i="17"/>
  <c r="GR13" i="17"/>
  <c r="GU13" i="17"/>
  <c r="GX13" i="17"/>
  <c r="HA13" i="17"/>
  <c r="HD13" i="17"/>
  <c r="HG13" i="17"/>
  <c r="HJ13" i="17"/>
  <c r="HM13" i="17"/>
  <c r="HP13" i="17"/>
  <c r="HS13" i="17"/>
  <c r="HV13" i="17"/>
  <c r="HY13" i="17"/>
  <c r="IB13" i="17"/>
  <c r="IE13" i="17"/>
  <c r="IH13" i="17"/>
  <c r="IK13" i="17"/>
  <c r="IN13" i="17"/>
  <c r="IQ13" i="17"/>
  <c r="IT13" i="17"/>
  <c r="IW13" i="17"/>
  <c r="IZ13" i="17"/>
  <c r="JC13" i="17"/>
  <c r="JF13" i="17"/>
  <c r="JI13" i="17"/>
  <c r="JL13" i="17"/>
  <c r="JO13" i="17"/>
  <c r="JR13" i="17"/>
  <c r="JU13" i="17"/>
  <c r="JX13" i="17"/>
  <c r="KA13" i="17"/>
  <c r="KD13" i="17"/>
  <c r="KG13" i="17"/>
  <c r="KJ13" i="17"/>
  <c r="A14" i="17"/>
  <c r="B14" i="17"/>
  <c r="E14" i="17"/>
  <c r="H14" i="17"/>
  <c r="K14" i="17"/>
  <c r="N14" i="17"/>
  <c r="Q14" i="17"/>
  <c r="T14" i="17"/>
  <c r="W14" i="17"/>
  <c r="Z14" i="17"/>
  <c r="AC14" i="17"/>
  <c r="AF14" i="17"/>
  <c r="AI14" i="17"/>
  <c r="AL14" i="17"/>
  <c r="AO14" i="17"/>
  <c r="AR14" i="17"/>
  <c r="AU14" i="17"/>
  <c r="AX14" i="17"/>
  <c r="BA14" i="17"/>
  <c r="BD14" i="17"/>
  <c r="BG14" i="17"/>
  <c r="BJ14" i="17"/>
  <c r="BM14" i="17"/>
  <c r="BP14" i="17"/>
  <c r="BS14" i="17"/>
  <c r="BV14" i="17"/>
  <c r="BY14" i="17"/>
  <c r="CB14" i="17"/>
  <c r="CE14" i="17"/>
  <c r="CH14" i="17"/>
  <c r="CK14" i="17"/>
  <c r="CN14" i="17"/>
  <c r="CQ14" i="17"/>
  <c r="CT14" i="17"/>
  <c r="CW14" i="17"/>
  <c r="CZ14" i="17"/>
  <c r="DC14" i="17"/>
  <c r="DF14" i="17"/>
  <c r="DI14" i="17"/>
  <c r="DL14" i="17"/>
  <c r="DO14" i="17"/>
  <c r="DR14" i="17"/>
  <c r="DU14" i="17"/>
  <c r="DX14" i="17"/>
  <c r="EA14" i="17"/>
  <c r="ED14" i="17"/>
  <c r="EG14" i="17"/>
  <c r="EJ14" i="17"/>
  <c r="EM14" i="17"/>
  <c r="EP14" i="17"/>
  <c r="ES14" i="17"/>
  <c r="EV14" i="17"/>
  <c r="EY14" i="17"/>
  <c r="FB14" i="17"/>
  <c r="FE14" i="17"/>
  <c r="FH14" i="17"/>
  <c r="FK14" i="17"/>
  <c r="FN14" i="17"/>
  <c r="FQ14" i="17"/>
  <c r="FT14" i="17"/>
  <c r="FW14" i="17"/>
  <c r="FZ14" i="17"/>
  <c r="GC14" i="17"/>
  <c r="GF14" i="17"/>
  <c r="GI14" i="17"/>
  <c r="GL14" i="17"/>
  <c r="GO14" i="17"/>
  <c r="GR14" i="17"/>
  <c r="GU14" i="17"/>
  <c r="GX14" i="17"/>
  <c r="HA14" i="17"/>
  <c r="HD14" i="17"/>
  <c r="HG14" i="17"/>
  <c r="HJ14" i="17"/>
  <c r="HM14" i="17"/>
  <c r="HP14" i="17"/>
  <c r="HS14" i="17"/>
  <c r="HV14" i="17"/>
  <c r="HY14" i="17"/>
  <c r="IB14" i="17"/>
  <c r="IE14" i="17"/>
  <c r="IH14" i="17"/>
  <c r="IK14" i="17"/>
  <c r="IN14" i="17"/>
  <c r="IQ14" i="17"/>
  <c r="IT14" i="17"/>
  <c r="IW14" i="17"/>
  <c r="IZ14" i="17"/>
  <c r="JC14" i="17"/>
  <c r="JF14" i="17"/>
  <c r="JI14" i="17"/>
  <c r="JL14" i="17"/>
  <c r="JO14" i="17"/>
  <c r="JR14" i="17"/>
  <c r="JU14" i="17"/>
  <c r="JX14" i="17"/>
  <c r="KA14" i="17"/>
  <c r="KD14" i="17"/>
  <c r="KG14" i="17"/>
  <c r="KJ14" i="17"/>
  <c r="A15" i="17"/>
  <c r="B15" i="17"/>
  <c r="E15" i="17"/>
  <c r="H15" i="17"/>
  <c r="K15" i="17"/>
  <c r="N15" i="17"/>
  <c r="Q15" i="17"/>
  <c r="T15" i="17"/>
  <c r="W15" i="17"/>
  <c r="Z15" i="17"/>
  <c r="AC15" i="17"/>
  <c r="AF15" i="17"/>
  <c r="AI15" i="17"/>
  <c r="AL15" i="17"/>
  <c r="AO15" i="17"/>
  <c r="AR15" i="17"/>
  <c r="AU15" i="17"/>
  <c r="AX15" i="17"/>
  <c r="BA15" i="17"/>
  <c r="BD15" i="17"/>
  <c r="BG15" i="17"/>
  <c r="BJ15" i="17"/>
  <c r="BM15" i="17"/>
  <c r="BP15" i="17"/>
  <c r="BS15" i="17"/>
  <c r="BV15" i="17"/>
  <c r="BY15" i="17"/>
  <c r="CB15" i="17"/>
  <c r="CE15" i="17"/>
  <c r="CH15" i="17"/>
  <c r="CK15" i="17"/>
  <c r="CN15" i="17"/>
  <c r="CQ15" i="17"/>
  <c r="CT15" i="17"/>
  <c r="CW15" i="17"/>
  <c r="CZ15" i="17"/>
  <c r="DC15" i="17"/>
  <c r="DF15" i="17"/>
  <c r="DI15" i="17"/>
  <c r="DL15" i="17"/>
  <c r="DO15" i="17"/>
  <c r="DR15" i="17"/>
  <c r="DU15" i="17"/>
  <c r="DX15" i="17"/>
  <c r="EA15" i="17"/>
  <c r="ED15" i="17"/>
  <c r="EG15" i="17"/>
  <c r="EJ15" i="17"/>
  <c r="EM15" i="17"/>
  <c r="EP15" i="17"/>
  <c r="ES15" i="17"/>
  <c r="EV15" i="17"/>
  <c r="EY15" i="17"/>
  <c r="FB15" i="17"/>
  <c r="FE15" i="17"/>
  <c r="FH15" i="17"/>
  <c r="FK15" i="17"/>
  <c r="FN15" i="17"/>
  <c r="FQ15" i="17"/>
  <c r="FT15" i="17"/>
  <c r="FW15" i="17"/>
  <c r="FZ15" i="17"/>
  <c r="GC15" i="17"/>
  <c r="GF15" i="17"/>
  <c r="GI15" i="17"/>
  <c r="GL15" i="17"/>
  <c r="GO15" i="17"/>
  <c r="GR15" i="17"/>
  <c r="GU15" i="17"/>
  <c r="GX15" i="17"/>
  <c r="HA15" i="17"/>
  <c r="HD15" i="17"/>
  <c r="HG15" i="17"/>
  <c r="HJ15" i="17"/>
  <c r="HM15" i="17"/>
  <c r="HP15" i="17"/>
  <c r="HS15" i="17"/>
  <c r="HV15" i="17"/>
  <c r="HY15" i="17"/>
  <c r="IB15" i="17"/>
  <c r="IE15" i="17"/>
  <c r="IH15" i="17"/>
  <c r="IK15" i="17"/>
  <c r="IN15" i="17"/>
  <c r="IQ15" i="17"/>
  <c r="IT15" i="17"/>
  <c r="IW15" i="17"/>
  <c r="IZ15" i="17"/>
  <c r="JC15" i="17"/>
  <c r="JF15" i="17"/>
  <c r="JI15" i="17"/>
  <c r="JL15" i="17"/>
  <c r="JO15" i="17"/>
  <c r="JR15" i="17"/>
  <c r="JU15" i="17"/>
  <c r="JX15" i="17"/>
  <c r="KA15" i="17"/>
  <c r="KD15" i="17"/>
  <c r="KG15" i="17"/>
  <c r="KJ15" i="17"/>
  <c r="A16" i="17"/>
  <c r="B16" i="17"/>
  <c r="E16" i="17"/>
  <c r="H16" i="17"/>
  <c r="K16" i="17"/>
  <c r="N16" i="17"/>
  <c r="Q16" i="17"/>
  <c r="T16" i="17"/>
  <c r="W16" i="17"/>
  <c r="Z16" i="17"/>
  <c r="AC16" i="17"/>
  <c r="AF16" i="17"/>
  <c r="AI16" i="17"/>
  <c r="AL16" i="17"/>
  <c r="AO16" i="17"/>
  <c r="AR16" i="17"/>
  <c r="AU16" i="17"/>
  <c r="AX16" i="17"/>
  <c r="BA16" i="17"/>
  <c r="BD16" i="17"/>
  <c r="BG16" i="17"/>
  <c r="BJ16" i="17"/>
  <c r="BM16" i="17"/>
  <c r="BP16" i="17"/>
  <c r="BS16" i="17"/>
  <c r="BV16" i="17"/>
  <c r="BY16" i="17"/>
  <c r="CB16" i="17"/>
  <c r="CE16" i="17"/>
  <c r="CH16" i="17"/>
  <c r="CK16" i="17"/>
  <c r="CN16" i="17"/>
  <c r="CQ16" i="17"/>
  <c r="CT16" i="17"/>
  <c r="CW16" i="17"/>
  <c r="CZ16" i="17"/>
  <c r="DC16" i="17"/>
  <c r="DF16" i="17"/>
  <c r="DI16" i="17"/>
  <c r="DL16" i="17"/>
  <c r="DO16" i="17"/>
  <c r="DR16" i="17"/>
  <c r="DU16" i="17"/>
  <c r="DX16" i="17"/>
  <c r="EA16" i="17"/>
  <c r="ED16" i="17"/>
  <c r="EG16" i="17"/>
  <c r="EJ16" i="17"/>
  <c r="EM16" i="17"/>
  <c r="EP16" i="17"/>
  <c r="ES16" i="17"/>
  <c r="EV16" i="17"/>
  <c r="EY16" i="17"/>
  <c r="FB16" i="17"/>
  <c r="FE16" i="17"/>
  <c r="FH16" i="17"/>
  <c r="FK16" i="17"/>
  <c r="FN16" i="17"/>
  <c r="FQ16" i="17"/>
  <c r="FT16" i="17"/>
  <c r="FW16" i="17"/>
  <c r="FZ16" i="17"/>
  <c r="GC16" i="17"/>
  <c r="GF16" i="17"/>
  <c r="GI16" i="17"/>
  <c r="GL16" i="17"/>
  <c r="GO16" i="17"/>
  <c r="GR16" i="17"/>
  <c r="GU16" i="17"/>
  <c r="GX16" i="17"/>
  <c r="HA16" i="17"/>
  <c r="HD16" i="17"/>
  <c r="HG16" i="17"/>
  <c r="HJ16" i="17"/>
  <c r="HM16" i="17"/>
  <c r="HP16" i="17"/>
  <c r="HS16" i="17"/>
  <c r="HV16" i="17"/>
  <c r="HY16" i="17"/>
  <c r="IB16" i="17"/>
  <c r="IE16" i="17"/>
  <c r="IH16" i="17"/>
  <c r="IK16" i="17"/>
  <c r="IN16" i="17"/>
  <c r="IQ16" i="17"/>
  <c r="IT16" i="17"/>
  <c r="IW16" i="17"/>
  <c r="IZ16" i="17"/>
  <c r="JC16" i="17"/>
  <c r="JF16" i="17"/>
  <c r="JI16" i="17"/>
  <c r="JL16" i="17"/>
  <c r="JO16" i="17"/>
  <c r="JR16" i="17"/>
  <c r="JU16" i="17"/>
  <c r="JX16" i="17"/>
  <c r="KA16" i="17"/>
  <c r="KD16" i="17"/>
  <c r="KG16" i="17"/>
  <c r="KJ16" i="17"/>
  <c r="A17" i="17"/>
  <c r="B17" i="17"/>
  <c r="E17" i="17"/>
  <c r="H17" i="17"/>
  <c r="K17" i="17"/>
  <c r="N17" i="17"/>
  <c r="Q17" i="17"/>
  <c r="T17" i="17"/>
  <c r="W17" i="17"/>
  <c r="Z17" i="17"/>
  <c r="AC17" i="17"/>
  <c r="AF17" i="17"/>
  <c r="AI17" i="17"/>
  <c r="AL17" i="17"/>
  <c r="AO17" i="17"/>
  <c r="AR17" i="17"/>
  <c r="AU17" i="17"/>
  <c r="AX17" i="17"/>
  <c r="BA17" i="17"/>
  <c r="BD17" i="17"/>
  <c r="BG17" i="17"/>
  <c r="BJ17" i="17"/>
  <c r="BM17" i="17"/>
  <c r="BP17" i="17"/>
  <c r="BS17" i="17"/>
  <c r="BV17" i="17"/>
  <c r="BY17" i="17"/>
  <c r="CB17" i="17"/>
  <c r="CE17" i="17"/>
  <c r="CH17" i="17"/>
  <c r="CK17" i="17"/>
  <c r="CN17" i="17"/>
  <c r="CQ17" i="17"/>
  <c r="CT17" i="17"/>
  <c r="CW17" i="17"/>
  <c r="CZ17" i="17"/>
  <c r="DC17" i="17"/>
  <c r="DF17" i="17"/>
  <c r="DI17" i="17"/>
  <c r="DL17" i="17"/>
  <c r="DO17" i="17"/>
  <c r="DR17" i="17"/>
  <c r="DU17" i="17"/>
  <c r="DX17" i="17"/>
  <c r="EA17" i="17"/>
  <c r="ED17" i="17"/>
  <c r="EG17" i="17"/>
  <c r="EJ17" i="17"/>
  <c r="EM17" i="17"/>
  <c r="EP17" i="17"/>
  <c r="ES17" i="17"/>
  <c r="EV17" i="17"/>
  <c r="EY17" i="17"/>
  <c r="FB17" i="17"/>
  <c r="FE17" i="17"/>
  <c r="FH17" i="17"/>
  <c r="FK17" i="17"/>
  <c r="FN17" i="17"/>
  <c r="FQ17" i="17"/>
  <c r="FT17" i="17"/>
  <c r="FW17" i="17"/>
  <c r="FZ17" i="17"/>
  <c r="GC17" i="17"/>
  <c r="GF17" i="17"/>
  <c r="GI17" i="17"/>
  <c r="GL17" i="17"/>
  <c r="GO17" i="17"/>
  <c r="GR17" i="17"/>
  <c r="GU17" i="17"/>
  <c r="GX17" i="17"/>
  <c r="HA17" i="17"/>
  <c r="HD17" i="17"/>
  <c r="HG17" i="17"/>
  <c r="HJ17" i="17"/>
  <c r="HM17" i="17"/>
  <c r="HP17" i="17"/>
  <c r="HS17" i="17"/>
  <c r="HV17" i="17"/>
  <c r="HY17" i="17"/>
  <c r="IB17" i="17"/>
  <c r="IE17" i="17"/>
  <c r="IH17" i="17"/>
  <c r="IK17" i="17"/>
  <c r="IN17" i="17"/>
  <c r="IQ17" i="17"/>
  <c r="IT17" i="17"/>
  <c r="IW17" i="17"/>
  <c r="IZ17" i="17"/>
  <c r="JC17" i="17"/>
  <c r="JF17" i="17"/>
  <c r="JI17" i="17"/>
  <c r="JL17" i="17"/>
  <c r="JO17" i="17"/>
  <c r="JR17" i="17"/>
  <c r="JU17" i="17"/>
  <c r="JX17" i="17"/>
  <c r="KA17" i="17"/>
  <c r="KD17" i="17"/>
  <c r="KG17" i="17"/>
  <c r="KJ17" i="17"/>
  <c r="A18" i="17"/>
  <c r="B18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EQ18" i="17"/>
  <c r="ER18" i="17"/>
  <c r="ES18" i="17"/>
  <c r="ET18" i="17"/>
  <c r="EU18" i="17"/>
  <c r="EV18" i="17"/>
  <c r="EW18" i="17"/>
  <c r="EX18" i="17"/>
  <c r="EY18" i="17"/>
  <c r="EZ18" i="17"/>
  <c r="FA18" i="17"/>
  <c r="FB18" i="17"/>
  <c r="FC18" i="17"/>
  <c r="FD18" i="17"/>
  <c r="FE18" i="17"/>
  <c r="FF18" i="17"/>
  <c r="FG18" i="17"/>
  <c r="FH18" i="17"/>
  <c r="FI18" i="17"/>
  <c r="FJ18" i="17"/>
  <c r="FK18" i="17"/>
  <c r="FL18" i="17"/>
  <c r="FM18" i="17"/>
  <c r="FN18" i="17"/>
  <c r="FO18" i="17"/>
  <c r="FP18" i="17"/>
  <c r="FQ18" i="17"/>
  <c r="FR18" i="17"/>
  <c r="FS18" i="17"/>
  <c r="FT18" i="17"/>
  <c r="FU18" i="17"/>
  <c r="FV18" i="17"/>
  <c r="FW18" i="17"/>
  <c r="FX18" i="17"/>
  <c r="FY18" i="17"/>
  <c r="FZ18" i="17"/>
  <c r="GA18" i="17"/>
  <c r="GB18" i="17"/>
  <c r="GC18" i="17"/>
  <c r="GD18" i="17"/>
  <c r="GE18" i="17"/>
  <c r="GF18" i="17"/>
  <c r="GG18" i="17"/>
  <c r="GH18" i="17"/>
  <c r="GI18" i="17"/>
  <c r="GJ18" i="17"/>
  <c r="GK18" i="17"/>
  <c r="GL18" i="17"/>
  <c r="GM18" i="17"/>
  <c r="GN18" i="17"/>
  <c r="GO18" i="17"/>
  <c r="GP18" i="17"/>
  <c r="GQ18" i="17"/>
  <c r="A19" i="17"/>
  <c r="B19" i="17"/>
  <c r="E19" i="17"/>
  <c r="H19" i="17"/>
  <c r="K19" i="17"/>
  <c r="N19" i="17"/>
  <c r="Q19" i="17"/>
  <c r="T19" i="17"/>
  <c r="W19" i="17"/>
  <c r="Z19" i="17"/>
  <c r="AC19" i="17"/>
  <c r="AF19" i="17"/>
  <c r="AI19" i="17"/>
  <c r="AL19" i="17"/>
  <c r="AO19" i="17"/>
  <c r="AR19" i="17"/>
  <c r="AU19" i="17"/>
  <c r="AX19" i="17"/>
  <c r="BA19" i="17"/>
  <c r="BD19" i="17"/>
  <c r="BG19" i="17"/>
  <c r="BJ19" i="17"/>
  <c r="BM19" i="17"/>
  <c r="BP19" i="17"/>
  <c r="BS19" i="17"/>
  <c r="BV19" i="17"/>
  <c r="BY19" i="17"/>
  <c r="CB19" i="17"/>
  <c r="CE19" i="17"/>
  <c r="CH19" i="17"/>
  <c r="CK19" i="17"/>
  <c r="CN19" i="17"/>
  <c r="CQ19" i="17"/>
  <c r="CT19" i="17"/>
  <c r="CW19" i="17"/>
  <c r="CZ19" i="17"/>
  <c r="DC19" i="17"/>
  <c r="DF19" i="17"/>
  <c r="DI19" i="17"/>
  <c r="DL19" i="17"/>
  <c r="DO19" i="17"/>
  <c r="DR19" i="17"/>
  <c r="DU19" i="17"/>
  <c r="DX19" i="17"/>
  <c r="EA19" i="17"/>
  <c r="ED19" i="17"/>
  <c r="EG19" i="17"/>
  <c r="EJ19" i="17"/>
  <c r="EM19" i="17"/>
  <c r="EP19" i="17"/>
  <c r="ES19" i="17"/>
  <c r="EV19" i="17"/>
  <c r="EY19" i="17"/>
  <c r="FB19" i="17"/>
  <c r="FE19" i="17"/>
  <c r="FH19" i="17"/>
  <c r="FK19" i="17"/>
  <c r="FN19" i="17"/>
  <c r="FQ19" i="17"/>
  <c r="FT19" i="17"/>
  <c r="FW19" i="17"/>
  <c r="FZ19" i="17"/>
  <c r="GC19" i="17"/>
  <c r="GF19" i="17"/>
  <c r="GI19" i="17"/>
  <c r="GL19" i="17"/>
  <c r="GO19" i="17"/>
  <c r="GR19" i="17"/>
  <c r="GU19" i="17"/>
  <c r="GX19" i="17"/>
  <c r="HA19" i="17"/>
  <c r="HD19" i="17"/>
  <c r="HG19" i="17"/>
  <c r="HJ19" i="17"/>
  <c r="HM19" i="17"/>
  <c r="HP19" i="17"/>
  <c r="HS19" i="17"/>
  <c r="HV19" i="17"/>
  <c r="HY19" i="17"/>
  <c r="IB19" i="17"/>
  <c r="IE19" i="17"/>
  <c r="IH19" i="17"/>
  <c r="IK19" i="17"/>
  <c r="IN19" i="17"/>
  <c r="IQ19" i="17"/>
  <c r="IT19" i="17"/>
  <c r="IW19" i="17"/>
  <c r="IZ19" i="17"/>
  <c r="JC19" i="17"/>
  <c r="JF19" i="17"/>
  <c r="JI19" i="17"/>
  <c r="JL19" i="17"/>
  <c r="JO19" i="17"/>
  <c r="JR19" i="17"/>
  <c r="JU19" i="17"/>
  <c r="JX19" i="17"/>
  <c r="KA19" i="17"/>
  <c r="KD19" i="17"/>
  <c r="KG19" i="17"/>
  <c r="KJ19" i="17"/>
  <c r="A20" i="17"/>
  <c r="B20" i="17"/>
  <c r="E20" i="17"/>
  <c r="H20" i="17"/>
  <c r="K20" i="17"/>
  <c r="N20" i="17"/>
  <c r="Q20" i="17"/>
  <c r="T20" i="17"/>
  <c r="W20" i="17"/>
  <c r="Z20" i="17"/>
  <c r="AC20" i="17"/>
  <c r="AF20" i="17"/>
  <c r="AI20" i="17"/>
  <c r="AL20" i="17"/>
  <c r="AO20" i="17"/>
  <c r="AR20" i="17"/>
  <c r="AU20" i="17"/>
  <c r="AX20" i="17"/>
  <c r="BA20" i="17"/>
  <c r="BD20" i="17"/>
  <c r="BG20" i="17"/>
  <c r="BJ20" i="17"/>
  <c r="BM20" i="17"/>
  <c r="BP20" i="17"/>
  <c r="BS20" i="17"/>
  <c r="BV20" i="17"/>
  <c r="BY20" i="17"/>
  <c r="CB20" i="17"/>
  <c r="CE20" i="17"/>
  <c r="CH20" i="17"/>
  <c r="CK20" i="17"/>
  <c r="CN20" i="17"/>
  <c r="CQ20" i="17"/>
  <c r="CT20" i="17"/>
  <c r="CW20" i="17"/>
  <c r="CZ20" i="17"/>
  <c r="DC20" i="17"/>
  <c r="DF20" i="17"/>
  <c r="DI20" i="17"/>
  <c r="DL20" i="17"/>
  <c r="DO20" i="17"/>
  <c r="DR20" i="17"/>
  <c r="DU20" i="17"/>
  <c r="DX20" i="17"/>
  <c r="EA20" i="17"/>
  <c r="ED20" i="17"/>
  <c r="EG20" i="17"/>
  <c r="EJ20" i="17"/>
  <c r="EM20" i="17"/>
  <c r="EP20" i="17"/>
  <c r="ES20" i="17"/>
  <c r="EV20" i="17"/>
  <c r="EY20" i="17"/>
  <c r="FB20" i="17"/>
  <c r="FE20" i="17"/>
  <c r="FH20" i="17"/>
  <c r="FK20" i="17"/>
  <c r="FN20" i="17"/>
  <c r="FQ20" i="17"/>
  <c r="FT20" i="17"/>
  <c r="FW20" i="17"/>
  <c r="FZ20" i="17"/>
  <c r="GC20" i="17"/>
  <c r="GF20" i="17"/>
  <c r="GI20" i="17"/>
  <c r="GL20" i="17"/>
  <c r="GO20" i="17"/>
  <c r="GR20" i="17"/>
  <c r="GU20" i="17"/>
  <c r="GX20" i="17"/>
  <c r="HA20" i="17"/>
  <c r="HD20" i="17"/>
  <c r="HG20" i="17"/>
  <c r="HJ20" i="17"/>
  <c r="HM20" i="17"/>
  <c r="HP20" i="17"/>
  <c r="HS20" i="17"/>
  <c r="HV20" i="17"/>
  <c r="HY20" i="17"/>
  <c r="IB20" i="17"/>
  <c r="IE20" i="17"/>
  <c r="IH20" i="17"/>
  <c r="IK20" i="17"/>
  <c r="IN20" i="17"/>
  <c r="IQ20" i="17"/>
  <c r="IT20" i="17"/>
  <c r="IW20" i="17"/>
  <c r="IZ20" i="17"/>
  <c r="JC20" i="17"/>
  <c r="JF20" i="17"/>
  <c r="JI20" i="17"/>
  <c r="JL20" i="17"/>
  <c r="JO20" i="17"/>
  <c r="JR20" i="17"/>
  <c r="JU20" i="17"/>
  <c r="JX20" i="17"/>
  <c r="KA20" i="17"/>
  <c r="KD20" i="17"/>
  <c r="KG20" i="17"/>
  <c r="KJ20" i="17"/>
  <c r="A21" i="17"/>
  <c r="B21" i="17"/>
  <c r="E21" i="17"/>
  <c r="H21" i="17"/>
  <c r="K21" i="17"/>
  <c r="N21" i="17"/>
  <c r="Q21" i="17"/>
  <c r="T21" i="17"/>
  <c r="W21" i="17"/>
  <c r="Z21" i="17"/>
  <c r="AC21" i="17"/>
  <c r="AF21" i="17"/>
  <c r="AI21" i="17"/>
  <c r="AL21" i="17"/>
  <c r="AO21" i="17"/>
  <c r="AR21" i="17"/>
  <c r="AU21" i="17"/>
  <c r="AX21" i="17"/>
  <c r="BA21" i="17"/>
  <c r="BD21" i="17"/>
  <c r="BG21" i="17"/>
  <c r="BJ21" i="17"/>
  <c r="BM21" i="17"/>
  <c r="BP21" i="17"/>
  <c r="BS21" i="17"/>
  <c r="BV21" i="17"/>
  <c r="BY21" i="17"/>
  <c r="CB21" i="17"/>
  <c r="CE21" i="17"/>
  <c r="CH21" i="17"/>
  <c r="CK21" i="17"/>
  <c r="CN21" i="17"/>
  <c r="CQ21" i="17"/>
  <c r="CT21" i="17"/>
  <c r="CW21" i="17"/>
  <c r="CZ21" i="17"/>
  <c r="DC21" i="17"/>
  <c r="DF21" i="17"/>
  <c r="DI21" i="17"/>
  <c r="DL21" i="17"/>
  <c r="DO21" i="17"/>
  <c r="DR21" i="17"/>
  <c r="DU21" i="17"/>
  <c r="DX21" i="17"/>
  <c r="EA21" i="17"/>
  <c r="ED21" i="17"/>
  <c r="EG21" i="17"/>
  <c r="EJ21" i="17"/>
  <c r="EM21" i="17"/>
  <c r="EP21" i="17"/>
  <c r="ES21" i="17"/>
  <c r="EV21" i="17"/>
  <c r="EY21" i="17"/>
  <c r="FB21" i="17"/>
  <c r="FE21" i="17"/>
  <c r="FH21" i="17"/>
  <c r="FK21" i="17"/>
  <c r="FN21" i="17"/>
  <c r="FQ21" i="17"/>
  <c r="FT21" i="17"/>
  <c r="FW21" i="17"/>
  <c r="FZ21" i="17"/>
  <c r="GC21" i="17"/>
  <c r="GF21" i="17"/>
  <c r="GI21" i="17"/>
  <c r="GL21" i="17"/>
  <c r="GO21" i="17"/>
  <c r="GR21" i="17"/>
  <c r="GU21" i="17"/>
  <c r="GX21" i="17"/>
  <c r="HA21" i="17"/>
  <c r="HD21" i="17"/>
  <c r="HG21" i="17"/>
  <c r="HJ21" i="17"/>
  <c r="HM21" i="17"/>
  <c r="HP21" i="17"/>
  <c r="HS21" i="17"/>
  <c r="HV21" i="17"/>
  <c r="HY21" i="17"/>
  <c r="IB21" i="17"/>
  <c r="IE21" i="17"/>
  <c r="IH21" i="17"/>
  <c r="IK21" i="17"/>
  <c r="IN21" i="17"/>
  <c r="IQ21" i="17"/>
  <c r="IT21" i="17"/>
  <c r="IW21" i="17"/>
  <c r="IZ21" i="17"/>
  <c r="JC21" i="17"/>
  <c r="JF21" i="17"/>
  <c r="JI21" i="17"/>
  <c r="JL21" i="17"/>
  <c r="JO21" i="17"/>
  <c r="JR21" i="17"/>
  <c r="JU21" i="17"/>
  <c r="JX21" i="17"/>
  <c r="KA21" i="17"/>
  <c r="KD21" i="17"/>
  <c r="KG21" i="17"/>
  <c r="KJ21" i="17"/>
  <c r="A22" i="17"/>
  <c r="B22" i="17"/>
  <c r="E22" i="17"/>
  <c r="H22" i="17"/>
  <c r="K22" i="17"/>
  <c r="N22" i="17"/>
  <c r="Q22" i="17"/>
  <c r="T22" i="17"/>
  <c r="W22" i="17"/>
  <c r="Z22" i="17"/>
  <c r="AC22" i="17"/>
  <c r="AF22" i="17"/>
  <c r="AI22" i="17"/>
  <c r="AL22" i="17"/>
  <c r="AO22" i="17"/>
  <c r="AR22" i="17"/>
  <c r="AU22" i="17"/>
  <c r="AX22" i="17"/>
  <c r="BA22" i="17"/>
  <c r="BD22" i="17"/>
  <c r="BG22" i="17"/>
  <c r="BJ22" i="17"/>
  <c r="BM22" i="17"/>
  <c r="BP22" i="17"/>
  <c r="BS22" i="17"/>
  <c r="BV22" i="17"/>
  <c r="BY22" i="17"/>
  <c r="CB22" i="17"/>
  <c r="CE22" i="17"/>
  <c r="CH22" i="17"/>
  <c r="CK22" i="17"/>
  <c r="CN22" i="17"/>
  <c r="CQ22" i="17"/>
  <c r="CT22" i="17"/>
  <c r="CW22" i="17"/>
  <c r="CZ22" i="17"/>
  <c r="DC22" i="17"/>
  <c r="DF22" i="17"/>
  <c r="DI22" i="17"/>
  <c r="DL22" i="17"/>
  <c r="DO22" i="17"/>
  <c r="DR22" i="17"/>
  <c r="DU22" i="17"/>
  <c r="DX22" i="17"/>
  <c r="EA22" i="17"/>
  <c r="ED22" i="17"/>
  <c r="EG22" i="17"/>
  <c r="EJ22" i="17"/>
  <c r="EM22" i="17"/>
  <c r="EP22" i="17"/>
  <c r="ES22" i="17"/>
  <c r="EV22" i="17"/>
  <c r="EY22" i="17"/>
  <c r="FB22" i="17"/>
  <c r="FE22" i="17"/>
  <c r="FH22" i="17"/>
  <c r="FK22" i="17"/>
  <c r="FN22" i="17"/>
  <c r="FQ22" i="17"/>
  <c r="FT22" i="17"/>
  <c r="FW22" i="17"/>
  <c r="FZ22" i="17"/>
  <c r="GC22" i="17"/>
  <c r="GF22" i="17"/>
  <c r="GI22" i="17"/>
  <c r="GL22" i="17"/>
  <c r="GO22" i="17"/>
  <c r="GR22" i="17"/>
  <c r="GU22" i="17"/>
  <c r="GX22" i="17"/>
  <c r="HA22" i="17"/>
  <c r="HD22" i="17"/>
  <c r="HG22" i="17"/>
  <c r="HJ22" i="17"/>
  <c r="HM22" i="17"/>
  <c r="HP22" i="17"/>
  <c r="HS22" i="17"/>
  <c r="HV22" i="17"/>
  <c r="HY22" i="17"/>
  <c r="IB22" i="17"/>
  <c r="IE22" i="17"/>
  <c r="IH22" i="17"/>
  <c r="IK22" i="17"/>
  <c r="IN22" i="17"/>
  <c r="IQ22" i="17"/>
  <c r="IT22" i="17"/>
  <c r="IW22" i="17"/>
  <c r="IZ22" i="17"/>
  <c r="JC22" i="17"/>
  <c r="JF22" i="17"/>
  <c r="JI22" i="17"/>
  <c r="JL22" i="17"/>
  <c r="JO22" i="17"/>
  <c r="JR22" i="17"/>
  <c r="JU22" i="17"/>
  <c r="JX22" i="17"/>
  <c r="KA22" i="17"/>
  <c r="KD22" i="17"/>
  <c r="KG22" i="17"/>
  <c r="KJ22" i="17"/>
  <c r="A23" i="17"/>
  <c r="B23" i="17"/>
  <c r="E23" i="17"/>
  <c r="H23" i="17"/>
  <c r="K23" i="17"/>
  <c r="N23" i="17"/>
  <c r="Q23" i="17"/>
  <c r="T23" i="17"/>
  <c r="W23" i="17"/>
  <c r="Z23" i="17"/>
  <c r="AC23" i="17"/>
  <c r="AF23" i="17"/>
  <c r="AI23" i="17"/>
  <c r="AL23" i="17"/>
  <c r="AO23" i="17"/>
  <c r="AR23" i="17"/>
  <c r="AU23" i="17"/>
  <c r="AX23" i="17"/>
  <c r="BA23" i="17"/>
  <c r="BD23" i="17"/>
  <c r="BG23" i="17"/>
  <c r="BJ23" i="17"/>
  <c r="BM23" i="17"/>
  <c r="BP23" i="17"/>
  <c r="BS23" i="17"/>
  <c r="BV23" i="17"/>
  <c r="BY23" i="17"/>
  <c r="CB23" i="17"/>
  <c r="CE23" i="17"/>
  <c r="CH23" i="17"/>
  <c r="CK23" i="17"/>
  <c r="CN23" i="17"/>
  <c r="CQ23" i="17"/>
  <c r="CT23" i="17"/>
  <c r="CW23" i="17"/>
  <c r="CZ23" i="17"/>
  <c r="DC23" i="17"/>
  <c r="DF23" i="17"/>
  <c r="DI23" i="17"/>
  <c r="DL23" i="17"/>
  <c r="DO23" i="17"/>
  <c r="DR23" i="17"/>
  <c r="DU23" i="17"/>
  <c r="DX23" i="17"/>
  <c r="EA23" i="17"/>
  <c r="ED23" i="17"/>
  <c r="EG23" i="17"/>
  <c r="EJ23" i="17"/>
  <c r="EM23" i="17"/>
  <c r="EP23" i="17"/>
  <c r="ES23" i="17"/>
  <c r="EV23" i="17"/>
  <c r="EY23" i="17"/>
  <c r="FB23" i="17"/>
  <c r="FE23" i="17"/>
  <c r="FH23" i="17"/>
  <c r="FK23" i="17"/>
  <c r="FN23" i="17"/>
  <c r="FQ23" i="17"/>
  <c r="FT23" i="17"/>
  <c r="FW23" i="17"/>
  <c r="FZ23" i="17"/>
  <c r="GC23" i="17"/>
  <c r="GF23" i="17"/>
  <c r="GI23" i="17"/>
  <c r="GL23" i="17"/>
  <c r="GO23" i="17"/>
  <c r="GR23" i="17"/>
  <c r="GU23" i="17"/>
  <c r="GX23" i="17"/>
  <c r="HA23" i="17"/>
  <c r="HD23" i="17"/>
  <c r="HG23" i="17"/>
  <c r="HJ23" i="17"/>
  <c r="HM23" i="17"/>
  <c r="HP23" i="17"/>
  <c r="HS23" i="17"/>
  <c r="HV23" i="17"/>
  <c r="HY23" i="17"/>
  <c r="IB23" i="17"/>
  <c r="IE23" i="17"/>
  <c r="IH23" i="17"/>
  <c r="IK23" i="17"/>
  <c r="IN23" i="17"/>
  <c r="IQ23" i="17"/>
  <c r="IT23" i="17"/>
  <c r="IW23" i="17"/>
  <c r="IZ23" i="17"/>
  <c r="JC23" i="17"/>
  <c r="JF23" i="17"/>
  <c r="JI23" i="17"/>
  <c r="JL23" i="17"/>
  <c r="JO23" i="17"/>
  <c r="JR23" i="17"/>
  <c r="JU23" i="17"/>
  <c r="JX23" i="17"/>
  <c r="KA23" i="17"/>
  <c r="KD23" i="17"/>
  <c r="KG23" i="17"/>
  <c r="KJ23" i="17"/>
  <c r="A24" i="17"/>
  <c r="B24" i="17"/>
  <c r="E24" i="17"/>
  <c r="H24" i="17"/>
  <c r="K24" i="17"/>
  <c r="N24" i="17"/>
  <c r="Q24" i="17"/>
  <c r="T24" i="17"/>
  <c r="W24" i="17"/>
  <c r="Z24" i="17"/>
  <c r="AC24" i="17"/>
  <c r="AF24" i="17"/>
  <c r="AI24" i="17"/>
  <c r="AL24" i="17"/>
  <c r="AO24" i="17"/>
  <c r="AR24" i="17"/>
  <c r="AU24" i="17"/>
  <c r="AX24" i="17"/>
  <c r="BA24" i="17"/>
  <c r="BD24" i="17"/>
  <c r="BG24" i="17"/>
  <c r="BJ24" i="17"/>
  <c r="BM24" i="17"/>
  <c r="BP24" i="17"/>
  <c r="BS24" i="17"/>
  <c r="BV24" i="17"/>
  <c r="BY24" i="17"/>
  <c r="CB24" i="17"/>
  <c r="CE24" i="17"/>
  <c r="CH24" i="17"/>
  <c r="CK24" i="17"/>
  <c r="CN24" i="17"/>
  <c r="CQ24" i="17"/>
  <c r="CT24" i="17"/>
  <c r="CW24" i="17"/>
  <c r="CZ24" i="17"/>
  <c r="DC24" i="17"/>
  <c r="DF24" i="17"/>
  <c r="DI24" i="17"/>
  <c r="DL24" i="17"/>
  <c r="DO24" i="17"/>
  <c r="DR24" i="17"/>
  <c r="DU24" i="17"/>
  <c r="DX24" i="17"/>
  <c r="EA24" i="17"/>
  <c r="ED24" i="17"/>
  <c r="EG24" i="17"/>
  <c r="EJ24" i="17"/>
  <c r="EM24" i="17"/>
  <c r="EP24" i="17"/>
  <c r="ES24" i="17"/>
  <c r="EV24" i="17"/>
  <c r="EY24" i="17"/>
  <c r="FB24" i="17"/>
  <c r="FE24" i="17"/>
  <c r="FH24" i="17"/>
  <c r="FK24" i="17"/>
  <c r="FN24" i="17"/>
  <c r="FQ24" i="17"/>
  <c r="FT24" i="17"/>
  <c r="FW24" i="17"/>
  <c r="FZ24" i="17"/>
  <c r="GC24" i="17"/>
  <c r="GF24" i="17"/>
  <c r="GI24" i="17"/>
  <c r="GL24" i="17"/>
  <c r="GO24" i="17"/>
  <c r="GR24" i="17"/>
  <c r="GU24" i="17"/>
  <c r="GX24" i="17"/>
  <c r="HA24" i="17"/>
  <c r="HD24" i="17"/>
  <c r="HG24" i="17"/>
  <c r="HJ24" i="17"/>
  <c r="HM24" i="17"/>
  <c r="HP24" i="17"/>
  <c r="HS24" i="17"/>
  <c r="HV24" i="17"/>
  <c r="HY24" i="17"/>
  <c r="IB24" i="17"/>
  <c r="IE24" i="17"/>
  <c r="IH24" i="17"/>
  <c r="IK24" i="17"/>
  <c r="IN24" i="17"/>
  <c r="IQ24" i="17"/>
  <c r="IT24" i="17"/>
  <c r="IW24" i="17"/>
  <c r="IZ24" i="17"/>
  <c r="JC24" i="17"/>
  <c r="JF24" i="17"/>
  <c r="JI24" i="17"/>
  <c r="JL24" i="17"/>
  <c r="JO24" i="17"/>
  <c r="JR24" i="17"/>
  <c r="JU24" i="17"/>
  <c r="JX24" i="17"/>
  <c r="KA24" i="17"/>
  <c r="KD24" i="17"/>
  <c r="KG24" i="17"/>
  <c r="KJ24" i="17"/>
  <c r="A25" i="17"/>
  <c r="B25" i="17"/>
  <c r="E25" i="17"/>
  <c r="H25" i="17"/>
  <c r="K25" i="17"/>
  <c r="N25" i="17"/>
  <c r="Q25" i="17"/>
  <c r="T25" i="17"/>
  <c r="W25" i="17"/>
  <c r="Z25" i="17"/>
  <c r="AC25" i="17"/>
  <c r="AF25" i="17"/>
  <c r="AI25" i="17"/>
  <c r="AL25" i="17"/>
  <c r="AO25" i="17"/>
  <c r="AR25" i="17"/>
  <c r="AU25" i="17"/>
  <c r="AX25" i="17"/>
  <c r="BA25" i="17"/>
  <c r="BD25" i="17"/>
  <c r="BG25" i="17"/>
  <c r="BJ25" i="17"/>
  <c r="BM25" i="17"/>
  <c r="BP25" i="17"/>
  <c r="BS25" i="17"/>
  <c r="BV25" i="17"/>
  <c r="BY25" i="17"/>
  <c r="CB25" i="17"/>
  <c r="CE25" i="17"/>
  <c r="CH25" i="17"/>
  <c r="CK25" i="17"/>
  <c r="CN25" i="17"/>
  <c r="CQ25" i="17"/>
  <c r="CT25" i="17"/>
  <c r="CW25" i="17"/>
  <c r="CZ25" i="17"/>
  <c r="DC25" i="17"/>
  <c r="DF25" i="17"/>
  <c r="DI25" i="17"/>
  <c r="DL25" i="17"/>
  <c r="DO25" i="17"/>
  <c r="DR25" i="17"/>
  <c r="DU25" i="17"/>
  <c r="DX25" i="17"/>
  <c r="EA25" i="17"/>
  <c r="ED25" i="17"/>
  <c r="EG25" i="17"/>
  <c r="EJ25" i="17"/>
  <c r="EM25" i="17"/>
  <c r="EP25" i="17"/>
  <c r="ES25" i="17"/>
  <c r="EV25" i="17"/>
  <c r="EY25" i="17"/>
  <c r="FB25" i="17"/>
  <c r="FE25" i="17"/>
  <c r="FH25" i="17"/>
  <c r="FK25" i="17"/>
  <c r="FN25" i="17"/>
  <c r="FQ25" i="17"/>
  <c r="FT25" i="17"/>
  <c r="FW25" i="17"/>
  <c r="FZ25" i="17"/>
  <c r="GC25" i="17"/>
  <c r="GF25" i="17"/>
  <c r="GI25" i="17"/>
  <c r="GL25" i="17"/>
  <c r="GO25" i="17"/>
  <c r="GR25" i="17"/>
  <c r="GU25" i="17"/>
  <c r="GX25" i="17"/>
  <c r="HA25" i="17"/>
  <c r="HD25" i="17"/>
  <c r="HG25" i="17"/>
  <c r="HJ25" i="17"/>
  <c r="HM25" i="17"/>
  <c r="HP25" i="17"/>
  <c r="HS25" i="17"/>
  <c r="HV25" i="17"/>
  <c r="HY25" i="17"/>
  <c r="IB25" i="17"/>
  <c r="IE25" i="17"/>
  <c r="IH25" i="17"/>
  <c r="IK25" i="17"/>
  <c r="IN25" i="17"/>
  <c r="IQ25" i="17"/>
  <c r="IT25" i="17"/>
  <c r="IW25" i="17"/>
  <c r="IZ25" i="17"/>
  <c r="JC25" i="17"/>
  <c r="JF25" i="17"/>
  <c r="JI25" i="17"/>
  <c r="JL25" i="17"/>
  <c r="JO25" i="17"/>
  <c r="JR25" i="17"/>
  <c r="JU25" i="17"/>
  <c r="JX25" i="17"/>
  <c r="KA25" i="17"/>
  <c r="KD25" i="17"/>
  <c r="KG25" i="17"/>
  <c r="KJ25" i="17"/>
  <c r="A26" i="17"/>
  <c r="B26" i="17"/>
  <c r="E26" i="17"/>
  <c r="H26" i="17"/>
  <c r="K26" i="17"/>
  <c r="N26" i="17"/>
  <c r="Q26" i="17"/>
  <c r="T26" i="17"/>
  <c r="W26" i="17"/>
  <c r="Z26" i="17"/>
  <c r="AC26" i="17"/>
  <c r="AF26" i="17"/>
  <c r="AI26" i="17"/>
  <c r="AL26" i="17"/>
  <c r="AO26" i="17"/>
  <c r="AR26" i="17"/>
  <c r="AU26" i="17"/>
  <c r="AX26" i="17"/>
  <c r="BA26" i="17"/>
  <c r="BD26" i="17"/>
  <c r="BG26" i="17"/>
  <c r="BJ26" i="17"/>
  <c r="BM26" i="17"/>
  <c r="BP26" i="17"/>
  <c r="BS26" i="17"/>
  <c r="BV26" i="17"/>
  <c r="BY26" i="17"/>
  <c r="CB26" i="17"/>
  <c r="CE26" i="17"/>
  <c r="CH26" i="17"/>
  <c r="CK26" i="17"/>
  <c r="CN26" i="17"/>
  <c r="CQ26" i="17"/>
  <c r="CT26" i="17"/>
  <c r="CW26" i="17"/>
  <c r="CZ26" i="17"/>
  <c r="DC26" i="17"/>
  <c r="DF26" i="17"/>
  <c r="DI26" i="17"/>
  <c r="DL26" i="17"/>
  <c r="DO26" i="17"/>
  <c r="DR26" i="17"/>
  <c r="DU26" i="17"/>
  <c r="DX26" i="17"/>
  <c r="EA26" i="17"/>
  <c r="ED26" i="17"/>
  <c r="EG26" i="17"/>
  <c r="EJ26" i="17"/>
  <c r="EM26" i="17"/>
  <c r="EP26" i="17"/>
  <c r="ES26" i="17"/>
  <c r="EV26" i="17"/>
  <c r="EY26" i="17"/>
  <c r="FB26" i="17"/>
  <c r="FE26" i="17"/>
  <c r="FH26" i="17"/>
  <c r="FK26" i="17"/>
  <c r="FN26" i="17"/>
  <c r="FQ26" i="17"/>
  <c r="FT26" i="17"/>
  <c r="FW26" i="17"/>
  <c r="FZ26" i="17"/>
  <c r="GC26" i="17"/>
  <c r="GF26" i="17"/>
  <c r="GI26" i="17"/>
  <c r="GL26" i="17"/>
  <c r="GO26" i="17"/>
  <c r="GR26" i="17"/>
  <c r="GU26" i="17"/>
  <c r="GX26" i="17"/>
  <c r="HA26" i="17"/>
  <c r="HD26" i="17"/>
  <c r="HG26" i="17"/>
  <c r="HJ26" i="17"/>
  <c r="HM26" i="17"/>
  <c r="HP26" i="17"/>
  <c r="HS26" i="17"/>
  <c r="HV26" i="17"/>
  <c r="HY26" i="17"/>
  <c r="IB26" i="17"/>
  <c r="IE26" i="17"/>
  <c r="IH26" i="17"/>
  <c r="IK26" i="17"/>
  <c r="IN26" i="17"/>
  <c r="IQ26" i="17"/>
  <c r="IT26" i="17"/>
  <c r="IW26" i="17"/>
  <c r="IZ26" i="17"/>
  <c r="JC26" i="17"/>
  <c r="JF26" i="17"/>
  <c r="JI26" i="17"/>
  <c r="JL26" i="17"/>
  <c r="JO26" i="17"/>
  <c r="JR26" i="17"/>
  <c r="JU26" i="17"/>
  <c r="JX26" i="17"/>
  <c r="KA26" i="17"/>
  <c r="KD26" i="17"/>
  <c r="KG26" i="17"/>
  <c r="KJ26" i="17"/>
  <c r="A27" i="17"/>
  <c r="B27" i="17"/>
  <c r="E27" i="17"/>
  <c r="H27" i="17"/>
  <c r="K27" i="17"/>
  <c r="N27" i="17"/>
  <c r="Q27" i="17"/>
  <c r="T27" i="17"/>
  <c r="W27" i="17"/>
  <c r="Z27" i="17"/>
  <c r="AC27" i="17"/>
  <c r="AF27" i="17"/>
  <c r="AI27" i="17"/>
  <c r="AL27" i="17"/>
  <c r="AO27" i="17"/>
  <c r="AR27" i="17"/>
  <c r="AU27" i="17"/>
  <c r="AX27" i="17"/>
  <c r="BA27" i="17"/>
  <c r="BD27" i="17"/>
  <c r="BG27" i="17"/>
  <c r="BJ27" i="17"/>
  <c r="BM27" i="17"/>
  <c r="BP27" i="17"/>
  <c r="BS27" i="17"/>
  <c r="BV27" i="17"/>
  <c r="BY27" i="17"/>
  <c r="CB27" i="17"/>
  <c r="CE27" i="17"/>
  <c r="CH27" i="17"/>
  <c r="CK27" i="17"/>
  <c r="CN27" i="17"/>
  <c r="CQ27" i="17"/>
  <c r="CT27" i="17"/>
  <c r="CW27" i="17"/>
  <c r="CZ27" i="17"/>
  <c r="DC27" i="17"/>
  <c r="DF27" i="17"/>
  <c r="DI27" i="17"/>
  <c r="DL27" i="17"/>
  <c r="DO27" i="17"/>
  <c r="DR27" i="17"/>
  <c r="DU27" i="17"/>
  <c r="DX27" i="17"/>
  <c r="EA27" i="17"/>
  <c r="ED27" i="17"/>
  <c r="EG27" i="17"/>
  <c r="EJ27" i="17"/>
  <c r="EM27" i="17"/>
  <c r="EP27" i="17"/>
  <c r="ES27" i="17"/>
  <c r="EV27" i="17"/>
  <c r="EY27" i="17"/>
  <c r="FB27" i="17"/>
  <c r="FE27" i="17"/>
  <c r="FH27" i="17"/>
  <c r="FK27" i="17"/>
  <c r="FN27" i="17"/>
  <c r="FQ27" i="17"/>
  <c r="FT27" i="17"/>
  <c r="FW27" i="17"/>
  <c r="FZ27" i="17"/>
  <c r="GC27" i="17"/>
  <c r="GF27" i="17"/>
  <c r="GI27" i="17"/>
  <c r="GL27" i="17"/>
  <c r="GO27" i="17"/>
  <c r="GR27" i="17"/>
  <c r="GU27" i="17"/>
  <c r="GX27" i="17"/>
  <c r="HA27" i="17"/>
  <c r="HD27" i="17"/>
  <c r="HG27" i="17"/>
  <c r="HJ27" i="17"/>
  <c r="HM27" i="17"/>
  <c r="HP27" i="17"/>
  <c r="HS27" i="17"/>
  <c r="HV27" i="17"/>
  <c r="HY27" i="17"/>
  <c r="IB27" i="17"/>
  <c r="IE27" i="17"/>
  <c r="IH27" i="17"/>
  <c r="IK27" i="17"/>
  <c r="IN27" i="17"/>
  <c r="IQ27" i="17"/>
  <c r="IT27" i="17"/>
  <c r="IW27" i="17"/>
  <c r="IZ27" i="17"/>
  <c r="JC27" i="17"/>
  <c r="JF27" i="17"/>
  <c r="JI27" i="17"/>
  <c r="JL27" i="17"/>
  <c r="JO27" i="17"/>
  <c r="JR27" i="17"/>
  <c r="JU27" i="17"/>
  <c r="JX27" i="17"/>
  <c r="KA27" i="17"/>
  <c r="KD27" i="17"/>
  <c r="KG27" i="17"/>
  <c r="KJ27" i="17"/>
  <c r="A28" i="17"/>
  <c r="B28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AD28" i="17"/>
  <c r="AE28" i="17"/>
  <c r="AF28" i="17"/>
  <c r="AG28" i="17"/>
  <c r="AH28" i="17"/>
  <c r="AI28" i="17"/>
  <c r="AJ28" i="17"/>
  <c r="AK28" i="17"/>
  <c r="AL28" i="17"/>
  <c r="AM28" i="17"/>
  <c r="AN28" i="17"/>
  <c r="AO28" i="17"/>
  <c r="AP28" i="17"/>
  <c r="AQ28" i="17"/>
  <c r="AR28" i="17"/>
  <c r="AS28" i="17"/>
  <c r="AT28" i="17"/>
  <c r="AU28" i="17"/>
  <c r="AV28" i="17"/>
  <c r="AW28" i="17"/>
  <c r="AX28" i="17"/>
  <c r="AY28" i="17"/>
  <c r="AZ28" i="17"/>
  <c r="BA28" i="17"/>
  <c r="BB28" i="17"/>
  <c r="BC28" i="17"/>
  <c r="BD28" i="17"/>
  <c r="BE28" i="17"/>
  <c r="BF28" i="17"/>
  <c r="BG28" i="17"/>
  <c r="BH28" i="17"/>
  <c r="BI28" i="17"/>
  <c r="BJ28" i="17"/>
  <c r="BK28" i="17"/>
  <c r="BL28" i="17"/>
  <c r="BM28" i="17"/>
  <c r="BN28" i="17"/>
  <c r="BO28" i="17"/>
  <c r="BP28" i="17"/>
  <c r="BQ28" i="17"/>
  <c r="BR28" i="17"/>
  <c r="BS28" i="17"/>
  <c r="BT28" i="17"/>
  <c r="BU28" i="17"/>
  <c r="BV28" i="17"/>
  <c r="BW28" i="17"/>
  <c r="BX28" i="17"/>
  <c r="BY28" i="17"/>
  <c r="BZ28" i="17"/>
  <c r="CA28" i="17"/>
  <c r="CB28" i="17"/>
  <c r="CC28" i="17"/>
  <c r="CD28" i="17"/>
  <c r="CE28" i="17"/>
  <c r="CF28" i="17"/>
  <c r="CG28" i="17"/>
  <c r="CH28" i="17"/>
  <c r="CI28" i="17"/>
  <c r="CJ28" i="17"/>
  <c r="CK28" i="17"/>
  <c r="CL28" i="17"/>
  <c r="CM28" i="17"/>
  <c r="CN28" i="17"/>
  <c r="CO28" i="17"/>
  <c r="CP28" i="17"/>
  <c r="CQ28" i="17"/>
  <c r="CR28" i="17"/>
  <c r="CS28" i="17"/>
  <c r="CT28" i="17"/>
  <c r="CU28" i="17"/>
  <c r="CV28" i="17"/>
  <c r="CW28" i="17"/>
  <c r="CX28" i="17"/>
  <c r="CY28" i="17"/>
  <c r="CZ28" i="17"/>
  <c r="DA28" i="17"/>
  <c r="DB28" i="17"/>
  <c r="DC28" i="17"/>
  <c r="DD28" i="17"/>
  <c r="DE28" i="17"/>
  <c r="DF28" i="17"/>
  <c r="DG28" i="17"/>
  <c r="DH28" i="17"/>
  <c r="DI28" i="17"/>
  <c r="DJ28" i="17"/>
  <c r="DK28" i="17"/>
  <c r="DL28" i="17"/>
  <c r="DM28" i="17"/>
  <c r="DN28" i="17"/>
  <c r="DO28" i="17"/>
  <c r="DP28" i="17"/>
  <c r="DQ28" i="17"/>
  <c r="DR28" i="17"/>
  <c r="DS28" i="17"/>
  <c r="DT28" i="17"/>
  <c r="DU28" i="17"/>
  <c r="DV28" i="17"/>
  <c r="DW28" i="17"/>
  <c r="DX28" i="17"/>
  <c r="DY28" i="17"/>
  <c r="DZ28" i="17"/>
  <c r="EA28" i="17"/>
  <c r="EB28" i="17"/>
  <c r="EC28" i="17"/>
  <c r="ED28" i="17"/>
  <c r="EE28" i="17"/>
  <c r="EF28" i="17"/>
  <c r="EG28" i="17"/>
  <c r="EH28" i="17"/>
  <c r="EI28" i="17"/>
  <c r="EJ28" i="17"/>
  <c r="EK28" i="17"/>
  <c r="EL28" i="17"/>
  <c r="EM28" i="17"/>
  <c r="EN28" i="17"/>
  <c r="EO28" i="17"/>
  <c r="EP28" i="17"/>
  <c r="EQ28" i="17"/>
  <c r="ER28" i="17"/>
  <c r="ES28" i="17"/>
  <c r="ET28" i="17"/>
  <c r="EU28" i="17"/>
  <c r="EV28" i="17"/>
  <c r="EW28" i="17"/>
  <c r="EX28" i="17"/>
  <c r="EY28" i="17"/>
  <c r="EZ28" i="17"/>
  <c r="FA28" i="17"/>
  <c r="FB28" i="17"/>
  <c r="FC28" i="17"/>
  <c r="FD28" i="17"/>
  <c r="FE28" i="17"/>
  <c r="FF28" i="17"/>
  <c r="FG28" i="17"/>
  <c r="FH28" i="17"/>
  <c r="FI28" i="17"/>
  <c r="FJ28" i="17"/>
  <c r="FK28" i="17"/>
  <c r="FL28" i="17"/>
  <c r="FM28" i="17"/>
  <c r="FN28" i="17"/>
  <c r="FO28" i="17"/>
  <c r="FP28" i="17"/>
  <c r="FQ28" i="17"/>
  <c r="FR28" i="17"/>
  <c r="FS28" i="17"/>
  <c r="FT28" i="17"/>
  <c r="FU28" i="17"/>
  <c r="FV28" i="17"/>
  <c r="FW28" i="17"/>
  <c r="FX28" i="17"/>
  <c r="FY28" i="17"/>
  <c r="FZ28" i="17"/>
  <c r="GA28" i="17"/>
  <c r="GB28" i="17"/>
  <c r="GC28" i="17"/>
  <c r="GD28" i="17"/>
  <c r="GE28" i="17"/>
  <c r="GF28" i="17"/>
  <c r="GG28" i="17"/>
  <c r="GH28" i="17"/>
  <c r="GI28" i="17"/>
  <c r="GJ28" i="17"/>
  <c r="GK28" i="17"/>
  <c r="GL28" i="17"/>
  <c r="GM28" i="17"/>
  <c r="GN28" i="17"/>
  <c r="GO28" i="17"/>
  <c r="GP28" i="17"/>
  <c r="GQ28" i="17"/>
  <c r="A29" i="17"/>
  <c r="CX190" i="12"/>
  <c r="CW190" i="12"/>
  <c r="CV190" i="12"/>
  <c r="CU190" i="12"/>
  <c r="CT190" i="12"/>
  <c r="CS190" i="12"/>
  <c r="CR190" i="12"/>
  <c r="CQ190" i="12"/>
  <c r="CP190" i="12"/>
  <c r="CO190" i="12"/>
  <c r="CN190" i="12"/>
  <c r="CM190" i="12"/>
  <c r="CL190" i="12"/>
  <c r="CK190" i="12"/>
  <c r="CJ190" i="12"/>
  <c r="CI190" i="12"/>
  <c r="CH190" i="12"/>
  <c r="CG190" i="12"/>
  <c r="CF190" i="12"/>
  <c r="CE190" i="12"/>
  <c r="CD190" i="12"/>
  <c r="CC190" i="12"/>
  <c r="CB190" i="12"/>
  <c r="CA190" i="12"/>
  <c r="BZ190" i="12"/>
  <c r="BY190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E190" i="12"/>
  <c r="BD190" i="12"/>
  <c r="BC190" i="12"/>
  <c r="BB190" i="12"/>
  <c r="BA190" i="12"/>
  <c r="AZ190" i="12"/>
  <c r="AY190" i="12"/>
  <c r="AX190" i="12"/>
  <c r="AW190" i="12"/>
  <c r="AV190" i="12"/>
  <c r="AU190" i="12"/>
  <c r="AT190" i="12"/>
  <c r="AS190" i="12"/>
  <c r="AR190" i="12"/>
  <c r="AQ190" i="12"/>
  <c r="AP190" i="12"/>
  <c r="AO190" i="12"/>
  <c r="AN190" i="12"/>
  <c r="AM190" i="12"/>
  <c r="AL190" i="12"/>
  <c r="AK190" i="12"/>
  <c r="AJ190" i="12"/>
  <c r="AI190" i="12"/>
  <c r="AH190" i="12"/>
  <c r="AG190" i="12"/>
  <c r="AF190" i="12"/>
  <c r="AE190" i="12"/>
  <c r="AD190" i="12"/>
  <c r="AC190" i="12"/>
  <c r="AB190" i="12"/>
  <c r="AA190" i="12"/>
  <c r="Z190" i="12"/>
  <c r="Y190" i="12"/>
  <c r="X190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K190" i="12"/>
  <c r="J190" i="12"/>
  <c r="I190" i="12"/>
  <c r="H190" i="12"/>
  <c r="G190" i="12"/>
  <c r="F190" i="12"/>
  <c r="E190" i="12"/>
  <c r="D190" i="12"/>
  <c r="CX189" i="12"/>
  <c r="CW189" i="12"/>
  <c r="CV189" i="12"/>
  <c r="CU189" i="12"/>
  <c r="CT189" i="12"/>
  <c r="CS189" i="12"/>
  <c r="CR189" i="12"/>
  <c r="CQ189" i="12"/>
  <c r="CP189" i="12"/>
  <c r="CO189" i="12"/>
  <c r="CN189" i="12"/>
  <c r="CM189" i="12"/>
  <c r="CL189" i="12"/>
  <c r="CK189" i="12"/>
  <c r="CJ189" i="12"/>
  <c r="CI189" i="12"/>
  <c r="CH189" i="12"/>
  <c r="CG189" i="12"/>
  <c r="CF189" i="12"/>
  <c r="CE189" i="12"/>
  <c r="CD189" i="12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BC189" i="12"/>
  <c r="BB189" i="12"/>
  <c r="BA189" i="12"/>
  <c r="AZ189" i="12"/>
  <c r="AY189" i="12"/>
  <c r="AX189" i="12"/>
  <c r="AW189" i="12"/>
  <c r="AV189" i="12"/>
  <c r="AU189" i="12"/>
  <c r="AT189" i="12"/>
  <c r="AS189" i="12"/>
  <c r="AR189" i="12"/>
  <c r="AQ189" i="12"/>
  <c r="AP189" i="12"/>
  <c r="AO189" i="12"/>
  <c r="AN189" i="12"/>
  <c r="AM189" i="12"/>
  <c r="AL189" i="12"/>
  <c r="AK189" i="12"/>
  <c r="AJ189" i="12"/>
  <c r="AI189" i="12"/>
  <c r="AH189" i="12"/>
  <c r="AG189" i="12"/>
  <c r="AF189" i="12"/>
  <c r="AE189" i="12"/>
  <c r="AD189" i="12"/>
  <c r="AC189" i="12"/>
  <c r="AB189" i="12"/>
  <c r="AA189" i="12"/>
  <c r="Z189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K189" i="12"/>
  <c r="J189" i="12"/>
  <c r="I189" i="12"/>
  <c r="H189" i="12"/>
  <c r="G189" i="12"/>
  <c r="F189" i="12"/>
  <c r="E189" i="12"/>
  <c r="D189" i="12"/>
  <c r="CX188" i="12"/>
  <c r="CW188" i="12"/>
  <c r="CV188" i="12"/>
  <c r="CU188" i="12"/>
  <c r="CT188" i="12"/>
  <c r="CS188" i="12"/>
  <c r="CR188" i="12"/>
  <c r="CQ188" i="12"/>
  <c r="CP188" i="12"/>
  <c r="CO188" i="12"/>
  <c r="CN188" i="12"/>
  <c r="CM188" i="12"/>
  <c r="CL188" i="12"/>
  <c r="CK188" i="12"/>
  <c r="CJ188" i="12"/>
  <c r="CI188" i="12"/>
  <c r="CH188" i="12"/>
  <c r="CG188" i="12"/>
  <c r="CF188" i="12"/>
  <c r="CE188" i="12"/>
  <c r="CD188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BC188" i="12"/>
  <c r="BB188" i="12"/>
  <c r="BA188" i="12"/>
  <c r="AZ188" i="12"/>
  <c r="AY188" i="12"/>
  <c r="AX188" i="12"/>
  <c r="AW188" i="12"/>
  <c r="AV188" i="12"/>
  <c r="AU188" i="12"/>
  <c r="AT188" i="12"/>
  <c r="AS188" i="12"/>
  <c r="AR188" i="12"/>
  <c r="AQ188" i="12"/>
  <c r="AP188" i="12"/>
  <c r="AO188" i="12"/>
  <c r="AN188" i="12"/>
  <c r="AM188" i="12"/>
  <c r="AL188" i="12"/>
  <c r="AK188" i="12"/>
  <c r="AJ188" i="12"/>
  <c r="AI188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K188" i="12"/>
  <c r="J188" i="12"/>
  <c r="I188" i="12"/>
  <c r="H188" i="12"/>
  <c r="G188" i="12"/>
  <c r="F188" i="12"/>
  <c r="E188" i="12"/>
  <c r="D188" i="12"/>
  <c r="CX187" i="12"/>
  <c r="CW187" i="12"/>
  <c r="CV187" i="12"/>
  <c r="CU187" i="12"/>
  <c r="CT187" i="12"/>
  <c r="CS187" i="12"/>
  <c r="CR187" i="12"/>
  <c r="CQ187" i="12"/>
  <c r="CP187" i="12"/>
  <c r="CO187" i="12"/>
  <c r="CN187" i="12"/>
  <c r="CM187" i="12"/>
  <c r="CL187" i="12"/>
  <c r="CK187" i="12"/>
  <c r="CJ187" i="12"/>
  <c r="CI187" i="12"/>
  <c r="CH187" i="12"/>
  <c r="CG187" i="12"/>
  <c r="CF187" i="12"/>
  <c r="CE187" i="12"/>
  <c r="CD187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BC187" i="12"/>
  <c r="BB187" i="12"/>
  <c r="BA187" i="12"/>
  <c r="AZ187" i="12"/>
  <c r="AY187" i="12"/>
  <c r="AX187" i="12"/>
  <c r="AW187" i="12"/>
  <c r="AV187" i="12"/>
  <c r="AU187" i="12"/>
  <c r="AT187" i="12"/>
  <c r="AS187" i="12"/>
  <c r="AR187" i="12"/>
  <c r="AQ187" i="12"/>
  <c r="AP187" i="12"/>
  <c r="AO187" i="12"/>
  <c r="AN187" i="12"/>
  <c r="AM187" i="12"/>
  <c r="AL187" i="12"/>
  <c r="AK187" i="12"/>
  <c r="AJ187" i="12"/>
  <c r="AI187" i="12"/>
  <c r="AH187" i="12"/>
  <c r="AG187" i="12"/>
  <c r="AF187" i="12"/>
  <c r="AE187" i="12"/>
  <c r="AD187" i="12"/>
  <c r="AC187" i="12"/>
  <c r="AB187" i="12"/>
  <c r="AA187" i="12"/>
  <c r="Z187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K187" i="12"/>
  <c r="J187" i="12"/>
  <c r="I187" i="12"/>
  <c r="H187" i="12"/>
  <c r="G187" i="12"/>
  <c r="F187" i="12"/>
  <c r="E187" i="12"/>
  <c r="D187" i="12"/>
  <c r="CX186" i="12"/>
  <c r="CW186" i="12"/>
  <c r="CV186" i="12"/>
  <c r="CU186" i="12"/>
  <c r="CT186" i="12"/>
  <c r="CS186" i="12"/>
  <c r="CR186" i="12"/>
  <c r="CQ186" i="12"/>
  <c r="CP186" i="12"/>
  <c r="CO186" i="12"/>
  <c r="CN186" i="12"/>
  <c r="CM186" i="12"/>
  <c r="CL186" i="12"/>
  <c r="CK186" i="12"/>
  <c r="CJ186" i="12"/>
  <c r="CI186" i="12"/>
  <c r="CH186" i="12"/>
  <c r="CG186" i="12"/>
  <c r="CF186" i="12"/>
  <c r="CE186" i="12"/>
  <c r="CD186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AS186" i="12"/>
  <c r="AR186" i="12"/>
  <c r="AQ186" i="12"/>
  <c r="AP186" i="12"/>
  <c r="AO186" i="12"/>
  <c r="AN186" i="12"/>
  <c r="AM186" i="12"/>
  <c r="AL186" i="12"/>
  <c r="AK186" i="12"/>
  <c r="AJ186" i="12"/>
  <c r="AI186" i="12"/>
  <c r="AH186" i="12"/>
  <c r="AG186" i="12"/>
  <c r="AF186" i="12"/>
  <c r="AE186" i="12"/>
  <c r="AD186" i="12"/>
  <c r="AC186" i="12"/>
  <c r="AB186" i="12"/>
  <c r="AA186" i="12"/>
  <c r="Z186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K186" i="12"/>
  <c r="J186" i="12"/>
  <c r="I186" i="12"/>
  <c r="H186" i="12"/>
  <c r="G186" i="12"/>
  <c r="F186" i="12"/>
  <c r="E186" i="12"/>
  <c r="D186" i="12"/>
  <c r="CX185" i="12"/>
  <c r="CW185" i="12"/>
  <c r="CV185" i="12"/>
  <c r="CU185" i="12"/>
  <c r="CT185" i="12"/>
  <c r="CS185" i="12"/>
  <c r="CR185" i="12"/>
  <c r="CQ185" i="12"/>
  <c r="CP185" i="12"/>
  <c r="CO185" i="12"/>
  <c r="CN185" i="12"/>
  <c r="CM185" i="12"/>
  <c r="CL185" i="12"/>
  <c r="CK185" i="12"/>
  <c r="CJ185" i="12"/>
  <c r="CI185" i="12"/>
  <c r="CH185" i="12"/>
  <c r="CG185" i="12"/>
  <c r="CF185" i="12"/>
  <c r="CE185" i="12"/>
  <c r="CD185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BC185" i="12"/>
  <c r="BB185" i="12"/>
  <c r="BA185" i="12"/>
  <c r="AZ185" i="12"/>
  <c r="AY185" i="12"/>
  <c r="AX185" i="12"/>
  <c r="AW185" i="12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J185" i="12"/>
  <c r="AI185" i="12"/>
  <c r="AH185" i="12"/>
  <c r="AG185" i="12"/>
  <c r="AF185" i="12"/>
  <c r="AE185" i="12"/>
  <c r="AD185" i="12"/>
  <c r="AC185" i="12"/>
  <c r="AB185" i="12"/>
  <c r="AA185" i="12"/>
  <c r="Z185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K185" i="12"/>
  <c r="J185" i="12"/>
  <c r="I185" i="12"/>
  <c r="H185" i="12"/>
  <c r="G185" i="12"/>
  <c r="F185" i="12"/>
  <c r="E185" i="12"/>
  <c r="D185" i="12"/>
  <c r="A1" i="16"/>
  <c r="B1" i="16"/>
  <c r="C1" i="16"/>
  <c r="D1" i="16"/>
  <c r="E1" i="16"/>
  <c r="F1" i="16"/>
  <c r="G1" i="16"/>
  <c r="H1" i="16"/>
  <c r="I1" i="16"/>
  <c r="J1" i="16"/>
  <c r="K1" i="16"/>
  <c r="L1" i="16"/>
  <c r="M1" i="16"/>
  <c r="N1" i="16"/>
  <c r="O1" i="16"/>
  <c r="P1" i="16"/>
  <c r="Q1" i="16"/>
  <c r="R1" i="16"/>
  <c r="S1" i="16"/>
  <c r="T1" i="16"/>
  <c r="U1" i="16"/>
  <c r="V1" i="16"/>
  <c r="W1" i="16"/>
  <c r="X1" i="16"/>
  <c r="Y1" i="16"/>
  <c r="Z1" i="16"/>
  <c r="AA1" i="16"/>
  <c r="AB1" i="16"/>
  <c r="AC1" i="16"/>
  <c r="AD1" i="16"/>
  <c r="AE1" i="16"/>
  <c r="AF1" i="16"/>
  <c r="AG1" i="16"/>
  <c r="AH1" i="16"/>
  <c r="AI1" i="16"/>
  <c r="AJ1" i="16"/>
  <c r="AK1" i="16"/>
  <c r="AL1" i="16"/>
  <c r="AM1" i="16"/>
  <c r="AN1" i="16"/>
  <c r="AO1" i="16"/>
  <c r="AP1" i="16"/>
  <c r="AQ1" i="16"/>
  <c r="AR1" i="16"/>
  <c r="AS1" i="16"/>
  <c r="AT1" i="16"/>
  <c r="AU1" i="16"/>
  <c r="AV1" i="16"/>
  <c r="AW1" i="16"/>
  <c r="AX1" i="16"/>
  <c r="AY1" i="16"/>
  <c r="AZ1" i="16"/>
  <c r="BA1" i="16"/>
  <c r="BB1" i="16"/>
  <c r="BC1" i="16"/>
  <c r="BD1" i="16"/>
  <c r="BE1" i="16"/>
  <c r="BF1" i="16"/>
  <c r="BG1" i="16"/>
  <c r="BH1" i="16"/>
  <c r="BI1" i="16"/>
  <c r="BJ1" i="16"/>
  <c r="BK1" i="16"/>
  <c r="BL1" i="16"/>
  <c r="BM1" i="16"/>
  <c r="BN1" i="16"/>
  <c r="BO1" i="16"/>
  <c r="BP1" i="16"/>
  <c r="BQ1" i="16"/>
  <c r="BR1" i="16"/>
  <c r="BS1" i="16"/>
  <c r="BT1" i="16"/>
  <c r="BU1" i="16"/>
  <c r="BV1" i="16"/>
  <c r="BW1" i="16"/>
  <c r="BX1" i="16"/>
  <c r="BY1" i="16"/>
  <c r="BZ1" i="16"/>
  <c r="CA1" i="16"/>
  <c r="CB1" i="16"/>
  <c r="CC1" i="16"/>
  <c r="CD1" i="16"/>
  <c r="CE1" i="16"/>
  <c r="CF1" i="16"/>
  <c r="CG1" i="16"/>
  <c r="CH1" i="16"/>
  <c r="CI1" i="16"/>
  <c r="CJ1" i="16"/>
  <c r="CK1" i="16"/>
  <c r="CL1" i="16"/>
  <c r="CM1" i="16"/>
  <c r="CN1" i="16"/>
  <c r="CO1" i="16"/>
  <c r="CP1" i="16"/>
  <c r="CQ1" i="16"/>
  <c r="CR1" i="16"/>
  <c r="CS1" i="16"/>
  <c r="CT1" i="16"/>
  <c r="CU1" i="16"/>
  <c r="CV1" i="16"/>
  <c r="CW1" i="16"/>
  <c r="CX1" i="16"/>
  <c r="CY1" i="16"/>
  <c r="CZ1" i="16"/>
  <c r="DA1" i="16"/>
  <c r="DB1" i="16"/>
  <c r="DC1" i="16"/>
  <c r="DD1" i="16"/>
  <c r="DE1" i="16"/>
  <c r="DF1" i="16"/>
  <c r="DG1" i="16"/>
  <c r="DH1" i="16"/>
  <c r="DI1" i="16"/>
  <c r="DJ1" i="16"/>
  <c r="DK1" i="16"/>
  <c r="DL1" i="16"/>
  <c r="DM1" i="16"/>
  <c r="DN1" i="16"/>
  <c r="DO1" i="16"/>
  <c r="DP1" i="16"/>
  <c r="DQ1" i="16"/>
  <c r="DR1" i="16"/>
  <c r="DS1" i="16"/>
  <c r="DT1" i="16"/>
  <c r="DU1" i="16"/>
  <c r="DV1" i="16"/>
  <c r="DW1" i="16"/>
  <c r="DX1" i="16"/>
  <c r="DY1" i="16"/>
  <c r="DZ1" i="16"/>
  <c r="EA1" i="16"/>
  <c r="EB1" i="16"/>
  <c r="EC1" i="16"/>
  <c r="ED1" i="16"/>
  <c r="EE1" i="16"/>
  <c r="EF1" i="16"/>
  <c r="EG1" i="16"/>
  <c r="EH1" i="16"/>
  <c r="EI1" i="16"/>
  <c r="EJ1" i="16"/>
  <c r="EK1" i="16"/>
  <c r="EL1" i="16"/>
  <c r="EM1" i="16"/>
  <c r="EN1" i="16"/>
  <c r="EO1" i="16"/>
  <c r="EP1" i="16"/>
  <c r="EQ1" i="16"/>
  <c r="ER1" i="16"/>
  <c r="ES1" i="16"/>
  <c r="ET1" i="16"/>
  <c r="EU1" i="16"/>
  <c r="EV1" i="16"/>
  <c r="EW1" i="16"/>
  <c r="EX1" i="16"/>
  <c r="EY1" i="16"/>
  <c r="EZ1" i="16"/>
  <c r="FA1" i="16"/>
  <c r="FB1" i="16"/>
  <c r="FC1" i="16"/>
  <c r="FD1" i="16"/>
  <c r="FE1" i="16"/>
  <c r="FF1" i="16"/>
  <c r="FG1" i="16"/>
  <c r="FH1" i="16"/>
  <c r="FI1" i="16"/>
  <c r="FJ1" i="16"/>
  <c r="FK1" i="16"/>
  <c r="FL1" i="16"/>
  <c r="FM1" i="16"/>
  <c r="FN1" i="16"/>
  <c r="FO1" i="16"/>
  <c r="FP1" i="16"/>
  <c r="FQ1" i="16"/>
  <c r="FR1" i="16"/>
  <c r="FS1" i="16"/>
  <c r="FT1" i="16"/>
  <c r="FU1" i="16"/>
  <c r="FV1" i="16"/>
  <c r="FW1" i="16"/>
  <c r="FX1" i="16"/>
  <c r="FY1" i="16"/>
  <c r="FZ1" i="16"/>
  <c r="GA1" i="16"/>
  <c r="GB1" i="16"/>
  <c r="GC1" i="16"/>
  <c r="GD1" i="16"/>
  <c r="GE1" i="16"/>
  <c r="GF1" i="16"/>
  <c r="GG1" i="16"/>
  <c r="GH1" i="16"/>
  <c r="GI1" i="16"/>
  <c r="GJ1" i="16"/>
  <c r="GK1" i="16"/>
  <c r="GL1" i="16"/>
  <c r="GM1" i="16"/>
  <c r="GN1" i="16"/>
  <c r="GO1" i="16"/>
  <c r="GP1" i="16"/>
  <c r="GQ1" i="16"/>
  <c r="A2" i="16"/>
  <c r="B2" i="16"/>
  <c r="C2" i="16"/>
  <c r="D2" i="16"/>
  <c r="E2" i="16"/>
  <c r="F2" i="16"/>
  <c r="G2" i="16"/>
  <c r="H2" i="16"/>
  <c r="I2" i="16"/>
  <c r="J2" i="16"/>
  <c r="K2" i="16"/>
  <c r="L2" i="16"/>
  <c r="M2" i="16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AF2" i="16"/>
  <c r="AG2" i="16"/>
  <c r="AH2" i="16"/>
  <c r="AI2" i="16"/>
  <c r="AJ2" i="16"/>
  <c r="AK2" i="16"/>
  <c r="AL2" i="16"/>
  <c r="AM2" i="16"/>
  <c r="AN2" i="16"/>
  <c r="AO2" i="16"/>
  <c r="AP2" i="16"/>
  <c r="AQ2" i="16"/>
  <c r="AR2" i="16"/>
  <c r="AS2" i="16"/>
  <c r="AT2" i="16"/>
  <c r="AU2" i="16"/>
  <c r="AV2" i="16"/>
  <c r="AW2" i="16"/>
  <c r="AX2" i="16"/>
  <c r="AY2" i="16"/>
  <c r="AZ2" i="16"/>
  <c r="BA2" i="16"/>
  <c r="BB2" i="16"/>
  <c r="BC2" i="16"/>
  <c r="BD2" i="16"/>
  <c r="BE2" i="16"/>
  <c r="BF2" i="16"/>
  <c r="BG2" i="16"/>
  <c r="BH2" i="16"/>
  <c r="BI2" i="16"/>
  <c r="BJ2" i="16"/>
  <c r="BK2" i="16"/>
  <c r="BL2" i="16"/>
  <c r="BM2" i="16"/>
  <c r="BN2" i="16"/>
  <c r="BO2" i="16"/>
  <c r="BP2" i="16"/>
  <c r="BQ2" i="16"/>
  <c r="BR2" i="16"/>
  <c r="BS2" i="16"/>
  <c r="BT2" i="16"/>
  <c r="BU2" i="16"/>
  <c r="BV2" i="16"/>
  <c r="BW2" i="16"/>
  <c r="BX2" i="16"/>
  <c r="BY2" i="16"/>
  <c r="BZ2" i="16"/>
  <c r="CA2" i="16"/>
  <c r="CB2" i="16"/>
  <c r="CC2" i="16"/>
  <c r="CD2" i="16"/>
  <c r="CE2" i="16"/>
  <c r="CF2" i="16"/>
  <c r="CG2" i="16"/>
  <c r="CH2" i="16"/>
  <c r="CI2" i="16"/>
  <c r="CJ2" i="16"/>
  <c r="CK2" i="16"/>
  <c r="CL2" i="16"/>
  <c r="CM2" i="16"/>
  <c r="CN2" i="16"/>
  <c r="CO2" i="16"/>
  <c r="CP2" i="16"/>
  <c r="CQ2" i="16"/>
  <c r="CR2" i="16"/>
  <c r="CS2" i="16"/>
  <c r="CT2" i="16"/>
  <c r="CU2" i="16"/>
  <c r="CV2" i="16"/>
  <c r="CW2" i="16"/>
  <c r="CX2" i="16"/>
  <c r="CY2" i="16"/>
  <c r="CZ2" i="16"/>
  <c r="DA2" i="16"/>
  <c r="DB2" i="16"/>
  <c r="DC2" i="16"/>
  <c r="DD2" i="16"/>
  <c r="DE2" i="16"/>
  <c r="DF2" i="16"/>
  <c r="DG2" i="16"/>
  <c r="DH2" i="16"/>
  <c r="DI2" i="16"/>
  <c r="DJ2" i="16"/>
  <c r="DK2" i="16"/>
  <c r="DL2" i="16"/>
  <c r="DM2" i="16"/>
  <c r="DN2" i="16"/>
  <c r="DO2" i="16"/>
  <c r="DP2" i="16"/>
  <c r="DQ2" i="16"/>
  <c r="DR2" i="16"/>
  <c r="DS2" i="16"/>
  <c r="DT2" i="16"/>
  <c r="DU2" i="16"/>
  <c r="DV2" i="16"/>
  <c r="DW2" i="16"/>
  <c r="DX2" i="16"/>
  <c r="DY2" i="16"/>
  <c r="DZ2" i="16"/>
  <c r="EA2" i="16"/>
  <c r="EB2" i="16"/>
  <c r="EC2" i="16"/>
  <c r="ED2" i="16"/>
  <c r="EE2" i="16"/>
  <c r="EF2" i="16"/>
  <c r="EG2" i="16"/>
  <c r="EH2" i="16"/>
  <c r="EI2" i="16"/>
  <c r="EJ2" i="16"/>
  <c r="EK2" i="16"/>
  <c r="EL2" i="16"/>
  <c r="EM2" i="16"/>
  <c r="EN2" i="16"/>
  <c r="EO2" i="16"/>
  <c r="EP2" i="16"/>
  <c r="EQ2" i="16"/>
  <c r="ER2" i="16"/>
  <c r="ES2" i="16"/>
  <c r="ET2" i="16"/>
  <c r="EU2" i="16"/>
  <c r="EV2" i="16"/>
  <c r="EW2" i="16"/>
  <c r="EX2" i="16"/>
  <c r="EY2" i="16"/>
  <c r="EZ2" i="16"/>
  <c r="FA2" i="16"/>
  <c r="FB2" i="16"/>
  <c r="FC2" i="16"/>
  <c r="FD2" i="16"/>
  <c r="FE2" i="16"/>
  <c r="FF2" i="16"/>
  <c r="FG2" i="16"/>
  <c r="FH2" i="16"/>
  <c r="FI2" i="16"/>
  <c r="FJ2" i="16"/>
  <c r="FK2" i="16"/>
  <c r="FL2" i="16"/>
  <c r="FM2" i="16"/>
  <c r="FN2" i="16"/>
  <c r="FO2" i="16"/>
  <c r="FP2" i="16"/>
  <c r="FQ2" i="16"/>
  <c r="FR2" i="16"/>
  <c r="FS2" i="16"/>
  <c r="FT2" i="16"/>
  <c r="FU2" i="16"/>
  <c r="FV2" i="16"/>
  <c r="FW2" i="16"/>
  <c r="FX2" i="16"/>
  <c r="FY2" i="16"/>
  <c r="FZ2" i="16"/>
  <c r="GA2" i="16"/>
  <c r="GB2" i="16"/>
  <c r="GC2" i="16"/>
  <c r="GD2" i="16"/>
  <c r="GE2" i="16"/>
  <c r="GF2" i="16"/>
  <c r="GG2" i="16"/>
  <c r="GH2" i="16"/>
  <c r="GI2" i="16"/>
  <c r="GJ2" i="16"/>
  <c r="GK2" i="16"/>
  <c r="GL2" i="16"/>
  <c r="GM2" i="16"/>
  <c r="GN2" i="16"/>
  <c r="GO2" i="16"/>
  <c r="GP2" i="16"/>
  <c r="GQ2" i="16"/>
  <c r="A3" i="16"/>
  <c r="B3" i="16"/>
  <c r="C3" i="16"/>
  <c r="D3" i="16"/>
  <c r="E3" i="16"/>
  <c r="F3" i="16"/>
  <c r="G3" i="16"/>
  <c r="H3" i="16"/>
  <c r="I3" i="16"/>
  <c r="J3" i="16"/>
  <c r="K3" i="16"/>
  <c r="L3" i="16"/>
  <c r="M3" i="16"/>
  <c r="N3" i="16"/>
  <c r="O3" i="16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AH3" i="16"/>
  <c r="AI3" i="16"/>
  <c r="AJ3" i="16"/>
  <c r="AK3" i="16"/>
  <c r="AL3" i="16"/>
  <c r="AM3" i="16"/>
  <c r="AN3" i="16"/>
  <c r="AO3" i="16"/>
  <c r="AP3" i="16"/>
  <c r="AQ3" i="16"/>
  <c r="AR3" i="16"/>
  <c r="AS3" i="16"/>
  <c r="AT3" i="16"/>
  <c r="AU3" i="16"/>
  <c r="AV3" i="16"/>
  <c r="AW3" i="16"/>
  <c r="AX3" i="16"/>
  <c r="AY3" i="16"/>
  <c r="AZ3" i="16"/>
  <c r="BA3" i="16"/>
  <c r="BB3" i="16"/>
  <c r="BC3" i="16"/>
  <c r="BD3" i="16"/>
  <c r="BE3" i="16"/>
  <c r="BF3" i="16"/>
  <c r="BG3" i="16"/>
  <c r="BH3" i="16"/>
  <c r="BI3" i="16"/>
  <c r="BJ3" i="16"/>
  <c r="BK3" i="16"/>
  <c r="BL3" i="16"/>
  <c r="BM3" i="16"/>
  <c r="BN3" i="16"/>
  <c r="BO3" i="16"/>
  <c r="BP3" i="16"/>
  <c r="BQ3" i="16"/>
  <c r="BR3" i="16"/>
  <c r="BS3" i="16"/>
  <c r="BT3" i="16"/>
  <c r="BU3" i="16"/>
  <c r="BV3" i="16"/>
  <c r="BW3" i="16"/>
  <c r="BX3" i="16"/>
  <c r="BY3" i="16"/>
  <c r="BZ3" i="16"/>
  <c r="CA3" i="16"/>
  <c r="CB3" i="16"/>
  <c r="CC3" i="16"/>
  <c r="CD3" i="16"/>
  <c r="CE3" i="16"/>
  <c r="CF3" i="16"/>
  <c r="CG3" i="16"/>
  <c r="CH3" i="16"/>
  <c r="CI3" i="16"/>
  <c r="CJ3" i="16"/>
  <c r="CK3" i="16"/>
  <c r="CL3" i="16"/>
  <c r="CM3" i="16"/>
  <c r="CN3" i="16"/>
  <c r="CO3" i="16"/>
  <c r="CP3" i="16"/>
  <c r="CQ3" i="16"/>
  <c r="CR3" i="16"/>
  <c r="CS3" i="16"/>
  <c r="CT3" i="16"/>
  <c r="CU3" i="16"/>
  <c r="CV3" i="16"/>
  <c r="CW3" i="16"/>
  <c r="CX3" i="16"/>
  <c r="CY3" i="16"/>
  <c r="CZ3" i="16"/>
  <c r="DA3" i="16"/>
  <c r="DB3" i="16"/>
  <c r="DC3" i="16"/>
  <c r="DD3" i="16"/>
  <c r="DE3" i="16"/>
  <c r="DF3" i="16"/>
  <c r="DG3" i="16"/>
  <c r="DH3" i="16"/>
  <c r="DI3" i="16"/>
  <c r="DJ3" i="16"/>
  <c r="DK3" i="16"/>
  <c r="DL3" i="16"/>
  <c r="DM3" i="16"/>
  <c r="DN3" i="16"/>
  <c r="DO3" i="16"/>
  <c r="DP3" i="16"/>
  <c r="DQ3" i="16"/>
  <c r="DR3" i="16"/>
  <c r="DS3" i="16"/>
  <c r="DT3" i="16"/>
  <c r="DU3" i="16"/>
  <c r="DV3" i="16"/>
  <c r="DW3" i="16"/>
  <c r="DX3" i="16"/>
  <c r="DY3" i="16"/>
  <c r="DZ3" i="16"/>
  <c r="EA3" i="16"/>
  <c r="EB3" i="16"/>
  <c r="EC3" i="16"/>
  <c r="ED3" i="16"/>
  <c r="EE3" i="16"/>
  <c r="EF3" i="16"/>
  <c r="EG3" i="16"/>
  <c r="EH3" i="16"/>
  <c r="EI3" i="16"/>
  <c r="EJ3" i="16"/>
  <c r="EK3" i="16"/>
  <c r="EL3" i="16"/>
  <c r="EM3" i="16"/>
  <c r="EN3" i="16"/>
  <c r="EO3" i="16"/>
  <c r="EP3" i="16"/>
  <c r="EQ3" i="16"/>
  <c r="ER3" i="16"/>
  <c r="ES3" i="16"/>
  <c r="ET3" i="16"/>
  <c r="EU3" i="16"/>
  <c r="EV3" i="16"/>
  <c r="EW3" i="16"/>
  <c r="EX3" i="16"/>
  <c r="EY3" i="16"/>
  <c r="EZ3" i="16"/>
  <c r="FA3" i="16"/>
  <c r="FB3" i="16"/>
  <c r="FC3" i="16"/>
  <c r="FD3" i="16"/>
  <c r="FE3" i="16"/>
  <c r="FF3" i="16"/>
  <c r="FG3" i="16"/>
  <c r="FH3" i="16"/>
  <c r="FI3" i="16"/>
  <c r="FJ3" i="16"/>
  <c r="FK3" i="16"/>
  <c r="FL3" i="16"/>
  <c r="FM3" i="16"/>
  <c r="FN3" i="16"/>
  <c r="FO3" i="16"/>
  <c r="FP3" i="16"/>
  <c r="FQ3" i="16"/>
  <c r="FR3" i="16"/>
  <c r="FS3" i="16"/>
  <c r="FT3" i="16"/>
  <c r="FU3" i="16"/>
  <c r="FV3" i="16"/>
  <c r="FW3" i="16"/>
  <c r="FX3" i="16"/>
  <c r="FY3" i="16"/>
  <c r="FZ3" i="16"/>
  <c r="GA3" i="16"/>
  <c r="GB3" i="16"/>
  <c r="GC3" i="16"/>
  <c r="GD3" i="16"/>
  <c r="GE3" i="16"/>
  <c r="GF3" i="16"/>
  <c r="GG3" i="16"/>
  <c r="GH3" i="16"/>
  <c r="GI3" i="16"/>
  <c r="GJ3" i="16"/>
  <c r="GK3" i="16"/>
  <c r="GL3" i="16"/>
  <c r="GM3" i="16"/>
  <c r="GN3" i="16"/>
  <c r="GO3" i="16"/>
  <c r="GP3" i="16"/>
  <c r="GQ3" i="16"/>
  <c r="A4" i="16"/>
  <c r="B4" i="16"/>
  <c r="E4" i="16"/>
  <c r="H4" i="16"/>
  <c r="K4" i="16"/>
  <c r="N4" i="16"/>
  <c r="Q4" i="16"/>
  <c r="T4" i="16"/>
  <c r="W4" i="16"/>
  <c r="Z4" i="16"/>
  <c r="AC4" i="16"/>
  <c r="AF4" i="16"/>
  <c r="AI4" i="16"/>
  <c r="AL4" i="16"/>
  <c r="AO4" i="16"/>
  <c r="AR4" i="16"/>
  <c r="AU4" i="16"/>
  <c r="AX4" i="16"/>
  <c r="BA4" i="16"/>
  <c r="BD4" i="16"/>
  <c r="BG4" i="16"/>
  <c r="BJ4" i="16"/>
  <c r="BM4" i="16"/>
  <c r="BP4" i="16"/>
  <c r="BS4" i="16"/>
  <c r="BV4" i="16"/>
  <c r="BY4" i="16"/>
  <c r="CB4" i="16"/>
  <c r="CE4" i="16"/>
  <c r="CH4" i="16"/>
  <c r="CK4" i="16"/>
  <c r="CN4" i="16"/>
  <c r="CQ4" i="16"/>
  <c r="CT4" i="16"/>
  <c r="CW4" i="16"/>
  <c r="CZ4" i="16"/>
  <c r="DC4" i="16"/>
  <c r="DF4" i="16"/>
  <c r="DI4" i="16"/>
  <c r="DL4" i="16"/>
  <c r="DO4" i="16"/>
  <c r="DR4" i="16"/>
  <c r="DU4" i="16"/>
  <c r="DX4" i="16"/>
  <c r="EA4" i="16"/>
  <c r="ED4" i="16"/>
  <c r="EG4" i="16"/>
  <c r="EJ4" i="16"/>
  <c r="EM4" i="16"/>
  <c r="EP4" i="16"/>
  <c r="ES4" i="16"/>
  <c r="EV4" i="16"/>
  <c r="EY4" i="16"/>
  <c r="FB4" i="16"/>
  <c r="FE4" i="16"/>
  <c r="FH4" i="16"/>
  <c r="FK4" i="16"/>
  <c r="FN4" i="16"/>
  <c r="FQ4" i="16"/>
  <c r="FT4" i="16"/>
  <c r="FW4" i="16"/>
  <c r="FZ4" i="16"/>
  <c r="GC4" i="16"/>
  <c r="GF4" i="16"/>
  <c r="GI4" i="16"/>
  <c r="GL4" i="16"/>
  <c r="GO4" i="16"/>
  <c r="GR4" i="16"/>
  <c r="GU4" i="16"/>
  <c r="GX4" i="16"/>
  <c r="HA4" i="16"/>
  <c r="HD4" i="16"/>
  <c r="HG4" i="16"/>
  <c r="HJ4" i="16"/>
  <c r="HM4" i="16"/>
  <c r="HP4" i="16"/>
  <c r="HS4" i="16"/>
  <c r="HV4" i="16"/>
  <c r="HY4" i="16"/>
  <c r="IB4" i="16"/>
  <c r="IE4" i="16"/>
  <c r="IH4" i="16"/>
  <c r="IK4" i="16"/>
  <c r="IN4" i="16"/>
  <c r="IQ4" i="16"/>
  <c r="IT4" i="16"/>
  <c r="IW4" i="16"/>
  <c r="IZ4" i="16"/>
  <c r="JC4" i="16"/>
  <c r="JF4" i="16"/>
  <c r="JI4" i="16"/>
  <c r="JL4" i="16"/>
  <c r="JO4" i="16"/>
  <c r="JR4" i="16"/>
  <c r="JU4" i="16"/>
  <c r="JX4" i="16"/>
  <c r="KA4" i="16"/>
  <c r="KD4" i="16"/>
  <c r="KG4" i="16"/>
  <c r="KJ4" i="16"/>
  <c r="A5" i="16"/>
  <c r="B5" i="16"/>
  <c r="E5" i="16"/>
  <c r="H5" i="16"/>
  <c r="K5" i="16"/>
  <c r="N5" i="16"/>
  <c r="Q5" i="16"/>
  <c r="T5" i="16"/>
  <c r="W5" i="16"/>
  <c r="Z5" i="16"/>
  <c r="AC5" i="16"/>
  <c r="AF5" i="16"/>
  <c r="AI5" i="16"/>
  <c r="AL5" i="16"/>
  <c r="AO5" i="16"/>
  <c r="AR5" i="16"/>
  <c r="AU5" i="16"/>
  <c r="AX5" i="16"/>
  <c r="BA5" i="16"/>
  <c r="BD5" i="16"/>
  <c r="BG5" i="16"/>
  <c r="BJ5" i="16"/>
  <c r="BM5" i="16"/>
  <c r="BP5" i="16"/>
  <c r="BS5" i="16"/>
  <c r="BV5" i="16"/>
  <c r="BY5" i="16"/>
  <c r="CB5" i="16"/>
  <c r="CE5" i="16"/>
  <c r="CH5" i="16"/>
  <c r="CK5" i="16"/>
  <c r="CN5" i="16"/>
  <c r="CQ5" i="16"/>
  <c r="CT5" i="16"/>
  <c r="CW5" i="16"/>
  <c r="CZ5" i="16"/>
  <c r="DC5" i="16"/>
  <c r="DF5" i="16"/>
  <c r="DI5" i="16"/>
  <c r="DL5" i="16"/>
  <c r="DO5" i="16"/>
  <c r="DR5" i="16"/>
  <c r="DU5" i="16"/>
  <c r="DX5" i="16"/>
  <c r="EA5" i="16"/>
  <c r="ED5" i="16"/>
  <c r="EG5" i="16"/>
  <c r="EJ5" i="16"/>
  <c r="EM5" i="16"/>
  <c r="EP5" i="16"/>
  <c r="ES5" i="16"/>
  <c r="EV5" i="16"/>
  <c r="EY5" i="16"/>
  <c r="FB5" i="16"/>
  <c r="FE5" i="16"/>
  <c r="FH5" i="16"/>
  <c r="FK5" i="16"/>
  <c r="FN5" i="16"/>
  <c r="FQ5" i="16"/>
  <c r="FT5" i="16"/>
  <c r="FW5" i="16"/>
  <c r="FZ5" i="16"/>
  <c r="GC5" i="16"/>
  <c r="GF5" i="16"/>
  <c r="GI5" i="16"/>
  <c r="GL5" i="16"/>
  <c r="GO5" i="16"/>
  <c r="GR5" i="16"/>
  <c r="GU5" i="16"/>
  <c r="GX5" i="16"/>
  <c r="HA5" i="16"/>
  <c r="HD5" i="16"/>
  <c r="HG5" i="16"/>
  <c r="HJ5" i="16"/>
  <c r="HM5" i="16"/>
  <c r="HP5" i="16"/>
  <c r="HS5" i="16"/>
  <c r="HV5" i="16"/>
  <c r="HY5" i="16"/>
  <c r="IB5" i="16"/>
  <c r="IE5" i="16"/>
  <c r="IH5" i="16"/>
  <c r="IK5" i="16"/>
  <c r="IN5" i="16"/>
  <c r="IQ5" i="16"/>
  <c r="IT5" i="16"/>
  <c r="IW5" i="16"/>
  <c r="IZ5" i="16"/>
  <c r="JC5" i="16"/>
  <c r="JF5" i="16"/>
  <c r="JI5" i="16"/>
  <c r="JL5" i="16"/>
  <c r="JO5" i="16"/>
  <c r="JR5" i="16"/>
  <c r="JU5" i="16"/>
  <c r="JX5" i="16"/>
  <c r="KA5" i="16"/>
  <c r="KD5" i="16"/>
  <c r="KG5" i="16"/>
  <c r="KJ5" i="16"/>
  <c r="A6" i="16"/>
  <c r="B6" i="16"/>
  <c r="E6" i="16"/>
  <c r="H6" i="16"/>
  <c r="K6" i="16"/>
  <c r="N6" i="16"/>
  <c r="Q6" i="16"/>
  <c r="T6" i="16"/>
  <c r="W6" i="16"/>
  <c r="Z6" i="16"/>
  <c r="AC6" i="16"/>
  <c r="AF6" i="16"/>
  <c r="AI6" i="16"/>
  <c r="AL6" i="16"/>
  <c r="AO6" i="16"/>
  <c r="AR6" i="16"/>
  <c r="AU6" i="16"/>
  <c r="AX6" i="16"/>
  <c r="BA6" i="16"/>
  <c r="BD6" i="16"/>
  <c r="BG6" i="16"/>
  <c r="BJ6" i="16"/>
  <c r="BM6" i="16"/>
  <c r="BP6" i="16"/>
  <c r="BS6" i="16"/>
  <c r="BV6" i="16"/>
  <c r="BY6" i="16"/>
  <c r="CB6" i="16"/>
  <c r="CE6" i="16"/>
  <c r="CH6" i="16"/>
  <c r="CK6" i="16"/>
  <c r="CN6" i="16"/>
  <c r="CQ6" i="16"/>
  <c r="CT6" i="16"/>
  <c r="CW6" i="16"/>
  <c r="CZ6" i="16"/>
  <c r="DC6" i="16"/>
  <c r="DF6" i="16"/>
  <c r="DI6" i="16"/>
  <c r="DL6" i="16"/>
  <c r="DO6" i="16"/>
  <c r="DR6" i="16"/>
  <c r="DU6" i="16"/>
  <c r="DX6" i="16"/>
  <c r="EA6" i="16"/>
  <c r="ED6" i="16"/>
  <c r="EG6" i="16"/>
  <c r="EJ6" i="16"/>
  <c r="EM6" i="16"/>
  <c r="EP6" i="16"/>
  <c r="ES6" i="16"/>
  <c r="EV6" i="16"/>
  <c r="EY6" i="16"/>
  <c r="FB6" i="16"/>
  <c r="FE6" i="16"/>
  <c r="FH6" i="16"/>
  <c r="FK6" i="16"/>
  <c r="FN6" i="16"/>
  <c r="FQ6" i="16"/>
  <c r="FT6" i="16"/>
  <c r="FW6" i="16"/>
  <c r="FZ6" i="16"/>
  <c r="GC6" i="16"/>
  <c r="GF6" i="16"/>
  <c r="GI6" i="16"/>
  <c r="GL6" i="16"/>
  <c r="GO6" i="16"/>
  <c r="GR6" i="16"/>
  <c r="GU6" i="16"/>
  <c r="GX6" i="16"/>
  <c r="HA6" i="16"/>
  <c r="HD6" i="16"/>
  <c r="HG6" i="16"/>
  <c r="HJ6" i="16"/>
  <c r="HM6" i="16"/>
  <c r="HP6" i="16"/>
  <c r="HS6" i="16"/>
  <c r="HV6" i="16"/>
  <c r="HY6" i="16"/>
  <c r="IB6" i="16"/>
  <c r="IE6" i="16"/>
  <c r="IH6" i="16"/>
  <c r="IK6" i="16"/>
  <c r="IN6" i="16"/>
  <c r="IQ6" i="16"/>
  <c r="IT6" i="16"/>
  <c r="IW6" i="16"/>
  <c r="IZ6" i="16"/>
  <c r="JC6" i="16"/>
  <c r="JF6" i="16"/>
  <c r="JI6" i="16"/>
  <c r="JL6" i="16"/>
  <c r="JO6" i="16"/>
  <c r="JR6" i="16"/>
  <c r="JU6" i="16"/>
  <c r="JX6" i="16"/>
  <c r="KA6" i="16"/>
  <c r="KD6" i="16"/>
  <c r="KG6" i="16"/>
  <c r="KJ6" i="16"/>
  <c r="A7" i="16"/>
  <c r="B7" i="16"/>
  <c r="E7" i="16"/>
  <c r="H7" i="16"/>
  <c r="K7" i="16"/>
  <c r="N7" i="16"/>
  <c r="Q7" i="16"/>
  <c r="T7" i="16"/>
  <c r="W7" i="16"/>
  <c r="Z7" i="16"/>
  <c r="AC7" i="16"/>
  <c r="AF7" i="16"/>
  <c r="AI7" i="16"/>
  <c r="AL7" i="16"/>
  <c r="AO7" i="16"/>
  <c r="AR7" i="16"/>
  <c r="AU7" i="16"/>
  <c r="AX7" i="16"/>
  <c r="BA7" i="16"/>
  <c r="BD7" i="16"/>
  <c r="BG7" i="16"/>
  <c r="BJ7" i="16"/>
  <c r="BM7" i="16"/>
  <c r="BP7" i="16"/>
  <c r="BS7" i="16"/>
  <c r="BV7" i="16"/>
  <c r="BY7" i="16"/>
  <c r="CB7" i="16"/>
  <c r="CE7" i="16"/>
  <c r="CH7" i="16"/>
  <c r="CK7" i="16"/>
  <c r="CN7" i="16"/>
  <c r="CQ7" i="16"/>
  <c r="CT7" i="16"/>
  <c r="CW7" i="16"/>
  <c r="CZ7" i="16"/>
  <c r="DC7" i="16"/>
  <c r="DF7" i="16"/>
  <c r="DI7" i="16"/>
  <c r="DL7" i="16"/>
  <c r="DO7" i="16"/>
  <c r="DR7" i="16"/>
  <c r="DU7" i="16"/>
  <c r="DX7" i="16"/>
  <c r="EA7" i="16"/>
  <c r="ED7" i="16"/>
  <c r="EG7" i="16"/>
  <c r="EJ7" i="16"/>
  <c r="EM7" i="16"/>
  <c r="EP7" i="16"/>
  <c r="ES7" i="16"/>
  <c r="EV7" i="16"/>
  <c r="EY7" i="16"/>
  <c r="FB7" i="16"/>
  <c r="FE7" i="16"/>
  <c r="FH7" i="16"/>
  <c r="FK7" i="16"/>
  <c r="FN7" i="16"/>
  <c r="FQ7" i="16"/>
  <c r="FT7" i="16"/>
  <c r="FW7" i="16"/>
  <c r="FZ7" i="16"/>
  <c r="GC7" i="16"/>
  <c r="GF7" i="16"/>
  <c r="GI7" i="16"/>
  <c r="GL7" i="16"/>
  <c r="GO7" i="16"/>
  <c r="GR7" i="16"/>
  <c r="GU7" i="16"/>
  <c r="GX7" i="16"/>
  <c r="HA7" i="16"/>
  <c r="HD7" i="16"/>
  <c r="HG7" i="16"/>
  <c r="HJ7" i="16"/>
  <c r="HM7" i="16"/>
  <c r="HP7" i="16"/>
  <c r="HS7" i="16"/>
  <c r="HV7" i="16"/>
  <c r="HY7" i="16"/>
  <c r="IB7" i="16"/>
  <c r="IE7" i="16"/>
  <c r="IH7" i="16"/>
  <c r="IK7" i="16"/>
  <c r="IN7" i="16"/>
  <c r="IQ7" i="16"/>
  <c r="IT7" i="16"/>
  <c r="IW7" i="16"/>
  <c r="IZ7" i="16"/>
  <c r="JC7" i="16"/>
  <c r="JF7" i="16"/>
  <c r="JI7" i="16"/>
  <c r="JL7" i="16"/>
  <c r="JO7" i="16"/>
  <c r="JR7" i="16"/>
  <c r="JU7" i="16"/>
  <c r="JX7" i="16"/>
  <c r="KA7" i="16"/>
  <c r="KD7" i="16"/>
  <c r="KG7" i="16"/>
  <c r="KJ7" i="16"/>
  <c r="A8" i="16"/>
  <c r="B8" i="16"/>
  <c r="E8" i="16"/>
  <c r="H8" i="16"/>
  <c r="K8" i="16"/>
  <c r="N8" i="16"/>
  <c r="Q8" i="16"/>
  <c r="T8" i="16"/>
  <c r="W8" i="16"/>
  <c r="Z8" i="16"/>
  <c r="AC8" i="16"/>
  <c r="AF8" i="16"/>
  <c r="AI8" i="16"/>
  <c r="AL8" i="16"/>
  <c r="AO8" i="16"/>
  <c r="AR8" i="16"/>
  <c r="AU8" i="16"/>
  <c r="AX8" i="16"/>
  <c r="BA8" i="16"/>
  <c r="BD8" i="16"/>
  <c r="BG8" i="16"/>
  <c r="BJ8" i="16"/>
  <c r="BM8" i="16"/>
  <c r="BP8" i="16"/>
  <c r="BS8" i="16"/>
  <c r="BV8" i="16"/>
  <c r="BY8" i="16"/>
  <c r="CB8" i="16"/>
  <c r="CE8" i="16"/>
  <c r="CH8" i="16"/>
  <c r="CK8" i="16"/>
  <c r="CN8" i="16"/>
  <c r="CQ8" i="16"/>
  <c r="CT8" i="16"/>
  <c r="CW8" i="16"/>
  <c r="CZ8" i="16"/>
  <c r="DC8" i="16"/>
  <c r="DF8" i="16"/>
  <c r="DI8" i="16"/>
  <c r="DL8" i="16"/>
  <c r="DO8" i="16"/>
  <c r="DR8" i="16"/>
  <c r="DU8" i="16"/>
  <c r="DX8" i="16"/>
  <c r="EA8" i="16"/>
  <c r="ED8" i="16"/>
  <c r="EG8" i="16"/>
  <c r="EJ8" i="16"/>
  <c r="EM8" i="16"/>
  <c r="EP8" i="16"/>
  <c r="ES8" i="16"/>
  <c r="EV8" i="16"/>
  <c r="EY8" i="16"/>
  <c r="FB8" i="16"/>
  <c r="FE8" i="16"/>
  <c r="FH8" i="16"/>
  <c r="FK8" i="16"/>
  <c r="FN8" i="16"/>
  <c r="FQ8" i="16"/>
  <c r="FT8" i="16"/>
  <c r="FW8" i="16"/>
  <c r="FZ8" i="16"/>
  <c r="GC8" i="16"/>
  <c r="GF8" i="16"/>
  <c r="GI8" i="16"/>
  <c r="GL8" i="16"/>
  <c r="GO8" i="16"/>
  <c r="GR8" i="16"/>
  <c r="GU8" i="16"/>
  <c r="GX8" i="16"/>
  <c r="HA8" i="16"/>
  <c r="HD8" i="16"/>
  <c r="HG8" i="16"/>
  <c r="HJ8" i="16"/>
  <c r="HM8" i="16"/>
  <c r="HP8" i="16"/>
  <c r="HS8" i="16"/>
  <c r="HV8" i="16"/>
  <c r="HY8" i="16"/>
  <c r="IB8" i="16"/>
  <c r="IE8" i="16"/>
  <c r="IH8" i="16"/>
  <c r="IK8" i="16"/>
  <c r="IN8" i="16"/>
  <c r="IQ8" i="16"/>
  <c r="IT8" i="16"/>
  <c r="IW8" i="16"/>
  <c r="IZ8" i="16"/>
  <c r="JC8" i="16"/>
  <c r="JF8" i="16"/>
  <c r="JI8" i="16"/>
  <c r="JL8" i="16"/>
  <c r="JO8" i="16"/>
  <c r="JR8" i="16"/>
  <c r="JU8" i="16"/>
  <c r="JX8" i="16"/>
  <c r="KA8" i="16"/>
  <c r="KD8" i="16"/>
  <c r="KG8" i="16"/>
  <c r="KJ8" i="16"/>
  <c r="A9" i="16"/>
  <c r="B9" i="16"/>
  <c r="C9" i="16"/>
  <c r="D9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BL9" i="16"/>
  <c r="BM9" i="16"/>
  <c r="BN9" i="16"/>
  <c r="BO9" i="16"/>
  <c r="BP9" i="16"/>
  <c r="BQ9" i="16"/>
  <c r="BR9" i="16"/>
  <c r="BS9" i="16"/>
  <c r="BT9" i="16"/>
  <c r="BU9" i="16"/>
  <c r="BV9" i="16"/>
  <c r="BW9" i="16"/>
  <c r="BX9" i="16"/>
  <c r="BY9" i="16"/>
  <c r="BZ9" i="16"/>
  <c r="CA9" i="16"/>
  <c r="CB9" i="16"/>
  <c r="CC9" i="16"/>
  <c r="CD9" i="16"/>
  <c r="CE9" i="16"/>
  <c r="CF9" i="16"/>
  <c r="CG9" i="16"/>
  <c r="CH9" i="16"/>
  <c r="CI9" i="16"/>
  <c r="CJ9" i="16"/>
  <c r="CK9" i="16"/>
  <c r="CL9" i="16"/>
  <c r="CM9" i="16"/>
  <c r="CN9" i="16"/>
  <c r="CO9" i="16"/>
  <c r="CP9" i="16"/>
  <c r="CQ9" i="16"/>
  <c r="CR9" i="16"/>
  <c r="CS9" i="16"/>
  <c r="CT9" i="16"/>
  <c r="CU9" i="16"/>
  <c r="CV9" i="16"/>
  <c r="CW9" i="16"/>
  <c r="CX9" i="16"/>
  <c r="CY9" i="16"/>
  <c r="CZ9" i="16"/>
  <c r="DA9" i="16"/>
  <c r="DB9" i="16"/>
  <c r="DC9" i="16"/>
  <c r="DD9" i="16"/>
  <c r="DE9" i="16"/>
  <c r="DF9" i="16"/>
  <c r="DG9" i="16"/>
  <c r="DH9" i="16"/>
  <c r="DI9" i="16"/>
  <c r="DJ9" i="16"/>
  <c r="DK9" i="16"/>
  <c r="DL9" i="16"/>
  <c r="DM9" i="16"/>
  <c r="DN9" i="16"/>
  <c r="DO9" i="16"/>
  <c r="DP9" i="16"/>
  <c r="DQ9" i="16"/>
  <c r="DR9" i="16"/>
  <c r="DS9" i="16"/>
  <c r="DT9" i="16"/>
  <c r="DU9" i="16"/>
  <c r="DV9" i="16"/>
  <c r="DW9" i="16"/>
  <c r="DX9" i="16"/>
  <c r="DY9" i="16"/>
  <c r="DZ9" i="16"/>
  <c r="EA9" i="16"/>
  <c r="EB9" i="16"/>
  <c r="EC9" i="16"/>
  <c r="ED9" i="16"/>
  <c r="EE9" i="16"/>
  <c r="EF9" i="16"/>
  <c r="EG9" i="16"/>
  <c r="EH9" i="16"/>
  <c r="EI9" i="16"/>
  <c r="EJ9" i="16"/>
  <c r="EK9" i="16"/>
  <c r="EL9" i="16"/>
  <c r="EM9" i="16"/>
  <c r="EN9" i="16"/>
  <c r="EO9" i="16"/>
  <c r="EP9" i="16"/>
  <c r="EQ9" i="16"/>
  <c r="ER9" i="16"/>
  <c r="ES9" i="16"/>
  <c r="ET9" i="16"/>
  <c r="EU9" i="16"/>
  <c r="EV9" i="16"/>
  <c r="EW9" i="16"/>
  <c r="EX9" i="16"/>
  <c r="EY9" i="16"/>
  <c r="EZ9" i="16"/>
  <c r="FA9" i="16"/>
  <c r="FB9" i="16"/>
  <c r="FC9" i="16"/>
  <c r="FD9" i="16"/>
  <c r="FE9" i="16"/>
  <c r="FF9" i="16"/>
  <c r="FG9" i="16"/>
  <c r="FH9" i="16"/>
  <c r="FI9" i="16"/>
  <c r="FJ9" i="16"/>
  <c r="FK9" i="16"/>
  <c r="FL9" i="16"/>
  <c r="FM9" i="16"/>
  <c r="FN9" i="16"/>
  <c r="FO9" i="16"/>
  <c r="FP9" i="16"/>
  <c r="FQ9" i="16"/>
  <c r="FR9" i="16"/>
  <c r="FS9" i="16"/>
  <c r="FT9" i="16"/>
  <c r="FU9" i="16"/>
  <c r="FV9" i="16"/>
  <c r="FW9" i="16"/>
  <c r="FX9" i="16"/>
  <c r="FY9" i="16"/>
  <c r="FZ9" i="16"/>
  <c r="GA9" i="16"/>
  <c r="GB9" i="16"/>
  <c r="GC9" i="16"/>
  <c r="GD9" i="16"/>
  <c r="GE9" i="16"/>
  <c r="GF9" i="16"/>
  <c r="GG9" i="16"/>
  <c r="GH9" i="16"/>
  <c r="GI9" i="16"/>
  <c r="GJ9" i="16"/>
  <c r="GK9" i="16"/>
  <c r="GL9" i="16"/>
  <c r="GM9" i="16"/>
  <c r="GN9" i="16"/>
  <c r="GO9" i="16"/>
  <c r="GP9" i="16"/>
  <c r="GQ9" i="16"/>
  <c r="A10" i="16"/>
  <c r="B10" i="16"/>
  <c r="E10" i="16"/>
  <c r="H10" i="16"/>
  <c r="K10" i="16"/>
  <c r="N10" i="16"/>
  <c r="Q10" i="16"/>
  <c r="T10" i="16"/>
  <c r="W10" i="16"/>
  <c r="Z10" i="16"/>
  <c r="AC10" i="16"/>
  <c r="AF10" i="16"/>
  <c r="AI10" i="16"/>
  <c r="AL10" i="16"/>
  <c r="AO10" i="16"/>
  <c r="AR10" i="16"/>
  <c r="AU10" i="16"/>
  <c r="AX10" i="16"/>
  <c r="BA10" i="16"/>
  <c r="BD10" i="16"/>
  <c r="BG10" i="16"/>
  <c r="BJ10" i="16"/>
  <c r="BM10" i="16"/>
  <c r="BP10" i="16"/>
  <c r="BS10" i="16"/>
  <c r="BV10" i="16"/>
  <c r="BY10" i="16"/>
  <c r="CB10" i="16"/>
  <c r="CE10" i="16"/>
  <c r="CH10" i="16"/>
  <c r="CK10" i="16"/>
  <c r="CN10" i="16"/>
  <c r="CQ10" i="16"/>
  <c r="CT10" i="16"/>
  <c r="CW10" i="16"/>
  <c r="CZ10" i="16"/>
  <c r="DC10" i="16"/>
  <c r="DF10" i="16"/>
  <c r="DI10" i="16"/>
  <c r="DL10" i="16"/>
  <c r="DO10" i="16"/>
  <c r="DR10" i="16"/>
  <c r="DU10" i="16"/>
  <c r="DX10" i="16"/>
  <c r="EA10" i="16"/>
  <c r="ED10" i="16"/>
  <c r="EG10" i="16"/>
  <c r="EJ10" i="16"/>
  <c r="EM10" i="16"/>
  <c r="EP10" i="16"/>
  <c r="ES10" i="16"/>
  <c r="EV10" i="16"/>
  <c r="EY10" i="16"/>
  <c r="FB10" i="16"/>
  <c r="FE10" i="16"/>
  <c r="FH10" i="16"/>
  <c r="FK10" i="16"/>
  <c r="FN10" i="16"/>
  <c r="FQ10" i="16"/>
  <c r="FT10" i="16"/>
  <c r="FW10" i="16"/>
  <c r="FZ10" i="16"/>
  <c r="GC10" i="16"/>
  <c r="GF10" i="16"/>
  <c r="GI10" i="16"/>
  <c r="GL10" i="16"/>
  <c r="GO10" i="16"/>
  <c r="GR10" i="16"/>
  <c r="GU10" i="16"/>
  <c r="GX10" i="16"/>
  <c r="HA10" i="16"/>
  <c r="HD10" i="16"/>
  <c r="HG10" i="16"/>
  <c r="HJ10" i="16"/>
  <c r="HM10" i="16"/>
  <c r="HP10" i="16"/>
  <c r="HS10" i="16"/>
  <c r="HV10" i="16"/>
  <c r="HY10" i="16"/>
  <c r="IB10" i="16"/>
  <c r="IE10" i="16"/>
  <c r="IH10" i="16"/>
  <c r="IK10" i="16"/>
  <c r="IN10" i="16"/>
  <c r="IQ10" i="16"/>
  <c r="IT10" i="16"/>
  <c r="IW10" i="16"/>
  <c r="IZ10" i="16"/>
  <c r="JC10" i="16"/>
  <c r="JF10" i="16"/>
  <c r="JI10" i="16"/>
  <c r="JL10" i="16"/>
  <c r="JO10" i="16"/>
  <c r="JR10" i="16"/>
  <c r="JU10" i="16"/>
  <c r="JX10" i="16"/>
  <c r="KA10" i="16"/>
  <c r="KD10" i="16"/>
  <c r="KG10" i="16"/>
  <c r="KJ10" i="16"/>
  <c r="A11" i="16"/>
  <c r="B11" i="16"/>
  <c r="E11" i="16"/>
  <c r="H11" i="16"/>
  <c r="K11" i="16"/>
  <c r="N11" i="16"/>
  <c r="Q11" i="16"/>
  <c r="T11" i="16"/>
  <c r="W11" i="16"/>
  <c r="Z11" i="16"/>
  <c r="AC11" i="16"/>
  <c r="AF11" i="16"/>
  <c r="AI11" i="16"/>
  <c r="AL11" i="16"/>
  <c r="AO11" i="16"/>
  <c r="AR11" i="16"/>
  <c r="AU11" i="16"/>
  <c r="AX11" i="16"/>
  <c r="BA11" i="16"/>
  <c r="BD11" i="16"/>
  <c r="BG11" i="16"/>
  <c r="BJ11" i="16"/>
  <c r="BM11" i="16"/>
  <c r="BP11" i="16"/>
  <c r="BS11" i="16"/>
  <c r="BV11" i="16"/>
  <c r="BY11" i="16"/>
  <c r="CB11" i="16"/>
  <c r="CE11" i="16"/>
  <c r="CH11" i="16"/>
  <c r="CK11" i="16"/>
  <c r="CN11" i="16"/>
  <c r="CQ11" i="16"/>
  <c r="CT11" i="16"/>
  <c r="CW11" i="16"/>
  <c r="CZ11" i="16"/>
  <c r="DC11" i="16"/>
  <c r="DF11" i="16"/>
  <c r="DI11" i="16"/>
  <c r="DL11" i="16"/>
  <c r="DO11" i="16"/>
  <c r="DR11" i="16"/>
  <c r="DU11" i="16"/>
  <c r="DX11" i="16"/>
  <c r="EA11" i="16"/>
  <c r="ED11" i="16"/>
  <c r="EG11" i="16"/>
  <c r="EJ11" i="16"/>
  <c r="EM11" i="16"/>
  <c r="EP11" i="16"/>
  <c r="ES11" i="16"/>
  <c r="EV11" i="16"/>
  <c r="EY11" i="16"/>
  <c r="FB11" i="16"/>
  <c r="FE11" i="16"/>
  <c r="FH11" i="16"/>
  <c r="FK11" i="16"/>
  <c r="FN11" i="16"/>
  <c r="FQ11" i="16"/>
  <c r="FT11" i="16"/>
  <c r="FW11" i="16"/>
  <c r="FZ11" i="16"/>
  <c r="GC11" i="16"/>
  <c r="GF11" i="16"/>
  <c r="GI11" i="16"/>
  <c r="GL11" i="16"/>
  <c r="GO11" i="16"/>
  <c r="GR11" i="16"/>
  <c r="GU11" i="16"/>
  <c r="GX11" i="16"/>
  <c r="HA11" i="16"/>
  <c r="HD11" i="16"/>
  <c r="HG11" i="16"/>
  <c r="HJ11" i="16"/>
  <c r="HM11" i="16"/>
  <c r="HP11" i="16"/>
  <c r="HS11" i="16"/>
  <c r="HV11" i="16"/>
  <c r="HY11" i="16"/>
  <c r="IB11" i="16"/>
  <c r="IE11" i="16"/>
  <c r="IH11" i="16"/>
  <c r="IK11" i="16"/>
  <c r="IN11" i="16"/>
  <c r="IQ11" i="16"/>
  <c r="IT11" i="16"/>
  <c r="IW11" i="16"/>
  <c r="IZ11" i="16"/>
  <c r="JC11" i="16"/>
  <c r="JF11" i="16"/>
  <c r="JI11" i="16"/>
  <c r="JL11" i="16"/>
  <c r="JO11" i="16"/>
  <c r="JR11" i="16"/>
  <c r="JU11" i="16"/>
  <c r="JX11" i="16"/>
  <c r="KA11" i="16"/>
  <c r="KD11" i="16"/>
  <c r="KG11" i="16"/>
  <c r="KJ11" i="16"/>
  <c r="A12" i="16"/>
  <c r="B12" i="16"/>
  <c r="E12" i="16"/>
  <c r="H12" i="16"/>
  <c r="K12" i="16"/>
  <c r="N12" i="16"/>
  <c r="Q12" i="16"/>
  <c r="T12" i="16"/>
  <c r="W12" i="16"/>
  <c r="Z12" i="16"/>
  <c r="AC12" i="16"/>
  <c r="AF12" i="16"/>
  <c r="AI12" i="16"/>
  <c r="AL12" i="16"/>
  <c r="AO12" i="16"/>
  <c r="AR12" i="16"/>
  <c r="AU12" i="16"/>
  <c r="AX12" i="16"/>
  <c r="BA12" i="16"/>
  <c r="BD12" i="16"/>
  <c r="BG12" i="16"/>
  <c r="BJ12" i="16"/>
  <c r="BM12" i="16"/>
  <c r="BP12" i="16"/>
  <c r="BS12" i="16"/>
  <c r="BV12" i="16"/>
  <c r="BY12" i="16"/>
  <c r="CB12" i="16"/>
  <c r="CE12" i="16"/>
  <c r="CH12" i="16"/>
  <c r="CK12" i="16"/>
  <c r="CN12" i="16"/>
  <c r="CQ12" i="16"/>
  <c r="CT12" i="16"/>
  <c r="CW12" i="16"/>
  <c r="CZ12" i="16"/>
  <c r="DC12" i="16"/>
  <c r="DF12" i="16"/>
  <c r="DI12" i="16"/>
  <c r="DL12" i="16"/>
  <c r="DO12" i="16"/>
  <c r="DR12" i="16"/>
  <c r="DU12" i="16"/>
  <c r="DX12" i="16"/>
  <c r="EA12" i="16"/>
  <c r="ED12" i="16"/>
  <c r="EG12" i="16"/>
  <c r="EJ12" i="16"/>
  <c r="EM12" i="16"/>
  <c r="EP12" i="16"/>
  <c r="ES12" i="16"/>
  <c r="EV12" i="16"/>
  <c r="EY12" i="16"/>
  <c r="FB12" i="16"/>
  <c r="FE12" i="16"/>
  <c r="FH12" i="16"/>
  <c r="FK12" i="16"/>
  <c r="FN12" i="16"/>
  <c r="FQ12" i="16"/>
  <c r="FT12" i="16"/>
  <c r="FW12" i="16"/>
  <c r="FZ12" i="16"/>
  <c r="GC12" i="16"/>
  <c r="GF12" i="16"/>
  <c r="GI12" i="16"/>
  <c r="GL12" i="16"/>
  <c r="GO12" i="16"/>
  <c r="GR12" i="16"/>
  <c r="GU12" i="16"/>
  <c r="GX12" i="16"/>
  <c r="HA12" i="16"/>
  <c r="HD12" i="16"/>
  <c r="HG12" i="16"/>
  <c r="HJ12" i="16"/>
  <c r="HM12" i="16"/>
  <c r="HP12" i="16"/>
  <c r="HS12" i="16"/>
  <c r="HV12" i="16"/>
  <c r="HY12" i="16"/>
  <c r="IB12" i="16"/>
  <c r="IE12" i="16"/>
  <c r="IH12" i="16"/>
  <c r="IK12" i="16"/>
  <c r="IN12" i="16"/>
  <c r="IQ12" i="16"/>
  <c r="IT12" i="16"/>
  <c r="IW12" i="16"/>
  <c r="IZ12" i="16"/>
  <c r="JC12" i="16"/>
  <c r="JF12" i="16"/>
  <c r="JI12" i="16"/>
  <c r="JL12" i="16"/>
  <c r="JO12" i="16"/>
  <c r="JR12" i="16"/>
  <c r="JU12" i="16"/>
  <c r="JX12" i="16"/>
  <c r="KA12" i="16"/>
  <c r="KD12" i="16"/>
  <c r="KG12" i="16"/>
  <c r="KJ12" i="16"/>
  <c r="A13" i="16"/>
  <c r="B13" i="16"/>
  <c r="E13" i="16"/>
  <c r="H13" i="16"/>
  <c r="K13" i="16"/>
  <c r="N13" i="16"/>
  <c r="Q13" i="16"/>
  <c r="T13" i="16"/>
  <c r="W13" i="16"/>
  <c r="Z13" i="16"/>
  <c r="AC13" i="16"/>
  <c r="AF13" i="16"/>
  <c r="AI13" i="16"/>
  <c r="AL13" i="16"/>
  <c r="AO13" i="16"/>
  <c r="AR13" i="16"/>
  <c r="AU13" i="16"/>
  <c r="AX13" i="16"/>
  <c r="BA13" i="16"/>
  <c r="BD13" i="16"/>
  <c r="BG13" i="16"/>
  <c r="BJ13" i="16"/>
  <c r="BM13" i="16"/>
  <c r="BP13" i="16"/>
  <c r="BS13" i="16"/>
  <c r="BV13" i="16"/>
  <c r="BY13" i="16"/>
  <c r="CB13" i="16"/>
  <c r="CE13" i="16"/>
  <c r="CH13" i="16"/>
  <c r="CK13" i="16"/>
  <c r="CN13" i="16"/>
  <c r="CQ13" i="16"/>
  <c r="CT13" i="16"/>
  <c r="CW13" i="16"/>
  <c r="CZ13" i="16"/>
  <c r="DC13" i="16"/>
  <c r="DF13" i="16"/>
  <c r="DI13" i="16"/>
  <c r="DL13" i="16"/>
  <c r="DO13" i="16"/>
  <c r="DR13" i="16"/>
  <c r="DU13" i="16"/>
  <c r="DX13" i="16"/>
  <c r="EA13" i="16"/>
  <c r="ED13" i="16"/>
  <c r="EG13" i="16"/>
  <c r="EJ13" i="16"/>
  <c r="EM13" i="16"/>
  <c r="EP13" i="16"/>
  <c r="ES13" i="16"/>
  <c r="EV13" i="16"/>
  <c r="EY13" i="16"/>
  <c r="FB13" i="16"/>
  <c r="FE13" i="16"/>
  <c r="FH13" i="16"/>
  <c r="FK13" i="16"/>
  <c r="FN13" i="16"/>
  <c r="FQ13" i="16"/>
  <c r="FT13" i="16"/>
  <c r="FW13" i="16"/>
  <c r="FZ13" i="16"/>
  <c r="GC13" i="16"/>
  <c r="GF13" i="16"/>
  <c r="GI13" i="16"/>
  <c r="GL13" i="16"/>
  <c r="GO13" i="16"/>
  <c r="GR13" i="16"/>
  <c r="GU13" i="16"/>
  <c r="GX13" i="16"/>
  <c r="HA13" i="16"/>
  <c r="HD13" i="16"/>
  <c r="HG13" i="16"/>
  <c r="HJ13" i="16"/>
  <c r="HM13" i="16"/>
  <c r="HP13" i="16"/>
  <c r="HS13" i="16"/>
  <c r="HV13" i="16"/>
  <c r="HY13" i="16"/>
  <c r="IB13" i="16"/>
  <c r="IE13" i="16"/>
  <c r="IH13" i="16"/>
  <c r="IK13" i="16"/>
  <c r="IN13" i="16"/>
  <c r="IQ13" i="16"/>
  <c r="IT13" i="16"/>
  <c r="IW13" i="16"/>
  <c r="IZ13" i="16"/>
  <c r="JC13" i="16"/>
  <c r="JF13" i="16"/>
  <c r="JI13" i="16"/>
  <c r="JL13" i="16"/>
  <c r="JO13" i="16"/>
  <c r="JR13" i="16"/>
  <c r="JU13" i="16"/>
  <c r="JX13" i="16"/>
  <c r="KA13" i="16"/>
  <c r="KD13" i="16"/>
  <c r="KG13" i="16"/>
  <c r="KJ13" i="16"/>
  <c r="A14" i="16"/>
  <c r="B14" i="16"/>
  <c r="E14" i="16"/>
  <c r="H14" i="16"/>
  <c r="K14" i="16"/>
  <c r="N14" i="16"/>
  <c r="Q14" i="16"/>
  <c r="T14" i="16"/>
  <c r="W14" i="16"/>
  <c r="Z14" i="16"/>
  <c r="AC14" i="16"/>
  <c r="AF14" i="16"/>
  <c r="AI14" i="16"/>
  <c r="AL14" i="16"/>
  <c r="AO14" i="16"/>
  <c r="AR14" i="16"/>
  <c r="AU14" i="16"/>
  <c r="AX14" i="16"/>
  <c r="BA14" i="16"/>
  <c r="BD14" i="16"/>
  <c r="BG14" i="16"/>
  <c r="BJ14" i="16"/>
  <c r="BM14" i="16"/>
  <c r="BP14" i="16"/>
  <c r="BS14" i="16"/>
  <c r="BV14" i="16"/>
  <c r="BY14" i="16"/>
  <c r="CB14" i="16"/>
  <c r="CE14" i="16"/>
  <c r="CH14" i="16"/>
  <c r="CK14" i="16"/>
  <c r="CN14" i="16"/>
  <c r="CQ14" i="16"/>
  <c r="CT14" i="16"/>
  <c r="CW14" i="16"/>
  <c r="CZ14" i="16"/>
  <c r="DC14" i="16"/>
  <c r="DF14" i="16"/>
  <c r="DI14" i="16"/>
  <c r="DL14" i="16"/>
  <c r="DO14" i="16"/>
  <c r="DR14" i="16"/>
  <c r="DU14" i="16"/>
  <c r="DX14" i="16"/>
  <c r="EA14" i="16"/>
  <c r="ED14" i="16"/>
  <c r="EG14" i="16"/>
  <c r="EJ14" i="16"/>
  <c r="EM14" i="16"/>
  <c r="EP14" i="16"/>
  <c r="ES14" i="16"/>
  <c r="EV14" i="16"/>
  <c r="EY14" i="16"/>
  <c r="FB14" i="16"/>
  <c r="FE14" i="16"/>
  <c r="FH14" i="16"/>
  <c r="FK14" i="16"/>
  <c r="FN14" i="16"/>
  <c r="FQ14" i="16"/>
  <c r="FT14" i="16"/>
  <c r="FW14" i="16"/>
  <c r="FZ14" i="16"/>
  <c r="GC14" i="16"/>
  <c r="GF14" i="16"/>
  <c r="GI14" i="16"/>
  <c r="GL14" i="16"/>
  <c r="GO14" i="16"/>
  <c r="GR14" i="16"/>
  <c r="GU14" i="16"/>
  <c r="GX14" i="16"/>
  <c r="HA14" i="16"/>
  <c r="HD14" i="16"/>
  <c r="HG14" i="16"/>
  <c r="HJ14" i="16"/>
  <c r="HM14" i="16"/>
  <c r="HP14" i="16"/>
  <c r="HS14" i="16"/>
  <c r="HV14" i="16"/>
  <c r="HY14" i="16"/>
  <c r="IB14" i="16"/>
  <c r="IE14" i="16"/>
  <c r="IH14" i="16"/>
  <c r="IK14" i="16"/>
  <c r="IN14" i="16"/>
  <c r="IQ14" i="16"/>
  <c r="IT14" i="16"/>
  <c r="IW14" i="16"/>
  <c r="IZ14" i="16"/>
  <c r="JC14" i="16"/>
  <c r="JF14" i="16"/>
  <c r="JI14" i="16"/>
  <c r="JL14" i="16"/>
  <c r="JO14" i="16"/>
  <c r="JR14" i="16"/>
  <c r="JU14" i="16"/>
  <c r="JX14" i="16"/>
  <c r="KA14" i="16"/>
  <c r="KD14" i="16"/>
  <c r="KG14" i="16"/>
  <c r="KJ14" i="16"/>
  <c r="A15" i="16"/>
  <c r="B15" i="16"/>
  <c r="E15" i="16"/>
  <c r="H15" i="16"/>
  <c r="K15" i="16"/>
  <c r="N15" i="16"/>
  <c r="Q15" i="16"/>
  <c r="T15" i="16"/>
  <c r="W15" i="16"/>
  <c r="Z15" i="16"/>
  <c r="AC15" i="16"/>
  <c r="AF15" i="16"/>
  <c r="AI15" i="16"/>
  <c r="AL15" i="16"/>
  <c r="AO15" i="16"/>
  <c r="AR15" i="16"/>
  <c r="AU15" i="16"/>
  <c r="AX15" i="16"/>
  <c r="BA15" i="16"/>
  <c r="BD15" i="16"/>
  <c r="BG15" i="16"/>
  <c r="BJ15" i="16"/>
  <c r="BM15" i="16"/>
  <c r="BP15" i="16"/>
  <c r="BS15" i="16"/>
  <c r="BV15" i="16"/>
  <c r="BY15" i="16"/>
  <c r="CB15" i="16"/>
  <c r="CE15" i="16"/>
  <c r="CH15" i="16"/>
  <c r="CK15" i="16"/>
  <c r="CN15" i="16"/>
  <c r="CQ15" i="16"/>
  <c r="CT15" i="16"/>
  <c r="CW15" i="16"/>
  <c r="CZ15" i="16"/>
  <c r="DC15" i="16"/>
  <c r="DF15" i="16"/>
  <c r="DI15" i="16"/>
  <c r="DL15" i="16"/>
  <c r="DO15" i="16"/>
  <c r="DR15" i="16"/>
  <c r="DU15" i="16"/>
  <c r="DX15" i="16"/>
  <c r="EA15" i="16"/>
  <c r="ED15" i="16"/>
  <c r="EG15" i="16"/>
  <c r="EJ15" i="16"/>
  <c r="EM15" i="16"/>
  <c r="EP15" i="16"/>
  <c r="ES15" i="16"/>
  <c r="EV15" i="16"/>
  <c r="EY15" i="16"/>
  <c r="FB15" i="16"/>
  <c r="FE15" i="16"/>
  <c r="FH15" i="16"/>
  <c r="FK15" i="16"/>
  <c r="FN15" i="16"/>
  <c r="FQ15" i="16"/>
  <c r="FT15" i="16"/>
  <c r="FW15" i="16"/>
  <c r="FZ15" i="16"/>
  <c r="GC15" i="16"/>
  <c r="GF15" i="16"/>
  <c r="GI15" i="16"/>
  <c r="GL15" i="16"/>
  <c r="GO15" i="16"/>
  <c r="GR15" i="16"/>
  <c r="GU15" i="16"/>
  <c r="GX15" i="16"/>
  <c r="HA15" i="16"/>
  <c r="HD15" i="16"/>
  <c r="HG15" i="16"/>
  <c r="HJ15" i="16"/>
  <c r="HM15" i="16"/>
  <c r="HP15" i="16"/>
  <c r="HS15" i="16"/>
  <c r="HV15" i="16"/>
  <c r="HY15" i="16"/>
  <c r="IB15" i="16"/>
  <c r="IE15" i="16"/>
  <c r="IH15" i="16"/>
  <c r="IK15" i="16"/>
  <c r="IN15" i="16"/>
  <c r="IQ15" i="16"/>
  <c r="IT15" i="16"/>
  <c r="IW15" i="16"/>
  <c r="IZ15" i="16"/>
  <c r="JC15" i="16"/>
  <c r="JF15" i="16"/>
  <c r="JI15" i="16"/>
  <c r="JL15" i="16"/>
  <c r="JO15" i="16"/>
  <c r="JR15" i="16"/>
  <c r="JU15" i="16"/>
  <c r="JX15" i="16"/>
  <c r="KA15" i="16"/>
  <c r="KD15" i="16"/>
  <c r="KG15" i="16"/>
  <c r="KJ15" i="16"/>
  <c r="A16" i="16"/>
  <c r="B16" i="16"/>
  <c r="E16" i="16"/>
  <c r="H16" i="16"/>
  <c r="K16" i="16"/>
  <c r="N16" i="16"/>
  <c r="Q16" i="16"/>
  <c r="T16" i="16"/>
  <c r="W16" i="16"/>
  <c r="Z16" i="16"/>
  <c r="AC16" i="16"/>
  <c r="AF16" i="16"/>
  <c r="AI16" i="16"/>
  <c r="AL16" i="16"/>
  <c r="AO16" i="16"/>
  <c r="AR16" i="16"/>
  <c r="AU16" i="16"/>
  <c r="AX16" i="16"/>
  <c r="BA16" i="16"/>
  <c r="BD16" i="16"/>
  <c r="BG16" i="16"/>
  <c r="BJ16" i="16"/>
  <c r="BM16" i="16"/>
  <c r="BP16" i="16"/>
  <c r="BS16" i="16"/>
  <c r="BV16" i="16"/>
  <c r="BY16" i="16"/>
  <c r="CB16" i="16"/>
  <c r="CE16" i="16"/>
  <c r="CH16" i="16"/>
  <c r="CK16" i="16"/>
  <c r="CN16" i="16"/>
  <c r="CQ16" i="16"/>
  <c r="CT16" i="16"/>
  <c r="CW16" i="16"/>
  <c r="CZ16" i="16"/>
  <c r="DC16" i="16"/>
  <c r="DF16" i="16"/>
  <c r="DI16" i="16"/>
  <c r="DL16" i="16"/>
  <c r="DO16" i="16"/>
  <c r="DR16" i="16"/>
  <c r="DU16" i="16"/>
  <c r="DX16" i="16"/>
  <c r="EA16" i="16"/>
  <c r="ED16" i="16"/>
  <c r="EG16" i="16"/>
  <c r="EJ16" i="16"/>
  <c r="EM16" i="16"/>
  <c r="EP16" i="16"/>
  <c r="ES16" i="16"/>
  <c r="EV16" i="16"/>
  <c r="EY16" i="16"/>
  <c r="FB16" i="16"/>
  <c r="FE16" i="16"/>
  <c r="FH16" i="16"/>
  <c r="FK16" i="16"/>
  <c r="FN16" i="16"/>
  <c r="FQ16" i="16"/>
  <c r="FT16" i="16"/>
  <c r="FW16" i="16"/>
  <c r="FZ16" i="16"/>
  <c r="GC16" i="16"/>
  <c r="GF16" i="16"/>
  <c r="GI16" i="16"/>
  <c r="GL16" i="16"/>
  <c r="GO16" i="16"/>
  <c r="GR16" i="16"/>
  <c r="GU16" i="16"/>
  <c r="GX16" i="16"/>
  <c r="HA16" i="16"/>
  <c r="HD16" i="16"/>
  <c r="HG16" i="16"/>
  <c r="HJ16" i="16"/>
  <c r="HM16" i="16"/>
  <c r="HP16" i="16"/>
  <c r="HS16" i="16"/>
  <c r="HV16" i="16"/>
  <c r="HY16" i="16"/>
  <c r="IB16" i="16"/>
  <c r="IE16" i="16"/>
  <c r="IH16" i="16"/>
  <c r="IK16" i="16"/>
  <c r="IN16" i="16"/>
  <c r="IQ16" i="16"/>
  <c r="IT16" i="16"/>
  <c r="IW16" i="16"/>
  <c r="IZ16" i="16"/>
  <c r="JC16" i="16"/>
  <c r="JF16" i="16"/>
  <c r="JI16" i="16"/>
  <c r="JL16" i="16"/>
  <c r="JO16" i="16"/>
  <c r="JR16" i="16"/>
  <c r="JU16" i="16"/>
  <c r="JX16" i="16"/>
  <c r="KA16" i="16"/>
  <c r="KD16" i="16"/>
  <c r="KG16" i="16"/>
  <c r="KJ16" i="16"/>
  <c r="A17" i="16"/>
  <c r="B17" i="16"/>
  <c r="E17" i="16"/>
  <c r="H17" i="16"/>
  <c r="K17" i="16"/>
  <c r="N17" i="16"/>
  <c r="Q17" i="16"/>
  <c r="T17" i="16"/>
  <c r="W17" i="16"/>
  <c r="Z17" i="16"/>
  <c r="AC17" i="16"/>
  <c r="AF17" i="16"/>
  <c r="AI17" i="16"/>
  <c r="AL17" i="16"/>
  <c r="AO17" i="16"/>
  <c r="AR17" i="16"/>
  <c r="AU17" i="16"/>
  <c r="AX17" i="16"/>
  <c r="BA17" i="16"/>
  <c r="BD17" i="16"/>
  <c r="BG17" i="16"/>
  <c r="BJ17" i="16"/>
  <c r="BM17" i="16"/>
  <c r="BP17" i="16"/>
  <c r="BS17" i="16"/>
  <c r="BV17" i="16"/>
  <c r="BY17" i="16"/>
  <c r="CB17" i="16"/>
  <c r="CE17" i="16"/>
  <c r="CH17" i="16"/>
  <c r="CK17" i="16"/>
  <c r="CN17" i="16"/>
  <c r="CQ17" i="16"/>
  <c r="CT17" i="16"/>
  <c r="CW17" i="16"/>
  <c r="CZ17" i="16"/>
  <c r="DC17" i="16"/>
  <c r="DF17" i="16"/>
  <c r="DI17" i="16"/>
  <c r="DL17" i="16"/>
  <c r="DO17" i="16"/>
  <c r="DR17" i="16"/>
  <c r="DU17" i="16"/>
  <c r="DX17" i="16"/>
  <c r="EA17" i="16"/>
  <c r="ED17" i="16"/>
  <c r="EG17" i="16"/>
  <c r="EJ17" i="16"/>
  <c r="EM17" i="16"/>
  <c r="EP17" i="16"/>
  <c r="ES17" i="16"/>
  <c r="EV17" i="16"/>
  <c r="EY17" i="16"/>
  <c r="FB17" i="16"/>
  <c r="FE17" i="16"/>
  <c r="FH17" i="16"/>
  <c r="FK17" i="16"/>
  <c r="FN17" i="16"/>
  <c r="FQ17" i="16"/>
  <c r="FT17" i="16"/>
  <c r="FW17" i="16"/>
  <c r="FZ17" i="16"/>
  <c r="GC17" i="16"/>
  <c r="GF17" i="16"/>
  <c r="GI17" i="16"/>
  <c r="GL17" i="16"/>
  <c r="GO17" i="16"/>
  <c r="GR17" i="16"/>
  <c r="GU17" i="16"/>
  <c r="GX17" i="16"/>
  <c r="HA17" i="16"/>
  <c r="HD17" i="16"/>
  <c r="HG17" i="16"/>
  <c r="HJ17" i="16"/>
  <c r="HM17" i="16"/>
  <c r="HP17" i="16"/>
  <c r="HS17" i="16"/>
  <c r="HV17" i="16"/>
  <c r="HY17" i="16"/>
  <c r="IB17" i="16"/>
  <c r="IE17" i="16"/>
  <c r="IH17" i="16"/>
  <c r="IK17" i="16"/>
  <c r="IN17" i="16"/>
  <c r="IQ17" i="16"/>
  <c r="IT17" i="16"/>
  <c r="IW17" i="16"/>
  <c r="IZ17" i="16"/>
  <c r="JC17" i="16"/>
  <c r="JF17" i="16"/>
  <c r="JI17" i="16"/>
  <c r="JL17" i="16"/>
  <c r="JO17" i="16"/>
  <c r="JR17" i="16"/>
  <c r="JU17" i="16"/>
  <c r="JX17" i="16"/>
  <c r="KA17" i="16"/>
  <c r="KD17" i="16"/>
  <c r="KG17" i="16"/>
  <c r="KJ17" i="16"/>
  <c r="A18" i="16"/>
  <c r="B18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AN18" i="16"/>
  <c r="AO18" i="16"/>
  <c r="AP18" i="16"/>
  <c r="AQ18" i="16"/>
  <c r="AR18" i="16"/>
  <c r="AS18" i="16"/>
  <c r="AT18" i="16"/>
  <c r="AU18" i="16"/>
  <c r="AV18" i="16"/>
  <c r="AW18" i="16"/>
  <c r="AX18" i="16"/>
  <c r="AY18" i="16"/>
  <c r="AZ18" i="16"/>
  <c r="BA18" i="16"/>
  <c r="BB18" i="16"/>
  <c r="BC18" i="16"/>
  <c r="BD18" i="16"/>
  <c r="BE18" i="16"/>
  <c r="BF18" i="16"/>
  <c r="BG18" i="16"/>
  <c r="BH18" i="16"/>
  <c r="BI18" i="16"/>
  <c r="BJ18" i="16"/>
  <c r="BK18" i="16"/>
  <c r="BL18" i="16"/>
  <c r="BM18" i="16"/>
  <c r="BN18" i="16"/>
  <c r="BO18" i="16"/>
  <c r="BP18" i="16"/>
  <c r="BQ18" i="16"/>
  <c r="BR18" i="16"/>
  <c r="BS18" i="16"/>
  <c r="BT18" i="16"/>
  <c r="BU18" i="16"/>
  <c r="BV18" i="16"/>
  <c r="BW18" i="16"/>
  <c r="BX18" i="16"/>
  <c r="BY18" i="16"/>
  <c r="BZ18" i="16"/>
  <c r="CA18" i="16"/>
  <c r="CB18" i="16"/>
  <c r="CC18" i="16"/>
  <c r="CD18" i="16"/>
  <c r="CE18" i="16"/>
  <c r="CF18" i="16"/>
  <c r="CG18" i="16"/>
  <c r="CH18" i="16"/>
  <c r="CI18" i="16"/>
  <c r="CJ18" i="16"/>
  <c r="CK18" i="16"/>
  <c r="CL18" i="16"/>
  <c r="CM18" i="16"/>
  <c r="CN18" i="16"/>
  <c r="CO18" i="16"/>
  <c r="CP18" i="16"/>
  <c r="CQ18" i="16"/>
  <c r="CR18" i="16"/>
  <c r="CS18" i="16"/>
  <c r="CT18" i="16"/>
  <c r="CU18" i="16"/>
  <c r="CV18" i="16"/>
  <c r="CW18" i="16"/>
  <c r="CX18" i="16"/>
  <c r="CY18" i="16"/>
  <c r="CZ18" i="16"/>
  <c r="DA18" i="16"/>
  <c r="DB18" i="16"/>
  <c r="DC18" i="16"/>
  <c r="DD18" i="16"/>
  <c r="DE18" i="16"/>
  <c r="DF18" i="16"/>
  <c r="DG18" i="16"/>
  <c r="DH18" i="16"/>
  <c r="DI18" i="16"/>
  <c r="DJ18" i="16"/>
  <c r="DK18" i="16"/>
  <c r="DL18" i="16"/>
  <c r="DM18" i="16"/>
  <c r="DN18" i="16"/>
  <c r="DO18" i="16"/>
  <c r="DP18" i="16"/>
  <c r="DQ18" i="16"/>
  <c r="DR18" i="16"/>
  <c r="DS18" i="16"/>
  <c r="DT18" i="16"/>
  <c r="DU18" i="16"/>
  <c r="DV18" i="16"/>
  <c r="DW18" i="16"/>
  <c r="DX18" i="16"/>
  <c r="DY18" i="16"/>
  <c r="DZ18" i="16"/>
  <c r="EA18" i="16"/>
  <c r="EB18" i="16"/>
  <c r="EC18" i="16"/>
  <c r="ED18" i="16"/>
  <c r="EE18" i="16"/>
  <c r="EF18" i="16"/>
  <c r="EG18" i="16"/>
  <c r="EH18" i="16"/>
  <c r="EI18" i="16"/>
  <c r="EJ18" i="16"/>
  <c r="EK18" i="16"/>
  <c r="EL18" i="16"/>
  <c r="EM18" i="16"/>
  <c r="EN18" i="16"/>
  <c r="EO18" i="16"/>
  <c r="EP18" i="16"/>
  <c r="EQ18" i="16"/>
  <c r="ER18" i="16"/>
  <c r="ES18" i="16"/>
  <c r="ET18" i="16"/>
  <c r="EU18" i="16"/>
  <c r="EV18" i="16"/>
  <c r="EW18" i="16"/>
  <c r="EX18" i="16"/>
  <c r="EY18" i="16"/>
  <c r="EZ18" i="16"/>
  <c r="FA18" i="16"/>
  <c r="FB18" i="16"/>
  <c r="FC18" i="16"/>
  <c r="FD18" i="16"/>
  <c r="FE18" i="16"/>
  <c r="FF18" i="16"/>
  <c r="FG18" i="16"/>
  <c r="FH18" i="16"/>
  <c r="FI18" i="16"/>
  <c r="FJ18" i="16"/>
  <c r="FK18" i="16"/>
  <c r="FL18" i="16"/>
  <c r="FM18" i="16"/>
  <c r="FN18" i="16"/>
  <c r="FO18" i="16"/>
  <c r="FP18" i="16"/>
  <c r="FQ18" i="16"/>
  <c r="FR18" i="16"/>
  <c r="FS18" i="16"/>
  <c r="FT18" i="16"/>
  <c r="FU18" i="16"/>
  <c r="FV18" i="16"/>
  <c r="FW18" i="16"/>
  <c r="FX18" i="16"/>
  <c r="FY18" i="16"/>
  <c r="FZ18" i="16"/>
  <c r="GA18" i="16"/>
  <c r="GB18" i="16"/>
  <c r="GC18" i="16"/>
  <c r="GD18" i="16"/>
  <c r="GE18" i="16"/>
  <c r="GF18" i="16"/>
  <c r="GG18" i="16"/>
  <c r="GH18" i="16"/>
  <c r="GI18" i="16"/>
  <c r="GJ18" i="16"/>
  <c r="GK18" i="16"/>
  <c r="GL18" i="16"/>
  <c r="GM18" i="16"/>
  <c r="GN18" i="16"/>
  <c r="GO18" i="16"/>
  <c r="GP18" i="16"/>
  <c r="GQ18" i="16"/>
  <c r="A19" i="16"/>
  <c r="B19" i="16"/>
  <c r="E19" i="16"/>
  <c r="H19" i="16"/>
  <c r="K19" i="16"/>
  <c r="N19" i="16"/>
  <c r="Q19" i="16"/>
  <c r="T19" i="16"/>
  <c r="W19" i="16"/>
  <c r="Z19" i="16"/>
  <c r="AC19" i="16"/>
  <c r="AF19" i="16"/>
  <c r="AI19" i="16"/>
  <c r="AL19" i="16"/>
  <c r="AO19" i="16"/>
  <c r="AR19" i="16"/>
  <c r="AU19" i="16"/>
  <c r="AX19" i="16"/>
  <c r="BA19" i="16"/>
  <c r="BD19" i="16"/>
  <c r="BG19" i="16"/>
  <c r="BJ19" i="16"/>
  <c r="BM19" i="16"/>
  <c r="BP19" i="16"/>
  <c r="BS19" i="16"/>
  <c r="BV19" i="16"/>
  <c r="BY19" i="16"/>
  <c r="CB19" i="16"/>
  <c r="CE19" i="16"/>
  <c r="CH19" i="16"/>
  <c r="CK19" i="16"/>
  <c r="CN19" i="16"/>
  <c r="CQ19" i="16"/>
  <c r="CT19" i="16"/>
  <c r="CW19" i="16"/>
  <c r="CZ19" i="16"/>
  <c r="DC19" i="16"/>
  <c r="DF19" i="16"/>
  <c r="DI19" i="16"/>
  <c r="DL19" i="16"/>
  <c r="DO19" i="16"/>
  <c r="DR19" i="16"/>
  <c r="DU19" i="16"/>
  <c r="DX19" i="16"/>
  <c r="EA19" i="16"/>
  <c r="ED19" i="16"/>
  <c r="EG19" i="16"/>
  <c r="EJ19" i="16"/>
  <c r="EM19" i="16"/>
  <c r="EP19" i="16"/>
  <c r="ES19" i="16"/>
  <c r="EV19" i="16"/>
  <c r="EY19" i="16"/>
  <c r="FB19" i="16"/>
  <c r="FE19" i="16"/>
  <c r="FH19" i="16"/>
  <c r="FK19" i="16"/>
  <c r="FN19" i="16"/>
  <c r="FQ19" i="16"/>
  <c r="FT19" i="16"/>
  <c r="FW19" i="16"/>
  <c r="FZ19" i="16"/>
  <c r="GC19" i="16"/>
  <c r="GF19" i="16"/>
  <c r="GI19" i="16"/>
  <c r="GL19" i="16"/>
  <c r="GO19" i="16"/>
  <c r="GR19" i="16"/>
  <c r="GU19" i="16"/>
  <c r="GX19" i="16"/>
  <c r="HA19" i="16"/>
  <c r="HD19" i="16"/>
  <c r="HG19" i="16"/>
  <c r="HJ19" i="16"/>
  <c r="HM19" i="16"/>
  <c r="HP19" i="16"/>
  <c r="HS19" i="16"/>
  <c r="HV19" i="16"/>
  <c r="HY19" i="16"/>
  <c r="IB19" i="16"/>
  <c r="IE19" i="16"/>
  <c r="IH19" i="16"/>
  <c r="IK19" i="16"/>
  <c r="IN19" i="16"/>
  <c r="IQ19" i="16"/>
  <c r="IT19" i="16"/>
  <c r="IW19" i="16"/>
  <c r="IZ19" i="16"/>
  <c r="JC19" i="16"/>
  <c r="JF19" i="16"/>
  <c r="JI19" i="16"/>
  <c r="JL19" i="16"/>
  <c r="JO19" i="16"/>
  <c r="JR19" i="16"/>
  <c r="JU19" i="16"/>
  <c r="JX19" i="16"/>
  <c r="KA19" i="16"/>
  <c r="KD19" i="16"/>
  <c r="KG19" i="16"/>
  <c r="KJ19" i="16"/>
  <c r="A20" i="16"/>
  <c r="B20" i="16"/>
  <c r="E20" i="16"/>
  <c r="H20" i="16"/>
  <c r="K20" i="16"/>
  <c r="N20" i="16"/>
  <c r="Q20" i="16"/>
  <c r="T20" i="16"/>
  <c r="W20" i="16"/>
  <c r="Z20" i="16"/>
  <c r="AC20" i="16"/>
  <c r="AF20" i="16"/>
  <c r="AI20" i="16"/>
  <c r="AL20" i="16"/>
  <c r="AO20" i="16"/>
  <c r="AR20" i="16"/>
  <c r="AU20" i="16"/>
  <c r="AX20" i="16"/>
  <c r="BA20" i="16"/>
  <c r="BD20" i="16"/>
  <c r="BG20" i="16"/>
  <c r="BJ20" i="16"/>
  <c r="BM20" i="16"/>
  <c r="BP20" i="16"/>
  <c r="BS20" i="16"/>
  <c r="BV20" i="16"/>
  <c r="BY20" i="16"/>
  <c r="CB20" i="16"/>
  <c r="CE20" i="16"/>
  <c r="CH20" i="16"/>
  <c r="CK20" i="16"/>
  <c r="CN20" i="16"/>
  <c r="CQ20" i="16"/>
  <c r="CT20" i="16"/>
  <c r="CW20" i="16"/>
  <c r="CZ20" i="16"/>
  <c r="DC20" i="16"/>
  <c r="DF20" i="16"/>
  <c r="DI20" i="16"/>
  <c r="DL20" i="16"/>
  <c r="DO20" i="16"/>
  <c r="DR20" i="16"/>
  <c r="DU20" i="16"/>
  <c r="DX20" i="16"/>
  <c r="EA20" i="16"/>
  <c r="ED20" i="16"/>
  <c r="EG20" i="16"/>
  <c r="EJ20" i="16"/>
  <c r="EM20" i="16"/>
  <c r="EP20" i="16"/>
  <c r="ES20" i="16"/>
  <c r="EV20" i="16"/>
  <c r="EY20" i="16"/>
  <c r="FB20" i="16"/>
  <c r="FE20" i="16"/>
  <c r="FH20" i="16"/>
  <c r="FK20" i="16"/>
  <c r="FN20" i="16"/>
  <c r="FQ20" i="16"/>
  <c r="FT20" i="16"/>
  <c r="FW20" i="16"/>
  <c r="FZ20" i="16"/>
  <c r="GC20" i="16"/>
  <c r="GF20" i="16"/>
  <c r="GI20" i="16"/>
  <c r="GL20" i="16"/>
  <c r="GO20" i="16"/>
  <c r="GR20" i="16"/>
  <c r="GU20" i="16"/>
  <c r="GX20" i="16"/>
  <c r="HA20" i="16"/>
  <c r="HD20" i="16"/>
  <c r="HG20" i="16"/>
  <c r="HJ20" i="16"/>
  <c r="HM20" i="16"/>
  <c r="HP20" i="16"/>
  <c r="HS20" i="16"/>
  <c r="HV20" i="16"/>
  <c r="HY20" i="16"/>
  <c r="IB20" i="16"/>
  <c r="IE20" i="16"/>
  <c r="IH20" i="16"/>
  <c r="IK20" i="16"/>
  <c r="IN20" i="16"/>
  <c r="IQ20" i="16"/>
  <c r="IT20" i="16"/>
  <c r="IW20" i="16"/>
  <c r="IZ20" i="16"/>
  <c r="JC20" i="16"/>
  <c r="JF20" i="16"/>
  <c r="JI20" i="16"/>
  <c r="JL20" i="16"/>
  <c r="JO20" i="16"/>
  <c r="JR20" i="16"/>
  <c r="JU20" i="16"/>
  <c r="JX20" i="16"/>
  <c r="KA20" i="16"/>
  <c r="KD20" i="16"/>
  <c r="KG20" i="16"/>
  <c r="KJ20" i="16"/>
  <c r="A21" i="16"/>
  <c r="B21" i="16"/>
  <c r="E21" i="16"/>
  <c r="H21" i="16"/>
  <c r="K21" i="16"/>
  <c r="N21" i="16"/>
  <c r="Q21" i="16"/>
  <c r="T21" i="16"/>
  <c r="W21" i="16"/>
  <c r="Z21" i="16"/>
  <c r="AC21" i="16"/>
  <c r="AF21" i="16"/>
  <c r="AI21" i="16"/>
  <c r="AL21" i="16"/>
  <c r="AO21" i="16"/>
  <c r="AR21" i="16"/>
  <c r="AU21" i="16"/>
  <c r="AX21" i="16"/>
  <c r="BA21" i="16"/>
  <c r="BD21" i="16"/>
  <c r="BG21" i="16"/>
  <c r="BJ21" i="16"/>
  <c r="BM21" i="16"/>
  <c r="BP21" i="16"/>
  <c r="BS21" i="16"/>
  <c r="BV21" i="16"/>
  <c r="BY21" i="16"/>
  <c r="CB21" i="16"/>
  <c r="CE21" i="16"/>
  <c r="CH21" i="16"/>
  <c r="CK21" i="16"/>
  <c r="CN21" i="16"/>
  <c r="CQ21" i="16"/>
  <c r="CT21" i="16"/>
  <c r="CW21" i="16"/>
  <c r="CZ21" i="16"/>
  <c r="DC21" i="16"/>
  <c r="DF21" i="16"/>
  <c r="DI21" i="16"/>
  <c r="DL21" i="16"/>
  <c r="DO21" i="16"/>
  <c r="DR21" i="16"/>
  <c r="DU21" i="16"/>
  <c r="DX21" i="16"/>
  <c r="EA21" i="16"/>
  <c r="ED21" i="16"/>
  <c r="EG21" i="16"/>
  <c r="EJ21" i="16"/>
  <c r="EM21" i="16"/>
  <c r="EP21" i="16"/>
  <c r="ES21" i="16"/>
  <c r="EV21" i="16"/>
  <c r="EY21" i="16"/>
  <c r="FB21" i="16"/>
  <c r="FE21" i="16"/>
  <c r="FH21" i="16"/>
  <c r="FK21" i="16"/>
  <c r="FN21" i="16"/>
  <c r="FQ21" i="16"/>
  <c r="FT21" i="16"/>
  <c r="FW21" i="16"/>
  <c r="FZ21" i="16"/>
  <c r="GC21" i="16"/>
  <c r="GF21" i="16"/>
  <c r="GI21" i="16"/>
  <c r="GL21" i="16"/>
  <c r="GO21" i="16"/>
  <c r="GR21" i="16"/>
  <c r="GU21" i="16"/>
  <c r="GX21" i="16"/>
  <c r="HA21" i="16"/>
  <c r="HD21" i="16"/>
  <c r="HG21" i="16"/>
  <c r="HJ21" i="16"/>
  <c r="HM21" i="16"/>
  <c r="HP21" i="16"/>
  <c r="HS21" i="16"/>
  <c r="HV21" i="16"/>
  <c r="HY21" i="16"/>
  <c r="IB21" i="16"/>
  <c r="IE21" i="16"/>
  <c r="IH21" i="16"/>
  <c r="IK21" i="16"/>
  <c r="IN21" i="16"/>
  <c r="IQ21" i="16"/>
  <c r="IT21" i="16"/>
  <c r="IW21" i="16"/>
  <c r="IZ21" i="16"/>
  <c r="JC21" i="16"/>
  <c r="JF21" i="16"/>
  <c r="JI21" i="16"/>
  <c r="JL21" i="16"/>
  <c r="JO21" i="16"/>
  <c r="JR21" i="16"/>
  <c r="JU21" i="16"/>
  <c r="JX21" i="16"/>
  <c r="KA21" i="16"/>
  <c r="KD21" i="16"/>
  <c r="KG21" i="16"/>
  <c r="KJ21" i="16"/>
  <c r="A22" i="16"/>
  <c r="B22" i="16"/>
  <c r="E22" i="16"/>
  <c r="H22" i="16"/>
  <c r="K22" i="16"/>
  <c r="N22" i="16"/>
  <c r="Q22" i="16"/>
  <c r="T22" i="16"/>
  <c r="W22" i="16"/>
  <c r="Z22" i="16"/>
  <c r="AC22" i="16"/>
  <c r="AF22" i="16"/>
  <c r="AI22" i="16"/>
  <c r="AL22" i="16"/>
  <c r="AO22" i="16"/>
  <c r="AR22" i="16"/>
  <c r="AU22" i="16"/>
  <c r="AX22" i="16"/>
  <c r="BA22" i="16"/>
  <c r="BD22" i="16"/>
  <c r="BG22" i="16"/>
  <c r="BJ22" i="16"/>
  <c r="BM22" i="16"/>
  <c r="BP22" i="16"/>
  <c r="BS22" i="16"/>
  <c r="BV22" i="16"/>
  <c r="BY22" i="16"/>
  <c r="CB22" i="16"/>
  <c r="CE22" i="16"/>
  <c r="CH22" i="16"/>
  <c r="CK22" i="16"/>
  <c r="CN22" i="16"/>
  <c r="CQ22" i="16"/>
  <c r="CT22" i="16"/>
  <c r="CW22" i="16"/>
  <c r="CZ22" i="16"/>
  <c r="DC22" i="16"/>
  <c r="DF22" i="16"/>
  <c r="DI22" i="16"/>
  <c r="DL22" i="16"/>
  <c r="DO22" i="16"/>
  <c r="DR22" i="16"/>
  <c r="DU22" i="16"/>
  <c r="DX22" i="16"/>
  <c r="EA22" i="16"/>
  <c r="ED22" i="16"/>
  <c r="EG22" i="16"/>
  <c r="EJ22" i="16"/>
  <c r="EM22" i="16"/>
  <c r="EP22" i="16"/>
  <c r="ES22" i="16"/>
  <c r="EV22" i="16"/>
  <c r="EY22" i="16"/>
  <c r="FB22" i="16"/>
  <c r="FE22" i="16"/>
  <c r="FH22" i="16"/>
  <c r="FK22" i="16"/>
  <c r="FN22" i="16"/>
  <c r="FQ22" i="16"/>
  <c r="FT22" i="16"/>
  <c r="FW22" i="16"/>
  <c r="FZ22" i="16"/>
  <c r="GC22" i="16"/>
  <c r="GF22" i="16"/>
  <c r="GI22" i="16"/>
  <c r="GL22" i="16"/>
  <c r="GO22" i="16"/>
  <c r="GR22" i="16"/>
  <c r="GU22" i="16"/>
  <c r="GX22" i="16"/>
  <c r="HA22" i="16"/>
  <c r="HD22" i="16"/>
  <c r="HG22" i="16"/>
  <c r="HJ22" i="16"/>
  <c r="HM22" i="16"/>
  <c r="HP22" i="16"/>
  <c r="HS22" i="16"/>
  <c r="HV22" i="16"/>
  <c r="HY22" i="16"/>
  <c r="IB22" i="16"/>
  <c r="IE22" i="16"/>
  <c r="IH22" i="16"/>
  <c r="IK22" i="16"/>
  <c r="IN22" i="16"/>
  <c r="IQ22" i="16"/>
  <c r="IT22" i="16"/>
  <c r="IW22" i="16"/>
  <c r="IZ22" i="16"/>
  <c r="JC22" i="16"/>
  <c r="JF22" i="16"/>
  <c r="JI22" i="16"/>
  <c r="JL22" i="16"/>
  <c r="JO22" i="16"/>
  <c r="JR22" i="16"/>
  <c r="JU22" i="16"/>
  <c r="JX22" i="16"/>
  <c r="KA22" i="16"/>
  <c r="KD22" i="16"/>
  <c r="KG22" i="16"/>
  <c r="KJ22" i="16"/>
  <c r="A23" i="16"/>
  <c r="B23" i="16"/>
  <c r="E23" i="16"/>
  <c r="H23" i="16"/>
  <c r="K23" i="16"/>
  <c r="N23" i="16"/>
  <c r="Q23" i="16"/>
  <c r="T23" i="16"/>
  <c r="W23" i="16"/>
  <c r="Z23" i="16"/>
  <c r="AC23" i="16"/>
  <c r="AF23" i="16"/>
  <c r="AI23" i="16"/>
  <c r="AL23" i="16"/>
  <c r="AO23" i="16"/>
  <c r="AR23" i="16"/>
  <c r="AU23" i="16"/>
  <c r="AX23" i="16"/>
  <c r="BA23" i="16"/>
  <c r="BD23" i="16"/>
  <c r="BG23" i="16"/>
  <c r="BJ23" i="16"/>
  <c r="BM23" i="16"/>
  <c r="BP23" i="16"/>
  <c r="BS23" i="16"/>
  <c r="BV23" i="16"/>
  <c r="BY23" i="16"/>
  <c r="CB23" i="16"/>
  <c r="CE23" i="16"/>
  <c r="CH23" i="16"/>
  <c r="CK23" i="16"/>
  <c r="CN23" i="16"/>
  <c r="CQ23" i="16"/>
  <c r="CT23" i="16"/>
  <c r="CW23" i="16"/>
  <c r="CZ23" i="16"/>
  <c r="DC23" i="16"/>
  <c r="DF23" i="16"/>
  <c r="DI23" i="16"/>
  <c r="DL23" i="16"/>
  <c r="DO23" i="16"/>
  <c r="DR23" i="16"/>
  <c r="DU23" i="16"/>
  <c r="DX23" i="16"/>
  <c r="EA23" i="16"/>
  <c r="ED23" i="16"/>
  <c r="EG23" i="16"/>
  <c r="EJ23" i="16"/>
  <c r="EM23" i="16"/>
  <c r="EP23" i="16"/>
  <c r="ES23" i="16"/>
  <c r="EV23" i="16"/>
  <c r="EY23" i="16"/>
  <c r="FB23" i="16"/>
  <c r="FE23" i="16"/>
  <c r="FH23" i="16"/>
  <c r="FK23" i="16"/>
  <c r="FN23" i="16"/>
  <c r="FQ23" i="16"/>
  <c r="FT23" i="16"/>
  <c r="FW23" i="16"/>
  <c r="FZ23" i="16"/>
  <c r="GC23" i="16"/>
  <c r="GF23" i="16"/>
  <c r="GI23" i="16"/>
  <c r="GL23" i="16"/>
  <c r="GO23" i="16"/>
  <c r="GR23" i="16"/>
  <c r="GU23" i="16"/>
  <c r="GX23" i="16"/>
  <c r="HA23" i="16"/>
  <c r="HD23" i="16"/>
  <c r="HG23" i="16"/>
  <c r="HJ23" i="16"/>
  <c r="HM23" i="16"/>
  <c r="HP23" i="16"/>
  <c r="HS23" i="16"/>
  <c r="HV23" i="16"/>
  <c r="HY23" i="16"/>
  <c r="IB23" i="16"/>
  <c r="IE23" i="16"/>
  <c r="IH23" i="16"/>
  <c r="IK23" i="16"/>
  <c r="IN23" i="16"/>
  <c r="IQ23" i="16"/>
  <c r="IT23" i="16"/>
  <c r="IW23" i="16"/>
  <c r="IZ23" i="16"/>
  <c r="JC23" i="16"/>
  <c r="JF23" i="16"/>
  <c r="JI23" i="16"/>
  <c r="JL23" i="16"/>
  <c r="JO23" i="16"/>
  <c r="JR23" i="16"/>
  <c r="JU23" i="16"/>
  <c r="JX23" i="16"/>
  <c r="KA23" i="16"/>
  <c r="KD23" i="16"/>
  <c r="KG23" i="16"/>
  <c r="KJ23" i="16"/>
  <c r="A24" i="16"/>
  <c r="B24" i="16"/>
  <c r="E24" i="16"/>
  <c r="H24" i="16"/>
  <c r="K24" i="16"/>
  <c r="N24" i="16"/>
  <c r="Q24" i="16"/>
  <c r="T24" i="16"/>
  <c r="W24" i="16"/>
  <c r="Z24" i="16"/>
  <c r="AC24" i="16"/>
  <c r="AF24" i="16"/>
  <c r="AI24" i="16"/>
  <c r="AL24" i="16"/>
  <c r="AO24" i="16"/>
  <c r="AR24" i="16"/>
  <c r="AU24" i="16"/>
  <c r="AX24" i="16"/>
  <c r="BA24" i="16"/>
  <c r="BD24" i="16"/>
  <c r="BG24" i="16"/>
  <c r="BJ24" i="16"/>
  <c r="BM24" i="16"/>
  <c r="BP24" i="16"/>
  <c r="BS24" i="16"/>
  <c r="BV24" i="16"/>
  <c r="BY24" i="16"/>
  <c r="CB24" i="16"/>
  <c r="CE24" i="16"/>
  <c r="CH24" i="16"/>
  <c r="CK24" i="16"/>
  <c r="CN24" i="16"/>
  <c r="CQ24" i="16"/>
  <c r="CT24" i="16"/>
  <c r="CW24" i="16"/>
  <c r="CZ24" i="16"/>
  <c r="DC24" i="16"/>
  <c r="DF24" i="16"/>
  <c r="DI24" i="16"/>
  <c r="DL24" i="16"/>
  <c r="DO24" i="16"/>
  <c r="DR24" i="16"/>
  <c r="DU24" i="16"/>
  <c r="DX24" i="16"/>
  <c r="EA24" i="16"/>
  <c r="ED24" i="16"/>
  <c r="EG24" i="16"/>
  <c r="EJ24" i="16"/>
  <c r="EM24" i="16"/>
  <c r="EP24" i="16"/>
  <c r="ES24" i="16"/>
  <c r="EV24" i="16"/>
  <c r="EY24" i="16"/>
  <c r="FB24" i="16"/>
  <c r="FE24" i="16"/>
  <c r="FH24" i="16"/>
  <c r="FK24" i="16"/>
  <c r="FN24" i="16"/>
  <c r="FQ24" i="16"/>
  <c r="FT24" i="16"/>
  <c r="FW24" i="16"/>
  <c r="FZ24" i="16"/>
  <c r="GC24" i="16"/>
  <c r="GF24" i="16"/>
  <c r="GI24" i="16"/>
  <c r="GL24" i="16"/>
  <c r="GO24" i="16"/>
  <c r="GR24" i="16"/>
  <c r="GU24" i="16"/>
  <c r="GX24" i="16"/>
  <c r="HA24" i="16"/>
  <c r="HD24" i="16"/>
  <c r="HG24" i="16"/>
  <c r="HJ24" i="16"/>
  <c r="HM24" i="16"/>
  <c r="HP24" i="16"/>
  <c r="HS24" i="16"/>
  <c r="HV24" i="16"/>
  <c r="HY24" i="16"/>
  <c r="IB24" i="16"/>
  <c r="IE24" i="16"/>
  <c r="IH24" i="16"/>
  <c r="IK24" i="16"/>
  <c r="IN24" i="16"/>
  <c r="IQ24" i="16"/>
  <c r="IT24" i="16"/>
  <c r="IW24" i="16"/>
  <c r="IZ24" i="16"/>
  <c r="JC24" i="16"/>
  <c r="JF24" i="16"/>
  <c r="JI24" i="16"/>
  <c r="JL24" i="16"/>
  <c r="JO24" i="16"/>
  <c r="JR24" i="16"/>
  <c r="JU24" i="16"/>
  <c r="JX24" i="16"/>
  <c r="KA24" i="16"/>
  <c r="KD24" i="16"/>
  <c r="KG24" i="16"/>
  <c r="KJ24" i="16"/>
  <c r="A25" i="16"/>
  <c r="B25" i="16"/>
  <c r="E25" i="16"/>
  <c r="H25" i="16"/>
  <c r="K25" i="16"/>
  <c r="N25" i="16"/>
  <c r="Q25" i="16"/>
  <c r="T25" i="16"/>
  <c r="W25" i="16"/>
  <c r="Z25" i="16"/>
  <c r="AC25" i="16"/>
  <c r="AF25" i="16"/>
  <c r="AI25" i="16"/>
  <c r="AL25" i="16"/>
  <c r="AO25" i="16"/>
  <c r="AR25" i="16"/>
  <c r="AU25" i="16"/>
  <c r="AX25" i="16"/>
  <c r="BA25" i="16"/>
  <c r="BD25" i="16"/>
  <c r="BG25" i="16"/>
  <c r="BJ25" i="16"/>
  <c r="BM25" i="16"/>
  <c r="BP25" i="16"/>
  <c r="BS25" i="16"/>
  <c r="BV25" i="16"/>
  <c r="BY25" i="16"/>
  <c r="CB25" i="16"/>
  <c r="CE25" i="16"/>
  <c r="CH25" i="16"/>
  <c r="CK25" i="16"/>
  <c r="CN25" i="16"/>
  <c r="CQ25" i="16"/>
  <c r="CT25" i="16"/>
  <c r="CW25" i="16"/>
  <c r="CZ25" i="16"/>
  <c r="DC25" i="16"/>
  <c r="DF25" i="16"/>
  <c r="DI25" i="16"/>
  <c r="DL25" i="16"/>
  <c r="DO25" i="16"/>
  <c r="DR25" i="16"/>
  <c r="DU25" i="16"/>
  <c r="DX25" i="16"/>
  <c r="EA25" i="16"/>
  <c r="ED25" i="16"/>
  <c r="EG25" i="16"/>
  <c r="EJ25" i="16"/>
  <c r="EM25" i="16"/>
  <c r="EP25" i="16"/>
  <c r="ES25" i="16"/>
  <c r="EV25" i="16"/>
  <c r="EY25" i="16"/>
  <c r="FB25" i="16"/>
  <c r="FE25" i="16"/>
  <c r="FH25" i="16"/>
  <c r="FK25" i="16"/>
  <c r="FN25" i="16"/>
  <c r="FQ25" i="16"/>
  <c r="FT25" i="16"/>
  <c r="FW25" i="16"/>
  <c r="FZ25" i="16"/>
  <c r="GC25" i="16"/>
  <c r="GF25" i="16"/>
  <c r="GI25" i="16"/>
  <c r="GL25" i="16"/>
  <c r="GO25" i="16"/>
  <c r="GR25" i="16"/>
  <c r="GU25" i="16"/>
  <c r="GX25" i="16"/>
  <c r="HA25" i="16"/>
  <c r="HD25" i="16"/>
  <c r="HG25" i="16"/>
  <c r="HJ25" i="16"/>
  <c r="HM25" i="16"/>
  <c r="HP25" i="16"/>
  <c r="HS25" i="16"/>
  <c r="HV25" i="16"/>
  <c r="HY25" i="16"/>
  <c r="IB25" i="16"/>
  <c r="IE25" i="16"/>
  <c r="IH25" i="16"/>
  <c r="IK25" i="16"/>
  <c r="IN25" i="16"/>
  <c r="IQ25" i="16"/>
  <c r="IT25" i="16"/>
  <c r="IW25" i="16"/>
  <c r="IZ25" i="16"/>
  <c r="JC25" i="16"/>
  <c r="JF25" i="16"/>
  <c r="JI25" i="16"/>
  <c r="JL25" i="16"/>
  <c r="JO25" i="16"/>
  <c r="JR25" i="16"/>
  <c r="JU25" i="16"/>
  <c r="JX25" i="16"/>
  <c r="KA25" i="16"/>
  <c r="KD25" i="16"/>
  <c r="KG25" i="16"/>
  <c r="KJ25" i="16"/>
  <c r="A26" i="16"/>
  <c r="B26" i="16"/>
  <c r="E26" i="16"/>
  <c r="H26" i="16"/>
  <c r="K26" i="16"/>
  <c r="N26" i="16"/>
  <c r="Q26" i="16"/>
  <c r="T26" i="16"/>
  <c r="W26" i="16"/>
  <c r="Z26" i="16"/>
  <c r="AC26" i="16"/>
  <c r="AF26" i="16"/>
  <c r="AI26" i="16"/>
  <c r="AL26" i="16"/>
  <c r="AO26" i="16"/>
  <c r="AR26" i="16"/>
  <c r="AU26" i="16"/>
  <c r="AX26" i="16"/>
  <c r="BA26" i="16"/>
  <c r="BD26" i="16"/>
  <c r="BG26" i="16"/>
  <c r="BJ26" i="16"/>
  <c r="BM26" i="16"/>
  <c r="BP26" i="16"/>
  <c r="BS26" i="16"/>
  <c r="BV26" i="16"/>
  <c r="BY26" i="16"/>
  <c r="CB26" i="16"/>
  <c r="CE26" i="16"/>
  <c r="CH26" i="16"/>
  <c r="CK26" i="16"/>
  <c r="CN26" i="16"/>
  <c r="CQ26" i="16"/>
  <c r="CT26" i="16"/>
  <c r="CW26" i="16"/>
  <c r="CZ26" i="16"/>
  <c r="DC26" i="16"/>
  <c r="DF26" i="16"/>
  <c r="DI26" i="16"/>
  <c r="DL26" i="16"/>
  <c r="DO26" i="16"/>
  <c r="DR26" i="16"/>
  <c r="DU26" i="16"/>
  <c r="DX26" i="16"/>
  <c r="EA26" i="16"/>
  <c r="ED26" i="16"/>
  <c r="EG26" i="16"/>
  <c r="EJ26" i="16"/>
  <c r="EM26" i="16"/>
  <c r="EP26" i="16"/>
  <c r="ES26" i="16"/>
  <c r="EV26" i="16"/>
  <c r="EY26" i="16"/>
  <c r="FB26" i="16"/>
  <c r="FE26" i="16"/>
  <c r="FH26" i="16"/>
  <c r="FK26" i="16"/>
  <c r="FN26" i="16"/>
  <c r="FQ26" i="16"/>
  <c r="FT26" i="16"/>
  <c r="FW26" i="16"/>
  <c r="FZ26" i="16"/>
  <c r="GC26" i="16"/>
  <c r="GF26" i="16"/>
  <c r="GI26" i="16"/>
  <c r="GL26" i="16"/>
  <c r="GO26" i="16"/>
  <c r="GR26" i="16"/>
  <c r="GU26" i="16"/>
  <c r="GX26" i="16"/>
  <c r="HA26" i="16"/>
  <c r="HD26" i="16"/>
  <c r="HG26" i="16"/>
  <c r="HJ26" i="16"/>
  <c r="HM26" i="16"/>
  <c r="HP26" i="16"/>
  <c r="HS26" i="16"/>
  <c r="HV26" i="16"/>
  <c r="HY26" i="16"/>
  <c r="IB26" i="16"/>
  <c r="IE26" i="16"/>
  <c r="IH26" i="16"/>
  <c r="IK26" i="16"/>
  <c r="IN26" i="16"/>
  <c r="IQ26" i="16"/>
  <c r="IT26" i="16"/>
  <c r="IW26" i="16"/>
  <c r="IZ26" i="16"/>
  <c r="JC26" i="16"/>
  <c r="JF26" i="16"/>
  <c r="JI26" i="16"/>
  <c r="JL26" i="16"/>
  <c r="JO26" i="16"/>
  <c r="JR26" i="16"/>
  <c r="JU26" i="16"/>
  <c r="JX26" i="16"/>
  <c r="KA26" i="16"/>
  <c r="KD26" i="16"/>
  <c r="KG26" i="16"/>
  <c r="KJ26" i="16"/>
  <c r="A27" i="16"/>
  <c r="B27" i="16"/>
  <c r="E27" i="16"/>
  <c r="H27" i="16"/>
  <c r="K27" i="16"/>
  <c r="N27" i="16"/>
  <c r="Q27" i="16"/>
  <c r="T27" i="16"/>
  <c r="W27" i="16"/>
  <c r="Z27" i="16"/>
  <c r="AC27" i="16"/>
  <c r="AF27" i="16"/>
  <c r="AI27" i="16"/>
  <c r="AL27" i="16"/>
  <c r="AO27" i="16"/>
  <c r="AR27" i="16"/>
  <c r="AU27" i="16"/>
  <c r="AX27" i="16"/>
  <c r="BA27" i="16"/>
  <c r="BD27" i="16"/>
  <c r="BG27" i="16"/>
  <c r="BJ27" i="16"/>
  <c r="BM27" i="16"/>
  <c r="BP27" i="16"/>
  <c r="BS27" i="16"/>
  <c r="BV27" i="16"/>
  <c r="BY27" i="16"/>
  <c r="CB27" i="16"/>
  <c r="CE27" i="16"/>
  <c r="CH27" i="16"/>
  <c r="CK27" i="16"/>
  <c r="CN27" i="16"/>
  <c r="CQ27" i="16"/>
  <c r="CT27" i="16"/>
  <c r="CW27" i="16"/>
  <c r="CZ27" i="16"/>
  <c r="DC27" i="16"/>
  <c r="DF27" i="16"/>
  <c r="DI27" i="16"/>
  <c r="DL27" i="16"/>
  <c r="DO27" i="16"/>
  <c r="DR27" i="16"/>
  <c r="DU27" i="16"/>
  <c r="DX27" i="16"/>
  <c r="EA27" i="16"/>
  <c r="ED27" i="16"/>
  <c r="EG27" i="16"/>
  <c r="EJ27" i="16"/>
  <c r="EM27" i="16"/>
  <c r="EP27" i="16"/>
  <c r="ES27" i="16"/>
  <c r="EV27" i="16"/>
  <c r="EY27" i="16"/>
  <c r="FB27" i="16"/>
  <c r="FE27" i="16"/>
  <c r="FH27" i="16"/>
  <c r="FK27" i="16"/>
  <c r="FN27" i="16"/>
  <c r="FQ27" i="16"/>
  <c r="FT27" i="16"/>
  <c r="FW27" i="16"/>
  <c r="FZ27" i="16"/>
  <c r="GC27" i="16"/>
  <c r="GF27" i="16"/>
  <c r="GI27" i="16"/>
  <c r="GL27" i="16"/>
  <c r="GO27" i="16"/>
  <c r="GR27" i="16"/>
  <c r="GU27" i="16"/>
  <c r="GX27" i="16"/>
  <c r="HA27" i="16"/>
  <c r="HD27" i="16"/>
  <c r="HG27" i="16"/>
  <c r="HJ27" i="16"/>
  <c r="HM27" i="16"/>
  <c r="HP27" i="16"/>
  <c r="HS27" i="16"/>
  <c r="HV27" i="16"/>
  <c r="HY27" i="16"/>
  <c r="IB27" i="16"/>
  <c r="IE27" i="16"/>
  <c r="IH27" i="16"/>
  <c r="IK27" i="16"/>
  <c r="IN27" i="16"/>
  <c r="IQ27" i="16"/>
  <c r="IT27" i="16"/>
  <c r="IW27" i="16"/>
  <c r="IZ27" i="16"/>
  <c r="JC27" i="16"/>
  <c r="JF27" i="16"/>
  <c r="JI27" i="16"/>
  <c r="JL27" i="16"/>
  <c r="JO27" i="16"/>
  <c r="JR27" i="16"/>
  <c r="JU27" i="16"/>
  <c r="JX27" i="16"/>
  <c r="KA27" i="16"/>
  <c r="KD27" i="16"/>
  <c r="KG27" i="16"/>
  <c r="KJ27" i="16"/>
  <c r="A28" i="16"/>
  <c r="B28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AJ28" i="16"/>
  <c r="AK28" i="16"/>
  <c r="AL28" i="16"/>
  <c r="AM28" i="16"/>
  <c r="AN28" i="16"/>
  <c r="AO28" i="16"/>
  <c r="AP28" i="16"/>
  <c r="AQ28" i="16"/>
  <c r="AR28" i="16"/>
  <c r="AS28" i="16"/>
  <c r="AT28" i="16"/>
  <c r="AU28" i="16"/>
  <c r="AV28" i="16"/>
  <c r="AW28" i="16"/>
  <c r="AX28" i="16"/>
  <c r="AY28" i="16"/>
  <c r="AZ28" i="16"/>
  <c r="BA28" i="16"/>
  <c r="BB28" i="16"/>
  <c r="BC28" i="16"/>
  <c r="BD28" i="16"/>
  <c r="BE28" i="16"/>
  <c r="BF28" i="16"/>
  <c r="BG28" i="16"/>
  <c r="BH28" i="16"/>
  <c r="BI28" i="16"/>
  <c r="BJ28" i="16"/>
  <c r="BK28" i="16"/>
  <c r="BL28" i="16"/>
  <c r="BM28" i="16"/>
  <c r="BN28" i="16"/>
  <c r="BO28" i="16"/>
  <c r="BP28" i="16"/>
  <c r="BQ28" i="16"/>
  <c r="BR28" i="16"/>
  <c r="BS28" i="16"/>
  <c r="BT28" i="16"/>
  <c r="BU28" i="16"/>
  <c r="BV28" i="16"/>
  <c r="BW28" i="16"/>
  <c r="BX28" i="16"/>
  <c r="BY28" i="16"/>
  <c r="BZ28" i="16"/>
  <c r="CA28" i="16"/>
  <c r="CB28" i="16"/>
  <c r="CC28" i="16"/>
  <c r="CD28" i="16"/>
  <c r="CE28" i="16"/>
  <c r="CF28" i="16"/>
  <c r="CG28" i="16"/>
  <c r="CH28" i="16"/>
  <c r="CI28" i="16"/>
  <c r="CJ28" i="16"/>
  <c r="CK28" i="16"/>
  <c r="CL28" i="16"/>
  <c r="CM28" i="16"/>
  <c r="CN28" i="16"/>
  <c r="CO28" i="16"/>
  <c r="CP28" i="16"/>
  <c r="CQ28" i="16"/>
  <c r="CR28" i="16"/>
  <c r="CS28" i="16"/>
  <c r="CT28" i="16"/>
  <c r="CU28" i="16"/>
  <c r="CV28" i="16"/>
  <c r="CW28" i="16"/>
  <c r="CX28" i="16"/>
  <c r="CY28" i="16"/>
  <c r="CZ28" i="16"/>
  <c r="DA28" i="16"/>
  <c r="DB28" i="16"/>
  <c r="DC28" i="16"/>
  <c r="DD28" i="16"/>
  <c r="DE28" i="16"/>
  <c r="DF28" i="16"/>
  <c r="DG28" i="16"/>
  <c r="DH28" i="16"/>
  <c r="DI28" i="16"/>
  <c r="DJ28" i="16"/>
  <c r="DK28" i="16"/>
  <c r="DL28" i="16"/>
  <c r="DM28" i="16"/>
  <c r="DN28" i="16"/>
  <c r="DO28" i="16"/>
  <c r="DP28" i="16"/>
  <c r="DQ28" i="16"/>
  <c r="DR28" i="16"/>
  <c r="DS28" i="16"/>
  <c r="DT28" i="16"/>
  <c r="DU28" i="16"/>
  <c r="DV28" i="16"/>
  <c r="DW28" i="16"/>
  <c r="DX28" i="16"/>
  <c r="DY28" i="16"/>
  <c r="DZ28" i="16"/>
  <c r="EA28" i="16"/>
  <c r="EB28" i="16"/>
  <c r="EC28" i="16"/>
  <c r="ED28" i="16"/>
  <c r="EE28" i="16"/>
  <c r="EF28" i="16"/>
  <c r="EG28" i="16"/>
  <c r="EH28" i="16"/>
  <c r="EI28" i="16"/>
  <c r="EJ28" i="16"/>
  <c r="EK28" i="16"/>
  <c r="EL28" i="16"/>
  <c r="EM28" i="16"/>
  <c r="EN28" i="16"/>
  <c r="EO28" i="16"/>
  <c r="EP28" i="16"/>
  <c r="EQ28" i="16"/>
  <c r="ER28" i="16"/>
  <c r="ES28" i="16"/>
  <c r="ET28" i="16"/>
  <c r="EU28" i="16"/>
  <c r="EV28" i="16"/>
  <c r="EW28" i="16"/>
  <c r="EX28" i="16"/>
  <c r="EY28" i="16"/>
  <c r="EZ28" i="16"/>
  <c r="FA28" i="16"/>
  <c r="FB28" i="16"/>
  <c r="FC28" i="16"/>
  <c r="FD28" i="16"/>
  <c r="FE28" i="16"/>
  <c r="FF28" i="16"/>
  <c r="FG28" i="16"/>
  <c r="FH28" i="16"/>
  <c r="FI28" i="16"/>
  <c r="FJ28" i="16"/>
  <c r="FK28" i="16"/>
  <c r="FL28" i="16"/>
  <c r="FM28" i="16"/>
  <c r="FN28" i="16"/>
  <c r="FO28" i="16"/>
  <c r="FP28" i="16"/>
  <c r="FQ28" i="16"/>
  <c r="FR28" i="16"/>
  <c r="FS28" i="16"/>
  <c r="FT28" i="16"/>
  <c r="FU28" i="16"/>
  <c r="FV28" i="16"/>
  <c r="FW28" i="16"/>
  <c r="FX28" i="16"/>
  <c r="FY28" i="16"/>
  <c r="FZ28" i="16"/>
  <c r="GA28" i="16"/>
  <c r="GB28" i="16"/>
  <c r="GC28" i="16"/>
  <c r="GD28" i="16"/>
  <c r="GE28" i="16"/>
  <c r="GF28" i="16"/>
  <c r="GG28" i="16"/>
  <c r="GH28" i="16"/>
  <c r="GI28" i="16"/>
  <c r="GJ28" i="16"/>
  <c r="GK28" i="16"/>
  <c r="GL28" i="16"/>
  <c r="GM28" i="16"/>
  <c r="GN28" i="16"/>
  <c r="GO28" i="16"/>
  <c r="GP28" i="16"/>
  <c r="GQ28" i="16"/>
  <c r="A29" i="16"/>
  <c r="CX101" i="12"/>
  <c r="CW101" i="12"/>
  <c r="CV101" i="12"/>
  <c r="CU101" i="12"/>
  <c r="CT101" i="12"/>
  <c r="CS101" i="12"/>
  <c r="CR101" i="12"/>
  <c r="CQ101" i="12"/>
  <c r="CP101" i="12"/>
  <c r="CO101" i="12"/>
  <c r="CN101" i="12"/>
  <c r="CM101" i="12"/>
  <c r="CL101" i="12"/>
  <c r="CK101" i="12"/>
  <c r="CJ101" i="12"/>
  <c r="CI101" i="12"/>
  <c r="CH101" i="12"/>
  <c r="CG101" i="12"/>
  <c r="CF101" i="12"/>
  <c r="CE101" i="12"/>
  <c r="CD101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X100" i="12"/>
  <c r="CW100" i="12"/>
  <c r="CV100" i="12"/>
  <c r="CU100" i="12"/>
  <c r="CT100" i="12"/>
  <c r="CS100" i="12"/>
  <c r="CR100" i="12"/>
  <c r="CQ100" i="12"/>
  <c r="CP100" i="12"/>
  <c r="CO100" i="12"/>
  <c r="CN100" i="12"/>
  <c r="CM100" i="12"/>
  <c r="CL100" i="12"/>
  <c r="CK100" i="12"/>
  <c r="CJ100" i="12"/>
  <c r="CI100" i="12"/>
  <c r="CH100" i="12"/>
  <c r="CG100" i="12"/>
  <c r="CF100" i="12"/>
  <c r="CE100" i="12"/>
  <c r="CD100" i="12"/>
  <c r="CC100" i="12"/>
  <c r="CB100" i="12"/>
  <c r="CA100" i="12"/>
  <c r="BZ100" i="12"/>
  <c r="BY100" i="12"/>
  <c r="BX100" i="12"/>
  <c r="BW100" i="12"/>
  <c r="BV100" i="12"/>
  <c r="BU100" i="12"/>
  <c r="BT100" i="12"/>
  <c r="BS100" i="12"/>
  <c r="BR100" i="12"/>
  <c r="BQ100" i="12"/>
  <c r="BP100" i="12"/>
  <c r="BO100" i="12"/>
  <c r="BN100" i="12"/>
  <c r="BM100" i="12"/>
  <c r="BL100" i="12"/>
  <c r="BK100" i="12"/>
  <c r="BJ100" i="12"/>
  <c r="BI100" i="12"/>
  <c r="BH100" i="12"/>
  <c r="BG100" i="12"/>
  <c r="BF100" i="12"/>
  <c r="BE100" i="12"/>
  <c r="BD100" i="12"/>
  <c r="BC100" i="12"/>
  <c r="BB100" i="12"/>
  <c r="BA100" i="12"/>
  <c r="AZ100" i="12"/>
  <c r="AY100" i="12"/>
  <c r="AX100" i="12"/>
  <c r="AW100" i="12"/>
  <c r="AV100" i="12"/>
  <c r="AU100" i="12"/>
  <c r="AT100" i="12"/>
  <c r="AS100" i="12"/>
  <c r="AR100" i="12"/>
  <c r="AQ100" i="12"/>
  <c r="AP100" i="12"/>
  <c r="AO100" i="12"/>
  <c r="AN100" i="12"/>
  <c r="AM100" i="12"/>
  <c r="AL100" i="12"/>
  <c r="AK100" i="12"/>
  <c r="AJ100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X99" i="12"/>
  <c r="CW99" i="12"/>
  <c r="CV99" i="12"/>
  <c r="CU99" i="12"/>
  <c r="CT99" i="12"/>
  <c r="CS99" i="12"/>
  <c r="CR99" i="12"/>
  <c r="CQ99" i="12"/>
  <c r="CP99" i="12"/>
  <c r="CO99" i="12"/>
  <c r="CN99" i="12"/>
  <c r="CM99" i="12"/>
  <c r="CL99" i="12"/>
  <c r="CK99" i="12"/>
  <c r="CJ99" i="12"/>
  <c r="CI99" i="12"/>
  <c r="CH99" i="12"/>
  <c r="CG99" i="12"/>
  <c r="CF99" i="12"/>
  <c r="CE99" i="12"/>
  <c r="CD99" i="12"/>
  <c r="CC99" i="12"/>
  <c r="CB99" i="12"/>
  <c r="CA99" i="12"/>
  <c r="BZ99" i="12"/>
  <c r="BY99" i="12"/>
  <c r="BX99" i="12"/>
  <c r="BW99" i="12"/>
  <c r="BV99" i="12"/>
  <c r="BU99" i="12"/>
  <c r="BT99" i="12"/>
  <c r="BS99" i="12"/>
  <c r="BR99" i="12"/>
  <c r="BQ99" i="12"/>
  <c r="BP99" i="12"/>
  <c r="BO99" i="12"/>
  <c r="BN99" i="12"/>
  <c r="BM99" i="12"/>
  <c r="BL99" i="12"/>
  <c r="BK99" i="12"/>
  <c r="BJ99" i="12"/>
  <c r="BI99" i="12"/>
  <c r="BH99" i="12"/>
  <c r="BG99" i="12"/>
  <c r="BF99" i="12"/>
  <c r="BE99" i="12"/>
  <c r="BD99" i="12"/>
  <c r="BC99" i="12"/>
  <c r="BB99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CX98" i="12"/>
  <c r="CW98" i="12"/>
  <c r="CV98" i="12"/>
  <c r="CU98" i="12"/>
  <c r="CT98" i="12"/>
  <c r="CS98" i="12"/>
  <c r="CR98" i="12"/>
  <c r="CQ98" i="12"/>
  <c r="CP98" i="12"/>
  <c r="CO98" i="12"/>
  <c r="CN98" i="12"/>
  <c r="CM98" i="12"/>
  <c r="CL98" i="12"/>
  <c r="CK98" i="12"/>
  <c r="CJ98" i="12"/>
  <c r="CI98" i="12"/>
  <c r="CH98" i="12"/>
  <c r="CG98" i="12"/>
  <c r="CF98" i="12"/>
  <c r="CE98" i="12"/>
  <c r="CD98" i="12"/>
  <c r="CC98" i="12"/>
  <c r="CB98" i="12"/>
  <c r="CA98" i="12"/>
  <c r="BZ98" i="12"/>
  <c r="BY98" i="12"/>
  <c r="BX98" i="12"/>
  <c r="BW98" i="12"/>
  <c r="BV98" i="12"/>
  <c r="BU98" i="12"/>
  <c r="BT98" i="12"/>
  <c r="BS98" i="12"/>
  <c r="BR98" i="12"/>
  <c r="BQ98" i="12"/>
  <c r="BP98" i="12"/>
  <c r="BO98" i="12"/>
  <c r="BN98" i="12"/>
  <c r="BM98" i="12"/>
  <c r="BL98" i="12"/>
  <c r="BK98" i="12"/>
  <c r="BJ98" i="12"/>
  <c r="BI98" i="12"/>
  <c r="BH98" i="12"/>
  <c r="BG98" i="12"/>
  <c r="BF98" i="12"/>
  <c r="BE98" i="12"/>
  <c r="BD98" i="12"/>
  <c r="BC98" i="12"/>
  <c r="BB98" i="12"/>
  <c r="BA98" i="12"/>
  <c r="AZ98" i="12"/>
  <c r="AY98" i="12"/>
  <c r="AX98" i="12"/>
  <c r="AW98" i="12"/>
  <c r="AV98" i="12"/>
  <c r="AU98" i="12"/>
  <c r="AT98" i="12"/>
  <c r="AS98" i="12"/>
  <c r="AR98" i="12"/>
  <c r="AQ98" i="12"/>
  <c r="AP98" i="12"/>
  <c r="AO98" i="12"/>
  <c r="AN98" i="12"/>
  <c r="AM98" i="12"/>
  <c r="AL98" i="12"/>
  <c r="AK98" i="12"/>
  <c r="AJ98" i="12"/>
  <c r="AI98" i="12"/>
  <c r="AH98" i="12"/>
  <c r="AG98" i="12"/>
  <c r="AF98" i="12"/>
  <c r="AE98" i="12"/>
  <c r="AD98" i="12"/>
  <c r="AC98" i="12"/>
  <c r="AB98" i="12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J98" i="12"/>
  <c r="I98" i="12"/>
  <c r="H98" i="12"/>
  <c r="G98" i="12"/>
  <c r="F98" i="12"/>
  <c r="E98" i="12"/>
  <c r="D98" i="12"/>
  <c r="CX97" i="12"/>
  <c r="CW97" i="12"/>
  <c r="CV97" i="12"/>
  <c r="CU97" i="12"/>
  <c r="CT97" i="12"/>
  <c r="CS97" i="12"/>
  <c r="CR97" i="12"/>
  <c r="CQ97" i="12"/>
  <c r="CP97" i="12"/>
  <c r="CO97" i="12"/>
  <c r="CN97" i="12"/>
  <c r="CM97" i="12"/>
  <c r="CL97" i="12"/>
  <c r="CK97" i="12"/>
  <c r="CJ97" i="12"/>
  <c r="CI97" i="12"/>
  <c r="CH97" i="12"/>
  <c r="CG97" i="12"/>
  <c r="CF97" i="12"/>
  <c r="CE97" i="12"/>
  <c r="CD97" i="12"/>
  <c r="CC97" i="12"/>
  <c r="CB97" i="12"/>
  <c r="CA97" i="12"/>
  <c r="BZ97" i="12"/>
  <c r="BY97" i="12"/>
  <c r="BX97" i="12"/>
  <c r="BW97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E97" i="12"/>
  <c r="BD97" i="12"/>
  <c r="BC97" i="12"/>
  <c r="BB97" i="12"/>
  <c r="BA97" i="12"/>
  <c r="AZ97" i="12"/>
  <c r="AY97" i="12"/>
  <c r="AX97" i="12"/>
  <c r="AW97" i="12"/>
  <c r="AV97" i="12"/>
  <c r="AU97" i="12"/>
  <c r="AT97" i="12"/>
  <c r="AS97" i="12"/>
  <c r="AR97" i="12"/>
  <c r="AQ97" i="12"/>
  <c r="AP97" i="12"/>
  <c r="AO97" i="12"/>
  <c r="AN97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J97" i="12"/>
  <c r="I97" i="12"/>
  <c r="H97" i="12"/>
  <c r="G97" i="12"/>
  <c r="F97" i="12"/>
  <c r="E97" i="12"/>
  <c r="D97" i="12"/>
  <c r="CX96" i="12"/>
  <c r="CW96" i="12"/>
  <c r="CV96" i="12"/>
  <c r="CU96" i="12"/>
  <c r="CT96" i="12"/>
  <c r="CS96" i="12"/>
  <c r="CR96" i="12"/>
  <c r="CQ96" i="12"/>
  <c r="CP96" i="12"/>
  <c r="CO96" i="12"/>
  <c r="CN96" i="12"/>
  <c r="CM96" i="12"/>
  <c r="CL96" i="12"/>
  <c r="CK96" i="12"/>
  <c r="CJ96" i="12"/>
  <c r="CI96" i="12"/>
  <c r="CH96" i="12"/>
  <c r="CG96" i="12"/>
  <c r="CF96" i="12"/>
  <c r="CE96" i="12"/>
  <c r="CD96" i="12"/>
  <c r="CC96" i="12"/>
  <c r="CB96" i="12"/>
  <c r="CA96" i="12"/>
  <c r="BZ96" i="12"/>
  <c r="BY96" i="12"/>
  <c r="BX96" i="12"/>
  <c r="BW96" i="12"/>
  <c r="BV96" i="12"/>
  <c r="BU96" i="12"/>
  <c r="BT96" i="12"/>
  <c r="BS96" i="12"/>
  <c r="BR96" i="12"/>
  <c r="BQ96" i="12"/>
  <c r="BP96" i="12"/>
  <c r="BO96" i="12"/>
  <c r="BN96" i="12"/>
  <c r="BM96" i="12"/>
  <c r="BL96" i="12"/>
  <c r="BK96" i="12"/>
  <c r="BJ96" i="12"/>
  <c r="BI96" i="12"/>
  <c r="BH96" i="12"/>
  <c r="BG96" i="12"/>
  <c r="BF96" i="12"/>
  <c r="BE96" i="12"/>
  <c r="BD96" i="12"/>
  <c r="BC96" i="12"/>
  <c r="BB96" i="12"/>
  <c r="BA96" i="12"/>
  <c r="AZ96" i="12"/>
  <c r="AY96" i="12"/>
  <c r="AX96" i="12"/>
  <c r="AW96" i="12"/>
  <c r="AV96" i="12"/>
  <c r="AU96" i="12"/>
  <c r="AT96" i="12"/>
  <c r="AS96" i="12"/>
  <c r="AR96" i="12"/>
  <c r="AQ96" i="12"/>
  <c r="AP96" i="12"/>
  <c r="AO96" i="12"/>
  <c r="AN96" i="12"/>
  <c r="AM96" i="12"/>
  <c r="AL96" i="12"/>
  <c r="AK96" i="12"/>
  <c r="AJ96" i="12"/>
  <c r="AI96" i="12"/>
  <c r="AH96" i="12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J96" i="12"/>
  <c r="I96" i="12"/>
  <c r="H96" i="12"/>
  <c r="G96" i="12"/>
  <c r="F96" i="12"/>
  <c r="E96" i="12"/>
  <c r="D96" i="12"/>
  <c r="A1" i="15"/>
  <c r="B1" i="15"/>
  <c r="C1" i="15"/>
  <c r="D1" i="15"/>
  <c r="E1" i="15"/>
  <c r="F1" i="15"/>
  <c r="G1" i="15"/>
  <c r="H1" i="15"/>
  <c r="I1" i="15"/>
  <c r="J1" i="15"/>
  <c r="K1" i="15"/>
  <c r="L1" i="15"/>
  <c r="M1" i="15"/>
  <c r="N1" i="15"/>
  <c r="O1" i="15"/>
  <c r="P1" i="15"/>
  <c r="Q1" i="15"/>
  <c r="R1" i="15"/>
  <c r="S1" i="15"/>
  <c r="T1" i="15"/>
  <c r="U1" i="15"/>
  <c r="V1" i="15"/>
  <c r="W1" i="15"/>
  <c r="X1" i="15"/>
  <c r="Y1" i="15"/>
  <c r="Z1" i="15"/>
  <c r="AA1" i="15"/>
  <c r="AB1" i="15"/>
  <c r="AC1" i="15"/>
  <c r="AD1" i="15"/>
  <c r="AE1" i="15"/>
  <c r="AF1" i="15"/>
  <c r="AG1" i="15"/>
  <c r="AH1" i="15"/>
  <c r="AI1" i="15"/>
  <c r="AJ1" i="15"/>
  <c r="AK1" i="15"/>
  <c r="AL1" i="15"/>
  <c r="AM1" i="15"/>
  <c r="AN1" i="15"/>
  <c r="AO1" i="15"/>
  <c r="AP1" i="15"/>
  <c r="AQ1" i="15"/>
  <c r="AR1" i="15"/>
  <c r="AS1" i="15"/>
  <c r="AT1" i="15"/>
  <c r="AU1" i="15"/>
  <c r="AV1" i="15"/>
  <c r="AW1" i="15"/>
  <c r="AX1" i="15"/>
  <c r="AY1" i="15"/>
  <c r="AZ1" i="15"/>
  <c r="BA1" i="15"/>
  <c r="BB1" i="15"/>
  <c r="BC1" i="15"/>
  <c r="BD1" i="15"/>
  <c r="BE1" i="15"/>
  <c r="BF1" i="15"/>
  <c r="BG1" i="15"/>
  <c r="BH1" i="15"/>
  <c r="BI1" i="15"/>
  <c r="BJ1" i="15"/>
  <c r="BK1" i="15"/>
  <c r="BL1" i="15"/>
  <c r="BM1" i="15"/>
  <c r="BN1" i="15"/>
  <c r="BO1" i="15"/>
  <c r="BP1" i="15"/>
  <c r="BQ1" i="15"/>
  <c r="BR1" i="15"/>
  <c r="BS1" i="15"/>
  <c r="BT1" i="15"/>
  <c r="BU1" i="15"/>
  <c r="BV1" i="15"/>
  <c r="BW1" i="15"/>
  <c r="BX1" i="15"/>
  <c r="BY1" i="15"/>
  <c r="BZ1" i="15"/>
  <c r="CA1" i="15"/>
  <c r="CB1" i="15"/>
  <c r="CC1" i="15"/>
  <c r="CD1" i="15"/>
  <c r="CE1" i="15"/>
  <c r="CF1" i="15"/>
  <c r="CG1" i="15"/>
  <c r="CH1" i="15"/>
  <c r="CI1" i="15"/>
  <c r="CJ1" i="15"/>
  <c r="CK1" i="15"/>
  <c r="CL1" i="15"/>
  <c r="CM1" i="15"/>
  <c r="CN1" i="15"/>
  <c r="CO1" i="15"/>
  <c r="CP1" i="15"/>
  <c r="CQ1" i="15"/>
  <c r="CR1" i="15"/>
  <c r="CS1" i="15"/>
  <c r="CT1" i="15"/>
  <c r="CU1" i="15"/>
  <c r="CV1" i="15"/>
  <c r="CW1" i="15"/>
  <c r="CX1" i="15"/>
  <c r="CY1" i="15"/>
  <c r="CZ1" i="15"/>
  <c r="DA1" i="15"/>
  <c r="DB1" i="15"/>
  <c r="DC1" i="15"/>
  <c r="DD1" i="15"/>
  <c r="DE1" i="15"/>
  <c r="DF1" i="15"/>
  <c r="DG1" i="15"/>
  <c r="DH1" i="15"/>
  <c r="DI1" i="15"/>
  <c r="DJ1" i="15"/>
  <c r="DK1" i="15"/>
  <c r="DL1" i="15"/>
  <c r="DM1" i="15"/>
  <c r="DN1" i="15"/>
  <c r="DO1" i="15"/>
  <c r="DP1" i="15"/>
  <c r="DQ1" i="15"/>
  <c r="DR1" i="15"/>
  <c r="DS1" i="15"/>
  <c r="DT1" i="15"/>
  <c r="DU1" i="15"/>
  <c r="DV1" i="15"/>
  <c r="DW1" i="15"/>
  <c r="DX1" i="15"/>
  <c r="DY1" i="15"/>
  <c r="DZ1" i="15"/>
  <c r="EA1" i="15"/>
  <c r="EB1" i="15"/>
  <c r="EC1" i="15"/>
  <c r="ED1" i="15"/>
  <c r="EE1" i="15"/>
  <c r="EF1" i="15"/>
  <c r="EG1" i="15"/>
  <c r="EH1" i="15"/>
  <c r="EI1" i="15"/>
  <c r="EJ1" i="15"/>
  <c r="EK1" i="15"/>
  <c r="EL1" i="15"/>
  <c r="EM1" i="15"/>
  <c r="EN1" i="15"/>
  <c r="EO1" i="15"/>
  <c r="EP1" i="15"/>
  <c r="EQ1" i="15"/>
  <c r="ER1" i="15"/>
  <c r="ES1" i="15"/>
  <c r="ET1" i="15"/>
  <c r="EU1" i="15"/>
  <c r="EV1" i="15"/>
  <c r="EW1" i="15"/>
  <c r="EX1" i="15"/>
  <c r="EY1" i="15"/>
  <c r="EZ1" i="15"/>
  <c r="FA1" i="15"/>
  <c r="FB1" i="15"/>
  <c r="FC1" i="15"/>
  <c r="FD1" i="15"/>
  <c r="FE1" i="15"/>
  <c r="FF1" i="15"/>
  <c r="FG1" i="15"/>
  <c r="FH1" i="15"/>
  <c r="FI1" i="15"/>
  <c r="FJ1" i="15"/>
  <c r="FK1" i="15"/>
  <c r="FL1" i="15"/>
  <c r="FM1" i="15"/>
  <c r="FN1" i="15"/>
  <c r="FO1" i="15"/>
  <c r="FP1" i="15"/>
  <c r="FQ1" i="15"/>
  <c r="FR1" i="15"/>
  <c r="FS1" i="15"/>
  <c r="FT1" i="15"/>
  <c r="FU1" i="15"/>
  <c r="FV1" i="15"/>
  <c r="FW1" i="15"/>
  <c r="FX1" i="15"/>
  <c r="FY1" i="15"/>
  <c r="FZ1" i="15"/>
  <c r="GA1" i="15"/>
  <c r="GB1" i="15"/>
  <c r="GC1" i="15"/>
  <c r="GD1" i="15"/>
  <c r="GE1" i="15"/>
  <c r="GF1" i="15"/>
  <c r="GG1" i="15"/>
  <c r="GH1" i="15"/>
  <c r="GI1" i="15"/>
  <c r="GJ1" i="15"/>
  <c r="GK1" i="15"/>
  <c r="GL1" i="15"/>
  <c r="GM1" i="15"/>
  <c r="GN1" i="15"/>
  <c r="GO1" i="15"/>
  <c r="GP1" i="15"/>
  <c r="GQ1" i="15"/>
  <c r="A2" i="15"/>
  <c r="B2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AF2" i="15"/>
  <c r="AG2" i="15"/>
  <c r="AH2" i="15"/>
  <c r="AI2" i="15"/>
  <c r="AJ2" i="15"/>
  <c r="AK2" i="15"/>
  <c r="AL2" i="15"/>
  <c r="AM2" i="15"/>
  <c r="AN2" i="15"/>
  <c r="AO2" i="15"/>
  <c r="AP2" i="15"/>
  <c r="AQ2" i="15"/>
  <c r="AR2" i="15"/>
  <c r="AS2" i="15"/>
  <c r="AT2" i="15"/>
  <c r="AU2" i="15"/>
  <c r="AV2" i="15"/>
  <c r="AW2" i="15"/>
  <c r="AX2" i="15"/>
  <c r="AY2" i="15"/>
  <c r="AZ2" i="15"/>
  <c r="BA2" i="15"/>
  <c r="BB2" i="15"/>
  <c r="BC2" i="15"/>
  <c r="BD2" i="15"/>
  <c r="BE2" i="15"/>
  <c r="BF2" i="15"/>
  <c r="BG2" i="15"/>
  <c r="BH2" i="15"/>
  <c r="BI2" i="15"/>
  <c r="BJ2" i="15"/>
  <c r="BK2" i="15"/>
  <c r="BL2" i="15"/>
  <c r="BM2" i="15"/>
  <c r="BN2" i="15"/>
  <c r="BO2" i="15"/>
  <c r="BP2" i="15"/>
  <c r="BQ2" i="15"/>
  <c r="BR2" i="15"/>
  <c r="BS2" i="15"/>
  <c r="BT2" i="15"/>
  <c r="BU2" i="15"/>
  <c r="BV2" i="15"/>
  <c r="BW2" i="15"/>
  <c r="BX2" i="15"/>
  <c r="BY2" i="15"/>
  <c r="BZ2" i="15"/>
  <c r="CA2" i="15"/>
  <c r="CB2" i="15"/>
  <c r="CC2" i="15"/>
  <c r="CD2" i="15"/>
  <c r="CE2" i="15"/>
  <c r="CF2" i="15"/>
  <c r="CG2" i="15"/>
  <c r="CH2" i="15"/>
  <c r="CI2" i="15"/>
  <c r="CJ2" i="15"/>
  <c r="CK2" i="15"/>
  <c r="CL2" i="15"/>
  <c r="CM2" i="15"/>
  <c r="CN2" i="15"/>
  <c r="CO2" i="15"/>
  <c r="CP2" i="15"/>
  <c r="CQ2" i="15"/>
  <c r="CR2" i="15"/>
  <c r="CS2" i="15"/>
  <c r="CT2" i="15"/>
  <c r="CU2" i="15"/>
  <c r="CV2" i="15"/>
  <c r="CW2" i="15"/>
  <c r="CX2" i="15"/>
  <c r="CY2" i="15"/>
  <c r="CZ2" i="15"/>
  <c r="DA2" i="15"/>
  <c r="DB2" i="15"/>
  <c r="DC2" i="15"/>
  <c r="DD2" i="15"/>
  <c r="DE2" i="15"/>
  <c r="DF2" i="15"/>
  <c r="DG2" i="15"/>
  <c r="DH2" i="15"/>
  <c r="DI2" i="15"/>
  <c r="DJ2" i="15"/>
  <c r="DK2" i="15"/>
  <c r="DL2" i="15"/>
  <c r="DM2" i="15"/>
  <c r="DN2" i="15"/>
  <c r="DO2" i="15"/>
  <c r="DP2" i="15"/>
  <c r="DQ2" i="15"/>
  <c r="DR2" i="15"/>
  <c r="DS2" i="15"/>
  <c r="DT2" i="15"/>
  <c r="DU2" i="15"/>
  <c r="DV2" i="15"/>
  <c r="DW2" i="15"/>
  <c r="DX2" i="15"/>
  <c r="DY2" i="15"/>
  <c r="DZ2" i="15"/>
  <c r="EA2" i="15"/>
  <c r="EB2" i="15"/>
  <c r="EC2" i="15"/>
  <c r="ED2" i="15"/>
  <c r="EE2" i="15"/>
  <c r="EF2" i="15"/>
  <c r="EG2" i="15"/>
  <c r="EH2" i="15"/>
  <c r="EI2" i="15"/>
  <c r="EJ2" i="15"/>
  <c r="EK2" i="15"/>
  <c r="EL2" i="15"/>
  <c r="EM2" i="15"/>
  <c r="EN2" i="15"/>
  <c r="EO2" i="15"/>
  <c r="EP2" i="15"/>
  <c r="EQ2" i="15"/>
  <c r="ER2" i="15"/>
  <c r="ES2" i="15"/>
  <c r="ET2" i="15"/>
  <c r="EU2" i="15"/>
  <c r="EV2" i="15"/>
  <c r="EW2" i="15"/>
  <c r="EX2" i="15"/>
  <c r="EY2" i="15"/>
  <c r="EZ2" i="15"/>
  <c r="FA2" i="15"/>
  <c r="FB2" i="15"/>
  <c r="FC2" i="15"/>
  <c r="FD2" i="15"/>
  <c r="FE2" i="15"/>
  <c r="FF2" i="15"/>
  <c r="FG2" i="15"/>
  <c r="FH2" i="15"/>
  <c r="FI2" i="15"/>
  <c r="FJ2" i="15"/>
  <c r="FK2" i="15"/>
  <c r="FL2" i="15"/>
  <c r="FM2" i="15"/>
  <c r="FN2" i="15"/>
  <c r="FO2" i="15"/>
  <c r="FP2" i="15"/>
  <c r="FQ2" i="15"/>
  <c r="FR2" i="15"/>
  <c r="FS2" i="15"/>
  <c r="FT2" i="15"/>
  <c r="FU2" i="15"/>
  <c r="FV2" i="15"/>
  <c r="FW2" i="15"/>
  <c r="FX2" i="15"/>
  <c r="FY2" i="15"/>
  <c r="FZ2" i="15"/>
  <c r="GA2" i="15"/>
  <c r="GB2" i="15"/>
  <c r="GC2" i="15"/>
  <c r="GD2" i="15"/>
  <c r="GE2" i="15"/>
  <c r="GF2" i="15"/>
  <c r="GG2" i="15"/>
  <c r="GH2" i="15"/>
  <c r="GI2" i="15"/>
  <c r="GJ2" i="15"/>
  <c r="GK2" i="15"/>
  <c r="GL2" i="15"/>
  <c r="GM2" i="15"/>
  <c r="GN2" i="15"/>
  <c r="GO2" i="15"/>
  <c r="GP2" i="15"/>
  <c r="GQ2" i="15"/>
  <c r="A3" i="15"/>
  <c r="B3" i="15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AH3" i="15"/>
  <c r="AI3" i="15"/>
  <c r="AJ3" i="15"/>
  <c r="AK3" i="15"/>
  <c r="AL3" i="15"/>
  <c r="AM3" i="15"/>
  <c r="AN3" i="15"/>
  <c r="AO3" i="15"/>
  <c r="AP3" i="15"/>
  <c r="AQ3" i="15"/>
  <c r="AR3" i="15"/>
  <c r="AS3" i="15"/>
  <c r="AT3" i="15"/>
  <c r="AU3" i="15"/>
  <c r="AV3" i="15"/>
  <c r="AW3" i="15"/>
  <c r="AX3" i="15"/>
  <c r="AY3" i="15"/>
  <c r="AZ3" i="15"/>
  <c r="BA3" i="15"/>
  <c r="BB3" i="15"/>
  <c r="BC3" i="15"/>
  <c r="BD3" i="15"/>
  <c r="BE3" i="15"/>
  <c r="BF3" i="15"/>
  <c r="BG3" i="15"/>
  <c r="BH3" i="15"/>
  <c r="BI3" i="15"/>
  <c r="BJ3" i="15"/>
  <c r="BK3" i="15"/>
  <c r="BL3" i="15"/>
  <c r="BM3" i="15"/>
  <c r="BN3" i="15"/>
  <c r="BO3" i="15"/>
  <c r="BP3" i="15"/>
  <c r="BQ3" i="15"/>
  <c r="BR3" i="15"/>
  <c r="BS3" i="15"/>
  <c r="BT3" i="15"/>
  <c r="BU3" i="15"/>
  <c r="BV3" i="15"/>
  <c r="BW3" i="15"/>
  <c r="BX3" i="15"/>
  <c r="BY3" i="15"/>
  <c r="BZ3" i="15"/>
  <c r="CA3" i="15"/>
  <c r="CB3" i="15"/>
  <c r="CC3" i="15"/>
  <c r="CD3" i="15"/>
  <c r="CE3" i="15"/>
  <c r="CF3" i="15"/>
  <c r="CG3" i="15"/>
  <c r="CH3" i="15"/>
  <c r="CI3" i="15"/>
  <c r="CJ3" i="15"/>
  <c r="CK3" i="15"/>
  <c r="CL3" i="15"/>
  <c r="CM3" i="15"/>
  <c r="CN3" i="15"/>
  <c r="CO3" i="15"/>
  <c r="CP3" i="15"/>
  <c r="CQ3" i="15"/>
  <c r="CR3" i="15"/>
  <c r="CS3" i="15"/>
  <c r="CT3" i="15"/>
  <c r="CU3" i="15"/>
  <c r="CV3" i="15"/>
  <c r="CW3" i="15"/>
  <c r="CX3" i="15"/>
  <c r="CY3" i="15"/>
  <c r="CZ3" i="15"/>
  <c r="DA3" i="15"/>
  <c r="DB3" i="15"/>
  <c r="DC3" i="15"/>
  <c r="DD3" i="15"/>
  <c r="DE3" i="15"/>
  <c r="DF3" i="15"/>
  <c r="DG3" i="15"/>
  <c r="DH3" i="15"/>
  <c r="DI3" i="15"/>
  <c r="DJ3" i="15"/>
  <c r="DK3" i="15"/>
  <c r="DL3" i="15"/>
  <c r="DM3" i="15"/>
  <c r="DN3" i="15"/>
  <c r="DO3" i="15"/>
  <c r="DP3" i="15"/>
  <c r="DQ3" i="15"/>
  <c r="DR3" i="15"/>
  <c r="DS3" i="15"/>
  <c r="DT3" i="15"/>
  <c r="DU3" i="15"/>
  <c r="DV3" i="15"/>
  <c r="DW3" i="15"/>
  <c r="DX3" i="15"/>
  <c r="DY3" i="15"/>
  <c r="DZ3" i="15"/>
  <c r="EA3" i="15"/>
  <c r="EB3" i="15"/>
  <c r="EC3" i="15"/>
  <c r="ED3" i="15"/>
  <c r="EE3" i="15"/>
  <c r="EF3" i="15"/>
  <c r="EG3" i="15"/>
  <c r="EH3" i="15"/>
  <c r="EI3" i="15"/>
  <c r="EJ3" i="15"/>
  <c r="EK3" i="15"/>
  <c r="EL3" i="15"/>
  <c r="EM3" i="15"/>
  <c r="EN3" i="15"/>
  <c r="EO3" i="15"/>
  <c r="EP3" i="15"/>
  <c r="EQ3" i="15"/>
  <c r="ER3" i="15"/>
  <c r="ES3" i="15"/>
  <c r="ET3" i="15"/>
  <c r="EU3" i="15"/>
  <c r="EV3" i="15"/>
  <c r="EW3" i="15"/>
  <c r="EX3" i="15"/>
  <c r="EY3" i="15"/>
  <c r="EZ3" i="15"/>
  <c r="FA3" i="15"/>
  <c r="FB3" i="15"/>
  <c r="FC3" i="15"/>
  <c r="FD3" i="15"/>
  <c r="FE3" i="15"/>
  <c r="FF3" i="15"/>
  <c r="FG3" i="15"/>
  <c r="FH3" i="15"/>
  <c r="FI3" i="15"/>
  <c r="FJ3" i="15"/>
  <c r="FK3" i="15"/>
  <c r="FL3" i="15"/>
  <c r="FM3" i="15"/>
  <c r="FN3" i="15"/>
  <c r="FO3" i="15"/>
  <c r="FP3" i="15"/>
  <c r="FQ3" i="15"/>
  <c r="FR3" i="15"/>
  <c r="FS3" i="15"/>
  <c r="FT3" i="15"/>
  <c r="FU3" i="15"/>
  <c r="FV3" i="15"/>
  <c r="FW3" i="15"/>
  <c r="FX3" i="15"/>
  <c r="FY3" i="15"/>
  <c r="FZ3" i="15"/>
  <c r="GA3" i="15"/>
  <c r="GB3" i="15"/>
  <c r="GC3" i="15"/>
  <c r="GD3" i="15"/>
  <c r="GE3" i="15"/>
  <c r="GF3" i="15"/>
  <c r="GG3" i="15"/>
  <c r="GH3" i="15"/>
  <c r="GI3" i="15"/>
  <c r="GJ3" i="15"/>
  <c r="GK3" i="15"/>
  <c r="GL3" i="15"/>
  <c r="GM3" i="15"/>
  <c r="GN3" i="15"/>
  <c r="GO3" i="15"/>
  <c r="GP3" i="15"/>
  <c r="GQ3" i="15"/>
  <c r="A4" i="15"/>
  <c r="B4" i="15"/>
  <c r="E4" i="15"/>
  <c r="H4" i="15"/>
  <c r="K4" i="15"/>
  <c r="N4" i="15"/>
  <c r="Q4" i="15"/>
  <c r="T4" i="15"/>
  <c r="W4" i="15"/>
  <c r="Z4" i="15"/>
  <c r="AC4" i="15"/>
  <c r="AF4" i="15"/>
  <c r="AI4" i="15"/>
  <c r="AL4" i="15"/>
  <c r="AO4" i="15"/>
  <c r="AR4" i="15"/>
  <c r="AU4" i="15"/>
  <c r="AX4" i="15"/>
  <c r="BA4" i="15"/>
  <c r="BD4" i="15"/>
  <c r="BG4" i="15"/>
  <c r="BJ4" i="15"/>
  <c r="BM4" i="15"/>
  <c r="BP4" i="15"/>
  <c r="BS4" i="15"/>
  <c r="BV4" i="15"/>
  <c r="BY4" i="15"/>
  <c r="CB4" i="15"/>
  <c r="CE4" i="15"/>
  <c r="CH4" i="15"/>
  <c r="CK4" i="15"/>
  <c r="CN4" i="15"/>
  <c r="CQ4" i="15"/>
  <c r="CT4" i="15"/>
  <c r="CW4" i="15"/>
  <c r="CZ4" i="15"/>
  <c r="DC4" i="15"/>
  <c r="DF4" i="15"/>
  <c r="DI4" i="15"/>
  <c r="DL4" i="15"/>
  <c r="DO4" i="15"/>
  <c r="DR4" i="15"/>
  <c r="DU4" i="15"/>
  <c r="DX4" i="15"/>
  <c r="EA4" i="15"/>
  <c r="ED4" i="15"/>
  <c r="EG4" i="15"/>
  <c r="EJ4" i="15"/>
  <c r="EM4" i="15"/>
  <c r="EP4" i="15"/>
  <c r="ES4" i="15"/>
  <c r="EV4" i="15"/>
  <c r="EY4" i="15"/>
  <c r="FB4" i="15"/>
  <c r="FE4" i="15"/>
  <c r="FH4" i="15"/>
  <c r="FK4" i="15"/>
  <c r="FN4" i="15"/>
  <c r="FQ4" i="15"/>
  <c r="FT4" i="15"/>
  <c r="FW4" i="15"/>
  <c r="FZ4" i="15"/>
  <c r="GC4" i="15"/>
  <c r="GF4" i="15"/>
  <c r="GI4" i="15"/>
  <c r="GL4" i="15"/>
  <c r="GO4" i="15"/>
  <c r="GR4" i="15"/>
  <c r="GU4" i="15"/>
  <c r="GX4" i="15"/>
  <c r="HA4" i="15"/>
  <c r="HD4" i="15"/>
  <c r="HG4" i="15"/>
  <c r="HJ4" i="15"/>
  <c r="HM4" i="15"/>
  <c r="HP4" i="15"/>
  <c r="HS4" i="15"/>
  <c r="HV4" i="15"/>
  <c r="HY4" i="15"/>
  <c r="IB4" i="15"/>
  <c r="IE4" i="15"/>
  <c r="IH4" i="15"/>
  <c r="IK4" i="15"/>
  <c r="IN4" i="15"/>
  <c r="IQ4" i="15"/>
  <c r="IT4" i="15"/>
  <c r="IW4" i="15"/>
  <c r="IZ4" i="15"/>
  <c r="JC4" i="15"/>
  <c r="JF4" i="15"/>
  <c r="JI4" i="15"/>
  <c r="JL4" i="15"/>
  <c r="JO4" i="15"/>
  <c r="JR4" i="15"/>
  <c r="JU4" i="15"/>
  <c r="JX4" i="15"/>
  <c r="KA4" i="15"/>
  <c r="KD4" i="15"/>
  <c r="KG4" i="15"/>
  <c r="KJ4" i="15"/>
  <c r="A5" i="15"/>
  <c r="B5" i="15"/>
  <c r="E5" i="15"/>
  <c r="H5" i="15"/>
  <c r="K5" i="15"/>
  <c r="N5" i="15"/>
  <c r="Q5" i="15"/>
  <c r="T5" i="15"/>
  <c r="W5" i="15"/>
  <c r="Z5" i="15"/>
  <c r="AC5" i="15"/>
  <c r="AF5" i="15"/>
  <c r="AI5" i="15"/>
  <c r="AL5" i="15"/>
  <c r="AO5" i="15"/>
  <c r="AR5" i="15"/>
  <c r="AU5" i="15"/>
  <c r="AX5" i="15"/>
  <c r="BA5" i="15"/>
  <c r="BD5" i="15"/>
  <c r="BG5" i="15"/>
  <c r="BJ5" i="15"/>
  <c r="BM5" i="15"/>
  <c r="BP5" i="15"/>
  <c r="BS5" i="15"/>
  <c r="BV5" i="15"/>
  <c r="BY5" i="15"/>
  <c r="CB5" i="15"/>
  <c r="CE5" i="15"/>
  <c r="CH5" i="15"/>
  <c r="CK5" i="15"/>
  <c r="CN5" i="15"/>
  <c r="CQ5" i="15"/>
  <c r="CT5" i="15"/>
  <c r="CW5" i="15"/>
  <c r="CZ5" i="15"/>
  <c r="DC5" i="15"/>
  <c r="DF5" i="15"/>
  <c r="DI5" i="15"/>
  <c r="DL5" i="15"/>
  <c r="DO5" i="15"/>
  <c r="DR5" i="15"/>
  <c r="DU5" i="15"/>
  <c r="DX5" i="15"/>
  <c r="EA5" i="15"/>
  <c r="ED5" i="15"/>
  <c r="EG5" i="15"/>
  <c r="EJ5" i="15"/>
  <c r="EM5" i="15"/>
  <c r="EP5" i="15"/>
  <c r="ES5" i="15"/>
  <c r="EV5" i="15"/>
  <c r="EY5" i="15"/>
  <c r="FB5" i="15"/>
  <c r="FE5" i="15"/>
  <c r="FH5" i="15"/>
  <c r="FK5" i="15"/>
  <c r="FN5" i="15"/>
  <c r="FQ5" i="15"/>
  <c r="FT5" i="15"/>
  <c r="FW5" i="15"/>
  <c r="FZ5" i="15"/>
  <c r="GC5" i="15"/>
  <c r="GF5" i="15"/>
  <c r="GI5" i="15"/>
  <c r="GL5" i="15"/>
  <c r="GO5" i="15"/>
  <c r="GR5" i="15"/>
  <c r="GU5" i="15"/>
  <c r="GX5" i="15"/>
  <c r="HA5" i="15"/>
  <c r="HD5" i="15"/>
  <c r="HG5" i="15"/>
  <c r="HJ5" i="15"/>
  <c r="HM5" i="15"/>
  <c r="HP5" i="15"/>
  <c r="HS5" i="15"/>
  <c r="HV5" i="15"/>
  <c r="HY5" i="15"/>
  <c r="IB5" i="15"/>
  <c r="IE5" i="15"/>
  <c r="IH5" i="15"/>
  <c r="IK5" i="15"/>
  <c r="IN5" i="15"/>
  <c r="IQ5" i="15"/>
  <c r="IT5" i="15"/>
  <c r="IW5" i="15"/>
  <c r="IZ5" i="15"/>
  <c r="JC5" i="15"/>
  <c r="JF5" i="15"/>
  <c r="JI5" i="15"/>
  <c r="JL5" i="15"/>
  <c r="JO5" i="15"/>
  <c r="JR5" i="15"/>
  <c r="JU5" i="15"/>
  <c r="JX5" i="15"/>
  <c r="KA5" i="15"/>
  <c r="KD5" i="15"/>
  <c r="KG5" i="15"/>
  <c r="KJ5" i="15"/>
  <c r="A6" i="15"/>
  <c r="B6" i="15"/>
  <c r="E6" i="15"/>
  <c r="H6" i="15"/>
  <c r="K6" i="15"/>
  <c r="N6" i="15"/>
  <c r="Q6" i="15"/>
  <c r="T6" i="15"/>
  <c r="W6" i="15"/>
  <c r="Z6" i="15"/>
  <c r="AC6" i="15"/>
  <c r="AF6" i="15"/>
  <c r="AI6" i="15"/>
  <c r="AL6" i="15"/>
  <c r="AO6" i="15"/>
  <c r="AR6" i="15"/>
  <c r="AU6" i="15"/>
  <c r="AX6" i="15"/>
  <c r="BA6" i="15"/>
  <c r="BD6" i="15"/>
  <c r="BG6" i="15"/>
  <c r="BJ6" i="15"/>
  <c r="BM6" i="15"/>
  <c r="BP6" i="15"/>
  <c r="BS6" i="15"/>
  <c r="BV6" i="15"/>
  <c r="BY6" i="15"/>
  <c r="CB6" i="15"/>
  <c r="CE6" i="15"/>
  <c r="CH6" i="15"/>
  <c r="CK6" i="15"/>
  <c r="CN6" i="15"/>
  <c r="CQ6" i="15"/>
  <c r="CT6" i="15"/>
  <c r="CW6" i="15"/>
  <c r="CZ6" i="15"/>
  <c r="DC6" i="15"/>
  <c r="DF6" i="15"/>
  <c r="DI6" i="15"/>
  <c r="DL6" i="15"/>
  <c r="DO6" i="15"/>
  <c r="DR6" i="15"/>
  <c r="DU6" i="15"/>
  <c r="DX6" i="15"/>
  <c r="EA6" i="15"/>
  <c r="ED6" i="15"/>
  <c r="EG6" i="15"/>
  <c r="EJ6" i="15"/>
  <c r="EM6" i="15"/>
  <c r="EP6" i="15"/>
  <c r="ES6" i="15"/>
  <c r="EV6" i="15"/>
  <c r="EY6" i="15"/>
  <c r="FB6" i="15"/>
  <c r="FE6" i="15"/>
  <c r="FH6" i="15"/>
  <c r="FK6" i="15"/>
  <c r="FN6" i="15"/>
  <c r="FQ6" i="15"/>
  <c r="FT6" i="15"/>
  <c r="FW6" i="15"/>
  <c r="FZ6" i="15"/>
  <c r="GC6" i="15"/>
  <c r="GF6" i="15"/>
  <c r="GI6" i="15"/>
  <c r="GL6" i="15"/>
  <c r="GO6" i="15"/>
  <c r="GR6" i="15"/>
  <c r="GU6" i="15"/>
  <c r="GX6" i="15"/>
  <c r="HA6" i="15"/>
  <c r="HD6" i="15"/>
  <c r="HG6" i="15"/>
  <c r="HJ6" i="15"/>
  <c r="HM6" i="15"/>
  <c r="HP6" i="15"/>
  <c r="HS6" i="15"/>
  <c r="HV6" i="15"/>
  <c r="HY6" i="15"/>
  <c r="IB6" i="15"/>
  <c r="IE6" i="15"/>
  <c r="IH6" i="15"/>
  <c r="IK6" i="15"/>
  <c r="IN6" i="15"/>
  <c r="IQ6" i="15"/>
  <c r="IT6" i="15"/>
  <c r="IW6" i="15"/>
  <c r="IZ6" i="15"/>
  <c r="JC6" i="15"/>
  <c r="JF6" i="15"/>
  <c r="JI6" i="15"/>
  <c r="JL6" i="15"/>
  <c r="JO6" i="15"/>
  <c r="JR6" i="15"/>
  <c r="JU6" i="15"/>
  <c r="JX6" i="15"/>
  <c r="KA6" i="15"/>
  <c r="KD6" i="15"/>
  <c r="KG6" i="15"/>
  <c r="KJ6" i="15"/>
  <c r="A7" i="15"/>
  <c r="B7" i="15"/>
  <c r="E7" i="15"/>
  <c r="H7" i="15"/>
  <c r="K7" i="15"/>
  <c r="N7" i="15"/>
  <c r="Q7" i="15"/>
  <c r="T7" i="15"/>
  <c r="W7" i="15"/>
  <c r="Z7" i="15"/>
  <c r="AC7" i="15"/>
  <c r="AF7" i="15"/>
  <c r="AI7" i="15"/>
  <c r="AL7" i="15"/>
  <c r="AO7" i="15"/>
  <c r="AR7" i="15"/>
  <c r="AU7" i="15"/>
  <c r="AX7" i="15"/>
  <c r="BA7" i="15"/>
  <c r="BD7" i="15"/>
  <c r="BG7" i="15"/>
  <c r="BJ7" i="15"/>
  <c r="BM7" i="15"/>
  <c r="BP7" i="15"/>
  <c r="BS7" i="15"/>
  <c r="BV7" i="15"/>
  <c r="BY7" i="15"/>
  <c r="CB7" i="15"/>
  <c r="CE7" i="15"/>
  <c r="CH7" i="15"/>
  <c r="CK7" i="15"/>
  <c r="CN7" i="15"/>
  <c r="CQ7" i="15"/>
  <c r="CT7" i="15"/>
  <c r="CW7" i="15"/>
  <c r="CZ7" i="15"/>
  <c r="DC7" i="15"/>
  <c r="DF7" i="15"/>
  <c r="DI7" i="15"/>
  <c r="DL7" i="15"/>
  <c r="DO7" i="15"/>
  <c r="DR7" i="15"/>
  <c r="DU7" i="15"/>
  <c r="DX7" i="15"/>
  <c r="EA7" i="15"/>
  <c r="ED7" i="15"/>
  <c r="EG7" i="15"/>
  <c r="EJ7" i="15"/>
  <c r="EM7" i="15"/>
  <c r="EP7" i="15"/>
  <c r="ES7" i="15"/>
  <c r="EV7" i="15"/>
  <c r="EY7" i="15"/>
  <c r="FB7" i="15"/>
  <c r="FE7" i="15"/>
  <c r="FH7" i="15"/>
  <c r="FK7" i="15"/>
  <c r="FN7" i="15"/>
  <c r="FQ7" i="15"/>
  <c r="FT7" i="15"/>
  <c r="FW7" i="15"/>
  <c r="FZ7" i="15"/>
  <c r="GC7" i="15"/>
  <c r="GF7" i="15"/>
  <c r="GI7" i="15"/>
  <c r="GL7" i="15"/>
  <c r="GO7" i="15"/>
  <c r="GR7" i="15"/>
  <c r="GU7" i="15"/>
  <c r="GX7" i="15"/>
  <c r="HA7" i="15"/>
  <c r="HD7" i="15"/>
  <c r="HG7" i="15"/>
  <c r="HJ7" i="15"/>
  <c r="HM7" i="15"/>
  <c r="HP7" i="15"/>
  <c r="HS7" i="15"/>
  <c r="HV7" i="15"/>
  <c r="HY7" i="15"/>
  <c r="IB7" i="15"/>
  <c r="IE7" i="15"/>
  <c r="IH7" i="15"/>
  <c r="IK7" i="15"/>
  <c r="IN7" i="15"/>
  <c r="IQ7" i="15"/>
  <c r="IT7" i="15"/>
  <c r="IW7" i="15"/>
  <c r="IZ7" i="15"/>
  <c r="JC7" i="15"/>
  <c r="JF7" i="15"/>
  <c r="JI7" i="15"/>
  <c r="JL7" i="15"/>
  <c r="JO7" i="15"/>
  <c r="JR7" i="15"/>
  <c r="JU7" i="15"/>
  <c r="JX7" i="15"/>
  <c r="KA7" i="15"/>
  <c r="KD7" i="15"/>
  <c r="KG7" i="15"/>
  <c r="KJ7" i="15"/>
  <c r="A8" i="15"/>
  <c r="B8" i="15"/>
  <c r="E8" i="15"/>
  <c r="H8" i="15"/>
  <c r="K8" i="15"/>
  <c r="N8" i="15"/>
  <c r="Q8" i="15"/>
  <c r="T8" i="15"/>
  <c r="W8" i="15"/>
  <c r="Z8" i="15"/>
  <c r="AC8" i="15"/>
  <c r="AF8" i="15"/>
  <c r="AI8" i="15"/>
  <c r="AL8" i="15"/>
  <c r="AO8" i="15"/>
  <c r="AR8" i="15"/>
  <c r="AU8" i="15"/>
  <c r="AX8" i="15"/>
  <c r="BA8" i="15"/>
  <c r="BD8" i="15"/>
  <c r="BG8" i="15"/>
  <c r="BJ8" i="15"/>
  <c r="BM8" i="15"/>
  <c r="BP8" i="15"/>
  <c r="BS8" i="15"/>
  <c r="BV8" i="15"/>
  <c r="BY8" i="15"/>
  <c r="CB8" i="15"/>
  <c r="CE8" i="15"/>
  <c r="CH8" i="15"/>
  <c r="CK8" i="15"/>
  <c r="CN8" i="15"/>
  <c r="CQ8" i="15"/>
  <c r="CT8" i="15"/>
  <c r="CW8" i="15"/>
  <c r="CZ8" i="15"/>
  <c r="DC8" i="15"/>
  <c r="DF8" i="15"/>
  <c r="DI8" i="15"/>
  <c r="DL8" i="15"/>
  <c r="DO8" i="15"/>
  <c r="DR8" i="15"/>
  <c r="DU8" i="15"/>
  <c r="DX8" i="15"/>
  <c r="EA8" i="15"/>
  <c r="ED8" i="15"/>
  <c r="EG8" i="15"/>
  <c r="EJ8" i="15"/>
  <c r="EM8" i="15"/>
  <c r="EP8" i="15"/>
  <c r="ES8" i="15"/>
  <c r="EV8" i="15"/>
  <c r="EY8" i="15"/>
  <c r="FB8" i="15"/>
  <c r="FE8" i="15"/>
  <c r="FH8" i="15"/>
  <c r="FK8" i="15"/>
  <c r="FN8" i="15"/>
  <c r="FQ8" i="15"/>
  <c r="FT8" i="15"/>
  <c r="FW8" i="15"/>
  <c r="FZ8" i="15"/>
  <c r="GC8" i="15"/>
  <c r="GF8" i="15"/>
  <c r="GI8" i="15"/>
  <c r="GL8" i="15"/>
  <c r="GO8" i="15"/>
  <c r="GR8" i="15"/>
  <c r="GU8" i="15"/>
  <c r="GX8" i="15"/>
  <c r="HA8" i="15"/>
  <c r="HD8" i="15"/>
  <c r="HG8" i="15"/>
  <c r="HJ8" i="15"/>
  <c r="HM8" i="15"/>
  <c r="HP8" i="15"/>
  <c r="HS8" i="15"/>
  <c r="HV8" i="15"/>
  <c r="HY8" i="15"/>
  <c r="IB8" i="15"/>
  <c r="IE8" i="15"/>
  <c r="IH8" i="15"/>
  <c r="IK8" i="15"/>
  <c r="IN8" i="15"/>
  <c r="IQ8" i="15"/>
  <c r="IT8" i="15"/>
  <c r="IW8" i="15"/>
  <c r="IZ8" i="15"/>
  <c r="JC8" i="15"/>
  <c r="JF8" i="15"/>
  <c r="JI8" i="15"/>
  <c r="JL8" i="15"/>
  <c r="JO8" i="15"/>
  <c r="JR8" i="15"/>
  <c r="JU8" i="15"/>
  <c r="JX8" i="15"/>
  <c r="KA8" i="15"/>
  <c r="KD8" i="15"/>
  <c r="KG8" i="15"/>
  <c r="KJ8" i="15"/>
  <c r="A9" i="15"/>
  <c r="B9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T9" i="15"/>
  <c r="AU9" i="15"/>
  <c r="AV9" i="15"/>
  <c r="AW9" i="15"/>
  <c r="AX9" i="15"/>
  <c r="AY9" i="15"/>
  <c r="AZ9" i="15"/>
  <c r="BA9" i="15"/>
  <c r="BB9" i="15"/>
  <c r="BC9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CM9" i="15"/>
  <c r="CN9" i="15"/>
  <c r="CO9" i="15"/>
  <c r="CP9" i="15"/>
  <c r="CQ9" i="15"/>
  <c r="CR9" i="15"/>
  <c r="CS9" i="15"/>
  <c r="CT9" i="15"/>
  <c r="CU9" i="15"/>
  <c r="CV9" i="15"/>
  <c r="CW9" i="15"/>
  <c r="CX9" i="15"/>
  <c r="CY9" i="15"/>
  <c r="CZ9" i="15"/>
  <c r="DA9" i="15"/>
  <c r="DB9" i="15"/>
  <c r="DC9" i="15"/>
  <c r="DD9" i="15"/>
  <c r="DE9" i="15"/>
  <c r="DF9" i="15"/>
  <c r="DG9" i="15"/>
  <c r="DH9" i="15"/>
  <c r="DI9" i="15"/>
  <c r="DJ9" i="15"/>
  <c r="DK9" i="15"/>
  <c r="DL9" i="15"/>
  <c r="DM9" i="15"/>
  <c r="DN9" i="15"/>
  <c r="DO9" i="15"/>
  <c r="DP9" i="15"/>
  <c r="DQ9" i="15"/>
  <c r="DR9" i="15"/>
  <c r="DS9" i="15"/>
  <c r="DT9" i="15"/>
  <c r="DU9" i="15"/>
  <c r="DV9" i="15"/>
  <c r="DW9" i="15"/>
  <c r="DX9" i="15"/>
  <c r="DY9" i="15"/>
  <c r="DZ9" i="15"/>
  <c r="EA9" i="15"/>
  <c r="EB9" i="15"/>
  <c r="EC9" i="15"/>
  <c r="ED9" i="15"/>
  <c r="EE9" i="15"/>
  <c r="EF9" i="15"/>
  <c r="EG9" i="15"/>
  <c r="EH9" i="15"/>
  <c r="EI9" i="15"/>
  <c r="EJ9" i="15"/>
  <c r="EK9" i="15"/>
  <c r="EL9" i="15"/>
  <c r="EM9" i="15"/>
  <c r="EN9" i="15"/>
  <c r="EO9" i="15"/>
  <c r="EP9" i="15"/>
  <c r="EQ9" i="15"/>
  <c r="ER9" i="15"/>
  <c r="ES9" i="15"/>
  <c r="ET9" i="15"/>
  <c r="EU9" i="15"/>
  <c r="EV9" i="15"/>
  <c r="EW9" i="15"/>
  <c r="EX9" i="15"/>
  <c r="EY9" i="15"/>
  <c r="EZ9" i="15"/>
  <c r="FA9" i="15"/>
  <c r="FB9" i="15"/>
  <c r="FC9" i="15"/>
  <c r="FD9" i="15"/>
  <c r="FE9" i="15"/>
  <c r="FF9" i="15"/>
  <c r="FG9" i="15"/>
  <c r="FH9" i="15"/>
  <c r="FI9" i="15"/>
  <c r="FJ9" i="15"/>
  <c r="FK9" i="15"/>
  <c r="FL9" i="15"/>
  <c r="FM9" i="15"/>
  <c r="FN9" i="15"/>
  <c r="FO9" i="15"/>
  <c r="FP9" i="15"/>
  <c r="FQ9" i="15"/>
  <c r="FR9" i="15"/>
  <c r="FS9" i="15"/>
  <c r="FT9" i="15"/>
  <c r="FU9" i="15"/>
  <c r="FV9" i="15"/>
  <c r="FW9" i="15"/>
  <c r="FX9" i="15"/>
  <c r="FY9" i="15"/>
  <c r="FZ9" i="15"/>
  <c r="GA9" i="15"/>
  <c r="GB9" i="15"/>
  <c r="GC9" i="15"/>
  <c r="GD9" i="15"/>
  <c r="GE9" i="15"/>
  <c r="GF9" i="15"/>
  <c r="GG9" i="15"/>
  <c r="GH9" i="15"/>
  <c r="GI9" i="15"/>
  <c r="GJ9" i="15"/>
  <c r="GK9" i="15"/>
  <c r="GL9" i="15"/>
  <c r="GM9" i="15"/>
  <c r="GN9" i="15"/>
  <c r="GO9" i="15"/>
  <c r="GP9" i="15"/>
  <c r="GQ9" i="15"/>
  <c r="A10" i="15"/>
  <c r="B10" i="15"/>
  <c r="E10" i="15"/>
  <c r="H10" i="15"/>
  <c r="K10" i="15"/>
  <c r="N10" i="15"/>
  <c r="Q10" i="15"/>
  <c r="T10" i="15"/>
  <c r="W10" i="15"/>
  <c r="Z10" i="15"/>
  <c r="AC10" i="15"/>
  <c r="AF10" i="15"/>
  <c r="AI10" i="15"/>
  <c r="AL10" i="15"/>
  <c r="AO10" i="15"/>
  <c r="AR10" i="15"/>
  <c r="AU10" i="15"/>
  <c r="AX10" i="15"/>
  <c r="BA10" i="15"/>
  <c r="BD10" i="15"/>
  <c r="BG10" i="15"/>
  <c r="BJ10" i="15"/>
  <c r="BM10" i="15"/>
  <c r="BP10" i="15"/>
  <c r="BS10" i="15"/>
  <c r="BV10" i="15"/>
  <c r="BY10" i="15"/>
  <c r="CB10" i="15"/>
  <c r="CE10" i="15"/>
  <c r="CH10" i="15"/>
  <c r="CK10" i="15"/>
  <c r="CN10" i="15"/>
  <c r="CQ10" i="15"/>
  <c r="CT10" i="15"/>
  <c r="CW10" i="15"/>
  <c r="CZ10" i="15"/>
  <c r="DC10" i="15"/>
  <c r="DF10" i="15"/>
  <c r="DI10" i="15"/>
  <c r="DL10" i="15"/>
  <c r="DO10" i="15"/>
  <c r="DR10" i="15"/>
  <c r="DU10" i="15"/>
  <c r="DX10" i="15"/>
  <c r="EA10" i="15"/>
  <c r="ED10" i="15"/>
  <c r="EG10" i="15"/>
  <c r="EJ10" i="15"/>
  <c r="EM10" i="15"/>
  <c r="EP10" i="15"/>
  <c r="ES10" i="15"/>
  <c r="EV10" i="15"/>
  <c r="EY10" i="15"/>
  <c r="FB10" i="15"/>
  <c r="FE10" i="15"/>
  <c r="FH10" i="15"/>
  <c r="FK10" i="15"/>
  <c r="FN10" i="15"/>
  <c r="FQ10" i="15"/>
  <c r="FT10" i="15"/>
  <c r="FW10" i="15"/>
  <c r="FZ10" i="15"/>
  <c r="GC10" i="15"/>
  <c r="GF10" i="15"/>
  <c r="GI10" i="15"/>
  <c r="GL10" i="15"/>
  <c r="GO10" i="15"/>
  <c r="GR10" i="15"/>
  <c r="GU10" i="15"/>
  <c r="GX10" i="15"/>
  <c r="HA10" i="15"/>
  <c r="HD10" i="15"/>
  <c r="HG10" i="15"/>
  <c r="HJ10" i="15"/>
  <c r="HM10" i="15"/>
  <c r="HP10" i="15"/>
  <c r="HS10" i="15"/>
  <c r="HV10" i="15"/>
  <c r="HY10" i="15"/>
  <c r="IB10" i="15"/>
  <c r="IE10" i="15"/>
  <c r="IH10" i="15"/>
  <c r="IK10" i="15"/>
  <c r="IN10" i="15"/>
  <c r="IQ10" i="15"/>
  <c r="IT10" i="15"/>
  <c r="IW10" i="15"/>
  <c r="IZ10" i="15"/>
  <c r="JC10" i="15"/>
  <c r="JF10" i="15"/>
  <c r="JI10" i="15"/>
  <c r="JL10" i="15"/>
  <c r="JO10" i="15"/>
  <c r="JR10" i="15"/>
  <c r="JU10" i="15"/>
  <c r="JX10" i="15"/>
  <c r="KA10" i="15"/>
  <c r="KD10" i="15"/>
  <c r="KG10" i="15"/>
  <c r="KJ10" i="15"/>
  <c r="A11" i="15"/>
  <c r="B11" i="15"/>
  <c r="E11" i="15"/>
  <c r="H11" i="15"/>
  <c r="K11" i="15"/>
  <c r="N11" i="15"/>
  <c r="Q11" i="15"/>
  <c r="T11" i="15"/>
  <c r="W11" i="15"/>
  <c r="Z11" i="15"/>
  <c r="AC11" i="15"/>
  <c r="AF11" i="15"/>
  <c r="AI11" i="15"/>
  <c r="AL11" i="15"/>
  <c r="AO11" i="15"/>
  <c r="AR11" i="15"/>
  <c r="AU11" i="15"/>
  <c r="AX11" i="15"/>
  <c r="BA11" i="15"/>
  <c r="BD11" i="15"/>
  <c r="BG11" i="15"/>
  <c r="BJ11" i="15"/>
  <c r="BM11" i="15"/>
  <c r="BP11" i="15"/>
  <c r="BS11" i="15"/>
  <c r="BV11" i="15"/>
  <c r="BY11" i="15"/>
  <c r="CB11" i="15"/>
  <c r="CE11" i="15"/>
  <c r="CH11" i="15"/>
  <c r="CK11" i="15"/>
  <c r="CN11" i="15"/>
  <c r="CQ11" i="15"/>
  <c r="CT11" i="15"/>
  <c r="CW11" i="15"/>
  <c r="CZ11" i="15"/>
  <c r="DC11" i="15"/>
  <c r="DF11" i="15"/>
  <c r="DI11" i="15"/>
  <c r="DL11" i="15"/>
  <c r="DO11" i="15"/>
  <c r="DR11" i="15"/>
  <c r="DU11" i="15"/>
  <c r="DX11" i="15"/>
  <c r="EA11" i="15"/>
  <c r="ED11" i="15"/>
  <c r="EG11" i="15"/>
  <c r="EJ11" i="15"/>
  <c r="EM11" i="15"/>
  <c r="EP11" i="15"/>
  <c r="ES11" i="15"/>
  <c r="EV11" i="15"/>
  <c r="EY11" i="15"/>
  <c r="FB11" i="15"/>
  <c r="FE11" i="15"/>
  <c r="FH11" i="15"/>
  <c r="FK11" i="15"/>
  <c r="FN11" i="15"/>
  <c r="FQ11" i="15"/>
  <c r="FT11" i="15"/>
  <c r="FW11" i="15"/>
  <c r="FZ11" i="15"/>
  <c r="GC11" i="15"/>
  <c r="GF11" i="15"/>
  <c r="GI11" i="15"/>
  <c r="GL11" i="15"/>
  <c r="GO11" i="15"/>
  <c r="GR11" i="15"/>
  <c r="GU11" i="15"/>
  <c r="GX11" i="15"/>
  <c r="HA11" i="15"/>
  <c r="HD11" i="15"/>
  <c r="HG11" i="15"/>
  <c r="HJ11" i="15"/>
  <c r="HM11" i="15"/>
  <c r="HP11" i="15"/>
  <c r="HS11" i="15"/>
  <c r="HV11" i="15"/>
  <c r="HY11" i="15"/>
  <c r="IB11" i="15"/>
  <c r="IE11" i="15"/>
  <c r="IH11" i="15"/>
  <c r="IK11" i="15"/>
  <c r="IN11" i="15"/>
  <c r="IQ11" i="15"/>
  <c r="IT11" i="15"/>
  <c r="IW11" i="15"/>
  <c r="IZ11" i="15"/>
  <c r="JC11" i="15"/>
  <c r="JF11" i="15"/>
  <c r="JI11" i="15"/>
  <c r="JL11" i="15"/>
  <c r="JO11" i="15"/>
  <c r="JR11" i="15"/>
  <c r="JU11" i="15"/>
  <c r="JX11" i="15"/>
  <c r="KA11" i="15"/>
  <c r="KD11" i="15"/>
  <c r="KG11" i="15"/>
  <c r="KJ11" i="15"/>
  <c r="A12" i="15"/>
  <c r="B12" i="15"/>
  <c r="E12" i="15"/>
  <c r="H12" i="15"/>
  <c r="K12" i="15"/>
  <c r="N12" i="15"/>
  <c r="Q12" i="15"/>
  <c r="T12" i="15"/>
  <c r="W12" i="15"/>
  <c r="Z12" i="15"/>
  <c r="AC12" i="15"/>
  <c r="AF12" i="15"/>
  <c r="AI12" i="15"/>
  <c r="AL12" i="15"/>
  <c r="AO12" i="15"/>
  <c r="AR12" i="15"/>
  <c r="AU12" i="15"/>
  <c r="AX12" i="15"/>
  <c r="BA12" i="15"/>
  <c r="BD12" i="15"/>
  <c r="BG12" i="15"/>
  <c r="BJ12" i="15"/>
  <c r="BM12" i="15"/>
  <c r="BP12" i="15"/>
  <c r="BS12" i="15"/>
  <c r="BV12" i="15"/>
  <c r="BY12" i="15"/>
  <c r="CB12" i="15"/>
  <c r="CE12" i="15"/>
  <c r="CH12" i="15"/>
  <c r="CK12" i="15"/>
  <c r="CN12" i="15"/>
  <c r="CQ12" i="15"/>
  <c r="CT12" i="15"/>
  <c r="CW12" i="15"/>
  <c r="CZ12" i="15"/>
  <c r="DC12" i="15"/>
  <c r="DF12" i="15"/>
  <c r="DI12" i="15"/>
  <c r="DL12" i="15"/>
  <c r="DO12" i="15"/>
  <c r="DR12" i="15"/>
  <c r="DU12" i="15"/>
  <c r="DX12" i="15"/>
  <c r="EA12" i="15"/>
  <c r="ED12" i="15"/>
  <c r="EG12" i="15"/>
  <c r="EJ12" i="15"/>
  <c r="EM12" i="15"/>
  <c r="EP12" i="15"/>
  <c r="ES12" i="15"/>
  <c r="EV12" i="15"/>
  <c r="EY12" i="15"/>
  <c r="FB12" i="15"/>
  <c r="FE12" i="15"/>
  <c r="FH12" i="15"/>
  <c r="FK12" i="15"/>
  <c r="FN12" i="15"/>
  <c r="FQ12" i="15"/>
  <c r="FT12" i="15"/>
  <c r="FW12" i="15"/>
  <c r="FZ12" i="15"/>
  <c r="GC12" i="15"/>
  <c r="GF12" i="15"/>
  <c r="GI12" i="15"/>
  <c r="GL12" i="15"/>
  <c r="GO12" i="15"/>
  <c r="GR12" i="15"/>
  <c r="GU12" i="15"/>
  <c r="GX12" i="15"/>
  <c r="HA12" i="15"/>
  <c r="HD12" i="15"/>
  <c r="HG12" i="15"/>
  <c r="HJ12" i="15"/>
  <c r="HM12" i="15"/>
  <c r="HP12" i="15"/>
  <c r="HS12" i="15"/>
  <c r="HV12" i="15"/>
  <c r="HY12" i="15"/>
  <c r="IB12" i="15"/>
  <c r="IE12" i="15"/>
  <c r="IH12" i="15"/>
  <c r="IK12" i="15"/>
  <c r="IN12" i="15"/>
  <c r="IQ12" i="15"/>
  <c r="IT12" i="15"/>
  <c r="IW12" i="15"/>
  <c r="IZ12" i="15"/>
  <c r="JC12" i="15"/>
  <c r="JF12" i="15"/>
  <c r="JI12" i="15"/>
  <c r="JL12" i="15"/>
  <c r="JO12" i="15"/>
  <c r="JR12" i="15"/>
  <c r="JU12" i="15"/>
  <c r="JX12" i="15"/>
  <c r="KA12" i="15"/>
  <c r="KD12" i="15"/>
  <c r="KG12" i="15"/>
  <c r="KJ12" i="15"/>
  <c r="A13" i="15"/>
  <c r="B13" i="15"/>
  <c r="E13" i="15"/>
  <c r="H13" i="15"/>
  <c r="K13" i="15"/>
  <c r="N13" i="15"/>
  <c r="Q13" i="15"/>
  <c r="T13" i="15"/>
  <c r="W13" i="15"/>
  <c r="Z13" i="15"/>
  <c r="AC13" i="15"/>
  <c r="AF13" i="15"/>
  <c r="AI13" i="15"/>
  <c r="AL13" i="15"/>
  <c r="AO13" i="15"/>
  <c r="AR13" i="15"/>
  <c r="AU13" i="15"/>
  <c r="AX13" i="15"/>
  <c r="BA13" i="15"/>
  <c r="BD13" i="15"/>
  <c r="BG13" i="15"/>
  <c r="BJ13" i="15"/>
  <c r="BM13" i="15"/>
  <c r="BP13" i="15"/>
  <c r="BS13" i="15"/>
  <c r="BV13" i="15"/>
  <c r="BY13" i="15"/>
  <c r="CB13" i="15"/>
  <c r="CE13" i="15"/>
  <c r="CH13" i="15"/>
  <c r="CK13" i="15"/>
  <c r="CN13" i="15"/>
  <c r="CQ13" i="15"/>
  <c r="CT13" i="15"/>
  <c r="CW13" i="15"/>
  <c r="CZ13" i="15"/>
  <c r="DC13" i="15"/>
  <c r="DF13" i="15"/>
  <c r="DI13" i="15"/>
  <c r="DL13" i="15"/>
  <c r="DO13" i="15"/>
  <c r="DR13" i="15"/>
  <c r="DU13" i="15"/>
  <c r="DX13" i="15"/>
  <c r="EA13" i="15"/>
  <c r="ED13" i="15"/>
  <c r="EG13" i="15"/>
  <c r="EJ13" i="15"/>
  <c r="EM13" i="15"/>
  <c r="EP13" i="15"/>
  <c r="ES13" i="15"/>
  <c r="EV13" i="15"/>
  <c r="EY13" i="15"/>
  <c r="FB13" i="15"/>
  <c r="FE13" i="15"/>
  <c r="FH13" i="15"/>
  <c r="FK13" i="15"/>
  <c r="FN13" i="15"/>
  <c r="FQ13" i="15"/>
  <c r="FT13" i="15"/>
  <c r="FW13" i="15"/>
  <c r="FZ13" i="15"/>
  <c r="GC13" i="15"/>
  <c r="GF13" i="15"/>
  <c r="GI13" i="15"/>
  <c r="GL13" i="15"/>
  <c r="GO13" i="15"/>
  <c r="GR13" i="15"/>
  <c r="GU13" i="15"/>
  <c r="GX13" i="15"/>
  <c r="HA13" i="15"/>
  <c r="HD13" i="15"/>
  <c r="HG13" i="15"/>
  <c r="HJ13" i="15"/>
  <c r="HM13" i="15"/>
  <c r="HP13" i="15"/>
  <c r="HS13" i="15"/>
  <c r="HV13" i="15"/>
  <c r="HY13" i="15"/>
  <c r="IB13" i="15"/>
  <c r="IE13" i="15"/>
  <c r="IH13" i="15"/>
  <c r="IK13" i="15"/>
  <c r="IN13" i="15"/>
  <c r="IQ13" i="15"/>
  <c r="IT13" i="15"/>
  <c r="IW13" i="15"/>
  <c r="IZ13" i="15"/>
  <c r="JC13" i="15"/>
  <c r="JF13" i="15"/>
  <c r="JI13" i="15"/>
  <c r="JL13" i="15"/>
  <c r="JO13" i="15"/>
  <c r="JR13" i="15"/>
  <c r="JU13" i="15"/>
  <c r="JX13" i="15"/>
  <c r="KA13" i="15"/>
  <c r="KD13" i="15"/>
  <c r="KG13" i="15"/>
  <c r="KJ13" i="15"/>
  <c r="A14" i="15"/>
  <c r="B14" i="15"/>
  <c r="E14" i="15"/>
  <c r="H14" i="15"/>
  <c r="K14" i="15"/>
  <c r="N14" i="15"/>
  <c r="Q14" i="15"/>
  <c r="T14" i="15"/>
  <c r="W14" i="15"/>
  <c r="Z14" i="15"/>
  <c r="AC14" i="15"/>
  <c r="AF14" i="15"/>
  <c r="AI14" i="15"/>
  <c r="AL14" i="15"/>
  <c r="AO14" i="15"/>
  <c r="AR14" i="15"/>
  <c r="AU14" i="15"/>
  <c r="AX14" i="15"/>
  <c r="BA14" i="15"/>
  <c r="BD14" i="15"/>
  <c r="BG14" i="15"/>
  <c r="BJ14" i="15"/>
  <c r="BM14" i="15"/>
  <c r="BP14" i="15"/>
  <c r="BS14" i="15"/>
  <c r="BV14" i="15"/>
  <c r="BY14" i="15"/>
  <c r="CB14" i="15"/>
  <c r="CE14" i="15"/>
  <c r="CH14" i="15"/>
  <c r="CK14" i="15"/>
  <c r="CN14" i="15"/>
  <c r="CQ14" i="15"/>
  <c r="CT14" i="15"/>
  <c r="CW14" i="15"/>
  <c r="CZ14" i="15"/>
  <c r="DC14" i="15"/>
  <c r="DF14" i="15"/>
  <c r="DI14" i="15"/>
  <c r="DL14" i="15"/>
  <c r="DO14" i="15"/>
  <c r="DR14" i="15"/>
  <c r="DU14" i="15"/>
  <c r="DX14" i="15"/>
  <c r="EA14" i="15"/>
  <c r="ED14" i="15"/>
  <c r="EG14" i="15"/>
  <c r="EJ14" i="15"/>
  <c r="EM14" i="15"/>
  <c r="EP14" i="15"/>
  <c r="ES14" i="15"/>
  <c r="EV14" i="15"/>
  <c r="EY14" i="15"/>
  <c r="FB14" i="15"/>
  <c r="FE14" i="15"/>
  <c r="FH14" i="15"/>
  <c r="FK14" i="15"/>
  <c r="FN14" i="15"/>
  <c r="FQ14" i="15"/>
  <c r="FT14" i="15"/>
  <c r="FW14" i="15"/>
  <c r="FZ14" i="15"/>
  <c r="GC14" i="15"/>
  <c r="GF14" i="15"/>
  <c r="GI14" i="15"/>
  <c r="GL14" i="15"/>
  <c r="GO14" i="15"/>
  <c r="GR14" i="15"/>
  <c r="GU14" i="15"/>
  <c r="GX14" i="15"/>
  <c r="HA14" i="15"/>
  <c r="HD14" i="15"/>
  <c r="HG14" i="15"/>
  <c r="HJ14" i="15"/>
  <c r="HM14" i="15"/>
  <c r="HP14" i="15"/>
  <c r="HS14" i="15"/>
  <c r="HV14" i="15"/>
  <c r="HY14" i="15"/>
  <c r="IB14" i="15"/>
  <c r="IE14" i="15"/>
  <c r="IH14" i="15"/>
  <c r="IK14" i="15"/>
  <c r="IN14" i="15"/>
  <c r="IQ14" i="15"/>
  <c r="IT14" i="15"/>
  <c r="IW14" i="15"/>
  <c r="IZ14" i="15"/>
  <c r="JC14" i="15"/>
  <c r="JF14" i="15"/>
  <c r="JI14" i="15"/>
  <c r="JL14" i="15"/>
  <c r="JO14" i="15"/>
  <c r="JR14" i="15"/>
  <c r="JU14" i="15"/>
  <c r="JX14" i="15"/>
  <c r="KA14" i="15"/>
  <c r="KD14" i="15"/>
  <c r="KG14" i="15"/>
  <c r="KJ14" i="15"/>
  <c r="A15" i="15"/>
  <c r="B15" i="15"/>
  <c r="E15" i="15"/>
  <c r="H15" i="15"/>
  <c r="K15" i="15"/>
  <c r="N15" i="15"/>
  <c r="Q15" i="15"/>
  <c r="T15" i="15"/>
  <c r="W15" i="15"/>
  <c r="Z15" i="15"/>
  <c r="AC15" i="15"/>
  <c r="AF15" i="15"/>
  <c r="AI15" i="15"/>
  <c r="AL15" i="15"/>
  <c r="AO15" i="15"/>
  <c r="AR15" i="15"/>
  <c r="AU15" i="15"/>
  <c r="AX15" i="15"/>
  <c r="BA15" i="15"/>
  <c r="BD15" i="15"/>
  <c r="BG15" i="15"/>
  <c r="BJ15" i="15"/>
  <c r="BM15" i="15"/>
  <c r="BP15" i="15"/>
  <c r="BS15" i="15"/>
  <c r="BV15" i="15"/>
  <c r="BY15" i="15"/>
  <c r="CB15" i="15"/>
  <c r="CE15" i="15"/>
  <c r="CH15" i="15"/>
  <c r="CK15" i="15"/>
  <c r="CN15" i="15"/>
  <c r="CQ15" i="15"/>
  <c r="CT15" i="15"/>
  <c r="CW15" i="15"/>
  <c r="CZ15" i="15"/>
  <c r="DC15" i="15"/>
  <c r="DF15" i="15"/>
  <c r="DI15" i="15"/>
  <c r="DL15" i="15"/>
  <c r="DO15" i="15"/>
  <c r="DR15" i="15"/>
  <c r="DU15" i="15"/>
  <c r="DX15" i="15"/>
  <c r="EA15" i="15"/>
  <c r="ED15" i="15"/>
  <c r="EG15" i="15"/>
  <c r="EJ15" i="15"/>
  <c r="EM15" i="15"/>
  <c r="EP15" i="15"/>
  <c r="ES15" i="15"/>
  <c r="EV15" i="15"/>
  <c r="EY15" i="15"/>
  <c r="FB15" i="15"/>
  <c r="FE15" i="15"/>
  <c r="FH15" i="15"/>
  <c r="FK15" i="15"/>
  <c r="FN15" i="15"/>
  <c r="FQ15" i="15"/>
  <c r="FT15" i="15"/>
  <c r="FW15" i="15"/>
  <c r="FZ15" i="15"/>
  <c r="GC15" i="15"/>
  <c r="GF15" i="15"/>
  <c r="GI15" i="15"/>
  <c r="GL15" i="15"/>
  <c r="GO15" i="15"/>
  <c r="GR15" i="15"/>
  <c r="GU15" i="15"/>
  <c r="GX15" i="15"/>
  <c r="HA15" i="15"/>
  <c r="HD15" i="15"/>
  <c r="HG15" i="15"/>
  <c r="HJ15" i="15"/>
  <c r="HM15" i="15"/>
  <c r="HP15" i="15"/>
  <c r="HS15" i="15"/>
  <c r="HV15" i="15"/>
  <c r="HY15" i="15"/>
  <c r="IB15" i="15"/>
  <c r="IE15" i="15"/>
  <c r="IH15" i="15"/>
  <c r="IK15" i="15"/>
  <c r="IN15" i="15"/>
  <c r="IQ15" i="15"/>
  <c r="IT15" i="15"/>
  <c r="IW15" i="15"/>
  <c r="IZ15" i="15"/>
  <c r="JC15" i="15"/>
  <c r="JF15" i="15"/>
  <c r="JI15" i="15"/>
  <c r="JL15" i="15"/>
  <c r="JO15" i="15"/>
  <c r="JR15" i="15"/>
  <c r="JU15" i="15"/>
  <c r="JX15" i="15"/>
  <c r="KA15" i="15"/>
  <c r="KD15" i="15"/>
  <c r="KG15" i="15"/>
  <c r="KJ15" i="15"/>
  <c r="A16" i="15"/>
  <c r="B16" i="15"/>
  <c r="E16" i="15"/>
  <c r="H16" i="15"/>
  <c r="K16" i="15"/>
  <c r="N16" i="15"/>
  <c r="Q16" i="15"/>
  <c r="T16" i="15"/>
  <c r="W16" i="15"/>
  <c r="Z16" i="15"/>
  <c r="AC16" i="15"/>
  <c r="AF16" i="15"/>
  <c r="AI16" i="15"/>
  <c r="AL16" i="15"/>
  <c r="AO16" i="15"/>
  <c r="AR16" i="15"/>
  <c r="AU16" i="15"/>
  <c r="AX16" i="15"/>
  <c r="BA16" i="15"/>
  <c r="BD16" i="15"/>
  <c r="BG16" i="15"/>
  <c r="BJ16" i="15"/>
  <c r="BM16" i="15"/>
  <c r="BP16" i="15"/>
  <c r="BS16" i="15"/>
  <c r="BV16" i="15"/>
  <c r="BY16" i="15"/>
  <c r="CB16" i="15"/>
  <c r="CE16" i="15"/>
  <c r="CH16" i="15"/>
  <c r="CK16" i="15"/>
  <c r="CN16" i="15"/>
  <c r="CQ16" i="15"/>
  <c r="CT16" i="15"/>
  <c r="CW16" i="15"/>
  <c r="CZ16" i="15"/>
  <c r="DC16" i="15"/>
  <c r="DF16" i="15"/>
  <c r="DI16" i="15"/>
  <c r="DL16" i="15"/>
  <c r="DO16" i="15"/>
  <c r="DR16" i="15"/>
  <c r="DU16" i="15"/>
  <c r="DX16" i="15"/>
  <c r="EA16" i="15"/>
  <c r="ED16" i="15"/>
  <c r="EG16" i="15"/>
  <c r="EJ16" i="15"/>
  <c r="EM16" i="15"/>
  <c r="EP16" i="15"/>
  <c r="ES16" i="15"/>
  <c r="EV16" i="15"/>
  <c r="EY16" i="15"/>
  <c r="FB16" i="15"/>
  <c r="FE16" i="15"/>
  <c r="FH16" i="15"/>
  <c r="FK16" i="15"/>
  <c r="FN16" i="15"/>
  <c r="FQ16" i="15"/>
  <c r="FT16" i="15"/>
  <c r="FW16" i="15"/>
  <c r="FZ16" i="15"/>
  <c r="GC16" i="15"/>
  <c r="GF16" i="15"/>
  <c r="GI16" i="15"/>
  <c r="GL16" i="15"/>
  <c r="GO16" i="15"/>
  <c r="GR16" i="15"/>
  <c r="GU16" i="15"/>
  <c r="GX16" i="15"/>
  <c r="HA16" i="15"/>
  <c r="HD16" i="15"/>
  <c r="HG16" i="15"/>
  <c r="HJ16" i="15"/>
  <c r="HM16" i="15"/>
  <c r="HP16" i="15"/>
  <c r="HS16" i="15"/>
  <c r="HV16" i="15"/>
  <c r="HY16" i="15"/>
  <c r="IB16" i="15"/>
  <c r="IE16" i="15"/>
  <c r="IH16" i="15"/>
  <c r="IK16" i="15"/>
  <c r="IN16" i="15"/>
  <c r="IQ16" i="15"/>
  <c r="IT16" i="15"/>
  <c r="IW16" i="15"/>
  <c r="IZ16" i="15"/>
  <c r="JC16" i="15"/>
  <c r="JF16" i="15"/>
  <c r="JI16" i="15"/>
  <c r="JL16" i="15"/>
  <c r="JO16" i="15"/>
  <c r="JR16" i="15"/>
  <c r="JU16" i="15"/>
  <c r="JX16" i="15"/>
  <c r="KA16" i="15"/>
  <c r="KD16" i="15"/>
  <c r="KG16" i="15"/>
  <c r="KJ16" i="15"/>
  <c r="A17" i="15"/>
  <c r="B17" i="15"/>
  <c r="E17" i="15"/>
  <c r="H17" i="15"/>
  <c r="K17" i="15"/>
  <c r="N17" i="15"/>
  <c r="Q17" i="15"/>
  <c r="T17" i="15"/>
  <c r="W17" i="15"/>
  <c r="Z17" i="15"/>
  <c r="AC17" i="15"/>
  <c r="AF17" i="15"/>
  <c r="AI17" i="15"/>
  <c r="AL17" i="15"/>
  <c r="AO17" i="15"/>
  <c r="AR17" i="15"/>
  <c r="AU17" i="15"/>
  <c r="AX17" i="15"/>
  <c r="BA17" i="15"/>
  <c r="BD17" i="15"/>
  <c r="BG17" i="15"/>
  <c r="BJ17" i="15"/>
  <c r="BM17" i="15"/>
  <c r="BP17" i="15"/>
  <c r="BS17" i="15"/>
  <c r="BV17" i="15"/>
  <c r="BY17" i="15"/>
  <c r="CB17" i="15"/>
  <c r="CE17" i="15"/>
  <c r="CH17" i="15"/>
  <c r="CK17" i="15"/>
  <c r="CN17" i="15"/>
  <c r="CQ17" i="15"/>
  <c r="CT17" i="15"/>
  <c r="CW17" i="15"/>
  <c r="CZ17" i="15"/>
  <c r="DC17" i="15"/>
  <c r="DF17" i="15"/>
  <c r="DI17" i="15"/>
  <c r="DL17" i="15"/>
  <c r="DO17" i="15"/>
  <c r="DR17" i="15"/>
  <c r="DU17" i="15"/>
  <c r="DX17" i="15"/>
  <c r="EA17" i="15"/>
  <c r="ED17" i="15"/>
  <c r="EG17" i="15"/>
  <c r="EJ17" i="15"/>
  <c r="EM17" i="15"/>
  <c r="EP17" i="15"/>
  <c r="ES17" i="15"/>
  <c r="EV17" i="15"/>
  <c r="EY17" i="15"/>
  <c r="FB17" i="15"/>
  <c r="FE17" i="15"/>
  <c r="FH17" i="15"/>
  <c r="FK17" i="15"/>
  <c r="FN17" i="15"/>
  <c r="FQ17" i="15"/>
  <c r="FT17" i="15"/>
  <c r="FW17" i="15"/>
  <c r="FZ17" i="15"/>
  <c r="GC17" i="15"/>
  <c r="GF17" i="15"/>
  <c r="GI17" i="15"/>
  <c r="GL17" i="15"/>
  <c r="GO17" i="15"/>
  <c r="GR17" i="15"/>
  <c r="GU17" i="15"/>
  <c r="GX17" i="15"/>
  <c r="HA17" i="15"/>
  <c r="HD17" i="15"/>
  <c r="HG17" i="15"/>
  <c r="HJ17" i="15"/>
  <c r="HM17" i="15"/>
  <c r="HP17" i="15"/>
  <c r="HS17" i="15"/>
  <c r="HV17" i="15"/>
  <c r="HY17" i="15"/>
  <c r="IB17" i="15"/>
  <c r="IE17" i="15"/>
  <c r="IH17" i="15"/>
  <c r="IK17" i="15"/>
  <c r="IN17" i="15"/>
  <c r="IQ17" i="15"/>
  <c r="IT17" i="15"/>
  <c r="IW17" i="15"/>
  <c r="IZ17" i="15"/>
  <c r="JC17" i="15"/>
  <c r="JF17" i="15"/>
  <c r="JI17" i="15"/>
  <c r="JL17" i="15"/>
  <c r="JO17" i="15"/>
  <c r="JR17" i="15"/>
  <c r="JU17" i="15"/>
  <c r="JX17" i="15"/>
  <c r="KA17" i="15"/>
  <c r="KD17" i="15"/>
  <c r="KG17" i="15"/>
  <c r="KJ17" i="15"/>
  <c r="A18" i="15"/>
  <c r="B18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W18" i="15"/>
  <c r="AX18" i="15"/>
  <c r="AY18" i="15"/>
  <c r="AZ18" i="15"/>
  <c r="BA18" i="15"/>
  <c r="BB18" i="15"/>
  <c r="BC18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CM18" i="15"/>
  <c r="CN18" i="15"/>
  <c r="CO18" i="15"/>
  <c r="CP18" i="15"/>
  <c r="CQ18" i="15"/>
  <c r="CR18" i="15"/>
  <c r="CS18" i="15"/>
  <c r="CT18" i="15"/>
  <c r="CU18" i="15"/>
  <c r="CV18" i="15"/>
  <c r="CW18" i="15"/>
  <c r="CX18" i="15"/>
  <c r="CY18" i="15"/>
  <c r="CZ18" i="15"/>
  <c r="DA18" i="15"/>
  <c r="DB18" i="15"/>
  <c r="DC18" i="15"/>
  <c r="DD18" i="15"/>
  <c r="DE18" i="15"/>
  <c r="DF18" i="15"/>
  <c r="DG18" i="15"/>
  <c r="DH18" i="15"/>
  <c r="DI18" i="15"/>
  <c r="DJ18" i="15"/>
  <c r="DK18" i="15"/>
  <c r="DL18" i="15"/>
  <c r="DM18" i="15"/>
  <c r="DN18" i="15"/>
  <c r="DO18" i="15"/>
  <c r="DP18" i="15"/>
  <c r="DQ18" i="15"/>
  <c r="DR18" i="15"/>
  <c r="DS18" i="15"/>
  <c r="DT18" i="15"/>
  <c r="DU18" i="15"/>
  <c r="DV18" i="15"/>
  <c r="DW18" i="15"/>
  <c r="DX18" i="15"/>
  <c r="DY18" i="15"/>
  <c r="DZ18" i="15"/>
  <c r="EA18" i="15"/>
  <c r="EB18" i="15"/>
  <c r="EC18" i="15"/>
  <c r="ED18" i="15"/>
  <c r="EE18" i="15"/>
  <c r="EF18" i="15"/>
  <c r="EG18" i="15"/>
  <c r="EH18" i="15"/>
  <c r="EI18" i="15"/>
  <c r="EJ18" i="15"/>
  <c r="EK18" i="15"/>
  <c r="EL18" i="15"/>
  <c r="EM18" i="15"/>
  <c r="EN18" i="15"/>
  <c r="EO18" i="15"/>
  <c r="EP18" i="15"/>
  <c r="EQ18" i="15"/>
  <c r="ER18" i="15"/>
  <c r="ES18" i="15"/>
  <c r="ET18" i="15"/>
  <c r="EU18" i="15"/>
  <c r="EV18" i="15"/>
  <c r="EW18" i="15"/>
  <c r="EX18" i="15"/>
  <c r="EY18" i="15"/>
  <c r="EZ18" i="15"/>
  <c r="FA18" i="15"/>
  <c r="FB18" i="15"/>
  <c r="FC18" i="15"/>
  <c r="FD18" i="15"/>
  <c r="FE18" i="15"/>
  <c r="FF18" i="15"/>
  <c r="FG18" i="15"/>
  <c r="FH18" i="15"/>
  <c r="FI18" i="15"/>
  <c r="FJ18" i="15"/>
  <c r="FK18" i="15"/>
  <c r="FL18" i="15"/>
  <c r="FM18" i="15"/>
  <c r="FN18" i="15"/>
  <c r="FO18" i="15"/>
  <c r="FP18" i="15"/>
  <c r="FQ18" i="15"/>
  <c r="FR18" i="15"/>
  <c r="FS18" i="15"/>
  <c r="FT18" i="15"/>
  <c r="FU18" i="15"/>
  <c r="FV18" i="15"/>
  <c r="FW18" i="15"/>
  <c r="FX18" i="15"/>
  <c r="FY18" i="15"/>
  <c r="FZ18" i="15"/>
  <c r="GA18" i="15"/>
  <c r="GB18" i="15"/>
  <c r="GC18" i="15"/>
  <c r="GD18" i="15"/>
  <c r="GE18" i="15"/>
  <c r="GF18" i="15"/>
  <c r="GG18" i="15"/>
  <c r="GH18" i="15"/>
  <c r="GI18" i="15"/>
  <c r="GJ18" i="15"/>
  <c r="GK18" i="15"/>
  <c r="GL18" i="15"/>
  <c r="GM18" i="15"/>
  <c r="GN18" i="15"/>
  <c r="GO18" i="15"/>
  <c r="GP18" i="15"/>
  <c r="GQ18" i="15"/>
  <c r="A19" i="15"/>
  <c r="B19" i="15"/>
  <c r="E19" i="15"/>
  <c r="H19" i="15"/>
  <c r="K19" i="15"/>
  <c r="N19" i="15"/>
  <c r="Q19" i="15"/>
  <c r="T19" i="15"/>
  <c r="W19" i="15"/>
  <c r="Z19" i="15"/>
  <c r="AC19" i="15"/>
  <c r="AF19" i="15"/>
  <c r="AI19" i="15"/>
  <c r="AL19" i="15"/>
  <c r="AO19" i="15"/>
  <c r="AR19" i="15"/>
  <c r="AU19" i="15"/>
  <c r="AX19" i="15"/>
  <c r="BA19" i="15"/>
  <c r="BD19" i="15"/>
  <c r="BG19" i="15"/>
  <c r="BJ19" i="15"/>
  <c r="BM19" i="15"/>
  <c r="BP19" i="15"/>
  <c r="BS19" i="15"/>
  <c r="BV19" i="15"/>
  <c r="BY19" i="15"/>
  <c r="CB19" i="15"/>
  <c r="CE19" i="15"/>
  <c r="CH19" i="15"/>
  <c r="CK19" i="15"/>
  <c r="CN19" i="15"/>
  <c r="CQ19" i="15"/>
  <c r="CT19" i="15"/>
  <c r="CW19" i="15"/>
  <c r="CZ19" i="15"/>
  <c r="DC19" i="15"/>
  <c r="DF19" i="15"/>
  <c r="DI19" i="15"/>
  <c r="DL19" i="15"/>
  <c r="DO19" i="15"/>
  <c r="DR19" i="15"/>
  <c r="DU19" i="15"/>
  <c r="DX19" i="15"/>
  <c r="EA19" i="15"/>
  <c r="ED19" i="15"/>
  <c r="EG19" i="15"/>
  <c r="EJ19" i="15"/>
  <c r="EM19" i="15"/>
  <c r="EP19" i="15"/>
  <c r="ES19" i="15"/>
  <c r="EV19" i="15"/>
  <c r="EY19" i="15"/>
  <c r="FB19" i="15"/>
  <c r="FE19" i="15"/>
  <c r="FH19" i="15"/>
  <c r="FK19" i="15"/>
  <c r="FN19" i="15"/>
  <c r="FQ19" i="15"/>
  <c r="FT19" i="15"/>
  <c r="FW19" i="15"/>
  <c r="FZ19" i="15"/>
  <c r="GC19" i="15"/>
  <c r="GF19" i="15"/>
  <c r="GI19" i="15"/>
  <c r="GL19" i="15"/>
  <c r="GO19" i="15"/>
  <c r="GR19" i="15"/>
  <c r="GU19" i="15"/>
  <c r="GX19" i="15"/>
  <c r="HA19" i="15"/>
  <c r="HD19" i="15"/>
  <c r="HG19" i="15"/>
  <c r="HJ19" i="15"/>
  <c r="HM19" i="15"/>
  <c r="HP19" i="15"/>
  <c r="HS19" i="15"/>
  <c r="HV19" i="15"/>
  <c r="HY19" i="15"/>
  <c r="IB19" i="15"/>
  <c r="IE19" i="15"/>
  <c r="IH19" i="15"/>
  <c r="IK19" i="15"/>
  <c r="IN19" i="15"/>
  <c r="IQ19" i="15"/>
  <c r="IT19" i="15"/>
  <c r="IW19" i="15"/>
  <c r="IZ19" i="15"/>
  <c r="JC19" i="15"/>
  <c r="JF19" i="15"/>
  <c r="JI19" i="15"/>
  <c r="JL19" i="15"/>
  <c r="JO19" i="15"/>
  <c r="JR19" i="15"/>
  <c r="JU19" i="15"/>
  <c r="JX19" i="15"/>
  <c r="KA19" i="15"/>
  <c r="KD19" i="15"/>
  <c r="KG19" i="15"/>
  <c r="KJ19" i="15"/>
  <c r="A20" i="15"/>
  <c r="B20" i="15"/>
  <c r="E20" i="15"/>
  <c r="H20" i="15"/>
  <c r="K20" i="15"/>
  <c r="N20" i="15"/>
  <c r="Q20" i="15"/>
  <c r="T20" i="15"/>
  <c r="W20" i="15"/>
  <c r="Z20" i="15"/>
  <c r="AC20" i="15"/>
  <c r="AF20" i="15"/>
  <c r="AI20" i="15"/>
  <c r="AL20" i="15"/>
  <c r="AO20" i="15"/>
  <c r="AR20" i="15"/>
  <c r="AU20" i="15"/>
  <c r="AX20" i="15"/>
  <c r="BA20" i="15"/>
  <c r="BD20" i="15"/>
  <c r="BG20" i="15"/>
  <c r="BJ20" i="15"/>
  <c r="BM20" i="15"/>
  <c r="BP20" i="15"/>
  <c r="BS20" i="15"/>
  <c r="BV20" i="15"/>
  <c r="BY20" i="15"/>
  <c r="CB20" i="15"/>
  <c r="CE20" i="15"/>
  <c r="CH20" i="15"/>
  <c r="CK20" i="15"/>
  <c r="CN20" i="15"/>
  <c r="CQ20" i="15"/>
  <c r="CT20" i="15"/>
  <c r="CW20" i="15"/>
  <c r="CZ20" i="15"/>
  <c r="DC20" i="15"/>
  <c r="DF20" i="15"/>
  <c r="DI20" i="15"/>
  <c r="DL20" i="15"/>
  <c r="DO20" i="15"/>
  <c r="DR20" i="15"/>
  <c r="DU20" i="15"/>
  <c r="DX20" i="15"/>
  <c r="EA20" i="15"/>
  <c r="ED20" i="15"/>
  <c r="EG20" i="15"/>
  <c r="EJ20" i="15"/>
  <c r="EM20" i="15"/>
  <c r="EP20" i="15"/>
  <c r="ES20" i="15"/>
  <c r="EV20" i="15"/>
  <c r="EY20" i="15"/>
  <c r="FB20" i="15"/>
  <c r="FE20" i="15"/>
  <c r="FH20" i="15"/>
  <c r="FK20" i="15"/>
  <c r="FN20" i="15"/>
  <c r="FQ20" i="15"/>
  <c r="FT20" i="15"/>
  <c r="FW20" i="15"/>
  <c r="FZ20" i="15"/>
  <c r="GC20" i="15"/>
  <c r="GF20" i="15"/>
  <c r="GI20" i="15"/>
  <c r="GL20" i="15"/>
  <c r="GO20" i="15"/>
  <c r="GR20" i="15"/>
  <c r="GU20" i="15"/>
  <c r="GX20" i="15"/>
  <c r="HA20" i="15"/>
  <c r="HD20" i="15"/>
  <c r="HG20" i="15"/>
  <c r="HJ20" i="15"/>
  <c r="HM20" i="15"/>
  <c r="HP20" i="15"/>
  <c r="HS20" i="15"/>
  <c r="HV20" i="15"/>
  <c r="HY20" i="15"/>
  <c r="IB20" i="15"/>
  <c r="IE20" i="15"/>
  <c r="IH20" i="15"/>
  <c r="IK20" i="15"/>
  <c r="IN20" i="15"/>
  <c r="IQ20" i="15"/>
  <c r="IT20" i="15"/>
  <c r="IW20" i="15"/>
  <c r="IZ20" i="15"/>
  <c r="JC20" i="15"/>
  <c r="JF20" i="15"/>
  <c r="JI20" i="15"/>
  <c r="JL20" i="15"/>
  <c r="JO20" i="15"/>
  <c r="JR20" i="15"/>
  <c r="JU20" i="15"/>
  <c r="JX20" i="15"/>
  <c r="KA20" i="15"/>
  <c r="KD20" i="15"/>
  <c r="KG20" i="15"/>
  <c r="KJ20" i="15"/>
  <c r="A21" i="15"/>
  <c r="B21" i="15"/>
  <c r="E21" i="15"/>
  <c r="H21" i="15"/>
  <c r="K21" i="15"/>
  <c r="N21" i="15"/>
  <c r="Q21" i="15"/>
  <c r="T21" i="15"/>
  <c r="W21" i="15"/>
  <c r="Z21" i="15"/>
  <c r="AC21" i="15"/>
  <c r="AF21" i="15"/>
  <c r="AI21" i="15"/>
  <c r="AL21" i="15"/>
  <c r="AO21" i="15"/>
  <c r="AR21" i="15"/>
  <c r="AU21" i="15"/>
  <c r="AX21" i="15"/>
  <c r="BA21" i="15"/>
  <c r="BD21" i="15"/>
  <c r="BG21" i="15"/>
  <c r="BJ21" i="15"/>
  <c r="BM21" i="15"/>
  <c r="BP21" i="15"/>
  <c r="BS21" i="15"/>
  <c r="BV21" i="15"/>
  <c r="BY21" i="15"/>
  <c r="CB21" i="15"/>
  <c r="CE21" i="15"/>
  <c r="CH21" i="15"/>
  <c r="CK21" i="15"/>
  <c r="CN21" i="15"/>
  <c r="CQ21" i="15"/>
  <c r="CT21" i="15"/>
  <c r="CW21" i="15"/>
  <c r="CZ21" i="15"/>
  <c r="DC21" i="15"/>
  <c r="DF21" i="15"/>
  <c r="DI21" i="15"/>
  <c r="DL21" i="15"/>
  <c r="DO21" i="15"/>
  <c r="DR21" i="15"/>
  <c r="DU21" i="15"/>
  <c r="DX21" i="15"/>
  <c r="EA21" i="15"/>
  <c r="ED21" i="15"/>
  <c r="EG21" i="15"/>
  <c r="EJ21" i="15"/>
  <c r="EM21" i="15"/>
  <c r="EP21" i="15"/>
  <c r="ES21" i="15"/>
  <c r="EV21" i="15"/>
  <c r="EY21" i="15"/>
  <c r="FB21" i="15"/>
  <c r="FE21" i="15"/>
  <c r="FH21" i="15"/>
  <c r="FK21" i="15"/>
  <c r="FN21" i="15"/>
  <c r="FQ21" i="15"/>
  <c r="FT21" i="15"/>
  <c r="FW21" i="15"/>
  <c r="FZ21" i="15"/>
  <c r="GC21" i="15"/>
  <c r="GF21" i="15"/>
  <c r="GI21" i="15"/>
  <c r="GL21" i="15"/>
  <c r="GO21" i="15"/>
  <c r="GR21" i="15"/>
  <c r="GU21" i="15"/>
  <c r="GX21" i="15"/>
  <c r="HA21" i="15"/>
  <c r="HD21" i="15"/>
  <c r="HG21" i="15"/>
  <c r="HJ21" i="15"/>
  <c r="HM21" i="15"/>
  <c r="HP21" i="15"/>
  <c r="HS21" i="15"/>
  <c r="HV21" i="15"/>
  <c r="HY21" i="15"/>
  <c r="IB21" i="15"/>
  <c r="IE21" i="15"/>
  <c r="IH21" i="15"/>
  <c r="IK21" i="15"/>
  <c r="IN21" i="15"/>
  <c r="IQ21" i="15"/>
  <c r="IT21" i="15"/>
  <c r="IW21" i="15"/>
  <c r="IZ21" i="15"/>
  <c r="JC21" i="15"/>
  <c r="JF21" i="15"/>
  <c r="JI21" i="15"/>
  <c r="JL21" i="15"/>
  <c r="JO21" i="15"/>
  <c r="JR21" i="15"/>
  <c r="JU21" i="15"/>
  <c r="JX21" i="15"/>
  <c r="KA21" i="15"/>
  <c r="KD21" i="15"/>
  <c r="KG21" i="15"/>
  <c r="KJ21" i="15"/>
  <c r="A22" i="15"/>
  <c r="B22" i="15"/>
  <c r="E22" i="15"/>
  <c r="H22" i="15"/>
  <c r="K22" i="15"/>
  <c r="N22" i="15"/>
  <c r="Q22" i="15"/>
  <c r="T22" i="15"/>
  <c r="W22" i="15"/>
  <c r="Z22" i="15"/>
  <c r="AC22" i="15"/>
  <c r="AF22" i="15"/>
  <c r="AI22" i="15"/>
  <c r="AL22" i="15"/>
  <c r="AO22" i="15"/>
  <c r="AR22" i="15"/>
  <c r="AU22" i="15"/>
  <c r="AX22" i="15"/>
  <c r="BA22" i="15"/>
  <c r="BD22" i="15"/>
  <c r="BG22" i="15"/>
  <c r="BJ22" i="15"/>
  <c r="BM22" i="15"/>
  <c r="BP22" i="15"/>
  <c r="BS22" i="15"/>
  <c r="BV22" i="15"/>
  <c r="BY22" i="15"/>
  <c r="CB22" i="15"/>
  <c r="CE22" i="15"/>
  <c r="CH22" i="15"/>
  <c r="CK22" i="15"/>
  <c r="CN22" i="15"/>
  <c r="CQ22" i="15"/>
  <c r="CT22" i="15"/>
  <c r="CW22" i="15"/>
  <c r="CZ22" i="15"/>
  <c r="DC22" i="15"/>
  <c r="DF22" i="15"/>
  <c r="DI22" i="15"/>
  <c r="DL22" i="15"/>
  <c r="DO22" i="15"/>
  <c r="DR22" i="15"/>
  <c r="DU22" i="15"/>
  <c r="DX22" i="15"/>
  <c r="EA22" i="15"/>
  <c r="ED22" i="15"/>
  <c r="EG22" i="15"/>
  <c r="EJ22" i="15"/>
  <c r="EM22" i="15"/>
  <c r="EP22" i="15"/>
  <c r="ES22" i="15"/>
  <c r="EV22" i="15"/>
  <c r="EY22" i="15"/>
  <c r="FB22" i="15"/>
  <c r="FE22" i="15"/>
  <c r="FH22" i="15"/>
  <c r="FK22" i="15"/>
  <c r="FN22" i="15"/>
  <c r="FQ22" i="15"/>
  <c r="FT22" i="15"/>
  <c r="FW22" i="15"/>
  <c r="FZ22" i="15"/>
  <c r="GC22" i="15"/>
  <c r="GF22" i="15"/>
  <c r="GI22" i="15"/>
  <c r="GL22" i="15"/>
  <c r="GO22" i="15"/>
  <c r="GR22" i="15"/>
  <c r="GU22" i="15"/>
  <c r="GX22" i="15"/>
  <c r="HA22" i="15"/>
  <c r="HD22" i="15"/>
  <c r="HG22" i="15"/>
  <c r="HJ22" i="15"/>
  <c r="HM22" i="15"/>
  <c r="HP22" i="15"/>
  <c r="HS22" i="15"/>
  <c r="HV22" i="15"/>
  <c r="HY22" i="15"/>
  <c r="IB22" i="15"/>
  <c r="IE22" i="15"/>
  <c r="IH22" i="15"/>
  <c r="IK22" i="15"/>
  <c r="IN22" i="15"/>
  <c r="IQ22" i="15"/>
  <c r="IT22" i="15"/>
  <c r="IW22" i="15"/>
  <c r="IZ22" i="15"/>
  <c r="JC22" i="15"/>
  <c r="JF22" i="15"/>
  <c r="JI22" i="15"/>
  <c r="JL22" i="15"/>
  <c r="JO22" i="15"/>
  <c r="JR22" i="15"/>
  <c r="JU22" i="15"/>
  <c r="JX22" i="15"/>
  <c r="KA22" i="15"/>
  <c r="KD22" i="15"/>
  <c r="KG22" i="15"/>
  <c r="KJ22" i="15"/>
  <c r="A23" i="15"/>
  <c r="B23" i="15"/>
  <c r="E23" i="15"/>
  <c r="H23" i="15"/>
  <c r="K23" i="15"/>
  <c r="N23" i="15"/>
  <c r="Q23" i="15"/>
  <c r="T23" i="15"/>
  <c r="W23" i="15"/>
  <c r="Z23" i="15"/>
  <c r="AC23" i="15"/>
  <c r="AF23" i="15"/>
  <c r="AI23" i="15"/>
  <c r="AL23" i="15"/>
  <c r="AO23" i="15"/>
  <c r="AR23" i="15"/>
  <c r="AU23" i="15"/>
  <c r="AX23" i="15"/>
  <c r="BA23" i="15"/>
  <c r="BD23" i="15"/>
  <c r="BG23" i="15"/>
  <c r="BJ23" i="15"/>
  <c r="BM23" i="15"/>
  <c r="BP23" i="15"/>
  <c r="BS23" i="15"/>
  <c r="BV23" i="15"/>
  <c r="BY23" i="15"/>
  <c r="CB23" i="15"/>
  <c r="CE23" i="15"/>
  <c r="CH23" i="15"/>
  <c r="CK23" i="15"/>
  <c r="CN23" i="15"/>
  <c r="CQ23" i="15"/>
  <c r="CT23" i="15"/>
  <c r="CW23" i="15"/>
  <c r="CZ23" i="15"/>
  <c r="DC23" i="15"/>
  <c r="DF23" i="15"/>
  <c r="DI23" i="15"/>
  <c r="DL23" i="15"/>
  <c r="DO23" i="15"/>
  <c r="DR23" i="15"/>
  <c r="DU23" i="15"/>
  <c r="DX23" i="15"/>
  <c r="EA23" i="15"/>
  <c r="ED23" i="15"/>
  <c r="EG23" i="15"/>
  <c r="EJ23" i="15"/>
  <c r="EM23" i="15"/>
  <c r="EP23" i="15"/>
  <c r="ES23" i="15"/>
  <c r="EV23" i="15"/>
  <c r="EY23" i="15"/>
  <c r="FB23" i="15"/>
  <c r="FE23" i="15"/>
  <c r="FH23" i="15"/>
  <c r="FK23" i="15"/>
  <c r="FN23" i="15"/>
  <c r="FQ23" i="15"/>
  <c r="FT23" i="15"/>
  <c r="FW23" i="15"/>
  <c r="FZ23" i="15"/>
  <c r="GC23" i="15"/>
  <c r="GF23" i="15"/>
  <c r="GI23" i="15"/>
  <c r="GL23" i="15"/>
  <c r="GO23" i="15"/>
  <c r="GR23" i="15"/>
  <c r="GU23" i="15"/>
  <c r="GX23" i="15"/>
  <c r="HA23" i="15"/>
  <c r="HD23" i="15"/>
  <c r="HG23" i="15"/>
  <c r="HJ23" i="15"/>
  <c r="HM23" i="15"/>
  <c r="HP23" i="15"/>
  <c r="HS23" i="15"/>
  <c r="HV23" i="15"/>
  <c r="HY23" i="15"/>
  <c r="IB23" i="15"/>
  <c r="IE23" i="15"/>
  <c r="IH23" i="15"/>
  <c r="IK23" i="15"/>
  <c r="IN23" i="15"/>
  <c r="IQ23" i="15"/>
  <c r="IT23" i="15"/>
  <c r="IW23" i="15"/>
  <c r="IZ23" i="15"/>
  <c r="JC23" i="15"/>
  <c r="JF23" i="15"/>
  <c r="JI23" i="15"/>
  <c r="JL23" i="15"/>
  <c r="JO23" i="15"/>
  <c r="JR23" i="15"/>
  <c r="JU23" i="15"/>
  <c r="JX23" i="15"/>
  <c r="KA23" i="15"/>
  <c r="KD23" i="15"/>
  <c r="KG23" i="15"/>
  <c r="KJ23" i="15"/>
  <c r="A24" i="15"/>
  <c r="B24" i="15"/>
  <c r="E24" i="15"/>
  <c r="H24" i="15"/>
  <c r="K24" i="15"/>
  <c r="N24" i="15"/>
  <c r="Q24" i="15"/>
  <c r="T24" i="15"/>
  <c r="W24" i="15"/>
  <c r="Z24" i="15"/>
  <c r="AC24" i="15"/>
  <c r="AF24" i="15"/>
  <c r="AI24" i="15"/>
  <c r="AL24" i="15"/>
  <c r="AO24" i="15"/>
  <c r="AR24" i="15"/>
  <c r="AU24" i="15"/>
  <c r="AX24" i="15"/>
  <c r="BA24" i="15"/>
  <c r="BD24" i="15"/>
  <c r="BG24" i="15"/>
  <c r="BJ24" i="15"/>
  <c r="BM24" i="15"/>
  <c r="BP24" i="15"/>
  <c r="BS24" i="15"/>
  <c r="BV24" i="15"/>
  <c r="BY24" i="15"/>
  <c r="CB24" i="15"/>
  <c r="CE24" i="15"/>
  <c r="CH24" i="15"/>
  <c r="CK24" i="15"/>
  <c r="CN24" i="15"/>
  <c r="CQ24" i="15"/>
  <c r="CT24" i="15"/>
  <c r="CW24" i="15"/>
  <c r="CZ24" i="15"/>
  <c r="DC24" i="15"/>
  <c r="DF24" i="15"/>
  <c r="DI24" i="15"/>
  <c r="DL24" i="15"/>
  <c r="DO24" i="15"/>
  <c r="DR24" i="15"/>
  <c r="DU24" i="15"/>
  <c r="DX24" i="15"/>
  <c r="EA24" i="15"/>
  <c r="ED24" i="15"/>
  <c r="EG24" i="15"/>
  <c r="EJ24" i="15"/>
  <c r="EM24" i="15"/>
  <c r="EP24" i="15"/>
  <c r="ES24" i="15"/>
  <c r="EV24" i="15"/>
  <c r="EY24" i="15"/>
  <c r="FB24" i="15"/>
  <c r="FE24" i="15"/>
  <c r="FH24" i="15"/>
  <c r="FK24" i="15"/>
  <c r="FN24" i="15"/>
  <c r="FQ24" i="15"/>
  <c r="FT24" i="15"/>
  <c r="FW24" i="15"/>
  <c r="FZ24" i="15"/>
  <c r="GC24" i="15"/>
  <c r="GF24" i="15"/>
  <c r="GI24" i="15"/>
  <c r="GL24" i="15"/>
  <c r="GO24" i="15"/>
  <c r="GR24" i="15"/>
  <c r="GU24" i="15"/>
  <c r="GX24" i="15"/>
  <c r="HA24" i="15"/>
  <c r="HD24" i="15"/>
  <c r="HG24" i="15"/>
  <c r="HJ24" i="15"/>
  <c r="HM24" i="15"/>
  <c r="HP24" i="15"/>
  <c r="HS24" i="15"/>
  <c r="HV24" i="15"/>
  <c r="HY24" i="15"/>
  <c r="IB24" i="15"/>
  <c r="IE24" i="15"/>
  <c r="IH24" i="15"/>
  <c r="IK24" i="15"/>
  <c r="IN24" i="15"/>
  <c r="IQ24" i="15"/>
  <c r="IT24" i="15"/>
  <c r="IW24" i="15"/>
  <c r="IZ24" i="15"/>
  <c r="JC24" i="15"/>
  <c r="JF24" i="15"/>
  <c r="JI24" i="15"/>
  <c r="JL24" i="15"/>
  <c r="JO24" i="15"/>
  <c r="JR24" i="15"/>
  <c r="JU24" i="15"/>
  <c r="JX24" i="15"/>
  <c r="KA24" i="15"/>
  <c r="KD24" i="15"/>
  <c r="KG24" i="15"/>
  <c r="KJ24" i="15"/>
  <c r="A25" i="15"/>
  <c r="B25" i="15"/>
  <c r="E25" i="15"/>
  <c r="H25" i="15"/>
  <c r="K25" i="15"/>
  <c r="N25" i="15"/>
  <c r="Q25" i="15"/>
  <c r="T25" i="15"/>
  <c r="W25" i="15"/>
  <c r="Z25" i="15"/>
  <c r="AC25" i="15"/>
  <c r="AF25" i="15"/>
  <c r="AI25" i="15"/>
  <c r="AL25" i="15"/>
  <c r="AO25" i="15"/>
  <c r="AR25" i="15"/>
  <c r="AU25" i="15"/>
  <c r="AX25" i="15"/>
  <c r="BA25" i="15"/>
  <c r="BD25" i="15"/>
  <c r="BG25" i="15"/>
  <c r="BJ25" i="15"/>
  <c r="BM25" i="15"/>
  <c r="BP25" i="15"/>
  <c r="BS25" i="15"/>
  <c r="BV25" i="15"/>
  <c r="BY25" i="15"/>
  <c r="CB25" i="15"/>
  <c r="CE25" i="15"/>
  <c r="CH25" i="15"/>
  <c r="CK25" i="15"/>
  <c r="CN25" i="15"/>
  <c r="CQ25" i="15"/>
  <c r="CT25" i="15"/>
  <c r="CW25" i="15"/>
  <c r="CZ25" i="15"/>
  <c r="DC25" i="15"/>
  <c r="DF25" i="15"/>
  <c r="DI25" i="15"/>
  <c r="DL25" i="15"/>
  <c r="DO25" i="15"/>
  <c r="DR25" i="15"/>
  <c r="DU25" i="15"/>
  <c r="DX25" i="15"/>
  <c r="EA25" i="15"/>
  <c r="ED25" i="15"/>
  <c r="EG25" i="15"/>
  <c r="EJ25" i="15"/>
  <c r="EM25" i="15"/>
  <c r="EP25" i="15"/>
  <c r="ES25" i="15"/>
  <c r="EV25" i="15"/>
  <c r="EY25" i="15"/>
  <c r="FB25" i="15"/>
  <c r="FE25" i="15"/>
  <c r="FH25" i="15"/>
  <c r="FK25" i="15"/>
  <c r="FN25" i="15"/>
  <c r="FQ25" i="15"/>
  <c r="FT25" i="15"/>
  <c r="FW25" i="15"/>
  <c r="FZ25" i="15"/>
  <c r="GC25" i="15"/>
  <c r="GF25" i="15"/>
  <c r="GI25" i="15"/>
  <c r="GL25" i="15"/>
  <c r="GO25" i="15"/>
  <c r="GR25" i="15"/>
  <c r="GU25" i="15"/>
  <c r="GX25" i="15"/>
  <c r="HA25" i="15"/>
  <c r="HD25" i="15"/>
  <c r="HG25" i="15"/>
  <c r="HJ25" i="15"/>
  <c r="HM25" i="15"/>
  <c r="HP25" i="15"/>
  <c r="HS25" i="15"/>
  <c r="HV25" i="15"/>
  <c r="HY25" i="15"/>
  <c r="IB25" i="15"/>
  <c r="IE25" i="15"/>
  <c r="IH25" i="15"/>
  <c r="IK25" i="15"/>
  <c r="IN25" i="15"/>
  <c r="IQ25" i="15"/>
  <c r="IT25" i="15"/>
  <c r="IW25" i="15"/>
  <c r="IZ25" i="15"/>
  <c r="JC25" i="15"/>
  <c r="JF25" i="15"/>
  <c r="JI25" i="15"/>
  <c r="JL25" i="15"/>
  <c r="JO25" i="15"/>
  <c r="JR25" i="15"/>
  <c r="JU25" i="15"/>
  <c r="JX25" i="15"/>
  <c r="KA25" i="15"/>
  <c r="KD25" i="15"/>
  <c r="KG25" i="15"/>
  <c r="KJ25" i="15"/>
  <c r="A26" i="15"/>
  <c r="B26" i="15"/>
  <c r="E26" i="15"/>
  <c r="H26" i="15"/>
  <c r="K26" i="15"/>
  <c r="N26" i="15"/>
  <c r="Q26" i="15"/>
  <c r="T26" i="15"/>
  <c r="W26" i="15"/>
  <c r="Z26" i="15"/>
  <c r="AC26" i="15"/>
  <c r="AF26" i="15"/>
  <c r="AI26" i="15"/>
  <c r="AL26" i="15"/>
  <c r="AO26" i="15"/>
  <c r="AR26" i="15"/>
  <c r="AU26" i="15"/>
  <c r="AX26" i="15"/>
  <c r="BA26" i="15"/>
  <c r="BD26" i="15"/>
  <c r="BG26" i="15"/>
  <c r="BJ26" i="15"/>
  <c r="BM26" i="15"/>
  <c r="BP26" i="15"/>
  <c r="BS26" i="15"/>
  <c r="BV26" i="15"/>
  <c r="BY26" i="15"/>
  <c r="CB26" i="15"/>
  <c r="CE26" i="15"/>
  <c r="CH26" i="15"/>
  <c r="CK26" i="15"/>
  <c r="CN26" i="15"/>
  <c r="CQ26" i="15"/>
  <c r="CT26" i="15"/>
  <c r="CW26" i="15"/>
  <c r="CZ26" i="15"/>
  <c r="DC26" i="15"/>
  <c r="DF26" i="15"/>
  <c r="DI26" i="15"/>
  <c r="DL26" i="15"/>
  <c r="DO26" i="15"/>
  <c r="DR26" i="15"/>
  <c r="DU26" i="15"/>
  <c r="DX26" i="15"/>
  <c r="EA26" i="15"/>
  <c r="ED26" i="15"/>
  <c r="EG26" i="15"/>
  <c r="EJ26" i="15"/>
  <c r="EM26" i="15"/>
  <c r="EP26" i="15"/>
  <c r="ES26" i="15"/>
  <c r="EV26" i="15"/>
  <c r="EY26" i="15"/>
  <c r="FB26" i="15"/>
  <c r="FE26" i="15"/>
  <c r="FH26" i="15"/>
  <c r="FK26" i="15"/>
  <c r="FN26" i="15"/>
  <c r="FQ26" i="15"/>
  <c r="FT26" i="15"/>
  <c r="FW26" i="15"/>
  <c r="FZ26" i="15"/>
  <c r="GC26" i="15"/>
  <c r="GF26" i="15"/>
  <c r="GI26" i="15"/>
  <c r="GL26" i="15"/>
  <c r="GO26" i="15"/>
  <c r="GR26" i="15"/>
  <c r="GU26" i="15"/>
  <c r="GX26" i="15"/>
  <c r="HA26" i="15"/>
  <c r="HD26" i="15"/>
  <c r="HG26" i="15"/>
  <c r="HJ26" i="15"/>
  <c r="HM26" i="15"/>
  <c r="HP26" i="15"/>
  <c r="HS26" i="15"/>
  <c r="HV26" i="15"/>
  <c r="HY26" i="15"/>
  <c r="IB26" i="15"/>
  <c r="IE26" i="15"/>
  <c r="IH26" i="15"/>
  <c r="IK26" i="15"/>
  <c r="IN26" i="15"/>
  <c r="IQ26" i="15"/>
  <c r="IT26" i="15"/>
  <c r="IW26" i="15"/>
  <c r="IZ26" i="15"/>
  <c r="JC26" i="15"/>
  <c r="JF26" i="15"/>
  <c r="JI26" i="15"/>
  <c r="JL26" i="15"/>
  <c r="JO26" i="15"/>
  <c r="JR26" i="15"/>
  <c r="JU26" i="15"/>
  <c r="JX26" i="15"/>
  <c r="KA26" i="15"/>
  <c r="KD26" i="15"/>
  <c r="KG26" i="15"/>
  <c r="KJ26" i="15"/>
  <c r="A27" i="15"/>
  <c r="B27" i="15"/>
  <c r="E27" i="15"/>
  <c r="H27" i="15"/>
  <c r="K27" i="15"/>
  <c r="N27" i="15"/>
  <c r="Q27" i="15"/>
  <c r="T27" i="15"/>
  <c r="W27" i="15"/>
  <c r="Z27" i="15"/>
  <c r="AC27" i="15"/>
  <c r="AF27" i="15"/>
  <c r="AI27" i="15"/>
  <c r="AL27" i="15"/>
  <c r="AO27" i="15"/>
  <c r="AR27" i="15"/>
  <c r="AU27" i="15"/>
  <c r="AX27" i="15"/>
  <c r="BA27" i="15"/>
  <c r="BD27" i="15"/>
  <c r="BG27" i="15"/>
  <c r="BJ27" i="15"/>
  <c r="BM27" i="15"/>
  <c r="BP27" i="15"/>
  <c r="BS27" i="15"/>
  <c r="BV27" i="15"/>
  <c r="BY27" i="15"/>
  <c r="CB27" i="15"/>
  <c r="CE27" i="15"/>
  <c r="CH27" i="15"/>
  <c r="CK27" i="15"/>
  <c r="CN27" i="15"/>
  <c r="CQ27" i="15"/>
  <c r="CT27" i="15"/>
  <c r="CW27" i="15"/>
  <c r="CZ27" i="15"/>
  <c r="DC27" i="15"/>
  <c r="DF27" i="15"/>
  <c r="DI27" i="15"/>
  <c r="DL27" i="15"/>
  <c r="DO27" i="15"/>
  <c r="DR27" i="15"/>
  <c r="DU27" i="15"/>
  <c r="DX27" i="15"/>
  <c r="EA27" i="15"/>
  <c r="ED27" i="15"/>
  <c r="EG27" i="15"/>
  <c r="EJ27" i="15"/>
  <c r="EM27" i="15"/>
  <c r="EP27" i="15"/>
  <c r="ES27" i="15"/>
  <c r="EV27" i="15"/>
  <c r="EY27" i="15"/>
  <c r="FB27" i="15"/>
  <c r="FE27" i="15"/>
  <c r="FH27" i="15"/>
  <c r="FK27" i="15"/>
  <c r="FN27" i="15"/>
  <c r="FQ27" i="15"/>
  <c r="FT27" i="15"/>
  <c r="FW27" i="15"/>
  <c r="FZ27" i="15"/>
  <c r="GC27" i="15"/>
  <c r="GF27" i="15"/>
  <c r="GI27" i="15"/>
  <c r="GL27" i="15"/>
  <c r="GO27" i="15"/>
  <c r="GR27" i="15"/>
  <c r="GU27" i="15"/>
  <c r="GX27" i="15"/>
  <c r="HA27" i="15"/>
  <c r="HD27" i="15"/>
  <c r="HG27" i="15"/>
  <c r="HJ27" i="15"/>
  <c r="HM27" i="15"/>
  <c r="HP27" i="15"/>
  <c r="HS27" i="15"/>
  <c r="HV27" i="15"/>
  <c r="HY27" i="15"/>
  <c r="IB27" i="15"/>
  <c r="IE27" i="15"/>
  <c r="IH27" i="15"/>
  <c r="IK27" i="15"/>
  <c r="IN27" i="15"/>
  <c r="IQ27" i="15"/>
  <c r="IT27" i="15"/>
  <c r="IW27" i="15"/>
  <c r="IZ27" i="15"/>
  <c r="JC27" i="15"/>
  <c r="JF27" i="15"/>
  <c r="JI27" i="15"/>
  <c r="JL27" i="15"/>
  <c r="JO27" i="15"/>
  <c r="JR27" i="15"/>
  <c r="JU27" i="15"/>
  <c r="JX27" i="15"/>
  <c r="KA27" i="15"/>
  <c r="KD27" i="15"/>
  <c r="KG27" i="15"/>
  <c r="KJ27" i="15"/>
  <c r="A28" i="15"/>
  <c r="B28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Z28" i="15"/>
  <c r="BA28" i="15"/>
  <c r="BB28" i="15"/>
  <c r="BC28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CM28" i="15"/>
  <c r="CN28" i="15"/>
  <c r="CO28" i="15"/>
  <c r="CP28" i="15"/>
  <c r="CQ28" i="15"/>
  <c r="CR28" i="15"/>
  <c r="CS28" i="15"/>
  <c r="CT28" i="15"/>
  <c r="CU28" i="15"/>
  <c r="CV28" i="15"/>
  <c r="CW28" i="15"/>
  <c r="CX28" i="15"/>
  <c r="CY28" i="15"/>
  <c r="CZ28" i="15"/>
  <c r="DA28" i="15"/>
  <c r="DB28" i="15"/>
  <c r="DC28" i="15"/>
  <c r="DD28" i="15"/>
  <c r="DE28" i="15"/>
  <c r="DF28" i="15"/>
  <c r="DG28" i="15"/>
  <c r="DH28" i="15"/>
  <c r="DI28" i="15"/>
  <c r="DJ28" i="15"/>
  <c r="DK28" i="15"/>
  <c r="DL28" i="15"/>
  <c r="DM28" i="15"/>
  <c r="DN28" i="15"/>
  <c r="DO28" i="15"/>
  <c r="DP28" i="15"/>
  <c r="DQ28" i="15"/>
  <c r="DR28" i="15"/>
  <c r="DS28" i="15"/>
  <c r="DT28" i="15"/>
  <c r="DU28" i="15"/>
  <c r="DV28" i="15"/>
  <c r="DW28" i="15"/>
  <c r="DX28" i="15"/>
  <c r="DY28" i="15"/>
  <c r="DZ28" i="15"/>
  <c r="EA28" i="15"/>
  <c r="EB28" i="15"/>
  <c r="EC28" i="15"/>
  <c r="ED28" i="15"/>
  <c r="EE28" i="15"/>
  <c r="EF28" i="15"/>
  <c r="EG28" i="15"/>
  <c r="EH28" i="15"/>
  <c r="EI28" i="15"/>
  <c r="EJ28" i="15"/>
  <c r="EK28" i="15"/>
  <c r="EL28" i="15"/>
  <c r="EM28" i="15"/>
  <c r="EN28" i="15"/>
  <c r="EO28" i="15"/>
  <c r="EP28" i="15"/>
  <c r="EQ28" i="15"/>
  <c r="ER28" i="15"/>
  <c r="ES28" i="15"/>
  <c r="ET28" i="15"/>
  <c r="EU28" i="15"/>
  <c r="EV28" i="15"/>
  <c r="EW28" i="15"/>
  <c r="EX28" i="15"/>
  <c r="EY28" i="15"/>
  <c r="EZ28" i="15"/>
  <c r="FA28" i="15"/>
  <c r="FB28" i="15"/>
  <c r="FC28" i="15"/>
  <c r="FD28" i="15"/>
  <c r="FE28" i="15"/>
  <c r="FF28" i="15"/>
  <c r="FG28" i="15"/>
  <c r="FH28" i="15"/>
  <c r="FI28" i="15"/>
  <c r="FJ28" i="15"/>
  <c r="FK28" i="15"/>
  <c r="FL28" i="15"/>
  <c r="FM28" i="15"/>
  <c r="FN28" i="15"/>
  <c r="FO28" i="15"/>
  <c r="FP28" i="15"/>
  <c r="FQ28" i="15"/>
  <c r="FR28" i="15"/>
  <c r="FS28" i="15"/>
  <c r="FT28" i="15"/>
  <c r="FU28" i="15"/>
  <c r="FV28" i="15"/>
  <c r="FW28" i="15"/>
  <c r="FX28" i="15"/>
  <c r="FY28" i="15"/>
  <c r="FZ28" i="15"/>
  <c r="GA28" i="15"/>
  <c r="GB28" i="15"/>
  <c r="GC28" i="15"/>
  <c r="GD28" i="15"/>
  <c r="GE28" i="15"/>
  <c r="GF28" i="15"/>
  <c r="GG28" i="15"/>
  <c r="GH28" i="15"/>
  <c r="GI28" i="15"/>
  <c r="GJ28" i="15"/>
  <c r="GK28" i="15"/>
  <c r="GL28" i="15"/>
  <c r="GM28" i="15"/>
  <c r="GN28" i="15"/>
  <c r="GO28" i="15"/>
  <c r="GP28" i="15"/>
  <c r="GQ28" i="15"/>
  <c r="A29" i="15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E78" i="12" l="1"/>
  <c r="A1" i="14"/>
  <c r="B1" i="14"/>
  <c r="C1" i="14"/>
  <c r="D1" i="14"/>
  <c r="E1" i="14"/>
  <c r="F1" i="14"/>
  <c r="G1" i="14"/>
  <c r="H1" i="14"/>
  <c r="I1" i="14"/>
  <c r="J1" i="14"/>
  <c r="K1" i="14"/>
  <c r="L1" i="14"/>
  <c r="M1" i="14"/>
  <c r="N1" i="14"/>
  <c r="O1" i="14"/>
  <c r="P1" i="14"/>
  <c r="Q1" i="14"/>
  <c r="R1" i="14"/>
  <c r="S1" i="14"/>
  <c r="T1" i="14"/>
  <c r="U1" i="14"/>
  <c r="V1" i="14"/>
  <c r="W1" i="14"/>
  <c r="X1" i="14"/>
  <c r="Y1" i="14"/>
  <c r="Z1" i="14"/>
  <c r="AA1" i="14"/>
  <c r="AB1" i="14"/>
  <c r="AC1" i="14"/>
  <c r="AD1" i="14"/>
  <c r="AE1" i="14"/>
  <c r="AF1" i="14"/>
  <c r="AG1" i="14"/>
  <c r="AH1" i="14"/>
  <c r="AI1" i="14"/>
  <c r="AJ1" i="14"/>
  <c r="AK1" i="14"/>
  <c r="AL1" i="14"/>
  <c r="AM1" i="14"/>
  <c r="AN1" i="14"/>
  <c r="AO1" i="14"/>
  <c r="AP1" i="14"/>
  <c r="AQ1" i="14"/>
  <c r="AR1" i="14"/>
  <c r="AS1" i="14"/>
  <c r="AT1" i="14"/>
  <c r="AU1" i="14"/>
  <c r="AV1" i="14"/>
  <c r="AW1" i="14"/>
  <c r="AX1" i="14"/>
  <c r="AY1" i="14"/>
  <c r="AZ1" i="14"/>
  <c r="BA1" i="14"/>
  <c r="BB1" i="14"/>
  <c r="BC1" i="14"/>
  <c r="BD1" i="14"/>
  <c r="BE1" i="14"/>
  <c r="BF1" i="14"/>
  <c r="BG1" i="14"/>
  <c r="BH1" i="14"/>
  <c r="BI1" i="14"/>
  <c r="BJ1" i="14"/>
  <c r="BK1" i="14"/>
  <c r="BL1" i="14"/>
  <c r="BM1" i="14"/>
  <c r="BN1" i="14"/>
  <c r="BO1" i="14"/>
  <c r="BP1" i="14"/>
  <c r="BQ1" i="14"/>
  <c r="BR1" i="14"/>
  <c r="BS1" i="14"/>
  <c r="BT1" i="14"/>
  <c r="BU1" i="14"/>
  <c r="BV1" i="14"/>
  <c r="BW1" i="14"/>
  <c r="BX1" i="14"/>
  <c r="BY1" i="14"/>
  <c r="BZ1" i="14"/>
  <c r="CA1" i="14"/>
  <c r="CB1" i="14"/>
  <c r="CC1" i="14"/>
  <c r="CD1" i="14"/>
  <c r="CE1" i="14"/>
  <c r="CF1" i="14"/>
  <c r="CG1" i="14"/>
  <c r="CH1" i="14"/>
  <c r="CI1" i="14"/>
  <c r="CJ1" i="14"/>
  <c r="CK1" i="14"/>
  <c r="CL1" i="14"/>
  <c r="CM1" i="14"/>
  <c r="CN1" i="14"/>
  <c r="CO1" i="14"/>
  <c r="CP1" i="14"/>
  <c r="CQ1" i="14"/>
  <c r="CR1" i="14"/>
  <c r="CS1" i="14"/>
  <c r="CT1" i="14"/>
  <c r="CU1" i="14"/>
  <c r="CV1" i="14"/>
  <c r="CW1" i="14"/>
  <c r="CX1" i="14"/>
  <c r="CY1" i="14"/>
  <c r="CZ1" i="14"/>
  <c r="DA1" i="14"/>
  <c r="DB1" i="14"/>
  <c r="DC1" i="14"/>
  <c r="DD1" i="14"/>
  <c r="DE1" i="14"/>
  <c r="DF1" i="14"/>
  <c r="DG1" i="14"/>
  <c r="DH1" i="14"/>
  <c r="DI1" i="14"/>
  <c r="DJ1" i="14"/>
  <c r="DK1" i="14"/>
  <c r="DL1" i="14"/>
  <c r="DM1" i="14"/>
  <c r="DN1" i="14"/>
  <c r="DO1" i="14"/>
  <c r="DP1" i="14"/>
  <c r="DQ1" i="14"/>
  <c r="DR1" i="14"/>
  <c r="DS1" i="14"/>
  <c r="DT1" i="14"/>
  <c r="DU1" i="14"/>
  <c r="DV1" i="14"/>
  <c r="DW1" i="14"/>
  <c r="DX1" i="14"/>
  <c r="DY1" i="14"/>
  <c r="DZ1" i="14"/>
  <c r="EA1" i="14"/>
  <c r="EB1" i="14"/>
  <c r="EC1" i="14"/>
  <c r="ED1" i="14"/>
  <c r="EE1" i="14"/>
  <c r="EF1" i="14"/>
  <c r="EG1" i="14"/>
  <c r="EH1" i="14"/>
  <c r="EI1" i="14"/>
  <c r="EJ1" i="14"/>
  <c r="EK1" i="14"/>
  <c r="EL1" i="14"/>
  <c r="EM1" i="14"/>
  <c r="EN1" i="14"/>
  <c r="EO1" i="14"/>
  <c r="EP1" i="14"/>
  <c r="EQ1" i="14"/>
  <c r="ER1" i="14"/>
  <c r="ES1" i="14"/>
  <c r="ET1" i="14"/>
  <c r="EU1" i="14"/>
  <c r="EV1" i="14"/>
  <c r="EW1" i="14"/>
  <c r="EX1" i="14"/>
  <c r="EY1" i="14"/>
  <c r="EZ1" i="14"/>
  <c r="FA1" i="14"/>
  <c r="FB1" i="14"/>
  <c r="FC1" i="14"/>
  <c r="FD1" i="14"/>
  <c r="FE1" i="14"/>
  <c r="FF1" i="14"/>
  <c r="FG1" i="14"/>
  <c r="FH1" i="14"/>
  <c r="FI1" i="14"/>
  <c r="FJ1" i="14"/>
  <c r="FK1" i="14"/>
  <c r="FL1" i="14"/>
  <c r="FM1" i="14"/>
  <c r="FN1" i="14"/>
  <c r="FO1" i="14"/>
  <c r="FP1" i="14"/>
  <c r="FQ1" i="14"/>
  <c r="FR1" i="14"/>
  <c r="FS1" i="14"/>
  <c r="FT1" i="14"/>
  <c r="FU1" i="14"/>
  <c r="FV1" i="14"/>
  <c r="FW1" i="14"/>
  <c r="FX1" i="14"/>
  <c r="FY1" i="14"/>
  <c r="FZ1" i="14"/>
  <c r="GA1" i="14"/>
  <c r="GB1" i="14"/>
  <c r="GC1" i="14"/>
  <c r="GD1" i="14"/>
  <c r="GE1" i="14"/>
  <c r="GF1" i="14"/>
  <c r="GG1" i="14"/>
  <c r="GH1" i="14"/>
  <c r="GI1" i="14"/>
  <c r="GJ1" i="14"/>
  <c r="GK1" i="14"/>
  <c r="GL1" i="14"/>
  <c r="GM1" i="14"/>
  <c r="GN1" i="14"/>
  <c r="GO1" i="14"/>
  <c r="GP1" i="14"/>
  <c r="GQ1" i="14"/>
  <c r="A2" i="14"/>
  <c r="B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BU2" i="14"/>
  <c r="BV2" i="14"/>
  <c r="BW2" i="14"/>
  <c r="BX2" i="14"/>
  <c r="BY2" i="14"/>
  <c r="BZ2" i="14"/>
  <c r="CA2" i="14"/>
  <c r="CB2" i="14"/>
  <c r="CC2" i="14"/>
  <c r="CD2" i="14"/>
  <c r="CE2" i="14"/>
  <c r="CF2" i="14"/>
  <c r="CG2" i="14"/>
  <c r="CH2" i="14"/>
  <c r="CI2" i="14"/>
  <c r="CJ2" i="14"/>
  <c r="CK2" i="14"/>
  <c r="CL2" i="14"/>
  <c r="CM2" i="14"/>
  <c r="CN2" i="14"/>
  <c r="CO2" i="14"/>
  <c r="CP2" i="14"/>
  <c r="CQ2" i="14"/>
  <c r="CR2" i="14"/>
  <c r="CS2" i="14"/>
  <c r="CT2" i="14"/>
  <c r="CU2" i="14"/>
  <c r="CV2" i="14"/>
  <c r="CW2" i="14"/>
  <c r="CX2" i="14"/>
  <c r="CY2" i="14"/>
  <c r="CZ2" i="14"/>
  <c r="DA2" i="14"/>
  <c r="DB2" i="14"/>
  <c r="DC2" i="14"/>
  <c r="DD2" i="14"/>
  <c r="DE2" i="14"/>
  <c r="DF2" i="14"/>
  <c r="DG2" i="14"/>
  <c r="DH2" i="14"/>
  <c r="DI2" i="14"/>
  <c r="DJ2" i="14"/>
  <c r="DK2" i="14"/>
  <c r="DL2" i="14"/>
  <c r="DM2" i="14"/>
  <c r="DN2" i="14"/>
  <c r="DO2" i="14"/>
  <c r="DP2" i="14"/>
  <c r="DQ2" i="14"/>
  <c r="DR2" i="14"/>
  <c r="DS2" i="14"/>
  <c r="DT2" i="14"/>
  <c r="DU2" i="14"/>
  <c r="DV2" i="14"/>
  <c r="DW2" i="14"/>
  <c r="DX2" i="14"/>
  <c r="DY2" i="14"/>
  <c r="DZ2" i="14"/>
  <c r="EA2" i="14"/>
  <c r="EB2" i="14"/>
  <c r="EC2" i="14"/>
  <c r="ED2" i="14"/>
  <c r="EE2" i="14"/>
  <c r="EF2" i="14"/>
  <c r="EG2" i="14"/>
  <c r="EH2" i="14"/>
  <c r="EI2" i="14"/>
  <c r="EJ2" i="14"/>
  <c r="EK2" i="14"/>
  <c r="EL2" i="14"/>
  <c r="EM2" i="14"/>
  <c r="EN2" i="14"/>
  <c r="EO2" i="14"/>
  <c r="EP2" i="14"/>
  <c r="EQ2" i="14"/>
  <c r="ER2" i="14"/>
  <c r="ES2" i="14"/>
  <c r="ET2" i="14"/>
  <c r="EU2" i="14"/>
  <c r="EV2" i="14"/>
  <c r="EW2" i="14"/>
  <c r="EX2" i="14"/>
  <c r="EY2" i="14"/>
  <c r="EZ2" i="14"/>
  <c r="FA2" i="14"/>
  <c r="FB2" i="14"/>
  <c r="FC2" i="14"/>
  <c r="FD2" i="14"/>
  <c r="FE2" i="14"/>
  <c r="FF2" i="14"/>
  <c r="FG2" i="14"/>
  <c r="FH2" i="14"/>
  <c r="FI2" i="14"/>
  <c r="FJ2" i="14"/>
  <c r="FK2" i="14"/>
  <c r="FL2" i="14"/>
  <c r="FM2" i="14"/>
  <c r="FN2" i="14"/>
  <c r="FO2" i="14"/>
  <c r="FP2" i="14"/>
  <c r="FQ2" i="14"/>
  <c r="FR2" i="14"/>
  <c r="FS2" i="14"/>
  <c r="FT2" i="14"/>
  <c r="FU2" i="14"/>
  <c r="FV2" i="14"/>
  <c r="FW2" i="14"/>
  <c r="FX2" i="14"/>
  <c r="FY2" i="14"/>
  <c r="FZ2" i="14"/>
  <c r="GA2" i="14"/>
  <c r="GB2" i="14"/>
  <c r="GC2" i="14"/>
  <c r="GD2" i="14"/>
  <c r="GE2" i="14"/>
  <c r="GF2" i="14"/>
  <c r="GG2" i="14"/>
  <c r="GH2" i="14"/>
  <c r="GI2" i="14"/>
  <c r="GJ2" i="14"/>
  <c r="GK2" i="14"/>
  <c r="GL2" i="14"/>
  <c r="GM2" i="14"/>
  <c r="GN2" i="14"/>
  <c r="GO2" i="14"/>
  <c r="GP2" i="14"/>
  <c r="GQ2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BU3" i="14"/>
  <c r="BV3" i="14"/>
  <c r="BW3" i="14"/>
  <c r="BX3" i="14"/>
  <c r="BY3" i="14"/>
  <c r="BZ3" i="14"/>
  <c r="CA3" i="14"/>
  <c r="CB3" i="14"/>
  <c r="CC3" i="14"/>
  <c r="CD3" i="14"/>
  <c r="CE3" i="14"/>
  <c r="CF3" i="14"/>
  <c r="CG3" i="14"/>
  <c r="CH3" i="14"/>
  <c r="CI3" i="14"/>
  <c r="CJ3" i="14"/>
  <c r="CK3" i="14"/>
  <c r="CL3" i="14"/>
  <c r="CM3" i="14"/>
  <c r="CN3" i="14"/>
  <c r="CO3" i="14"/>
  <c r="CP3" i="14"/>
  <c r="CQ3" i="14"/>
  <c r="CR3" i="14"/>
  <c r="CS3" i="14"/>
  <c r="CT3" i="14"/>
  <c r="CU3" i="14"/>
  <c r="CV3" i="14"/>
  <c r="CW3" i="14"/>
  <c r="CX3" i="14"/>
  <c r="CY3" i="14"/>
  <c r="CZ3" i="14"/>
  <c r="DA3" i="14"/>
  <c r="DB3" i="14"/>
  <c r="DC3" i="14"/>
  <c r="DD3" i="14"/>
  <c r="DE3" i="14"/>
  <c r="DF3" i="14"/>
  <c r="DG3" i="14"/>
  <c r="DH3" i="14"/>
  <c r="DI3" i="14"/>
  <c r="DJ3" i="14"/>
  <c r="DK3" i="14"/>
  <c r="DL3" i="14"/>
  <c r="DM3" i="14"/>
  <c r="DN3" i="14"/>
  <c r="DO3" i="14"/>
  <c r="DP3" i="14"/>
  <c r="DQ3" i="14"/>
  <c r="DR3" i="14"/>
  <c r="DS3" i="14"/>
  <c r="DT3" i="14"/>
  <c r="DU3" i="14"/>
  <c r="DV3" i="14"/>
  <c r="DW3" i="14"/>
  <c r="DX3" i="14"/>
  <c r="DY3" i="14"/>
  <c r="DZ3" i="14"/>
  <c r="EA3" i="14"/>
  <c r="EB3" i="14"/>
  <c r="EC3" i="14"/>
  <c r="ED3" i="14"/>
  <c r="EE3" i="14"/>
  <c r="EF3" i="14"/>
  <c r="EG3" i="14"/>
  <c r="EH3" i="14"/>
  <c r="EI3" i="14"/>
  <c r="EJ3" i="14"/>
  <c r="EK3" i="14"/>
  <c r="EL3" i="14"/>
  <c r="EM3" i="14"/>
  <c r="EN3" i="14"/>
  <c r="EO3" i="14"/>
  <c r="EP3" i="14"/>
  <c r="EQ3" i="14"/>
  <c r="ER3" i="14"/>
  <c r="ES3" i="14"/>
  <c r="ET3" i="14"/>
  <c r="EU3" i="14"/>
  <c r="EV3" i="14"/>
  <c r="EW3" i="14"/>
  <c r="EX3" i="14"/>
  <c r="EY3" i="14"/>
  <c r="EZ3" i="14"/>
  <c r="FA3" i="14"/>
  <c r="FB3" i="14"/>
  <c r="FC3" i="14"/>
  <c r="FD3" i="14"/>
  <c r="FE3" i="14"/>
  <c r="FF3" i="14"/>
  <c r="FG3" i="14"/>
  <c r="FH3" i="14"/>
  <c r="FI3" i="14"/>
  <c r="FJ3" i="14"/>
  <c r="FK3" i="14"/>
  <c r="FL3" i="14"/>
  <c r="FM3" i="14"/>
  <c r="FN3" i="14"/>
  <c r="FO3" i="14"/>
  <c r="FP3" i="14"/>
  <c r="FQ3" i="14"/>
  <c r="FR3" i="14"/>
  <c r="FS3" i="14"/>
  <c r="FT3" i="14"/>
  <c r="FU3" i="14"/>
  <c r="FV3" i="14"/>
  <c r="FW3" i="14"/>
  <c r="FX3" i="14"/>
  <c r="FY3" i="14"/>
  <c r="FZ3" i="14"/>
  <c r="GA3" i="14"/>
  <c r="GB3" i="14"/>
  <c r="GC3" i="14"/>
  <c r="GD3" i="14"/>
  <c r="GE3" i="14"/>
  <c r="GF3" i="14"/>
  <c r="GG3" i="14"/>
  <c r="GH3" i="14"/>
  <c r="GI3" i="14"/>
  <c r="GJ3" i="14"/>
  <c r="GK3" i="14"/>
  <c r="GL3" i="14"/>
  <c r="GM3" i="14"/>
  <c r="GN3" i="14"/>
  <c r="GO3" i="14"/>
  <c r="GP3" i="14"/>
  <c r="GQ3" i="14"/>
  <c r="A4" i="14"/>
  <c r="B4" i="14"/>
  <c r="E4" i="14"/>
  <c r="H4" i="14"/>
  <c r="K4" i="14"/>
  <c r="N4" i="14"/>
  <c r="Q4" i="14"/>
  <c r="T4" i="14"/>
  <c r="W4" i="14"/>
  <c r="Z4" i="14"/>
  <c r="AC4" i="14"/>
  <c r="AF4" i="14"/>
  <c r="AI4" i="14"/>
  <c r="AL4" i="14"/>
  <c r="AO4" i="14"/>
  <c r="AR4" i="14"/>
  <c r="AU4" i="14"/>
  <c r="AX4" i="14"/>
  <c r="BA4" i="14"/>
  <c r="BD4" i="14"/>
  <c r="BG4" i="14"/>
  <c r="BJ4" i="14"/>
  <c r="BM4" i="14"/>
  <c r="BP4" i="14"/>
  <c r="BS4" i="14"/>
  <c r="BV4" i="14"/>
  <c r="BY4" i="14"/>
  <c r="CB4" i="14"/>
  <c r="CE4" i="14"/>
  <c r="CH4" i="14"/>
  <c r="CK4" i="14"/>
  <c r="CN4" i="14"/>
  <c r="CQ4" i="14"/>
  <c r="CT4" i="14"/>
  <c r="CW4" i="14"/>
  <c r="CZ4" i="14"/>
  <c r="DC4" i="14"/>
  <c r="DF4" i="14"/>
  <c r="DI4" i="14"/>
  <c r="DL4" i="14"/>
  <c r="DO4" i="14"/>
  <c r="DR4" i="14"/>
  <c r="DU4" i="14"/>
  <c r="DX4" i="14"/>
  <c r="EA4" i="14"/>
  <c r="ED4" i="14"/>
  <c r="EG4" i="14"/>
  <c r="EJ4" i="14"/>
  <c r="EM4" i="14"/>
  <c r="EP4" i="14"/>
  <c r="ES4" i="14"/>
  <c r="EV4" i="14"/>
  <c r="EY4" i="14"/>
  <c r="FB4" i="14"/>
  <c r="FE4" i="14"/>
  <c r="FH4" i="14"/>
  <c r="FK4" i="14"/>
  <c r="FN4" i="14"/>
  <c r="FQ4" i="14"/>
  <c r="FT4" i="14"/>
  <c r="FW4" i="14"/>
  <c r="FZ4" i="14"/>
  <c r="GC4" i="14"/>
  <c r="GF4" i="14"/>
  <c r="GI4" i="14"/>
  <c r="GL4" i="14"/>
  <c r="GO4" i="14"/>
  <c r="GR4" i="14"/>
  <c r="GU4" i="14"/>
  <c r="GX4" i="14"/>
  <c r="HA4" i="14"/>
  <c r="HD4" i="14"/>
  <c r="HG4" i="14"/>
  <c r="HJ4" i="14"/>
  <c r="HM4" i="14"/>
  <c r="HP4" i="14"/>
  <c r="HS4" i="14"/>
  <c r="HV4" i="14"/>
  <c r="HY4" i="14"/>
  <c r="IB4" i="14"/>
  <c r="IE4" i="14"/>
  <c r="IH4" i="14"/>
  <c r="IK4" i="14"/>
  <c r="IN4" i="14"/>
  <c r="IQ4" i="14"/>
  <c r="IT4" i="14"/>
  <c r="IW4" i="14"/>
  <c r="IZ4" i="14"/>
  <c r="JC4" i="14"/>
  <c r="JF4" i="14"/>
  <c r="JI4" i="14"/>
  <c r="JL4" i="14"/>
  <c r="JO4" i="14"/>
  <c r="JR4" i="14"/>
  <c r="JU4" i="14"/>
  <c r="JX4" i="14"/>
  <c r="KA4" i="14"/>
  <c r="KD4" i="14"/>
  <c r="KG4" i="14"/>
  <c r="KJ4" i="14"/>
  <c r="A5" i="14"/>
  <c r="B5" i="14"/>
  <c r="E5" i="14"/>
  <c r="H5" i="14"/>
  <c r="K5" i="14"/>
  <c r="N5" i="14"/>
  <c r="Q5" i="14"/>
  <c r="T5" i="14"/>
  <c r="W5" i="14"/>
  <c r="Z5" i="14"/>
  <c r="AC5" i="14"/>
  <c r="AF5" i="14"/>
  <c r="AI5" i="14"/>
  <c r="AL5" i="14"/>
  <c r="AO5" i="14"/>
  <c r="AR5" i="14"/>
  <c r="AU5" i="14"/>
  <c r="AX5" i="14"/>
  <c r="BA5" i="14"/>
  <c r="BD5" i="14"/>
  <c r="BG5" i="14"/>
  <c r="BJ5" i="14"/>
  <c r="BM5" i="14"/>
  <c r="BP5" i="14"/>
  <c r="BS5" i="14"/>
  <c r="BV5" i="14"/>
  <c r="BY5" i="14"/>
  <c r="CB5" i="14"/>
  <c r="CE5" i="14"/>
  <c r="CH5" i="14"/>
  <c r="CK5" i="14"/>
  <c r="CN5" i="14"/>
  <c r="CQ5" i="14"/>
  <c r="CT5" i="14"/>
  <c r="CW5" i="14"/>
  <c r="CZ5" i="14"/>
  <c r="DC5" i="14"/>
  <c r="DF5" i="14"/>
  <c r="DI5" i="14"/>
  <c r="DL5" i="14"/>
  <c r="DO5" i="14"/>
  <c r="DR5" i="14"/>
  <c r="DU5" i="14"/>
  <c r="DX5" i="14"/>
  <c r="EA5" i="14"/>
  <c r="ED5" i="14"/>
  <c r="EG5" i="14"/>
  <c r="EJ5" i="14"/>
  <c r="EM5" i="14"/>
  <c r="EP5" i="14"/>
  <c r="ES5" i="14"/>
  <c r="EV5" i="14"/>
  <c r="EY5" i="14"/>
  <c r="FB5" i="14"/>
  <c r="FE5" i="14"/>
  <c r="FH5" i="14"/>
  <c r="FK5" i="14"/>
  <c r="FN5" i="14"/>
  <c r="FQ5" i="14"/>
  <c r="FT5" i="14"/>
  <c r="FW5" i="14"/>
  <c r="FZ5" i="14"/>
  <c r="GC5" i="14"/>
  <c r="GF5" i="14"/>
  <c r="GI5" i="14"/>
  <c r="GL5" i="14"/>
  <c r="GO5" i="14"/>
  <c r="GR5" i="14"/>
  <c r="GU5" i="14"/>
  <c r="GX5" i="14"/>
  <c r="HA5" i="14"/>
  <c r="HD5" i="14"/>
  <c r="HG5" i="14"/>
  <c r="HJ5" i="14"/>
  <c r="HM5" i="14"/>
  <c r="HP5" i="14"/>
  <c r="HS5" i="14"/>
  <c r="HV5" i="14"/>
  <c r="HY5" i="14"/>
  <c r="IB5" i="14"/>
  <c r="IE5" i="14"/>
  <c r="IH5" i="14"/>
  <c r="IK5" i="14"/>
  <c r="IN5" i="14"/>
  <c r="IQ5" i="14"/>
  <c r="IT5" i="14"/>
  <c r="IW5" i="14"/>
  <c r="IZ5" i="14"/>
  <c r="JC5" i="14"/>
  <c r="JF5" i="14"/>
  <c r="JI5" i="14"/>
  <c r="JL5" i="14"/>
  <c r="JO5" i="14"/>
  <c r="JR5" i="14"/>
  <c r="JU5" i="14"/>
  <c r="JX5" i="14"/>
  <c r="KA5" i="14"/>
  <c r="KD5" i="14"/>
  <c r="KG5" i="14"/>
  <c r="KJ5" i="14"/>
  <c r="A6" i="14"/>
  <c r="B6" i="14"/>
  <c r="E6" i="14"/>
  <c r="H6" i="14"/>
  <c r="K6" i="14"/>
  <c r="N6" i="14"/>
  <c r="Q6" i="14"/>
  <c r="T6" i="14"/>
  <c r="W6" i="14"/>
  <c r="Z6" i="14"/>
  <c r="AC6" i="14"/>
  <c r="AF6" i="14"/>
  <c r="AI6" i="14"/>
  <c r="AL6" i="14"/>
  <c r="AO6" i="14"/>
  <c r="AR6" i="14"/>
  <c r="AU6" i="14"/>
  <c r="AX6" i="14"/>
  <c r="BA6" i="14"/>
  <c r="BD6" i="14"/>
  <c r="BG6" i="14"/>
  <c r="BJ6" i="14"/>
  <c r="BM6" i="14"/>
  <c r="BP6" i="14"/>
  <c r="BS6" i="14"/>
  <c r="BV6" i="14"/>
  <c r="BY6" i="14"/>
  <c r="CB6" i="14"/>
  <c r="CE6" i="14"/>
  <c r="CH6" i="14"/>
  <c r="CK6" i="14"/>
  <c r="CN6" i="14"/>
  <c r="CQ6" i="14"/>
  <c r="CT6" i="14"/>
  <c r="CW6" i="14"/>
  <c r="CZ6" i="14"/>
  <c r="DC6" i="14"/>
  <c r="DF6" i="14"/>
  <c r="DI6" i="14"/>
  <c r="DL6" i="14"/>
  <c r="DO6" i="14"/>
  <c r="DR6" i="14"/>
  <c r="DU6" i="14"/>
  <c r="DX6" i="14"/>
  <c r="EA6" i="14"/>
  <c r="ED6" i="14"/>
  <c r="EG6" i="14"/>
  <c r="EJ6" i="14"/>
  <c r="EM6" i="14"/>
  <c r="EP6" i="14"/>
  <c r="ES6" i="14"/>
  <c r="EV6" i="14"/>
  <c r="EY6" i="14"/>
  <c r="FB6" i="14"/>
  <c r="FE6" i="14"/>
  <c r="FH6" i="14"/>
  <c r="FK6" i="14"/>
  <c r="FN6" i="14"/>
  <c r="FQ6" i="14"/>
  <c r="FT6" i="14"/>
  <c r="FW6" i="14"/>
  <c r="FZ6" i="14"/>
  <c r="GC6" i="14"/>
  <c r="GF6" i="14"/>
  <c r="GI6" i="14"/>
  <c r="GL6" i="14"/>
  <c r="GO6" i="14"/>
  <c r="GR6" i="14"/>
  <c r="GU6" i="14"/>
  <c r="GX6" i="14"/>
  <c r="HA6" i="14"/>
  <c r="HD6" i="14"/>
  <c r="HG6" i="14"/>
  <c r="HJ6" i="14"/>
  <c r="HM6" i="14"/>
  <c r="HP6" i="14"/>
  <c r="HS6" i="14"/>
  <c r="HV6" i="14"/>
  <c r="HY6" i="14"/>
  <c r="IB6" i="14"/>
  <c r="IE6" i="14"/>
  <c r="IH6" i="14"/>
  <c r="IK6" i="14"/>
  <c r="IN6" i="14"/>
  <c r="IQ6" i="14"/>
  <c r="IT6" i="14"/>
  <c r="IW6" i="14"/>
  <c r="IZ6" i="14"/>
  <c r="JC6" i="14"/>
  <c r="JF6" i="14"/>
  <c r="JI6" i="14"/>
  <c r="JL6" i="14"/>
  <c r="JO6" i="14"/>
  <c r="JR6" i="14"/>
  <c r="JU6" i="14"/>
  <c r="JX6" i="14"/>
  <c r="KA6" i="14"/>
  <c r="KD6" i="14"/>
  <c r="KG6" i="14"/>
  <c r="KJ6" i="14"/>
  <c r="A7" i="14"/>
  <c r="B7" i="14"/>
  <c r="E7" i="14"/>
  <c r="H7" i="14"/>
  <c r="K7" i="14"/>
  <c r="N7" i="14"/>
  <c r="Q7" i="14"/>
  <c r="T7" i="14"/>
  <c r="W7" i="14"/>
  <c r="Z7" i="14"/>
  <c r="AC7" i="14"/>
  <c r="AF7" i="14"/>
  <c r="AI7" i="14"/>
  <c r="AL7" i="14"/>
  <c r="AO7" i="14"/>
  <c r="AR7" i="14"/>
  <c r="AU7" i="14"/>
  <c r="AX7" i="14"/>
  <c r="BA7" i="14"/>
  <c r="BD7" i="14"/>
  <c r="BG7" i="14"/>
  <c r="BJ7" i="14"/>
  <c r="BM7" i="14"/>
  <c r="BP7" i="14"/>
  <c r="BS7" i="14"/>
  <c r="BV7" i="14"/>
  <c r="BY7" i="14"/>
  <c r="CB7" i="14"/>
  <c r="CE7" i="14"/>
  <c r="CH7" i="14"/>
  <c r="CK7" i="14"/>
  <c r="CN7" i="14"/>
  <c r="CQ7" i="14"/>
  <c r="CT7" i="14"/>
  <c r="CW7" i="14"/>
  <c r="CZ7" i="14"/>
  <c r="DC7" i="14"/>
  <c r="DF7" i="14"/>
  <c r="DI7" i="14"/>
  <c r="DL7" i="14"/>
  <c r="DO7" i="14"/>
  <c r="DR7" i="14"/>
  <c r="DU7" i="14"/>
  <c r="DX7" i="14"/>
  <c r="EA7" i="14"/>
  <c r="ED7" i="14"/>
  <c r="EG7" i="14"/>
  <c r="EJ7" i="14"/>
  <c r="EM7" i="14"/>
  <c r="EP7" i="14"/>
  <c r="ES7" i="14"/>
  <c r="EV7" i="14"/>
  <c r="EY7" i="14"/>
  <c r="FB7" i="14"/>
  <c r="FE7" i="14"/>
  <c r="FH7" i="14"/>
  <c r="FK7" i="14"/>
  <c r="FN7" i="14"/>
  <c r="FQ7" i="14"/>
  <c r="FT7" i="14"/>
  <c r="FW7" i="14"/>
  <c r="FZ7" i="14"/>
  <c r="GC7" i="14"/>
  <c r="GF7" i="14"/>
  <c r="GI7" i="14"/>
  <c r="GL7" i="14"/>
  <c r="GO7" i="14"/>
  <c r="GR7" i="14"/>
  <c r="GU7" i="14"/>
  <c r="GX7" i="14"/>
  <c r="HA7" i="14"/>
  <c r="HD7" i="14"/>
  <c r="HG7" i="14"/>
  <c r="HJ7" i="14"/>
  <c r="HM7" i="14"/>
  <c r="HP7" i="14"/>
  <c r="HS7" i="14"/>
  <c r="HV7" i="14"/>
  <c r="HY7" i="14"/>
  <c r="IB7" i="14"/>
  <c r="IE7" i="14"/>
  <c r="IH7" i="14"/>
  <c r="IK7" i="14"/>
  <c r="IN7" i="14"/>
  <c r="IQ7" i="14"/>
  <c r="IT7" i="14"/>
  <c r="IW7" i="14"/>
  <c r="IZ7" i="14"/>
  <c r="JC7" i="14"/>
  <c r="JF7" i="14"/>
  <c r="JI7" i="14"/>
  <c r="JL7" i="14"/>
  <c r="JO7" i="14"/>
  <c r="JR7" i="14"/>
  <c r="JU7" i="14"/>
  <c r="JX7" i="14"/>
  <c r="KA7" i="14"/>
  <c r="KD7" i="14"/>
  <c r="KG7" i="14"/>
  <c r="KJ7" i="14"/>
  <c r="A8" i="14"/>
  <c r="B8" i="14"/>
  <c r="E8" i="14"/>
  <c r="H8" i="14"/>
  <c r="K8" i="14"/>
  <c r="N8" i="14"/>
  <c r="Q8" i="14"/>
  <c r="T8" i="14"/>
  <c r="W8" i="14"/>
  <c r="Z8" i="14"/>
  <c r="AC8" i="14"/>
  <c r="AF8" i="14"/>
  <c r="AI8" i="14"/>
  <c r="AL8" i="14"/>
  <c r="AO8" i="14"/>
  <c r="AR8" i="14"/>
  <c r="AU8" i="14"/>
  <c r="AX8" i="14"/>
  <c r="BA8" i="14"/>
  <c r="BD8" i="14"/>
  <c r="BG8" i="14"/>
  <c r="BJ8" i="14"/>
  <c r="BM8" i="14"/>
  <c r="BP8" i="14"/>
  <c r="BS8" i="14"/>
  <c r="BV8" i="14"/>
  <c r="BY8" i="14"/>
  <c r="CB8" i="14"/>
  <c r="CE8" i="14"/>
  <c r="CH8" i="14"/>
  <c r="CK8" i="14"/>
  <c r="CN8" i="14"/>
  <c r="CQ8" i="14"/>
  <c r="CT8" i="14"/>
  <c r="CW8" i="14"/>
  <c r="CZ8" i="14"/>
  <c r="DC8" i="14"/>
  <c r="DF8" i="14"/>
  <c r="DI8" i="14"/>
  <c r="DL8" i="14"/>
  <c r="DO8" i="14"/>
  <c r="DR8" i="14"/>
  <c r="DU8" i="14"/>
  <c r="DX8" i="14"/>
  <c r="EA8" i="14"/>
  <c r="ED8" i="14"/>
  <c r="EG8" i="14"/>
  <c r="EJ8" i="14"/>
  <c r="EM8" i="14"/>
  <c r="EP8" i="14"/>
  <c r="ES8" i="14"/>
  <c r="EV8" i="14"/>
  <c r="EY8" i="14"/>
  <c r="FB8" i="14"/>
  <c r="FE8" i="14"/>
  <c r="FH8" i="14"/>
  <c r="FK8" i="14"/>
  <c r="FN8" i="14"/>
  <c r="FQ8" i="14"/>
  <c r="FT8" i="14"/>
  <c r="FW8" i="14"/>
  <c r="FZ8" i="14"/>
  <c r="GC8" i="14"/>
  <c r="GF8" i="14"/>
  <c r="GI8" i="14"/>
  <c r="GL8" i="14"/>
  <c r="GO8" i="14"/>
  <c r="GR8" i="14"/>
  <c r="GU8" i="14"/>
  <c r="GX8" i="14"/>
  <c r="HA8" i="14"/>
  <c r="HD8" i="14"/>
  <c r="HG8" i="14"/>
  <c r="HJ8" i="14"/>
  <c r="HM8" i="14"/>
  <c r="HP8" i="14"/>
  <c r="HS8" i="14"/>
  <c r="HV8" i="14"/>
  <c r="HY8" i="14"/>
  <c r="IB8" i="14"/>
  <c r="IE8" i="14"/>
  <c r="IH8" i="14"/>
  <c r="IK8" i="14"/>
  <c r="IN8" i="14"/>
  <c r="IQ8" i="14"/>
  <c r="IT8" i="14"/>
  <c r="IW8" i="14"/>
  <c r="IZ8" i="14"/>
  <c r="JC8" i="14"/>
  <c r="JF8" i="14"/>
  <c r="JI8" i="14"/>
  <c r="JL8" i="14"/>
  <c r="JO8" i="14"/>
  <c r="JR8" i="14"/>
  <c r="JU8" i="14"/>
  <c r="JX8" i="14"/>
  <c r="KA8" i="14"/>
  <c r="KD8" i="14"/>
  <c r="KG8" i="14"/>
  <c r="KJ8" i="14"/>
  <c r="A9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Q9" i="14"/>
  <c r="BR9" i="14"/>
  <c r="BS9" i="14"/>
  <c r="BT9" i="14"/>
  <c r="BU9" i="14"/>
  <c r="BV9" i="14"/>
  <c r="BW9" i="14"/>
  <c r="BX9" i="14"/>
  <c r="BY9" i="14"/>
  <c r="BZ9" i="14"/>
  <c r="CA9" i="14"/>
  <c r="CB9" i="14"/>
  <c r="CC9" i="14"/>
  <c r="CD9" i="14"/>
  <c r="CE9" i="14"/>
  <c r="CF9" i="14"/>
  <c r="CG9" i="14"/>
  <c r="CH9" i="14"/>
  <c r="CI9" i="14"/>
  <c r="CJ9" i="14"/>
  <c r="CK9" i="14"/>
  <c r="CL9" i="14"/>
  <c r="CM9" i="14"/>
  <c r="CN9" i="14"/>
  <c r="CO9" i="14"/>
  <c r="CP9" i="14"/>
  <c r="CQ9" i="14"/>
  <c r="CR9" i="14"/>
  <c r="CS9" i="14"/>
  <c r="CT9" i="14"/>
  <c r="CU9" i="14"/>
  <c r="CV9" i="14"/>
  <c r="CW9" i="14"/>
  <c r="CX9" i="14"/>
  <c r="CY9" i="14"/>
  <c r="CZ9" i="14"/>
  <c r="DA9" i="14"/>
  <c r="DB9" i="14"/>
  <c r="DC9" i="14"/>
  <c r="DD9" i="14"/>
  <c r="DE9" i="14"/>
  <c r="DF9" i="14"/>
  <c r="DG9" i="14"/>
  <c r="DH9" i="14"/>
  <c r="DI9" i="14"/>
  <c r="DJ9" i="14"/>
  <c r="DK9" i="14"/>
  <c r="DL9" i="14"/>
  <c r="DM9" i="14"/>
  <c r="DN9" i="14"/>
  <c r="DO9" i="14"/>
  <c r="DP9" i="14"/>
  <c r="DQ9" i="14"/>
  <c r="DR9" i="14"/>
  <c r="DS9" i="14"/>
  <c r="DT9" i="14"/>
  <c r="DU9" i="14"/>
  <c r="DV9" i="14"/>
  <c r="DW9" i="14"/>
  <c r="DX9" i="14"/>
  <c r="DY9" i="14"/>
  <c r="DZ9" i="14"/>
  <c r="EA9" i="14"/>
  <c r="EB9" i="14"/>
  <c r="EC9" i="14"/>
  <c r="ED9" i="14"/>
  <c r="EE9" i="14"/>
  <c r="EF9" i="14"/>
  <c r="EG9" i="14"/>
  <c r="EH9" i="14"/>
  <c r="EI9" i="14"/>
  <c r="EJ9" i="14"/>
  <c r="EK9" i="14"/>
  <c r="EL9" i="14"/>
  <c r="EM9" i="14"/>
  <c r="EN9" i="14"/>
  <c r="EO9" i="14"/>
  <c r="EP9" i="14"/>
  <c r="EQ9" i="14"/>
  <c r="ER9" i="14"/>
  <c r="ES9" i="14"/>
  <c r="ET9" i="14"/>
  <c r="EU9" i="14"/>
  <c r="EV9" i="14"/>
  <c r="EW9" i="14"/>
  <c r="EX9" i="14"/>
  <c r="EY9" i="14"/>
  <c r="EZ9" i="14"/>
  <c r="FA9" i="14"/>
  <c r="FB9" i="14"/>
  <c r="FC9" i="14"/>
  <c r="FD9" i="14"/>
  <c r="FE9" i="14"/>
  <c r="FF9" i="14"/>
  <c r="FG9" i="14"/>
  <c r="FH9" i="14"/>
  <c r="FI9" i="14"/>
  <c r="FJ9" i="14"/>
  <c r="FK9" i="14"/>
  <c r="FL9" i="14"/>
  <c r="FM9" i="14"/>
  <c r="FN9" i="14"/>
  <c r="FO9" i="14"/>
  <c r="FP9" i="14"/>
  <c r="FQ9" i="14"/>
  <c r="FR9" i="14"/>
  <c r="FS9" i="14"/>
  <c r="FT9" i="14"/>
  <c r="FU9" i="14"/>
  <c r="FV9" i="14"/>
  <c r="FW9" i="14"/>
  <c r="FX9" i="14"/>
  <c r="FY9" i="14"/>
  <c r="FZ9" i="14"/>
  <c r="GA9" i="14"/>
  <c r="GB9" i="14"/>
  <c r="GC9" i="14"/>
  <c r="GD9" i="14"/>
  <c r="GE9" i="14"/>
  <c r="GF9" i="14"/>
  <c r="GG9" i="14"/>
  <c r="GH9" i="14"/>
  <c r="GI9" i="14"/>
  <c r="GJ9" i="14"/>
  <c r="GK9" i="14"/>
  <c r="GL9" i="14"/>
  <c r="GM9" i="14"/>
  <c r="GN9" i="14"/>
  <c r="GO9" i="14"/>
  <c r="GP9" i="14"/>
  <c r="GQ9" i="14"/>
  <c r="A10" i="14"/>
  <c r="B10" i="14"/>
  <c r="E10" i="14"/>
  <c r="H10" i="14"/>
  <c r="K10" i="14"/>
  <c r="N10" i="14"/>
  <c r="Q10" i="14"/>
  <c r="T10" i="14"/>
  <c r="W10" i="14"/>
  <c r="Z10" i="14"/>
  <c r="AC10" i="14"/>
  <c r="AF10" i="14"/>
  <c r="AI10" i="14"/>
  <c r="AL10" i="14"/>
  <c r="AO10" i="14"/>
  <c r="AR10" i="14"/>
  <c r="AU10" i="14"/>
  <c r="AX10" i="14"/>
  <c r="BA10" i="14"/>
  <c r="BD10" i="14"/>
  <c r="BG10" i="14"/>
  <c r="BJ10" i="14"/>
  <c r="BM10" i="14"/>
  <c r="BP10" i="14"/>
  <c r="BS10" i="14"/>
  <c r="BV10" i="14"/>
  <c r="BY10" i="14"/>
  <c r="CB10" i="14"/>
  <c r="CE10" i="14"/>
  <c r="CH10" i="14"/>
  <c r="CK10" i="14"/>
  <c r="CN10" i="14"/>
  <c r="CQ10" i="14"/>
  <c r="CT10" i="14"/>
  <c r="CW10" i="14"/>
  <c r="CZ10" i="14"/>
  <c r="DC10" i="14"/>
  <c r="DF10" i="14"/>
  <c r="DI10" i="14"/>
  <c r="DL10" i="14"/>
  <c r="DO10" i="14"/>
  <c r="DR10" i="14"/>
  <c r="DU10" i="14"/>
  <c r="DX10" i="14"/>
  <c r="EA10" i="14"/>
  <c r="ED10" i="14"/>
  <c r="EG10" i="14"/>
  <c r="EJ10" i="14"/>
  <c r="EM10" i="14"/>
  <c r="EP10" i="14"/>
  <c r="ES10" i="14"/>
  <c r="EV10" i="14"/>
  <c r="EY10" i="14"/>
  <c r="FB10" i="14"/>
  <c r="FE10" i="14"/>
  <c r="FH10" i="14"/>
  <c r="FK10" i="14"/>
  <c r="FN10" i="14"/>
  <c r="FQ10" i="14"/>
  <c r="FT10" i="14"/>
  <c r="FW10" i="14"/>
  <c r="FZ10" i="14"/>
  <c r="GC10" i="14"/>
  <c r="GF10" i="14"/>
  <c r="GI10" i="14"/>
  <c r="GL10" i="14"/>
  <c r="GO10" i="14"/>
  <c r="GR10" i="14"/>
  <c r="GU10" i="14"/>
  <c r="GX10" i="14"/>
  <c r="HA10" i="14"/>
  <c r="HD10" i="14"/>
  <c r="HG10" i="14"/>
  <c r="HJ10" i="14"/>
  <c r="HM10" i="14"/>
  <c r="HP10" i="14"/>
  <c r="HS10" i="14"/>
  <c r="HV10" i="14"/>
  <c r="HY10" i="14"/>
  <c r="IB10" i="14"/>
  <c r="IE10" i="14"/>
  <c r="IH10" i="14"/>
  <c r="IK10" i="14"/>
  <c r="IN10" i="14"/>
  <c r="IQ10" i="14"/>
  <c r="IT10" i="14"/>
  <c r="IW10" i="14"/>
  <c r="IZ10" i="14"/>
  <c r="JC10" i="14"/>
  <c r="JF10" i="14"/>
  <c r="JI10" i="14"/>
  <c r="JL10" i="14"/>
  <c r="JO10" i="14"/>
  <c r="JR10" i="14"/>
  <c r="JU10" i="14"/>
  <c r="JX10" i="14"/>
  <c r="KA10" i="14"/>
  <c r="KD10" i="14"/>
  <c r="KG10" i="14"/>
  <c r="KJ10" i="14"/>
  <c r="A11" i="14"/>
  <c r="B11" i="14"/>
  <c r="E11" i="14"/>
  <c r="H11" i="14"/>
  <c r="K11" i="14"/>
  <c r="N11" i="14"/>
  <c r="Q11" i="14"/>
  <c r="T11" i="14"/>
  <c r="W11" i="14"/>
  <c r="Z11" i="14"/>
  <c r="AC11" i="14"/>
  <c r="AF11" i="14"/>
  <c r="AI11" i="14"/>
  <c r="AL11" i="14"/>
  <c r="AO11" i="14"/>
  <c r="AR11" i="14"/>
  <c r="AU11" i="14"/>
  <c r="AX11" i="14"/>
  <c r="BA11" i="14"/>
  <c r="BD11" i="14"/>
  <c r="BG11" i="14"/>
  <c r="BJ11" i="14"/>
  <c r="BM11" i="14"/>
  <c r="BP11" i="14"/>
  <c r="BS11" i="14"/>
  <c r="BV11" i="14"/>
  <c r="BY11" i="14"/>
  <c r="CB11" i="14"/>
  <c r="CE11" i="14"/>
  <c r="CH11" i="14"/>
  <c r="CK11" i="14"/>
  <c r="CN11" i="14"/>
  <c r="CQ11" i="14"/>
  <c r="CT11" i="14"/>
  <c r="CW11" i="14"/>
  <c r="CZ11" i="14"/>
  <c r="DC11" i="14"/>
  <c r="DF11" i="14"/>
  <c r="DI11" i="14"/>
  <c r="DL11" i="14"/>
  <c r="DO11" i="14"/>
  <c r="DR11" i="14"/>
  <c r="DU11" i="14"/>
  <c r="DX11" i="14"/>
  <c r="EA11" i="14"/>
  <c r="ED11" i="14"/>
  <c r="EG11" i="14"/>
  <c r="EJ11" i="14"/>
  <c r="EM11" i="14"/>
  <c r="EP11" i="14"/>
  <c r="ES11" i="14"/>
  <c r="EV11" i="14"/>
  <c r="EY11" i="14"/>
  <c r="FB11" i="14"/>
  <c r="FE11" i="14"/>
  <c r="FH11" i="14"/>
  <c r="FK11" i="14"/>
  <c r="FN11" i="14"/>
  <c r="FQ11" i="14"/>
  <c r="FT11" i="14"/>
  <c r="FW11" i="14"/>
  <c r="FZ11" i="14"/>
  <c r="GC11" i="14"/>
  <c r="GF11" i="14"/>
  <c r="GI11" i="14"/>
  <c r="GL11" i="14"/>
  <c r="GO11" i="14"/>
  <c r="GR11" i="14"/>
  <c r="GU11" i="14"/>
  <c r="GX11" i="14"/>
  <c r="HA11" i="14"/>
  <c r="HD11" i="14"/>
  <c r="HG11" i="14"/>
  <c r="HJ11" i="14"/>
  <c r="HM11" i="14"/>
  <c r="HP11" i="14"/>
  <c r="HS11" i="14"/>
  <c r="HV11" i="14"/>
  <c r="HY11" i="14"/>
  <c r="IB11" i="14"/>
  <c r="IE11" i="14"/>
  <c r="IH11" i="14"/>
  <c r="IK11" i="14"/>
  <c r="IN11" i="14"/>
  <c r="IQ11" i="14"/>
  <c r="IT11" i="14"/>
  <c r="IW11" i="14"/>
  <c r="IZ11" i="14"/>
  <c r="JC11" i="14"/>
  <c r="JF11" i="14"/>
  <c r="JI11" i="14"/>
  <c r="JL11" i="14"/>
  <c r="JO11" i="14"/>
  <c r="JR11" i="14"/>
  <c r="JU11" i="14"/>
  <c r="JX11" i="14"/>
  <c r="KA11" i="14"/>
  <c r="KD11" i="14"/>
  <c r="KG11" i="14"/>
  <c r="KJ11" i="14"/>
  <c r="A12" i="14"/>
  <c r="B12" i="14"/>
  <c r="E12" i="14"/>
  <c r="H12" i="14"/>
  <c r="K12" i="14"/>
  <c r="N12" i="14"/>
  <c r="Q12" i="14"/>
  <c r="T12" i="14"/>
  <c r="W12" i="14"/>
  <c r="Z12" i="14"/>
  <c r="AC12" i="14"/>
  <c r="AF12" i="14"/>
  <c r="AI12" i="14"/>
  <c r="AL12" i="14"/>
  <c r="AO12" i="14"/>
  <c r="AR12" i="14"/>
  <c r="AU12" i="14"/>
  <c r="AX12" i="14"/>
  <c r="BA12" i="14"/>
  <c r="BD12" i="14"/>
  <c r="BG12" i="14"/>
  <c r="BJ12" i="14"/>
  <c r="BM12" i="14"/>
  <c r="BP12" i="14"/>
  <c r="BS12" i="14"/>
  <c r="BV12" i="14"/>
  <c r="BY12" i="14"/>
  <c r="CB12" i="14"/>
  <c r="CE12" i="14"/>
  <c r="CH12" i="14"/>
  <c r="CK12" i="14"/>
  <c r="CN12" i="14"/>
  <c r="CQ12" i="14"/>
  <c r="CT12" i="14"/>
  <c r="CW12" i="14"/>
  <c r="CZ12" i="14"/>
  <c r="DC12" i="14"/>
  <c r="DF12" i="14"/>
  <c r="DI12" i="14"/>
  <c r="DL12" i="14"/>
  <c r="DO12" i="14"/>
  <c r="DR12" i="14"/>
  <c r="DU12" i="14"/>
  <c r="DX12" i="14"/>
  <c r="EA12" i="14"/>
  <c r="ED12" i="14"/>
  <c r="EG12" i="14"/>
  <c r="EJ12" i="14"/>
  <c r="EM12" i="14"/>
  <c r="EP12" i="14"/>
  <c r="ES12" i="14"/>
  <c r="EV12" i="14"/>
  <c r="EY12" i="14"/>
  <c r="FB12" i="14"/>
  <c r="FE12" i="14"/>
  <c r="FH12" i="14"/>
  <c r="FK12" i="14"/>
  <c r="FN12" i="14"/>
  <c r="FQ12" i="14"/>
  <c r="FT12" i="14"/>
  <c r="FW12" i="14"/>
  <c r="FZ12" i="14"/>
  <c r="GC12" i="14"/>
  <c r="GF12" i="14"/>
  <c r="GI12" i="14"/>
  <c r="GL12" i="14"/>
  <c r="GO12" i="14"/>
  <c r="GR12" i="14"/>
  <c r="GU12" i="14"/>
  <c r="GX12" i="14"/>
  <c r="HA12" i="14"/>
  <c r="HD12" i="14"/>
  <c r="HG12" i="14"/>
  <c r="HJ12" i="14"/>
  <c r="HM12" i="14"/>
  <c r="HP12" i="14"/>
  <c r="HS12" i="14"/>
  <c r="HV12" i="14"/>
  <c r="HY12" i="14"/>
  <c r="IB12" i="14"/>
  <c r="IE12" i="14"/>
  <c r="IH12" i="14"/>
  <c r="IK12" i="14"/>
  <c r="IN12" i="14"/>
  <c r="IQ12" i="14"/>
  <c r="IT12" i="14"/>
  <c r="IW12" i="14"/>
  <c r="IZ12" i="14"/>
  <c r="JC12" i="14"/>
  <c r="JF12" i="14"/>
  <c r="JI12" i="14"/>
  <c r="JL12" i="14"/>
  <c r="JO12" i="14"/>
  <c r="JR12" i="14"/>
  <c r="JU12" i="14"/>
  <c r="JX12" i="14"/>
  <c r="KA12" i="14"/>
  <c r="KD12" i="14"/>
  <c r="KG12" i="14"/>
  <c r="KJ12" i="14"/>
  <c r="A13" i="14"/>
  <c r="B13" i="14"/>
  <c r="E13" i="14"/>
  <c r="H13" i="14"/>
  <c r="K13" i="14"/>
  <c r="N13" i="14"/>
  <c r="Q13" i="14"/>
  <c r="T13" i="14"/>
  <c r="W13" i="14"/>
  <c r="Z13" i="14"/>
  <c r="AC13" i="14"/>
  <c r="AF13" i="14"/>
  <c r="AI13" i="14"/>
  <c r="AL13" i="14"/>
  <c r="AO13" i="14"/>
  <c r="AR13" i="14"/>
  <c r="AU13" i="14"/>
  <c r="AX13" i="14"/>
  <c r="BA13" i="14"/>
  <c r="BD13" i="14"/>
  <c r="BG13" i="14"/>
  <c r="BJ13" i="14"/>
  <c r="BM13" i="14"/>
  <c r="BP13" i="14"/>
  <c r="BS13" i="14"/>
  <c r="BV13" i="14"/>
  <c r="BY13" i="14"/>
  <c r="CB13" i="14"/>
  <c r="CE13" i="14"/>
  <c r="CH13" i="14"/>
  <c r="CK13" i="14"/>
  <c r="CN13" i="14"/>
  <c r="CQ13" i="14"/>
  <c r="CT13" i="14"/>
  <c r="CW13" i="14"/>
  <c r="CZ13" i="14"/>
  <c r="DC13" i="14"/>
  <c r="DF13" i="14"/>
  <c r="DI13" i="14"/>
  <c r="DL13" i="14"/>
  <c r="DO13" i="14"/>
  <c r="DR13" i="14"/>
  <c r="DU13" i="14"/>
  <c r="DX13" i="14"/>
  <c r="EA13" i="14"/>
  <c r="ED13" i="14"/>
  <c r="EG13" i="14"/>
  <c r="EJ13" i="14"/>
  <c r="EM13" i="14"/>
  <c r="EP13" i="14"/>
  <c r="ES13" i="14"/>
  <c r="EV13" i="14"/>
  <c r="EY13" i="14"/>
  <c r="FB13" i="14"/>
  <c r="FE13" i="14"/>
  <c r="FH13" i="14"/>
  <c r="FK13" i="14"/>
  <c r="FN13" i="14"/>
  <c r="FQ13" i="14"/>
  <c r="FT13" i="14"/>
  <c r="FW13" i="14"/>
  <c r="FZ13" i="14"/>
  <c r="GC13" i="14"/>
  <c r="GF13" i="14"/>
  <c r="GI13" i="14"/>
  <c r="GL13" i="14"/>
  <c r="GO13" i="14"/>
  <c r="GR13" i="14"/>
  <c r="GU13" i="14"/>
  <c r="GX13" i="14"/>
  <c r="HA13" i="14"/>
  <c r="HD13" i="14"/>
  <c r="HG13" i="14"/>
  <c r="HJ13" i="14"/>
  <c r="HM13" i="14"/>
  <c r="HP13" i="14"/>
  <c r="HS13" i="14"/>
  <c r="HV13" i="14"/>
  <c r="HY13" i="14"/>
  <c r="IB13" i="14"/>
  <c r="IE13" i="14"/>
  <c r="IH13" i="14"/>
  <c r="IK13" i="14"/>
  <c r="IN13" i="14"/>
  <c r="IQ13" i="14"/>
  <c r="IT13" i="14"/>
  <c r="IW13" i="14"/>
  <c r="IZ13" i="14"/>
  <c r="JC13" i="14"/>
  <c r="JF13" i="14"/>
  <c r="JI13" i="14"/>
  <c r="JL13" i="14"/>
  <c r="JO13" i="14"/>
  <c r="JR13" i="14"/>
  <c r="JU13" i="14"/>
  <c r="JX13" i="14"/>
  <c r="KA13" i="14"/>
  <c r="KD13" i="14"/>
  <c r="KG13" i="14"/>
  <c r="KJ13" i="14"/>
  <c r="A14" i="14"/>
  <c r="B14" i="14"/>
  <c r="E14" i="14"/>
  <c r="H14" i="14"/>
  <c r="K14" i="14"/>
  <c r="N14" i="14"/>
  <c r="Q14" i="14"/>
  <c r="T14" i="14"/>
  <c r="W14" i="14"/>
  <c r="Z14" i="14"/>
  <c r="AC14" i="14"/>
  <c r="AF14" i="14"/>
  <c r="AI14" i="14"/>
  <c r="AL14" i="14"/>
  <c r="AO14" i="14"/>
  <c r="AR14" i="14"/>
  <c r="AU14" i="14"/>
  <c r="AX14" i="14"/>
  <c r="BA14" i="14"/>
  <c r="BD14" i="14"/>
  <c r="BG14" i="14"/>
  <c r="BJ14" i="14"/>
  <c r="BM14" i="14"/>
  <c r="BP14" i="14"/>
  <c r="BS14" i="14"/>
  <c r="BV14" i="14"/>
  <c r="BY14" i="14"/>
  <c r="CB14" i="14"/>
  <c r="CE14" i="14"/>
  <c r="CH14" i="14"/>
  <c r="CK14" i="14"/>
  <c r="CN14" i="14"/>
  <c r="CQ14" i="14"/>
  <c r="CT14" i="14"/>
  <c r="CW14" i="14"/>
  <c r="CZ14" i="14"/>
  <c r="DC14" i="14"/>
  <c r="DF14" i="14"/>
  <c r="DI14" i="14"/>
  <c r="DL14" i="14"/>
  <c r="DO14" i="14"/>
  <c r="DR14" i="14"/>
  <c r="DU14" i="14"/>
  <c r="DX14" i="14"/>
  <c r="EA14" i="14"/>
  <c r="ED14" i="14"/>
  <c r="EG14" i="14"/>
  <c r="EJ14" i="14"/>
  <c r="EM14" i="14"/>
  <c r="EP14" i="14"/>
  <c r="ES14" i="14"/>
  <c r="EV14" i="14"/>
  <c r="EY14" i="14"/>
  <c r="FB14" i="14"/>
  <c r="FE14" i="14"/>
  <c r="FH14" i="14"/>
  <c r="FK14" i="14"/>
  <c r="FN14" i="14"/>
  <c r="FQ14" i="14"/>
  <c r="FT14" i="14"/>
  <c r="FW14" i="14"/>
  <c r="FZ14" i="14"/>
  <c r="GC14" i="14"/>
  <c r="GF14" i="14"/>
  <c r="GI14" i="14"/>
  <c r="GL14" i="14"/>
  <c r="GO14" i="14"/>
  <c r="GR14" i="14"/>
  <c r="GU14" i="14"/>
  <c r="GX14" i="14"/>
  <c r="HA14" i="14"/>
  <c r="HD14" i="14"/>
  <c r="HG14" i="14"/>
  <c r="HJ14" i="14"/>
  <c r="HM14" i="14"/>
  <c r="HP14" i="14"/>
  <c r="HS14" i="14"/>
  <c r="HV14" i="14"/>
  <c r="HY14" i="14"/>
  <c r="IB14" i="14"/>
  <c r="IE14" i="14"/>
  <c r="IH14" i="14"/>
  <c r="IK14" i="14"/>
  <c r="IN14" i="14"/>
  <c r="IQ14" i="14"/>
  <c r="IT14" i="14"/>
  <c r="IW14" i="14"/>
  <c r="IZ14" i="14"/>
  <c r="JC14" i="14"/>
  <c r="JF14" i="14"/>
  <c r="JI14" i="14"/>
  <c r="JL14" i="14"/>
  <c r="JO14" i="14"/>
  <c r="JR14" i="14"/>
  <c r="JU14" i="14"/>
  <c r="JX14" i="14"/>
  <c r="KA14" i="14"/>
  <c r="KD14" i="14"/>
  <c r="KG14" i="14"/>
  <c r="KJ14" i="14"/>
  <c r="A15" i="14"/>
  <c r="B15" i="14"/>
  <c r="E15" i="14"/>
  <c r="H15" i="14"/>
  <c r="K15" i="14"/>
  <c r="N15" i="14"/>
  <c r="Q15" i="14"/>
  <c r="T15" i="14"/>
  <c r="W15" i="14"/>
  <c r="Z15" i="14"/>
  <c r="AC15" i="14"/>
  <c r="AF15" i="14"/>
  <c r="AI15" i="14"/>
  <c r="AL15" i="14"/>
  <c r="AO15" i="14"/>
  <c r="AR15" i="14"/>
  <c r="AU15" i="14"/>
  <c r="AX15" i="14"/>
  <c r="BA15" i="14"/>
  <c r="BD15" i="14"/>
  <c r="BG15" i="14"/>
  <c r="BJ15" i="14"/>
  <c r="BM15" i="14"/>
  <c r="BP15" i="14"/>
  <c r="BS15" i="14"/>
  <c r="BV15" i="14"/>
  <c r="BY15" i="14"/>
  <c r="CB15" i="14"/>
  <c r="CE15" i="14"/>
  <c r="CH15" i="14"/>
  <c r="CK15" i="14"/>
  <c r="CN15" i="14"/>
  <c r="CQ15" i="14"/>
  <c r="CT15" i="14"/>
  <c r="CW15" i="14"/>
  <c r="CZ15" i="14"/>
  <c r="DC15" i="14"/>
  <c r="DF15" i="14"/>
  <c r="DI15" i="14"/>
  <c r="DL15" i="14"/>
  <c r="DO15" i="14"/>
  <c r="DR15" i="14"/>
  <c r="DU15" i="14"/>
  <c r="DX15" i="14"/>
  <c r="EA15" i="14"/>
  <c r="ED15" i="14"/>
  <c r="EG15" i="14"/>
  <c r="EJ15" i="14"/>
  <c r="EM15" i="14"/>
  <c r="EP15" i="14"/>
  <c r="ES15" i="14"/>
  <c r="EV15" i="14"/>
  <c r="EY15" i="14"/>
  <c r="FB15" i="14"/>
  <c r="FE15" i="14"/>
  <c r="FH15" i="14"/>
  <c r="FK15" i="14"/>
  <c r="FN15" i="14"/>
  <c r="FQ15" i="14"/>
  <c r="FT15" i="14"/>
  <c r="FW15" i="14"/>
  <c r="FZ15" i="14"/>
  <c r="GC15" i="14"/>
  <c r="GF15" i="14"/>
  <c r="GI15" i="14"/>
  <c r="GL15" i="14"/>
  <c r="GO15" i="14"/>
  <c r="GR15" i="14"/>
  <c r="GU15" i="14"/>
  <c r="GX15" i="14"/>
  <c r="HA15" i="14"/>
  <c r="HD15" i="14"/>
  <c r="HG15" i="14"/>
  <c r="HJ15" i="14"/>
  <c r="HM15" i="14"/>
  <c r="HP15" i="14"/>
  <c r="HS15" i="14"/>
  <c r="HV15" i="14"/>
  <c r="HY15" i="14"/>
  <c r="IB15" i="14"/>
  <c r="IE15" i="14"/>
  <c r="IH15" i="14"/>
  <c r="IK15" i="14"/>
  <c r="IN15" i="14"/>
  <c r="IQ15" i="14"/>
  <c r="IT15" i="14"/>
  <c r="IW15" i="14"/>
  <c r="IZ15" i="14"/>
  <c r="JC15" i="14"/>
  <c r="JF15" i="14"/>
  <c r="JI15" i="14"/>
  <c r="JL15" i="14"/>
  <c r="JO15" i="14"/>
  <c r="JR15" i="14"/>
  <c r="JU15" i="14"/>
  <c r="JX15" i="14"/>
  <c r="KA15" i="14"/>
  <c r="KD15" i="14"/>
  <c r="KG15" i="14"/>
  <c r="KJ15" i="14"/>
  <c r="A16" i="14"/>
  <c r="B16" i="14"/>
  <c r="E16" i="14"/>
  <c r="H16" i="14"/>
  <c r="K16" i="14"/>
  <c r="N16" i="14"/>
  <c r="Q16" i="14"/>
  <c r="T16" i="14"/>
  <c r="W16" i="14"/>
  <c r="Z16" i="14"/>
  <c r="AC16" i="14"/>
  <c r="AF16" i="14"/>
  <c r="AI16" i="14"/>
  <c r="AL16" i="14"/>
  <c r="AO16" i="14"/>
  <c r="AR16" i="14"/>
  <c r="AU16" i="14"/>
  <c r="AX16" i="14"/>
  <c r="BA16" i="14"/>
  <c r="BD16" i="14"/>
  <c r="BG16" i="14"/>
  <c r="BJ16" i="14"/>
  <c r="BM16" i="14"/>
  <c r="BP16" i="14"/>
  <c r="BS16" i="14"/>
  <c r="BV16" i="14"/>
  <c r="BY16" i="14"/>
  <c r="CB16" i="14"/>
  <c r="CE16" i="14"/>
  <c r="CH16" i="14"/>
  <c r="CK16" i="14"/>
  <c r="CN16" i="14"/>
  <c r="CQ16" i="14"/>
  <c r="CT16" i="14"/>
  <c r="CW16" i="14"/>
  <c r="CZ16" i="14"/>
  <c r="DC16" i="14"/>
  <c r="DF16" i="14"/>
  <c r="DI16" i="14"/>
  <c r="DL16" i="14"/>
  <c r="DO16" i="14"/>
  <c r="DR16" i="14"/>
  <c r="DU16" i="14"/>
  <c r="DX16" i="14"/>
  <c r="EA16" i="14"/>
  <c r="ED16" i="14"/>
  <c r="EG16" i="14"/>
  <c r="EJ16" i="14"/>
  <c r="EM16" i="14"/>
  <c r="EP16" i="14"/>
  <c r="ES16" i="14"/>
  <c r="EV16" i="14"/>
  <c r="EY16" i="14"/>
  <c r="FB16" i="14"/>
  <c r="FE16" i="14"/>
  <c r="FH16" i="14"/>
  <c r="FK16" i="14"/>
  <c r="FN16" i="14"/>
  <c r="FQ16" i="14"/>
  <c r="FT16" i="14"/>
  <c r="FW16" i="14"/>
  <c r="FZ16" i="14"/>
  <c r="GC16" i="14"/>
  <c r="GF16" i="14"/>
  <c r="GI16" i="14"/>
  <c r="GL16" i="14"/>
  <c r="GO16" i="14"/>
  <c r="GR16" i="14"/>
  <c r="GU16" i="14"/>
  <c r="GX16" i="14"/>
  <c r="HA16" i="14"/>
  <c r="HD16" i="14"/>
  <c r="HG16" i="14"/>
  <c r="HJ16" i="14"/>
  <c r="HM16" i="14"/>
  <c r="HP16" i="14"/>
  <c r="HS16" i="14"/>
  <c r="HV16" i="14"/>
  <c r="HY16" i="14"/>
  <c r="IB16" i="14"/>
  <c r="IE16" i="14"/>
  <c r="IH16" i="14"/>
  <c r="IK16" i="14"/>
  <c r="IN16" i="14"/>
  <c r="IQ16" i="14"/>
  <c r="IT16" i="14"/>
  <c r="IW16" i="14"/>
  <c r="IZ16" i="14"/>
  <c r="JC16" i="14"/>
  <c r="JF16" i="14"/>
  <c r="JI16" i="14"/>
  <c r="JL16" i="14"/>
  <c r="JO16" i="14"/>
  <c r="JR16" i="14"/>
  <c r="JU16" i="14"/>
  <c r="JX16" i="14"/>
  <c r="KA16" i="14"/>
  <c r="KD16" i="14"/>
  <c r="KG16" i="14"/>
  <c r="KJ16" i="14"/>
  <c r="A17" i="14"/>
  <c r="B17" i="14"/>
  <c r="E17" i="14"/>
  <c r="H17" i="14"/>
  <c r="K17" i="14"/>
  <c r="N17" i="14"/>
  <c r="Q17" i="14"/>
  <c r="T17" i="14"/>
  <c r="W17" i="14"/>
  <c r="Z17" i="14"/>
  <c r="AC17" i="14"/>
  <c r="AF17" i="14"/>
  <c r="AI17" i="14"/>
  <c r="AL17" i="14"/>
  <c r="AO17" i="14"/>
  <c r="AR17" i="14"/>
  <c r="AU17" i="14"/>
  <c r="AX17" i="14"/>
  <c r="BA17" i="14"/>
  <c r="BD17" i="14"/>
  <c r="BG17" i="14"/>
  <c r="BJ17" i="14"/>
  <c r="BM17" i="14"/>
  <c r="BP17" i="14"/>
  <c r="BS17" i="14"/>
  <c r="BV17" i="14"/>
  <c r="BY17" i="14"/>
  <c r="CB17" i="14"/>
  <c r="CE17" i="14"/>
  <c r="CH17" i="14"/>
  <c r="CK17" i="14"/>
  <c r="CN17" i="14"/>
  <c r="CQ17" i="14"/>
  <c r="CT17" i="14"/>
  <c r="CW17" i="14"/>
  <c r="CZ17" i="14"/>
  <c r="DC17" i="14"/>
  <c r="DF17" i="14"/>
  <c r="DI17" i="14"/>
  <c r="DL17" i="14"/>
  <c r="DO17" i="14"/>
  <c r="DR17" i="14"/>
  <c r="DU17" i="14"/>
  <c r="DX17" i="14"/>
  <c r="EA17" i="14"/>
  <c r="ED17" i="14"/>
  <c r="EG17" i="14"/>
  <c r="EJ17" i="14"/>
  <c r="EM17" i="14"/>
  <c r="EP17" i="14"/>
  <c r="ES17" i="14"/>
  <c r="EV17" i="14"/>
  <c r="EY17" i="14"/>
  <c r="FB17" i="14"/>
  <c r="FE17" i="14"/>
  <c r="FH17" i="14"/>
  <c r="FK17" i="14"/>
  <c r="FN17" i="14"/>
  <c r="FQ17" i="14"/>
  <c r="FT17" i="14"/>
  <c r="FW17" i="14"/>
  <c r="FZ17" i="14"/>
  <c r="GC17" i="14"/>
  <c r="GF17" i="14"/>
  <c r="GI17" i="14"/>
  <c r="GL17" i="14"/>
  <c r="GO17" i="14"/>
  <c r="GR17" i="14"/>
  <c r="GU17" i="14"/>
  <c r="GX17" i="14"/>
  <c r="HA17" i="14"/>
  <c r="HD17" i="14"/>
  <c r="HG17" i="14"/>
  <c r="HJ17" i="14"/>
  <c r="HM17" i="14"/>
  <c r="HP17" i="14"/>
  <c r="HS17" i="14"/>
  <c r="HV17" i="14"/>
  <c r="HY17" i="14"/>
  <c r="IB17" i="14"/>
  <c r="IE17" i="14"/>
  <c r="IH17" i="14"/>
  <c r="IK17" i="14"/>
  <c r="IN17" i="14"/>
  <c r="IQ17" i="14"/>
  <c r="IT17" i="14"/>
  <c r="IW17" i="14"/>
  <c r="IZ17" i="14"/>
  <c r="JC17" i="14"/>
  <c r="JF17" i="14"/>
  <c r="JI17" i="14"/>
  <c r="JL17" i="14"/>
  <c r="JO17" i="14"/>
  <c r="JR17" i="14"/>
  <c r="JU17" i="14"/>
  <c r="JX17" i="14"/>
  <c r="KA17" i="14"/>
  <c r="KD17" i="14"/>
  <c r="KG17" i="14"/>
  <c r="KJ17" i="14"/>
  <c r="A18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Q18" i="14"/>
  <c r="BR18" i="14"/>
  <c r="BS18" i="14"/>
  <c r="BT18" i="14"/>
  <c r="BU18" i="14"/>
  <c r="BV18" i="14"/>
  <c r="BW18" i="14"/>
  <c r="BX18" i="14"/>
  <c r="BY18" i="14"/>
  <c r="BZ18" i="14"/>
  <c r="CA18" i="14"/>
  <c r="CB18" i="14"/>
  <c r="CC18" i="14"/>
  <c r="CD18" i="14"/>
  <c r="CE18" i="14"/>
  <c r="CF18" i="14"/>
  <c r="CG18" i="14"/>
  <c r="CH18" i="14"/>
  <c r="CI18" i="14"/>
  <c r="CJ18" i="14"/>
  <c r="CK18" i="14"/>
  <c r="CL18" i="14"/>
  <c r="CM18" i="14"/>
  <c r="CN18" i="14"/>
  <c r="CO18" i="14"/>
  <c r="CP18" i="14"/>
  <c r="CQ18" i="14"/>
  <c r="CR18" i="14"/>
  <c r="CS18" i="14"/>
  <c r="CT18" i="14"/>
  <c r="CU18" i="14"/>
  <c r="CV18" i="14"/>
  <c r="CW18" i="14"/>
  <c r="CX18" i="14"/>
  <c r="CY18" i="14"/>
  <c r="CZ18" i="14"/>
  <c r="DA18" i="14"/>
  <c r="DB18" i="14"/>
  <c r="DC18" i="14"/>
  <c r="DD18" i="14"/>
  <c r="DE18" i="14"/>
  <c r="DF18" i="14"/>
  <c r="DG18" i="14"/>
  <c r="DH18" i="14"/>
  <c r="DI18" i="14"/>
  <c r="DJ18" i="14"/>
  <c r="DK18" i="14"/>
  <c r="DL18" i="14"/>
  <c r="DM18" i="14"/>
  <c r="DN18" i="14"/>
  <c r="DO18" i="14"/>
  <c r="DP18" i="14"/>
  <c r="DQ18" i="14"/>
  <c r="DR18" i="14"/>
  <c r="DS18" i="14"/>
  <c r="DT18" i="14"/>
  <c r="DU18" i="14"/>
  <c r="DV18" i="14"/>
  <c r="DW18" i="14"/>
  <c r="DX18" i="14"/>
  <c r="DY18" i="14"/>
  <c r="DZ18" i="14"/>
  <c r="EA18" i="14"/>
  <c r="EB18" i="14"/>
  <c r="EC18" i="14"/>
  <c r="ED18" i="14"/>
  <c r="EE18" i="14"/>
  <c r="EF18" i="14"/>
  <c r="EG18" i="14"/>
  <c r="EH18" i="14"/>
  <c r="EI18" i="14"/>
  <c r="EJ18" i="14"/>
  <c r="EK18" i="14"/>
  <c r="EL18" i="14"/>
  <c r="EM18" i="14"/>
  <c r="EN18" i="14"/>
  <c r="EO18" i="14"/>
  <c r="EP18" i="14"/>
  <c r="EQ18" i="14"/>
  <c r="ER18" i="14"/>
  <c r="ES18" i="14"/>
  <c r="ET18" i="14"/>
  <c r="EU18" i="14"/>
  <c r="EV18" i="14"/>
  <c r="EW18" i="14"/>
  <c r="EX18" i="14"/>
  <c r="EY18" i="14"/>
  <c r="EZ18" i="14"/>
  <c r="FA18" i="14"/>
  <c r="FB18" i="14"/>
  <c r="FC18" i="14"/>
  <c r="FD18" i="14"/>
  <c r="FE18" i="14"/>
  <c r="FF18" i="14"/>
  <c r="FG18" i="14"/>
  <c r="FH18" i="14"/>
  <c r="FI18" i="14"/>
  <c r="FJ18" i="14"/>
  <c r="FK18" i="14"/>
  <c r="FL18" i="14"/>
  <c r="FM18" i="14"/>
  <c r="FN18" i="14"/>
  <c r="FO18" i="14"/>
  <c r="FP18" i="14"/>
  <c r="FQ18" i="14"/>
  <c r="FR18" i="14"/>
  <c r="FS18" i="14"/>
  <c r="FT18" i="14"/>
  <c r="FU18" i="14"/>
  <c r="FV18" i="14"/>
  <c r="FW18" i="14"/>
  <c r="FX18" i="14"/>
  <c r="FY18" i="14"/>
  <c r="FZ18" i="14"/>
  <c r="GA18" i="14"/>
  <c r="GB18" i="14"/>
  <c r="GC18" i="14"/>
  <c r="GD18" i="14"/>
  <c r="GE18" i="14"/>
  <c r="GF18" i="14"/>
  <c r="GG18" i="14"/>
  <c r="GH18" i="14"/>
  <c r="GI18" i="14"/>
  <c r="GJ18" i="14"/>
  <c r="GK18" i="14"/>
  <c r="GL18" i="14"/>
  <c r="GM18" i="14"/>
  <c r="GN18" i="14"/>
  <c r="GO18" i="14"/>
  <c r="GP18" i="14"/>
  <c r="GQ18" i="14"/>
  <c r="A19" i="14"/>
  <c r="B19" i="14"/>
  <c r="E19" i="14"/>
  <c r="H19" i="14"/>
  <c r="K19" i="14"/>
  <c r="N19" i="14"/>
  <c r="Q19" i="14"/>
  <c r="T19" i="14"/>
  <c r="W19" i="14"/>
  <c r="Z19" i="14"/>
  <c r="AC19" i="14"/>
  <c r="AF19" i="14"/>
  <c r="AI19" i="14"/>
  <c r="AL19" i="14"/>
  <c r="AO19" i="14"/>
  <c r="AR19" i="14"/>
  <c r="AU19" i="14"/>
  <c r="AX19" i="14"/>
  <c r="BA19" i="14"/>
  <c r="BD19" i="14"/>
  <c r="BG19" i="14"/>
  <c r="BJ19" i="14"/>
  <c r="BM19" i="14"/>
  <c r="BP19" i="14"/>
  <c r="BS19" i="14"/>
  <c r="BV19" i="14"/>
  <c r="BY19" i="14"/>
  <c r="CB19" i="14"/>
  <c r="CE19" i="14"/>
  <c r="CH19" i="14"/>
  <c r="CK19" i="14"/>
  <c r="CN19" i="14"/>
  <c r="CQ19" i="14"/>
  <c r="CT19" i="14"/>
  <c r="CW19" i="14"/>
  <c r="CZ19" i="14"/>
  <c r="DC19" i="14"/>
  <c r="DF19" i="14"/>
  <c r="DI19" i="14"/>
  <c r="DL19" i="14"/>
  <c r="DO19" i="14"/>
  <c r="DR19" i="14"/>
  <c r="DU19" i="14"/>
  <c r="DX19" i="14"/>
  <c r="EA19" i="14"/>
  <c r="ED19" i="14"/>
  <c r="EG19" i="14"/>
  <c r="EJ19" i="14"/>
  <c r="EM19" i="14"/>
  <c r="EP19" i="14"/>
  <c r="ES19" i="14"/>
  <c r="EV19" i="14"/>
  <c r="EY19" i="14"/>
  <c r="FB19" i="14"/>
  <c r="FE19" i="14"/>
  <c r="FH19" i="14"/>
  <c r="FK19" i="14"/>
  <c r="FN19" i="14"/>
  <c r="FQ19" i="14"/>
  <c r="FT19" i="14"/>
  <c r="FW19" i="14"/>
  <c r="FZ19" i="14"/>
  <c r="GC19" i="14"/>
  <c r="GF19" i="14"/>
  <c r="GI19" i="14"/>
  <c r="GL19" i="14"/>
  <c r="GO19" i="14"/>
  <c r="GR19" i="14"/>
  <c r="GU19" i="14"/>
  <c r="GX19" i="14"/>
  <c r="HA19" i="14"/>
  <c r="HD19" i="14"/>
  <c r="HG19" i="14"/>
  <c r="HJ19" i="14"/>
  <c r="HM19" i="14"/>
  <c r="HP19" i="14"/>
  <c r="HS19" i="14"/>
  <c r="HV19" i="14"/>
  <c r="HY19" i="14"/>
  <c r="IB19" i="14"/>
  <c r="IE19" i="14"/>
  <c r="IH19" i="14"/>
  <c r="IK19" i="14"/>
  <c r="IN19" i="14"/>
  <c r="IQ19" i="14"/>
  <c r="IT19" i="14"/>
  <c r="IW19" i="14"/>
  <c r="IZ19" i="14"/>
  <c r="JC19" i="14"/>
  <c r="JF19" i="14"/>
  <c r="JI19" i="14"/>
  <c r="JL19" i="14"/>
  <c r="JO19" i="14"/>
  <c r="JR19" i="14"/>
  <c r="JU19" i="14"/>
  <c r="JX19" i="14"/>
  <c r="KA19" i="14"/>
  <c r="KD19" i="14"/>
  <c r="KG19" i="14"/>
  <c r="KJ19" i="14"/>
  <c r="A20" i="14"/>
  <c r="B20" i="14"/>
  <c r="E20" i="14"/>
  <c r="H20" i="14"/>
  <c r="K20" i="14"/>
  <c r="N20" i="14"/>
  <c r="Q20" i="14"/>
  <c r="T20" i="14"/>
  <c r="W20" i="14"/>
  <c r="Z20" i="14"/>
  <c r="AC20" i="14"/>
  <c r="AF20" i="14"/>
  <c r="AI20" i="14"/>
  <c r="AL20" i="14"/>
  <c r="AO20" i="14"/>
  <c r="AR20" i="14"/>
  <c r="AU20" i="14"/>
  <c r="AX20" i="14"/>
  <c r="BA20" i="14"/>
  <c r="BD20" i="14"/>
  <c r="BG20" i="14"/>
  <c r="BJ20" i="14"/>
  <c r="BM20" i="14"/>
  <c r="BP20" i="14"/>
  <c r="BS20" i="14"/>
  <c r="BV20" i="14"/>
  <c r="BY20" i="14"/>
  <c r="CB20" i="14"/>
  <c r="CE20" i="14"/>
  <c r="CH20" i="14"/>
  <c r="CK20" i="14"/>
  <c r="CN20" i="14"/>
  <c r="CQ20" i="14"/>
  <c r="CT20" i="14"/>
  <c r="CW20" i="14"/>
  <c r="CZ20" i="14"/>
  <c r="DC20" i="14"/>
  <c r="DF20" i="14"/>
  <c r="DI20" i="14"/>
  <c r="DL20" i="14"/>
  <c r="DO20" i="14"/>
  <c r="DR20" i="14"/>
  <c r="DU20" i="14"/>
  <c r="DX20" i="14"/>
  <c r="EA20" i="14"/>
  <c r="ED20" i="14"/>
  <c r="EG20" i="14"/>
  <c r="EJ20" i="14"/>
  <c r="EM20" i="14"/>
  <c r="EP20" i="14"/>
  <c r="ES20" i="14"/>
  <c r="EV20" i="14"/>
  <c r="EY20" i="14"/>
  <c r="FB20" i="14"/>
  <c r="FE20" i="14"/>
  <c r="FH20" i="14"/>
  <c r="FK20" i="14"/>
  <c r="FN20" i="14"/>
  <c r="FQ20" i="14"/>
  <c r="FT20" i="14"/>
  <c r="FW20" i="14"/>
  <c r="FZ20" i="14"/>
  <c r="GC20" i="14"/>
  <c r="GF20" i="14"/>
  <c r="GI20" i="14"/>
  <c r="GL20" i="14"/>
  <c r="GO20" i="14"/>
  <c r="GR20" i="14"/>
  <c r="GU20" i="14"/>
  <c r="GX20" i="14"/>
  <c r="HA20" i="14"/>
  <c r="HD20" i="14"/>
  <c r="HG20" i="14"/>
  <c r="HJ20" i="14"/>
  <c r="HM20" i="14"/>
  <c r="HP20" i="14"/>
  <c r="HS20" i="14"/>
  <c r="HV20" i="14"/>
  <c r="HY20" i="14"/>
  <c r="IB20" i="14"/>
  <c r="IE20" i="14"/>
  <c r="IH20" i="14"/>
  <c r="IK20" i="14"/>
  <c r="IN20" i="14"/>
  <c r="IQ20" i="14"/>
  <c r="IT20" i="14"/>
  <c r="IW20" i="14"/>
  <c r="IZ20" i="14"/>
  <c r="JC20" i="14"/>
  <c r="JF20" i="14"/>
  <c r="JI20" i="14"/>
  <c r="JL20" i="14"/>
  <c r="JO20" i="14"/>
  <c r="JR20" i="14"/>
  <c r="JU20" i="14"/>
  <c r="JX20" i="14"/>
  <c r="KA20" i="14"/>
  <c r="KD20" i="14"/>
  <c r="KG20" i="14"/>
  <c r="KJ20" i="14"/>
  <c r="A21" i="14"/>
  <c r="B21" i="14"/>
  <c r="E21" i="14"/>
  <c r="H21" i="14"/>
  <c r="K21" i="14"/>
  <c r="N21" i="14"/>
  <c r="Q21" i="14"/>
  <c r="T21" i="14"/>
  <c r="W21" i="14"/>
  <c r="Z21" i="14"/>
  <c r="AC21" i="14"/>
  <c r="AF21" i="14"/>
  <c r="AI21" i="14"/>
  <c r="AL21" i="14"/>
  <c r="AO21" i="14"/>
  <c r="AR21" i="14"/>
  <c r="AU21" i="14"/>
  <c r="AX21" i="14"/>
  <c r="BA21" i="14"/>
  <c r="BD21" i="14"/>
  <c r="BG21" i="14"/>
  <c r="BJ21" i="14"/>
  <c r="BM21" i="14"/>
  <c r="BP21" i="14"/>
  <c r="BS21" i="14"/>
  <c r="BV21" i="14"/>
  <c r="BY21" i="14"/>
  <c r="CB21" i="14"/>
  <c r="CE21" i="14"/>
  <c r="CH21" i="14"/>
  <c r="CK21" i="14"/>
  <c r="CN21" i="14"/>
  <c r="CQ21" i="14"/>
  <c r="CT21" i="14"/>
  <c r="CW21" i="14"/>
  <c r="CZ21" i="14"/>
  <c r="DC21" i="14"/>
  <c r="DF21" i="14"/>
  <c r="DI21" i="14"/>
  <c r="DL21" i="14"/>
  <c r="DO21" i="14"/>
  <c r="DR21" i="14"/>
  <c r="DU21" i="14"/>
  <c r="DX21" i="14"/>
  <c r="EA21" i="14"/>
  <c r="ED21" i="14"/>
  <c r="EG21" i="14"/>
  <c r="EJ21" i="14"/>
  <c r="EM21" i="14"/>
  <c r="EP21" i="14"/>
  <c r="ES21" i="14"/>
  <c r="EV21" i="14"/>
  <c r="EY21" i="14"/>
  <c r="FB21" i="14"/>
  <c r="FE21" i="14"/>
  <c r="FH21" i="14"/>
  <c r="FK21" i="14"/>
  <c r="FN21" i="14"/>
  <c r="FQ21" i="14"/>
  <c r="FT21" i="14"/>
  <c r="FW21" i="14"/>
  <c r="FZ21" i="14"/>
  <c r="GC21" i="14"/>
  <c r="GF21" i="14"/>
  <c r="GI21" i="14"/>
  <c r="GL21" i="14"/>
  <c r="GO21" i="14"/>
  <c r="GR21" i="14"/>
  <c r="GU21" i="14"/>
  <c r="GX21" i="14"/>
  <c r="HA21" i="14"/>
  <c r="HD21" i="14"/>
  <c r="HG21" i="14"/>
  <c r="HJ21" i="14"/>
  <c r="HM21" i="14"/>
  <c r="HP21" i="14"/>
  <c r="HS21" i="14"/>
  <c r="HV21" i="14"/>
  <c r="HY21" i="14"/>
  <c r="IB21" i="14"/>
  <c r="IE21" i="14"/>
  <c r="IH21" i="14"/>
  <c r="IK21" i="14"/>
  <c r="IN21" i="14"/>
  <c r="IQ21" i="14"/>
  <c r="IT21" i="14"/>
  <c r="IW21" i="14"/>
  <c r="IZ21" i="14"/>
  <c r="JC21" i="14"/>
  <c r="JF21" i="14"/>
  <c r="JI21" i="14"/>
  <c r="JL21" i="14"/>
  <c r="JO21" i="14"/>
  <c r="JR21" i="14"/>
  <c r="JU21" i="14"/>
  <c r="JX21" i="14"/>
  <c r="KA21" i="14"/>
  <c r="KD21" i="14"/>
  <c r="KG21" i="14"/>
  <c r="KJ21" i="14"/>
  <c r="A22" i="14"/>
  <c r="B22" i="14"/>
  <c r="E22" i="14"/>
  <c r="H22" i="14"/>
  <c r="K22" i="14"/>
  <c r="N22" i="14"/>
  <c r="Q22" i="14"/>
  <c r="T22" i="14"/>
  <c r="W22" i="14"/>
  <c r="Z22" i="14"/>
  <c r="AC22" i="14"/>
  <c r="AF22" i="14"/>
  <c r="AI22" i="14"/>
  <c r="AL22" i="14"/>
  <c r="AO22" i="14"/>
  <c r="AR22" i="14"/>
  <c r="AU22" i="14"/>
  <c r="AX22" i="14"/>
  <c r="BA22" i="14"/>
  <c r="BD22" i="14"/>
  <c r="BG22" i="14"/>
  <c r="BJ22" i="14"/>
  <c r="BM22" i="14"/>
  <c r="BP22" i="14"/>
  <c r="BS22" i="14"/>
  <c r="BV22" i="14"/>
  <c r="BY22" i="14"/>
  <c r="CB22" i="14"/>
  <c r="CE22" i="14"/>
  <c r="CH22" i="14"/>
  <c r="CK22" i="14"/>
  <c r="CN22" i="14"/>
  <c r="CQ22" i="14"/>
  <c r="CT22" i="14"/>
  <c r="CW22" i="14"/>
  <c r="CZ22" i="14"/>
  <c r="DC22" i="14"/>
  <c r="DF22" i="14"/>
  <c r="DI22" i="14"/>
  <c r="DL22" i="14"/>
  <c r="DO22" i="14"/>
  <c r="DR22" i="14"/>
  <c r="DU22" i="14"/>
  <c r="DX22" i="14"/>
  <c r="EA22" i="14"/>
  <c r="ED22" i="14"/>
  <c r="EG22" i="14"/>
  <c r="EJ22" i="14"/>
  <c r="EM22" i="14"/>
  <c r="EP22" i="14"/>
  <c r="ES22" i="14"/>
  <c r="EV22" i="14"/>
  <c r="EY22" i="14"/>
  <c r="FB22" i="14"/>
  <c r="FE22" i="14"/>
  <c r="FH22" i="14"/>
  <c r="FK22" i="14"/>
  <c r="FN22" i="14"/>
  <c r="FQ22" i="14"/>
  <c r="FT22" i="14"/>
  <c r="FW22" i="14"/>
  <c r="FZ22" i="14"/>
  <c r="GC22" i="14"/>
  <c r="GF22" i="14"/>
  <c r="GI22" i="14"/>
  <c r="GL22" i="14"/>
  <c r="GO22" i="14"/>
  <c r="GR22" i="14"/>
  <c r="GU22" i="14"/>
  <c r="GX22" i="14"/>
  <c r="HA22" i="14"/>
  <c r="HD22" i="14"/>
  <c r="HG22" i="14"/>
  <c r="HJ22" i="14"/>
  <c r="HM22" i="14"/>
  <c r="HP22" i="14"/>
  <c r="HS22" i="14"/>
  <c r="HV22" i="14"/>
  <c r="HY22" i="14"/>
  <c r="IB22" i="14"/>
  <c r="IE22" i="14"/>
  <c r="IH22" i="14"/>
  <c r="IK22" i="14"/>
  <c r="IN22" i="14"/>
  <c r="IQ22" i="14"/>
  <c r="IT22" i="14"/>
  <c r="IW22" i="14"/>
  <c r="IZ22" i="14"/>
  <c r="JC22" i="14"/>
  <c r="JF22" i="14"/>
  <c r="JI22" i="14"/>
  <c r="JL22" i="14"/>
  <c r="JO22" i="14"/>
  <c r="JR22" i="14"/>
  <c r="JU22" i="14"/>
  <c r="JX22" i="14"/>
  <c r="KA22" i="14"/>
  <c r="KD22" i="14"/>
  <c r="KG22" i="14"/>
  <c r="KJ22" i="14"/>
  <c r="A23" i="14"/>
  <c r="B23" i="14"/>
  <c r="E23" i="14"/>
  <c r="H23" i="14"/>
  <c r="K23" i="14"/>
  <c r="N23" i="14"/>
  <c r="Q23" i="14"/>
  <c r="T23" i="14"/>
  <c r="W23" i="14"/>
  <c r="Z23" i="14"/>
  <c r="AC23" i="14"/>
  <c r="AF23" i="14"/>
  <c r="AI23" i="14"/>
  <c r="AL23" i="14"/>
  <c r="AO23" i="14"/>
  <c r="AR23" i="14"/>
  <c r="AU23" i="14"/>
  <c r="AX23" i="14"/>
  <c r="BA23" i="14"/>
  <c r="BD23" i="14"/>
  <c r="BG23" i="14"/>
  <c r="BJ23" i="14"/>
  <c r="BM23" i="14"/>
  <c r="BP23" i="14"/>
  <c r="BS23" i="14"/>
  <c r="BV23" i="14"/>
  <c r="BY23" i="14"/>
  <c r="CB23" i="14"/>
  <c r="CE23" i="14"/>
  <c r="CH23" i="14"/>
  <c r="CK23" i="14"/>
  <c r="CN23" i="14"/>
  <c r="CQ23" i="14"/>
  <c r="CT23" i="14"/>
  <c r="CW23" i="14"/>
  <c r="CZ23" i="14"/>
  <c r="DC23" i="14"/>
  <c r="DF23" i="14"/>
  <c r="DI23" i="14"/>
  <c r="DL23" i="14"/>
  <c r="DO23" i="14"/>
  <c r="DR23" i="14"/>
  <c r="DU23" i="14"/>
  <c r="DX23" i="14"/>
  <c r="EA23" i="14"/>
  <c r="ED23" i="14"/>
  <c r="EG23" i="14"/>
  <c r="EJ23" i="14"/>
  <c r="EM23" i="14"/>
  <c r="EP23" i="14"/>
  <c r="ES23" i="14"/>
  <c r="EV23" i="14"/>
  <c r="EY23" i="14"/>
  <c r="FB23" i="14"/>
  <c r="FE23" i="14"/>
  <c r="FH23" i="14"/>
  <c r="FK23" i="14"/>
  <c r="FN23" i="14"/>
  <c r="FQ23" i="14"/>
  <c r="FT23" i="14"/>
  <c r="FW23" i="14"/>
  <c r="FZ23" i="14"/>
  <c r="GC23" i="14"/>
  <c r="GF23" i="14"/>
  <c r="GI23" i="14"/>
  <c r="GL23" i="14"/>
  <c r="GO23" i="14"/>
  <c r="GR23" i="14"/>
  <c r="GU23" i="14"/>
  <c r="GX23" i="14"/>
  <c r="HA23" i="14"/>
  <c r="HD23" i="14"/>
  <c r="HG23" i="14"/>
  <c r="HJ23" i="14"/>
  <c r="HM23" i="14"/>
  <c r="HP23" i="14"/>
  <c r="HS23" i="14"/>
  <c r="HV23" i="14"/>
  <c r="HY23" i="14"/>
  <c r="IB23" i="14"/>
  <c r="IE23" i="14"/>
  <c r="IH23" i="14"/>
  <c r="IK23" i="14"/>
  <c r="IN23" i="14"/>
  <c r="IQ23" i="14"/>
  <c r="IT23" i="14"/>
  <c r="IW23" i="14"/>
  <c r="IZ23" i="14"/>
  <c r="JC23" i="14"/>
  <c r="JF23" i="14"/>
  <c r="JI23" i="14"/>
  <c r="JL23" i="14"/>
  <c r="JO23" i="14"/>
  <c r="JR23" i="14"/>
  <c r="JU23" i="14"/>
  <c r="JX23" i="14"/>
  <c r="KA23" i="14"/>
  <c r="KD23" i="14"/>
  <c r="KG23" i="14"/>
  <c r="KJ23" i="14"/>
  <c r="A24" i="14"/>
  <c r="B24" i="14"/>
  <c r="E24" i="14"/>
  <c r="H24" i="14"/>
  <c r="K24" i="14"/>
  <c r="N24" i="14"/>
  <c r="Q24" i="14"/>
  <c r="T24" i="14"/>
  <c r="W24" i="14"/>
  <c r="Z24" i="14"/>
  <c r="AC24" i="14"/>
  <c r="AF24" i="14"/>
  <c r="AI24" i="14"/>
  <c r="AL24" i="14"/>
  <c r="AO24" i="14"/>
  <c r="AR24" i="14"/>
  <c r="AU24" i="14"/>
  <c r="AX24" i="14"/>
  <c r="BA24" i="14"/>
  <c r="BD24" i="14"/>
  <c r="BG24" i="14"/>
  <c r="BJ24" i="14"/>
  <c r="BM24" i="14"/>
  <c r="BP24" i="14"/>
  <c r="BS24" i="14"/>
  <c r="BV24" i="14"/>
  <c r="BY24" i="14"/>
  <c r="CB24" i="14"/>
  <c r="CE24" i="14"/>
  <c r="CH24" i="14"/>
  <c r="CK24" i="14"/>
  <c r="CN24" i="14"/>
  <c r="CQ24" i="14"/>
  <c r="CT24" i="14"/>
  <c r="CW24" i="14"/>
  <c r="CZ24" i="14"/>
  <c r="DC24" i="14"/>
  <c r="DF24" i="14"/>
  <c r="DI24" i="14"/>
  <c r="DL24" i="14"/>
  <c r="DO24" i="14"/>
  <c r="DR24" i="14"/>
  <c r="DU24" i="14"/>
  <c r="DX24" i="14"/>
  <c r="EA24" i="14"/>
  <c r="ED24" i="14"/>
  <c r="EG24" i="14"/>
  <c r="EJ24" i="14"/>
  <c r="EM24" i="14"/>
  <c r="EP24" i="14"/>
  <c r="ES24" i="14"/>
  <c r="EV24" i="14"/>
  <c r="EY24" i="14"/>
  <c r="FB24" i="14"/>
  <c r="FE24" i="14"/>
  <c r="FH24" i="14"/>
  <c r="FK24" i="14"/>
  <c r="FN24" i="14"/>
  <c r="FQ24" i="14"/>
  <c r="FT24" i="14"/>
  <c r="FW24" i="14"/>
  <c r="FZ24" i="14"/>
  <c r="GC24" i="14"/>
  <c r="GF24" i="14"/>
  <c r="GI24" i="14"/>
  <c r="GL24" i="14"/>
  <c r="GO24" i="14"/>
  <c r="GR24" i="14"/>
  <c r="GU24" i="14"/>
  <c r="GX24" i="14"/>
  <c r="HA24" i="14"/>
  <c r="HD24" i="14"/>
  <c r="HG24" i="14"/>
  <c r="HJ24" i="14"/>
  <c r="HM24" i="14"/>
  <c r="HP24" i="14"/>
  <c r="HS24" i="14"/>
  <c r="HV24" i="14"/>
  <c r="HY24" i="14"/>
  <c r="IB24" i="14"/>
  <c r="IE24" i="14"/>
  <c r="IH24" i="14"/>
  <c r="IK24" i="14"/>
  <c r="IN24" i="14"/>
  <c r="IQ24" i="14"/>
  <c r="IT24" i="14"/>
  <c r="IW24" i="14"/>
  <c r="IZ24" i="14"/>
  <c r="JC24" i="14"/>
  <c r="JF24" i="14"/>
  <c r="JI24" i="14"/>
  <c r="JL24" i="14"/>
  <c r="JO24" i="14"/>
  <c r="JR24" i="14"/>
  <c r="JU24" i="14"/>
  <c r="JX24" i="14"/>
  <c r="KA24" i="14"/>
  <c r="KD24" i="14"/>
  <c r="KG24" i="14"/>
  <c r="KJ24" i="14"/>
  <c r="A25" i="14"/>
  <c r="B25" i="14"/>
  <c r="E25" i="14"/>
  <c r="H25" i="14"/>
  <c r="K25" i="14"/>
  <c r="N25" i="14"/>
  <c r="Q25" i="14"/>
  <c r="T25" i="14"/>
  <c r="W25" i="14"/>
  <c r="Z25" i="14"/>
  <c r="AC25" i="14"/>
  <c r="AF25" i="14"/>
  <c r="AI25" i="14"/>
  <c r="AL25" i="14"/>
  <c r="AO25" i="14"/>
  <c r="AR25" i="14"/>
  <c r="AU25" i="14"/>
  <c r="AX25" i="14"/>
  <c r="BA25" i="14"/>
  <c r="BD25" i="14"/>
  <c r="BG25" i="14"/>
  <c r="BJ25" i="14"/>
  <c r="BM25" i="14"/>
  <c r="BP25" i="14"/>
  <c r="BS25" i="14"/>
  <c r="BV25" i="14"/>
  <c r="BY25" i="14"/>
  <c r="CB25" i="14"/>
  <c r="CE25" i="14"/>
  <c r="CH25" i="14"/>
  <c r="CK25" i="14"/>
  <c r="CN25" i="14"/>
  <c r="CQ25" i="14"/>
  <c r="CT25" i="14"/>
  <c r="CW25" i="14"/>
  <c r="CZ25" i="14"/>
  <c r="DC25" i="14"/>
  <c r="DF25" i="14"/>
  <c r="DI25" i="14"/>
  <c r="DL25" i="14"/>
  <c r="DO25" i="14"/>
  <c r="DR25" i="14"/>
  <c r="DU25" i="14"/>
  <c r="DX25" i="14"/>
  <c r="EA25" i="14"/>
  <c r="ED25" i="14"/>
  <c r="EG25" i="14"/>
  <c r="EJ25" i="14"/>
  <c r="EM25" i="14"/>
  <c r="EP25" i="14"/>
  <c r="ES25" i="14"/>
  <c r="EV25" i="14"/>
  <c r="EY25" i="14"/>
  <c r="FB25" i="14"/>
  <c r="FE25" i="14"/>
  <c r="FH25" i="14"/>
  <c r="FK25" i="14"/>
  <c r="FN25" i="14"/>
  <c r="FQ25" i="14"/>
  <c r="FT25" i="14"/>
  <c r="FW25" i="14"/>
  <c r="FZ25" i="14"/>
  <c r="GC25" i="14"/>
  <c r="GF25" i="14"/>
  <c r="GI25" i="14"/>
  <c r="GL25" i="14"/>
  <c r="GO25" i="14"/>
  <c r="GR25" i="14"/>
  <c r="GU25" i="14"/>
  <c r="GX25" i="14"/>
  <c r="HA25" i="14"/>
  <c r="HD25" i="14"/>
  <c r="HG25" i="14"/>
  <c r="HJ25" i="14"/>
  <c r="HM25" i="14"/>
  <c r="HP25" i="14"/>
  <c r="HS25" i="14"/>
  <c r="HV25" i="14"/>
  <c r="HY25" i="14"/>
  <c r="IB25" i="14"/>
  <c r="IE25" i="14"/>
  <c r="IH25" i="14"/>
  <c r="IK25" i="14"/>
  <c r="IN25" i="14"/>
  <c r="IQ25" i="14"/>
  <c r="IT25" i="14"/>
  <c r="IW25" i="14"/>
  <c r="IZ25" i="14"/>
  <c r="JC25" i="14"/>
  <c r="JF25" i="14"/>
  <c r="JI25" i="14"/>
  <c r="JL25" i="14"/>
  <c r="JO25" i="14"/>
  <c r="JR25" i="14"/>
  <c r="JU25" i="14"/>
  <c r="JX25" i="14"/>
  <c r="KA25" i="14"/>
  <c r="KD25" i="14"/>
  <c r="KG25" i="14"/>
  <c r="KJ25" i="14"/>
  <c r="A26" i="14"/>
  <c r="B26" i="14"/>
  <c r="E26" i="14"/>
  <c r="H26" i="14"/>
  <c r="K26" i="14"/>
  <c r="N26" i="14"/>
  <c r="Q26" i="14"/>
  <c r="T26" i="14"/>
  <c r="W26" i="14"/>
  <c r="Z26" i="14"/>
  <c r="AC26" i="14"/>
  <c r="AF26" i="14"/>
  <c r="AI26" i="14"/>
  <c r="AL26" i="14"/>
  <c r="AO26" i="14"/>
  <c r="AR26" i="14"/>
  <c r="AU26" i="14"/>
  <c r="AX26" i="14"/>
  <c r="BA26" i="14"/>
  <c r="BD26" i="14"/>
  <c r="BG26" i="14"/>
  <c r="BJ26" i="14"/>
  <c r="BM26" i="14"/>
  <c r="BP26" i="14"/>
  <c r="BS26" i="14"/>
  <c r="BV26" i="14"/>
  <c r="BY26" i="14"/>
  <c r="CB26" i="14"/>
  <c r="CE26" i="14"/>
  <c r="CH26" i="14"/>
  <c r="CK26" i="14"/>
  <c r="CN26" i="14"/>
  <c r="CQ26" i="14"/>
  <c r="CT26" i="14"/>
  <c r="CW26" i="14"/>
  <c r="CZ26" i="14"/>
  <c r="DC26" i="14"/>
  <c r="DF26" i="14"/>
  <c r="DI26" i="14"/>
  <c r="DL26" i="14"/>
  <c r="DO26" i="14"/>
  <c r="DR26" i="14"/>
  <c r="DU26" i="14"/>
  <c r="DX26" i="14"/>
  <c r="EA26" i="14"/>
  <c r="ED26" i="14"/>
  <c r="EG26" i="14"/>
  <c r="EJ26" i="14"/>
  <c r="EM26" i="14"/>
  <c r="EP26" i="14"/>
  <c r="ES26" i="14"/>
  <c r="EV26" i="14"/>
  <c r="EY26" i="14"/>
  <c r="FB26" i="14"/>
  <c r="FE26" i="14"/>
  <c r="FH26" i="14"/>
  <c r="FK26" i="14"/>
  <c r="FN26" i="14"/>
  <c r="FQ26" i="14"/>
  <c r="FT26" i="14"/>
  <c r="FW26" i="14"/>
  <c r="FZ26" i="14"/>
  <c r="GC26" i="14"/>
  <c r="GF26" i="14"/>
  <c r="GI26" i="14"/>
  <c r="GL26" i="14"/>
  <c r="GO26" i="14"/>
  <c r="GR26" i="14"/>
  <c r="GU26" i="14"/>
  <c r="GX26" i="14"/>
  <c r="HA26" i="14"/>
  <c r="HD26" i="14"/>
  <c r="HG26" i="14"/>
  <c r="HJ26" i="14"/>
  <c r="HM26" i="14"/>
  <c r="HP26" i="14"/>
  <c r="HS26" i="14"/>
  <c r="HV26" i="14"/>
  <c r="HY26" i="14"/>
  <c r="IB26" i="14"/>
  <c r="IE26" i="14"/>
  <c r="IH26" i="14"/>
  <c r="IK26" i="14"/>
  <c r="IN26" i="14"/>
  <c r="IQ26" i="14"/>
  <c r="IT26" i="14"/>
  <c r="IW26" i="14"/>
  <c r="IZ26" i="14"/>
  <c r="JC26" i="14"/>
  <c r="JF26" i="14"/>
  <c r="JI26" i="14"/>
  <c r="JL26" i="14"/>
  <c r="JO26" i="14"/>
  <c r="JR26" i="14"/>
  <c r="JU26" i="14"/>
  <c r="JX26" i="14"/>
  <c r="KA26" i="14"/>
  <c r="KD26" i="14"/>
  <c r="KG26" i="14"/>
  <c r="KJ26" i="14"/>
  <c r="A27" i="14"/>
  <c r="B27" i="14"/>
  <c r="E27" i="14"/>
  <c r="H27" i="14"/>
  <c r="K27" i="14"/>
  <c r="N27" i="14"/>
  <c r="Q27" i="14"/>
  <c r="T27" i="14"/>
  <c r="W27" i="14"/>
  <c r="Z27" i="14"/>
  <c r="AC27" i="14"/>
  <c r="AF27" i="14"/>
  <c r="AI27" i="14"/>
  <c r="AL27" i="14"/>
  <c r="AO27" i="14"/>
  <c r="AR27" i="14"/>
  <c r="AU27" i="14"/>
  <c r="AX27" i="14"/>
  <c r="BA27" i="14"/>
  <c r="BD27" i="14"/>
  <c r="BG27" i="14"/>
  <c r="BJ27" i="14"/>
  <c r="BM27" i="14"/>
  <c r="BP27" i="14"/>
  <c r="BS27" i="14"/>
  <c r="BV27" i="14"/>
  <c r="BY27" i="14"/>
  <c r="CB27" i="14"/>
  <c r="CE27" i="14"/>
  <c r="CH27" i="14"/>
  <c r="CK27" i="14"/>
  <c r="CN27" i="14"/>
  <c r="CQ27" i="14"/>
  <c r="CT27" i="14"/>
  <c r="CW27" i="14"/>
  <c r="CZ27" i="14"/>
  <c r="DC27" i="14"/>
  <c r="DF27" i="14"/>
  <c r="DI27" i="14"/>
  <c r="DL27" i="14"/>
  <c r="DO27" i="14"/>
  <c r="DR27" i="14"/>
  <c r="DU27" i="14"/>
  <c r="DX27" i="14"/>
  <c r="EA27" i="14"/>
  <c r="ED27" i="14"/>
  <c r="EG27" i="14"/>
  <c r="EJ27" i="14"/>
  <c r="EM27" i="14"/>
  <c r="EP27" i="14"/>
  <c r="ES27" i="14"/>
  <c r="EV27" i="14"/>
  <c r="EY27" i="14"/>
  <c r="FB27" i="14"/>
  <c r="FE27" i="14"/>
  <c r="FH27" i="14"/>
  <c r="FK27" i="14"/>
  <c r="FN27" i="14"/>
  <c r="FQ27" i="14"/>
  <c r="FT27" i="14"/>
  <c r="FW27" i="14"/>
  <c r="FZ27" i="14"/>
  <c r="GC27" i="14"/>
  <c r="GF27" i="14"/>
  <c r="GI27" i="14"/>
  <c r="GL27" i="14"/>
  <c r="GO27" i="14"/>
  <c r="GR27" i="14"/>
  <c r="GU27" i="14"/>
  <c r="GX27" i="14"/>
  <c r="HA27" i="14"/>
  <c r="HD27" i="14"/>
  <c r="HG27" i="14"/>
  <c r="HJ27" i="14"/>
  <c r="HM27" i="14"/>
  <c r="HP27" i="14"/>
  <c r="HS27" i="14"/>
  <c r="HV27" i="14"/>
  <c r="HY27" i="14"/>
  <c r="IB27" i="14"/>
  <c r="IE27" i="14"/>
  <c r="IH27" i="14"/>
  <c r="IK27" i="14"/>
  <c r="IN27" i="14"/>
  <c r="IQ27" i="14"/>
  <c r="IT27" i="14"/>
  <c r="IW27" i="14"/>
  <c r="IZ27" i="14"/>
  <c r="JC27" i="14"/>
  <c r="JF27" i="14"/>
  <c r="JI27" i="14"/>
  <c r="JL27" i="14"/>
  <c r="JO27" i="14"/>
  <c r="JR27" i="14"/>
  <c r="JU27" i="14"/>
  <c r="JX27" i="14"/>
  <c r="KA27" i="14"/>
  <c r="KD27" i="14"/>
  <c r="KG27" i="14"/>
  <c r="KJ27" i="14"/>
  <c r="A28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Q28" i="14"/>
  <c r="BR28" i="14"/>
  <c r="BS28" i="14"/>
  <c r="BT28" i="14"/>
  <c r="BU28" i="14"/>
  <c r="BV28" i="14"/>
  <c r="BW28" i="14"/>
  <c r="BX28" i="14"/>
  <c r="BY28" i="14"/>
  <c r="BZ28" i="14"/>
  <c r="CA28" i="14"/>
  <c r="CB28" i="14"/>
  <c r="CC28" i="14"/>
  <c r="CD28" i="14"/>
  <c r="CE28" i="14"/>
  <c r="CF28" i="14"/>
  <c r="CG28" i="14"/>
  <c r="CH28" i="14"/>
  <c r="CI28" i="14"/>
  <c r="CJ28" i="14"/>
  <c r="CK28" i="14"/>
  <c r="CL28" i="14"/>
  <c r="CM28" i="14"/>
  <c r="CN28" i="14"/>
  <c r="CO28" i="14"/>
  <c r="CP28" i="14"/>
  <c r="CQ28" i="14"/>
  <c r="CR28" i="14"/>
  <c r="CS28" i="14"/>
  <c r="CT28" i="14"/>
  <c r="CU28" i="14"/>
  <c r="CV28" i="14"/>
  <c r="CW28" i="14"/>
  <c r="CX28" i="14"/>
  <c r="CY28" i="14"/>
  <c r="CZ28" i="14"/>
  <c r="DA28" i="14"/>
  <c r="DB28" i="14"/>
  <c r="DC28" i="14"/>
  <c r="DD28" i="14"/>
  <c r="DE28" i="14"/>
  <c r="DF28" i="14"/>
  <c r="DG28" i="14"/>
  <c r="DH28" i="14"/>
  <c r="DI28" i="14"/>
  <c r="DJ28" i="14"/>
  <c r="DK28" i="14"/>
  <c r="DL28" i="14"/>
  <c r="DM28" i="14"/>
  <c r="DN28" i="14"/>
  <c r="DO28" i="14"/>
  <c r="DP28" i="14"/>
  <c r="DQ28" i="14"/>
  <c r="DR28" i="14"/>
  <c r="DS28" i="14"/>
  <c r="DT28" i="14"/>
  <c r="DU28" i="14"/>
  <c r="DV28" i="14"/>
  <c r="DW28" i="14"/>
  <c r="DX28" i="14"/>
  <c r="DY28" i="14"/>
  <c r="DZ28" i="14"/>
  <c r="EA28" i="14"/>
  <c r="EB28" i="14"/>
  <c r="EC28" i="14"/>
  <c r="ED28" i="14"/>
  <c r="EE28" i="14"/>
  <c r="EF28" i="14"/>
  <c r="EG28" i="14"/>
  <c r="EH28" i="14"/>
  <c r="EI28" i="14"/>
  <c r="EJ28" i="14"/>
  <c r="EK28" i="14"/>
  <c r="EL28" i="14"/>
  <c r="EM28" i="14"/>
  <c r="EN28" i="14"/>
  <c r="EO28" i="14"/>
  <c r="EP28" i="14"/>
  <c r="EQ28" i="14"/>
  <c r="ER28" i="14"/>
  <c r="ES28" i="14"/>
  <c r="ET28" i="14"/>
  <c r="EU28" i="14"/>
  <c r="EV28" i="14"/>
  <c r="EW28" i="14"/>
  <c r="EX28" i="14"/>
  <c r="EY28" i="14"/>
  <c r="EZ28" i="14"/>
  <c r="FA28" i="14"/>
  <c r="FB28" i="14"/>
  <c r="FC28" i="14"/>
  <c r="FD28" i="14"/>
  <c r="FE28" i="14"/>
  <c r="FF28" i="14"/>
  <c r="FG28" i="14"/>
  <c r="FH28" i="14"/>
  <c r="FI28" i="14"/>
  <c r="FJ28" i="14"/>
  <c r="FK28" i="14"/>
  <c r="FL28" i="14"/>
  <c r="FM28" i="14"/>
  <c r="FN28" i="14"/>
  <c r="FO28" i="14"/>
  <c r="FP28" i="14"/>
  <c r="FQ28" i="14"/>
  <c r="FR28" i="14"/>
  <c r="FS28" i="14"/>
  <c r="FT28" i="14"/>
  <c r="FU28" i="14"/>
  <c r="FV28" i="14"/>
  <c r="FW28" i="14"/>
  <c r="FX28" i="14"/>
  <c r="FY28" i="14"/>
  <c r="FZ28" i="14"/>
  <c r="GA28" i="14"/>
  <c r="GB28" i="14"/>
  <c r="GC28" i="14"/>
  <c r="GD28" i="14"/>
  <c r="GE28" i="14"/>
  <c r="GF28" i="14"/>
  <c r="GG28" i="14"/>
  <c r="GH28" i="14"/>
  <c r="GI28" i="14"/>
  <c r="GJ28" i="14"/>
  <c r="GK28" i="14"/>
  <c r="GL28" i="14"/>
  <c r="GM28" i="14"/>
  <c r="GN28" i="14"/>
  <c r="GO28" i="14"/>
  <c r="GP28" i="14"/>
  <c r="GQ28" i="14"/>
  <c r="A29" i="14"/>
  <c r="CX312" i="12"/>
  <c r="CX339" i="12" s="1"/>
  <c r="CW312" i="12"/>
  <c r="CW339" i="12" s="1"/>
  <c r="CV312" i="12"/>
  <c r="CV339" i="12" s="1"/>
  <c r="CU312" i="12"/>
  <c r="CU339" i="12" s="1"/>
  <c r="CT312" i="12"/>
  <c r="CT339" i="12" s="1"/>
  <c r="CS312" i="12"/>
  <c r="CS339" i="12" s="1"/>
  <c r="CR312" i="12"/>
  <c r="CR339" i="12" s="1"/>
  <c r="CQ312" i="12"/>
  <c r="CQ339" i="12" s="1"/>
  <c r="CP312" i="12"/>
  <c r="CP339" i="12" s="1"/>
  <c r="CO312" i="12"/>
  <c r="CO339" i="12" s="1"/>
  <c r="CN312" i="12"/>
  <c r="CN339" i="12" s="1"/>
  <c r="CM312" i="12"/>
  <c r="CM339" i="12" s="1"/>
  <c r="CL312" i="12"/>
  <c r="CL339" i="12" s="1"/>
  <c r="CK312" i="12"/>
  <c r="CK339" i="12" s="1"/>
  <c r="CJ312" i="12"/>
  <c r="CJ339" i="12" s="1"/>
  <c r="CI312" i="12"/>
  <c r="CI339" i="12" s="1"/>
  <c r="CH312" i="12"/>
  <c r="CH339" i="12" s="1"/>
  <c r="CG312" i="12"/>
  <c r="CG339" i="12" s="1"/>
  <c r="CF312" i="12"/>
  <c r="CF339" i="12" s="1"/>
  <c r="CE312" i="12"/>
  <c r="CE339" i="12" s="1"/>
  <c r="CD312" i="12"/>
  <c r="CD339" i="12" s="1"/>
  <c r="CC312" i="12"/>
  <c r="CC339" i="12" s="1"/>
  <c r="CB312" i="12"/>
  <c r="CB339" i="12" s="1"/>
  <c r="CA312" i="12"/>
  <c r="CA339" i="12" s="1"/>
  <c r="BZ312" i="12"/>
  <c r="BZ339" i="12" s="1"/>
  <c r="BY312" i="12"/>
  <c r="BY339" i="12" s="1"/>
  <c r="BX312" i="12"/>
  <c r="BX339" i="12" s="1"/>
  <c r="BW312" i="12"/>
  <c r="BW339" i="12" s="1"/>
  <c r="BV312" i="12"/>
  <c r="BV339" i="12" s="1"/>
  <c r="BU312" i="12"/>
  <c r="BU339" i="12" s="1"/>
  <c r="BT312" i="12"/>
  <c r="BT339" i="12" s="1"/>
  <c r="BS312" i="12"/>
  <c r="BS339" i="12" s="1"/>
  <c r="BR312" i="12"/>
  <c r="BR339" i="12" s="1"/>
  <c r="BQ312" i="12"/>
  <c r="BQ339" i="12" s="1"/>
  <c r="BP312" i="12"/>
  <c r="BP339" i="12" s="1"/>
  <c r="BO312" i="12"/>
  <c r="BO339" i="12" s="1"/>
  <c r="BN312" i="12"/>
  <c r="BN339" i="12" s="1"/>
  <c r="BM312" i="12"/>
  <c r="BM339" i="12" s="1"/>
  <c r="BL312" i="12"/>
  <c r="BL339" i="12" s="1"/>
  <c r="BK312" i="12"/>
  <c r="BK339" i="12" s="1"/>
  <c r="BJ312" i="12"/>
  <c r="BJ339" i="12" s="1"/>
  <c r="BI312" i="12"/>
  <c r="BI339" i="12" s="1"/>
  <c r="BH312" i="12"/>
  <c r="BH339" i="12" s="1"/>
  <c r="BG312" i="12"/>
  <c r="BG339" i="12" s="1"/>
  <c r="BF312" i="12"/>
  <c r="BF339" i="12" s="1"/>
  <c r="BE312" i="12"/>
  <c r="BE339" i="12" s="1"/>
  <c r="BD312" i="12"/>
  <c r="BD339" i="12" s="1"/>
  <c r="BC312" i="12"/>
  <c r="BC339" i="12" s="1"/>
  <c r="BB312" i="12"/>
  <c r="BB339" i="12" s="1"/>
  <c r="BA312" i="12"/>
  <c r="BA339" i="12" s="1"/>
  <c r="AZ312" i="12"/>
  <c r="AZ339" i="12" s="1"/>
  <c r="AY312" i="12"/>
  <c r="AY339" i="12" s="1"/>
  <c r="AX312" i="12"/>
  <c r="AX339" i="12" s="1"/>
  <c r="AW312" i="12"/>
  <c r="AW339" i="12" s="1"/>
  <c r="AV312" i="12"/>
  <c r="AV339" i="12" s="1"/>
  <c r="AU312" i="12"/>
  <c r="AU339" i="12" s="1"/>
  <c r="AT312" i="12"/>
  <c r="AT339" i="12" s="1"/>
  <c r="AS312" i="12"/>
  <c r="AS339" i="12" s="1"/>
  <c r="AR312" i="12"/>
  <c r="AR339" i="12" s="1"/>
  <c r="AQ312" i="12"/>
  <c r="AQ339" i="12" s="1"/>
  <c r="AP312" i="12"/>
  <c r="AP339" i="12" s="1"/>
  <c r="AO312" i="12"/>
  <c r="AO339" i="12" s="1"/>
  <c r="AN312" i="12"/>
  <c r="AN339" i="12" s="1"/>
  <c r="AM312" i="12"/>
  <c r="AM339" i="12" s="1"/>
  <c r="AL312" i="12"/>
  <c r="AL339" i="12" s="1"/>
  <c r="AK312" i="12"/>
  <c r="AK339" i="12" s="1"/>
  <c r="AJ312" i="12"/>
  <c r="AJ339" i="12" s="1"/>
  <c r="AI312" i="12"/>
  <c r="AI339" i="12" s="1"/>
  <c r="AH312" i="12"/>
  <c r="AH339" i="12" s="1"/>
  <c r="AG312" i="12"/>
  <c r="AG339" i="12" s="1"/>
  <c r="AF312" i="12"/>
  <c r="AF339" i="12" s="1"/>
  <c r="AE312" i="12"/>
  <c r="AE339" i="12" s="1"/>
  <c r="AD312" i="12"/>
  <c r="AD339" i="12" s="1"/>
  <c r="AC312" i="12"/>
  <c r="AC339" i="12" s="1"/>
  <c r="AB312" i="12"/>
  <c r="AB339" i="12" s="1"/>
  <c r="AA312" i="12"/>
  <c r="AA339" i="12" s="1"/>
  <c r="Z312" i="12"/>
  <c r="Z339" i="12" s="1"/>
  <c r="Y312" i="12"/>
  <c r="Y339" i="12" s="1"/>
  <c r="X312" i="12"/>
  <c r="X339" i="12" s="1"/>
  <c r="W312" i="12"/>
  <c r="W339" i="12" s="1"/>
  <c r="V312" i="12"/>
  <c r="V339" i="12" s="1"/>
  <c r="U312" i="12"/>
  <c r="U339" i="12" s="1"/>
  <c r="T312" i="12"/>
  <c r="T339" i="12" s="1"/>
  <c r="S312" i="12"/>
  <c r="S339" i="12" s="1"/>
  <c r="R312" i="12"/>
  <c r="R339" i="12" s="1"/>
  <c r="Q312" i="12"/>
  <c r="Q339" i="12" s="1"/>
  <c r="P312" i="12"/>
  <c r="P339" i="12" s="1"/>
  <c r="O312" i="12"/>
  <c r="O339" i="12" s="1"/>
  <c r="N312" i="12"/>
  <c r="N339" i="12" s="1"/>
  <c r="M312" i="12"/>
  <c r="M339" i="12" s="1"/>
  <c r="L312" i="12"/>
  <c r="L339" i="12" s="1"/>
  <c r="K312" i="12"/>
  <c r="K339" i="12" s="1"/>
  <c r="J312" i="12"/>
  <c r="J339" i="12" s="1"/>
  <c r="I312" i="12"/>
  <c r="I339" i="12" s="1"/>
  <c r="H312" i="12"/>
  <c r="H339" i="12" s="1"/>
  <c r="G312" i="12"/>
  <c r="G339" i="12" s="1"/>
  <c r="F312" i="12"/>
  <c r="F339" i="12" s="1"/>
  <c r="E312" i="12"/>
  <c r="E339" i="12" s="1"/>
  <c r="D312" i="12"/>
  <c r="D339" i="12" s="1"/>
  <c r="CX311" i="12"/>
  <c r="CW311" i="12"/>
  <c r="CV311" i="12"/>
  <c r="CU311" i="12"/>
  <c r="CT311" i="12"/>
  <c r="CS311" i="12"/>
  <c r="CR311" i="12"/>
  <c r="CQ311" i="12"/>
  <c r="CP311" i="12"/>
  <c r="CO311" i="12"/>
  <c r="CN311" i="12"/>
  <c r="CM311" i="12"/>
  <c r="CL311" i="12"/>
  <c r="CK311" i="12"/>
  <c r="CJ311" i="12"/>
  <c r="CI311" i="12"/>
  <c r="CH311" i="12"/>
  <c r="CG311" i="12"/>
  <c r="CF311" i="12"/>
  <c r="CE311" i="12"/>
  <c r="CD311" i="12"/>
  <c r="CC311" i="12"/>
  <c r="CB311" i="12"/>
  <c r="CA311" i="12"/>
  <c r="BZ311" i="12"/>
  <c r="BY311" i="12"/>
  <c r="BX311" i="12"/>
  <c r="BW311" i="12"/>
  <c r="BV311" i="12"/>
  <c r="BU311" i="12"/>
  <c r="BT311" i="12"/>
  <c r="BS311" i="12"/>
  <c r="BR311" i="12"/>
  <c r="BQ311" i="12"/>
  <c r="BP311" i="12"/>
  <c r="BO311" i="12"/>
  <c r="BN311" i="12"/>
  <c r="BM311" i="12"/>
  <c r="BL311" i="12"/>
  <c r="BK311" i="12"/>
  <c r="BJ311" i="12"/>
  <c r="BI311" i="12"/>
  <c r="BH311" i="12"/>
  <c r="BG311" i="12"/>
  <c r="BF311" i="12"/>
  <c r="BE311" i="12"/>
  <c r="BD311" i="12"/>
  <c r="BC311" i="12"/>
  <c r="BB311" i="12"/>
  <c r="BA311" i="12"/>
  <c r="AZ311" i="12"/>
  <c r="AY311" i="12"/>
  <c r="AX311" i="12"/>
  <c r="AW311" i="12"/>
  <c r="AV311" i="12"/>
  <c r="AU311" i="12"/>
  <c r="AT311" i="12"/>
  <c r="AS311" i="12"/>
  <c r="AR311" i="12"/>
  <c r="AQ311" i="12"/>
  <c r="AP311" i="12"/>
  <c r="AO311" i="12"/>
  <c r="AN311" i="12"/>
  <c r="AM311" i="12"/>
  <c r="AL311" i="12"/>
  <c r="AK311" i="12"/>
  <c r="AJ311" i="12"/>
  <c r="AI311" i="12"/>
  <c r="AH311" i="12"/>
  <c r="AG311" i="12"/>
  <c r="AF311" i="12"/>
  <c r="AE311" i="12"/>
  <c r="AD311" i="12"/>
  <c r="AC311" i="12"/>
  <c r="AB311" i="12"/>
  <c r="AA311" i="12"/>
  <c r="Z311" i="12"/>
  <c r="Y311" i="12"/>
  <c r="X311" i="12"/>
  <c r="W311" i="12"/>
  <c r="V311" i="12"/>
  <c r="U311" i="12"/>
  <c r="T311" i="12"/>
  <c r="S311" i="12"/>
  <c r="R311" i="12"/>
  <c r="Q311" i="12"/>
  <c r="P311" i="12"/>
  <c r="O311" i="12"/>
  <c r="N311" i="12"/>
  <c r="M311" i="12"/>
  <c r="L311" i="12"/>
  <c r="K311" i="12"/>
  <c r="J311" i="12"/>
  <c r="I311" i="12"/>
  <c r="H311" i="12"/>
  <c r="G311" i="12"/>
  <c r="F311" i="12"/>
  <c r="E311" i="12"/>
  <c r="D311" i="12"/>
  <c r="CX310" i="12"/>
  <c r="CW310" i="12"/>
  <c r="CV310" i="12"/>
  <c r="CU310" i="12"/>
  <c r="CT310" i="12"/>
  <c r="CS310" i="12"/>
  <c r="CR310" i="12"/>
  <c r="CQ310" i="12"/>
  <c r="CP310" i="12"/>
  <c r="CO310" i="12"/>
  <c r="CN310" i="12"/>
  <c r="CM310" i="12"/>
  <c r="CL310" i="12"/>
  <c r="CK310" i="12"/>
  <c r="CJ310" i="12"/>
  <c r="CI310" i="12"/>
  <c r="CH310" i="12"/>
  <c r="CG310" i="12"/>
  <c r="CF310" i="12"/>
  <c r="CE310" i="12"/>
  <c r="CD310" i="12"/>
  <c r="CC310" i="12"/>
  <c r="CB310" i="12"/>
  <c r="CA310" i="12"/>
  <c r="BZ310" i="12"/>
  <c r="BY310" i="12"/>
  <c r="BX310" i="12"/>
  <c r="BW310" i="12"/>
  <c r="BV310" i="12"/>
  <c r="BU310" i="12"/>
  <c r="BT310" i="12"/>
  <c r="BS310" i="12"/>
  <c r="BR310" i="12"/>
  <c r="BQ310" i="12"/>
  <c r="BP310" i="12"/>
  <c r="BO310" i="12"/>
  <c r="BN310" i="12"/>
  <c r="BM310" i="12"/>
  <c r="BL310" i="12"/>
  <c r="BK310" i="12"/>
  <c r="BJ310" i="12"/>
  <c r="BI310" i="12"/>
  <c r="BH310" i="12"/>
  <c r="BG310" i="12"/>
  <c r="BF310" i="12"/>
  <c r="BE310" i="12"/>
  <c r="BD310" i="12"/>
  <c r="BC310" i="12"/>
  <c r="BB310" i="12"/>
  <c r="BA310" i="12"/>
  <c r="AZ310" i="12"/>
  <c r="AY310" i="12"/>
  <c r="AX310" i="12"/>
  <c r="AW310" i="12"/>
  <c r="AV310" i="12"/>
  <c r="AU310" i="12"/>
  <c r="AT310" i="12"/>
  <c r="AS310" i="12"/>
  <c r="AR310" i="12"/>
  <c r="AQ310" i="12"/>
  <c r="AP310" i="12"/>
  <c r="AO310" i="12"/>
  <c r="AN310" i="12"/>
  <c r="AM310" i="12"/>
  <c r="AL310" i="12"/>
  <c r="AK310" i="12"/>
  <c r="AJ310" i="12"/>
  <c r="AI310" i="12"/>
  <c r="AH310" i="12"/>
  <c r="AG310" i="12"/>
  <c r="AF310" i="12"/>
  <c r="AE310" i="12"/>
  <c r="AD310" i="12"/>
  <c r="AC310" i="12"/>
  <c r="AB310" i="12"/>
  <c r="AA310" i="12"/>
  <c r="Z310" i="12"/>
  <c r="Y310" i="12"/>
  <c r="X310" i="12"/>
  <c r="W310" i="12"/>
  <c r="V310" i="12"/>
  <c r="U310" i="12"/>
  <c r="T310" i="12"/>
  <c r="S310" i="12"/>
  <c r="R310" i="12"/>
  <c r="Q310" i="12"/>
  <c r="P310" i="12"/>
  <c r="O310" i="12"/>
  <c r="N310" i="12"/>
  <c r="M310" i="12"/>
  <c r="L310" i="12"/>
  <c r="K310" i="12"/>
  <c r="J310" i="12"/>
  <c r="I310" i="12"/>
  <c r="H310" i="12"/>
  <c r="G310" i="12"/>
  <c r="F310" i="12"/>
  <c r="E310" i="12"/>
  <c r="D310" i="12"/>
  <c r="CX309" i="12"/>
  <c r="CW309" i="12"/>
  <c r="CV309" i="12"/>
  <c r="CU309" i="12"/>
  <c r="CT309" i="12"/>
  <c r="CS309" i="12"/>
  <c r="CR309" i="12"/>
  <c r="CQ309" i="12"/>
  <c r="CP309" i="12"/>
  <c r="CO309" i="12"/>
  <c r="CN309" i="12"/>
  <c r="CM309" i="12"/>
  <c r="CL309" i="12"/>
  <c r="CK309" i="12"/>
  <c r="CJ309" i="12"/>
  <c r="CI309" i="12"/>
  <c r="CH309" i="12"/>
  <c r="CG309" i="12"/>
  <c r="CF309" i="12"/>
  <c r="CE309" i="12"/>
  <c r="CD309" i="12"/>
  <c r="CC309" i="12"/>
  <c r="CB309" i="12"/>
  <c r="CA309" i="12"/>
  <c r="BZ309" i="12"/>
  <c r="BY309" i="12"/>
  <c r="BX309" i="12"/>
  <c r="BW309" i="12"/>
  <c r="BV309" i="12"/>
  <c r="BU309" i="12"/>
  <c r="BT309" i="12"/>
  <c r="BS309" i="12"/>
  <c r="BR309" i="12"/>
  <c r="BQ309" i="12"/>
  <c r="BP309" i="12"/>
  <c r="BO309" i="12"/>
  <c r="BN309" i="12"/>
  <c r="BM309" i="12"/>
  <c r="BL309" i="12"/>
  <c r="BK309" i="12"/>
  <c r="BJ309" i="12"/>
  <c r="BI309" i="12"/>
  <c r="BH309" i="12"/>
  <c r="BG309" i="12"/>
  <c r="BF309" i="12"/>
  <c r="BE309" i="12"/>
  <c r="BD309" i="12"/>
  <c r="BC309" i="12"/>
  <c r="BB309" i="12"/>
  <c r="BA309" i="12"/>
  <c r="AZ309" i="12"/>
  <c r="AY309" i="12"/>
  <c r="AX309" i="12"/>
  <c r="AW309" i="12"/>
  <c r="AV309" i="12"/>
  <c r="AU309" i="12"/>
  <c r="AT309" i="12"/>
  <c r="AS309" i="12"/>
  <c r="AR309" i="12"/>
  <c r="AQ309" i="12"/>
  <c r="AP309" i="12"/>
  <c r="AO309" i="12"/>
  <c r="AN309" i="12"/>
  <c r="AM309" i="12"/>
  <c r="AL309" i="12"/>
  <c r="AK309" i="12"/>
  <c r="AJ309" i="12"/>
  <c r="AI309" i="12"/>
  <c r="AH309" i="12"/>
  <c r="AG309" i="12"/>
  <c r="AF309" i="12"/>
  <c r="AE309" i="12"/>
  <c r="AD309" i="12"/>
  <c r="AC309" i="12"/>
  <c r="AB309" i="12"/>
  <c r="AA309" i="12"/>
  <c r="Z309" i="12"/>
  <c r="Y309" i="12"/>
  <c r="X309" i="12"/>
  <c r="W309" i="12"/>
  <c r="V309" i="12"/>
  <c r="U309" i="12"/>
  <c r="T309" i="12"/>
  <c r="S309" i="12"/>
  <c r="R309" i="12"/>
  <c r="Q309" i="12"/>
  <c r="P309" i="12"/>
  <c r="O309" i="12"/>
  <c r="N309" i="12"/>
  <c r="M309" i="12"/>
  <c r="L309" i="12"/>
  <c r="K309" i="12"/>
  <c r="J309" i="12"/>
  <c r="I309" i="12"/>
  <c r="H309" i="12"/>
  <c r="G309" i="12"/>
  <c r="F309" i="12"/>
  <c r="E309" i="12"/>
  <c r="D309" i="12"/>
  <c r="CX308" i="12"/>
  <c r="CW308" i="12"/>
  <c r="CV308" i="12"/>
  <c r="CU308" i="12"/>
  <c r="CT308" i="12"/>
  <c r="CS308" i="12"/>
  <c r="CR308" i="12"/>
  <c r="CQ308" i="12"/>
  <c r="CP308" i="12"/>
  <c r="CO308" i="12"/>
  <c r="CN308" i="12"/>
  <c r="CM308" i="12"/>
  <c r="CL308" i="12"/>
  <c r="CK308" i="12"/>
  <c r="CJ308" i="12"/>
  <c r="CI308" i="12"/>
  <c r="CH308" i="12"/>
  <c r="CG308" i="12"/>
  <c r="CF308" i="12"/>
  <c r="CE308" i="12"/>
  <c r="CD308" i="12"/>
  <c r="CC308" i="12"/>
  <c r="CB308" i="12"/>
  <c r="CA308" i="12"/>
  <c r="BZ308" i="12"/>
  <c r="BY308" i="12"/>
  <c r="BX308" i="12"/>
  <c r="BW308" i="12"/>
  <c r="BV308" i="12"/>
  <c r="BU308" i="12"/>
  <c r="BT308" i="12"/>
  <c r="BS308" i="12"/>
  <c r="BR308" i="12"/>
  <c r="BQ308" i="12"/>
  <c r="BP308" i="12"/>
  <c r="BO308" i="12"/>
  <c r="BN308" i="12"/>
  <c r="BM308" i="12"/>
  <c r="BL308" i="12"/>
  <c r="BK308" i="12"/>
  <c r="BJ308" i="12"/>
  <c r="BI308" i="12"/>
  <c r="BH308" i="12"/>
  <c r="BG308" i="12"/>
  <c r="BF308" i="12"/>
  <c r="BE308" i="12"/>
  <c r="BD308" i="12"/>
  <c r="BC308" i="12"/>
  <c r="BB308" i="12"/>
  <c r="BA308" i="12"/>
  <c r="AZ308" i="12"/>
  <c r="AY308" i="12"/>
  <c r="AX308" i="12"/>
  <c r="AW308" i="12"/>
  <c r="AV308" i="12"/>
  <c r="AU308" i="12"/>
  <c r="AT308" i="12"/>
  <c r="AS308" i="12"/>
  <c r="AR308" i="12"/>
  <c r="AQ308" i="12"/>
  <c r="AP308" i="12"/>
  <c r="AO308" i="12"/>
  <c r="AN308" i="12"/>
  <c r="AM308" i="12"/>
  <c r="AL308" i="12"/>
  <c r="AK308" i="12"/>
  <c r="AJ308" i="12"/>
  <c r="AI308" i="12"/>
  <c r="AH308" i="12"/>
  <c r="AG308" i="12"/>
  <c r="AF308" i="12"/>
  <c r="AE308" i="12"/>
  <c r="AD308" i="12"/>
  <c r="AC308" i="12"/>
  <c r="AB308" i="12"/>
  <c r="AA308" i="12"/>
  <c r="Z308" i="12"/>
  <c r="Y308" i="12"/>
  <c r="X308" i="12"/>
  <c r="W308" i="12"/>
  <c r="V308" i="12"/>
  <c r="U308" i="12"/>
  <c r="T308" i="12"/>
  <c r="S308" i="12"/>
  <c r="R308" i="12"/>
  <c r="Q308" i="12"/>
  <c r="P308" i="12"/>
  <c r="O308" i="12"/>
  <c r="N308" i="12"/>
  <c r="M308" i="12"/>
  <c r="L308" i="12"/>
  <c r="K308" i="12"/>
  <c r="J308" i="12"/>
  <c r="I308" i="12"/>
  <c r="H308" i="12"/>
  <c r="G308" i="12"/>
  <c r="F308" i="12"/>
  <c r="E308" i="12"/>
  <c r="D308" i="12"/>
  <c r="CX307" i="12"/>
  <c r="CW307" i="12"/>
  <c r="CV307" i="12"/>
  <c r="CU307" i="12"/>
  <c r="CT307" i="12"/>
  <c r="CS307" i="12"/>
  <c r="CR307" i="12"/>
  <c r="CQ307" i="12"/>
  <c r="CP307" i="12"/>
  <c r="CO307" i="12"/>
  <c r="CN307" i="12"/>
  <c r="CM307" i="12"/>
  <c r="CL307" i="12"/>
  <c r="CK307" i="12"/>
  <c r="CJ307" i="12"/>
  <c r="CI307" i="12"/>
  <c r="CH307" i="12"/>
  <c r="CG307" i="12"/>
  <c r="CF307" i="12"/>
  <c r="CE307" i="12"/>
  <c r="CD307" i="12"/>
  <c r="CC307" i="12"/>
  <c r="CB307" i="12"/>
  <c r="CA307" i="12"/>
  <c r="BZ307" i="12"/>
  <c r="BY307" i="12"/>
  <c r="BX307" i="12"/>
  <c r="BW307" i="12"/>
  <c r="BV307" i="12"/>
  <c r="BU307" i="12"/>
  <c r="BT307" i="12"/>
  <c r="BS307" i="12"/>
  <c r="BR307" i="12"/>
  <c r="BQ307" i="12"/>
  <c r="BP307" i="12"/>
  <c r="BO307" i="12"/>
  <c r="BN307" i="12"/>
  <c r="BM307" i="12"/>
  <c r="BL307" i="12"/>
  <c r="BK307" i="12"/>
  <c r="BJ307" i="12"/>
  <c r="BI307" i="12"/>
  <c r="BH307" i="12"/>
  <c r="BG307" i="12"/>
  <c r="BF307" i="12"/>
  <c r="BE307" i="12"/>
  <c r="BD307" i="12"/>
  <c r="BC307" i="12"/>
  <c r="BB307" i="12"/>
  <c r="BA307" i="12"/>
  <c r="AZ307" i="12"/>
  <c r="AY307" i="12"/>
  <c r="AX307" i="12"/>
  <c r="AW307" i="12"/>
  <c r="AV307" i="12"/>
  <c r="AU307" i="12"/>
  <c r="AT307" i="12"/>
  <c r="AS307" i="12"/>
  <c r="AR307" i="12"/>
  <c r="AQ307" i="12"/>
  <c r="AP307" i="12"/>
  <c r="AO307" i="12"/>
  <c r="AN307" i="12"/>
  <c r="AM307" i="12"/>
  <c r="AL307" i="12"/>
  <c r="AK307" i="12"/>
  <c r="AJ307" i="12"/>
  <c r="AI307" i="12"/>
  <c r="AH307" i="12"/>
  <c r="AG307" i="12"/>
  <c r="AF307" i="12"/>
  <c r="AE307" i="12"/>
  <c r="AD307" i="12"/>
  <c r="AC307" i="12"/>
  <c r="AB307" i="12"/>
  <c r="AA307" i="12"/>
  <c r="Z307" i="12"/>
  <c r="Y307" i="12"/>
  <c r="X307" i="12"/>
  <c r="W307" i="12"/>
  <c r="V307" i="12"/>
  <c r="U307" i="12"/>
  <c r="T307" i="12"/>
  <c r="S307" i="12"/>
  <c r="R307" i="12"/>
  <c r="Q307" i="12"/>
  <c r="P307" i="12"/>
  <c r="O307" i="12"/>
  <c r="N307" i="12"/>
  <c r="M307" i="12"/>
  <c r="L307" i="12"/>
  <c r="K307" i="12"/>
  <c r="J307" i="12"/>
  <c r="I307" i="12"/>
  <c r="H307" i="12"/>
  <c r="G307" i="12"/>
  <c r="F307" i="12"/>
  <c r="E307" i="12"/>
  <c r="D307" i="12"/>
  <c r="CX306" i="12"/>
  <c r="CW306" i="12"/>
  <c r="CV306" i="12"/>
  <c r="CU306" i="12"/>
  <c r="CT306" i="12"/>
  <c r="CS306" i="12"/>
  <c r="CR306" i="12"/>
  <c r="CQ306" i="12"/>
  <c r="CP306" i="12"/>
  <c r="CO306" i="12"/>
  <c r="CN306" i="12"/>
  <c r="CM306" i="12"/>
  <c r="CL306" i="12"/>
  <c r="CK306" i="12"/>
  <c r="CJ306" i="12"/>
  <c r="CI306" i="12"/>
  <c r="CH306" i="12"/>
  <c r="CG306" i="12"/>
  <c r="CF306" i="12"/>
  <c r="CE306" i="12"/>
  <c r="CD306" i="12"/>
  <c r="CC306" i="12"/>
  <c r="CB306" i="12"/>
  <c r="CA306" i="12"/>
  <c r="BZ306" i="12"/>
  <c r="BY306" i="12"/>
  <c r="BX306" i="12"/>
  <c r="BW306" i="12"/>
  <c r="BV306" i="12"/>
  <c r="BU306" i="12"/>
  <c r="BT306" i="12"/>
  <c r="BS306" i="12"/>
  <c r="BR306" i="12"/>
  <c r="BQ306" i="12"/>
  <c r="BP306" i="12"/>
  <c r="BO306" i="12"/>
  <c r="BN306" i="12"/>
  <c r="BM306" i="12"/>
  <c r="BL306" i="12"/>
  <c r="BK306" i="12"/>
  <c r="BJ306" i="12"/>
  <c r="BI306" i="12"/>
  <c r="BH306" i="12"/>
  <c r="BG306" i="12"/>
  <c r="BF306" i="12"/>
  <c r="BE306" i="12"/>
  <c r="BD306" i="12"/>
  <c r="BC306" i="12"/>
  <c r="BB306" i="12"/>
  <c r="BA306" i="12"/>
  <c r="AZ306" i="12"/>
  <c r="AY306" i="12"/>
  <c r="AX306" i="12"/>
  <c r="AW306" i="12"/>
  <c r="AV306" i="12"/>
  <c r="AU306" i="12"/>
  <c r="AT306" i="12"/>
  <c r="AS306" i="12"/>
  <c r="AR306" i="12"/>
  <c r="AQ306" i="12"/>
  <c r="AP306" i="12"/>
  <c r="AO306" i="12"/>
  <c r="AN306" i="12"/>
  <c r="AM306" i="12"/>
  <c r="AL306" i="12"/>
  <c r="AK306" i="12"/>
  <c r="AJ306" i="12"/>
  <c r="AI306" i="12"/>
  <c r="AH306" i="12"/>
  <c r="AG306" i="12"/>
  <c r="AF306" i="12"/>
  <c r="AE306" i="12"/>
  <c r="AD306" i="12"/>
  <c r="AC306" i="12"/>
  <c r="AB306" i="12"/>
  <c r="AA306" i="12"/>
  <c r="Z306" i="12"/>
  <c r="Y306" i="12"/>
  <c r="X306" i="12"/>
  <c r="W306" i="12"/>
  <c r="V306" i="12"/>
  <c r="U306" i="12"/>
  <c r="T306" i="12"/>
  <c r="S306" i="12"/>
  <c r="R306" i="12"/>
  <c r="Q306" i="12"/>
  <c r="P306" i="12"/>
  <c r="O306" i="12"/>
  <c r="N306" i="12"/>
  <c r="M306" i="12"/>
  <c r="L306" i="12"/>
  <c r="K306" i="12"/>
  <c r="J306" i="12"/>
  <c r="I306" i="12"/>
  <c r="H306" i="12"/>
  <c r="G306" i="12"/>
  <c r="F306" i="12"/>
  <c r="E306" i="12"/>
  <c r="D306" i="12"/>
  <c r="CX305" i="12"/>
  <c r="CW305" i="12"/>
  <c r="CV305" i="12"/>
  <c r="CU305" i="12"/>
  <c r="CT305" i="12"/>
  <c r="CS305" i="12"/>
  <c r="CR305" i="12"/>
  <c r="CQ305" i="12"/>
  <c r="CP305" i="12"/>
  <c r="CO305" i="12"/>
  <c r="CN305" i="12"/>
  <c r="CM305" i="12"/>
  <c r="CL305" i="12"/>
  <c r="CK305" i="12"/>
  <c r="CJ305" i="12"/>
  <c r="CI305" i="12"/>
  <c r="CH305" i="12"/>
  <c r="CG305" i="12"/>
  <c r="CF305" i="12"/>
  <c r="CE305" i="12"/>
  <c r="CD305" i="12"/>
  <c r="CC305" i="12"/>
  <c r="CB305" i="12"/>
  <c r="CA305" i="12"/>
  <c r="BZ305" i="12"/>
  <c r="BY305" i="12"/>
  <c r="BX305" i="12"/>
  <c r="BW305" i="12"/>
  <c r="BV305" i="12"/>
  <c r="BU305" i="12"/>
  <c r="BT305" i="12"/>
  <c r="BS305" i="12"/>
  <c r="BR305" i="12"/>
  <c r="BQ305" i="12"/>
  <c r="BP305" i="12"/>
  <c r="BO305" i="12"/>
  <c r="BN305" i="12"/>
  <c r="BM305" i="12"/>
  <c r="BL305" i="12"/>
  <c r="BK305" i="12"/>
  <c r="BJ305" i="12"/>
  <c r="BI305" i="12"/>
  <c r="BH305" i="12"/>
  <c r="BG305" i="12"/>
  <c r="BF305" i="12"/>
  <c r="BE305" i="12"/>
  <c r="BD305" i="12"/>
  <c r="BC305" i="12"/>
  <c r="BB305" i="12"/>
  <c r="BA305" i="12"/>
  <c r="AZ305" i="12"/>
  <c r="AY305" i="12"/>
  <c r="AX305" i="12"/>
  <c r="AW305" i="12"/>
  <c r="AV305" i="12"/>
  <c r="AU305" i="12"/>
  <c r="AT305" i="12"/>
  <c r="AS305" i="12"/>
  <c r="AR305" i="12"/>
  <c r="AQ305" i="12"/>
  <c r="AP305" i="12"/>
  <c r="AO305" i="12"/>
  <c r="AN305" i="12"/>
  <c r="AM305" i="12"/>
  <c r="AL305" i="12"/>
  <c r="AK305" i="12"/>
  <c r="AJ305" i="12"/>
  <c r="AI305" i="12"/>
  <c r="AH305" i="12"/>
  <c r="AG305" i="12"/>
  <c r="AF305" i="12"/>
  <c r="AE305" i="12"/>
  <c r="AD305" i="12"/>
  <c r="AC305" i="12"/>
  <c r="AB305" i="12"/>
  <c r="AA305" i="12"/>
  <c r="Z305" i="12"/>
  <c r="Y305" i="12"/>
  <c r="X305" i="12"/>
  <c r="W305" i="12"/>
  <c r="V305" i="12"/>
  <c r="U305" i="12"/>
  <c r="T305" i="12"/>
  <c r="S305" i="12"/>
  <c r="R305" i="12"/>
  <c r="Q305" i="12"/>
  <c r="P305" i="12"/>
  <c r="O305" i="12"/>
  <c r="N305" i="12"/>
  <c r="M305" i="12"/>
  <c r="L305" i="12"/>
  <c r="K305" i="12"/>
  <c r="J305" i="12"/>
  <c r="I305" i="12"/>
  <c r="H305" i="12"/>
  <c r="G305" i="12"/>
  <c r="F305" i="12"/>
  <c r="E305" i="12"/>
  <c r="D305" i="12"/>
  <c r="CX304" i="12"/>
  <c r="CW304" i="12"/>
  <c r="CV304" i="12"/>
  <c r="CU304" i="12"/>
  <c r="CT304" i="12"/>
  <c r="CS304" i="12"/>
  <c r="CR304" i="12"/>
  <c r="CQ304" i="12"/>
  <c r="CP304" i="12"/>
  <c r="CO304" i="12"/>
  <c r="CN304" i="12"/>
  <c r="CM304" i="12"/>
  <c r="CL304" i="12"/>
  <c r="CK304" i="12"/>
  <c r="CJ304" i="12"/>
  <c r="CI304" i="12"/>
  <c r="CH304" i="12"/>
  <c r="CG304" i="12"/>
  <c r="CF304" i="12"/>
  <c r="CE304" i="12"/>
  <c r="CD304" i="12"/>
  <c r="CC304" i="12"/>
  <c r="CB304" i="12"/>
  <c r="CA304" i="12"/>
  <c r="BZ304" i="12"/>
  <c r="BY304" i="12"/>
  <c r="BX304" i="12"/>
  <c r="BW304" i="12"/>
  <c r="BV304" i="12"/>
  <c r="BU304" i="12"/>
  <c r="BT304" i="12"/>
  <c r="BS304" i="12"/>
  <c r="BR304" i="12"/>
  <c r="BQ304" i="12"/>
  <c r="BP304" i="12"/>
  <c r="BO304" i="12"/>
  <c r="BN304" i="12"/>
  <c r="BM304" i="12"/>
  <c r="BL304" i="12"/>
  <c r="BK304" i="12"/>
  <c r="BJ304" i="12"/>
  <c r="BI304" i="12"/>
  <c r="BH304" i="12"/>
  <c r="BG304" i="12"/>
  <c r="BF304" i="12"/>
  <c r="BE304" i="12"/>
  <c r="BD304" i="12"/>
  <c r="BC304" i="12"/>
  <c r="BB304" i="12"/>
  <c r="BA304" i="12"/>
  <c r="AZ304" i="12"/>
  <c r="AY304" i="12"/>
  <c r="AX304" i="12"/>
  <c r="AW304" i="12"/>
  <c r="AV304" i="12"/>
  <c r="AU304" i="12"/>
  <c r="AT304" i="12"/>
  <c r="AS304" i="12"/>
  <c r="AR304" i="12"/>
  <c r="AQ304" i="12"/>
  <c r="AP304" i="12"/>
  <c r="AO304" i="12"/>
  <c r="AN304" i="12"/>
  <c r="AM304" i="12"/>
  <c r="AL304" i="12"/>
  <c r="AK304" i="12"/>
  <c r="AJ304" i="12"/>
  <c r="AI304" i="12"/>
  <c r="AH304" i="12"/>
  <c r="AG304" i="12"/>
  <c r="AF304" i="12"/>
  <c r="AE304" i="12"/>
  <c r="AD304" i="12"/>
  <c r="AC304" i="12"/>
  <c r="AB304" i="12"/>
  <c r="AA304" i="12"/>
  <c r="Z304" i="12"/>
  <c r="Y304" i="12"/>
  <c r="X304" i="12"/>
  <c r="W304" i="12"/>
  <c r="V304" i="12"/>
  <c r="U304" i="12"/>
  <c r="T304" i="12"/>
  <c r="S304" i="12"/>
  <c r="R304" i="12"/>
  <c r="Q304" i="12"/>
  <c r="P304" i="12"/>
  <c r="O304" i="12"/>
  <c r="N304" i="12"/>
  <c r="M304" i="12"/>
  <c r="L304" i="12"/>
  <c r="K304" i="12"/>
  <c r="J304" i="12"/>
  <c r="I304" i="12"/>
  <c r="H304" i="12"/>
  <c r="G304" i="12"/>
  <c r="F304" i="12"/>
  <c r="E304" i="12"/>
  <c r="D304" i="12"/>
  <c r="CX287" i="12"/>
  <c r="CX338" i="12" s="1"/>
  <c r="CW287" i="12"/>
  <c r="CW338" i="12" s="1"/>
  <c r="CV287" i="12"/>
  <c r="CV338" i="12" s="1"/>
  <c r="CU287" i="12"/>
  <c r="CU338" i="12" s="1"/>
  <c r="CT287" i="12"/>
  <c r="CT338" i="12" s="1"/>
  <c r="CS287" i="12"/>
  <c r="CS338" i="12" s="1"/>
  <c r="CR287" i="12"/>
  <c r="CR338" i="12" s="1"/>
  <c r="CQ287" i="12"/>
  <c r="CQ338" i="12" s="1"/>
  <c r="CP287" i="12"/>
  <c r="CP338" i="12" s="1"/>
  <c r="CO287" i="12"/>
  <c r="CO338" i="12" s="1"/>
  <c r="CN287" i="12"/>
  <c r="CN338" i="12" s="1"/>
  <c r="CM287" i="12"/>
  <c r="CM338" i="12" s="1"/>
  <c r="CL287" i="12"/>
  <c r="CL338" i="12" s="1"/>
  <c r="CK287" i="12"/>
  <c r="CK338" i="12" s="1"/>
  <c r="CJ287" i="12"/>
  <c r="CJ338" i="12" s="1"/>
  <c r="CI287" i="12"/>
  <c r="CI338" i="12" s="1"/>
  <c r="CH287" i="12"/>
  <c r="CH338" i="12" s="1"/>
  <c r="CG287" i="12"/>
  <c r="CG338" i="12" s="1"/>
  <c r="CF287" i="12"/>
  <c r="CF338" i="12" s="1"/>
  <c r="CE287" i="12"/>
  <c r="CE338" i="12" s="1"/>
  <c r="CD287" i="12"/>
  <c r="CD338" i="12" s="1"/>
  <c r="CC287" i="12"/>
  <c r="CC338" i="12" s="1"/>
  <c r="CB287" i="12"/>
  <c r="CB338" i="12" s="1"/>
  <c r="CA287" i="12"/>
  <c r="CA338" i="12" s="1"/>
  <c r="BZ287" i="12"/>
  <c r="BZ338" i="12" s="1"/>
  <c r="BY287" i="12"/>
  <c r="BY338" i="12" s="1"/>
  <c r="BX287" i="12"/>
  <c r="BX338" i="12" s="1"/>
  <c r="BW287" i="12"/>
  <c r="BW338" i="12" s="1"/>
  <c r="BV287" i="12"/>
  <c r="BV338" i="12" s="1"/>
  <c r="BU287" i="12"/>
  <c r="BU338" i="12" s="1"/>
  <c r="BT287" i="12"/>
  <c r="BT338" i="12" s="1"/>
  <c r="BS287" i="12"/>
  <c r="BS338" i="12" s="1"/>
  <c r="BR287" i="12"/>
  <c r="BR338" i="12" s="1"/>
  <c r="BQ287" i="12"/>
  <c r="BQ338" i="12" s="1"/>
  <c r="BP287" i="12"/>
  <c r="BP338" i="12" s="1"/>
  <c r="BO287" i="12"/>
  <c r="BO338" i="12" s="1"/>
  <c r="BN287" i="12"/>
  <c r="BN338" i="12" s="1"/>
  <c r="BM287" i="12"/>
  <c r="BM338" i="12" s="1"/>
  <c r="BL287" i="12"/>
  <c r="BL338" i="12" s="1"/>
  <c r="BK287" i="12"/>
  <c r="BK338" i="12" s="1"/>
  <c r="BJ287" i="12"/>
  <c r="BJ338" i="12" s="1"/>
  <c r="BI287" i="12"/>
  <c r="BI338" i="12" s="1"/>
  <c r="BH287" i="12"/>
  <c r="BH338" i="12" s="1"/>
  <c r="BG287" i="12"/>
  <c r="BG338" i="12" s="1"/>
  <c r="BF287" i="12"/>
  <c r="BF338" i="12" s="1"/>
  <c r="BE287" i="12"/>
  <c r="BE338" i="12" s="1"/>
  <c r="BD287" i="12"/>
  <c r="BD338" i="12" s="1"/>
  <c r="BC287" i="12"/>
  <c r="BC338" i="12" s="1"/>
  <c r="BB287" i="12"/>
  <c r="BB338" i="12" s="1"/>
  <c r="BA287" i="12"/>
  <c r="BA338" i="12" s="1"/>
  <c r="AZ287" i="12"/>
  <c r="AZ338" i="12" s="1"/>
  <c r="AY287" i="12"/>
  <c r="AY338" i="12" s="1"/>
  <c r="AX287" i="12"/>
  <c r="AX338" i="12" s="1"/>
  <c r="AW287" i="12"/>
  <c r="AW338" i="12" s="1"/>
  <c r="AV287" i="12"/>
  <c r="AV338" i="12" s="1"/>
  <c r="AU287" i="12"/>
  <c r="AU338" i="12" s="1"/>
  <c r="AT287" i="12"/>
  <c r="AT338" i="12" s="1"/>
  <c r="AS287" i="12"/>
  <c r="AS338" i="12" s="1"/>
  <c r="AR287" i="12"/>
  <c r="AR338" i="12" s="1"/>
  <c r="AQ287" i="12"/>
  <c r="AQ338" i="12" s="1"/>
  <c r="AP287" i="12"/>
  <c r="AP338" i="12" s="1"/>
  <c r="AO287" i="12"/>
  <c r="AO338" i="12" s="1"/>
  <c r="AN287" i="12"/>
  <c r="AN338" i="12" s="1"/>
  <c r="AM287" i="12"/>
  <c r="AM338" i="12" s="1"/>
  <c r="AL287" i="12"/>
  <c r="AL338" i="12" s="1"/>
  <c r="AK287" i="12"/>
  <c r="AK338" i="12" s="1"/>
  <c r="AJ287" i="12"/>
  <c r="AJ338" i="12" s="1"/>
  <c r="AI287" i="12"/>
  <c r="AI338" i="12" s="1"/>
  <c r="AH287" i="12"/>
  <c r="AH338" i="12" s="1"/>
  <c r="AG287" i="12"/>
  <c r="AG338" i="12" s="1"/>
  <c r="AF287" i="12"/>
  <c r="AF338" i="12" s="1"/>
  <c r="AE287" i="12"/>
  <c r="AE338" i="12" s="1"/>
  <c r="AD287" i="12"/>
  <c r="AD338" i="12" s="1"/>
  <c r="AC287" i="12"/>
  <c r="AC338" i="12" s="1"/>
  <c r="AB287" i="12"/>
  <c r="AB338" i="12" s="1"/>
  <c r="AA287" i="12"/>
  <c r="AA338" i="12" s="1"/>
  <c r="Z287" i="12"/>
  <c r="Z338" i="12" s="1"/>
  <c r="Y287" i="12"/>
  <c r="Y338" i="12" s="1"/>
  <c r="X287" i="12"/>
  <c r="X338" i="12" s="1"/>
  <c r="W287" i="12"/>
  <c r="W338" i="12" s="1"/>
  <c r="V287" i="12"/>
  <c r="V338" i="12" s="1"/>
  <c r="U287" i="12"/>
  <c r="U338" i="12" s="1"/>
  <c r="T287" i="12"/>
  <c r="T338" i="12" s="1"/>
  <c r="S287" i="12"/>
  <c r="S338" i="12" s="1"/>
  <c r="R287" i="12"/>
  <c r="R338" i="12" s="1"/>
  <c r="Q287" i="12"/>
  <c r="Q338" i="12" s="1"/>
  <c r="P287" i="12"/>
  <c r="P338" i="12" s="1"/>
  <c r="O287" i="12"/>
  <c r="O338" i="12" s="1"/>
  <c r="N287" i="12"/>
  <c r="N338" i="12" s="1"/>
  <c r="M287" i="12"/>
  <c r="M338" i="12" s="1"/>
  <c r="L287" i="12"/>
  <c r="L338" i="12" s="1"/>
  <c r="K287" i="12"/>
  <c r="K338" i="12" s="1"/>
  <c r="J287" i="12"/>
  <c r="J338" i="12" s="1"/>
  <c r="I287" i="12"/>
  <c r="I338" i="12" s="1"/>
  <c r="H287" i="12"/>
  <c r="H338" i="12" s="1"/>
  <c r="G287" i="12"/>
  <c r="G338" i="12" s="1"/>
  <c r="F287" i="12"/>
  <c r="F338" i="12" s="1"/>
  <c r="E287" i="12"/>
  <c r="E338" i="12" s="1"/>
  <c r="D287" i="12"/>
  <c r="D338" i="12" s="1"/>
  <c r="CX286" i="12"/>
  <c r="CX337" i="12" s="1"/>
  <c r="CW286" i="12"/>
  <c r="CW337" i="12" s="1"/>
  <c r="CV286" i="12"/>
  <c r="CV337" i="12" s="1"/>
  <c r="CU286" i="12"/>
  <c r="CU337" i="12" s="1"/>
  <c r="CT286" i="12"/>
  <c r="CT337" i="12" s="1"/>
  <c r="CS286" i="12"/>
  <c r="CS337" i="12" s="1"/>
  <c r="CR286" i="12"/>
  <c r="CR337" i="12" s="1"/>
  <c r="CQ286" i="12"/>
  <c r="CQ337" i="12" s="1"/>
  <c r="CP286" i="12"/>
  <c r="CP337" i="12" s="1"/>
  <c r="CO286" i="12"/>
  <c r="CO337" i="12" s="1"/>
  <c r="CN286" i="12"/>
  <c r="CN337" i="12" s="1"/>
  <c r="CM286" i="12"/>
  <c r="CM337" i="12" s="1"/>
  <c r="CL286" i="12"/>
  <c r="CL337" i="12" s="1"/>
  <c r="CK286" i="12"/>
  <c r="CK337" i="12" s="1"/>
  <c r="CJ286" i="12"/>
  <c r="CJ337" i="12" s="1"/>
  <c r="CI286" i="12"/>
  <c r="CI337" i="12" s="1"/>
  <c r="CH286" i="12"/>
  <c r="CH337" i="12" s="1"/>
  <c r="CG286" i="12"/>
  <c r="CG337" i="12" s="1"/>
  <c r="CF286" i="12"/>
  <c r="CF337" i="12" s="1"/>
  <c r="CE286" i="12"/>
  <c r="CE337" i="12" s="1"/>
  <c r="CD286" i="12"/>
  <c r="CD337" i="12" s="1"/>
  <c r="CC286" i="12"/>
  <c r="CC337" i="12" s="1"/>
  <c r="CB286" i="12"/>
  <c r="CB337" i="12" s="1"/>
  <c r="CA286" i="12"/>
  <c r="CA337" i="12" s="1"/>
  <c r="BZ286" i="12"/>
  <c r="BZ337" i="12" s="1"/>
  <c r="BY286" i="12"/>
  <c r="BY337" i="12" s="1"/>
  <c r="BX286" i="12"/>
  <c r="BX337" i="12" s="1"/>
  <c r="BW286" i="12"/>
  <c r="BW337" i="12" s="1"/>
  <c r="BV286" i="12"/>
  <c r="BV337" i="12" s="1"/>
  <c r="BU286" i="12"/>
  <c r="BU337" i="12" s="1"/>
  <c r="BT286" i="12"/>
  <c r="BT337" i="12" s="1"/>
  <c r="BS286" i="12"/>
  <c r="BS337" i="12" s="1"/>
  <c r="BR286" i="12"/>
  <c r="BR337" i="12" s="1"/>
  <c r="BQ286" i="12"/>
  <c r="BQ337" i="12" s="1"/>
  <c r="BP286" i="12"/>
  <c r="BP337" i="12" s="1"/>
  <c r="BO286" i="12"/>
  <c r="BO337" i="12" s="1"/>
  <c r="BN286" i="12"/>
  <c r="BN337" i="12" s="1"/>
  <c r="BM286" i="12"/>
  <c r="BM337" i="12" s="1"/>
  <c r="BL286" i="12"/>
  <c r="BL337" i="12" s="1"/>
  <c r="BK286" i="12"/>
  <c r="BK337" i="12" s="1"/>
  <c r="BJ286" i="12"/>
  <c r="BJ337" i="12" s="1"/>
  <c r="BI286" i="12"/>
  <c r="BI337" i="12" s="1"/>
  <c r="BH286" i="12"/>
  <c r="BH337" i="12" s="1"/>
  <c r="BG286" i="12"/>
  <c r="BG337" i="12" s="1"/>
  <c r="BF286" i="12"/>
  <c r="BF337" i="12" s="1"/>
  <c r="BE286" i="12"/>
  <c r="BE337" i="12" s="1"/>
  <c r="BD286" i="12"/>
  <c r="BD337" i="12" s="1"/>
  <c r="BC286" i="12"/>
  <c r="BC337" i="12" s="1"/>
  <c r="BB286" i="12"/>
  <c r="BB337" i="12" s="1"/>
  <c r="BA286" i="12"/>
  <c r="BA337" i="12" s="1"/>
  <c r="AZ286" i="12"/>
  <c r="AZ337" i="12" s="1"/>
  <c r="AY286" i="12"/>
  <c r="AY337" i="12" s="1"/>
  <c r="AX286" i="12"/>
  <c r="AX337" i="12" s="1"/>
  <c r="AW286" i="12"/>
  <c r="AW337" i="12" s="1"/>
  <c r="AV286" i="12"/>
  <c r="AV337" i="12" s="1"/>
  <c r="AU286" i="12"/>
  <c r="AU337" i="12" s="1"/>
  <c r="AT286" i="12"/>
  <c r="AT337" i="12" s="1"/>
  <c r="AS286" i="12"/>
  <c r="AS337" i="12" s="1"/>
  <c r="AR286" i="12"/>
  <c r="AR337" i="12" s="1"/>
  <c r="AQ286" i="12"/>
  <c r="AQ337" i="12" s="1"/>
  <c r="AP286" i="12"/>
  <c r="AP337" i="12" s="1"/>
  <c r="AO286" i="12"/>
  <c r="AO337" i="12" s="1"/>
  <c r="AN286" i="12"/>
  <c r="AN337" i="12" s="1"/>
  <c r="AM286" i="12"/>
  <c r="AM337" i="12" s="1"/>
  <c r="AL286" i="12"/>
  <c r="AL337" i="12" s="1"/>
  <c r="AK286" i="12"/>
  <c r="AK337" i="12" s="1"/>
  <c r="AJ286" i="12"/>
  <c r="AJ337" i="12" s="1"/>
  <c r="AI286" i="12"/>
  <c r="AI337" i="12" s="1"/>
  <c r="AH286" i="12"/>
  <c r="AH337" i="12" s="1"/>
  <c r="AG286" i="12"/>
  <c r="AG337" i="12" s="1"/>
  <c r="AF286" i="12"/>
  <c r="AF337" i="12" s="1"/>
  <c r="AE286" i="12"/>
  <c r="AE337" i="12" s="1"/>
  <c r="AD286" i="12"/>
  <c r="AD337" i="12" s="1"/>
  <c r="AC286" i="12"/>
  <c r="AC337" i="12" s="1"/>
  <c r="AB286" i="12"/>
  <c r="AB337" i="12" s="1"/>
  <c r="AA286" i="12"/>
  <c r="AA337" i="12" s="1"/>
  <c r="Z286" i="12"/>
  <c r="Z337" i="12" s="1"/>
  <c r="Y286" i="12"/>
  <c r="Y337" i="12" s="1"/>
  <c r="X286" i="12"/>
  <c r="X337" i="12" s="1"/>
  <c r="W286" i="12"/>
  <c r="W337" i="12" s="1"/>
  <c r="V286" i="12"/>
  <c r="V337" i="12" s="1"/>
  <c r="U286" i="12"/>
  <c r="U337" i="12" s="1"/>
  <c r="T286" i="12"/>
  <c r="T337" i="12" s="1"/>
  <c r="S286" i="12"/>
  <c r="S337" i="12" s="1"/>
  <c r="R286" i="12"/>
  <c r="R337" i="12" s="1"/>
  <c r="Q286" i="12"/>
  <c r="Q337" i="12" s="1"/>
  <c r="P286" i="12"/>
  <c r="P337" i="12" s="1"/>
  <c r="O286" i="12"/>
  <c r="O337" i="12" s="1"/>
  <c r="N286" i="12"/>
  <c r="N337" i="12" s="1"/>
  <c r="M286" i="12"/>
  <c r="M337" i="12" s="1"/>
  <c r="L286" i="12"/>
  <c r="L337" i="12" s="1"/>
  <c r="K286" i="12"/>
  <c r="K337" i="12" s="1"/>
  <c r="J286" i="12"/>
  <c r="J337" i="12" s="1"/>
  <c r="I286" i="12"/>
  <c r="I337" i="12" s="1"/>
  <c r="H286" i="12"/>
  <c r="H337" i="12" s="1"/>
  <c r="G286" i="12"/>
  <c r="G337" i="12" s="1"/>
  <c r="F286" i="12"/>
  <c r="F337" i="12" s="1"/>
  <c r="E286" i="12"/>
  <c r="E337" i="12" s="1"/>
  <c r="D286" i="12"/>
  <c r="D337" i="12" s="1"/>
  <c r="CX285" i="12"/>
  <c r="CX336" i="12" s="1"/>
  <c r="CW285" i="12"/>
  <c r="CW336" i="12" s="1"/>
  <c r="CV285" i="12"/>
  <c r="CV336" i="12" s="1"/>
  <c r="CU285" i="12"/>
  <c r="CU336" i="12" s="1"/>
  <c r="CT285" i="12"/>
  <c r="CT336" i="12" s="1"/>
  <c r="CS285" i="12"/>
  <c r="CS336" i="12" s="1"/>
  <c r="CR285" i="12"/>
  <c r="CR336" i="12" s="1"/>
  <c r="CQ285" i="12"/>
  <c r="CQ336" i="12" s="1"/>
  <c r="CP285" i="12"/>
  <c r="CP336" i="12" s="1"/>
  <c r="CO285" i="12"/>
  <c r="CO336" i="12" s="1"/>
  <c r="CN285" i="12"/>
  <c r="CN336" i="12" s="1"/>
  <c r="CM285" i="12"/>
  <c r="CM336" i="12" s="1"/>
  <c r="CL285" i="12"/>
  <c r="CL336" i="12" s="1"/>
  <c r="CK285" i="12"/>
  <c r="CK336" i="12" s="1"/>
  <c r="CJ285" i="12"/>
  <c r="CJ336" i="12" s="1"/>
  <c r="CI285" i="12"/>
  <c r="CI336" i="12" s="1"/>
  <c r="CH285" i="12"/>
  <c r="CH336" i="12" s="1"/>
  <c r="CG285" i="12"/>
  <c r="CG336" i="12" s="1"/>
  <c r="CF285" i="12"/>
  <c r="CF336" i="12" s="1"/>
  <c r="CE285" i="12"/>
  <c r="CE336" i="12" s="1"/>
  <c r="CD285" i="12"/>
  <c r="CD336" i="12" s="1"/>
  <c r="CC285" i="12"/>
  <c r="CC336" i="12" s="1"/>
  <c r="CB285" i="12"/>
  <c r="CB336" i="12" s="1"/>
  <c r="CA285" i="12"/>
  <c r="CA336" i="12" s="1"/>
  <c r="BZ285" i="12"/>
  <c r="BZ336" i="12" s="1"/>
  <c r="BY285" i="12"/>
  <c r="BY336" i="12" s="1"/>
  <c r="BX285" i="12"/>
  <c r="BX336" i="12" s="1"/>
  <c r="BW285" i="12"/>
  <c r="BW336" i="12" s="1"/>
  <c r="BV285" i="12"/>
  <c r="BV336" i="12" s="1"/>
  <c r="BU285" i="12"/>
  <c r="BU336" i="12" s="1"/>
  <c r="BT285" i="12"/>
  <c r="BT336" i="12" s="1"/>
  <c r="BS285" i="12"/>
  <c r="BS336" i="12" s="1"/>
  <c r="BR285" i="12"/>
  <c r="BR336" i="12" s="1"/>
  <c r="BQ285" i="12"/>
  <c r="BQ336" i="12" s="1"/>
  <c r="BP285" i="12"/>
  <c r="BP336" i="12" s="1"/>
  <c r="BO285" i="12"/>
  <c r="BO336" i="12" s="1"/>
  <c r="BN285" i="12"/>
  <c r="BN336" i="12" s="1"/>
  <c r="BM285" i="12"/>
  <c r="BM336" i="12" s="1"/>
  <c r="BL285" i="12"/>
  <c r="BL336" i="12" s="1"/>
  <c r="BK285" i="12"/>
  <c r="BK336" i="12" s="1"/>
  <c r="BJ285" i="12"/>
  <c r="BJ336" i="12" s="1"/>
  <c r="BI285" i="12"/>
  <c r="BI336" i="12" s="1"/>
  <c r="BH285" i="12"/>
  <c r="BH336" i="12" s="1"/>
  <c r="BG285" i="12"/>
  <c r="BG336" i="12" s="1"/>
  <c r="BF285" i="12"/>
  <c r="BF336" i="12" s="1"/>
  <c r="BE285" i="12"/>
  <c r="BE336" i="12" s="1"/>
  <c r="BD285" i="12"/>
  <c r="BD336" i="12" s="1"/>
  <c r="BC285" i="12"/>
  <c r="BC336" i="12" s="1"/>
  <c r="BB285" i="12"/>
  <c r="BB336" i="12" s="1"/>
  <c r="BA285" i="12"/>
  <c r="BA336" i="12" s="1"/>
  <c r="AZ285" i="12"/>
  <c r="AZ336" i="12" s="1"/>
  <c r="AY285" i="12"/>
  <c r="AY336" i="12" s="1"/>
  <c r="AX285" i="12"/>
  <c r="AX336" i="12" s="1"/>
  <c r="AW285" i="12"/>
  <c r="AW336" i="12" s="1"/>
  <c r="AV285" i="12"/>
  <c r="AV336" i="12" s="1"/>
  <c r="AU285" i="12"/>
  <c r="AU336" i="12" s="1"/>
  <c r="AT285" i="12"/>
  <c r="AT336" i="12" s="1"/>
  <c r="AS285" i="12"/>
  <c r="AS336" i="12" s="1"/>
  <c r="AR285" i="12"/>
  <c r="AR336" i="12" s="1"/>
  <c r="AQ285" i="12"/>
  <c r="AQ336" i="12" s="1"/>
  <c r="AP285" i="12"/>
  <c r="AP336" i="12" s="1"/>
  <c r="AO285" i="12"/>
  <c r="AO336" i="12" s="1"/>
  <c r="AN285" i="12"/>
  <c r="AN336" i="12" s="1"/>
  <c r="AM285" i="12"/>
  <c r="AM336" i="12" s="1"/>
  <c r="AL285" i="12"/>
  <c r="AL336" i="12" s="1"/>
  <c r="AK285" i="12"/>
  <c r="AK336" i="12" s="1"/>
  <c r="AJ285" i="12"/>
  <c r="AJ336" i="12" s="1"/>
  <c r="AI285" i="12"/>
  <c r="AI336" i="12" s="1"/>
  <c r="AH285" i="12"/>
  <c r="AH336" i="12" s="1"/>
  <c r="AG285" i="12"/>
  <c r="AG336" i="12" s="1"/>
  <c r="AF285" i="12"/>
  <c r="AF336" i="12" s="1"/>
  <c r="AE285" i="12"/>
  <c r="AE336" i="12" s="1"/>
  <c r="AD285" i="12"/>
  <c r="AD336" i="12" s="1"/>
  <c r="AC285" i="12"/>
  <c r="AC336" i="12" s="1"/>
  <c r="AB285" i="12"/>
  <c r="AB336" i="12" s="1"/>
  <c r="AA285" i="12"/>
  <c r="AA336" i="12" s="1"/>
  <c r="Z285" i="12"/>
  <c r="Z336" i="12" s="1"/>
  <c r="Y285" i="12"/>
  <c r="Y336" i="12" s="1"/>
  <c r="X285" i="12"/>
  <c r="X336" i="12" s="1"/>
  <c r="W285" i="12"/>
  <c r="W336" i="12" s="1"/>
  <c r="V285" i="12"/>
  <c r="V336" i="12" s="1"/>
  <c r="U285" i="12"/>
  <c r="U336" i="12" s="1"/>
  <c r="T285" i="12"/>
  <c r="T336" i="12" s="1"/>
  <c r="S285" i="12"/>
  <c r="S336" i="12" s="1"/>
  <c r="R285" i="12"/>
  <c r="R336" i="12" s="1"/>
  <c r="Q285" i="12"/>
  <c r="Q336" i="12" s="1"/>
  <c r="P285" i="12"/>
  <c r="P336" i="12" s="1"/>
  <c r="O285" i="12"/>
  <c r="O336" i="12" s="1"/>
  <c r="N285" i="12"/>
  <c r="N336" i="12" s="1"/>
  <c r="M285" i="12"/>
  <c r="M336" i="12" s="1"/>
  <c r="L285" i="12"/>
  <c r="L336" i="12" s="1"/>
  <c r="K285" i="12"/>
  <c r="K336" i="12" s="1"/>
  <c r="J285" i="12"/>
  <c r="J336" i="12" s="1"/>
  <c r="I285" i="12"/>
  <c r="I336" i="12" s="1"/>
  <c r="H285" i="12"/>
  <c r="H336" i="12" s="1"/>
  <c r="G285" i="12"/>
  <c r="G336" i="12" s="1"/>
  <c r="F285" i="12"/>
  <c r="F336" i="12" s="1"/>
  <c r="E285" i="12"/>
  <c r="E336" i="12" s="1"/>
  <c r="D285" i="12"/>
  <c r="D336" i="12" s="1"/>
  <c r="CX284" i="12"/>
  <c r="CX335" i="12" s="1"/>
  <c r="CW284" i="12"/>
  <c r="CW335" i="12" s="1"/>
  <c r="CV284" i="12"/>
  <c r="CV335" i="12" s="1"/>
  <c r="CU284" i="12"/>
  <c r="CU335" i="12" s="1"/>
  <c r="CT284" i="12"/>
  <c r="CT335" i="12" s="1"/>
  <c r="CS284" i="12"/>
  <c r="CS335" i="12" s="1"/>
  <c r="CR284" i="12"/>
  <c r="CR335" i="12" s="1"/>
  <c r="CQ284" i="12"/>
  <c r="CQ335" i="12" s="1"/>
  <c r="CP284" i="12"/>
  <c r="CP335" i="12" s="1"/>
  <c r="CO284" i="12"/>
  <c r="CO335" i="12" s="1"/>
  <c r="CN284" i="12"/>
  <c r="CN335" i="12" s="1"/>
  <c r="CM284" i="12"/>
  <c r="CM335" i="12" s="1"/>
  <c r="CL284" i="12"/>
  <c r="CL335" i="12" s="1"/>
  <c r="CK284" i="12"/>
  <c r="CK335" i="12" s="1"/>
  <c r="CJ284" i="12"/>
  <c r="CJ335" i="12" s="1"/>
  <c r="CI284" i="12"/>
  <c r="CI335" i="12" s="1"/>
  <c r="CH284" i="12"/>
  <c r="CH335" i="12" s="1"/>
  <c r="CG284" i="12"/>
  <c r="CG335" i="12" s="1"/>
  <c r="CF284" i="12"/>
  <c r="CF335" i="12" s="1"/>
  <c r="CE284" i="12"/>
  <c r="CE335" i="12" s="1"/>
  <c r="CD284" i="12"/>
  <c r="CD335" i="12" s="1"/>
  <c r="CC284" i="12"/>
  <c r="CC335" i="12" s="1"/>
  <c r="CB284" i="12"/>
  <c r="CB335" i="12" s="1"/>
  <c r="CA284" i="12"/>
  <c r="CA335" i="12" s="1"/>
  <c r="BZ284" i="12"/>
  <c r="BZ335" i="12" s="1"/>
  <c r="BY284" i="12"/>
  <c r="BY335" i="12" s="1"/>
  <c r="BX284" i="12"/>
  <c r="BX335" i="12" s="1"/>
  <c r="BW284" i="12"/>
  <c r="BW335" i="12" s="1"/>
  <c r="BV284" i="12"/>
  <c r="BV335" i="12" s="1"/>
  <c r="BU284" i="12"/>
  <c r="BU335" i="12" s="1"/>
  <c r="BT284" i="12"/>
  <c r="BT335" i="12" s="1"/>
  <c r="BS284" i="12"/>
  <c r="BS335" i="12" s="1"/>
  <c r="BR284" i="12"/>
  <c r="BR335" i="12" s="1"/>
  <c r="BQ284" i="12"/>
  <c r="BQ335" i="12" s="1"/>
  <c r="BP284" i="12"/>
  <c r="BP335" i="12" s="1"/>
  <c r="BO284" i="12"/>
  <c r="BO335" i="12" s="1"/>
  <c r="BN284" i="12"/>
  <c r="BN335" i="12" s="1"/>
  <c r="BM284" i="12"/>
  <c r="BM335" i="12" s="1"/>
  <c r="BL284" i="12"/>
  <c r="BL335" i="12" s="1"/>
  <c r="BK284" i="12"/>
  <c r="BK335" i="12" s="1"/>
  <c r="BJ284" i="12"/>
  <c r="BJ335" i="12" s="1"/>
  <c r="BI284" i="12"/>
  <c r="BI335" i="12" s="1"/>
  <c r="BH284" i="12"/>
  <c r="BH335" i="12" s="1"/>
  <c r="BG284" i="12"/>
  <c r="BG335" i="12" s="1"/>
  <c r="BF284" i="12"/>
  <c r="BF335" i="12" s="1"/>
  <c r="BE284" i="12"/>
  <c r="BE335" i="12" s="1"/>
  <c r="BD284" i="12"/>
  <c r="BD335" i="12" s="1"/>
  <c r="BC284" i="12"/>
  <c r="BC335" i="12" s="1"/>
  <c r="BB284" i="12"/>
  <c r="BB335" i="12" s="1"/>
  <c r="BA284" i="12"/>
  <c r="BA335" i="12" s="1"/>
  <c r="AZ284" i="12"/>
  <c r="AZ335" i="12" s="1"/>
  <c r="AY284" i="12"/>
  <c r="AY335" i="12" s="1"/>
  <c r="AX284" i="12"/>
  <c r="AX335" i="12" s="1"/>
  <c r="AW284" i="12"/>
  <c r="AW335" i="12" s="1"/>
  <c r="AV284" i="12"/>
  <c r="AV335" i="12" s="1"/>
  <c r="AU284" i="12"/>
  <c r="AU335" i="12" s="1"/>
  <c r="AT284" i="12"/>
  <c r="AT335" i="12" s="1"/>
  <c r="AS284" i="12"/>
  <c r="AS335" i="12" s="1"/>
  <c r="AR284" i="12"/>
  <c r="AR335" i="12" s="1"/>
  <c r="AQ284" i="12"/>
  <c r="AQ335" i="12" s="1"/>
  <c r="AP284" i="12"/>
  <c r="AP335" i="12" s="1"/>
  <c r="AO284" i="12"/>
  <c r="AO335" i="12" s="1"/>
  <c r="AN284" i="12"/>
  <c r="AN335" i="12" s="1"/>
  <c r="AM284" i="12"/>
  <c r="AM335" i="12" s="1"/>
  <c r="AL284" i="12"/>
  <c r="AL335" i="12" s="1"/>
  <c r="AK284" i="12"/>
  <c r="AK335" i="12" s="1"/>
  <c r="AJ284" i="12"/>
  <c r="AJ335" i="12" s="1"/>
  <c r="AI284" i="12"/>
  <c r="AI335" i="12" s="1"/>
  <c r="AH284" i="12"/>
  <c r="AH335" i="12" s="1"/>
  <c r="AG284" i="12"/>
  <c r="AG335" i="12" s="1"/>
  <c r="AF284" i="12"/>
  <c r="AF335" i="12" s="1"/>
  <c r="AE284" i="12"/>
  <c r="AE335" i="12" s="1"/>
  <c r="AD284" i="12"/>
  <c r="AD335" i="12" s="1"/>
  <c r="AC284" i="12"/>
  <c r="AC335" i="12" s="1"/>
  <c r="AB284" i="12"/>
  <c r="AB335" i="12" s="1"/>
  <c r="AA284" i="12"/>
  <c r="AA335" i="12" s="1"/>
  <c r="Z284" i="12"/>
  <c r="Z335" i="12" s="1"/>
  <c r="Y284" i="12"/>
  <c r="Y335" i="12" s="1"/>
  <c r="X284" i="12"/>
  <c r="X335" i="12" s="1"/>
  <c r="W284" i="12"/>
  <c r="W335" i="12" s="1"/>
  <c r="V284" i="12"/>
  <c r="V335" i="12" s="1"/>
  <c r="U284" i="12"/>
  <c r="U335" i="12" s="1"/>
  <c r="T284" i="12"/>
  <c r="T335" i="12" s="1"/>
  <c r="S284" i="12"/>
  <c r="S335" i="12" s="1"/>
  <c r="R284" i="12"/>
  <c r="R335" i="12" s="1"/>
  <c r="Q284" i="12"/>
  <c r="Q335" i="12" s="1"/>
  <c r="P284" i="12"/>
  <c r="P335" i="12" s="1"/>
  <c r="O284" i="12"/>
  <c r="O335" i="12" s="1"/>
  <c r="N284" i="12"/>
  <c r="N335" i="12" s="1"/>
  <c r="M284" i="12"/>
  <c r="M335" i="12" s="1"/>
  <c r="L284" i="12"/>
  <c r="L335" i="12" s="1"/>
  <c r="K284" i="12"/>
  <c r="K335" i="12" s="1"/>
  <c r="J284" i="12"/>
  <c r="J335" i="12" s="1"/>
  <c r="I284" i="12"/>
  <c r="I335" i="12" s="1"/>
  <c r="H284" i="12"/>
  <c r="H335" i="12" s="1"/>
  <c r="G284" i="12"/>
  <c r="G335" i="12" s="1"/>
  <c r="F284" i="12"/>
  <c r="F335" i="12" s="1"/>
  <c r="E284" i="12"/>
  <c r="E335" i="12" s="1"/>
  <c r="D284" i="12"/>
  <c r="D335" i="12" s="1"/>
  <c r="CX283" i="12"/>
  <c r="CX334" i="12" s="1"/>
  <c r="CW283" i="12"/>
  <c r="CW334" i="12" s="1"/>
  <c r="CV283" i="12"/>
  <c r="CV334" i="12" s="1"/>
  <c r="CU283" i="12"/>
  <c r="CU334" i="12" s="1"/>
  <c r="CT283" i="12"/>
  <c r="CT334" i="12" s="1"/>
  <c r="CS283" i="12"/>
  <c r="CS334" i="12" s="1"/>
  <c r="CR283" i="12"/>
  <c r="CR334" i="12" s="1"/>
  <c r="CQ283" i="12"/>
  <c r="CQ334" i="12" s="1"/>
  <c r="CP283" i="12"/>
  <c r="CP334" i="12" s="1"/>
  <c r="CO283" i="12"/>
  <c r="CO334" i="12" s="1"/>
  <c r="CN283" i="12"/>
  <c r="CN334" i="12" s="1"/>
  <c r="CM283" i="12"/>
  <c r="CM334" i="12" s="1"/>
  <c r="CL283" i="12"/>
  <c r="CL334" i="12" s="1"/>
  <c r="CK283" i="12"/>
  <c r="CK334" i="12" s="1"/>
  <c r="CJ283" i="12"/>
  <c r="CJ334" i="12" s="1"/>
  <c r="CI283" i="12"/>
  <c r="CI334" i="12" s="1"/>
  <c r="CH283" i="12"/>
  <c r="CH334" i="12" s="1"/>
  <c r="CG283" i="12"/>
  <c r="CG334" i="12" s="1"/>
  <c r="CF283" i="12"/>
  <c r="CF334" i="12" s="1"/>
  <c r="CE283" i="12"/>
  <c r="CE334" i="12" s="1"/>
  <c r="CD283" i="12"/>
  <c r="CD334" i="12" s="1"/>
  <c r="CC283" i="12"/>
  <c r="CC334" i="12" s="1"/>
  <c r="CB283" i="12"/>
  <c r="CB334" i="12" s="1"/>
  <c r="CA283" i="12"/>
  <c r="CA334" i="12" s="1"/>
  <c r="BZ283" i="12"/>
  <c r="BZ334" i="12" s="1"/>
  <c r="BY283" i="12"/>
  <c r="BY334" i="12" s="1"/>
  <c r="BX283" i="12"/>
  <c r="BX334" i="12" s="1"/>
  <c r="BW283" i="12"/>
  <c r="BW334" i="12" s="1"/>
  <c r="BV283" i="12"/>
  <c r="BV334" i="12" s="1"/>
  <c r="BU283" i="12"/>
  <c r="BU334" i="12" s="1"/>
  <c r="BT283" i="12"/>
  <c r="BT334" i="12" s="1"/>
  <c r="BS283" i="12"/>
  <c r="BS334" i="12" s="1"/>
  <c r="BR283" i="12"/>
  <c r="BR334" i="12" s="1"/>
  <c r="BQ283" i="12"/>
  <c r="BQ334" i="12" s="1"/>
  <c r="BP283" i="12"/>
  <c r="BP334" i="12" s="1"/>
  <c r="BO283" i="12"/>
  <c r="BO334" i="12" s="1"/>
  <c r="BN283" i="12"/>
  <c r="BN334" i="12" s="1"/>
  <c r="BM283" i="12"/>
  <c r="BM334" i="12" s="1"/>
  <c r="BL283" i="12"/>
  <c r="BL334" i="12" s="1"/>
  <c r="BK283" i="12"/>
  <c r="BK334" i="12" s="1"/>
  <c r="BJ283" i="12"/>
  <c r="BJ334" i="12" s="1"/>
  <c r="BI283" i="12"/>
  <c r="BI334" i="12" s="1"/>
  <c r="BH283" i="12"/>
  <c r="BH334" i="12" s="1"/>
  <c r="BG283" i="12"/>
  <c r="BG334" i="12" s="1"/>
  <c r="BF283" i="12"/>
  <c r="BF334" i="12" s="1"/>
  <c r="BE283" i="12"/>
  <c r="BE334" i="12" s="1"/>
  <c r="BD283" i="12"/>
  <c r="BD334" i="12" s="1"/>
  <c r="BC283" i="12"/>
  <c r="BC334" i="12" s="1"/>
  <c r="BB283" i="12"/>
  <c r="BB334" i="12" s="1"/>
  <c r="BA283" i="12"/>
  <c r="BA334" i="12" s="1"/>
  <c r="AZ283" i="12"/>
  <c r="AZ334" i="12" s="1"/>
  <c r="AY283" i="12"/>
  <c r="AY334" i="12" s="1"/>
  <c r="AX283" i="12"/>
  <c r="AX334" i="12" s="1"/>
  <c r="AW283" i="12"/>
  <c r="AW334" i="12" s="1"/>
  <c r="AV283" i="12"/>
  <c r="AV334" i="12" s="1"/>
  <c r="AU283" i="12"/>
  <c r="AU334" i="12" s="1"/>
  <c r="AT283" i="12"/>
  <c r="AT334" i="12" s="1"/>
  <c r="AS283" i="12"/>
  <c r="AS334" i="12" s="1"/>
  <c r="AR283" i="12"/>
  <c r="AR334" i="12" s="1"/>
  <c r="AQ283" i="12"/>
  <c r="AQ334" i="12" s="1"/>
  <c r="AP283" i="12"/>
  <c r="AP334" i="12" s="1"/>
  <c r="AO283" i="12"/>
  <c r="AO334" i="12" s="1"/>
  <c r="AN283" i="12"/>
  <c r="AN334" i="12" s="1"/>
  <c r="AM283" i="12"/>
  <c r="AM334" i="12" s="1"/>
  <c r="AL283" i="12"/>
  <c r="AL334" i="12" s="1"/>
  <c r="AK283" i="12"/>
  <c r="AK334" i="12" s="1"/>
  <c r="AJ283" i="12"/>
  <c r="AJ334" i="12" s="1"/>
  <c r="AI283" i="12"/>
  <c r="AI334" i="12" s="1"/>
  <c r="AH283" i="12"/>
  <c r="AH334" i="12" s="1"/>
  <c r="AG283" i="12"/>
  <c r="AG334" i="12" s="1"/>
  <c r="AF283" i="12"/>
  <c r="AF334" i="12" s="1"/>
  <c r="AE283" i="12"/>
  <c r="AE334" i="12" s="1"/>
  <c r="AD283" i="12"/>
  <c r="AD334" i="12" s="1"/>
  <c r="AC283" i="12"/>
  <c r="AC334" i="12" s="1"/>
  <c r="AB283" i="12"/>
  <c r="AB334" i="12" s="1"/>
  <c r="AA283" i="12"/>
  <c r="AA334" i="12" s="1"/>
  <c r="Z283" i="12"/>
  <c r="Z334" i="12" s="1"/>
  <c r="Y283" i="12"/>
  <c r="Y334" i="12" s="1"/>
  <c r="X283" i="12"/>
  <c r="X334" i="12" s="1"/>
  <c r="W283" i="12"/>
  <c r="W334" i="12" s="1"/>
  <c r="V283" i="12"/>
  <c r="V334" i="12" s="1"/>
  <c r="U283" i="12"/>
  <c r="U334" i="12" s="1"/>
  <c r="T283" i="12"/>
  <c r="T334" i="12" s="1"/>
  <c r="S283" i="12"/>
  <c r="S334" i="12" s="1"/>
  <c r="R283" i="12"/>
  <c r="R334" i="12" s="1"/>
  <c r="Q283" i="12"/>
  <c r="Q334" i="12" s="1"/>
  <c r="P283" i="12"/>
  <c r="P334" i="12" s="1"/>
  <c r="O283" i="12"/>
  <c r="O334" i="12" s="1"/>
  <c r="N283" i="12"/>
  <c r="N334" i="12" s="1"/>
  <c r="M283" i="12"/>
  <c r="M334" i="12" s="1"/>
  <c r="L283" i="12"/>
  <c r="L334" i="12" s="1"/>
  <c r="K283" i="12"/>
  <c r="K334" i="12" s="1"/>
  <c r="J283" i="12"/>
  <c r="J334" i="12" s="1"/>
  <c r="I283" i="12"/>
  <c r="I334" i="12" s="1"/>
  <c r="H283" i="12"/>
  <c r="H334" i="12" s="1"/>
  <c r="G283" i="12"/>
  <c r="G334" i="12" s="1"/>
  <c r="F283" i="12"/>
  <c r="F334" i="12" s="1"/>
  <c r="E283" i="12"/>
  <c r="E334" i="12" s="1"/>
  <c r="D283" i="12"/>
  <c r="D334" i="12" s="1"/>
  <c r="CX282" i="12"/>
  <c r="CX333" i="12" s="1"/>
  <c r="CW282" i="12"/>
  <c r="CW333" i="12" s="1"/>
  <c r="CV282" i="12"/>
  <c r="CV333" i="12" s="1"/>
  <c r="CU282" i="12"/>
  <c r="CU333" i="12" s="1"/>
  <c r="CT282" i="12"/>
  <c r="CT333" i="12" s="1"/>
  <c r="CS282" i="12"/>
  <c r="CS333" i="12" s="1"/>
  <c r="CR282" i="12"/>
  <c r="CR333" i="12" s="1"/>
  <c r="CQ282" i="12"/>
  <c r="CQ333" i="12" s="1"/>
  <c r="CP282" i="12"/>
  <c r="CP333" i="12" s="1"/>
  <c r="CO282" i="12"/>
  <c r="CO333" i="12" s="1"/>
  <c r="CN282" i="12"/>
  <c r="CN333" i="12" s="1"/>
  <c r="CM282" i="12"/>
  <c r="CM333" i="12" s="1"/>
  <c r="CL282" i="12"/>
  <c r="CL333" i="12" s="1"/>
  <c r="CK282" i="12"/>
  <c r="CK333" i="12" s="1"/>
  <c r="CJ282" i="12"/>
  <c r="CJ333" i="12" s="1"/>
  <c r="CI282" i="12"/>
  <c r="CI333" i="12" s="1"/>
  <c r="CH282" i="12"/>
  <c r="CH333" i="12" s="1"/>
  <c r="CG282" i="12"/>
  <c r="CG333" i="12" s="1"/>
  <c r="CF282" i="12"/>
  <c r="CF333" i="12" s="1"/>
  <c r="CE282" i="12"/>
  <c r="CE333" i="12" s="1"/>
  <c r="CD282" i="12"/>
  <c r="CD333" i="12" s="1"/>
  <c r="CC282" i="12"/>
  <c r="CC333" i="12" s="1"/>
  <c r="CB282" i="12"/>
  <c r="CB333" i="12" s="1"/>
  <c r="CA282" i="12"/>
  <c r="CA333" i="12" s="1"/>
  <c r="BZ282" i="12"/>
  <c r="BZ333" i="12" s="1"/>
  <c r="BY282" i="12"/>
  <c r="BY333" i="12" s="1"/>
  <c r="BX282" i="12"/>
  <c r="BX333" i="12" s="1"/>
  <c r="BW282" i="12"/>
  <c r="BW333" i="12" s="1"/>
  <c r="BV282" i="12"/>
  <c r="BV333" i="12" s="1"/>
  <c r="BU282" i="12"/>
  <c r="BU333" i="12" s="1"/>
  <c r="BT282" i="12"/>
  <c r="BT333" i="12" s="1"/>
  <c r="BS282" i="12"/>
  <c r="BS333" i="12" s="1"/>
  <c r="BR282" i="12"/>
  <c r="BR333" i="12" s="1"/>
  <c r="BQ282" i="12"/>
  <c r="BQ333" i="12" s="1"/>
  <c r="BP282" i="12"/>
  <c r="BP333" i="12" s="1"/>
  <c r="BO282" i="12"/>
  <c r="BO333" i="12" s="1"/>
  <c r="BN282" i="12"/>
  <c r="BN333" i="12" s="1"/>
  <c r="BM282" i="12"/>
  <c r="BM333" i="12" s="1"/>
  <c r="BL282" i="12"/>
  <c r="BL333" i="12" s="1"/>
  <c r="BK282" i="12"/>
  <c r="BK333" i="12" s="1"/>
  <c r="BJ282" i="12"/>
  <c r="BJ333" i="12" s="1"/>
  <c r="BI282" i="12"/>
  <c r="BI333" i="12" s="1"/>
  <c r="BH282" i="12"/>
  <c r="BH333" i="12" s="1"/>
  <c r="BG282" i="12"/>
  <c r="BG333" i="12" s="1"/>
  <c r="BF282" i="12"/>
  <c r="BF333" i="12" s="1"/>
  <c r="BE282" i="12"/>
  <c r="BE333" i="12" s="1"/>
  <c r="BD282" i="12"/>
  <c r="BD333" i="12" s="1"/>
  <c r="BC282" i="12"/>
  <c r="BC333" i="12" s="1"/>
  <c r="BB282" i="12"/>
  <c r="BB333" i="12" s="1"/>
  <c r="BA282" i="12"/>
  <c r="BA333" i="12" s="1"/>
  <c r="AZ282" i="12"/>
  <c r="AZ333" i="12" s="1"/>
  <c r="AY282" i="12"/>
  <c r="AY333" i="12" s="1"/>
  <c r="AX282" i="12"/>
  <c r="AX333" i="12" s="1"/>
  <c r="AW282" i="12"/>
  <c r="AW333" i="12" s="1"/>
  <c r="AV282" i="12"/>
  <c r="AV333" i="12" s="1"/>
  <c r="AU282" i="12"/>
  <c r="AU333" i="12" s="1"/>
  <c r="AT282" i="12"/>
  <c r="AT333" i="12" s="1"/>
  <c r="AS282" i="12"/>
  <c r="AS333" i="12" s="1"/>
  <c r="AR282" i="12"/>
  <c r="AR333" i="12" s="1"/>
  <c r="AQ282" i="12"/>
  <c r="AQ333" i="12" s="1"/>
  <c r="AP282" i="12"/>
  <c r="AP333" i="12" s="1"/>
  <c r="AO282" i="12"/>
  <c r="AO333" i="12" s="1"/>
  <c r="AN282" i="12"/>
  <c r="AN333" i="12" s="1"/>
  <c r="AM282" i="12"/>
  <c r="AM333" i="12" s="1"/>
  <c r="AL282" i="12"/>
  <c r="AL333" i="12" s="1"/>
  <c r="AK282" i="12"/>
  <c r="AK333" i="12" s="1"/>
  <c r="AJ282" i="12"/>
  <c r="AJ333" i="12" s="1"/>
  <c r="AI282" i="12"/>
  <c r="AI333" i="12" s="1"/>
  <c r="AH282" i="12"/>
  <c r="AH333" i="12" s="1"/>
  <c r="AG282" i="12"/>
  <c r="AG333" i="12" s="1"/>
  <c r="AF282" i="12"/>
  <c r="AF333" i="12" s="1"/>
  <c r="AE282" i="12"/>
  <c r="AE333" i="12" s="1"/>
  <c r="AD282" i="12"/>
  <c r="AD333" i="12" s="1"/>
  <c r="AC282" i="12"/>
  <c r="AC333" i="12" s="1"/>
  <c r="AB282" i="12"/>
  <c r="AB333" i="12" s="1"/>
  <c r="AA282" i="12"/>
  <c r="AA333" i="12" s="1"/>
  <c r="Z282" i="12"/>
  <c r="Z333" i="12" s="1"/>
  <c r="Y282" i="12"/>
  <c r="Y333" i="12" s="1"/>
  <c r="X282" i="12"/>
  <c r="X333" i="12" s="1"/>
  <c r="W282" i="12"/>
  <c r="W333" i="12" s="1"/>
  <c r="V282" i="12"/>
  <c r="V333" i="12" s="1"/>
  <c r="U282" i="12"/>
  <c r="U333" i="12" s="1"/>
  <c r="T282" i="12"/>
  <c r="T333" i="12" s="1"/>
  <c r="S282" i="12"/>
  <c r="S333" i="12" s="1"/>
  <c r="R282" i="12"/>
  <c r="R333" i="12" s="1"/>
  <c r="Q282" i="12"/>
  <c r="Q333" i="12" s="1"/>
  <c r="P282" i="12"/>
  <c r="P333" i="12" s="1"/>
  <c r="O282" i="12"/>
  <c r="O333" i="12" s="1"/>
  <c r="N282" i="12"/>
  <c r="N333" i="12" s="1"/>
  <c r="M282" i="12"/>
  <c r="M333" i="12" s="1"/>
  <c r="L282" i="12"/>
  <c r="L333" i="12" s="1"/>
  <c r="K282" i="12"/>
  <c r="K333" i="12" s="1"/>
  <c r="J282" i="12"/>
  <c r="J333" i="12" s="1"/>
  <c r="I282" i="12"/>
  <c r="I333" i="12" s="1"/>
  <c r="H282" i="12"/>
  <c r="H333" i="12" s="1"/>
  <c r="G282" i="12"/>
  <c r="G333" i="12" s="1"/>
  <c r="F282" i="12"/>
  <c r="F333" i="12" s="1"/>
  <c r="E282" i="12"/>
  <c r="E333" i="12" s="1"/>
  <c r="D282" i="12"/>
  <c r="D333" i="12" s="1"/>
  <c r="CX281" i="12"/>
  <c r="CX332" i="12" s="1"/>
  <c r="CW281" i="12"/>
  <c r="CW332" i="12" s="1"/>
  <c r="CV281" i="12"/>
  <c r="CV332" i="12" s="1"/>
  <c r="CU281" i="12"/>
  <c r="CU332" i="12" s="1"/>
  <c r="CT281" i="12"/>
  <c r="CT332" i="12" s="1"/>
  <c r="CS281" i="12"/>
  <c r="CS332" i="12" s="1"/>
  <c r="CR281" i="12"/>
  <c r="CR332" i="12" s="1"/>
  <c r="CQ281" i="12"/>
  <c r="CQ332" i="12" s="1"/>
  <c r="CP281" i="12"/>
  <c r="CP332" i="12" s="1"/>
  <c r="CO281" i="12"/>
  <c r="CO332" i="12" s="1"/>
  <c r="CN281" i="12"/>
  <c r="CN332" i="12" s="1"/>
  <c r="CM281" i="12"/>
  <c r="CM332" i="12" s="1"/>
  <c r="CL281" i="12"/>
  <c r="CL332" i="12" s="1"/>
  <c r="CK281" i="12"/>
  <c r="CK332" i="12" s="1"/>
  <c r="CJ281" i="12"/>
  <c r="CJ332" i="12" s="1"/>
  <c r="CI281" i="12"/>
  <c r="CI332" i="12" s="1"/>
  <c r="CH281" i="12"/>
  <c r="CH332" i="12" s="1"/>
  <c r="CG281" i="12"/>
  <c r="CG332" i="12" s="1"/>
  <c r="CF281" i="12"/>
  <c r="CF332" i="12" s="1"/>
  <c r="CE281" i="12"/>
  <c r="CE332" i="12" s="1"/>
  <c r="CD281" i="12"/>
  <c r="CD332" i="12" s="1"/>
  <c r="CC281" i="12"/>
  <c r="CC332" i="12" s="1"/>
  <c r="CB281" i="12"/>
  <c r="CB332" i="12" s="1"/>
  <c r="CA281" i="12"/>
  <c r="CA332" i="12" s="1"/>
  <c r="BZ281" i="12"/>
  <c r="BZ332" i="12" s="1"/>
  <c r="BY281" i="12"/>
  <c r="BY332" i="12" s="1"/>
  <c r="BX281" i="12"/>
  <c r="BX332" i="12" s="1"/>
  <c r="BW281" i="12"/>
  <c r="BW332" i="12" s="1"/>
  <c r="BV281" i="12"/>
  <c r="BV332" i="12" s="1"/>
  <c r="BU281" i="12"/>
  <c r="BU332" i="12" s="1"/>
  <c r="BT281" i="12"/>
  <c r="BT332" i="12" s="1"/>
  <c r="BS281" i="12"/>
  <c r="BS332" i="12" s="1"/>
  <c r="BR281" i="12"/>
  <c r="BR332" i="12" s="1"/>
  <c r="BQ281" i="12"/>
  <c r="BQ332" i="12" s="1"/>
  <c r="BP281" i="12"/>
  <c r="BP332" i="12" s="1"/>
  <c r="BO281" i="12"/>
  <c r="BO332" i="12" s="1"/>
  <c r="BN281" i="12"/>
  <c r="BN332" i="12" s="1"/>
  <c r="BM281" i="12"/>
  <c r="BM332" i="12" s="1"/>
  <c r="BL281" i="12"/>
  <c r="BL332" i="12" s="1"/>
  <c r="BK281" i="12"/>
  <c r="BK332" i="12" s="1"/>
  <c r="BJ281" i="12"/>
  <c r="BJ332" i="12" s="1"/>
  <c r="BI281" i="12"/>
  <c r="BI332" i="12" s="1"/>
  <c r="BH281" i="12"/>
  <c r="BH332" i="12" s="1"/>
  <c r="BG281" i="12"/>
  <c r="BG332" i="12" s="1"/>
  <c r="BF281" i="12"/>
  <c r="BF332" i="12" s="1"/>
  <c r="BE281" i="12"/>
  <c r="BE332" i="12" s="1"/>
  <c r="BD281" i="12"/>
  <c r="BD332" i="12" s="1"/>
  <c r="BC281" i="12"/>
  <c r="BC332" i="12" s="1"/>
  <c r="BB281" i="12"/>
  <c r="BB332" i="12" s="1"/>
  <c r="BA281" i="12"/>
  <c r="BA332" i="12" s="1"/>
  <c r="AZ281" i="12"/>
  <c r="AZ332" i="12" s="1"/>
  <c r="AY281" i="12"/>
  <c r="AY332" i="12" s="1"/>
  <c r="AX281" i="12"/>
  <c r="AX332" i="12" s="1"/>
  <c r="AW281" i="12"/>
  <c r="AW332" i="12" s="1"/>
  <c r="AV281" i="12"/>
  <c r="AV332" i="12" s="1"/>
  <c r="AU281" i="12"/>
  <c r="AU332" i="12" s="1"/>
  <c r="AT281" i="12"/>
  <c r="AT332" i="12" s="1"/>
  <c r="AS281" i="12"/>
  <c r="AS332" i="12" s="1"/>
  <c r="AR281" i="12"/>
  <c r="AR332" i="12" s="1"/>
  <c r="AQ281" i="12"/>
  <c r="AQ332" i="12" s="1"/>
  <c r="AP281" i="12"/>
  <c r="AP332" i="12" s="1"/>
  <c r="AO281" i="12"/>
  <c r="AO332" i="12" s="1"/>
  <c r="AN281" i="12"/>
  <c r="AN332" i="12" s="1"/>
  <c r="AM281" i="12"/>
  <c r="AM332" i="12" s="1"/>
  <c r="AL281" i="12"/>
  <c r="AL332" i="12" s="1"/>
  <c r="AK281" i="12"/>
  <c r="AK332" i="12" s="1"/>
  <c r="AJ281" i="12"/>
  <c r="AJ332" i="12" s="1"/>
  <c r="AI281" i="12"/>
  <c r="AI332" i="12" s="1"/>
  <c r="AH281" i="12"/>
  <c r="AH332" i="12" s="1"/>
  <c r="AG281" i="12"/>
  <c r="AG332" i="12" s="1"/>
  <c r="AF281" i="12"/>
  <c r="AF332" i="12" s="1"/>
  <c r="AE281" i="12"/>
  <c r="AE332" i="12" s="1"/>
  <c r="AD281" i="12"/>
  <c r="AD332" i="12" s="1"/>
  <c r="AC281" i="12"/>
  <c r="AC332" i="12" s="1"/>
  <c r="AB281" i="12"/>
  <c r="AB332" i="12" s="1"/>
  <c r="AA281" i="12"/>
  <c r="AA332" i="12" s="1"/>
  <c r="Z281" i="12"/>
  <c r="Z332" i="12" s="1"/>
  <c r="Y281" i="12"/>
  <c r="Y332" i="12" s="1"/>
  <c r="X281" i="12"/>
  <c r="X332" i="12" s="1"/>
  <c r="W281" i="12"/>
  <c r="W332" i="12" s="1"/>
  <c r="V281" i="12"/>
  <c r="V332" i="12" s="1"/>
  <c r="U281" i="12"/>
  <c r="U332" i="12" s="1"/>
  <c r="T281" i="12"/>
  <c r="T332" i="12" s="1"/>
  <c r="S281" i="12"/>
  <c r="S332" i="12" s="1"/>
  <c r="R281" i="12"/>
  <c r="R332" i="12" s="1"/>
  <c r="Q281" i="12"/>
  <c r="Q332" i="12" s="1"/>
  <c r="P281" i="12"/>
  <c r="P332" i="12" s="1"/>
  <c r="O281" i="12"/>
  <c r="O332" i="12" s="1"/>
  <c r="N281" i="12"/>
  <c r="N332" i="12" s="1"/>
  <c r="M281" i="12"/>
  <c r="M332" i="12" s="1"/>
  <c r="L281" i="12"/>
  <c r="L332" i="12" s="1"/>
  <c r="K281" i="12"/>
  <c r="K332" i="12" s="1"/>
  <c r="J281" i="12"/>
  <c r="J332" i="12" s="1"/>
  <c r="I281" i="12"/>
  <c r="I332" i="12" s="1"/>
  <c r="H281" i="12"/>
  <c r="H332" i="12" s="1"/>
  <c r="G281" i="12"/>
  <c r="G332" i="12" s="1"/>
  <c r="F281" i="12"/>
  <c r="F332" i="12" s="1"/>
  <c r="E281" i="12"/>
  <c r="E332" i="12" s="1"/>
  <c r="D281" i="12"/>
  <c r="D332" i="12" s="1"/>
  <c r="CX280" i="12"/>
  <c r="CX331" i="12" s="1"/>
  <c r="CW280" i="12"/>
  <c r="CW331" i="12" s="1"/>
  <c r="CV280" i="12"/>
  <c r="CV331" i="12" s="1"/>
  <c r="CU280" i="12"/>
  <c r="CU331" i="12" s="1"/>
  <c r="CT280" i="12"/>
  <c r="CT331" i="12" s="1"/>
  <c r="CS280" i="12"/>
  <c r="CS331" i="12" s="1"/>
  <c r="CR280" i="12"/>
  <c r="CR331" i="12" s="1"/>
  <c r="CQ280" i="12"/>
  <c r="CQ331" i="12" s="1"/>
  <c r="CP280" i="12"/>
  <c r="CP331" i="12" s="1"/>
  <c r="CO280" i="12"/>
  <c r="CO331" i="12" s="1"/>
  <c r="CN280" i="12"/>
  <c r="CN331" i="12" s="1"/>
  <c r="CM280" i="12"/>
  <c r="CM331" i="12" s="1"/>
  <c r="CL280" i="12"/>
  <c r="CL331" i="12" s="1"/>
  <c r="CK280" i="12"/>
  <c r="CK331" i="12" s="1"/>
  <c r="CJ280" i="12"/>
  <c r="CJ331" i="12" s="1"/>
  <c r="CI280" i="12"/>
  <c r="CI331" i="12" s="1"/>
  <c r="CH280" i="12"/>
  <c r="CH331" i="12" s="1"/>
  <c r="CG280" i="12"/>
  <c r="CG331" i="12" s="1"/>
  <c r="CF280" i="12"/>
  <c r="CF331" i="12" s="1"/>
  <c r="CE280" i="12"/>
  <c r="CE331" i="12" s="1"/>
  <c r="CD280" i="12"/>
  <c r="CD331" i="12" s="1"/>
  <c r="CC280" i="12"/>
  <c r="CC331" i="12" s="1"/>
  <c r="CB280" i="12"/>
  <c r="CB331" i="12" s="1"/>
  <c r="CA280" i="12"/>
  <c r="CA331" i="12" s="1"/>
  <c r="BZ280" i="12"/>
  <c r="BZ331" i="12" s="1"/>
  <c r="BY280" i="12"/>
  <c r="BY331" i="12" s="1"/>
  <c r="BX280" i="12"/>
  <c r="BX331" i="12" s="1"/>
  <c r="BW280" i="12"/>
  <c r="BW331" i="12" s="1"/>
  <c r="BV280" i="12"/>
  <c r="BV331" i="12" s="1"/>
  <c r="BU280" i="12"/>
  <c r="BU331" i="12" s="1"/>
  <c r="BT280" i="12"/>
  <c r="BT331" i="12" s="1"/>
  <c r="BS280" i="12"/>
  <c r="BS331" i="12" s="1"/>
  <c r="BR280" i="12"/>
  <c r="BR331" i="12" s="1"/>
  <c r="BQ280" i="12"/>
  <c r="BQ331" i="12" s="1"/>
  <c r="BP280" i="12"/>
  <c r="BP331" i="12" s="1"/>
  <c r="BO280" i="12"/>
  <c r="BO331" i="12" s="1"/>
  <c r="BN280" i="12"/>
  <c r="BN331" i="12" s="1"/>
  <c r="BM280" i="12"/>
  <c r="BM331" i="12" s="1"/>
  <c r="BL280" i="12"/>
  <c r="BL331" i="12" s="1"/>
  <c r="BK280" i="12"/>
  <c r="BK331" i="12" s="1"/>
  <c r="BJ280" i="12"/>
  <c r="BJ331" i="12" s="1"/>
  <c r="BI280" i="12"/>
  <c r="BI331" i="12" s="1"/>
  <c r="BH280" i="12"/>
  <c r="BH331" i="12" s="1"/>
  <c r="BG280" i="12"/>
  <c r="BG331" i="12" s="1"/>
  <c r="BF280" i="12"/>
  <c r="BF331" i="12" s="1"/>
  <c r="BE280" i="12"/>
  <c r="BE331" i="12" s="1"/>
  <c r="BD280" i="12"/>
  <c r="BD331" i="12" s="1"/>
  <c r="BC280" i="12"/>
  <c r="BC331" i="12" s="1"/>
  <c r="BB280" i="12"/>
  <c r="BB331" i="12" s="1"/>
  <c r="BA280" i="12"/>
  <c r="BA331" i="12" s="1"/>
  <c r="AZ280" i="12"/>
  <c r="AZ331" i="12" s="1"/>
  <c r="AY280" i="12"/>
  <c r="AY331" i="12" s="1"/>
  <c r="AX280" i="12"/>
  <c r="AX331" i="12" s="1"/>
  <c r="AW280" i="12"/>
  <c r="AW331" i="12" s="1"/>
  <c r="AV280" i="12"/>
  <c r="AV331" i="12" s="1"/>
  <c r="AU280" i="12"/>
  <c r="AU331" i="12" s="1"/>
  <c r="AT280" i="12"/>
  <c r="AT331" i="12" s="1"/>
  <c r="AS280" i="12"/>
  <c r="AS331" i="12" s="1"/>
  <c r="AR280" i="12"/>
  <c r="AR331" i="12" s="1"/>
  <c r="AQ280" i="12"/>
  <c r="AQ331" i="12" s="1"/>
  <c r="AP280" i="12"/>
  <c r="AP331" i="12" s="1"/>
  <c r="AO280" i="12"/>
  <c r="AO331" i="12" s="1"/>
  <c r="AN280" i="12"/>
  <c r="AN331" i="12" s="1"/>
  <c r="AM280" i="12"/>
  <c r="AM331" i="12" s="1"/>
  <c r="AL280" i="12"/>
  <c r="AL331" i="12" s="1"/>
  <c r="AK280" i="12"/>
  <c r="AK331" i="12" s="1"/>
  <c r="AJ280" i="12"/>
  <c r="AJ331" i="12" s="1"/>
  <c r="AI280" i="12"/>
  <c r="AI331" i="12" s="1"/>
  <c r="AH280" i="12"/>
  <c r="AH331" i="12" s="1"/>
  <c r="AG280" i="12"/>
  <c r="AG331" i="12" s="1"/>
  <c r="AF280" i="12"/>
  <c r="AF331" i="12" s="1"/>
  <c r="AE280" i="12"/>
  <c r="AE331" i="12" s="1"/>
  <c r="AD280" i="12"/>
  <c r="AD331" i="12" s="1"/>
  <c r="AC280" i="12"/>
  <c r="AC331" i="12" s="1"/>
  <c r="AB280" i="12"/>
  <c r="AB331" i="12" s="1"/>
  <c r="AA280" i="12"/>
  <c r="AA331" i="12" s="1"/>
  <c r="Z280" i="12"/>
  <c r="Z331" i="12" s="1"/>
  <c r="Y280" i="12"/>
  <c r="Y331" i="12" s="1"/>
  <c r="X280" i="12"/>
  <c r="X331" i="12" s="1"/>
  <c r="W280" i="12"/>
  <c r="W331" i="12" s="1"/>
  <c r="V280" i="12"/>
  <c r="V331" i="12" s="1"/>
  <c r="U280" i="12"/>
  <c r="U331" i="12" s="1"/>
  <c r="T280" i="12"/>
  <c r="T331" i="12" s="1"/>
  <c r="S280" i="12"/>
  <c r="S331" i="12" s="1"/>
  <c r="R280" i="12"/>
  <c r="R331" i="12" s="1"/>
  <c r="Q280" i="12"/>
  <c r="Q331" i="12" s="1"/>
  <c r="P280" i="12"/>
  <c r="P331" i="12" s="1"/>
  <c r="O280" i="12"/>
  <c r="O331" i="12" s="1"/>
  <c r="N280" i="12"/>
  <c r="N331" i="12" s="1"/>
  <c r="M280" i="12"/>
  <c r="M331" i="12" s="1"/>
  <c r="L280" i="12"/>
  <c r="L331" i="12" s="1"/>
  <c r="K280" i="12"/>
  <c r="K331" i="12" s="1"/>
  <c r="J280" i="12"/>
  <c r="J331" i="12" s="1"/>
  <c r="I280" i="12"/>
  <c r="I331" i="12" s="1"/>
  <c r="H280" i="12"/>
  <c r="H331" i="12" s="1"/>
  <c r="G280" i="12"/>
  <c r="G331" i="12" s="1"/>
  <c r="F280" i="12"/>
  <c r="F331" i="12" s="1"/>
  <c r="E280" i="12"/>
  <c r="E331" i="12" s="1"/>
  <c r="D280" i="12"/>
  <c r="D331" i="12" s="1"/>
  <c r="CX273" i="12"/>
  <c r="CW273" i="12"/>
  <c r="CV273" i="12"/>
  <c r="CU273" i="12"/>
  <c r="CT273" i="12"/>
  <c r="CS273" i="12"/>
  <c r="CR273" i="12"/>
  <c r="CQ273" i="12"/>
  <c r="CP273" i="12"/>
  <c r="CO273" i="12"/>
  <c r="CN273" i="12"/>
  <c r="CM273" i="12"/>
  <c r="CL273" i="12"/>
  <c r="CK273" i="12"/>
  <c r="CJ273" i="12"/>
  <c r="CI273" i="12"/>
  <c r="CH273" i="12"/>
  <c r="CG273" i="12"/>
  <c r="CF273" i="12"/>
  <c r="CE273" i="12"/>
  <c r="CD273" i="12"/>
  <c r="CC273" i="12"/>
  <c r="CB273" i="12"/>
  <c r="CA273" i="12"/>
  <c r="BZ273" i="12"/>
  <c r="BY273" i="12"/>
  <c r="BX273" i="12"/>
  <c r="BW273" i="12"/>
  <c r="BV273" i="12"/>
  <c r="BU273" i="12"/>
  <c r="BT273" i="12"/>
  <c r="BS273" i="12"/>
  <c r="BR273" i="12"/>
  <c r="BQ273" i="12"/>
  <c r="BP273" i="12"/>
  <c r="BO273" i="12"/>
  <c r="BN273" i="12"/>
  <c r="BM273" i="12"/>
  <c r="BL273" i="12"/>
  <c r="BK273" i="12"/>
  <c r="BJ273" i="12"/>
  <c r="BI273" i="12"/>
  <c r="BH273" i="12"/>
  <c r="BG273" i="12"/>
  <c r="BF273" i="12"/>
  <c r="BE273" i="12"/>
  <c r="BD273" i="12"/>
  <c r="BC273" i="12"/>
  <c r="BB273" i="12"/>
  <c r="BA273" i="12"/>
  <c r="AZ273" i="12"/>
  <c r="AY273" i="12"/>
  <c r="AX273" i="12"/>
  <c r="AW273" i="12"/>
  <c r="AV273" i="12"/>
  <c r="AU273" i="12"/>
  <c r="AT273" i="12"/>
  <c r="AS273" i="12"/>
  <c r="AR273" i="12"/>
  <c r="AQ273" i="12"/>
  <c r="AP273" i="12"/>
  <c r="AO273" i="12"/>
  <c r="AN273" i="12"/>
  <c r="AM273" i="12"/>
  <c r="AL273" i="12"/>
  <c r="AK273" i="12"/>
  <c r="AJ273" i="12"/>
  <c r="AI273" i="12"/>
  <c r="AH273" i="12"/>
  <c r="AG273" i="12"/>
  <c r="AF273" i="12"/>
  <c r="AE273" i="12"/>
  <c r="AD273" i="12"/>
  <c r="AC273" i="12"/>
  <c r="AB273" i="12"/>
  <c r="AA273" i="12"/>
  <c r="Z273" i="12"/>
  <c r="Y273" i="12"/>
  <c r="X273" i="12"/>
  <c r="W273" i="12"/>
  <c r="V273" i="12"/>
  <c r="U273" i="12"/>
  <c r="T273" i="12"/>
  <c r="S273" i="12"/>
  <c r="R273" i="12"/>
  <c r="Q273" i="12"/>
  <c r="P273" i="12"/>
  <c r="O273" i="12"/>
  <c r="N273" i="12"/>
  <c r="M273" i="12"/>
  <c r="L273" i="12"/>
  <c r="K273" i="12"/>
  <c r="J273" i="12"/>
  <c r="I273" i="12"/>
  <c r="H273" i="12"/>
  <c r="G273" i="12"/>
  <c r="F273" i="12"/>
  <c r="E273" i="12"/>
  <c r="D273" i="12"/>
  <c r="CX272" i="12"/>
  <c r="CW272" i="12"/>
  <c r="CV272" i="12"/>
  <c r="CU272" i="12"/>
  <c r="CT272" i="12"/>
  <c r="CS272" i="12"/>
  <c r="CR272" i="12"/>
  <c r="CQ272" i="12"/>
  <c r="CP272" i="12"/>
  <c r="CO272" i="12"/>
  <c r="CN272" i="12"/>
  <c r="CM272" i="12"/>
  <c r="CL272" i="12"/>
  <c r="CK272" i="12"/>
  <c r="CJ272" i="12"/>
  <c r="CI272" i="12"/>
  <c r="CH272" i="12"/>
  <c r="CG272" i="12"/>
  <c r="CF272" i="12"/>
  <c r="CE272" i="12"/>
  <c r="CD272" i="12"/>
  <c r="CC272" i="12"/>
  <c r="CB272" i="12"/>
  <c r="CA272" i="12"/>
  <c r="BZ272" i="12"/>
  <c r="BY272" i="12"/>
  <c r="BX272" i="12"/>
  <c r="BW272" i="12"/>
  <c r="BV272" i="12"/>
  <c r="BU272" i="12"/>
  <c r="BT272" i="12"/>
  <c r="BS272" i="12"/>
  <c r="BR272" i="12"/>
  <c r="BQ272" i="12"/>
  <c r="BP272" i="12"/>
  <c r="BO272" i="12"/>
  <c r="BN272" i="12"/>
  <c r="BM272" i="12"/>
  <c r="BL272" i="12"/>
  <c r="BK272" i="12"/>
  <c r="BJ272" i="12"/>
  <c r="BI272" i="12"/>
  <c r="BH272" i="12"/>
  <c r="BG272" i="12"/>
  <c r="BF272" i="12"/>
  <c r="BE272" i="12"/>
  <c r="BD272" i="12"/>
  <c r="BC272" i="12"/>
  <c r="BB272" i="12"/>
  <c r="BA272" i="12"/>
  <c r="AZ272" i="12"/>
  <c r="AY272" i="12"/>
  <c r="AX272" i="12"/>
  <c r="AW272" i="12"/>
  <c r="AV272" i="12"/>
  <c r="AU272" i="12"/>
  <c r="AT272" i="12"/>
  <c r="AS272" i="12"/>
  <c r="AR272" i="12"/>
  <c r="AQ272" i="12"/>
  <c r="AP272" i="12"/>
  <c r="AO272" i="12"/>
  <c r="AN272" i="12"/>
  <c r="AM272" i="12"/>
  <c r="AL272" i="12"/>
  <c r="AK272" i="12"/>
  <c r="AJ272" i="12"/>
  <c r="AI272" i="12"/>
  <c r="AH272" i="12"/>
  <c r="AG272" i="12"/>
  <c r="AF272" i="12"/>
  <c r="AE272" i="12"/>
  <c r="AD272" i="12"/>
  <c r="AC272" i="12"/>
  <c r="AB272" i="12"/>
  <c r="AA272" i="12"/>
  <c r="Z272" i="12"/>
  <c r="Y272" i="12"/>
  <c r="X272" i="12"/>
  <c r="W272" i="12"/>
  <c r="V272" i="12"/>
  <c r="U272" i="12"/>
  <c r="T272" i="12"/>
  <c r="S272" i="12"/>
  <c r="R272" i="12"/>
  <c r="Q272" i="12"/>
  <c r="P272" i="12"/>
  <c r="O272" i="12"/>
  <c r="N272" i="12"/>
  <c r="M272" i="12"/>
  <c r="L272" i="12"/>
  <c r="K272" i="12"/>
  <c r="J272" i="12"/>
  <c r="I272" i="12"/>
  <c r="H272" i="12"/>
  <c r="G272" i="12"/>
  <c r="F272" i="12"/>
  <c r="E272" i="12"/>
  <c r="D272" i="12"/>
  <c r="CX271" i="12"/>
  <c r="CW271" i="12"/>
  <c r="CV271" i="12"/>
  <c r="CU271" i="12"/>
  <c r="CT271" i="12"/>
  <c r="CS271" i="12"/>
  <c r="CR271" i="12"/>
  <c r="CQ271" i="12"/>
  <c r="CP271" i="12"/>
  <c r="CO271" i="12"/>
  <c r="CN271" i="12"/>
  <c r="CM271" i="12"/>
  <c r="CL271" i="12"/>
  <c r="CK271" i="12"/>
  <c r="CJ271" i="12"/>
  <c r="CI271" i="12"/>
  <c r="CH271" i="12"/>
  <c r="CG271" i="12"/>
  <c r="CF271" i="12"/>
  <c r="CE271" i="12"/>
  <c r="CD271" i="12"/>
  <c r="CC271" i="12"/>
  <c r="CB271" i="12"/>
  <c r="CA271" i="12"/>
  <c r="BZ271" i="12"/>
  <c r="BY271" i="12"/>
  <c r="BX271" i="12"/>
  <c r="BW271" i="12"/>
  <c r="BV271" i="12"/>
  <c r="BU271" i="12"/>
  <c r="BT271" i="12"/>
  <c r="BS271" i="12"/>
  <c r="BR271" i="12"/>
  <c r="BQ271" i="12"/>
  <c r="BP271" i="12"/>
  <c r="BO271" i="12"/>
  <c r="BN271" i="12"/>
  <c r="BM271" i="12"/>
  <c r="BL271" i="12"/>
  <c r="BK271" i="12"/>
  <c r="BJ271" i="12"/>
  <c r="BI271" i="12"/>
  <c r="BH271" i="12"/>
  <c r="BG271" i="12"/>
  <c r="BF271" i="12"/>
  <c r="BE271" i="12"/>
  <c r="BD271" i="12"/>
  <c r="BC271" i="12"/>
  <c r="BB271" i="12"/>
  <c r="BA271" i="12"/>
  <c r="AZ271" i="12"/>
  <c r="AY271" i="12"/>
  <c r="AX271" i="12"/>
  <c r="AW271" i="12"/>
  <c r="AV271" i="12"/>
  <c r="AU271" i="12"/>
  <c r="AT271" i="12"/>
  <c r="AS271" i="12"/>
  <c r="AR271" i="12"/>
  <c r="AQ271" i="12"/>
  <c r="AP271" i="12"/>
  <c r="AO271" i="12"/>
  <c r="AN271" i="12"/>
  <c r="AM271" i="12"/>
  <c r="AL271" i="12"/>
  <c r="AK271" i="12"/>
  <c r="AJ271" i="12"/>
  <c r="AI271" i="12"/>
  <c r="AH271" i="12"/>
  <c r="AG271" i="12"/>
  <c r="AF271" i="12"/>
  <c r="AE271" i="12"/>
  <c r="AD271" i="12"/>
  <c r="AC271" i="12"/>
  <c r="AB271" i="12"/>
  <c r="AA271" i="12"/>
  <c r="Z271" i="12"/>
  <c r="Y271" i="12"/>
  <c r="X271" i="12"/>
  <c r="W271" i="12"/>
  <c r="V271" i="12"/>
  <c r="U271" i="12"/>
  <c r="T271" i="12"/>
  <c r="S271" i="12"/>
  <c r="R271" i="12"/>
  <c r="Q271" i="12"/>
  <c r="P271" i="12"/>
  <c r="O271" i="12"/>
  <c r="N271" i="12"/>
  <c r="M271" i="12"/>
  <c r="L271" i="12"/>
  <c r="K271" i="12"/>
  <c r="J271" i="12"/>
  <c r="I271" i="12"/>
  <c r="H271" i="12"/>
  <c r="G271" i="12"/>
  <c r="F271" i="12"/>
  <c r="E271" i="12"/>
  <c r="D271" i="12"/>
  <c r="CX270" i="12"/>
  <c r="CW270" i="12"/>
  <c r="CV270" i="12"/>
  <c r="CU270" i="12"/>
  <c r="CT270" i="12"/>
  <c r="CS270" i="12"/>
  <c r="CR270" i="12"/>
  <c r="CQ270" i="12"/>
  <c r="CP270" i="12"/>
  <c r="CO270" i="12"/>
  <c r="CN270" i="12"/>
  <c r="CM270" i="12"/>
  <c r="CL270" i="12"/>
  <c r="CK270" i="12"/>
  <c r="CJ270" i="12"/>
  <c r="CI270" i="12"/>
  <c r="CH270" i="12"/>
  <c r="CG270" i="12"/>
  <c r="CF270" i="12"/>
  <c r="CE270" i="12"/>
  <c r="CD270" i="12"/>
  <c r="CC270" i="12"/>
  <c r="CB270" i="12"/>
  <c r="CA270" i="12"/>
  <c r="BZ270" i="12"/>
  <c r="BY270" i="12"/>
  <c r="BX270" i="12"/>
  <c r="BW270" i="12"/>
  <c r="BV270" i="12"/>
  <c r="BU270" i="12"/>
  <c r="BT270" i="12"/>
  <c r="BS270" i="12"/>
  <c r="BR270" i="12"/>
  <c r="BQ270" i="12"/>
  <c r="BP270" i="12"/>
  <c r="BO270" i="12"/>
  <c r="BN270" i="12"/>
  <c r="BM270" i="12"/>
  <c r="BL270" i="12"/>
  <c r="BK270" i="12"/>
  <c r="BJ270" i="12"/>
  <c r="BI270" i="12"/>
  <c r="BH270" i="12"/>
  <c r="BG270" i="12"/>
  <c r="BF270" i="12"/>
  <c r="BE270" i="12"/>
  <c r="BD270" i="12"/>
  <c r="BC270" i="12"/>
  <c r="BB270" i="12"/>
  <c r="BA270" i="12"/>
  <c r="AZ270" i="12"/>
  <c r="AY270" i="12"/>
  <c r="AX270" i="12"/>
  <c r="AW270" i="12"/>
  <c r="AV270" i="12"/>
  <c r="AU270" i="12"/>
  <c r="AT270" i="12"/>
  <c r="AS270" i="12"/>
  <c r="AR270" i="12"/>
  <c r="AQ270" i="12"/>
  <c r="AP270" i="12"/>
  <c r="AO270" i="12"/>
  <c r="AN270" i="12"/>
  <c r="AM270" i="12"/>
  <c r="AL270" i="12"/>
  <c r="AK270" i="12"/>
  <c r="AJ270" i="12"/>
  <c r="AI270" i="12"/>
  <c r="AH270" i="12"/>
  <c r="AG270" i="12"/>
  <c r="AF270" i="12"/>
  <c r="AE270" i="12"/>
  <c r="AD270" i="12"/>
  <c r="AC270" i="12"/>
  <c r="AB270" i="12"/>
  <c r="AA270" i="12"/>
  <c r="Z270" i="12"/>
  <c r="Y270" i="12"/>
  <c r="X270" i="12"/>
  <c r="W270" i="12"/>
  <c r="V270" i="12"/>
  <c r="U270" i="12"/>
  <c r="T270" i="12"/>
  <c r="S270" i="12"/>
  <c r="R270" i="12"/>
  <c r="Q270" i="12"/>
  <c r="P270" i="12"/>
  <c r="O270" i="12"/>
  <c r="N270" i="12"/>
  <c r="M270" i="12"/>
  <c r="L270" i="12"/>
  <c r="K270" i="12"/>
  <c r="J270" i="12"/>
  <c r="I270" i="12"/>
  <c r="H270" i="12"/>
  <c r="G270" i="12"/>
  <c r="F270" i="12"/>
  <c r="E270" i="12"/>
  <c r="D270" i="12"/>
  <c r="CX269" i="12"/>
  <c r="CW269" i="12"/>
  <c r="CV269" i="12"/>
  <c r="CU269" i="12"/>
  <c r="CT269" i="12"/>
  <c r="CS269" i="12"/>
  <c r="CR269" i="12"/>
  <c r="CQ269" i="12"/>
  <c r="CP269" i="12"/>
  <c r="CO269" i="12"/>
  <c r="CN269" i="12"/>
  <c r="CM269" i="12"/>
  <c r="CL269" i="12"/>
  <c r="CK269" i="12"/>
  <c r="CJ269" i="12"/>
  <c r="CI269" i="12"/>
  <c r="CH269" i="12"/>
  <c r="CG269" i="12"/>
  <c r="CF269" i="12"/>
  <c r="CE269" i="12"/>
  <c r="CD269" i="12"/>
  <c r="CC269" i="12"/>
  <c r="CB269" i="12"/>
  <c r="CA269" i="12"/>
  <c r="BZ269" i="12"/>
  <c r="BY269" i="12"/>
  <c r="BX269" i="12"/>
  <c r="BW269" i="12"/>
  <c r="BV269" i="12"/>
  <c r="BU269" i="12"/>
  <c r="BT269" i="12"/>
  <c r="BS269" i="12"/>
  <c r="BR269" i="12"/>
  <c r="BQ269" i="12"/>
  <c r="BP269" i="12"/>
  <c r="BO269" i="12"/>
  <c r="BN269" i="12"/>
  <c r="BM269" i="12"/>
  <c r="BL269" i="12"/>
  <c r="BK269" i="12"/>
  <c r="BJ269" i="12"/>
  <c r="BI269" i="12"/>
  <c r="BH269" i="12"/>
  <c r="BG269" i="12"/>
  <c r="BF269" i="12"/>
  <c r="BE269" i="12"/>
  <c r="BD269" i="12"/>
  <c r="BC269" i="12"/>
  <c r="BB269" i="12"/>
  <c r="BA269" i="12"/>
  <c r="AZ269" i="12"/>
  <c r="AY269" i="12"/>
  <c r="AX269" i="12"/>
  <c r="AW269" i="12"/>
  <c r="AV269" i="12"/>
  <c r="AU269" i="12"/>
  <c r="AT269" i="12"/>
  <c r="AS269" i="12"/>
  <c r="AR269" i="12"/>
  <c r="AQ269" i="12"/>
  <c r="AP269" i="12"/>
  <c r="AO269" i="12"/>
  <c r="AN269" i="12"/>
  <c r="AM269" i="12"/>
  <c r="AL269" i="12"/>
  <c r="AK269" i="12"/>
  <c r="AJ269" i="12"/>
  <c r="AI269" i="12"/>
  <c r="AH269" i="12"/>
  <c r="AG269" i="12"/>
  <c r="AF269" i="12"/>
  <c r="AE269" i="12"/>
  <c r="AD269" i="12"/>
  <c r="AC269" i="12"/>
  <c r="AB269" i="12"/>
  <c r="AA269" i="12"/>
  <c r="Z269" i="12"/>
  <c r="Y269" i="12"/>
  <c r="X269" i="12"/>
  <c r="W269" i="12"/>
  <c r="V269" i="12"/>
  <c r="U269" i="12"/>
  <c r="T269" i="12"/>
  <c r="S269" i="12"/>
  <c r="R269" i="12"/>
  <c r="Q269" i="12"/>
  <c r="P269" i="12"/>
  <c r="O269" i="12"/>
  <c r="N269" i="12"/>
  <c r="M269" i="12"/>
  <c r="L269" i="12"/>
  <c r="K269" i="12"/>
  <c r="J269" i="12"/>
  <c r="I269" i="12"/>
  <c r="H269" i="12"/>
  <c r="G269" i="12"/>
  <c r="F269" i="12"/>
  <c r="E269" i="12"/>
  <c r="D269" i="12"/>
  <c r="CX223" i="12"/>
  <c r="CX250" i="12" s="1"/>
  <c r="CW223" i="12"/>
  <c r="CW250" i="12" s="1"/>
  <c r="CV223" i="12"/>
  <c r="CV250" i="12" s="1"/>
  <c r="CU223" i="12"/>
  <c r="CU250" i="12" s="1"/>
  <c r="CT223" i="12"/>
  <c r="CT250" i="12" s="1"/>
  <c r="CS223" i="12"/>
  <c r="CS250" i="12" s="1"/>
  <c r="CR223" i="12"/>
  <c r="CR250" i="12" s="1"/>
  <c r="CQ223" i="12"/>
  <c r="CQ250" i="12" s="1"/>
  <c r="CP223" i="12"/>
  <c r="CP250" i="12" s="1"/>
  <c r="CO223" i="12"/>
  <c r="CO250" i="12" s="1"/>
  <c r="CN223" i="12"/>
  <c r="CN250" i="12" s="1"/>
  <c r="CM223" i="12"/>
  <c r="CM250" i="12" s="1"/>
  <c r="CL223" i="12"/>
  <c r="CL250" i="12" s="1"/>
  <c r="CK223" i="12"/>
  <c r="CK250" i="12" s="1"/>
  <c r="CJ223" i="12"/>
  <c r="CJ250" i="12" s="1"/>
  <c r="CI223" i="12"/>
  <c r="CI250" i="12" s="1"/>
  <c r="CH223" i="12"/>
  <c r="CH250" i="12" s="1"/>
  <c r="CG223" i="12"/>
  <c r="CG250" i="12" s="1"/>
  <c r="CF223" i="12"/>
  <c r="CF250" i="12" s="1"/>
  <c r="CE223" i="12"/>
  <c r="CE250" i="12" s="1"/>
  <c r="CD223" i="12"/>
  <c r="CD250" i="12" s="1"/>
  <c r="CC223" i="12"/>
  <c r="CC250" i="12" s="1"/>
  <c r="CB223" i="12"/>
  <c r="CB250" i="12" s="1"/>
  <c r="CA223" i="12"/>
  <c r="CA250" i="12" s="1"/>
  <c r="BZ223" i="12"/>
  <c r="BZ250" i="12" s="1"/>
  <c r="BY223" i="12"/>
  <c r="BY250" i="12" s="1"/>
  <c r="BX223" i="12"/>
  <c r="BX250" i="12" s="1"/>
  <c r="BW223" i="12"/>
  <c r="BW250" i="12" s="1"/>
  <c r="BV223" i="12"/>
  <c r="BV250" i="12" s="1"/>
  <c r="BU223" i="12"/>
  <c r="BU250" i="12" s="1"/>
  <c r="BT223" i="12"/>
  <c r="BT250" i="12" s="1"/>
  <c r="BS223" i="12"/>
  <c r="BS250" i="12" s="1"/>
  <c r="BR223" i="12"/>
  <c r="BR250" i="12" s="1"/>
  <c r="BQ223" i="12"/>
  <c r="BQ250" i="12" s="1"/>
  <c r="BP223" i="12"/>
  <c r="BP250" i="12" s="1"/>
  <c r="BO223" i="12"/>
  <c r="BO250" i="12" s="1"/>
  <c r="BN223" i="12"/>
  <c r="BN250" i="12" s="1"/>
  <c r="BM223" i="12"/>
  <c r="BM250" i="12" s="1"/>
  <c r="BL223" i="12"/>
  <c r="BL250" i="12" s="1"/>
  <c r="BK223" i="12"/>
  <c r="BK250" i="12" s="1"/>
  <c r="BJ223" i="12"/>
  <c r="BJ250" i="12" s="1"/>
  <c r="BI223" i="12"/>
  <c r="BI250" i="12" s="1"/>
  <c r="BH223" i="12"/>
  <c r="BH250" i="12" s="1"/>
  <c r="BG223" i="12"/>
  <c r="BG250" i="12" s="1"/>
  <c r="BF223" i="12"/>
  <c r="BF250" i="12" s="1"/>
  <c r="BE223" i="12"/>
  <c r="BE250" i="12" s="1"/>
  <c r="BD223" i="12"/>
  <c r="BD250" i="12" s="1"/>
  <c r="BC223" i="12"/>
  <c r="BC250" i="12" s="1"/>
  <c r="BB223" i="12"/>
  <c r="BB250" i="12" s="1"/>
  <c r="BA223" i="12"/>
  <c r="BA250" i="12" s="1"/>
  <c r="AZ223" i="12"/>
  <c r="AZ250" i="12" s="1"/>
  <c r="AY223" i="12"/>
  <c r="AY250" i="12" s="1"/>
  <c r="AX223" i="12"/>
  <c r="AX250" i="12" s="1"/>
  <c r="AW223" i="12"/>
  <c r="AW250" i="12" s="1"/>
  <c r="AV223" i="12"/>
  <c r="AV250" i="12" s="1"/>
  <c r="AU223" i="12"/>
  <c r="AU250" i="12" s="1"/>
  <c r="AT223" i="12"/>
  <c r="AT250" i="12" s="1"/>
  <c r="AS223" i="12"/>
  <c r="AS250" i="12" s="1"/>
  <c r="AR223" i="12"/>
  <c r="AR250" i="12" s="1"/>
  <c r="AQ223" i="12"/>
  <c r="AQ250" i="12" s="1"/>
  <c r="AP223" i="12"/>
  <c r="AP250" i="12" s="1"/>
  <c r="AO223" i="12"/>
  <c r="AO250" i="12" s="1"/>
  <c r="AN223" i="12"/>
  <c r="AN250" i="12" s="1"/>
  <c r="AM223" i="12"/>
  <c r="AM250" i="12" s="1"/>
  <c r="AL223" i="12"/>
  <c r="AL250" i="12" s="1"/>
  <c r="AK223" i="12"/>
  <c r="AK250" i="12" s="1"/>
  <c r="AJ223" i="12"/>
  <c r="AJ250" i="12" s="1"/>
  <c r="AI223" i="12"/>
  <c r="AI250" i="12" s="1"/>
  <c r="AH223" i="12"/>
  <c r="AH250" i="12" s="1"/>
  <c r="AG223" i="12"/>
  <c r="AG250" i="12" s="1"/>
  <c r="AF223" i="12"/>
  <c r="AF250" i="12" s="1"/>
  <c r="AE223" i="12"/>
  <c r="AE250" i="12" s="1"/>
  <c r="AD223" i="12"/>
  <c r="AD250" i="12" s="1"/>
  <c r="AC223" i="12"/>
  <c r="AC250" i="12" s="1"/>
  <c r="AB223" i="12"/>
  <c r="AB250" i="12" s="1"/>
  <c r="AA223" i="12"/>
  <c r="AA250" i="12" s="1"/>
  <c r="Z223" i="12"/>
  <c r="Z250" i="12" s="1"/>
  <c r="Y223" i="12"/>
  <c r="Y250" i="12" s="1"/>
  <c r="X223" i="12"/>
  <c r="X250" i="12" s="1"/>
  <c r="W223" i="12"/>
  <c r="W250" i="12" s="1"/>
  <c r="V223" i="12"/>
  <c r="V250" i="12" s="1"/>
  <c r="U223" i="12"/>
  <c r="U250" i="12" s="1"/>
  <c r="T223" i="12"/>
  <c r="T250" i="12" s="1"/>
  <c r="S223" i="12"/>
  <c r="S250" i="12" s="1"/>
  <c r="R223" i="12"/>
  <c r="R250" i="12" s="1"/>
  <c r="Q223" i="12"/>
  <c r="Q250" i="12" s="1"/>
  <c r="P223" i="12"/>
  <c r="P250" i="12" s="1"/>
  <c r="O223" i="12"/>
  <c r="O250" i="12" s="1"/>
  <c r="N223" i="12"/>
  <c r="N250" i="12" s="1"/>
  <c r="M223" i="12"/>
  <c r="M250" i="12" s="1"/>
  <c r="L223" i="12"/>
  <c r="L250" i="12" s="1"/>
  <c r="K223" i="12"/>
  <c r="K250" i="12" s="1"/>
  <c r="J223" i="12"/>
  <c r="J250" i="12" s="1"/>
  <c r="I223" i="12"/>
  <c r="I250" i="12" s="1"/>
  <c r="H223" i="12"/>
  <c r="H250" i="12" s="1"/>
  <c r="G223" i="12"/>
  <c r="G250" i="12" s="1"/>
  <c r="F223" i="12"/>
  <c r="F250" i="12" s="1"/>
  <c r="E223" i="12"/>
  <c r="E250" i="12" s="1"/>
  <c r="D223" i="12"/>
  <c r="D250" i="12" s="1"/>
  <c r="CX222" i="12"/>
  <c r="CW222" i="12"/>
  <c r="CV222" i="12"/>
  <c r="CU222" i="12"/>
  <c r="CT222" i="12"/>
  <c r="CS222" i="12"/>
  <c r="CR222" i="12"/>
  <c r="CQ222" i="12"/>
  <c r="CP222" i="12"/>
  <c r="CO222" i="12"/>
  <c r="CN222" i="12"/>
  <c r="CM222" i="12"/>
  <c r="CL222" i="12"/>
  <c r="CK222" i="12"/>
  <c r="CJ222" i="12"/>
  <c r="CI222" i="12"/>
  <c r="CH222" i="12"/>
  <c r="CG222" i="12"/>
  <c r="CF222" i="12"/>
  <c r="CE222" i="12"/>
  <c r="CD222" i="12"/>
  <c r="CC222" i="12"/>
  <c r="CB222" i="12"/>
  <c r="CA222" i="12"/>
  <c r="BZ222" i="12"/>
  <c r="BY222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E222" i="12"/>
  <c r="BD222" i="12"/>
  <c r="BC222" i="12"/>
  <c r="BB222" i="12"/>
  <c r="BA222" i="12"/>
  <c r="AZ222" i="12"/>
  <c r="AY222" i="12"/>
  <c r="AX222" i="12"/>
  <c r="AW222" i="12"/>
  <c r="AV222" i="12"/>
  <c r="AU222" i="12"/>
  <c r="AT222" i="12"/>
  <c r="AS222" i="12"/>
  <c r="AR222" i="12"/>
  <c r="AQ222" i="12"/>
  <c r="AP222" i="12"/>
  <c r="AO222" i="12"/>
  <c r="AN222" i="12"/>
  <c r="AM222" i="12"/>
  <c r="AL222" i="12"/>
  <c r="AK222" i="12"/>
  <c r="AJ222" i="12"/>
  <c r="AI222" i="12"/>
  <c r="AH222" i="12"/>
  <c r="AG222" i="12"/>
  <c r="AF222" i="12"/>
  <c r="AE222" i="12"/>
  <c r="AD222" i="12"/>
  <c r="AC222" i="12"/>
  <c r="AB222" i="12"/>
  <c r="AA222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K222" i="12"/>
  <c r="J222" i="12"/>
  <c r="I222" i="12"/>
  <c r="H222" i="12"/>
  <c r="G222" i="12"/>
  <c r="F222" i="12"/>
  <c r="E222" i="12"/>
  <c r="D222" i="12"/>
  <c r="CX221" i="12"/>
  <c r="CW221" i="12"/>
  <c r="CV221" i="12"/>
  <c r="CU221" i="12"/>
  <c r="CT221" i="12"/>
  <c r="CS221" i="12"/>
  <c r="CR221" i="12"/>
  <c r="CQ221" i="12"/>
  <c r="CP221" i="12"/>
  <c r="CO221" i="12"/>
  <c r="CN221" i="12"/>
  <c r="CM221" i="12"/>
  <c r="CL221" i="12"/>
  <c r="CK221" i="12"/>
  <c r="CJ221" i="12"/>
  <c r="CI221" i="12"/>
  <c r="CH221" i="12"/>
  <c r="CG221" i="12"/>
  <c r="CF221" i="12"/>
  <c r="CE221" i="12"/>
  <c r="CD221" i="12"/>
  <c r="CC221" i="12"/>
  <c r="CB221" i="12"/>
  <c r="CA221" i="12"/>
  <c r="BZ221" i="12"/>
  <c r="BY221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E221" i="12"/>
  <c r="BD221" i="12"/>
  <c r="BC221" i="12"/>
  <c r="BB221" i="12"/>
  <c r="BA221" i="12"/>
  <c r="AZ221" i="12"/>
  <c r="AY221" i="12"/>
  <c r="AX221" i="12"/>
  <c r="AW221" i="12"/>
  <c r="AV221" i="12"/>
  <c r="AU221" i="12"/>
  <c r="AT221" i="12"/>
  <c r="AS221" i="12"/>
  <c r="AR221" i="12"/>
  <c r="AQ221" i="12"/>
  <c r="AP221" i="12"/>
  <c r="AO221" i="12"/>
  <c r="AN221" i="12"/>
  <c r="AM221" i="12"/>
  <c r="AL221" i="12"/>
  <c r="AK221" i="12"/>
  <c r="AJ221" i="12"/>
  <c r="AI221" i="12"/>
  <c r="AH221" i="12"/>
  <c r="AG221" i="12"/>
  <c r="AF221" i="12"/>
  <c r="AE221" i="12"/>
  <c r="AD221" i="12"/>
  <c r="AC221" i="12"/>
  <c r="AB221" i="12"/>
  <c r="AA221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K221" i="12"/>
  <c r="J221" i="12"/>
  <c r="I221" i="12"/>
  <c r="H221" i="12"/>
  <c r="G221" i="12"/>
  <c r="F221" i="12"/>
  <c r="E221" i="12"/>
  <c r="D221" i="12"/>
  <c r="CX220" i="12"/>
  <c r="CW220" i="12"/>
  <c r="CV220" i="12"/>
  <c r="CU220" i="12"/>
  <c r="CT220" i="12"/>
  <c r="CS220" i="12"/>
  <c r="CR220" i="12"/>
  <c r="CQ220" i="12"/>
  <c r="CP220" i="12"/>
  <c r="CO220" i="12"/>
  <c r="CN220" i="12"/>
  <c r="CM220" i="12"/>
  <c r="CL220" i="12"/>
  <c r="CK220" i="12"/>
  <c r="CJ220" i="12"/>
  <c r="CI220" i="12"/>
  <c r="CH220" i="12"/>
  <c r="CG220" i="12"/>
  <c r="CF220" i="12"/>
  <c r="CE220" i="12"/>
  <c r="CD220" i="12"/>
  <c r="CC220" i="12"/>
  <c r="CB220" i="12"/>
  <c r="CA220" i="12"/>
  <c r="BZ220" i="12"/>
  <c r="BY220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E220" i="12"/>
  <c r="BD220" i="12"/>
  <c r="BC220" i="12"/>
  <c r="BB220" i="12"/>
  <c r="BA220" i="12"/>
  <c r="AZ220" i="12"/>
  <c r="AY220" i="12"/>
  <c r="AX220" i="12"/>
  <c r="AW220" i="12"/>
  <c r="AV220" i="12"/>
  <c r="AU220" i="12"/>
  <c r="AT220" i="12"/>
  <c r="AS220" i="12"/>
  <c r="AR220" i="12"/>
  <c r="AQ220" i="12"/>
  <c r="AP220" i="12"/>
  <c r="AO220" i="12"/>
  <c r="AN220" i="12"/>
  <c r="AM220" i="12"/>
  <c r="AL220" i="12"/>
  <c r="AK220" i="12"/>
  <c r="AJ220" i="12"/>
  <c r="AI220" i="12"/>
  <c r="AH220" i="12"/>
  <c r="AG220" i="12"/>
  <c r="AF220" i="12"/>
  <c r="AE220" i="12"/>
  <c r="AD220" i="12"/>
  <c r="AC220" i="12"/>
  <c r="AB220" i="12"/>
  <c r="AA220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K220" i="12"/>
  <c r="J220" i="12"/>
  <c r="I220" i="12"/>
  <c r="H220" i="12"/>
  <c r="G220" i="12"/>
  <c r="F220" i="12"/>
  <c r="E220" i="12"/>
  <c r="D220" i="12"/>
  <c r="CX219" i="12"/>
  <c r="CW219" i="12"/>
  <c r="CV219" i="12"/>
  <c r="CU219" i="12"/>
  <c r="CT219" i="12"/>
  <c r="CS219" i="12"/>
  <c r="CR219" i="12"/>
  <c r="CQ219" i="12"/>
  <c r="CP219" i="12"/>
  <c r="CO219" i="12"/>
  <c r="CN219" i="12"/>
  <c r="CM219" i="12"/>
  <c r="CL219" i="12"/>
  <c r="CK219" i="12"/>
  <c r="CJ219" i="12"/>
  <c r="CI219" i="12"/>
  <c r="CH219" i="12"/>
  <c r="CG219" i="12"/>
  <c r="CF219" i="12"/>
  <c r="CE219" i="12"/>
  <c r="CD219" i="12"/>
  <c r="CC219" i="12"/>
  <c r="CB219" i="12"/>
  <c r="CA219" i="12"/>
  <c r="BZ219" i="12"/>
  <c r="BY219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E219" i="12"/>
  <c r="BD219" i="12"/>
  <c r="BC219" i="12"/>
  <c r="BB219" i="12"/>
  <c r="BA219" i="12"/>
  <c r="AZ219" i="12"/>
  <c r="AY219" i="12"/>
  <c r="AX219" i="12"/>
  <c r="AW219" i="12"/>
  <c r="AV219" i="12"/>
  <c r="AU219" i="12"/>
  <c r="AT219" i="12"/>
  <c r="AS219" i="12"/>
  <c r="AR219" i="12"/>
  <c r="AQ219" i="12"/>
  <c r="AP219" i="12"/>
  <c r="AO219" i="12"/>
  <c r="AN219" i="12"/>
  <c r="AM219" i="12"/>
  <c r="AL219" i="12"/>
  <c r="AK219" i="12"/>
  <c r="AJ219" i="12"/>
  <c r="AI219" i="12"/>
  <c r="AH219" i="12"/>
  <c r="AG219" i="12"/>
  <c r="AF219" i="12"/>
  <c r="AE219" i="12"/>
  <c r="AD219" i="12"/>
  <c r="AC219" i="12"/>
  <c r="AB219" i="12"/>
  <c r="AA219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K219" i="12"/>
  <c r="J219" i="12"/>
  <c r="I219" i="12"/>
  <c r="H219" i="12"/>
  <c r="G219" i="12"/>
  <c r="F219" i="12"/>
  <c r="E219" i="12"/>
  <c r="D219" i="12"/>
  <c r="CX218" i="12"/>
  <c r="CW218" i="12"/>
  <c r="CV218" i="12"/>
  <c r="CU218" i="12"/>
  <c r="CT218" i="12"/>
  <c r="CS218" i="12"/>
  <c r="CR218" i="12"/>
  <c r="CQ218" i="12"/>
  <c r="CP218" i="12"/>
  <c r="CO218" i="12"/>
  <c r="CN218" i="12"/>
  <c r="CM218" i="12"/>
  <c r="CL218" i="12"/>
  <c r="CK218" i="12"/>
  <c r="CJ218" i="12"/>
  <c r="CI218" i="12"/>
  <c r="CH218" i="12"/>
  <c r="CG218" i="12"/>
  <c r="CF218" i="12"/>
  <c r="CE218" i="12"/>
  <c r="CD218" i="12"/>
  <c r="CC218" i="12"/>
  <c r="CB218" i="12"/>
  <c r="CA218" i="12"/>
  <c r="BZ218" i="12"/>
  <c r="BY218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E218" i="12"/>
  <c r="BD218" i="12"/>
  <c r="BC218" i="12"/>
  <c r="BB218" i="12"/>
  <c r="BA218" i="12"/>
  <c r="AZ218" i="12"/>
  <c r="AY218" i="12"/>
  <c r="AX218" i="12"/>
  <c r="AW218" i="12"/>
  <c r="AV218" i="12"/>
  <c r="AU218" i="12"/>
  <c r="AT218" i="12"/>
  <c r="AS218" i="12"/>
  <c r="AR218" i="12"/>
  <c r="AQ218" i="12"/>
  <c r="AP218" i="12"/>
  <c r="AO218" i="12"/>
  <c r="AN218" i="12"/>
  <c r="AM218" i="12"/>
  <c r="AL218" i="12"/>
  <c r="AK218" i="12"/>
  <c r="AJ218" i="12"/>
  <c r="AI218" i="12"/>
  <c r="AH218" i="12"/>
  <c r="AG218" i="12"/>
  <c r="AF218" i="12"/>
  <c r="AE218" i="12"/>
  <c r="AD218" i="12"/>
  <c r="AC218" i="12"/>
  <c r="AB218" i="12"/>
  <c r="AA218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K218" i="12"/>
  <c r="J218" i="12"/>
  <c r="I218" i="12"/>
  <c r="H218" i="12"/>
  <c r="G218" i="12"/>
  <c r="F218" i="12"/>
  <c r="E218" i="12"/>
  <c r="D218" i="12"/>
  <c r="CX217" i="12"/>
  <c r="CW217" i="12"/>
  <c r="CV217" i="12"/>
  <c r="CU217" i="12"/>
  <c r="CT217" i="12"/>
  <c r="CS217" i="12"/>
  <c r="CR217" i="12"/>
  <c r="CQ217" i="12"/>
  <c r="CP217" i="12"/>
  <c r="CO217" i="12"/>
  <c r="CN217" i="12"/>
  <c r="CM217" i="12"/>
  <c r="CL217" i="12"/>
  <c r="CK217" i="12"/>
  <c r="CJ217" i="12"/>
  <c r="CI217" i="12"/>
  <c r="CH217" i="12"/>
  <c r="CG217" i="12"/>
  <c r="CF217" i="12"/>
  <c r="CE217" i="12"/>
  <c r="CD217" i="12"/>
  <c r="CC217" i="12"/>
  <c r="CB217" i="12"/>
  <c r="CA217" i="12"/>
  <c r="BZ217" i="12"/>
  <c r="BY217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E217" i="12"/>
  <c r="BD217" i="12"/>
  <c r="BC217" i="12"/>
  <c r="BB217" i="12"/>
  <c r="BA217" i="12"/>
  <c r="AZ217" i="12"/>
  <c r="AY217" i="12"/>
  <c r="AX217" i="12"/>
  <c r="AW217" i="12"/>
  <c r="AV217" i="12"/>
  <c r="AU217" i="12"/>
  <c r="AT217" i="12"/>
  <c r="AS217" i="12"/>
  <c r="AR217" i="12"/>
  <c r="AQ217" i="12"/>
  <c r="AP217" i="12"/>
  <c r="AO217" i="12"/>
  <c r="AN217" i="12"/>
  <c r="AM217" i="12"/>
  <c r="AL217" i="12"/>
  <c r="AK217" i="12"/>
  <c r="AJ217" i="12"/>
  <c r="AI217" i="12"/>
  <c r="AH217" i="12"/>
  <c r="AG217" i="12"/>
  <c r="AF217" i="12"/>
  <c r="AE217" i="12"/>
  <c r="AD217" i="12"/>
  <c r="AC217" i="12"/>
  <c r="AB217" i="12"/>
  <c r="AA217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K217" i="12"/>
  <c r="J217" i="12"/>
  <c r="I217" i="12"/>
  <c r="H217" i="12"/>
  <c r="G217" i="12"/>
  <c r="F217" i="12"/>
  <c r="E217" i="12"/>
  <c r="D217" i="12"/>
  <c r="CX216" i="12"/>
  <c r="CW216" i="12"/>
  <c r="CV216" i="12"/>
  <c r="CU216" i="12"/>
  <c r="CT216" i="12"/>
  <c r="CS216" i="12"/>
  <c r="CR216" i="12"/>
  <c r="CQ216" i="12"/>
  <c r="CP216" i="12"/>
  <c r="CO216" i="12"/>
  <c r="CN216" i="12"/>
  <c r="CM216" i="12"/>
  <c r="CL216" i="12"/>
  <c r="CK216" i="12"/>
  <c r="CJ216" i="12"/>
  <c r="CI216" i="12"/>
  <c r="CH216" i="12"/>
  <c r="CG216" i="12"/>
  <c r="CF216" i="12"/>
  <c r="CE216" i="12"/>
  <c r="CD216" i="12"/>
  <c r="CC216" i="12"/>
  <c r="CB216" i="12"/>
  <c r="CA216" i="12"/>
  <c r="BZ216" i="12"/>
  <c r="BY216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E216" i="12"/>
  <c r="BD216" i="12"/>
  <c r="BC216" i="12"/>
  <c r="BB216" i="12"/>
  <c r="BA216" i="12"/>
  <c r="AZ216" i="12"/>
  <c r="AY216" i="12"/>
  <c r="AX216" i="12"/>
  <c r="AW216" i="12"/>
  <c r="AV216" i="12"/>
  <c r="AU216" i="12"/>
  <c r="AT216" i="12"/>
  <c r="AS216" i="12"/>
  <c r="AR216" i="12"/>
  <c r="AQ216" i="12"/>
  <c r="AP216" i="12"/>
  <c r="AO216" i="12"/>
  <c r="AN216" i="12"/>
  <c r="AM216" i="12"/>
  <c r="AL216" i="12"/>
  <c r="AK216" i="12"/>
  <c r="AJ216" i="12"/>
  <c r="AI216" i="12"/>
  <c r="AH216" i="12"/>
  <c r="AG216" i="12"/>
  <c r="AF216" i="12"/>
  <c r="AE216" i="12"/>
  <c r="AD216" i="12"/>
  <c r="AC216" i="12"/>
  <c r="AB216" i="12"/>
  <c r="AA216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K216" i="12"/>
  <c r="J216" i="12"/>
  <c r="I216" i="12"/>
  <c r="H216" i="12"/>
  <c r="G216" i="12"/>
  <c r="F216" i="12"/>
  <c r="E216" i="12"/>
  <c r="D216" i="12"/>
  <c r="CX215" i="12"/>
  <c r="CW215" i="12"/>
  <c r="CV215" i="12"/>
  <c r="CU215" i="12"/>
  <c r="CT215" i="12"/>
  <c r="CS215" i="12"/>
  <c r="CR215" i="12"/>
  <c r="CQ215" i="12"/>
  <c r="CP215" i="12"/>
  <c r="CO215" i="12"/>
  <c r="CN215" i="12"/>
  <c r="CM215" i="12"/>
  <c r="CL215" i="12"/>
  <c r="CK215" i="12"/>
  <c r="CJ215" i="12"/>
  <c r="CI215" i="12"/>
  <c r="CH215" i="12"/>
  <c r="CG215" i="12"/>
  <c r="CF215" i="12"/>
  <c r="CE215" i="12"/>
  <c r="CD215" i="12"/>
  <c r="CC215" i="12"/>
  <c r="CB215" i="12"/>
  <c r="CA215" i="12"/>
  <c r="BZ215" i="12"/>
  <c r="BY215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E215" i="12"/>
  <c r="BD215" i="12"/>
  <c r="BC215" i="12"/>
  <c r="BB215" i="12"/>
  <c r="BA215" i="12"/>
  <c r="AZ215" i="12"/>
  <c r="AY215" i="12"/>
  <c r="AX215" i="12"/>
  <c r="AW215" i="12"/>
  <c r="AV215" i="12"/>
  <c r="AU215" i="12"/>
  <c r="AT215" i="12"/>
  <c r="AS215" i="12"/>
  <c r="AR215" i="12"/>
  <c r="AQ215" i="12"/>
  <c r="AP215" i="12"/>
  <c r="AO215" i="12"/>
  <c r="AN215" i="12"/>
  <c r="AM215" i="12"/>
  <c r="AL215" i="12"/>
  <c r="AK215" i="12"/>
  <c r="AJ215" i="12"/>
  <c r="AI215" i="12"/>
  <c r="AH215" i="12"/>
  <c r="AG215" i="12"/>
  <c r="AF215" i="12"/>
  <c r="AE215" i="12"/>
  <c r="AD215" i="12"/>
  <c r="AC215" i="12"/>
  <c r="AB215" i="12"/>
  <c r="AA215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K215" i="12"/>
  <c r="J215" i="12"/>
  <c r="I215" i="12"/>
  <c r="H215" i="12"/>
  <c r="G215" i="12"/>
  <c r="F215" i="12"/>
  <c r="E215" i="12"/>
  <c r="D215" i="12"/>
  <c r="CX198" i="12"/>
  <c r="CX249" i="12" s="1"/>
  <c r="CW198" i="12"/>
  <c r="CW249" i="12" s="1"/>
  <c r="CV198" i="12"/>
  <c r="CV249" i="12" s="1"/>
  <c r="CU198" i="12"/>
  <c r="CU249" i="12" s="1"/>
  <c r="CT198" i="12"/>
  <c r="CT249" i="12" s="1"/>
  <c r="CS198" i="12"/>
  <c r="CS249" i="12" s="1"/>
  <c r="CR198" i="12"/>
  <c r="CR249" i="12" s="1"/>
  <c r="CQ198" i="12"/>
  <c r="CQ249" i="12" s="1"/>
  <c r="CP198" i="12"/>
  <c r="CP249" i="12" s="1"/>
  <c r="CO198" i="12"/>
  <c r="CO249" i="12" s="1"/>
  <c r="CN198" i="12"/>
  <c r="CN249" i="12" s="1"/>
  <c r="CM198" i="12"/>
  <c r="CM249" i="12" s="1"/>
  <c r="CL198" i="12"/>
  <c r="CL249" i="12" s="1"/>
  <c r="CK198" i="12"/>
  <c r="CK249" i="12" s="1"/>
  <c r="CJ198" i="12"/>
  <c r="CJ249" i="12" s="1"/>
  <c r="CI198" i="12"/>
  <c r="CI249" i="12" s="1"/>
  <c r="CH198" i="12"/>
  <c r="CH249" i="12" s="1"/>
  <c r="CG198" i="12"/>
  <c r="CG249" i="12" s="1"/>
  <c r="CF198" i="12"/>
  <c r="CF249" i="12" s="1"/>
  <c r="CE198" i="12"/>
  <c r="CE249" i="12" s="1"/>
  <c r="CD198" i="12"/>
  <c r="CD249" i="12" s="1"/>
  <c r="CC198" i="12"/>
  <c r="CC249" i="12" s="1"/>
  <c r="CB198" i="12"/>
  <c r="CB249" i="12" s="1"/>
  <c r="CA198" i="12"/>
  <c r="CA249" i="12" s="1"/>
  <c r="BZ198" i="12"/>
  <c r="BZ249" i="12" s="1"/>
  <c r="BY198" i="12"/>
  <c r="BY249" i="12" s="1"/>
  <c r="BX198" i="12"/>
  <c r="BX249" i="12" s="1"/>
  <c r="BW198" i="12"/>
  <c r="BW249" i="12" s="1"/>
  <c r="BV198" i="12"/>
  <c r="BV249" i="12" s="1"/>
  <c r="BU198" i="12"/>
  <c r="BU249" i="12" s="1"/>
  <c r="BT198" i="12"/>
  <c r="BT249" i="12" s="1"/>
  <c r="BS198" i="12"/>
  <c r="BS249" i="12" s="1"/>
  <c r="BR198" i="12"/>
  <c r="BR249" i="12" s="1"/>
  <c r="BQ198" i="12"/>
  <c r="BQ249" i="12" s="1"/>
  <c r="BP198" i="12"/>
  <c r="BP249" i="12" s="1"/>
  <c r="BO198" i="12"/>
  <c r="BO249" i="12" s="1"/>
  <c r="BN198" i="12"/>
  <c r="BN249" i="12" s="1"/>
  <c r="BM198" i="12"/>
  <c r="BM249" i="12" s="1"/>
  <c r="BL198" i="12"/>
  <c r="BL249" i="12" s="1"/>
  <c r="BK198" i="12"/>
  <c r="BK249" i="12" s="1"/>
  <c r="BJ198" i="12"/>
  <c r="BJ249" i="12" s="1"/>
  <c r="BI198" i="12"/>
  <c r="BI249" i="12" s="1"/>
  <c r="BH198" i="12"/>
  <c r="BH249" i="12" s="1"/>
  <c r="BG198" i="12"/>
  <c r="BG249" i="12" s="1"/>
  <c r="BF198" i="12"/>
  <c r="BF249" i="12" s="1"/>
  <c r="BE198" i="12"/>
  <c r="BE249" i="12" s="1"/>
  <c r="BD198" i="12"/>
  <c r="BD249" i="12" s="1"/>
  <c r="BC198" i="12"/>
  <c r="BC249" i="12" s="1"/>
  <c r="BB198" i="12"/>
  <c r="BB249" i="12" s="1"/>
  <c r="BA198" i="12"/>
  <c r="BA249" i="12" s="1"/>
  <c r="AZ198" i="12"/>
  <c r="AZ249" i="12" s="1"/>
  <c r="AY198" i="12"/>
  <c r="AY249" i="12" s="1"/>
  <c r="AX198" i="12"/>
  <c r="AX249" i="12" s="1"/>
  <c r="AW198" i="12"/>
  <c r="AW249" i="12" s="1"/>
  <c r="AV198" i="12"/>
  <c r="AV249" i="12" s="1"/>
  <c r="AU198" i="12"/>
  <c r="AU249" i="12" s="1"/>
  <c r="AT198" i="12"/>
  <c r="AT249" i="12" s="1"/>
  <c r="AS198" i="12"/>
  <c r="AS249" i="12" s="1"/>
  <c r="AR198" i="12"/>
  <c r="AR249" i="12" s="1"/>
  <c r="AQ198" i="12"/>
  <c r="AQ249" i="12" s="1"/>
  <c r="AP198" i="12"/>
  <c r="AP249" i="12" s="1"/>
  <c r="AO198" i="12"/>
  <c r="AO249" i="12" s="1"/>
  <c r="AN198" i="12"/>
  <c r="AN249" i="12" s="1"/>
  <c r="AM198" i="12"/>
  <c r="AM249" i="12" s="1"/>
  <c r="AL198" i="12"/>
  <c r="AL249" i="12" s="1"/>
  <c r="AK198" i="12"/>
  <c r="AK249" i="12" s="1"/>
  <c r="AJ198" i="12"/>
  <c r="AJ249" i="12" s="1"/>
  <c r="AI198" i="12"/>
  <c r="AI249" i="12" s="1"/>
  <c r="AH198" i="12"/>
  <c r="AH249" i="12" s="1"/>
  <c r="AG198" i="12"/>
  <c r="AG249" i="12" s="1"/>
  <c r="AF198" i="12"/>
  <c r="AF249" i="12" s="1"/>
  <c r="AE198" i="12"/>
  <c r="AE249" i="12" s="1"/>
  <c r="AD198" i="12"/>
  <c r="AD249" i="12" s="1"/>
  <c r="AC198" i="12"/>
  <c r="AC249" i="12" s="1"/>
  <c r="AB198" i="12"/>
  <c r="AB249" i="12" s="1"/>
  <c r="AA198" i="12"/>
  <c r="AA249" i="12" s="1"/>
  <c r="Z198" i="12"/>
  <c r="Z249" i="12" s="1"/>
  <c r="Y198" i="12"/>
  <c r="Y249" i="12" s="1"/>
  <c r="X198" i="12"/>
  <c r="X249" i="12" s="1"/>
  <c r="W198" i="12"/>
  <c r="W249" i="12" s="1"/>
  <c r="V198" i="12"/>
  <c r="V249" i="12" s="1"/>
  <c r="U198" i="12"/>
  <c r="U249" i="12" s="1"/>
  <c r="T198" i="12"/>
  <c r="T249" i="12" s="1"/>
  <c r="S198" i="12"/>
  <c r="S249" i="12" s="1"/>
  <c r="R198" i="12"/>
  <c r="R249" i="12" s="1"/>
  <c r="Q198" i="12"/>
  <c r="Q249" i="12" s="1"/>
  <c r="P198" i="12"/>
  <c r="P249" i="12" s="1"/>
  <c r="O198" i="12"/>
  <c r="O249" i="12" s="1"/>
  <c r="N198" i="12"/>
  <c r="N249" i="12" s="1"/>
  <c r="M198" i="12"/>
  <c r="M249" i="12" s="1"/>
  <c r="L198" i="12"/>
  <c r="L249" i="12" s="1"/>
  <c r="K198" i="12"/>
  <c r="K249" i="12" s="1"/>
  <c r="J198" i="12"/>
  <c r="J249" i="12" s="1"/>
  <c r="I198" i="12"/>
  <c r="I249" i="12" s="1"/>
  <c r="H198" i="12"/>
  <c r="H249" i="12" s="1"/>
  <c r="G198" i="12"/>
  <c r="G249" i="12" s="1"/>
  <c r="F198" i="12"/>
  <c r="F249" i="12" s="1"/>
  <c r="E198" i="12"/>
  <c r="E249" i="12" s="1"/>
  <c r="D198" i="12"/>
  <c r="D249" i="12" s="1"/>
  <c r="CX197" i="12"/>
  <c r="CX248" i="12" s="1"/>
  <c r="CW197" i="12"/>
  <c r="CW248" i="12" s="1"/>
  <c r="CV197" i="12"/>
  <c r="CV248" i="12" s="1"/>
  <c r="CU197" i="12"/>
  <c r="CU248" i="12" s="1"/>
  <c r="CT197" i="12"/>
  <c r="CT248" i="12" s="1"/>
  <c r="CS197" i="12"/>
  <c r="CS248" i="12" s="1"/>
  <c r="CR197" i="12"/>
  <c r="CR248" i="12" s="1"/>
  <c r="CQ197" i="12"/>
  <c r="CQ248" i="12" s="1"/>
  <c r="CP197" i="12"/>
  <c r="CP248" i="12" s="1"/>
  <c r="CO197" i="12"/>
  <c r="CO248" i="12" s="1"/>
  <c r="CN197" i="12"/>
  <c r="CN248" i="12" s="1"/>
  <c r="CM197" i="12"/>
  <c r="CM248" i="12" s="1"/>
  <c r="CL197" i="12"/>
  <c r="CL248" i="12" s="1"/>
  <c r="CK197" i="12"/>
  <c r="CK248" i="12" s="1"/>
  <c r="CJ197" i="12"/>
  <c r="CJ248" i="12" s="1"/>
  <c r="CI197" i="12"/>
  <c r="CI248" i="12" s="1"/>
  <c r="CH197" i="12"/>
  <c r="CH248" i="12" s="1"/>
  <c r="CG197" i="12"/>
  <c r="CG248" i="12" s="1"/>
  <c r="CF197" i="12"/>
  <c r="CF248" i="12" s="1"/>
  <c r="CE197" i="12"/>
  <c r="CE248" i="12" s="1"/>
  <c r="CD197" i="12"/>
  <c r="CD248" i="12" s="1"/>
  <c r="CC197" i="12"/>
  <c r="CC248" i="12" s="1"/>
  <c r="CB197" i="12"/>
  <c r="CB248" i="12" s="1"/>
  <c r="CA197" i="12"/>
  <c r="CA248" i="12" s="1"/>
  <c r="BZ197" i="12"/>
  <c r="BZ248" i="12" s="1"/>
  <c r="BY197" i="12"/>
  <c r="BY248" i="12" s="1"/>
  <c r="BX197" i="12"/>
  <c r="BX248" i="12" s="1"/>
  <c r="BW197" i="12"/>
  <c r="BW248" i="12" s="1"/>
  <c r="BV197" i="12"/>
  <c r="BV248" i="12" s="1"/>
  <c r="BU197" i="12"/>
  <c r="BU248" i="12" s="1"/>
  <c r="BT197" i="12"/>
  <c r="BT248" i="12" s="1"/>
  <c r="BS197" i="12"/>
  <c r="BS248" i="12" s="1"/>
  <c r="BR197" i="12"/>
  <c r="BR248" i="12" s="1"/>
  <c r="BQ197" i="12"/>
  <c r="BQ248" i="12" s="1"/>
  <c r="BP197" i="12"/>
  <c r="BP248" i="12" s="1"/>
  <c r="BO197" i="12"/>
  <c r="BO248" i="12" s="1"/>
  <c r="BN197" i="12"/>
  <c r="BN248" i="12" s="1"/>
  <c r="BM197" i="12"/>
  <c r="BM248" i="12" s="1"/>
  <c r="BL197" i="12"/>
  <c r="BL248" i="12" s="1"/>
  <c r="BK197" i="12"/>
  <c r="BK248" i="12" s="1"/>
  <c r="BJ197" i="12"/>
  <c r="BJ248" i="12" s="1"/>
  <c r="BI197" i="12"/>
  <c r="BI248" i="12" s="1"/>
  <c r="BH197" i="12"/>
  <c r="BH248" i="12" s="1"/>
  <c r="BG197" i="12"/>
  <c r="BG248" i="12" s="1"/>
  <c r="BF197" i="12"/>
  <c r="BF248" i="12" s="1"/>
  <c r="BE197" i="12"/>
  <c r="BE248" i="12" s="1"/>
  <c r="BD197" i="12"/>
  <c r="BD248" i="12" s="1"/>
  <c r="BC197" i="12"/>
  <c r="BC248" i="12" s="1"/>
  <c r="BB197" i="12"/>
  <c r="BB248" i="12" s="1"/>
  <c r="BA197" i="12"/>
  <c r="BA248" i="12" s="1"/>
  <c r="AZ197" i="12"/>
  <c r="AZ248" i="12" s="1"/>
  <c r="AY197" i="12"/>
  <c r="AY248" i="12" s="1"/>
  <c r="AX197" i="12"/>
  <c r="AX248" i="12" s="1"/>
  <c r="AW197" i="12"/>
  <c r="AW248" i="12" s="1"/>
  <c r="AV197" i="12"/>
  <c r="AV248" i="12" s="1"/>
  <c r="AU197" i="12"/>
  <c r="AU248" i="12" s="1"/>
  <c r="AT197" i="12"/>
  <c r="AT248" i="12" s="1"/>
  <c r="AS197" i="12"/>
  <c r="AS248" i="12" s="1"/>
  <c r="AR197" i="12"/>
  <c r="AR248" i="12" s="1"/>
  <c r="AQ197" i="12"/>
  <c r="AQ248" i="12" s="1"/>
  <c r="AP197" i="12"/>
  <c r="AP248" i="12" s="1"/>
  <c r="AO197" i="12"/>
  <c r="AO248" i="12" s="1"/>
  <c r="AN197" i="12"/>
  <c r="AN248" i="12" s="1"/>
  <c r="AM197" i="12"/>
  <c r="AM248" i="12" s="1"/>
  <c r="AL197" i="12"/>
  <c r="AL248" i="12" s="1"/>
  <c r="AK197" i="12"/>
  <c r="AK248" i="12" s="1"/>
  <c r="AJ197" i="12"/>
  <c r="AJ248" i="12" s="1"/>
  <c r="AI197" i="12"/>
  <c r="AI248" i="12" s="1"/>
  <c r="AH197" i="12"/>
  <c r="AH248" i="12" s="1"/>
  <c r="AG197" i="12"/>
  <c r="AG248" i="12" s="1"/>
  <c r="AF197" i="12"/>
  <c r="AF248" i="12" s="1"/>
  <c r="AE197" i="12"/>
  <c r="AE248" i="12" s="1"/>
  <c r="AD197" i="12"/>
  <c r="AD248" i="12" s="1"/>
  <c r="AC197" i="12"/>
  <c r="AC248" i="12" s="1"/>
  <c r="AB197" i="12"/>
  <c r="AB248" i="12" s="1"/>
  <c r="AA197" i="12"/>
  <c r="AA248" i="12" s="1"/>
  <c r="Z197" i="12"/>
  <c r="Z248" i="12" s="1"/>
  <c r="Y197" i="12"/>
  <c r="Y248" i="12" s="1"/>
  <c r="X197" i="12"/>
  <c r="X248" i="12" s="1"/>
  <c r="W197" i="12"/>
  <c r="W248" i="12" s="1"/>
  <c r="V197" i="12"/>
  <c r="V248" i="12" s="1"/>
  <c r="U197" i="12"/>
  <c r="U248" i="12" s="1"/>
  <c r="T197" i="12"/>
  <c r="T248" i="12" s="1"/>
  <c r="S197" i="12"/>
  <c r="S248" i="12" s="1"/>
  <c r="R197" i="12"/>
  <c r="R248" i="12" s="1"/>
  <c r="Q197" i="12"/>
  <c r="Q248" i="12" s="1"/>
  <c r="P197" i="12"/>
  <c r="P248" i="12" s="1"/>
  <c r="O197" i="12"/>
  <c r="O248" i="12" s="1"/>
  <c r="N197" i="12"/>
  <c r="N248" i="12" s="1"/>
  <c r="M197" i="12"/>
  <c r="M248" i="12" s="1"/>
  <c r="L197" i="12"/>
  <c r="L248" i="12" s="1"/>
  <c r="K197" i="12"/>
  <c r="K248" i="12" s="1"/>
  <c r="J197" i="12"/>
  <c r="J248" i="12" s="1"/>
  <c r="I197" i="12"/>
  <c r="I248" i="12" s="1"/>
  <c r="H197" i="12"/>
  <c r="H248" i="12" s="1"/>
  <c r="G197" i="12"/>
  <c r="G248" i="12" s="1"/>
  <c r="F197" i="12"/>
  <c r="F248" i="12" s="1"/>
  <c r="E197" i="12"/>
  <c r="E248" i="12" s="1"/>
  <c r="D197" i="12"/>
  <c r="D248" i="12" s="1"/>
  <c r="CX196" i="12"/>
  <c r="CX247" i="12" s="1"/>
  <c r="CW196" i="12"/>
  <c r="CW247" i="12" s="1"/>
  <c r="CV196" i="12"/>
  <c r="CV247" i="12" s="1"/>
  <c r="CU196" i="12"/>
  <c r="CU247" i="12" s="1"/>
  <c r="CT196" i="12"/>
  <c r="CT247" i="12" s="1"/>
  <c r="CS196" i="12"/>
  <c r="CS247" i="12" s="1"/>
  <c r="CR196" i="12"/>
  <c r="CR247" i="12" s="1"/>
  <c r="CQ196" i="12"/>
  <c r="CQ247" i="12" s="1"/>
  <c r="CP196" i="12"/>
  <c r="CP247" i="12" s="1"/>
  <c r="CO196" i="12"/>
  <c r="CO247" i="12" s="1"/>
  <c r="CN196" i="12"/>
  <c r="CN247" i="12" s="1"/>
  <c r="CM196" i="12"/>
  <c r="CM247" i="12" s="1"/>
  <c r="CL196" i="12"/>
  <c r="CL247" i="12" s="1"/>
  <c r="CK196" i="12"/>
  <c r="CK247" i="12" s="1"/>
  <c r="CJ196" i="12"/>
  <c r="CJ247" i="12" s="1"/>
  <c r="CI196" i="12"/>
  <c r="CI247" i="12" s="1"/>
  <c r="CH196" i="12"/>
  <c r="CH247" i="12" s="1"/>
  <c r="CG196" i="12"/>
  <c r="CG247" i="12" s="1"/>
  <c r="CF196" i="12"/>
  <c r="CF247" i="12" s="1"/>
  <c r="CE196" i="12"/>
  <c r="CE247" i="12" s="1"/>
  <c r="CD196" i="12"/>
  <c r="CD247" i="12" s="1"/>
  <c r="CC196" i="12"/>
  <c r="CC247" i="12" s="1"/>
  <c r="CB196" i="12"/>
  <c r="CB247" i="12" s="1"/>
  <c r="CA196" i="12"/>
  <c r="CA247" i="12" s="1"/>
  <c r="BZ196" i="12"/>
  <c r="BZ247" i="12" s="1"/>
  <c r="BY196" i="12"/>
  <c r="BY247" i="12" s="1"/>
  <c r="BX196" i="12"/>
  <c r="BX247" i="12" s="1"/>
  <c r="BW196" i="12"/>
  <c r="BW247" i="12" s="1"/>
  <c r="BV196" i="12"/>
  <c r="BV247" i="12" s="1"/>
  <c r="BU196" i="12"/>
  <c r="BU247" i="12" s="1"/>
  <c r="BT196" i="12"/>
  <c r="BT247" i="12" s="1"/>
  <c r="BS196" i="12"/>
  <c r="BS247" i="12" s="1"/>
  <c r="BR196" i="12"/>
  <c r="BR247" i="12" s="1"/>
  <c r="BQ196" i="12"/>
  <c r="BQ247" i="12" s="1"/>
  <c r="BP196" i="12"/>
  <c r="BP247" i="12" s="1"/>
  <c r="BO196" i="12"/>
  <c r="BO247" i="12" s="1"/>
  <c r="BN196" i="12"/>
  <c r="BN247" i="12" s="1"/>
  <c r="BM196" i="12"/>
  <c r="BM247" i="12" s="1"/>
  <c r="BL196" i="12"/>
  <c r="BL247" i="12" s="1"/>
  <c r="BK196" i="12"/>
  <c r="BK247" i="12" s="1"/>
  <c r="BJ196" i="12"/>
  <c r="BJ247" i="12" s="1"/>
  <c r="BI196" i="12"/>
  <c r="BI247" i="12" s="1"/>
  <c r="BH196" i="12"/>
  <c r="BH247" i="12" s="1"/>
  <c r="BG196" i="12"/>
  <c r="BG247" i="12" s="1"/>
  <c r="BF196" i="12"/>
  <c r="BF247" i="12" s="1"/>
  <c r="BE196" i="12"/>
  <c r="BE247" i="12" s="1"/>
  <c r="BD196" i="12"/>
  <c r="BD247" i="12" s="1"/>
  <c r="BC196" i="12"/>
  <c r="BC247" i="12" s="1"/>
  <c r="BB196" i="12"/>
  <c r="BB247" i="12" s="1"/>
  <c r="BA196" i="12"/>
  <c r="BA247" i="12" s="1"/>
  <c r="AZ196" i="12"/>
  <c r="AZ247" i="12" s="1"/>
  <c r="AY196" i="12"/>
  <c r="AY247" i="12" s="1"/>
  <c r="AX196" i="12"/>
  <c r="AX247" i="12" s="1"/>
  <c r="AW196" i="12"/>
  <c r="AW247" i="12" s="1"/>
  <c r="AV196" i="12"/>
  <c r="AV247" i="12" s="1"/>
  <c r="AU196" i="12"/>
  <c r="AU247" i="12" s="1"/>
  <c r="AT196" i="12"/>
  <c r="AT247" i="12" s="1"/>
  <c r="AS196" i="12"/>
  <c r="AS247" i="12" s="1"/>
  <c r="AR196" i="12"/>
  <c r="AR247" i="12" s="1"/>
  <c r="AQ196" i="12"/>
  <c r="AQ247" i="12" s="1"/>
  <c r="AP196" i="12"/>
  <c r="AP247" i="12" s="1"/>
  <c r="AO196" i="12"/>
  <c r="AO247" i="12" s="1"/>
  <c r="AN196" i="12"/>
  <c r="AN247" i="12" s="1"/>
  <c r="AM196" i="12"/>
  <c r="AM247" i="12" s="1"/>
  <c r="AL196" i="12"/>
  <c r="AL247" i="12" s="1"/>
  <c r="AK196" i="12"/>
  <c r="AK247" i="12" s="1"/>
  <c r="AJ196" i="12"/>
  <c r="AJ247" i="12" s="1"/>
  <c r="AI196" i="12"/>
  <c r="AI247" i="12" s="1"/>
  <c r="AH196" i="12"/>
  <c r="AH247" i="12" s="1"/>
  <c r="AG196" i="12"/>
  <c r="AG247" i="12" s="1"/>
  <c r="AF196" i="12"/>
  <c r="AF247" i="12" s="1"/>
  <c r="AE196" i="12"/>
  <c r="AE247" i="12" s="1"/>
  <c r="AD196" i="12"/>
  <c r="AD247" i="12" s="1"/>
  <c r="AC196" i="12"/>
  <c r="AC247" i="12" s="1"/>
  <c r="AB196" i="12"/>
  <c r="AB247" i="12" s="1"/>
  <c r="AA196" i="12"/>
  <c r="AA247" i="12" s="1"/>
  <c r="Z196" i="12"/>
  <c r="Z247" i="12" s="1"/>
  <c r="Y196" i="12"/>
  <c r="Y247" i="12" s="1"/>
  <c r="X196" i="12"/>
  <c r="X247" i="12" s="1"/>
  <c r="W196" i="12"/>
  <c r="W247" i="12" s="1"/>
  <c r="V196" i="12"/>
  <c r="V247" i="12" s="1"/>
  <c r="U196" i="12"/>
  <c r="U247" i="12" s="1"/>
  <c r="T196" i="12"/>
  <c r="T247" i="12" s="1"/>
  <c r="S196" i="12"/>
  <c r="S247" i="12" s="1"/>
  <c r="R196" i="12"/>
  <c r="R247" i="12" s="1"/>
  <c r="Q196" i="12"/>
  <c r="Q247" i="12" s="1"/>
  <c r="P196" i="12"/>
  <c r="P247" i="12" s="1"/>
  <c r="O196" i="12"/>
  <c r="O247" i="12" s="1"/>
  <c r="N196" i="12"/>
  <c r="N247" i="12" s="1"/>
  <c r="M196" i="12"/>
  <c r="M247" i="12" s="1"/>
  <c r="L196" i="12"/>
  <c r="L247" i="12" s="1"/>
  <c r="K196" i="12"/>
  <c r="K247" i="12" s="1"/>
  <c r="J196" i="12"/>
  <c r="J247" i="12" s="1"/>
  <c r="I196" i="12"/>
  <c r="I247" i="12" s="1"/>
  <c r="H196" i="12"/>
  <c r="H247" i="12" s="1"/>
  <c r="G196" i="12"/>
  <c r="G247" i="12" s="1"/>
  <c r="F196" i="12"/>
  <c r="F247" i="12" s="1"/>
  <c r="E196" i="12"/>
  <c r="E247" i="12" s="1"/>
  <c r="D196" i="12"/>
  <c r="D247" i="12" s="1"/>
  <c r="CX195" i="12"/>
  <c r="CX246" i="12" s="1"/>
  <c r="CW195" i="12"/>
  <c r="CW246" i="12" s="1"/>
  <c r="CV195" i="12"/>
  <c r="CV246" i="12" s="1"/>
  <c r="CU195" i="12"/>
  <c r="CU246" i="12" s="1"/>
  <c r="CT195" i="12"/>
  <c r="CT246" i="12" s="1"/>
  <c r="CS195" i="12"/>
  <c r="CS246" i="12" s="1"/>
  <c r="CR195" i="12"/>
  <c r="CR246" i="12" s="1"/>
  <c r="CQ195" i="12"/>
  <c r="CQ246" i="12" s="1"/>
  <c r="CP195" i="12"/>
  <c r="CP246" i="12" s="1"/>
  <c r="CO195" i="12"/>
  <c r="CO246" i="12" s="1"/>
  <c r="CN195" i="12"/>
  <c r="CN246" i="12" s="1"/>
  <c r="CM195" i="12"/>
  <c r="CM246" i="12" s="1"/>
  <c r="CL195" i="12"/>
  <c r="CL246" i="12" s="1"/>
  <c r="CK195" i="12"/>
  <c r="CK246" i="12" s="1"/>
  <c r="CJ195" i="12"/>
  <c r="CJ246" i="12" s="1"/>
  <c r="CI195" i="12"/>
  <c r="CI246" i="12" s="1"/>
  <c r="CH195" i="12"/>
  <c r="CH246" i="12" s="1"/>
  <c r="CG195" i="12"/>
  <c r="CG246" i="12" s="1"/>
  <c r="CF195" i="12"/>
  <c r="CF246" i="12" s="1"/>
  <c r="CE195" i="12"/>
  <c r="CE246" i="12" s="1"/>
  <c r="CD195" i="12"/>
  <c r="CD246" i="12" s="1"/>
  <c r="CC195" i="12"/>
  <c r="CC246" i="12" s="1"/>
  <c r="CB195" i="12"/>
  <c r="CB246" i="12" s="1"/>
  <c r="CA195" i="12"/>
  <c r="CA246" i="12" s="1"/>
  <c r="BZ195" i="12"/>
  <c r="BZ246" i="12" s="1"/>
  <c r="BY195" i="12"/>
  <c r="BY246" i="12" s="1"/>
  <c r="BX195" i="12"/>
  <c r="BX246" i="12" s="1"/>
  <c r="BW195" i="12"/>
  <c r="BW246" i="12" s="1"/>
  <c r="BV195" i="12"/>
  <c r="BV246" i="12" s="1"/>
  <c r="BU195" i="12"/>
  <c r="BU246" i="12" s="1"/>
  <c r="BT195" i="12"/>
  <c r="BT246" i="12" s="1"/>
  <c r="BS195" i="12"/>
  <c r="BS246" i="12" s="1"/>
  <c r="BR195" i="12"/>
  <c r="BR246" i="12" s="1"/>
  <c r="BQ195" i="12"/>
  <c r="BQ246" i="12" s="1"/>
  <c r="BP195" i="12"/>
  <c r="BP246" i="12" s="1"/>
  <c r="BO195" i="12"/>
  <c r="BO246" i="12" s="1"/>
  <c r="BN195" i="12"/>
  <c r="BN246" i="12" s="1"/>
  <c r="BM195" i="12"/>
  <c r="BM246" i="12" s="1"/>
  <c r="BL195" i="12"/>
  <c r="BL246" i="12" s="1"/>
  <c r="BK195" i="12"/>
  <c r="BK246" i="12" s="1"/>
  <c r="BJ195" i="12"/>
  <c r="BJ246" i="12" s="1"/>
  <c r="BI195" i="12"/>
  <c r="BI246" i="12" s="1"/>
  <c r="BH195" i="12"/>
  <c r="BH246" i="12" s="1"/>
  <c r="BG195" i="12"/>
  <c r="BG246" i="12" s="1"/>
  <c r="BF195" i="12"/>
  <c r="BF246" i="12" s="1"/>
  <c r="BE195" i="12"/>
  <c r="BE246" i="12" s="1"/>
  <c r="BD195" i="12"/>
  <c r="BD246" i="12" s="1"/>
  <c r="BC195" i="12"/>
  <c r="BC246" i="12" s="1"/>
  <c r="BB195" i="12"/>
  <c r="BB246" i="12" s="1"/>
  <c r="BA195" i="12"/>
  <c r="BA246" i="12" s="1"/>
  <c r="AZ195" i="12"/>
  <c r="AZ246" i="12" s="1"/>
  <c r="AY195" i="12"/>
  <c r="AY246" i="12" s="1"/>
  <c r="AX195" i="12"/>
  <c r="AX246" i="12" s="1"/>
  <c r="AW195" i="12"/>
  <c r="AW246" i="12" s="1"/>
  <c r="AV195" i="12"/>
  <c r="AV246" i="12" s="1"/>
  <c r="AU195" i="12"/>
  <c r="AU246" i="12" s="1"/>
  <c r="AT195" i="12"/>
  <c r="AT246" i="12" s="1"/>
  <c r="AS195" i="12"/>
  <c r="AS246" i="12" s="1"/>
  <c r="AR195" i="12"/>
  <c r="AR246" i="12" s="1"/>
  <c r="AQ195" i="12"/>
  <c r="AQ246" i="12" s="1"/>
  <c r="AP195" i="12"/>
  <c r="AP246" i="12" s="1"/>
  <c r="AO195" i="12"/>
  <c r="AO246" i="12" s="1"/>
  <c r="AN195" i="12"/>
  <c r="AN246" i="12" s="1"/>
  <c r="AM195" i="12"/>
  <c r="AM246" i="12" s="1"/>
  <c r="AL195" i="12"/>
  <c r="AL246" i="12" s="1"/>
  <c r="AK195" i="12"/>
  <c r="AK246" i="12" s="1"/>
  <c r="AJ195" i="12"/>
  <c r="AJ246" i="12" s="1"/>
  <c r="AI195" i="12"/>
  <c r="AI246" i="12" s="1"/>
  <c r="AH195" i="12"/>
  <c r="AH246" i="12" s="1"/>
  <c r="AG195" i="12"/>
  <c r="AG246" i="12" s="1"/>
  <c r="AF195" i="12"/>
  <c r="AF246" i="12" s="1"/>
  <c r="AE195" i="12"/>
  <c r="AE246" i="12" s="1"/>
  <c r="AD195" i="12"/>
  <c r="AD246" i="12" s="1"/>
  <c r="AC195" i="12"/>
  <c r="AC246" i="12" s="1"/>
  <c r="AB195" i="12"/>
  <c r="AB246" i="12" s="1"/>
  <c r="AA195" i="12"/>
  <c r="AA246" i="12" s="1"/>
  <c r="Z195" i="12"/>
  <c r="Z246" i="12" s="1"/>
  <c r="Y195" i="12"/>
  <c r="Y246" i="12" s="1"/>
  <c r="X195" i="12"/>
  <c r="X246" i="12" s="1"/>
  <c r="W195" i="12"/>
  <c r="W246" i="12" s="1"/>
  <c r="V195" i="12"/>
  <c r="V246" i="12" s="1"/>
  <c r="U195" i="12"/>
  <c r="U246" i="12" s="1"/>
  <c r="T195" i="12"/>
  <c r="T246" i="12" s="1"/>
  <c r="S195" i="12"/>
  <c r="S246" i="12" s="1"/>
  <c r="R195" i="12"/>
  <c r="R246" i="12" s="1"/>
  <c r="Q195" i="12"/>
  <c r="Q246" i="12" s="1"/>
  <c r="P195" i="12"/>
  <c r="P246" i="12" s="1"/>
  <c r="O195" i="12"/>
  <c r="O246" i="12" s="1"/>
  <c r="N195" i="12"/>
  <c r="N246" i="12" s="1"/>
  <c r="M195" i="12"/>
  <c r="M246" i="12" s="1"/>
  <c r="L195" i="12"/>
  <c r="L246" i="12" s="1"/>
  <c r="K195" i="12"/>
  <c r="K246" i="12" s="1"/>
  <c r="J195" i="12"/>
  <c r="J246" i="12" s="1"/>
  <c r="I195" i="12"/>
  <c r="I246" i="12" s="1"/>
  <c r="H195" i="12"/>
  <c r="H246" i="12" s="1"/>
  <c r="G195" i="12"/>
  <c r="G246" i="12" s="1"/>
  <c r="F195" i="12"/>
  <c r="F246" i="12" s="1"/>
  <c r="E195" i="12"/>
  <c r="E246" i="12" s="1"/>
  <c r="D195" i="12"/>
  <c r="D246" i="12" s="1"/>
  <c r="CX194" i="12"/>
  <c r="CX245" i="12" s="1"/>
  <c r="CW194" i="12"/>
  <c r="CW245" i="12" s="1"/>
  <c r="CV194" i="12"/>
  <c r="CV245" i="12" s="1"/>
  <c r="CU194" i="12"/>
  <c r="CU245" i="12" s="1"/>
  <c r="CT194" i="12"/>
  <c r="CT245" i="12" s="1"/>
  <c r="CS194" i="12"/>
  <c r="CS245" i="12" s="1"/>
  <c r="CR194" i="12"/>
  <c r="CR245" i="12" s="1"/>
  <c r="CQ194" i="12"/>
  <c r="CQ245" i="12" s="1"/>
  <c r="CP194" i="12"/>
  <c r="CP245" i="12" s="1"/>
  <c r="CO194" i="12"/>
  <c r="CO245" i="12" s="1"/>
  <c r="CN194" i="12"/>
  <c r="CN245" i="12" s="1"/>
  <c r="CM194" i="12"/>
  <c r="CM245" i="12" s="1"/>
  <c r="CL194" i="12"/>
  <c r="CL245" i="12" s="1"/>
  <c r="CK194" i="12"/>
  <c r="CK245" i="12" s="1"/>
  <c r="CJ194" i="12"/>
  <c r="CJ245" i="12" s="1"/>
  <c r="CI194" i="12"/>
  <c r="CI245" i="12" s="1"/>
  <c r="CH194" i="12"/>
  <c r="CH245" i="12" s="1"/>
  <c r="CG194" i="12"/>
  <c r="CG245" i="12" s="1"/>
  <c r="CF194" i="12"/>
  <c r="CF245" i="12" s="1"/>
  <c r="CE194" i="12"/>
  <c r="CE245" i="12" s="1"/>
  <c r="CD194" i="12"/>
  <c r="CD245" i="12" s="1"/>
  <c r="CC194" i="12"/>
  <c r="CC245" i="12" s="1"/>
  <c r="CB194" i="12"/>
  <c r="CB245" i="12" s="1"/>
  <c r="CA194" i="12"/>
  <c r="CA245" i="12" s="1"/>
  <c r="BZ194" i="12"/>
  <c r="BZ245" i="12" s="1"/>
  <c r="BY194" i="12"/>
  <c r="BY245" i="12" s="1"/>
  <c r="BX194" i="12"/>
  <c r="BX245" i="12" s="1"/>
  <c r="BW194" i="12"/>
  <c r="BW245" i="12" s="1"/>
  <c r="BV194" i="12"/>
  <c r="BV245" i="12" s="1"/>
  <c r="BU194" i="12"/>
  <c r="BU245" i="12" s="1"/>
  <c r="BT194" i="12"/>
  <c r="BT245" i="12" s="1"/>
  <c r="BS194" i="12"/>
  <c r="BS245" i="12" s="1"/>
  <c r="BR194" i="12"/>
  <c r="BR245" i="12" s="1"/>
  <c r="BQ194" i="12"/>
  <c r="BQ245" i="12" s="1"/>
  <c r="BP194" i="12"/>
  <c r="BP245" i="12" s="1"/>
  <c r="BO194" i="12"/>
  <c r="BO245" i="12" s="1"/>
  <c r="BN194" i="12"/>
  <c r="BN245" i="12" s="1"/>
  <c r="BM194" i="12"/>
  <c r="BM245" i="12" s="1"/>
  <c r="BL194" i="12"/>
  <c r="BL245" i="12" s="1"/>
  <c r="BK194" i="12"/>
  <c r="BK245" i="12" s="1"/>
  <c r="BJ194" i="12"/>
  <c r="BJ245" i="12" s="1"/>
  <c r="BI194" i="12"/>
  <c r="BI245" i="12" s="1"/>
  <c r="BH194" i="12"/>
  <c r="BH245" i="12" s="1"/>
  <c r="BG194" i="12"/>
  <c r="BG245" i="12" s="1"/>
  <c r="BF194" i="12"/>
  <c r="BF245" i="12" s="1"/>
  <c r="BE194" i="12"/>
  <c r="BE245" i="12" s="1"/>
  <c r="BD194" i="12"/>
  <c r="BD245" i="12" s="1"/>
  <c r="BC194" i="12"/>
  <c r="BC245" i="12" s="1"/>
  <c r="BB194" i="12"/>
  <c r="BB245" i="12" s="1"/>
  <c r="BA194" i="12"/>
  <c r="BA245" i="12" s="1"/>
  <c r="AZ194" i="12"/>
  <c r="AZ245" i="12" s="1"/>
  <c r="AY194" i="12"/>
  <c r="AY245" i="12" s="1"/>
  <c r="AX194" i="12"/>
  <c r="AX245" i="12" s="1"/>
  <c r="AW194" i="12"/>
  <c r="AW245" i="12" s="1"/>
  <c r="AV194" i="12"/>
  <c r="AV245" i="12" s="1"/>
  <c r="AU194" i="12"/>
  <c r="AU245" i="12" s="1"/>
  <c r="AT194" i="12"/>
  <c r="AT245" i="12" s="1"/>
  <c r="AS194" i="12"/>
  <c r="AS245" i="12" s="1"/>
  <c r="AR194" i="12"/>
  <c r="AR245" i="12" s="1"/>
  <c r="AQ194" i="12"/>
  <c r="AQ245" i="12" s="1"/>
  <c r="AP194" i="12"/>
  <c r="AP245" i="12" s="1"/>
  <c r="AO194" i="12"/>
  <c r="AO245" i="12" s="1"/>
  <c r="AN194" i="12"/>
  <c r="AN245" i="12" s="1"/>
  <c r="AM194" i="12"/>
  <c r="AM245" i="12" s="1"/>
  <c r="AL194" i="12"/>
  <c r="AL245" i="12" s="1"/>
  <c r="AK194" i="12"/>
  <c r="AK245" i="12" s="1"/>
  <c r="AJ194" i="12"/>
  <c r="AJ245" i="12" s="1"/>
  <c r="AI194" i="12"/>
  <c r="AI245" i="12" s="1"/>
  <c r="AH194" i="12"/>
  <c r="AH245" i="12" s="1"/>
  <c r="AG194" i="12"/>
  <c r="AG245" i="12" s="1"/>
  <c r="AF194" i="12"/>
  <c r="AF245" i="12" s="1"/>
  <c r="AE194" i="12"/>
  <c r="AE245" i="12" s="1"/>
  <c r="AD194" i="12"/>
  <c r="AD245" i="12" s="1"/>
  <c r="AC194" i="12"/>
  <c r="AC245" i="12" s="1"/>
  <c r="AB194" i="12"/>
  <c r="AB245" i="12" s="1"/>
  <c r="AA194" i="12"/>
  <c r="AA245" i="12" s="1"/>
  <c r="Z194" i="12"/>
  <c r="Z245" i="12" s="1"/>
  <c r="Y194" i="12"/>
  <c r="Y245" i="12" s="1"/>
  <c r="X194" i="12"/>
  <c r="X245" i="12" s="1"/>
  <c r="W194" i="12"/>
  <c r="W245" i="12" s="1"/>
  <c r="V194" i="12"/>
  <c r="V245" i="12" s="1"/>
  <c r="U194" i="12"/>
  <c r="U245" i="12" s="1"/>
  <c r="T194" i="12"/>
  <c r="T245" i="12" s="1"/>
  <c r="S194" i="12"/>
  <c r="S245" i="12" s="1"/>
  <c r="R194" i="12"/>
  <c r="R245" i="12" s="1"/>
  <c r="Q194" i="12"/>
  <c r="Q245" i="12" s="1"/>
  <c r="P194" i="12"/>
  <c r="P245" i="12" s="1"/>
  <c r="O194" i="12"/>
  <c r="O245" i="12" s="1"/>
  <c r="N194" i="12"/>
  <c r="N245" i="12" s="1"/>
  <c r="M194" i="12"/>
  <c r="M245" i="12" s="1"/>
  <c r="L194" i="12"/>
  <c r="L245" i="12" s="1"/>
  <c r="K194" i="12"/>
  <c r="K245" i="12" s="1"/>
  <c r="J194" i="12"/>
  <c r="J245" i="12" s="1"/>
  <c r="I194" i="12"/>
  <c r="I245" i="12" s="1"/>
  <c r="H194" i="12"/>
  <c r="H245" i="12" s="1"/>
  <c r="G194" i="12"/>
  <c r="G245" i="12" s="1"/>
  <c r="F194" i="12"/>
  <c r="F245" i="12" s="1"/>
  <c r="E194" i="12"/>
  <c r="E245" i="12" s="1"/>
  <c r="D194" i="12"/>
  <c r="D245" i="12" s="1"/>
  <c r="CX193" i="12"/>
  <c r="CX244" i="12" s="1"/>
  <c r="CW193" i="12"/>
  <c r="CW244" i="12" s="1"/>
  <c r="CV193" i="12"/>
  <c r="CV244" i="12" s="1"/>
  <c r="CU193" i="12"/>
  <c r="CU244" i="12" s="1"/>
  <c r="CT193" i="12"/>
  <c r="CT244" i="12" s="1"/>
  <c r="CS193" i="12"/>
  <c r="CS244" i="12" s="1"/>
  <c r="CR193" i="12"/>
  <c r="CR244" i="12" s="1"/>
  <c r="CQ193" i="12"/>
  <c r="CQ244" i="12" s="1"/>
  <c r="CP193" i="12"/>
  <c r="CP244" i="12" s="1"/>
  <c r="CO193" i="12"/>
  <c r="CO244" i="12" s="1"/>
  <c r="CN193" i="12"/>
  <c r="CN244" i="12" s="1"/>
  <c r="CM193" i="12"/>
  <c r="CM244" i="12" s="1"/>
  <c r="CL193" i="12"/>
  <c r="CL244" i="12" s="1"/>
  <c r="CK193" i="12"/>
  <c r="CK244" i="12" s="1"/>
  <c r="CJ193" i="12"/>
  <c r="CJ244" i="12" s="1"/>
  <c r="CI193" i="12"/>
  <c r="CI244" i="12" s="1"/>
  <c r="CH193" i="12"/>
  <c r="CH244" i="12" s="1"/>
  <c r="CG193" i="12"/>
  <c r="CG244" i="12" s="1"/>
  <c r="CF193" i="12"/>
  <c r="CF244" i="12" s="1"/>
  <c r="CE193" i="12"/>
  <c r="CE244" i="12" s="1"/>
  <c r="CD193" i="12"/>
  <c r="CD244" i="12" s="1"/>
  <c r="CC193" i="12"/>
  <c r="CC244" i="12" s="1"/>
  <c r="CB193" i="12"/>
  <c r="CB244" i="12" s="1"/>
  <c r="CA193" i="12"/>
  <c r="CA244" i="12" s="1"/>
  <c r="BZ193" i="12"/>
  <c r="BZ244" i="12" s="1"/>
  <c r="BY193" i="12"/>
  <c r="BY244" i="12" s="1"/>
  <c r="BX193" i="12"/>
  <c r="BX244" i="12" s="1"/>
  <c r="BW193" i="12"/>
  <c r="BW244" i="12" s="1"/>
  <c r="BV193" i="12"/>
  <c r="BV244" i="12" s="1"/>
  <c r="BU193" i="12"/>
  <c r="BU244" i="12" s="1"/>
  <c r="BT193" i="12"/>
  <c r="BT244" i="12" s="1"/>
  <c r="BS193" i="12"/>
  <c r="BS244" i="12" s="1"/>
  <c r="BR193" i="12"/>
  <c r="BR244" i="12" s="1"/>
  <c r="BQ193" i="12"/>
  <c r="BQ244" i="12" s="1"/>
  <c r="BP193" i="12"/>
  <c r="BP244" i="12" s="1"/>
  <c r="BO193" i="12"/>
  <c r="BO244" i="12" s="1"/>
  <c r="BN193" i="12"/>
  <c r="BN244" i="12" s="1"/>
  <c r="BM193" i="12"/>
  <c r="BM244" i="12" s="1"/>
  <c r="BL193" i="12"/>
  <c r="BL244" i="12" s="1"/>
  <c r="BK193" i="12"/>
  <c r="BK244" i="12" s="1"/>
  <c r="BJ193" i="12"/>
  <c r="BJ244" i="12" s="1"/>
  <c r="BI193" i="12"/>
  <c r="BI244" i="12" s="1"/>
  <c r="BH193" i="12"/>
  <c r="BH244" i="12" s="1"/>
  <c r="BG193" i="12"/>
  <c r="BG244" i="12" s="1"/>
  <c r="BF193" i="12"/>
  <c r="BF244" i="12" s="1"/>
  <c r="BE193" i="12"/>
  <c r="BE244" i="12" s="1"/>
  <c r="BD193" i="12"/>
  <c r="BD244" i="12" s="1"/>
  <c r="BC193" i="12"/>
  <c r="BC244" i="12" s="1"/>
  <c r="BB193" i="12"/>
  <c r="BB244" i="12" s="1"/>
  <c r="BA193" i="12"/>
  <c r="BA244" i="12" s="1"/>
  <c r="AZ193" i="12"/>
  <c r="AZ244" i="12" s="1"/>
  <c r="AY193" i="12"/>
  <c r="AY244" i="12" s="1"/>
  <c r="AX193" i="12"/>
  <c r="AX244" i="12" s="1"/>
  <c r="AW193" i="12"/>
  <c r="AW244" i="12" s="1"/>
  <c r="AV193" i="12"/>
  <c r="AV244" i="12" s="1"/>
  <c r="AU193" i="12"/>
  <c r="AU244" i="12" s="1"/>
  <c r="AT193" i="12"/>
  <c r="AT244" i="12" s="1"/>
  <c r="AS193" i="12"/>
  <c r="AS244" i="12" s="1"/>
  <c r="AR193" i="12"/>
  <c r="AR244" i="12" s="1"/>
  <c r="AQ193" i="12"/>
  <c r="AQ244" i="12" s="1"/>
  <c r="AP193" i="12"/>
  <c r="AP244" i="12" s="1"/>
  <c r="AO193" i="12"/>
  <c r="AO244" i="12" s="1"/>
  <c r="AN193" i="12"/>
  <c r="AN244" i="12" s="1"/>
  <c r="AM193" i="12"/>
  <c r="AM244" i="12" s="1"/>
  <c r="AL193" i="12"/>
  <c r="AL244" i="12" s="1"/>
  <c r="AK193" i="12"/>
  <c r="AK244" i="12" s="1"/>
  <c r="AJ193" i="12"/>
  <c r="AJ244" i="12" s="1"/>
  <c r="AI193" i="12"/>
  <c r="AI244" i="12" s="1"/>
  <c r="AH193" i="12"/>
  <c r="AH244" i="12" s="1"/>
  <c r="AG193" i="12"/>
  <c r="AG244" i="12" s="1"/>
  <c r="AF193" i="12"/>
  <c r="AF244" i="12" s="1"/>
  <c r="AE193" i="12"/>
  <c r="AE244" i="12" s="1"/>
  <c r="AD193" i="12"/>
  <c r="AD244" i="12" s="1"/>
  <c r="AC193" i="12"/>
  <c r="AC244" i="12" s="1"/>
  <c r="AB193" i="12"/>
  <c r="AB244" i="12" s="1"/>
  <c r="AA193" i="12"/>
  <c r="AA244" i="12" s="1"/>
  <c r="Z193" i="12"/>
  <c r="Z244" i="12" s="1"/>
  <c r="Y193" i="12"/>
  <c r="Y244" i="12" s="1"/>
  <c r="X193" i="12"/>
  <c r="X244" i="12" s="1"/>
  <c r="W193" i="12"/>
  <c r="W244" i="12" s="1"/>
  <c r="V193" i="12"/>
  <c r="V244" i="12" s="1"/>
  <c r="U193" i="12"/>
  <c r="U244" i="12" s="1"/>
  <c r="T193" i="12"/>
  <c r="T244" i="12" s="1"/>
  <c r="S193" i="12"/>
  <c r="S244" i="12" s="1"/>
  <c r="R193" i="12"/>
  <c r="R244" i="12" s="1"/>
  <c r="Q193" i="12"/>
  <c r="Q244" i="12" s="1"/>
  <c r="P193" i="12"/>
  <c r="P244" i="12" s="1"/>
  <c r="O193" i="12"/>
  <c r="O244" i="12" s="1"/>
  <c r="N193" i="12"/>
  <c r="N244" i="12" s="1"/>
  <c r="M193" i="12"/>
  <c r="M244" i="12" s="1"/>
  <c r="L193" i="12"/>
  <c r="L244" i="12" s="1"/>
  <c r="K193" i="12"/>
  <c r="K244" i="12" s="1"/>
  <c r="J193" i="12"/>
  <c r="J244" i="12" s="1"/>
  <c r="I193" i="12"/>
  <c r="I244" i="12" s="1"/>
  <c r="H193" i="12"/>
  <c r="H244" i="12" s="1"/>
  <c r="G193" i="12"/>
  <c r="G244" i="12" s="1"/>
  <c r="F193" i="12"/>
  <c r="F244" i="12" s="1"/>
  <c r="E193" i="12"/>
  <c r="E244" i="12" s="1"/>
  <c r="D193" i="12"/>
  <c r="D244" i="12" s="1"/>
  <c r="CX192" i="12"/>
  <c r="CX243" i="12" s="1"/>
  <c r="CW192" i="12"/>
  <c r="CW243" i="12" s="1"/>
  <c r="CV192" i="12"/>
  <c r="CV243" i="12" s="1"/>
  <c r="CU192" i="12"/>
  <c r="CU243" i="12" s="1"/>
  <c r="CT192" i="12"/>
  <c r="CT243" i="12" s="1"/>
  <c r="CS192" i="12"/>
  <c r="CS243" i="12" s="1"/>
  <c r="CR192" i="12"/>
  <c r="CR243" i="12" s="1"/>
  <c r="CQ192" i="12"/>
  <c r="CQ243" i="12" s="1"/>
  <c r="CP192" i="12"/>
  <c r="CP243" i="12" s="1"/>
  <c r="CO192" i="12"/>
  <c r="CO243" i="12" s="1"/>
  <c r="CN192" i="12"/>
  <c r="CN243" i="12" s="1"/>
  <c r="CM192" i="12"/>
  <c r="CM243" i="12" s="1"/>
  <c r="CL192" i="12"/>
  <c r="CL243" i="12" s="1"/>
  <c r="CK192" i="12"/>
  <c r="CK243" i="12" s="1"/>
  <c r="CJ192" i="12"/>
  <c r="CJ243" i="12" s="1"/>
  <c r="CI192" i="12"/>
  <c r="CI243" i="12" s="1"/>
  <c r="CH192" i="12"/>
  <c r="CH243" i="12" s="1"/>
  <c r="CG192" i="12"/>
  <c r="CG243" i="12" s="1"/>
  <c r="CF192" i="12"/>
  <c r="CF243" i="12" s="1"/>
  <c r="CE192" i="12"/>
  <c r="CE243" i="12" s="1"/>
  <c r="CD192" i="12"/>
  <c r="CD243" i="12" s="1"/>
  <c r="CC192" i="12"/>
  <c r="CC243" i="12" s="1"/>
  <c r="CB192" i="12"/>
  <c r="CB243" i="12" s="1"/>
  <c r="CA192" i="12"/>
  <c r="CA243" i="12" s="1"/>
  <c r="BZ192" i="12"/>
  <c r="BZ243" i="12" s="1"/>
  <c r="BY192" i="12"/>
  <c r="BY243" i="12" s="1"/>
  <c r="BX192" i="12"/>
  <c r="BX243" i="12" s="1"/>
  <c r="BW192" i="12"/>
  <c r="BW243" i="12" s="1"/>
  <c r="BV192" i="12"/>
  <c r="BV243" i="12" s="1"/>
  <c r="BU192" i="12"/>
  <c r="BU243" i="12" s="1"/>
  <c r="BT192" i="12"/>
  <c r="BT243" i="12" s="1"/>
  <c r="BS192" i="12"/>
  <c r="BS243" i="12" s="1"/>
  <c r="BR192" i="12"/>
  <c r="BR243" i="12" s="1"/>
  <c r="BQ192" i="12"/>
  <c r="BQ243" i="12" s="1"/>
  <c r="BP192" i="12"/>
  <c r="BP243" i="12" s="1"/>
  <c r="BO192" i="12"/>
  <c r="BO243" i="12" s="1"/>
  <c r="BN192" i="12"/>
  <c r="BN243" i="12" s="1"/>
  <c r="BM192" i="12"/>
  <c r="BM243" i="12" s="1"/>
  <c r="BL192" i="12"/>
  <c r="BL243" i="12" s="1"/>
  <c r="BK192" i="12"/>
  <c r="BK243" i="12" s="1"/>
  <c r="BJ192" i="12"/>
  <c r="BJ243" i="12" s="1"/>
  <c r="BI192" i="12"/>
  <c r="BI243" i="12" s="1"/>
  <c r="BH192" i="12"/>
  <c r="BH243" i="12" s="1"/>
  <c r="BG192" i="12"/>
  <c r="BG243" i="12" s="1"/>
  <c r="BF192" i="12"/>
  <c r="BF243" i="12" s="1"/>
  <c r="BE192" i="12"/>
  <c r="BE243" i="12" s="1"/>
  <c r="BD192" i="12"/>
  <c r="BD243" i="12" s="1"/>
  <c r="BC192" i="12"/>
  <c r="BC243" i="12" s="1"/>
  <c r="BB192" i="12"/>
  <c r="BB243" i="12" s="1"/>
  <c r="BA192" i="12"/>
  <c r="BA243" i="12" s="1"/>
  <c r="AZ192" i="12"/>
  <c r="AZ243" i="12" s="1"/>
  <c r="AY192" i="12"/>
  <c r="AY243" i="12" s="1"/>
  <c r="AX192" i="12"/>
  <c r="AX243" i="12" s="1"/>
  <c r="AW192" i="12"/>
  <c r="AW243" i="12" s="1"/>
  <c r="AV192" i="12"/>
  <c r="AV243" i="12" s="1"/>
  <c r="AU192" i="12"/>
  <c r="AU243" i="12" s="1"/>
  <c r="AT192" i="12"/>
  <c r="AT243" i="12" s="1"/>
  <c r="AS192" i="12"/>
  <c r="AS243" i="12" s="1"/>
  <c r="AR192" i="12"/>
  <c r="AR243" i="12" s="1"/>
  <c r="AQ192" i="12"/>
  <c r="AQ243" i="12" s="1"/>
  <c r="AP192" i="12"/>
  <c r="AP243" i="12" s="1"/>
  <c r="AO192" i="12"/>
  <c r="AO243" i="12" s="1"/>
  <c r="AN192" i="12"/>
  <c r="AN243" i="12" s="1"/>
  <c r="AM192" i="12"/>
  <c r="AM243" i="12" s="1"/>
  <c r="AL192" i="12"/>
  <c r="AL243" i="12" s="1"/>
  <c r="AK192" i="12"/>
  <c r="AK243" i="12" s="1"/>
  <c r="AJ192" i="12"/>
  <c r="AJ243" i="12" s="1"/>
  <c r="AI192" i="12"/>
  <c r="AI243" i="12" s="1"/>
  <c r="AH192" i="12"/>
  <c r="AH243" i="12" s="1"/>
  <c r="AG192" i="12"/>
  <c r="AG243" i="12" s="1"/>
  <c r="AF192" i="12"/>
  <c r="AF243" i="12" s="1"/>
  <c r="AE192" i="12"/>
  <c r="AE243" i="12" s="1"/>
  <c r="AD192" i="12"/>
  <c r="AD243" i="12" s="1"/>
  <c r="AC192" i="12"/>
  <c r="AC243" i="12" s="1"/>
  <c r="AB192" i="12"/>
  <c r="AB243" i="12" s="1"/>
  <c r="AA192" i="12"/>
  <c r="AA243" i="12" s="1"/>
  <c r="Z192" i="12"/>
  <c r="Z243" i="12" s="1"/>
  <c r="Y192" i="12"/>
  <c r="Y243" i="12" s="1"/>
  <c r="X192" i="12"/>
  <c r="X243" i="12" s="1"/>
  <c r="W192" i="12"/>
  <c r="W243" i="12" s="1"/>
  <c r="V192" i="12"/>
  <c r="V243" i="12" s="1"/>
  <c r="U192" i="12"/>
  <c r="U243" i="12" s="1"/>
  <c r="T192" i="12"/>
  <c r="T243" i="12" s="1"/>
  <c r="S192" i="12"/>
  <c r="S243" i="12" s="1"/>
  <c r="R192" i="12"/>
  <c r="R243" i="12" s="1"/>
  <c r="Q192" i="12"/>
  <c r="Q243" i="12" s="1"/>
  <c r="P192" i="12"/>
  <c r="P243" i="12" s="1"/>
  <c r="O192" i="12"/>
  <c r="O243" i="12" s="1"/>
  <c r="N192" i="12"/>
  <c r="N243" i="12" s="1"/>
  <c r="M192" i="12"/>
  <c r="M243" i="12" s="1"/>
  <c r="L192" i="12"/>
  <c r="L243" i="12" s="1"/>
  <c r="K192" i="12"/>
  <c r="K243" i="12" s="1"/>
  <c r="J192" i="12"/>
  <c r="J243" i="12" s="1"/>
  <c r="I192" i="12"/>
  <c r="I243" i="12" s="1"/>
  <c r="H192" i="12"/>
  <c r="H243" i="12" s="1"/>
  <c r="G192" i="12"/>
  <c r="G243" i="12" s="1"/>
  <c r="F192" i="12"/>
  <c r="F243" i="12" s="1"/>
  <c r="E192" i="12"/>
  <c r="E243" i="12" s="1"/>
  <c r="D192" i="12"/>
  <c r="D243" i="12" s="1"/>
  <c r="CX191" i="12"/>
  <c r="CX242" i="12" s="1"/>
  <c r="CW191" i="12"/>
  <c r="CW242" i="12" s="1"/>
  <c r="CV191" i="12"/>
  <c r="CV242" i="12" s="1"/>
  <c r="CU191" i="12"/>
  <c r="CU242" i="12" s="1"/>
  <c r="CT191" i="12"/>
  <c r="CT242" i="12" s="1"/>
  <c r="CS191" i="12"/>
  <c r="CS242" i="12" s="1"/>
  <c r="CR191" i="12"/>
  <c r="CR242" i="12" s="1"/>
  <c r="CQ191" i="12"/>
  <c r="CQ242" i="12" s="1"/>
  <c r="CP191" i="12"/>
  <c r="CP242" i="12" s="1"/>
  <c r="CO191" i="12"/>
  <c r="CO242" i="12" s="1"/>
  <c r="CN191" i="12"/>
  <c r="CN242" i="12" s="1"/>
  <c r="CM191" i="12"/>
  <c r="CM242" i="12" s="1"/>
  <c r="CL191" i="12"/>
  <c r="CL242" i="12" s="1"/>
  <c r="CK191" i="12"/>
  <c r="CK242" i="12" s="1"/>
  <c r="CJ191" i="12"/>
  <c r="CJ242" i="12" s="1"/>
  <c r="CI191" i="12"/>
  <c r="CI242" i="12" s="1"/>
  <c r="CH191" i="12"/>
  <c r="CH242" i="12" s="1"/>
  <c r="CG191" i="12"/>
  <c r="CG242" i="12" s="1"/>
  <c r="CF191" i="12"/>
  <c r="CF242" i="12" s="1"/>
  <c r="CE191" i="12"/>
  <c r="CE242" i="12" s="1"/>
  <c r="CD191" i="12"/>
  <c r="CD242" i="12" s="1"/>
  <c r="CC191" i="12"/>
  <c r="CC242" i="12" s="1"/>
  <c r="CB191" i="12"/>
  <c r="CB242" i="12" s="1"/>
  <c r="CA191" i="12"/>
  <c r="CA242" i="12" s="1"/>
  <c r="BZ191" i="12"/>
  <c r="BZ242" i="12" s="1"/>
  <c r="BY191" i="12"/>
  <c r="BY242" i="12" s="1"/>
  <c r="BX191" i="12"/>
  <c r="BX242" i="12" s="1"/>
  <c r="BW191" i="12"/>
  <c r="BW242" i="12" s="1"/>
  <c r="BV191" i="12"/>
  <c r="BV242" i="12" s="1"/>
  <c r="BU191" i="12"/>
  <c r="BU242" i="12" s="1"/>
  <c r="BT191" i="12"/>
  <c r="BT242" i="12" s="1"/>
  <c r="BS191" i="12"/>
  <c r="BS242" i="12" s="1"/>
  <c r="BR191" i="12"/>
  <c r="BR242" i="12" s="1"/>
  <c r="BQ191" i="12"/>
  <c r="BQ242" i="12" s="1"/>
  <c r="BP191" i="12"/>
  <c r="BO191" i="12"/>
  <c r="BO242" i="12" s="1"/>
  <c r="BN191" i="12"/>
  <c r="BN242" i="12" s="1"/>
  <c r="BM191" i="12"/>
  <c r="BM242" i="12" s="1"/>
  <c r="BL191" i="12"/>
  <c r="BL242" i="12" s="1"/>
  <c r="BK191" i="12"/>
  <c r="BJ191" i="12"/>
  <c r="BJ242" i="12" s="1"/>
  <c r="BI191" i="12"/>
  <c r="BI242" i="12" s="1"/>
  <c r="BH191" i="12"/>
  <c r="BH242" i="12" s="1"/>
  <c r="BG191" i="12"/>
  <c r="BG242" i="12" s="1"/>
  <c r="BF191" i="12"/>
  <c r="BF242" i="12" s="1"/>
  <c r="BE191" i="12"/>
  <c r="BE242" i="12" s="1"/>
  <c r="BD191" i="12"/>
  <c r="BD242" i="12" s="1"/>
  <c r="BC191" i="12"/>
  <c r="BC242" i="12" s="1"/>
  <c r="BB191" i="12"/>
  <c r="BB242" i="12" s="1"/>
  <c r="BA191" i="12"/>
  <c r="BA242" i="12" s="1"/>
  <c r="AZ191" i="12"/>
  <c r="AZ242" i="12" s="1"/>
  <c r="AY191" i="12"/>
  <c r="AY242" i="12" s="1"/>
  <c r="AX191" i="12"/>
  <c r="AX242" i="12" s="1"/>
  <c r="AW191" i="12"/>
  <c r="AW242" i="12" s="1"/>
  <c r="AV191" i="12"/>
  <c r="AV242" i="12" s="1"/>
  <c r="AU191" i="12"/>
  <c r="AU242" i="12" s="1"/>
  <c r="AT191" i="12"/>
  <c r="AT242" i="12" s="1"/>
  <c r="AS191" i="12"/>
  <c r="AS242" i="12" s="1"/>
  <c r="AR191" i="12"/>
  <c r="AR242" i="12" s="1"/>
  <c r="AQ191" i="12"/>
  <c r="AQ242" i="12" s="1"/>
  <c r="AP191" i="12"/>
  <c r="AP242" i="12" s="1"/>
  <c r="AO191" i="12"/>
  <c r="AO242" i="12" s="1"/>
  <c r="AN191" i="12"/>
  <c r="AN242" i="12" s="1"/>
  <c r="AM191" i="12"/>
  <c r="AM242" i="12" s="1"/>
  <c r="AL191" i="12"/>
  <c r="AL242" i="12" s="1"/>
  <c r="AK191" i="12"/>
  <c r="AK242" i="12" s="1"/>
  <c r="AJ191" i="12"/>
  <c r="AJ242" i="12" s="1"/>
  <c r="AI191" i="12"/>
  <c r="AI242" i="12" s="1"/>
  <c r="AH191" i="12"/>
  <c r="AH242" i="12" s="1"/>
  <c r="AG191" i="12"/>
  <c r="AG242" i="12" s="1"/>
  <c r="AF191" i="12"/>
  <c r="AF242" i="12" s="1"/>
  <c r="AE191" i="12"/>
  <c r="AE242" i="12" s="1"/>
  <c r="AD191" i="12"/>
  <c r="AD242" i="12" s="1"/>
  <c r="AC191" i="12"/>
  <c r="AC242" i="12" s="1"/>
  <c r="AB191" i="12"/>
  <c r="AB242" i="12" s="1"/>
  <c r="AA191" i="12"/>
  <c r="AA242" i="12" s="1"/>
  <c r="Z191" i="12"/>
  <c r="Z242" i="12" s="1"/>
  <c r="Y191" i="12"/>
  <c r="Y242" i="12" s="1"/>
  <c r="X191" i="12"/>
  <c r="X242" i="12" s="1"/>
  <c r="W191" i="12"/>
  <c r="W242" i="12" s="1"/>
  <c r="V191" i="12"/>
  <c r="V242" i="12" s="1"/>
  <c r="U191" i="12"/>
  <c r="U242" i="12" s="1"/>
  <c r="T191" i="12"/>
  <c r="T242" i="12" s="1"/>
  <c r="S191" i="12"/>
  <c r="S242" i="12" s="1"/>
  <c r="R191" i="12"/>
  <c r="R242" i="12" s="1"/>
  <c r="Q191" i="12"/>
  <c r="Q242" i="12" s="1"/>
  <c r="P191" i="12"/>
  <c r="P242" i="12" s="1"/>
  <c r="O191" i="12"/>
  <c r="O242" i="12" s="1"/>
  <c r="N191" i="12"/>
  <c r="N242" i="12" s="1"/>
  <c r="M191" i="12"/>
  <c r="M242" i="12" s="1"/>
  <c r="L191" i="12"/>
  <c r="L242" i="12" s="1"/>
  <c r="K191" i="12"/>
  <c r="K242" i="12" s="1"/>
  <c r="J191" i="12"/>
  <c r="J242" i="12" s="1"/>
  <c r="I191" i="12"/>
  <c r="I242" i="12" s="1"/>
  <c r="H191" i="12"/>
  <c r="H242" i="12" s="1"/>
  <c r="G191" i="12"/>
  <c r="G242" i="12" s="1"/>
  <c r="F191" i="12"/>
  <c r="F242" i="12" s="1"/>
  <c r="E191" i="12"/>
  <c r="E242" i="12" s="1"/>
  <c r="D191" i="12"/>
  <c r="D242" i="12" s="1"/>
  <c r="CX184" i="12"/>
  <c r="CW184" i="12"/>
  <c r="CV184" i="12"/>
  <c r="CU184" i="12"/>
  <c r="CT184" i="12"/>
  <c r="CS184" i="12"/>
  <c r="CR184" i="12"/>
  <c r="CQ184" i="12"/>
  <c r="CP184" i="12"/>
  <c r="CO184" i="12"/>
  <c r="CN184" i="12"/>
  <c r="CM184" i="12"/>
  <c r="CL184" i="12"/>
  <c r="CK184" i="12"/>
  <c r="CJ184" i="12"/>
  <c r="CI184" i="12"/>
  <c r="CH184" i="12"/>
  <c r="CG184" i="12"/>
  <c r="CF184" i="12"/>
  <c r="CE184" i="12"/>
  <c r="CD184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BC184" i="12"/>
  <c r="BB184" i="12"/>
  <c r="BA184" i="12"/>
  <c r="AZ184" i="12"/>
  <c r="AY184" i="12"/>
  <c r="AX184" i="12"/>
  <c r="AW184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J184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K184" i="12"/>
  <c r="J184" i="12"/>
  <c r="I184" i="12"/>
  <c r="H184" i="12"/>
  <c r="G184" i="12"/>
  <c r="F184" i="12"/>
  <c r="E184" i="12"/>
  <c r="D184" i="12"/>
  <c r="CX183" i="12"/>
  <c r="CW183" i="12"/>
  <c r="CV183" i="12"/>
  <c r="CU183" i="12"/>
  <c r="CT183" i="12"/>
  <c r="CS183" i="12"/>
  <c r="CR183" i="12"/>
  <c r="CQ183" i="12"/>
  <c r="CP183" i="12"/>
  <c r="CO183" i="12"/>
  <c r="CN183" i="12"/>
  <c r="CM183" i="12"/>
  <c r="CL183" i="12"/>
  <c r="CK183" i="12"/>
  <c r="CJ183" i="12"/>
  <c r="CI183" i="12"/>
  <c r="CH183" i="12"/>
  <c r="CG183" i="12"/>
  <c r="CF183" i="12"/>
  <c r="CE183" i="12"/>
  <c r="CD183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BC183" i="12"/>
  <c r="BB183" i="12"/>
  <c r="BA183" i="12"/>
  <c r="AZ183" i="12"/>
  <c r="AY183" i="12"/>
  <c r="AX183" i="12"/>
  <c r="AW183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J183" i="12"/>
  <c r="AI183" i="12"/>
  <c r="AH183" i="12"/>
  <c r="AG183" i="12"/>
  <c r="AF183" i="12"/>
  <c r="AE183" i="12"/>
  <c r="AD183" i="12"/>
  <c r="AC183" i="12"/>
  <c r="AB183" i="12"/>
  <c r="AA183" i="12"/>
  <c r="Z183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K183" i="12"/>
  <c r="J183" i="12"/>
  <c r="I183" i="12"/>
  <c r="H183" i="12"/>
  <c r="G183" i="12"/>
  <c r="F183" i="12"/>
  <c r="E183" i="12"/>
  <c r="D183" i="12"/>
  <c r="CX182" i="12"/>
  <c r="CW182" i="12"/>
  <c r="CV182" i="12"/>
  <c r="CU182" i="12"/>
  <c r="CT182" i="12"/>
  <c r="CS182" i="12"/>
  <c r="CR182" i="12"/>
  <c r="CQ182" i="12"/>
  <c r="CP182" i="12"/>
  <c r="CO182" i="12"/>
  <c r="CN182" i="12"/>
  <c r="CM182" i="12"/>
  <c r="CL182" i="12"/>
  <c r="CK182" i="12"/>
  <c r="CJ182" i="12"/>
  <c r="CI182" i="12"/>
  <c r="CH182" i="12"/>
  <c r="CG182" i="12"/>
  <c r="CF182" i="12"/>
  <c r="CE182" i="12"/>
  <c r="CD182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BC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M182" i="12"/>
  <c r="AL182" i="12"/>
  <c r="AK182" i="12"/>
  <c r="AJ182" i="12"/>
  <c r="AI182" i="12"/>
  <c r="AH182" i="12"/>
  <c r="AG182" i="12"/>
  <c r="AF182" i="12"/>
  <c r="AE182" i="12"/>
  <c r="AD182" i="12"/>
  <c r="AC182" i="12"/>
  <c r="AB182" i="12"/>
  <c r="AA182" i="12"/>
  <c r="Z182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K182" i="12"/>
  <c r="J182" i="12"/>
  <c r="I182" i="12"/>
  <c r="H182" i="12"/>
  <c r="G182" i="12"/>
  <c r="F182" i="12"/>
  <c r="E182" i="12"/>
  <c r="D182" i="12"/>
  <c r="CX181" i="12"/>
  <c r="CW181" i="12"/>
  <c r="CV181" i="12"/>
  <c r="CU181" i="12"/>
  <c r="CT181" i="12"/>
  <c r="CS181" i="12"/>
  <c r="CR181" i="12"/>
  <c r="CQ181" i="12"/>
  <c r="CP181" i="12"/>
  <c r="CO181" i="12"/>
  <c r="CN181" i="12"/>
  <c r="CM181" i="12"/>
  <c r="CL181" i="12"/>
  <c r="CK181" i="12"/>
  <c r="CJ181" i="12"/>
  <c r="CI181" i="12"/>
  <c r="CH181" i="12"/>
  <c r="CG181" i="12"/>
  <c r="CF181" i="12"/>
  <c r="CE181" i="12"/>
  <c r="CD181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BC181" i="12"/>
  <c r="BB181" i="12"/>
  <c r="BA181" i="12"/>
  <c r="AZ181" i="12"/>
  <c r="AY181" i="12"/>
  <c r="AX181" i="12"/>
  <c r="AW181" i="12"/>
  <c r="AV181" i="12"/>
  <c r="AU181" i="12"/>
  <c r="AT181" i="12"/>
  <c r="AS181" i="12"/>
  <c r="AR181" i="12"/>
  <c r="AQ181" i="12"/>
  <c r="AP181" i="12"/>
  <c r="AO181" i="12"/>
  <c r="AN181" i="12"/>
  <c r="AM181" i="12"/>
  <c r="AL181" i="12"/>
  <c r="AK181" i="12"/>
  <c r="AJ181" i="12"/>
  <c r="AI181" i="12"/>
  <c r="AH181" i="12"/>
  <c r="AG181" i="12"/>
  <c r="AF181" i="12"/>
  <c r="AE181" i="12"/>
  <c r="AD181" i="12"/>
  <c r="AC181" i="12"/>
  <c r="AB181" i="12"/>
  <c r="AA181" i="12"/>
  <c r="Z181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K181" i="12"/>
  <c r="J181" i="12"/>
  <c r="I181" i="12"/>
  <c r="H181" i="12"/>
  <c r="G181" i="12"/>
  <c r="F181" i="12"/>
  <c r="E181" i="12"/>
  <c r="D181" i="12"/>
  <c r="CX180" i="12"/>
  <c r="CW180" i="12"/>
  <c r="CV180" i="12"/>
  <c r="CU180" i="12"/>
  <c r="CT180" i="12"/>
  <c r="CS180" i="12"/>
  <c r="CR180" i="12"/>
  <c r="CQ180" i="12"/>
  <c r="CP180" i="12"/>
  <c r="CO180" i="12"/>
  <c r="CN180" i="12"/>
  <c r="CM180" i="12"/>
  <c r="CL180" i="12"/>
  <c r="CK180" i="12"/>
  <c r="CJ180" i="12"/>
  <c r="CI180" i="12"/>
  <c r="CH180" i="12"/>
  <c r="CG180" i="12"/>
  <c r="CF180" i="12"/>
  <c r="CE180" i="12"/>
  <c r="CD180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BC180" i="12"/>
  <c r="BB180" i="12"/>
  <c r="BA180" i="12"/>
  <c r="AZ180" i="12"/>
  <c r="AY180" i="12"/>
  <c r="AX180" i="12"/>
  <c r="AW180" i="12"/>
  <c r="AV180" i="12"/>
  <c r="AU180" i="12"/>
  <c r="AT180" i="12"/>
  <c r="AS180" i="12"/>
  <c r="AR180" i="12"/>
  <c r="AQ180" i="12"/>
  <c r="AP180" i="12"/>
  <c r="AO180" i="12"/>
  <c r="AN180" i="12"/>
  <c r="AM180" i="12"/>
  <c r="AL180" i="12"/>
  <c r="AK180" i="12"/>
  <c r="AJ180" i="12"/>
  <c r="AI180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K180" i="12"/>
  <c r="J180" i="12"/>
  <c r="I180" i="12"/>
  <c r="H180" i="12"/>
  <c r="G180" i="12"/>
  <c r="F180" i="12"/>
  <c r="E180" i="12"/>
  <c r="D180" i="12"/>
  <c r="CX134" i="12"/>
  <c r="CX161" i="12" s="1"/>
  <c r="CW134" i="12"/>
  <c r="CW161" i="12" s="1"/>
  <c r="CV134" i="12"/>
  <c r="CV161" i="12" s="1"/>
  <c r="CU134" i="12"/>
  <c r="CU161" i="12" s="1"/>
  <c r="CT134" i="12"/>
  <c r="CT161" i="12" s="1"/>
  <c r="CS134" i="12"/>
  <c r="CS161" i="12" s="1"/>
  <c r="CR134" i="12"/>
  <c r="CR161" i="12" s="1"/>
  <c r="CQ134" i="12"/>
  <c r="CQ161" i="12" s="1"/>
  <c r="CP134" i="12"/>
  <c r="CP161" i="12" s="1"/>
  <c r="CO134" i="12"/>
  <c r="CO161" i="12" s="1"/>
  <c r="CN134" i="12"/>
  <c r="CN161" i="12" s="1"/>
  <c r="CM134" i="12"/>
  <c r="CM161" i="12" s="1"/>
  <c r="CL134" i="12"/>
  <c r="CL161" i="12" s="1"/>
  <c r="CK134" i="12"/>
  <c r="CK161" i="12" s="1"/>
  <c r="CJ134" i="12"/>
  <c r="CJ161" i="12" s="1"/>
  <c r="CI134" i="12"/>
  <c r="CI161" i="12" s="1"/>
  <c r="CH134" i="12"/>
  <c r="CH161" i="12" s="1"/>
  <c r="CG134" i="12"/>
  <c r="CG161" i="12" s="1"/>
  <c r="CF134" i="12"/>
  <c r="CF161" i="12" s="1"/>
  <c r="CE134" i="12"/>
  <c r="CE161" i="12" s="1"/>
  <c r="CD134" i="12"/>
  <c r="CD161" i="12" s="1"/>
  <c r="CC134" i="12"/>
  <c r="CC161" i="12" s="1"/>
  <c r="CB134" i="12"/>
  <c r="CB161" i="12" s="1"/>
  <c r="CA134" i="12"/>
  <c r="CA161" i="12" s="1"/>
  <c r="BZ134" i="12"/>
  <c r="BZ161" i="12" s="1"/>
  <c r="BY134" i="12"/>
  <c r="BY161" i="12" s="1"/>
  <c r="BX134" i="12"/>
  <c r="BX161" i="12" s="1"/>
  <c r="BW134" i="12"/>
  <c r="BW161" i="12" s="1"/>
  <c r="BV134" i="12"/>
  <c r="BV161" i="12" s="1"/>
  <c r="BU134" i="12"/>
  <c r="BU161" i="12" s="1"/>
  <c r="BT134" i="12"/>
  <c r="BT161" i="12" s="1"/>
  <c r="BS134" i="12"/>
  <c r="BS161" i="12" s="1"/>
  <c r="BR134" i="12"/>
  <c r="BR161" i="12" s="1"/>
  <c r="BQ134" i="12"/>
  <c r="BQ161" i="12" s="1"/>
  <c r="BP134" i="12"/>
  <c r="BP161" i="12" s="1"/>
  <c r="BO134" i="12"/>
  <c r="BO161" i="12" s="1"/>
  <c r="BN134" i="12"/>
  <c r="BN161" i="12" s="1"/>
  <c r="BM134" i="12"/>
  <c r="BM161" i="12" s="1"/>
  <c r="BL134" i="12"/>
  <c r="BL161" i="12" s="1"/>
  <c r="BK134" i="12"/>
  <c r="BK161" i="12" s="1"/>
  <c r="BJ134" i="12"/>
  <c r="BJ161" i="12" s="1"/>
  <c r="BI134" i="12"/>
  <c r="BI161" i="12" s="1"/>
  <c r="BH134" i="12"/>
  <c r="BH161" i="12" s="1"/>
  <c r="BG134" i="12"/>
  <c r="BG161" i="12" s="1"/>
  <c r="BF134" i="12"/>
  <c r="BF161" i="12" s="1"/>
  <c r="BE134" i="12"/>
  <c r="BE161" i="12" s="1"/>
  <c r="BD134" i="12"/>
  <c r="BD161" i="12" s="1"/>
  <c r="BC134" i="12"/>
  <c r="BC161" i="12" s="1"/>
  <c r="BB134" i="12"/>
  <c r="BB161" i="12" s="1"/>
  <c r="BA134" i="12"/>
  <c r="BA161" i="12" s="1"/>
  <c r="AZ134" i="12"/>
  <c r="AZ161" i="12" s="1"/>
  <c r="AY134" i="12"/>
  <c r="AY161" i="12" s="1"/>
  <c r="AX134" i="12"/>
  <c r="AX161" i="12" s="1"/>
  <c r="AW134" i="12"/>
  <c r="AW161" i="12" s="1"/>
  <c r="AV134" i="12"/>
  <c r="AV161" i="12" s="1"/>
  <c r="AU134" i="12"/>
  <c r="AU161" i="12" s="1"/>
  <c r="AT134" i="12"/>
  <c r="AT161" i="12" s="1"/>
  <c r="AS134" i="12"/>
  <c r="AS161" i="12" s="1"/>
  <c r="AR134" i="12"/>
  <c r="AR161" i="12" s="1"/>
  <c r="AQ134" i="12"/>
  <c r="AQ161" i="12" s="1"/>
  <c r="AP134" i="12"/>
  <c r="AP161" i="12" s="1"/>
  <c r="AO134" i="12"/>
  <c r="AO161" i="12" s="1"/>
  <c r="AN134" i="12"/>
  <c r="AN161" i="12" s="1"/>
  <c r="AM134" i="12"/>
  <c r="AM161" i="12" s="1"/>
  <c r="AL134" i="12"/>
  <c r="AL161" i="12" s="1"/>
  <c r="AK134" i="12"/>
  <c r="AK161" i="12" s="1"/>
  <c r="AJ134" i="12"/>
  <c r="AJ161" i="12" s="1"/>
  <c r="AI134" i="12"/>
  <c r="AI161" i="12" s="1"/>
  <c r="AH134" i="12"/>
  <c r="AH161" i="12" s="1"/>
  <c r="AG134" i="12"/>
  <c r="AG161" i="12" s="1"/>
  <c r="AF134" i="12"/>
  <c r="AF161" i="12" s="1"/>
  <c r="AE134" i="12"/>
  <c r="AE161" i="12" s="1"/>
  <c r="AD134" i="12"/>
  <c r="AD161" i="12" s="1"/>
  <c r="AC134" i="12"/>
  <c r="AC161" i="12" s="1"/>
  <c r="AB134" i="12"/>
  <c r="AB161" i="12" s="1"/>
  <c r="AA134" i="12"/>
  <c r="AA161" i="12" s="1"/>
  <c r="Z134" i="12"/>
  <c r="Z161" i="12" s="1"/>
  <c r="Y134" i="12"/>
  <c r="Y161" i="12" s="1"/>
  <c r="X134" i="12"/>
  <c r="X161" i="12" s="1"/>
  <c r="W134" i="12"/>
  <c r="W161" i="12" s="1"/>
  <c r="V134" i="12"/>
  <c r="V161" i="12" s="1"/>
  <c r="U134" i="12"/>
  <c r="U161" i="12" s="1"/>
  <c r="T134" i="12"/>
  <c r="T161" i="12" s="1"/>
  <c r="S134" i="12"/>
  <c r="S161" i="12" s="1"/>
  <c r="R134" i="12"/>
  <c r="R161" i="12" s="1"/>
  <c r="Q134" i="12"/>
  <c r="Q161" i="12" s="1"/>
  <c r="P134" i="12"/>
  <c r="P161" i="12" s="1"/>
  <c r="O134" i="12"/>
  <c r="O161" i="12" s="1"/>
  <c r="N134" i="12"/>
  <c r="N161" i="12" s="1"/>
  <c r="M134" i="12"/>
  <c r="M161" i="12" s="1"/>
  <c r="L134" i="12"/>
  <c r="L161" i="12" s="1"/>
  <c r="K134" i="12"/>
  <c r="K161" i="12" s="1"/>
  <c r="J134" i="12"/>
  <c r="J161" i="12" s="1"/>
  <c r="I134" i="12"/>
  <c r="I161" i="12" s="1"/>
  <c r="H134" i="12"/>
  <c r="H161" i="12" s="1"/>
  <c r="G134" i="12"/>
  <c r="G161" i="12" s="1"/>
  <c r="F134" i="12"/>
  <c r="F161" i="12" s="1"/>
  <c r="E134" i="12"/>
  <c r="E161" i="12" s="1"/>
  <c r="D134" i="12"/>
  <c r="D161" i="12" s="1"/>
  <c r="CX133" i="12"/>
  <c r="CW133" i="12"/>
  <c r="CV133" i="12"/>
  <c r="CU133" i="12"/>
  <c r="CT133" i="12"/>
  <c r="CS133" i="12"/>
  <c r="CR133" i="12"/>
  <c r="CQ133" i="12"/>
  <c r="CP133" i="12"/>
  <c r="CO133" i="12"/>
  <c r="CN133" i="12"/>
  <c r="CM133" i="12"/>
  <c r="CL133" i="12"/>
  <c r="CK133" i="12"/>
  <c r="CJ133" i="12"/>
  <c r="CI133" i="12"/>
  <c r="CH133" i="12"/>
  <c r="CG133" i="12"/>
  <c r="CF133" i="12"/>
  <c r="CE133" i="12"/>
  <c r="CD133" i="12"/>
  <c r="CC133" i="12"/>
  <c r="CB133" i="12"/>
  <c r="CA133" i="12"/>
  <c r="BZ133" i="12"/>
  <c r="BY133" i="12"/>
  <c r="BX133" i="12"/>
  <c r="BW133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E133" i="12"/>
  <c r="BD133" i="12"/>
  <c r="BC133" i="12"/>
  <c r="BB133" i="12"/>
  <c r="BA133" i="12"/>
  <c r="AZ133" i="12"/>
  <c r="AY133" i="12"/>
  <c r="AX133" i="12"/>
  <c r="AW133" i="12"/>
  <c r="AV133" i="12"/>
  <c r="AU133" i="12"/>
  <c r="AT133" i="12"/>
  <c r="AS133" i="12"/>
  <c r="AR133" i="12"/>
  <c r="AQ133" i="12"/>
  <c r="AP133" i="12"/>
  <c r="AO133" i="12"/>
  <c r="AN133" i="12"/>
  <c r="AM133" i="12"/>
  <c r="AL133" i="12"/>
  <c r="AK133" i="12"/>
  <c r="AJ133" i="12"/>
  <c r="AI133" i="12"/>
  <c r="AH133" i="12"/>
  <c r="AG133" i="12"/>
  <c r="AF133" i="12"/>
  <c r="AE133" i="12"/>
  <c r="AD133" i="12"/>
  <c r="AC133" i="12"/>
  <c r="AB133" i="12"/>
  <c r="AA133" i="12"/>
  <c r="Z133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CX132" i="12"/>
  <c r="CW132" i="12"/>
  <c r="CV132" i="12"/>
  <c r="CU132" i="12"/>
  <c r="CT132" i="12"/>
  <c r="CS132" i="12"/>
  <c r="CR132" i="12"/>
  <c r="CQ132" i="12"/>
  <c r="CP132" i="12"/>
  <c r="CO132" i="12"/>
  <c r="CN132" i="12"/>
  <c r="CM132" i="12"/>
  <c r="CL132" i="12"/>
  <c r="CK132" i="12"/>
  <c r="CJ132" i="12"/>
  <c r="CI132" i="12"/>
  <c r="CH132" i="12"/>
  <c r="CG132" i="12"/>
  <c r="CF132" i="12"/>
  <c r="CE132" i="12"/>
  <c r="CD132" i="12"/>
  <c r="CC132" i="12"/>
  <c r="CB132" i="12"/>
  <c r="CA132" i="12"/>
  <c r="BZ132" i="12"/>
  <c r="BY132" i="12"/>
  <c r="BX132" i="12"/>
  <c r="BW132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E132" i="12"/>
  <c r="BD132" i="12"/>
  <c r="BC132" i="12"/>
  <c r="BB132" i="12"/>
  <c r="BA132" i="12"/>
  <c r="AZ132" i="12"/>
  <c r="AY132" i="12"/>
  <c r="AX132" i="12"/>
  <c r="AW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J132" i="12"/>
  <c r="AI132" i="12"/>
  <c r="AH132" i="12"/>
  <c r="AG132" i="12"/>
  <c r="AF132" i="12"/>
  <c r="AE132" i="12"/>
  <c r="AD132" i="12"/>
  <c r="AC132" i="12"/>
  <c r="AB132" i="12"/>
  <c r="AA132" i="12"/>
  <c r="Z132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CX131" i="12"/>
  <c r="CW131" i="12"/>
  <c r="CV131" i="12"/>
  <c r="CU131" i="12"/>
  <c r="CT131" i="12"/>
  <c r="CS131" i="12"/>
  <c r="CR131" i="12"/>
  <c r="CQ131" i="12"/>
  <c r="CP131" i="12"/>
  <c r="CO131" i="12"/>
  <c r="CN131" i="12"/>
  <c r="CM131" i="12"/>
  <c r="CL131" i="12"/>
  <c r="CK131" i="12"/>
  <c r="CJ131" i="12"/>
  <c r="CI131" i="12"/>
  <c r="CH131" i="12"/>
  <c r="CG131" i="12"/>
  <c r="CF131" i="12"/>
  <c r="CE131" i="12"/>
  <c r="CD131" i="12"/>
  <c r="CC131" i="12"/>
  <c r="CB131" i="12"/>
  <c r="CA131" i="12"/>
  <c r="BZ131" i="12"/>
  <c r="BY131" i="12"/>
  <c r="BX131" i="12"/>
  <c r="BW131" i="12"/>
  <c r="BV131" i="12"/>
  <c r="BU131" i="12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E131" i="12"/>
  <c r="BD131" i="12"/>
  <c r="BC131" i="12"/>
  <c r="BB131" i="12"/>
  <c r="BA131" i="12"/>
  <c r="AZ131" i="12"/>
  <c r="AY131" i="12"/>
  <c r="AX131" i="12"/>
  <c r="AW131" i="12"/>
  <c r="AV131" i="12"/>
  <c r="AU131" i="12"/>
  <c r="AT131" i="12"/>
  <c r="AS131" i="12"/>
  <c r="AR131" i="12"/>
  <c r="AQ131" i="12"/>
  <c r="AP131" i="12"/>
  <c r="AO131" i="12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CX130" i="12"/>
  <c r="CW130" i="12"/>
  <c r="CV130" i="12"/>
  <c r="CU130" i="12"/>
  <c r="CT130" i="12"/>
  <c r="CS130" i="12"/>
  <c r="CR130" i="12"/>
  <c r="CQ130" i="12"/>
  <c r="CP130" i="12"/>
  <c r="CO130" i="12"/>
  <c r="CN130" i="12"/>
  <c r="CM130" i="12"/>
  <c r="CL130" i="12"/>
  <c r="CK130" i="12"/>
  <c r="CJ130" i="12"/>
  <c r="CI130" i="12"/>
  <c r="CH130" i="12"/>
  <c r="CG130" i="12"/>
  <c r="CF130" i="12"/>
  <c r="CE130" i="12"/>
  <c r="CD130" i="12"/>
  <c r="CC130" i="12"/>
  <c r="CB130" i="12"/>
  <c r="CA130" i="12"/>
  <c r="BZ130" i="12"/>
  <c r="BY130" i="12"/>
  <c r="BX130" i="12"/>
  <c r="BW130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E130" i="12"/>
  <c r="BD130" i="12"/>
  <c r="BC130" i="12"/>
  <c r="BB130" i="12"/>
  <c r="BA130" i="12"/>
  <c r="AZ130" i="12"/>
  <c r="AY130" i="12"/>
  <c r="AX130" i="12"/>
  <c r="AW130" i="12"/>
  <c r="AV130" i="12"/>
  <c r="AU130" i="12"/>
  <c r="AT130" i="12"/>
  <c r="AS130" i="12"/>
  <c r="AR130" i="12"/>
  <c r="AQ130" i="12"/>
  <c r="AP130" i="12"/>
  <c r="AO130" i="12"/>
  <c r="AN130" i="12"/>
  <c r="AM130" i="12"/>
  <c r="AL130" i="12"/>
  <c r="AK130" i="12"/>
  <c r="AJ130" i="12"/>
  <c r="AI130" i="12"/>
  <c r="AH130" i="12"/>
  <c r="AG130" i="12"/>
  <c r="AF130" i="12"/>
  <c r="AE130" i="12"/>
  <c r="AD130" i="12"/>
  <c r="AC130" i="12"/>
  <c r="AB130" i="12"/>
  <c r="AA130" i="12"/>
  <c r="Z130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CX129" i="12"/>
  <c r="CW129" i="12"/>
  <c r="CV129" i="12"/>
  <c r="CU129" i="12"/>
  <c r="CT129" i="12"/>
  <c r="CS129" i="12"/>
  <c r="CR129" i="12"/>
  <c r="CQ129" i="12"/>
  <c r="CP129" i="12"/>
  <c r="CO129" i="12"/>
  <c r="CN129" i="12"/>
  <c r="CM129" i="12"/>
  <c r="CL129" i="12"/>
  <c r="CK129" i="12"/>
  <c r="CJ129" i="12"/>
  <c r="CI129" i="12"/>
  <c r="CH129" i="12"/>
  <c r="CG129" i="12"/>
  <c r="CF129" i="12"/>
  <c r="CE129" i="12"/>
  <c r="CD129" i="12"/>
  <c r="CC129" i="12"/>
  <c r="CB129" i="12"/>
  <c r="CA129" i="12"/>
  <c r="BZ129" i="12"/>
  <c r="BY129" i="12"/>
  <c r="BX129" i="12"/>
  <c r="BW129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E129" i="12"/>
  <c r="BD129" i="12"/>
  <c r="BC129" i="12"/>
  <c r="BB129" i="12"/>
  <c r="BA129" i="12"/>
  <c r="AZ129" i="12"/>
  <c r="AY129" i="12"/>
  <c r="AX129" i="12"/>
  <c r="AW129" i="12"/>
  <c r="AV129" i="12"/>
  <c r="AU129" i="12"/>
  <c r="AT129" i="12"/>
  <c r="AS129" i="12"/>
  <c r="AR129" i="12"/>
  <c r="AQ129" i="12"/>
  <c r="AP129" i="12"/>
  <c r="AO129" i="12"/>
  <c r="AN129" i="12"/>
  <c r="AM129" i="12"/>
  <c r="AL129" i="12"/>
  <c r="AK129" i="12"/>
  <c r="AJ129" i="12"/>
  <c r="AI129" i="12"/>
  <c r="AH129" i="12"/>
  <c r="AG129" i="12"/>
  <c r="AF129" i="12"/>
  <c r="AE129" i="12"/>
  <c r="AD129" i="12"/>
  <c r="AC129" i="12"/>
  <c r="AB129" i="12"/>
  <c r="AA129" i="12"/>
  <c r="Z129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X128" i="12"/>
  <c r="CW128" i="12"/>
  <c r="CV128" i="12"/>
  <c r="CU128" i="12"/>
  <c r="CT128" i="12"/>
  <c r="CS128" i="12"/>
  <c r="CR128" i="12"/>
  <c r="CQ128" i="12"/>
  <c r="CP128" i="12"/>
  <c r="CO128" i="12"/>
  <c r="CN128" i="12"/>
  <c r="CM128" i="12"/>
  <c r="CL128" i="12"/>
  <c r="CK128" i="12"/>
  <c r="CJ128" i="12"/>
  <c r="CI128" i="12"/>
  <c r="CH128" i="12"/>
  <c r="CG128" i="12"/>
  <c r="CF128" i="12"/>
  <c r="CE128" i="12"/>
  <c r="CD128" i="12"/>
  <c r="CC128" i="12"/>
  <c r="CB128" i="12"/>
  <c r="CA128" i="12"/>
  <c r="BZ128" i="12"/>
  <c r="BY128" i="12"/>
  <c r="BX128" i="12"/>
  <c r="BW128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E128" i="12"/>
  <c r="BD128" i="12"/>
  <c r="BC128" i="12"/>
  <c r="BB128" i="12"/>
  <c r="BA128" i="12"/>
  <c r="AZ128" i="12"/>
  <c r="AY128" i="12"/>
  <c r="AX128" i="12"/>
  <c r="AW128" i="12"/>
  <c r="AV128" i="12"/>
  <c r="AU128" i="12"/>
  <c r="AT128" i="12"/>
  <c r="AS128" i="12"/>
  <c r="AR128" i="12"/>
  <c r="AQ128" i="12"/>
  <c r="AP128" i="12"/>
  <c r="AO128" i="12"/>
  <c r="AN128" i="12"/>
  <c r="AM128" i="12"/>
  <c r="AL128" i="12"/>
  <c r="AK128" i="12"/>
  <c r="AJ128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CX127" i="12"/>
  <c r="CW127" i="12"/>
  <c r="CV127" i="12"/>
  <c r="CU127" i="12"/>
  <c r="CT127" i="12"/>
  <c r="CS127" i="12"/>
  <c r="CR127" i="12"/>
  <c r="CQ127" i="12"/>
  <c r="CP127" i="12"/>
  <c r="CO127" i="12"/>
  <c r="CN127" i="12"/>
  <c r="CM127" i="12"/>
  <c r="CL127" i="12"/>
  <c r="CK127" i="12"/>
  <c r="CJ127" i="12"/>
  <c r="CI127" i="12"/>
  <c r="CH127" i="12"/>
  <c r="CG127" i="12"/>
  <c r="CF127" i="12"/>
  <c r="CE127" i="12"/>
  <c r="CD127" i="12"/>
  <c r="CC127" i="12"/>
  <c r="CB127" i="12"/>
  <c r="CA127" i="12"/>
  <c r="BZ127" i="12"/>
  <c r="BY127" i="12"/>
  <c r="BX127" i="12"/>
  <c r="BW127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E127" i="12"/>
  <c r="BD127" i="12"/>
  <c r="BC127" i="12"/>
  <c r="BB127" i="12"/>
  <c r="BA127" i="12"/>
  <c r="AZ127" i="12"/>
  <c r="AY127" i="12"/>
  <c r="AX127" i="12"/>
  <c r="AW127" i="12"/>
  <c r="AV127" i="12"/>
  <c r="AU127" i="12"/>
  <c r="AT127" i="12"/>
  <c r="AS127" i="12"/>
  <c r="AR127" i="12"/>
  <c r="AQ127" i="12"/>
  <c r="AP127" i="12"/>
  <c r="AO127" i="12"/>
  <c r="AN127" i="12"/>
  <c r="AM127" i="12"/>
  <c r="AL127" i="12"/>
  <c r="AK127" i="12"/>
  <c r="AJ127" i="12"/>
  <c r="AI127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CX126" i="12"/>
  <c r="CW126" i="12"/>
  <c r="CV126" i="12"/>
  <c r="CU126" i="12"/>
  <c r="CT126" i="12"/>
  <c r="CS126" i="12"/>
  <c r="CR126" i="12"/>
  <c r="CQ126" i="12"/>
  <c r="CP126" i="12"/>
  <c r="CO126" i="12"/>
  <c r="CN126" i="12"/>
  <c r="CM126" i="12"/>
  <c r="CL126" i="12"/>
  <c r="CK126" i="12"/>
  <c r="CJ126" i="12"/>
  <c r="CI126" i="12"/>
  <c r="CH126" i="12"/>
  <c r="CG126" i="12"/>
  <c r="CF126" i="12"/>
  <c r="CE126" i="12"/>
  <c r="CD126" i="12"/>
  <c r="CC126" i="12"/>
  <c r="CB126" i="12"/>
  <c r="CA126" i="12"/>
  <c r="BZ126" i="12"/>
  <c r="BY126" i="12"/>
  <c r="BX126" i="12"/>
  <c r="BW126" i="12"/>
  <c r="BV126" i="12"/>
  <c r="BU126" i="12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E126" i="12"/>
  <c r="BD126" i="12"/>
  <c r="BC126" i="12"/>
  <c r="BB126" i="12"/>
  <c r="BA126" i="12"/>
  <c r="AZ126" i="12"/>
  <c r="AY126" i="12"/>
  <c r="AX126" i="12"/>
  <c r="AW126" i="12"/>
  <c r="AV126" i="12"/>
  <c r="AU126" i="12"/>
  <c r="AT126" i="12"/>
  <c r="AS126" i="12"/>
  <c r="AR126" i="12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CX109" i="12"/>
  <c r="CX160" i="12" s="1"/>
  <c r="CW109" i="12"/>
  <c r="CW160" i="12" s="1"/>
  <c r="CV109" i="12"/>
  <c r="CV160" i="12" s="1"/>
  <c r="CU109" i="12"/>
  <c r="CU160" i="12" s="1"/>
  <c r="CT109" i="12"/>
  <c r="CT160" i="12" s="1"/>
  <c r="CS109" i="12"/>
  <c r="CS160" i="12" s="1"/>
  <c r="CR109" i="12"/>
  <c r="CR160" i="12" s="1"/>
  <c r="CQ109" i="12"/>
  <c r="CQ160" i="12" s="1"/>
  <c r="CP109" i="12"/>
  <c r="CP160" i="12" s="1"/>
  <c r="CO109" i="12"/>
  <c r="CO160" i="12" s="1"/>
  <c r="CN109" i="12"/>
  <c r="CN160" i="12" s="1"/>
  <c r="CM109" i="12"/>
  <c r="CM160" i="12" s="1"/>
  <c r="CL109" i="12"/>
  <c r="CL160" i="12" s="1"/>
  <c r="CK109" i="12"/>
  <c r="CK160" i="12" s="1"/>
  <c r="CJ109" i="12"/>
  <c r="CJ160" i="12" s="1"/>
  <c r="CI109" i="12"/>
  <c r="CI160" i="12" s="1"/>
  <c r="CH109" i="12"/>
  <c r="CH160" i="12" s="1"/>
  <c r="CG109" i="12"/>
  <c r="CG160" i="12" s="1"/>
  <c r="CF109" i="12"/>
  <c r="CF160" i="12" s="1"/>
  <c r="CE109" i="12"/>
  <c r="CE160" i="12" s="1"/>
  <c r="CD109" i="12"/>
  <c r="CD160" i="12" s="1"/>
  <c r="CC109" i="12"/>
  <c r="CC160" i="12" s="1"/>
  <c r="CB109" i="12"/>
  <c r="CB160" i="12" s="1"/>
  <c r="CA109" i="12"/>
  <c r="CA160" i="12" s="1"/>
  <c r="BZ109" i="12"/>
  <c r="BZ160" i="12" s="1"/>
  <c r="BY109" i="12"/>
  <c r="BY160" i="12" s="1"/>
  <c r="BX109" i="12"/>
  <c r="BX160" i="12" s="1"/>
  <c r="BW109" i="12"/>
  <c r="BW160" i="12" s="1"/>
  <c r="BV109" i="12"/>
  <c r="BV160" i="12" s="1"/>
  <c r="BU109" i="12"/>
  <c r="BU160" i="12" s="1"/>
  <c r="BT109" i="12"/>
  <c r="BT160" i="12" s="1"/>
  <c r="BS109" i="12"/>
  <c r="BS160" i="12" s="1"/>
  <c r="BR109" i="12"/>
  <c r="BR160" i="12" s="1"/>
  <c r="BQ109" i="12"/>
  <c r="BQ160" i="12" s="1"/>
  <c r="BP109" i="12"/>
  <c r="BP160" i="12" s="1"/>
  <c r="BO109" i="12"/>
  <c r="BO160" i="12" s="1"/>
  <c r="BN109" i="12"/>
  <c r="BN160" i="12" s="1"/>
  <c r="BM109" i="12"/>
  <c r="BM160" i="12" s="1"/>
  <c r="BL109" i="12"/>
  <c r="BL160" i="12" s="1"/>
  <c r="BK109" i="12"/>
  <c r="BK160" i="12" s="1"/>
  <c r="BJ109" i="12"/>
  <c r="BJ160" i="12" s="1"/>
  <c r="BI109" i="12"/>
  <c r="BI160" i="12" s="1"/>
  <c r="BH109" i="12"/>
  <c r="BH160" i="12" s="1"/>
  <c r="BG109" i="12"/>
  <c r="BG160" i="12" s="1"/>
  <c r="BF109" i="12"/>
  <c r="BF160" i="12" s="1"/>
  <c r="BE109" i="12"/>
  <c r="BE160" i="12" s="1"/>
  <c r="BD109" i="12"/>
  <c r="BD160" i="12" s="1"/>
  <c r="BC109" i="12"/>
  <c r="BC160" i="12" s="1"/>
  <c r="BB109" i="12"/>
  <c r="BB160" i="12" s="1"/>
  <c r="BA109" i="12"/>
  <c r="BA160" i="12" s="1"/>
  <c r="AZ109" i="12"/>
  <c r="AZ160" i="12" s="1"/>
  <c r="AY109" i="12"/>
  <c r="AY160" i="12" s="1"/>
  <c r="AX109" i="12"/>
  <c r="AX160" i="12" s="1"/>
  <c r="AW109" i="12"/>
  <c r="AW160" i="12" s="1"/>
  <c r="AV109" i="12"/>
  <c r="AV160" i="12" s="1"/>
  <c r="AU109" i="12"/>
  <c r="AU160" i="12" s="1"/>
  <c r="AT109" i="12"/>
  <c r="AT160" i="12" s="1"/>
  <c r="AS109" i="12"/>
  <c r="AS160" i="12" s="1"/>
  <c r="AR109" i="12"/>
  <c r="AR160" i="12" s="1"/>
  <c r="AQ109" i="12"/>
  <c r="AQ160" i="12" s="1"/>
  <c r="AP109" i="12"/>
  <c r="AP160" i="12" s="1"/>
  <c r="AO109" i="12"/>
  <c r="AO160" i="12" s="1"/>
  <c r="AN109" i="12"/>
  <c r="AN160" i="12" s="1"/>
  <c r="AM109" i="12"/>
  <c r="AM160" i="12" s="1"/>
  <c r="AL109" i="12"/>
  <c r="AL160" i="12" s="1"/>
  <c r="AK109" i="12"/>
  <c r="AK160" i="12" s="1"/>
  <c r="AJ109" i="12"/>
  <c r="AJ160" i="12" s="1"/>
  <c r="AI109" i="12"/>
  <c r="AI160" i="12" s="1"/>
  <c r="AH109" i="12"/>
  <c r="AH160" i="12" s="1"/>
  <c r="AG109" i="12"/>
  <c r="AG160" i="12" s="1"/>
  <c r="AF109" i="12"/>
  <c r="AF160" i="12" s="1"/>
  <c r="AE109" i="12"/>
  <c r="AE160" i="12" s="1"/>
  <c r="AD109" i="12"/>
  <c r="AD160" i="12" s="1"/>
  <c r="AC109" i="12"/>
  <c r="AC160" i="12" s="1"/>
  <c r="AB109" i="12"/>
  <c r="AB160" i="12" s="1"/>
  <c r="AA109" i="12"/>
  <c r="AA160" i="12" s="1"/>
  <c r="Z109" i="12"/>
  <c r="Z160" i="12" s="1"/>
  <c r="Y109" i="12"/>
  <c r="Y160" i="12" s="1"/>
  <c r="X109" i="12"/>
  <c r="X160" i="12" s="1"/>
  <c r="W109" i="12"/>
  <c r="W160" i="12" s="1"/>
  <c r="V109" i="12"/>
  <c r="V160" i="12" s="1"/>
  <c r="U109" i="12"/>
  <c r="U160" i="12" s="1"/>
  <c r="T109" i="12"/>
  <c r="T160" i="12" s="1"/>
  <c r="S109" i="12"/>
  <c r="S160" i="12" s="1"/>
  <c r="R109" i="12"/>
  <c r="R160" i="12" s="1"/>
  <c r="Q109" i="12"/>
  <c r="Q160" i="12" s="1"/>
  <c r="P109" i="12"/>
  <c r="P160" i="12" s="1"/>
  <c r="O109" i="12"/>
  <c r="O160" i="12" s="1"/>
  <c r="N109" i="12"/>
  <c r="N160" i="12" s="1"/>
  <c r="M109" i="12"/>
  <c r="M160" i="12" s="1"/>
  <c r="L109" i="12"/>
  <c r="L160" i="12" s="1"/>
  <c r="K109" i="12"/>
  <c r="K160" i="12" s="1"/>
  <c r="J109" i="12"/>
  <c r="J160" i="12" s="1"/>
  <c r="I109" i="12"/>
  <c r="I160" i="12" s="1"/>
  <c r="H109" i="12"/>
  <c r="H160" i="12" s="1"/>
  <c r="G109" i="12"/>
  <c r="G160" i="12" s="1"/>
  <c r="F109" i="12"/>
  <c r="F160" i="12" s="1"/>
  <c r="E109" i="12"/>
  <c r="E160" i="12" s="1"/>
  <c r="D109" i="12"/>
  <c r="D160" i="12" s="1"/>
  <c r="CX108" i="12"/>
  <c r="CX159" i="12" s="1"/>
  <c r="CW108" i="12"/>
  <c r="CW159" i="12" s="1"/>
  <c r="CV108" i="12"/>
  <c r="CV159" i="12" s="1"/>
  <c r="CU108" i="12"/>
  <c r="CU159" i="12" s="1"/>
  <c r="CT108" i="12"/>
  <c r="CT159" i="12" s="1"/>
  <c r="CS108" i="12"/>
  <c r="CS159" i="12" s="1"/>
  <c r="CR108" i="12"/>
  <c r="CR159" i="12" s="1"/>
  <c r="CQ108" i="12"/>
  <c r="CQ159" i="12" s="1"/>
  <c r="CP108" i="12"/>
  <c r="CP159" i="12" s="1"/>
  <c r="CO108" i="12"/>
  <c r="CO159" i="12" s="1"/>
  <c r="CN108" i="12"/>
  <c r="CN159" i="12" s="1"/>
  <c r="CM108" i="12"/>
  <c r="CM159" i="12" s="1"/>
  <c r="CL108" i="12"/>
  <c r="CL159" i="12" s="1"/>
  <c r="CK108" i="12"/>
  <c r="CJ108" i="12"/>
  <c r="CJ159" i="12" s="1"/>
  <c r="CI108" i="12"/>
  <c r="CI159" i="12" s="1"/>
  <c r="CH108" i="12"/>
  <c r="CH159" i="12" s="1"/>
  <c r="CG108" i="12"/>
  <c r="CG159" i="12" s="1"/>
  <c r="CF108" i="12"/>
  <c r="CF159" i="12" s="1"/>
  <c r="CE108" i="12"/>
  <c r="CE159" i="12" s="1"/>
  <c r="CD108" i="12"/>
  <c r="CD159" i="12" s="1"/>
  <c r="CC108" i="12"/>
  <c r="CC159" i="12" s="1"/>
  <c r="CB108" i="12"/>
  <c r="CB159" i="12" s="1"/>
  <c r="CA108" i="12"/>
  <c r="CA159" i="12" s="1"/>
  <c r="BZ108" i="12"/>
  <c r="BZ159" i="12" s="1"/>
  <c r="BY108" i="12"/>
  <c r="BY159" i="12" s="1"/>
  <c r="BX108" i="12"/>
  <c r="BX159" i="12" s="1"/>
  <c r="BW108" i="12"/>
  <c r="BW159" i="12" s="1"/>
  <c r="BV108" i="12"/>
  <c r="BV159" i="12" s="1"/>
  <c r="BU108" i="12"/>
  <c r="BU159" i="12" s="1"/>
  <c r="BT108" i="12"/>
  <c r="BS108" i="12"/>
  <c r="BS159" i="12" s="1"/>
  <c r="BR108" i="12"/>
  <c r="BR159" i="12" s="1"/>
  <c r="BQ108" i="12"/>
  <c r="BQ159" i="12" s="1"/>
  <c r="BP108" i="12"/>
  <c r="BP159" i="12" s="1"/>
  <c r="BO108" i="12"/>
  <c r="BO159" i="12" s="1"/>
  <c r="BN108" i="12"/>
  <c r="BN159" i="12" s="1"/>
  <c r="BM108" i="12"/>
  <c r="BM159" i="12" s="1"/>
  <c r="BL108" i="12"/>
  <c r="BL159" i="12" s="1"/>
  <c r="BK108" i="12"/>
  <c r="BK159" i="12" s="1"/>
  <c r="BJ108" i="12"/>
  <c r="BJ159" i="12" s="1"/>
  <c r="BI108" i="12"/>
  <c r="BI159" i="12" s="1"/>
  <c r="BH108" i="12"/>
  <c r="BH159" i="12" s="1"/>
  <c r="BG108" i="12"/>
  <c r="BG159" i="12" s="1"/>
  <c r="BF108" i="12"/>
  <c r="BF159" i="12" s="1"/>
  <c r="BE108" i="12"/>
  <c r="BE159" i="12" s="1"/>
  <c r="BD108" i="12"/>
  <c r="BD159" i="12" s="1"/>
  <c r="BC108" i="12"/>
  <c r="BC159" i="12" s="1"/>
  <c r="BB108" i="12"/>
  <c r="BB159" i="12" s="1"/>
  <c r="BA108" i="12"/>
  <c r="BA159" i="12" s="1"/>
  <c r="AZ108" i="12"/>
  <c r="AZ159" i="12" s="1"/>
  <c r="AY108" i="12"/>
  <c r="AY159" i="12" s="1"/>
  <c r="AX108" i="12"/>
  <c r="AX159" i="12" s="1"/>
  <c r="AW108" i="12"/>
  <c r="AW159" i="12" s="1"/>
  <c r="AV108" i="12"/>
  <c r="AV159" i="12" s="1"/>
  <c r="AU108" i="12"/>
  <c r="AU159" i="12" s="1"/>
  <c r="AT108" i="12"/>
  <c r="AT159" i="12" s="1"/>
  <c r="AS108" i="12"/>
  <c r="AR108" i="12"/>
  <c r="AR159" i="12" s="1"/>
  <c r="AQ108" i="12"/>
  <c r="AQ159" i="12" s="1"/>
  <c r="AP108" i="12"/>
  <c r="AP159" i="12" s="1"/>
  <c r="AO108" i="12"/>
  <c r="AO159" i="12" s="1"/>
  <c r="AN108" i="12"/>
  <c r="AN159" i="12" s="1"/>
  <c r="AM108" i="12"/>
  <c r="AM159" i="12" s="1"/>
  <c r="AL108" i="12"/>
  <c r="AL159" i="12" s="1"/>
  <c r="AK108" i="12"/>
  <c r="AK159" i="12" s="1"/>
  <c r="AJ108" i="12"/>
  <c r="AJ159" i="12" s="1"/>
  <c r="AI108" i="12"/>
  <c r="AI159" i="12" s="1"/>
  <c r="AH108" i="12"/>
  <c r="AH159" i="12" s="1"/>
  <c r="AG108" i="12"/>
  <c r="AG159" i="12" s="1"/>
  <c r="AF108" i="12"/>
  <c r="AF159" i="12" s="1"/>
  <c r="AE108" i="12"/>
  <c r="AE159" i="12" s="1"/>
  <c r="AD108" i="12"/>
  <c r="AD159" i="12" s="1"/>
  <c r="AC108" i="12"/>
  <c r="AC159" i="12" s="1"/>
  <c r="AB108" i="12"/>
  <c r="AB159" i="12" s="1"/>
  <c r="AA108" i="12"/>
  <c r="AA159" i="12" s="1"/>
  <c r="Z108" i="12"/>
  <c r="Z159" i="12" s="1"/>
  <c r="Y108" i="12"/>
  <c r="Y159" i="12" s="1"/>
  <c r="X108" i="12"/>
  <c r="X159" i="12" s="1"/>
  <c r="W108" i="12"/>
  <c r="W159" i="12" s="1"/>
  <c r="V108" i="12"/>
  <c r="V159" i="12" s="1"/>
  <c r="U108" i="12"/>
  <c r="U159" i="12" s="1"/>
  <c r="T108" i="12"/>
  <c r="T159" i="12" s="1"/>
  <c r="S108" i="12"/>
  <c r="S159" i="12" s="1"/>
  <c r="R108" i="12"/>
  <c r="R159" i="12" s="1"/>
  <c r="Q108" i="12"/>
  <c r="Q159" i="12" s="1"/>
  <c r="P108" i="12"/>
  <c r="P159" i="12" s="1"/>
  <c r="O108" i="12"/>
  <c r="O159" i="12" s="1"/>
  <c r="N108" i="12"/>
  <c r="N159" i="12" s="1"/>
  <c r="M108" i="12"/>
  <c r="M159" i="12" s="1"/>
  <c r="L108" i="12"/>
  <c r="L159" i="12" s="1"/>
  <c r="K108" i="12"/>
  <c r="K159" i="12" s="1"/>
  <c r="J108" i="12"/>
  <c r="J159" i="12" s="1"/>
  <c r="I108" i="12"/>
  <c r="I159" i="12" s="1"/>
  <c r="H108" i="12"/>
  <c r="H159" i="12" s="1"/>
  <c r="G108" i="12"/>
  <c r="G159" i="12" s="1"/>
  <c r="F108" i="12"/>
  <c r="F159" i="12" s="1"/>
  <c r="E108" i="12"/>
  <c r="E159" i="12" s="1"/>
  <c r="D108" i="12"/>
  <c r="D159" i="12" s="1"/>
  <c r="CX107" i="12"/>
  <c r="CX158" i="12" s="1"/>
  <c r="CW107" i="12"/>
  <c r="CW158" i="12" s="1"/>
  <c r="CV107" i="12"/>
  <c r="CV158" i="12" s="1"/>
  <c r="CU107" i="12"/>
  <c r="CU158" i="12" s="1"/>
  <c r="CT107" i="12"/>
  <c r="CT158" i="12" s="1"/>
  <c r="CS107" i="12"/>
  <c r="CS158" i="12" s="1"/>
  <c r="CR107" i="12"/>
  <c r="CR158" i="12" s="1"/>
  <c r="CQ107" i="12"/>
  <c r="CQ158" i="12" s="1"/>
  <c r="CP107" i="12"/>
  <c r="CP158" i="12" s="1"/>
  <c r="CO107" i="12"/>
  <c r="CO158" i="12" s="1"/>
  <c r="CN107" i="12"/>
  <c r="CN158" i="12" s="1"/>
  <c r="CM107" i="12"/>
  <c r="CM158" i="12" s="1"/>
  <c r="CL107" i="12"/>
  <c r="CL158" i="12" s="1"/>
  <c r="CK107" i="12"/>
  <c r="CK158" i="12" s="1"/>
  <c r="CJ107" i="12"/>
  <c r="CJ158" i="12" s="1"/>
  <c r="CI107" i="12"/>
  <c r="CI158" i="12" s="1"/>
  <c r="CH107" i="12"/>
  <c r="CH158" i="12" s="1"/>
  <c r="CG107" i="12"/>
  <c r="CG158" i="12" s="1"/>
  <c r="CF107" i="12"/>
  <c r="CF158" i="12" s="1"/>
  <c r="CE107" i="12"/>
  <c r="CE158" i="12" s="1"/>
  <c r="CD107" i="12"/>
  <c r="CD158" i="12" s="1"/>
  <c r="CC107" i="12"/>
  <c r="CC158" i="12" s="1"/>
  <c r="CB107" i="12"/>
  <c r="CB158" i="12" s="1"/>
  <c r="CA107" i="12"/>
  <c r="CA158" i="12" s="1"/>
  <c r="BZ107" i="12"/>
  <c r="BZ158" i="12" s="1"/>
  <c r="BY107" i="12"/>
  <c r="BY158" i="12" s="1"/>
  <c r="BX107" i="12"/>
  <c r="BX158" i="12" s="1"/>
  <c r="BW107" i="12"/>
  <c r="BW158" i="12" s="1"/>
  <c r="BV107" i="12"/>
  <c r="BV158" i="12" s="1"/>
  <c r="BU107" i="12"/>
  <c r="BU158" i="12" s="1"/>
  <c r="BT107" i="12"/>
  <c r="BT158" i="12" s="1"/>
  <c r="BS107" i="12"/>
  <c r="BS158" i="12" s="1"/>
  <c r="BR107" i="12"/>
  <c r="BR158" i="12" s="1"/>
  <c r="BQ107" i="12"/>
  <c r="BQ158" i="12" s="1"/>
  <c r="BP107" i="12"/>
  <c r="BP158" i="12" s="1"/>
  <c r="BO107" i="12"/>
  <c r="BO158" i="12" s="1"/>
  <c r="BN107" i="12"/>
  <c r="BN158" i="12" s="1"/>
  <c r="BM107" i="12"/>
  <c r="BM158" i="12" s="1"/>
  <c r="BL107" i="12"/>
  <c r="BL158" i="12" s="1"/>
  <c r="BK107" i="12"/>
  <c r="BK158" i="12" s="1"/>
  <c r="BJ107" i="12"/>
  <c r="BJ158" i="12" s="1"/>
  <c r="BI107" i="12"/>
  <c r="BI158" i="12" s="1"/>
  <c r="BH107" i="12"/>
  <c r="BH158" i="12" s="1"/>
  <c r="BG107" i="12"/>
  <c r="BG158" i="12" s="1"/>
  <c r="BF107" i="12"/>
  <c r="BF158" i="12" s="1"/>
  <c r="BE107" i="12"/>
  <c r="BE158" i="12" s="1"/>
  <c r="BD107" i="12"/>
  <c r="BD158" i="12" s="1"/>
  <c r="BC107" i="12"/>
  <c r="BC158" i="12" s="1"/>
  <c r="BB107" i="12"/>
  <c r="BB158" i="12" s="1"/>
  <c r="BA107" i="12"/>
  <c r="BA158" i="12" s="1"/>
  <c r="AZ107" i="12"/>
  <c r="AZ158" i="12" s="1"/>
  <c r="AY107" i="12"/>
  <c r="AY158" i="12" s="1"/>
  <c r="AX107" i="12"/>
  <c r="AX158" i="12" s="1"/>
  <c r="AW107" i="12"/>
  <c r="AW158" i="12" s="1"/>
  <c r="AV107" i="12"/>
  <c r="AV158" i="12" s="1"/>
  <c r="AU107" i="12"/>
  <c r="AU158" i="12" s="1"/>
  <c r="AT107" i="12"/>
  <c r="AT158" i="12" s="1"/>
  <c r="AS107" i="12"/>
  <c r="AS158" i="12" s="1"/>
  <c r="AR107" i="12"/>
  <c r="AR158" i="12" s="1"/>
  <c r="AQ107" i="12"/>
  <c r="AQ158" i="12" s="1"/>
  <c r="AP107" i="12"/>
  <c r="AP158" i="12" s="1"/>
  <c r="AO107" i="12"/>
  <c r="AO158" i="12" s="1"/>
  <c r="AN107" i="12"/>
  <c r="AN158" i="12" s="1"/>
  <c r="AM107" i="12"/>
  <c r="AM158" i="12" s="1"/>
  <c r="AL107" i="12"/>
  <c r="AL158" i="12" s="1"/>
  <c r="AK107" i="12"/>
  <c r="AK158" i="12" s="1"/>
  <c r="AJ107" i="12"/>
  <c r="AJ158" i="12" s="1"/>
  <c r="AI107" i="12"/>
  <c r="AI158" i="12" s="1"/>
  <c r="AH107" i="12"/>
  <c r="AH158" i="12" s="1"/>
  <c r="AG107" i="12"/>
  <c r="AG158" i="12" s="1"/>
  <c r="AF107" i="12"/>
  <c r="AF158" i="12" s="1"/>
  <c r="AE107" i="12"/>
  <c r="AE158" i="12" s="1"/>
  <c r="AD107" i="12"/>
  <c r="AD158" i="12" s="1"/>
  <c r="AC107" i="12"/>
  <c r="AC158" i="12" s="1"/>
  <c r="AB107" i="12"/>
  <c r="AB158" i="12" s="1"/>
  <c r="AA107" i="12"/>
  <c r="AA158" i="12" s="1"/>
  <c r="Z107" i="12"/>
  <c r="Z158" i="12" s="1"/>
  <c r="Y107" i="12"/>
  <c r="Y158" i="12" s="1"/>
  <c r="X107" i="12"/>
  <c r="X158" i="12" s="1"/>
  <c r="W107" i="12"/>
  <c r="W158" i="12" s="1"/>
  <c r="V107" i="12"/>
  <c r="V158" i="12" s="1"/>
  <c r="U107" i="12"/>
  <c r="U158" i="12" s="1"/>
  <c r="T107" i="12"/>
  <c r="T158" i="12" s="1"/>
  <c r="S107" i="12"/>
  <c r="S158" i="12" s="1"/>
  <c r="R107" i="12"/>
  <c r="R158" i="12" s="1"/>
  <c r="Q107" i="12"/>
  <c r="Q158" i="12" s="1"/>
  <c r="P107" i="12"/>
  <c r="P158" i="12" s="1"/>
  <c r="O107" i="12"/>
  <c r="O158" i="12" s="1"/>
  <c r="N107" i="12"/>
  <c r="N158" i="12" s="1"/>
  <c r="M107" i="12"/>
  <c r="M158" i="12" s="1"/>
  <c r="L107" i="12"/>
  <c r="L158" i="12" s="1"/>
  <c r="K107" i="12"/>
  <c r="K158" i="12" s="1"/>
  <c r="J107" i="12"/>
  <c r="J158" i="12" s="1"/>
  <c r="I107" i="12"/>
  <c r="I158" i="12" s="1"/>
  <c r="H107" i="12"/>
  <c r="H158" i="12" s="1"/>
  <c r="G107" i="12"/>
  <c r="G158" i="12" s="1"/>
  <c r="F107" i="12"/>
  <c r="F158" i="12" s="1"/>
  <c r="E107" i="12"/>
  <c r="E158" i="12" s="1"/>
  <c r="D107" i="12"/>
  <c r="D158" i="12" s="1"/>
  <c r="CX106" i="12"/>
  <c r="CX157" i="12" s="1"/>
  <c r="CW106" i="12"/>
  <c r="CW157" i="12" s="1"/>
  <c r="CV106" i="12"/>
  <c r="CV157" i="12" s="1"/>
  <c r="CU106" i="12"/>
  <c r="CU157" i="12" s="1"/>
  <c r="CT106" i="12"/>
  <c r="CT157" i="12" s="1"/>
  <c r="CS106" i="12"/>
  <c r="CS157" i="12" s="1"/>
  <c r="CR106" i="12"/>
  <c r="CR157" i="12" s="1"/>
  <c r="CQ106" i="12"/>
  <c r="CQ157" i="12" s="1"/>
  <c r="CP106" i="12"/>
  <c r="CP157" i="12" s="1"/>
  <c r="CO106" i="12"/>
  <c r="CO157" i="12" s="1"/>
  <c r="CN106" i="12"/>
  <c r="CN157" i="12" s="1"/>
  <c r="CM106" i="12"/>
  <c r="CM157" i="12" s="1"/>
  <c r="CL106" i="12"/>
  <c r="CL157" i="12" s="1"/>
  <c r="CK106" i="12"/>
  <c r="CK157" i="12" s="1"/>
  <c r="CJ106" i="12"/>
  <c r="CJ157" i="12" s="1"/>
  <c r="CI106" i="12"/>
  <c r="CI157" i="12" s="1"/>
  <c r="CH106" i="12"/>
  <c r="CH157" i="12" s="1"/>
  <c r="CG106" i="12"/>
  <c r="CG157" i="12" s="1"/>
  <c r="CF106" i="12"/>
  <c r="CF157" i="12" s="1"/>
  <c r="CE106" i="12"/>
  <c r="CE157" i="12" s="1"/>
  <c r="CD106" i="12"/>
  <c r="CD157" i="12" s="1"/>
  <c r="CC106" i="12"/>
  <c r="CC157" i="12" s="1"/>
  <c r="CB106" i="12"/>
  <c r="CB157" i="12" s="1"/>
  <c r="CA106" i="12"/>
  <c r="CA157" i="12" s="1"/>
  <c r="BZ106" i="12"/>
  <c r="BZ157" i="12" s="1"/>
  <c r="BY106" i="12"/>
  <c r="BY157" i="12" s="1"/>
  <c r="BX106" i="12"/>
  <c r="BX157" i="12" s="1"/>
  <c r="BW106" i="12"/>
  <c r="BW157" i="12" s="1"/>
  <c r="BV106" i="12"/>
  <c r="BV157" i="12" s="1"/>
  <c r="BU106" i="12"/>
  <c r="BU157" i="12" s="1"/>
  <c r="BT106" i="12"/>
  <c r="BT157" i="12" s="1"/>
  <c r="BS106" i="12"/>
  <c r="BS157" i="12" s="1"/>
  <c r="BR106" i="12"/>
  <c r="BR157" i="12" s="1"/>
  <c r="BQ106" i="12"/>
  <c r="BQ157" i="12" s="1"/>
  <c r="BP106" i="12"/>
  <c r="BP157" i="12" s="1"/>
  <c r="BO106" i="12"/>
  <c r="BO157" i="12" s="1"/>
  <c r="BN106" i="12"/>
  <c r="BN157" i="12" s="1"/>
  <c r="BM106" i="12"/>
  <c r="BM157" i="12" s="1"/>
  <c r="BL106" i="12"/>
  <c r="BL157" i="12" s="1"/>
  <c r="BK106" i="12"/>
  <c r="BK157" i="12" s="1"/>
  <c r="BJ106" i="12"/>
  <c r="BJ157" i="12" s="1"/>
  <c r="BI106" i="12"/>
  <c r="BI157" i="12" s="1"/>
  <c r="BH106" i="12"/>
  <c r="BH157" i="12" s="1"/>
  <c r="BG106" i="12"/>
  <c r="BG157" i="12" s="1"/>
  <c r="BF106" i="12"/>
  <c r="BF157" i="12" s="1"/>
  <c r="BE106" i="12"/>
  <c r="BE157" i="12" s="1"/>
  <c r="BD106" i="12"/>
  <c r="BD157" i="12" s="1"/>
  <c r="BC106" i="12"/>
  <c r="BC157" i="12" s="1"/>
  <c r="BB106" i="12"/>
  <c r="BB157" i="12" s="1"/>
  <c r="BA106" i="12"/>
  <c r="BA157" i="12" s="1"/>
  <c r="AZ106" i="12"/>
  <c r="AZ157" i="12" s="1"/>
  <c r="AY106" i="12"/>
  <c r="AY157" i="12" s="1"/>
  <c r="AX106" i="12"/>
  <c r="AX157" i="12" s="1"/>
  <c r="AW106" i="12"/>
  <c r="AW157" i="12" s="1"/>
  <c r="AV106" i="12"/>
  <c r="AV157" i="12" s="1"/>
  <c r="AU106" i="12"/>
  <c r="AU157" i="12" s="1"/>
  <c r="AT106" i="12"/>
  <c r="AT157" i="12" s="1"/>
  <c r="AS106" i="12"/>
  <c r="AS157" i="12" s="1"/>
  <c r="AR106" i="12"/>
  <c r="AR157" i="12" s="1"/>
  <c r="AQ106" i="12"/>
  <c r="AQ157" i="12" s="1"/>
  <c r="AP106" i="12"/>
  <c r="AP157" i="12" s="1"/>
  <c r="AO106" i="12"/>
  <c r="AO157" i="12" s="1"/>
  <c r="AN106" i="12"/>
  <c r="AN157" i="12" s="1"/>
  <c r="AM106" i="12"/>
  <c r="AM157" i="12" s="1"/>
  <c r="AL106" i="12"/>
  <c r="AL157" i="12" s="1"/>
  <c r="AK106" i="12"/>
  <c r="AK157" i="12" s="1"/>
  <c r="AJ106" i="12"/>
  <c r="AJ157" i="12" s="1"/>
  <c r="AI106" i="12"/>
  <c r="AI157" i="12" s="1"/>
  <c r="AH106" i="12"/>
  <c r="AH157" i="12" s="1"/>
  <c r="AG106" i="12"/>
  <c r="AG157" i="12" s="1"/>
  <c r="AF106" i="12"/>
  <c r="AF157" i="12" s="1"/>
  <c r="AE106" i="12"/>
  <c r="AE157" i="12" s="1"/>
  <c r="AD106" i="12"/>
  <c r="AD157" i="12" s="1"/>
  <c r="AC106" i="12"/>
  <c r="AC157" i="12" s="1"/>
  <c r="AB106" i="12"/>
  <c r="AB157" i="12" s="1"/>
  <c r="AA106" i="12"/>
  <c r="AA157" i="12" s="1"/>
  <c r="Z106" i="12"/>
  <c r="Z157" i="12" s="1"/>
  <c r="Y106" i="12"/>
  <c r="Y157" i="12" s="1"/>
  <c r="X106" i="12"/>
  <c r="X157" i="12" s="1"/>
  <c r="W106" i="12"/>
  <c r="W157" i="12" s="1"/>
  <c r="V106" i="12"/>
  <c r="V157" i="12" s="1"/>
  <c r="U106" i="12"/>
  <c r="U157" i="12" s="1"/>
  <c r="T106" i="12"/>
  <c r="T157" i="12" s="1"/>
  <c r="S106" i="12"/>
  <c r="S157" i="12" s="1"/>
  <c r="R106" i="12"/>
  <c r="R157" i="12" s="1"/>
  <c r="Q106" i="12"/>
  <c r="Q157" i="12" s="1"/>
  <c r="P106" i="12"/>
  <c r="P157" i="12" s="1"/>
  <c r="O106" i="12"/>
  <c r="O157" i="12" s="1"/>
  <c r="N106" i="12"/>
  <c r="N157" i="12" s="1"/>
  <c r="M106" i="12"/>
  <c r="M157" i="12" s="1"/>
  <c r="L106" i="12"/>
  <c r="L157" i="12" s="1"/>
  <c r="K106" i="12"/>
  <c r="K157" i="12" s="1"/>
  <c r="J106" i="12"/>
  <c r="J157" i="12" s="1"/>
  <c r="I106" i="12"/>
  <c r="I157" i="12" s="1"/>
  <c r="H106" i="12"/>
  <c r="H157" i="12" s="1"/>
  <c r="G106" i="12"/>
  <c r="G157" i="12" s="1"/>
  <c r="F106" i="12"/>
  <c r="F157" i="12" s="1"/>
  <c r="E106" i="12"/>
  <c r="E157" i="12" s="1"/>
  <c r="D106" i="12"/>
  <c r="D157" i="12" s="1"/>
  <c r="CX105" i="12"/>
  <c r="CX156" i="12" s="1"/>
  <c r="CW105" i="12"/>
  <c r="CW156" i="12" s="1"/>
  <c r="CV105" i="12"/>
  <c r="CV156" i="12" s="1"/>
  <c r="CU105" i="12"/>
  <c r="CU156" i="12" s="1"/>
  <c r="CT105" i="12"/>
  <c r="CT156" i="12" s="1"/>
  <c r="CS105" i="12"/>
  <c r="CS156" i="12" s="1"/>
  <c r="CR105" i="12"/>
  <c r="CR156" i="12" s="1"/>
  <c r="CQ105" i="12"/>
  <c r="CQ156" i="12" s="1"/>
  <c r="CP105" i="12"/>
  <c r="CP156" i="12" s="1"/>
  <c r="CO105" i="12"/>
  <c r="CO156" i="12" s="1"/>
  <c r="CN105" i="12"/>
  <c r="CN156" i="12" s="1"/>
  <c r="CM105" i="12"/>
  <c r="CM156" i="12" s="1"/>
  <c r="CL105" i="12"/>
  <c r="CL156" i="12" s="1"/>
  <c r="CK105" i="12"/>
  <c r="CK156" i="12" s="1"/>
  <c r="CJ105" i="12"/>
  <c r="CJ156" i="12" s="1"/>
  <c r="CI105" i="12"/>
  <c r="CI156" i="12" s="1"/>
  <c r="CH105" i="12"/>
  <c r="CH156" i="12" s="1"/>
  <c r="CG105" i="12"/>
  <c r="CG156" i="12" s="1"/>
  <c r="CF105" i="12"/>
  <c r="CF156" i="12" s="1"/>
  <c r="CE105" i="12"/>
  <c r="CE156" i="12" s="1"/>
  <c r="CD105" i="12"/>
  <c r="CD156" i="12" s="1"/>
  <c r="CC105" i="12"/>
  <c r="CC156" i="12" s="1"/>
  <c r="CB105" i="12"/>
  <c r="CB156" i="12" s="1"/>
  <c r="CA105" i="12"/>
  <c r="CA156" i="12" s="1"/>
  <c r="BZ105" i="12"/>
  <c r="BZ156" i="12" s="1"/>
  <c r="BY105" i="12"/>
  <c r="BY156" i="12" s="1"/>
  <c r="BX105" i="12"/>
  <c r="BX156" i="12" s="1"/>
  <c r="BW105" i="12"/>
  <c r="BW156" i="12" s="1"/>
  <c r="BV105" i="12"/>
  <c r="BV156" i="12" s="1"/>
  <c r="BU105" i="12"/>
  <c r="BU156" i="12" s="1"/>
  <c r="BT105" i="12"/>
  <c r="BT156" i="12" s="1"/>
  <c r="BS105" i="12"/>
  <c r="BS156" i="12" s="1"/>
  <c r="BR105" i="12"/>
  <c r="BR156" i="12" s="1"/>
  <c r="BQ105" i="12"/>
  <c r="BQ156" i="12" s="1"/>
  <c r="BP105" i="12"/>
  <c r="BP156" i="12" s="1"/>
  <c r="BO105" i="12"/>
  <c r="BO156" i="12" s="1"/>
  <c r="BN105" i="12"/>
  <c r="BN156" i="12" s="1"/>
  <c r="BM105" i="12"/>
  <c r="BM156" i="12" s="1"/>
  <c r="BL105" i="12"/>
  <c r="BL156" i="12" s="1"/>
  <c r="BK105" i="12"/>
  <c r="BK156" i="12" s="1"/>
  <c r="BJ105" i="12"/>
  <c r="BJ156" i="12" s="1"/>
  <c r="BI105" i="12"/>
  <c r="BI156" i="12" s="1"/>
  <c r="BH105" i="12"/>
  <c r="BH156" i="12" s="1"/>
  <c r="BG105" i="12"/>
  <c r="BG156" i="12" s="1"/>
  <c r="BF105" i="12"/>
  <c r="BF156" i="12" s="1"/>
  <c r="BE105" i="12"/>
  <c r="BE156" i="12" s="1"/>
  <c r="BD105" i="12"/>
  <c r="BD156" i="12" s="1"/>
  <c r="BC105" i="12"/>
  <c r="BC156" i="12" s="1"/>
  <c r="BB105" i="12"/>
  <c r="BB156" i="12" s="1"/>
  <c r="BA105" i="12"/>
  <c r="BA156" i="12" s="1"/>
  <c r="AZ105" i="12"/>
  <c r="AZ156" i="12" s="1"/>
  <c r="AY105" i="12"/>
  <c r="AY156" i="12" s="1"/>
  <c r="AX105" i="12"/>
  <c r="AX156" i="12" s="1"/>
  <c r="AW105" i="12"/>
  <c r="AW156" i="12" s="1"/>
  <c r="AV105" i="12"/>
  <c r="AV156" i="12" s="1"/>
  <c r="AU105" i="12"/>
  <c r="AU156" i="12" s="1"/>
  <c r="AT105" i="12"/>
  <c r="AT156" i="12" s="1"/>
  <c r="AS105" i="12"/>
  <c r="AS156" i="12" s="1"/>
  <c r="AR105" i="12"/>
  <c r="AR156" i="12" s="1"/>
  <c r="AQ105" i="12"/>
  <c r="AQ156" i="12" s="1"/>
  <c r="AP105" i="12"/>
  <c r="AP156" i="12" s="1"/>
  <c r="AO105" i="12"/>
  <c r="AO156" i="12" s="1"/>
  <c r="AN105" i="12"/>
  <c r="AN156" i="12" s="1"/>
  <c r="AM105" i="12"/>
  <c r="AM156" i="12" s="1"/>
  <c r="AL105" i="12"/>
  <c r="AL156" i="12" s="1"/>
  <c r="AK105" i="12"/>
  <c r="AK156" i="12" s="1"/>
  <c r="AJ105" i="12"/>
  <c r="AJ156" i="12" s="1"/>
  <c r="AI105" i="12"/>
  <c r="AI156" i="12" s="1"/>
  <c r="AH105" i="12"/>
  <c r="AH156" i="12" s="1"/>
  <c r="AG105" i="12"/>
  <c r="AG156" i="12" s="1"/>
  <c r="AF105" i="12"/>
  <c r="AF156" i="12" s="1"/>
  <c r="AE105" i="12"/>
  <c r="AE156" i="12" s="1"/>
  <c r="AD105" i="12"/>
  <c r="AD156" i="12" s="1"/>
  <c r="AC105" i="12"/>
  <c r="AC156" i="12" s="1"/>
  <c r="AB105" i="12"/>
  <c r="AB156" i="12" s="1"/>
  <c r="AA105" i="12"/>
  <c r="AA156" i="12" s="1"/>
  <c r="Z105" i="12"/>
  <c r="Z156" i="12" s="1"/>
  <c r="Y105" i="12"/>
  <c r="Y156" i="12" s="1"/>
  <c r="X105" i="12"/>
  <c r="X156" i="12" s="1"/>
  <c r="W105" i="12"/>
  <c r="W156" i="12" s="1"/>
  <c r="V105" i="12"/>
  <c r="V156" i="12" s="1"/>
  <c r="U105" i="12"/>
  <c r="U156" i="12" s="1"/>
  <c r="T105" i="12"/>
  <c r="T156" i="12" s="1"/>
  <c r="S105" i="12"/>
  <c r="S156" i="12" s="1"/>
  <c r="R105" i="12"/>
  <c r="R156" i="12" s="1"/>
  <c r="Q105" i="12"/>
  <c r="Q156" i="12" s="1"/>
  <c r="P105" i="12"/>
  <c r="P156" i="12" s="1"/>
  <c r="O105" i="12"/>
  <c r="O156" i="12" s="1"/>
  <c r="N105" i="12"/>
  <c r="N156" i="12" s="1"/>
  <c r="M105" i="12"/>
  <c r="M156" i="12" s="1"/>
  <c r="L105" i="12"/>
  <c r="L156" i="12" s="1"/>
  <c r="K105" i="12"/>
  <c r="K156" i="12" s="1"/>
  <c r="J105" i="12"/>
  <c r="J156" i="12" s="1"/>
  <c r="I105" i="12"/>
  <c r="I156" i="12" s="1"/>
  <c r="H105" i="12"/>
  <c r="H156" i="12" s="1"/>
  <c r="G105" i="12"/>
  <c r="G156" i="12" s="1"/>
  <c r="F105" i="12"/>
  <c r="F156" i="12" s="1"/>
  <c r="E105" i="12"/>
  <c r="E156" i="12" s="1"/>
  <c r="D105" i="12"/>
  <c r="D156" i="12" s="1"/>
  <c r="CX104" i="12"/>
  <c r="CX155" i="12" s="1"/>
  <c r="CW104" i="12"/>
  <c r="CW155" i="12" s="1"/>
  <c r="CV104" i="12"/>
  <c r="CV155" i="12" s="1"/>
  <c r="CU104" i="12"/>
  <c r="CU155" i="12" s="1"/>
  <c r="CT104" i="12"/>
  <c r="CT155" i="12" s="1"/>
  <c r="CS104" i="12"/>
  <c r="CS155" i="12" s="1"/>
  <c r="CR104" i="12"/>
  <c r="CR155" i="12" s="1"/>
  <c r="CQ104" i="12"/>
  <c r="CQ155" i="12" s="1"/>
  <c r="CP104" i="12"/>
  <c r="CP155" i="12" s="1"/>
  <c r="CO104" i="12"/>
  <c r="CO155" i="12" s="1"/>
  <c r="CN104" i="12"/>
  <c r="CN155" i="12" s="1"/>
  <c r="CM104" i="12"/>
  <c r="CM155" i="12" s="1"/>
  <c r="CL104" i="12"/>
  <c r="CL155" i="12" s="1"/>
  <c r="CK104" i="12"/>
  <c r="CK155" i="12" s="1"/>
  <c r="CJ104" i="12"/>
  <c r="CJ155" i="12" s="1"/>
  <c r="CI104" i="12"/>
  <c r="CI155" i="12" s="1"/>
  <c r="CH104" i="12"/>
  <c r="CH155" i="12" s="1"/>
  <c r="CG104" i="12"/>
  <c r="CG155" i="12" s="1"/>
  <c r="CF104" i="12"/>
  <c r="CF155" i="12" s="1"/>
  <c r="CE104" i="12"/>
  <c r="CE155" i="12" s="1"/>
  <c r="CD104" i="12"/>
  <c r="CD155" i="12" s="1"/>
  <c r="CC104" i="12"/>
  <c r="CC155" i="12" s="1"/>
  <c r="CB104" i="12"/>
  <c r="CB155" i="12" s="1"/>
  <c r="CA104" i="12"/>
  <c r="CA155" i="12" s="1"/>
  <c r="BZ104" i="12"/>
  <c r="BZ155" i="12" s="1"/>
  <c r="BY104" i="12"/>
  <c r="BY155" i="12" s="1"/>
  <c r="BX104" i="12"/>
  <c r="BX155" i="12" s="1"/>
  <c r="BW104" i="12"/>
  <c r="BW155" i="12" s="1"/>
  <c r="BV104" i="12"/>
  <c r="BV155" i="12" s="1"/>
  <c r="BU104" i="12"/>
  <c r="BU155" i="12" s="1"/>
  <c r="BT104" i="12"/>
  <c r="BT155" i="12" s="1"/>
  <c r="BS104" i="12"/>
  <c r="BS155" i="12" s="1"/>
  <c r="BR104" i="12"/>
  <c r="BR155" i="12" s="1"/>
  <c r="BQ104" i="12"/>
  <c r="BQ155" i="12" s="1"/>
  <c r="BP104" i="12"/>
  <c r="BP155" i="12" s="1"/>
  <c r="BO104" i="12"/>
  <c r="BO155" i="12" s="1"/>
  <c r="BN104" i="12"/>
  <c r="BN155" i="12" s="1"/>
  <c r="BM104" i="12"/>
  <c r="BM155" i="12" s="1"/>
  <c r="BL104" i="12"/>
  <c r="BL155" i="12" s="1"/>
  <c r="BK104" i="12"/>
  <c r="BK155" i="12" s="1"/>
  <c r="BJ104" i="12"/>
  <c r="BJ155" i="12" s="1"/>
  <c r="BI104" i="12"/>
  <c r="BI155" i="12" s="1"/>
  <c r="BH104" i="12"/>
  <c r="BH155" i="12" s="1"/>
  <c r="BG104" i="12"/>
  <c r="BG155" i="12" s="1"/>
  <c r="BF104" i="12"/>
  <c r="BF155" i="12" s="1"/>
  <c r="BE104" i="12"/>
  <c r="BE155" i="12" s="1"/>
  <c r="BD104" i="12"/>
  <c r="BD155" i="12" s="1"/>
  <c r="BC104" i="12"/>
  <c r="BC155" i="12" s="1"/>
  <c r="BB104" i="12"/>
  <c r="BB155" i="12" s="1"/>
  <c r="BA104" i="12"/>
  <c r="BA155" i="12" s="1"/>
  <c r="AZ104" i="12"/>
  <c r="AZ155" i="12" s="1"/>
  <c r="AY104" i="12"/>
  <c r="AY155" i="12" s="1"/>
  <c r="AX104" i="12"/>
  <c r="AX155" i="12" s="1"/>
  <c r="AW104" i="12"/>
  <c r="AW155" i="12" s="1"/>
  <c r="AV104" i="12"/>
  <c r="AV155" i="12" s="1"/>
  <c r="AU104" i="12"/>
  <c r="AU155" i="12" s="1"/>
  <c r="AT104" i="12"/>
  <c r="AT155" i="12" s="1"/>
  <c r="AS104" i="12"/>
  <c r="AS155" i="12" s="1"/>
  <c r="AR104" i="12"/>
  <c r="AR155" i="12" s="1"/>
  <c r="AQ104" i="12"/>
  <c r="AQ155" i="12" s="1"/>
  <c r="AP104" i="12"/>
  <c r="AP155" i="12" s="1"/>
  <c r="AO104" i="12"/>
  <c r="AO155" i="12" s="1"/>
  <c r="AN104" i="12"/>
  <c r="AN155" i="12" s="1"/>
  <c r="AM104" i="12"/>
  <c r="AM155" i="12" s="1"/>
  <c r="AL104" i="12"/>
  <c r="AL155" i="12" s="1"/>
  <c r="AK104" i="12"/>
  <c r="AK155" i="12" s="1"/>
  <c r="AJ104" i="12"/>
  <c r="AJ155" i="12" s="1"/>
  <c r="AI104" i="12"/>
  <c r="AI155" i="12" s="1"/>
  <c r="AH104" i="12"/>
  <c r="AH155" i="12" s="1"/>
  <c r="AG104" i="12"/>
  <c r="AG155" i="12" s="1"/>
  <c r="AF104" i="12"/>
  <c r="AF155" i="12" s="1"/>
  <c r="AE104" i="12"/>
  <c r="AE155" i="12" s="1"/>
  <c r="AD104" i="12"/>
  <c r="AD155" i="12" s="1"/>
  <c r="AC104" i="12"/>
  <c r="AC155" i="12" s="1"/>
  <c r="AB104" i="12"/>
  <c r="AB155" i="12" s="1"/>
  <c r="AA104" i="12"/>
  <c r="AA155" i="12" s="1"/>
  <c r="Z104" i="12"/>
  <c r="Z155" i="12" s="1"/>
  <c r="Y104" i="12"/>
  <c r="Y155" i="12" s="1"/>
  <c r="X104" i="12"/>
  <c r="X155" i="12" s="1"/>
  <c r="W104" i="12"/>
  <c r="W155" i="12" s="1"/>
  <c r="V104" i="12"/>
  <c r="V155" i="12" s="1"/>
  <c r="U104" i="12"/>
  <c r="U155" i="12" s="1"/>
  <c r="T104" i="12"/>
  <c r="T155" i="12" s="1"/>
  <c r="S104" i="12"/>
  <c r="S155" i="12" s="1"/>
  <c r="R104" i="12"/>
  <c r="R155" i="12" s="1"/>
  <c r="Q104" i="12"/>
  <c r="Q155" i="12" s="1"/>
  <c r="P104" i="12"/>
  <c r="P155" i="12" s="1"/>
  <c r="O104" i="12"/>
  <c r="O155" i="12" s="1"/>
  <c r="N104" i="12"/>
  <c r="N155" i="12" s="1"/>
  <c r="M104" i="12"/>
  <c r="M155" i="12" s="1"/>
  <c r="L104" i="12"/>
  <c r="L155" i="12" s="1"/>
  <c r="K104" i="12"/>
  <c r="K155" i="12" s="1"/>
  <c r="J104" i="12"/>
  <c r="J155" i="12" s="1"/>
  <c r="I104" i="12"/>
  <c r="I155" i="12" s="1"/>
  <c r="H104" i="12"/>
  <c r="H155" i="12" s="1"/>
  <c r="G104" i="12"/>
  <c r="G155" i="12" s="1"/>
  <c r="F104" i="12"/>
  <c r="F155" i="12" s="1"/>
  <c r="E104" i="12"/>
  <c r="E155" i="12" s="1"/>
  <c r="D104" i="12"/>
  <c r="D155" i="12" s="1"/>
  <c r="CX103" i="12"/>
  <c r="CX154" i="12" s="1"/>
  <c r="CW103" i="12"/>
  <c r="CW154" i="12" s="1"/>
  <c r="CV103" i="12"/>
  <c r="CV154" i="12" s="1"/>
  <c r="CU103" i="12"/>
  <c r="CU154" i="12" s="1"/>
  <c r="CT103" i="12"/>
  <c r="CT154" i="12" s="1"/>
  <c r="CS103" i="12"/>
  <c r="CS154" i="12" s="1"/>
  <c r="CR103" i="12"/>
  <c r="CR154" i="12" s="1"/>
  <c r="CQ103" i="12"/>
  <c r="CQ154" i="12" s="1"/>
  <c r="CP103" i="12"/>
  <c r="CP154" i="12" s="1"/>
  <c r="CO103" i="12"/>
  <c r="CO154" i="12" s="1"/>
  <c r="CN103" i="12"/>
  <c r="CN154" i="12" s="1"/>
  <c r="CM103" i="12"/>
  <c r="CM154" i="12" s="1"/>
  <c r="CL103" i="12"/>
  <c r="CL154" i="12" s="1"/>
  <c r="CK103" i="12"/>
  <c r="CK154" i="12" s="1"/>
  <c r="CJ103" i="12"/>
  <c r="CJ154" i="12" s="1"/>
  <c r="CI103" i="12"/>
  <c r="CI154" i="12" s="1"/>
  <c r="CH103" i="12"/>
  <c r="CH154" i="12" s="1"/>
  <c r="CG103" i="12"/>
  <c r="CG154" i="12" s="1"/>
  <c r="CF103" i="12"/>
  <c r="CF154" i="12" s="1"/>
  <c r="CE103" i="12"/>
  <c r="CE154" i="12" s="1"/>
  <c r="CD103" i="12"/>
  <c r="CD154" i="12" s="1"/>
  <c r="CC103" i="12"/>
  <c r="CC154" i="12" s="1"/>
  <c r="CB103" i="12"/>
  <c r="CB154" i="12" s="1"/>
  <c r="CA103" i="12"/>
  <c r="CA154" i="12" s="1"/>
  <c r="BZ103" i="12"/>
  <c r="BZ154" i="12" s="1"/>
  <c r="BY103" i="12"/>
  <c r="BY154" i="12" s="1"/>
  <c r="BX103" i="12"/>
  <c r="BX154" i="12" s="1"/>
  <c r="BW103" i="12"/>
  <c r="BW154" i="12" s="1"/>
  <c r="BV103" i="12"/>
  <c r="BV154" i="12" s="1"/>
  <c r="BU103" i="12"/>
  <c r="BU154" i="12" s="1"/>
  <c r="BT103" i="12"/>
  <c r="BT154" i="12" s="1"/>
  <c r="BS103" i="12"/>
  <c r="BS154" i="12" s="1"/>
  <c r="BR103" i="12"/>
  <c r="BR154" i="12" s="1"/>
  <c r="BQ103" i="12"/>
  <c r="BQ154" i="12" s="1"/>
  <c r="BP103" i="12"/>
  <c r="BP154" i="12" s="1"/>
  <c r="BO103" i="12"/>
  <c r="BO154" i="12" s="1"/>
  <c r="BN103" i="12"/>
  <c r="BN154" i="12" s="1"/>
  <c r="BM103" i="12"/>
  <c r="BM154" i="12" s="1"/>
  <c r="BL103" i="12"/>
  <c r="BL154" i="12" s="1"/>
  <c r="BK103" i="12"/>
  <c r="BK154" i="12" s="1"/>
  <c r="BJ103" i="12"/>
  <c r="BJ154" i="12" s="1"/>
  <c r="BI103" i="12"/>
  <c r="BI154" i="12" s="1"/>
  <c r="BH103" i="12"/>
  <c r="BH154" i="12" s="1"/>
  <c r="BG103" i="12"/>
  <c r="BG154" i="12" s="1"/>
  <c r="BF103" i="12"/>
  <c r="BF154" i="12" s="1"/>
  <c r="BE103" i="12"/>
  <c r="BE154" i="12" s="1"/>
  <c r="BD103" i="12"/>
  <c r="BD154" i="12" s="1"/>
  <c r="BC103" i="12"/>
  <c r="BC154" i="12" s="1"/>
  <c r="BB103" i="12"/>
  <c r="BB154" i="12" s="1"/>
  <c r="BA103" i="12"/>
  <c r="BA154" i="12" s="1"/>
  <c r="AZ103" i="12"/>
  <c r="AZ154" i="12" s="1"/>
  <c r="AY103" i="12"/>
  <c r="AY154" i="12" s="1"/>
  <c r="AX103" i="12"/>
  <c r="AX154" i="12" s="1"/>
  <c r="AW103" i="12"/>
  <c r="AW154" i="12" s="1"/>
  <c r="AV103" i="12"/>
  <c r="AV154" i="12" s="1"/>
  <c r="AU103" i="12"/>
  <c r="AU154" i="12" s="1"/>
  <c r="AT103" i="12"/>
  <c r="AT154" i="12" s="1"/>
  <c r="AS103" i="12"/>
  <c r="AS154" i="12" s="1"/>
  <c r="AR103" i="12"/>
  <c r="AR154" i="12" s="1"/>
  <c r="AQ103" i="12"/>
  <c r="AQ154" i="12" s="1"/>
  <c r="AP103" i="12"/>
  <c r="AP154" i="12" s="1"/>
  <c r="AO103" i="12"/>
  <c r="AO154" i="12" s="1"/>
  <c r="AN103" i="12"/>
  <c r="AN154" i="12" s="1"/>
  <c r="AM103" i="12"/>
  <c r="AM154" i="12" s="1"/>
  <c r="AL103" i="12"/>
  <c r="AL154" i="12" s="1"/>
  <c r="AK103" i="12"/>
  <c r="AK154" i="12" s="1"/>
  <c r="AJ103" i="12"/>
  <c r="AJ154" i="12" s="1"/>
  <c r="AI103" i="12"/>
  <c r="AI154" i="12" s="1"/>
  <c r="AH103" i="12"/>
  <c r="AH154" i="12" s="1"/>
  <c r="AG103" i="12"/>
  <c r="AG154" i="12" s="1"/>
  <c r="AF103" i="12"/>
  <c r="AF154" i="12" s="1"/>
  <c r="AE103" i="12"/>
  <c r="AE154" i="12" s="1"/>
  <c r="AD103" i="12"/>
  <c r="AD154" i="12" s="1"/>
  <c r="AC103" i="12"/>
  <c r="AC154" i="12" s="1"/>
  <c r="AB103" i="12"/>
  <c r="AB154" i="12" s="1"/>
  <c r="AA103" i="12"/>
  <c r="AA154" i="12" s="1"/>
  <c r="Z103" i="12"/>
  <c r="Z154" i="12" s="1"/>
  <c r="Y103" i="12"/>
  <c r="Y154" i="12" s="1"/>
  <c r="X103" i="12"/>
  <c r="X154" i="12" s="1"/>
  <c r="W103" i="12"/>
  <c r="W154" i="12" s="1"/>
  <c r="V103" i="12"/>
  <c r="V154" i="12" s="1"/>
  <c r="U103" i="12"/>
  <c r="U154" i="12" s="1"/>
  <c r="T103" i="12"/>
  <c r="T154" i="12" s="1"/>
  <c r="S103" i="12"/>
  <c r="S154" i="12" s="1"/>
  <c r="R103" i="12"/>
  <c r="R154" i="12" s="1"/>
  <c r="Q103" i="12"/>
  <c r="Q154" i="12" s="1"/>
  <c r="P103" i="12"/>
  <c r="P154" i="12" s="1"/>
  <c r="O103" i="12"/>
  <c r="O154" i="12" s="1"/>
  <c r="N103" i="12"/>
  <c r="N154" i="12" s="1"/>
  <c r="M103" i="12"/>
  <c r="M154" i="12" s="1"/>
  <c r="L103" i="12"/>
  <c r="L154" i="12" s="1"/>
  <c r="K103" i="12"/>
  <c r="K154" i="12" s="1"/>
  <c r="J103" i="12"/>
  <c r="J154" i="12" s="1"/>
  <c r="I103" i="12"/>
  <c r="I154" i="12" s="1"/>
  <c r="H103" i="12"/>
  <c r="H154" i="12" s="1"/>
  <c r="G103" i="12"/>
  <c r="G154" i="12" s="1"/>
  <c r="F103" i="12"/>
  <c r="F154" i="12" s="1"/>
  <c r="E103" i="12"/>
  <c r="E154" i="12" s="1"/>
  <c r="D103" i="12"/>
  <c r="D154" i="12" s="1"/>
  <c r="CX102" i="12"/>
  <c r="CX153" i="12" s="1"/>
  <c r="CW102" i="12"/>
  <c r="CW153" i="12" s="1"/>
  <c r="CV102" i="12"/>
  <c r="CV153" i="12" s="1"/>
  <c r="CU102" i="12"/>
  <c r="CU153" i="12" s="1"/>
  <c r="CT102" i="12"/>
  <c r="CT153" i="12" s="1"/>
  <c r="CS102" i="12"/>
  <c r="CS153" i="12" s="1"/>
  <c r="CR102" i="12"/>
  <c r="CR153" i="12" s="1"/>
  <c r="CQ102" i="12"/>
  <c r="CQ153" i="12" s="1"/>
  <c r="CP102" i="12"/>
  <c r="CP153" i="12" s="1"/>
  <c r="CO102" i="12"/>
  <c r="CO153" i="12" s="1"/>
  <c r="CN102" i="12"/>
  <c r="CN153" i="12" s="1"/>
  <c r="CM102" i="12"/>
  <c r="CM153" i="12" s="1"/>
  <c r="CL102" i="12"/>
  <c r="CL153" i="12" s="1"/>
  <c r="CK102" i="12"/>
  <c r="CK153" i="12" s="1"/>
  <c r="CJ102" i="12"/>
  <c r="CJ153" i="12" s="1"/>
  <c r="CI102" i="12"/>
  <c r="CI153" i="12" s="1"/>
  <c r="CH102" i="12"/>
  <c r="CH153" i="12" s="1"/>
  <c r="CG102" i="12"/>
  <c r="CG153" i="12" s="1"/>
  <c r="CF102" i="12"/>
  <c r="CF153" i="12" s="1"/>
  <c r="CE102" i="12"/>
  <c r="CE153" i="12" s="1"/>
  <c r="CD102" i="12"/>
  <c r="CD153" i="12" s="1"/>
  <c r="CC102" i="12"/>
  <c r="CC153" i="12" s="1"/>
  <c r="CB102" i="12"/>
  <c r="CB153" i="12" s="1"/>
  <c r="CA102" i="12"/>
  <c r="CA153" i="12" s="1"/>
  <c r="BZ102" i="12"/>
  <c r="BZ153" i="12" s="1"/>
  <c r="BY102" i="12"/>
  <c r="BY153" i="12" s="1"/>
  <c r="BX102" i="12"/>
  <c r="BX153" i="12" s="1"/>
  <c r="BW102" i="12"/>
  <c r="BW153" i="12" s="1"/>
  <c r="BV102" i="12"/>
  <c r="BV153" i="12" s="1"/>
  <c r="BU102" i="12"/>
  <c r="BU153" i="12" s="1"/>
  <c r="BT102" i="12"/>
  <c r="BT153" i="12" s="1"/>
  <c r="BS102" i="12"/>
  <c r="BS153" i="12" s="1"/>
  <c r="BR102" i="12"/>
  <c r="BR153" i="12" s="1"/>
  <c r="BQ102" i="12"/>
  <c r="BQ153" i="12" s="1"/>
  <c r="BP102" i="12"/>
  <c r="BP153" i="12" s="1"/>
  <c r="BO102" i="12"/>
  <c r="BO153" i="12" s="1"/>
  <c r="BN102" i="12"/>
  <c r="BN153" i="12" s="1"/>
  <c r="BM102" i="12"/>
  <c r="BM153" i="12" s="1"/>
  <c r="BL102" i="12"/>
  <c r="BL153" i="12" s="1"/>
  <c r="BK102" i="12"/>
  <c r="BK153" i="12" s="1"/>
  <c r="BJ102" i="12"/>
  <c r="BJ153" i="12" s="1"/>
  <c r="BI102" i="12"/>
  <c r="BI153" i="12" s="1"/>
  <c r="BH102" i="12"/>
  <c r="BH153" i="12" s="1"/>
  <c r="BG102" i="12"/>
  <c r="BG153" i="12" s="1"/>
  <c r="BF102" i="12"/>
  <c r="BF153" i="12" s="1"/>
  <c r="BE102" i="12"/>
  <c r="BE153" i="12" s="1"/>
  <c r="BD102" i="12"/>
  <c r="BD153" i="12" s="1"/>
  <c r="BC102" i="12"/>
  <c r="BC153" i="12" s="1"/>
  <c r="BB102" i="12"/>
  <c r="BB153" i="12" s="1"/>
  <c r="BA102" i="12"/>
  <c r="BA153" i="12" s="1"/>
  <c r="AZ102" i="12"/>
  <c r="AZ153" i="12" s="1"/>
  <c r="AY102" i="12"/>
  <c r="AY153" i="12" s="1"/>
  <c r="AX102" i="12"/>
  <c r="AX153" i="12" s="1"/>
  <c r="AW102" i="12"/>
  <c r="AW153" i="12" s="1"/>
  <c r="AV102" i="12"/>
  <c r="AV153" i="12" s="1"/>
  <c r="AU102" i="12"/>
  <c r="AU153" i="12" s="1"/>
  <c r="AT102" i="12"/>
  <c r="AT153" i="12" s="1"/>
  <c r="AS102" i="12"/>
  <c r="AS153" i="12" s="1"/>
  <c r="AR102" i="12"/>
  <c r="AR153" i="12" s="1"/>
  <c r="AQ102" i="12"/>
  <c r="AQ153" i="12" s="1"/>
  <c r="AP102" i="12"/>
  <c r="AP153" i="12" s="1"/>
  <c r="AO102" i="12"/>
  <c r="AO153" i="12" s="1"/>
  <c r="AN102" i="12"/>
  <c r="AN153" i="12" s="1"/>
  <c r="AM102" i="12"/>
  <c r="AM153" i="12" s="1"/>
  <c r="AL102" i="12"/>
  <c r="AL153" i="12" s="1"/>
  <c r="AK102" i="12"/>
  <c r="AK153" i="12" s="1"/>
  <c r="AJ102" i="12"/>
  <c r="AJ153" i="12" s="1"/>
  <c r="AI102" i="12"/>
  <c r="AI153" i="12" s="1"/>
  <c r="AH102" i="12"/>
  <c r="AH153" i="12" s="1"/>
  <c r="AG102" i="12"/>
  <c r="AG153" i="12" s="1"/>
  <c r="AF102" i="12"/>
  <c r="AF153" i="12" s="1"/>
  <c r="AE102" i="12"/>
  <c r="AE153" i="12" s="1"/>
  <c r="AD102" i="12"/>
  <c r="AD153" i="12" s="1"/>
  <c r="AC102" i="12"/>
  <c r="AC153" i="12" s="1"/>
  <c r="AB102" i="12"/>
  <c r="AB153" i="12" s="1"/>
  <c r="AA102" i="12"/>
  <c r="AA153" i="12" s="1"/>
  <c r="Z102" i="12"/>
  <c r="Z153" i="12" s="1"/>
  <c r="Y102" i="12"/>
  <c r="Y153" i="12" s="1"/>
  <c r="X102" i="12"/>
  <c r="X153" i="12" s="1"/>
  <c r="W102" i="12"/>
  <c r="W153" i="12" s="1"/>
  <c r="V102" i="12"/>
  <c r="V153" i="12" s="1"/>
  <c r="U102" i="12"/>
  <c r="U153" i="12" s="1"/>
  <c r="T102" i="12"/>
  <c r="T153" i="12" s="1"/>
  <c r="S102" i="12"/>
  <c r="S153" i="12" s="1"/>
  <c r="R102" i="12"/>
  <c r="R153" i="12" s="1"/>
  <c r="Q102" i="12"/>
  <c r="Q153" i="12" s="1"/>
  <c r="P102" i="12"/>
  <c r="P153" i="12" s="1"/>
  <c r="O102" i="12"/>
  <c r="O153" i="12" s="1"/>
  <c r="N102" i="12"/>
  <c r="N153" i="12" s="1"/>
  <c r="M102" i="12"/>
  <c r="M153" i="12" s="1"/>
  <c r="L102" i="12"/>
  <c r="L153" i="12" s="1"/>
  <c r="K102" i="12"/>
  <c r="K153" i="12" s="1"/>
  <c r="J102" i="12"/>
  <c r="J153" i="12" s="1"/>
  <c r="I102" i="12"/>
  <c r="I153" i="12" s="1"/>
  <c r="H102" i="12"/>
  <c r="H153" i="12" s="1"/>
  <c r="G102" i="12"/>
  <c r="G153" i="12" s="1"/>
  <c r="F102" i="12"/>
  <c r="F153" i="12" s="1"/>
  <c r="E102" i="12"/>
  <c r="E153" i="12" s="1"/>
  <c r="D102" i="12"/>
  <c r="D153" i="12" s="1"/>
  <c r="CX95" i="12"/>
  <c r="CW95" i="12"/>
  <c r="CV95" i="12"/>
  <c r="CU95" i="12"/>
  <c r="CT95" i="12"/>
  <c r="CS95" i="12"/>
  <c r="CR95" i="12"/>
  <c r="CQ95" i="12"/>
  <c r="CP95" i="12"/>
  <c r="CO95" i="12"/>
  <c r="CN95" i="12"/>
  <c r="CM95" i="12"/>
  <c r="CL95" i="12"/>
  <c r="CK95" i="12"/>
  <c r="CJ95" i="12"/>
  <c r="CI95" i="12"/>
  <c r="CH95" i="12"/>
  <c r="CG95" i="12"/>
  <c r="CF95" i="12"/>
  <c r="CE95" i="12"/>
  <c r="CD95" i="12"/>
  <c r="CC95" i="12"/>
  <c r="CB95" i="12"/>
  <c r="CA95" i="12"/>
  <c r="BZ95" i="12"/>
  <c r="BY95" i="12"/>
  <c r="BX95" i="12"/>
  <c r="BW95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AZ95" i="12"/>
  <c r="AY95" i="12"/>
  <c r="AX95" i="12"/>
  <c r="AW95" i="12"/>
  <c r="AV95" i="12"/>
  <c r="AU95" i="12"/>
  <c r="AT95" i="12"/>
  <c r="AS95" i="12"/>
  <c r="AR95" i="12"/>
  <c r="AQ95" i="12"/>
  <c r="AP95" i="12"/>
  <c r="AO95" i="12"/>
  <c r="AN95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J95" i="12"/>
  <c r="I95" i="12"/>
  <c r="H95" i="12"/>
  <c r="G95" i="12"/>
  <c r="F95" i="12"/>
  <c r="E95" i="12"/>
  <c r="D95" i="12"/>
  <c r="CX94" i="12"/>
  <c r="CW94" i="12"/>
  <c r="CV94" i="12"/>
  <c r="CU94" i="12"/>
  <c r="CT94" i="12"/>
  <c r="CS94" i="12"/>
  <c r="CR94" i="12"/>
  <c r="CQ94" i="12"/>
  <c r="CP94" i="12"/>
  <c r="CO94" i="12"/>
  <c r="CN94" i="12"/>
  <c r="CM94" i="12"/>
  <c r="CL94" i="12"/>
  <c r="CK94" i="12"/>
  <c r="CJ94" i="12"/>
  <c r="CI94" i="12"/>
  <c r="CH94" i="12"/>
  <c r="CG94" i="12"/>
  <c r="CF94" i="12"/>
  <c r="CE94" i="12"/>
  <c r="CD94" i="12"/>
  <c r="CC94" i="12"/>
  <c r="CB94" i="12"/>
  <c r="CA94" i="12"/>
  <c r="BZ94" i="12"/>
  <c r="BY94" i="12"/>
  <c r="BX94" i="12"/>
  <c r="BW94" i="12"/>
  <c r="BV94" i="12"/>
  <c r="BU94" i="12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AZ94" i="12"/>
  <c r="AY94" i="12"/>
  <c r="AX94" i="12"/>
  <c r="AW94" i="12"/>
  <c r="AV94" i="12"/>
  <c r="AU94" i="12"/>
  <c r="AT94" i="12"/>
  <c r="AS94" i="12"/>
  <c r="AR94" i="12"/>
  <c r="AQ94" i="12"/>
  <c r="AP94" i="12"/>
  <c r="AO94" i="12"/>
  <c r="AN94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D94" i="12"/>
  <c r="CX93" i="12"/>
  <c r="CW93" i="12"/>
  <c r="CV93" i="12"/>
  <c r="CU93" i="12"/>
  <c r="CT93" i="12"/>
  <c r="CS93" i="12"/>
  <c r="CR93" i="12"/>
  <c r="CQ93" i="12"/>
  <c r="CP93" i="12"/>
  <c r="CO93" i="12"/>
  <c r="CN93" i="12"/>
  <c r="CM93" i="12"/>
  <c r="CL93" i="12"/>
  <c r="CK93" i="12"/>
  <c r="CJ93" i="12"/>
  <c r="CI93" i="12"/>
  <c r="CH93" i="12"/>
  <c r="CG93" i="12"/>
  <c r="CF93" i="12"/>
  <c r="CE93" i="12"/>
  <c r="CD93" i="12"/>
  <c r="CC93" i="12"/>
  <c r="CB93" i="12"/>
  <c r="CA93" i="12"/>
  <c r="BZ93" i="12"/>
  <c r="BY93" i="12"/>
  <c r="BX93" i="12"/>
  <c r="BW93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E93" i="12"/>
  <c r="BD93" i="12"/>
  <c r="BC93" i="12"/>
  <c r="BB93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CX92" i="12"/>
  <c r="CW92" i="12"/>
  <c r="CV92" i="12"/>
  <c r="CU92" i="12"/>
  <c r="CT92" i="12"/>
  <c r="CS92" i="12"/>
  <c r="CR92" i="12"/>
  <c r="CQ92" i="12"/>
  <c r="CP92" i="12"/>
  <c r="CO92" i="12"/>
  <c r="CN92" i="12"/>
  <c r="CM92" i="12"/>
  <c r="CL92" i="12"/>
  <c r="CK92" i="12"/>
  <c r="CJ92" i="12"/>
  <c r="CI92" i="12"/>
  <c r="CH92" i="12"/>
  <c r="CG92" i="12"/>
  <c r="CF92" i="12"/>
  <c r="CE92" i="12"/>
  <c r="CD92" i="12"/>
  <c r="CC92" i="12"/>
  <c r="CB92" i="12"/>
  <c r="CA92" i="12"/>
  <c r="BZ92" i="12"/>
  <c r="BY92" i="12"/>
  <c r="BX92" i="12"/>
  <c r="BW92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AZ92" i="12"/>
  <c r="AY92" i="12"/>
  <c r="AX92" i="12"/>
  <c r="AW92" i="12"/>
  <c r="AV92" i="12"/>
  <c r="AU92" i="12"/>
  <c r="AT92" i="12"/>
  <c r="AS92" i="12"/>
  <c r="AR92" i="12"/>
  <c r="AQ92" i="12"/>
  <c r="AP92" i="12"/>
  <c r="AO92" i="12"/>
  <c r="AN92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K92" i="12"/>
  <c r="J92" i="12"/>
  <c r="I92" i="12"/>
  <c r="H92" i="12"/>
  <c r="G92" i="12"/>
  <c r="F92" i="12"/>
  <c r="E92" i="12"/>
  <c r="D92" i="12"/>
  <c r="CX91" i="12"/>
  <c r="CW91" i="12"/>
  <c r="CV91" i="12"/>
  <c r="CU91" i="12"/>
  <c r="CT91" i="12"/>
  <c r="CS91" i="12"/>
  <c r="CR91" i="12"/>
  <c r="CQ91" i="12"/>
  <c r="CP91" i="12"/>
  <c r="CO91" i="12"/>
  <c r="CN91" i="12"/>
  <c r="CM91" i="12"/>
  <c r="CL91" i="12"/>
  <c r="CK91" i="12"/>
  <c r="CJ91" i="12"/>
  <c r="CI91" i="12"/>
  <c r="CH91" i="12"/>
  <c r="CG91" i="12"/>
  <c r="CF91" i="12"/>
  <c r="CE91" i="12"/>
  <c r="CD91" i="12"/>
  <c r="CC91" i="12"/>
  <c r="CB91" i="12"/>
  <c r="CA91" i="12"/>
  <c r="BZ91" i="12"/>
  <c r="BY91" i="12"/>
  <c r="BX91" i="12"/>
  <c r="BW91" i="12"/>
  <c r="BV91" i="12"/>
  <c r="BU91" i="12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Z91" i="12"/>
  <c r="AY91" i="12"/>
  <c r="AX91" i="12"/>
  <c r="AW91" i="12"/>
  <c r="AV91" i="12"/>
  <c r="AU91" i="12"/>
  <c r="AT91" i="12"/>
  <c r="AS91" i="12"/>
  <c r="AR91" i="12"/>
  <c r="AQ91" i="12"/>
  <c r="AP91" i="12"/>
  <c r="AO91" i="12"/>
  <c r="AN91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K91" i="12"/>
  <c r="J91" i="12"/>
  <c r="I91" i="12"/>
  <c r="H91" i="12"/>
  <c r="G91" i="12"/>
  <c r="F91" i="12"/>
  <c r="E91" i="12"/>
  <c r="D91" i="12"/>
  <c r="CX45" i="12"/>
  <c r="CX72" i="12" s="1"/>
  <c r="CW45" i="12"/>
  <c r="CW72" i="12" s="1"/>
  <c r="CV45" i="12"/>
  <c r="CV72" i="12" s="1"/>
  <c r="CU45" i="12"/>
  <c r="CU72" i="12" s="1"/>
  <c r="CT45" i="12"/>
  <c r="CT72" i="12" s="1"/>
  <c r="CS45" i="12"/>
  <c r="CS72" i="12" s="1"/>
  <c r="CR45" i="12"/>
  <c r="CR72" i="12" s="1"/>
  <c r="CQ45" i="12"/>
  <c r="CQ72" i="12" s="1"/>
  <c r="CP45" i="12"/>
  <c r="CP72" i="12" s="1"/>
  <c r="CO45" i="12"/>
  <c r="CO72" i="12" s="1"/>
  <c r="CN45" i="12"/>
  <c r="CN72" i="12" s="1"/>
  <c r="CM45" i="12"/>
  <c r="CM72" i="12" s="1"/>
  <c r="CL45" i="12"/>
  <c r="CL72" i="12" s="1"/>
  <c r="CK45" i="12"/>
  <c r="CK72" i="12" s="1"/>
  <c r="CJ45" i="12"/>
  <c r="CJ72" i="12" s="1"/>
  <c r="CI45" i="12"/>
  <c r="CI72" i="12" s="1"/>
  <c r="CH45" i="12"/>
  <c r="CH72" i="12" s="1"/>
  <c r="CG45" i="12"/>
  <c r="CG72" i="12" s="1"/>
  <c r="CF45" i="12"/>
  <c r="CF72" i="12" s="1"/>
  <c r="CE45" i="12"/>
  <c r="CE72" i="12" s="1"/>
  <c r="CD45" i="12"/>
  <c r="CD72" i="12" s="1"/>
  <c r="CC45" i="12"/>
  <c r="CC72" i="12" s="1"/>
  <c r="CB45" i="12"/>
  <c r="CB72" i="12" s="1"/>
  <c r="CA45" i="12"/>
  <c r="CA72" i="12" s="1"/>
  <c r="BZ45" i="12"/>
  <c r="BZ72" i="12" s="1"/>
  <c r="BY45" i="12"/>
  <c r="BY72" i="12" s="1"/>
  <c r="BX45" i="12"/>
  <c r="BX72" i="12" s="1"/>
  <c r="BW45" i="12"/>
  <c r="BW72" i="12" s="1"/>
  <c r="BV45" i="12"/>
  <c r="BV72" i="12" s="1"/>
  <c r="BU45" i="12"/>
  <c r="BU72" i="12" s="1"/>
  <c r="BT45" i="12"/>
  <c r="BT72" i="12" s="1"/>
  <c r="BS45" i="12"/>
  <c r="BS72" i="12" s="1"/>
  <c r="BR45" i="12"/>
  <c r="BR72" i="12" s="1"/>
  <c r="BQ45" i="12"/>
  <c r="BQ72" i="12" s="1"/>
  <c r="BP45" i="12"/>
  <c r="BP72" i="12" s="1"/>
  <c r="BO45" i="12"/>
  <c r="BO72" i="12" s="1"/>
  <c r="BN45" i="12"/>
  <c r="BN72" i="12" s="1"/>
  <c r="BM45" i="12"/>
  <c r="BM72" i="12" s="1"/>
  <c r="BL45" i="12"/>
  <c r="BL72" i="12" s="1"/>
  <c r="BK45" i="12"/>
  <c r="BK72" i="12" s="1"/>
  <c r="BJ45" i="12"/>
  <c r="BJ72" i="12" s="1"/>
  <c r="BI45" i="12"/>
  <c r="BI72" i="12" s="1"/>
  <c r="BH45" i="12"/>
  <c r="BH72" i="12" s="1"/>
  <c r="BG45" i="12"/>
  <c r="BG72" i="12" s="1"/>
  <c r="BF45" i="12"/>
  <c r="BF72" i="12" s="1"/>
  <c r="BE45" i="12"/>
  <c r="BE72" i="12" s="1"/>
  <c r="BD45" i="12"/>
  <c r="BD72" i="12" s="1"/>
  <c r="BC45" i="12"/>
  <c r="BC72" i="12" s="1"/>
  <c r="BB45" i="12"/>
  <c r="BB72" i="12" s="1"/>
  <c r="BA45" i="12"/>
  <c r="BA72" i="12" s="1"/>
  <c r="AZ45" i="12"/>
  <c r="AZ72" i="12" s="1"/>
  <c r="AY45" i="12"/>
  <c r="AY72" i="12" s="1"/>
  <c r="AX45" i="12"/>
  <c r="AX72" i="12" s="1"/>
  <c r="AW45" i="12"/>
  <c r="AW72" i="12" s="1"/>
  <c r="AV45" i="12"/>
  <c r="AV72" i="12" s="1"/>
  <c r="AU45" i="12"/>
  <c r="AU72" i="12" s="1"/>
  <c r="AT45" i="12"/>
  <c r="AT72" i="12" s="1"/>
  <c r="AS45" i="12"/>
  <c r="AS72" i="12" s="1"/>
  <c r="AR45" i="12"/>
  <c r="AR72" i="12" s="1"/>
  <c r="AQ45" i="12"/>
  <c r="AQ72" i="12" s="1"/>
  <c r="AP45" i="12"/>
  <c r="AP72" i="12" s="1"/>
  <c r="AO45" i="12"/>
  <c r="AO72" i="12" s="1"/>
  <c r="AN45" i="12"/>
  <c r="AN72" i="12" s="1"/>
  <c r="AM45" i="12"/>
  <c r="AM72" i="12" s="1"/>
  <c r="AL45" i="12"/>
  <c r="AL72" i="12" s="1"/>
  <c r="AK45" i="12"/>
  <c r="AK72" i="12" s="1"/>
  <c r="AJ45" i="12"/>
  <c r="AJ72" i="12" s="1"/>
  <c r="AI45" i="12"/>
  <c r="AI72" i="12" s="1"/>
  <c r="AH45" i="12"/>
  <c r="AH72" i="12" s="1"/>
  <c r="AG45" i="12"/>
  <c r="AG72" i="12" s="1"/>
  <c r="AF45" i="12"/>
  <c r="AF72" i="12" s="1"/>
  <c r="AE45" i="12"/>
  <c r="AE72" i="12" s="1"/>
  <c r="AD45" i="12"/>
  <c r="AD72" i="12" s="1"/>
  <c r="AC45" i="12"/>
  <c r="AC72" i="12" s="1"/>
  <c r="AB45" i="12"/>
  <c r="AB72" i="12" s="1"/>
  <c r="AA45" i="12"/>
  <c r="AA72" i="12" s="1"/>
  <c r="Z45" i="12"/>
  <c r="Z72" i="12" s="1"/>
  <c r="Y45" i="12"/>
  <c r="Y72" i="12" s="1"/>
  <c r="X45" i="12"/>
  <c r="X72" i="12" s="1"/>
  <c r="W45" i="12"/>
  <c r="W72" i="12" s="1"/>
  <c r="V45" i="12"/>
  <c r="V72" i="12" s="1"/>
  <c r="U45" i="12"/>
  <c r="U72" i="12" s="1"/>
  <c r="T45" i="12"/>
  <c r="T72" i="12" s="1"/>
  <c r="S45" i="12"/>
  <c r="S72" i="12" s="1"/>
  <c r="R45" i="12"/>
  <c r="R72" i="12" s="1"/>
  <c r="Q45" i="12"/>
  <c r="Q72" i="12" s="1"/>
  <c r="P45" i="12"/>
  <c r="P72" i="12" s="1"/>
  <c r="O45" i="12"/>
  <c r="O72" i="12" s="1"/>
  <c r="N45" i="12"/>
  <c r="N72" i="12" s="1"/>
  <c r="M45" i="12"/>
  <c r="M72" i="12" s="1"/>
  <c r="L45" i="12"/>
  <c r="L72" i="12" s="1"/>
  <c r="K45" i="12"/>
  <c r="K72" i="12" s="1"/>
  <c r="J45" i="12"/>
  <c r="J72" i="12" s="1"/>
  <c r="I45" i="12"/>
  <c r="I72" i="12" s="1"/>
  <c r="H45" i="12"/>
  <c r="H72" i="12" s="1"/>
  <c r="G45" i="12"/>
  <c r="G72" i="12" s="1"/>
  <c r="F45" i="12"/>
  <c r="F72" i="12" s="1"/>
  <c r="E45" i="12"/>
  <c r="E72" i="12" s="1"/>
  <c r="D45" i="12"/>
  <c r="D72" i="12" s="1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CX20" i="12"/>
  <c r="CW20" i="12"/>
  <c r="CW71" i="12" s="1"/>
  <c r="CV20" i="12"/>
  <c r="CV71" i="12" s="1"/>
  <c r="CU20" i="12"/>
  <c r="CU71" i="12" s="1"/>
  <c r="CT20" i="12"/>
  <c r="CT71" i="12" s="1"/>
  <c r="CS20" i="12"/>
  <c r="CS71" i="12" s="1"/>
  <c r="CR20" i="12"/>
  <c r="CR71" i="12" s="1"/>
  <c r="CQ20" i="12"/>
  <c r="CQ71" i="12" s="1"/>
  <c r="CP20" i="12"/>
  <c r="CP71" i="12" s="1"/>
  <c r="CO20" i="12"/>
  <c r="CO71" i="12" s="1"/>
  <c r="CN20" i="12"/>
  <c r="CN71" i="12" s="1"/>
  <c r="CM20" i="12"/>
  <c r="CM71" i="12" s="1"/>
  <c r="CL20" i="12"/>
  <c r="CL71" i="12" s="1"/>
  <c r="CK20" i="12"/>
  <c r="CK71" i="12" s="1"/>
  <c r="CJ20" i="12"/>
  <c r="CJ71" i="12" s="1"/>
  <c r="CI20" i="12"/>
  <c r="CI71" i="12" s="1"/>
  <c r="CH20" i="12"/>
  <c r="CH71" i="12" s="1"/>
  <c r="CG20" i="12"/>
  <c r="CG71" i="12" s="1"/>
  <c r="CF20" i="12"/>
  <c r="CF71" i="12" s="1"/>
  <c r="CE20" i="12"/>
  <c r="CE71" i="12" s="1"/>
  <c r="CD20" i="12"/>
  <c r="CD71" i="12" s="1"/>
  <c r="CC20" i="12"/>
  <c r="CC71" i="12" s="1"/>
  <c r="CB20" i="12"/>
  <c r="CB71" i="12" s="1"/>
  <c r="CA20" i="12"/>
  <c r="CA71" i="12" s="1"/>
  <c r="BZ20" i="12"/>
  <c r="BZ71" i="12" s="1"/>
  <c r="BY20" i="12"/>
  <c r="BY71" i="12" s="1"/>
  <c r="BX20" i="12"/>
  <c r="BX71" i="12" s="1"/>
  <c r="BW20" i="12"/>
  <c r="BW71" i="12" s="1"/>
  <c r="BV20" i="12"/>
  <c r="BV71" i="12" s="1"/>
  <c r="BU20" i="12"/>
  <c r="BU71" i="12" s="1"/>
  <c r="BT20" i="12"/>
  <c r="BT71" i="12" s="1"/>
  <c r="BS20" i="12"/>
  <c r="BS71" i="12" s="1"/>
  <c r="BR20" i="12"/>
  <c r="BR71" i="12" s="1"/>
  <c r="BQ20" i="12"/>
  <c r="BQ71" i="12" s="1"/>
  <c r="BP20" i="12"/>
  <c r="BP71" i="12" s="1"/>
  <c r="BO20" i="12"/>
  <c r="BO71" i="12" s="1"/>
  <c r="BN20" i="12"/>
  <c r="BN71" i="12" s="1"/>
  <c r="BM20" i="12"/>
  <c r="BM71" i="12" s="1"/>
  <c r="BL20" i="12"/>
  <c r="BL71" i="12" s="1"/>
  <c r="BK20" i="12"/>
  <c r="BK71" i="12" s="1"/>
  <c r="BJ20" i="12"/>
  <c r="BJ71" i="12" s="1"/>
  <c r="BI20" i="12"/>
  <c r="BI71" i="12" s="1"/>
  <c r="BH20" i="12"/>
  <c r="BH71" i="12" s="1"/>
  <c r="BG20" i="12"/>
  <c r="BG71" i="12" s="1"/>
  <c r="BF20" i="12"/>
  <c r="BF71" i="12" s="1"/>
  <c r="BE20" i="12"/>
  <c r="BE71" i="12" s="1"/>
  <c r="BD20" i="12"/>
  <c r="BD71" i="12" s="1"/>
  <c r="BC20" i="12"/>
  <c r="BC71" i="12" s="1"/>
  <c r="BB20" i="12"/>
  <c r="BB71" i="12" s="1"/>
  <c r="BA20" i="12"/>
  <c r="BA71" i="12" s="1"/>
  <c r="AZ20" i="12"/>
  <c r="AZ71" i="12" s="1"/>
  <c r="AY20" i="12"/>
  <c r="AY71" i="12" s="1"/>
  <c r="AX20" i="12"/>
  <c r="AX71" i="12" s="1"/>
  <c r="AW20" i="12"/>
  <c r="AW71" i="12" s="1"/>
  <c r="AV20" i="12"/>
  <c r="AV71" i="12" s="1"/>
  <c r="AU20" i="12"/>
  <c r="AU71" i="12" s="1"/>
  <c r="AT20" i="12"/>
  <c r="AT71" i="12" s="1"/>
  <c r="AS20" i="12"/>
  <c r="AS71" i="12" s="1"/>
  <c r="AR20" i="12"/>
  <c r="AR71" i="12" s="1"/>
  <c r="AQ20" i="12"/>
  <c r="AQ71" i="12" s="1"/>
  <c r="AP20" i="12"/>
  <c r="AP71" i="12" s="1"/>
  <c r="AO20" i="12"/>
  <c r="AO71" i="12" s="1"/>
  <c r="AN20" i="12"/>
  <c r="AN71" i="12" s="1"/>
  <c r="AM20" i="12"/>
  <c r="AM71" i="12" s="1"/>
  <c r="AL20" i="12"/>
  <c r="AL71" i="12" s="1"/>
  <c r="AK20" i="12"/>
  <c r="AK71" i="12" s="1"/>
  <c r="AJ20" i="12"/>
  <c r="AJ71" i="12" s="1"/>
  <c r="AI20" i="12"/>
  <c r="AI71" i="12" s="1"/>
  <c r="AH20" i="12"/>
  <c r="AH71" i="12" s="1"/>
  <c r="AG20" i="12"/>
  <c r="AG71" i="12" s="1"/>
  <c r="AF20" i="12"/>
  <c r="AF71" i="12" s="1"/>
  <c r="AE20" i="12"/>
  <c r="AE71" i="12" s="1"/>
  <c r="AD20" i="12"/>
  <c r="AD71" i="12" s="1"/>
  <c r="AC20" i="12"/>
  <c r="AC71" i="12" s="1"/>
  <c r="AB20" i="12"/>
  <c r="AB71" i="12" s="1"/>
  <c r="AA20" i="12"/>
  <c r="AA71" i="12" s="1"/>
  <c r="Z20" i="12"/>
  <c r="Z71" i="12" s="1"/>
  <c r="Y20" i="12"/>
  <c r="Y71" i="12" s="1"/>
  <c r="X20" i="12"/>
  <c r="X71" i="12" s="1"/>
  <c r="W20" i="12"/>
  <c r="W71" i="12" s="1"/>
  <c r="V20" i="12"/>
  <c r="V71" i="12" s="1"/>
  <c r="U20" i="12"/>
  <c r="U71" i="12" s="1"/>
  <c r="T20" i="12"/>
  <c r="T71" i="12" s="1"/>
  <c r="S20" i="12"/>
  <c r="S71" i="12" s="1"/>
  <c r="R20" i="12"/>
  <c r="R71" i="12" s="1"/>
  <c r="Q20" i="12"/>
  <c r="Q71" i="12" s="1"/>
  <c r="P20" i="12"/>
  <c r="P71" i="12" s="1"/>
  <c r="O20" i="12"/>
  <c r="O71" i="12" s="1"/>
  <c r="N20" i="12"/>
  <c r="N71" i="12" s="1"/>
  <c r="M20" i="12"/>
  <c r="M71" i="12" s="1"/>
  <c r="L20" i="12"/>
  <c r="L71" i="12" s="1"/>
  <c r="K20" i="12"/>
  <c r="K71" i="12" s="1"/>
  <c r="J20" i="12"/>
  <c r="J71" i="12" s="1"/>
  <c r="I20" i="12"/>
  <c r="I71" i="12" s="1"/>
  <c r="H20" i="12"/>
  <c r="H71" i="12" s="1"/>
  <c r="G20" i="12"/>
  <c r="G71" i="12" s="1"/>
  <c r="F20" i="12"/>
  <c r="F71" i="12" s="1"/>
  <c r="E20" i="12"/>
  <c r="E71" i="12" s="1"/>
  <c r="D20" i="12"/>
  <c r="D71" i="12" s="1"/>
  <c r="CX19" i="12"/>
  <c r="CX70" i="12" s="1"/>
  <c r="CW19" i="12"/>
  <c r="CW70" i="12" s="1"/>
  <c r="CV19" i="12"/>
  <c r="CV70" i="12" s="1"/>
  <c r="CU19" i="12"/>
  <c r="CU70" i="12" s="1"/>
  <c r="CT19" i="12"/>
  <c r="CT70" i="12" s="1"/>
  <c r="CS19" i="12"/>
  <c r="CS70" i="12" s="1"/>
  <c r="CR19" i="12"/>
  <c r="CR70" i="12" s="1"/>
  <c r="CQ19" i="12"/>
  <c r="CQ70" i="12" s="1"/>
  <c r="CP19" i="12"/>
  <c r="CP70" i="12" s="1"/>
  <c r="CO19" i="12"/>
  <c r="CO70" i="12" s="1"/>
  <c r="CN19" i="12"/>
  <c r="CN70" i="12" s="1"/>
  <c r="CM19" i="12"/>
  <c r="CM70" i="12" s="1"/>
  <c r="CL19" i="12"/>
  <c r="CL70" i="12" s="1"/>
  <c r="CK19" i="12"/>
  <c r="CK70" i="12" s="1"/>
  <c r="CJ19" i="12"/>
  <c r="CJ70" i="12" s="1"/>
  <c r="CI19" i="12"/>
  <c r="CI70" i="12" s="1"/>
  <c r="CH19" i="12"/>
  <c r="CH70" i="12" s="1"/>
  <c r="CG19" i="12"/>
  <c r="CG70" i="12" s="1"/>
  <c r="CF19" i="12"/>
  <c r="CF70" i="12" s="1"/>
  <c r="CE19" i="12"/>
  <c r="CE70" i="12" s="1"/>
  <c r="CD19" i="12"/>
  <c r="CD70" i="12" s="1"/>
  <c r="CC19" i="12"/>
  <c r="CC70" i="12" s="1"/>
  <c r="CB19" i="12"/>
  <c r="CB70" i="12" s="1"/>
  <c r="CA19" i="12"/>
  <c r="CA70" i="12" s="1"/>
  <c r="BZ19" i="12"/>
  <c r="BZ70" i="12" s="1"/>
  <c r="BY19" i="12"/>
  <c r="BY70" i="12" s="1"/>
  <c r="BX19" i="12"/>
  <c r="BX70" i="12" s="1"/>
  <c r="BW19" i="12"/>
  <c r="BW70" i="12" s="1"/>
  <c r="BV19" i="12"/>
  <c r="BV70" i="12" s="1"/>
  <c r="BU19" i="12"/>
  <c r="BU70" i="12" s="1"/>
  <c r="BT19" i="12"/>
  <c r="BT70" i="12" s="1"/>
  <c r="BS19" i="12"/>
  <c r="BS70" i="12" s="1"/>
  <c r="BR19" i="12"/>
  <c r="BR70" i="12" s="1"/>
  <c r="BQ19" i="12"/>
  <c r="BQ70" i="12" s="1"/>
  <c r="BP19" i="12"/>
  <c r="BP70" i="12" s="1"/>
  <c r="BO19" i="12"/>
  <c r="BO70" i="12" s="1"/>
  <c r="BN19" i="12"/>
  <c r="BN70" i="12" s="1"/>
  <c r="BM19" i="12"/>
  <c r="BM70" i="12" s="1"/>
  <c r="BL19" i="12"/>
  <c r="BL70" i="12" s="1"/>
  <c r="BK19" i="12"/>
  <c r="BK70" i="12" s="1"/>
  <c r="BJ19" i="12"/>
  <c r="BJ70" i="12" s="1"/>
  <c r="BI19" i="12"/>
  <c r="BI70" i="12" s="1"/>
  <c r="BH19" i="12"/>
  <c r="BH70" i="12" s="1"/>
  <c r="BG19" i="12"/>
  <c r="BG70" i="12" s="1"/>
  <c r="BF19" i="12"/>
  <c r="BF70" i="12" s="1"/>
  <c r="BE19" i="12"/>
  <c r="BE70" i="12" s="1"/>
  <c r="BD19" i="12"/>
  <c r="BD70" i="12" s="1"/>
  <c r="BC19" i="12"/>
  <c r="BC70" i="12" s="1"/>
  <c r="BB19" i="12"/>
  <c r="BB70" i="12" s="1"/>
  <c r="BA19" i="12"/>
  <c r="BA70" i="12" s="1"/>
  <c r="AZ19" i="12"/>
  <c r="AZ70" i="12" s="1"/>
  <c r="AY19" i="12"/>
  <c r="AY70" i="12" s="1"/>
  <c r="AX19" i="12"/>
  <c r="AX70" i="12" s="1"/>
  <c r="AW19" i="12"/>
  <c r="AW70" i="12" s="1"/>
  <c r="AV19" i="12"/>
  <c r="AV70" i="12" s="1"/>
  <c r="AU19" i="12"/>
  <c r="AU70" i="12" s="1"/>
  <c r="AT19" i="12"/>
  <c r="AT70" i="12" s="1"/>
  <c r="AS19" i="12"/>
  <c r="AS70" i="12" s="1"/>
  <c r="AR19" i="12"/>
  <c r="AR70" i="12" s="1"/>
  <c r="AQ19" i="12"/>
  <c r="AQ70" i="12" s="1"/>
  <c r="AP19" i="12"/>
  <c r="AP70" i="12" s="1"/>
  <c r="AO19" i="12"/>
  <c r="AO70" i="12" s="1"/>
  <c r="AN19" i="12"/>
  <c r="AN70" i="12" s="1"/>
  <c r="AM19" i="12"/>
  <c r="AM70" i="12" s="1"/>
  <c r="AL19" i="12"/>
  <c r="AL70" i="12" s="1"/>
  <c r="AK19" i="12"/>
  <c r="AK70" i="12" s="1"/>
  <c r="AJ19" i="12"/>
  <c r="AJ70" i="12" s="1"/>
  <c r="AI19" i="12"/>
  <c r="AI70" i="12" s="1"/>
  <c r="AH19" i="12"/>
  <c r="AH70" i="12" s="1"/>
  <c r="AG19" i="12"/>
  <c r="AG70" i="12" s="1"/>
  <c r="AF19" i="12"/>
  <c r="AF70" i="12" s="1"/>
  <c r="AE19" i="12"/>
  <c r="AE70" i="12" s="1"/>
  <c r="AD19" i="12"/>
  <c r="AD70" i="12" s="1"/>
  <c r="AC19" i="12"/>
  <c r="AC70" i="12" s="1"/>
  <c r="AB19" i="12"/>
  <c r="AB70" i="12" s="1"/>
  <c r="AA19" i="12"/>
  <c r="AA70" i="12" s="1"/>
  <c r="Z19" i="12"/>
  <c r="Z70" i="12" s="1"/>
  <c r="Y19" i="12"/>
  <c r="Y70" i="12" s="1"/>
  <c r="X19" i="12"/>
  <c r="X70" i="12" s="1"/>
  <c r="W19" i="12"/>
  <c r="W70" i="12" s="1"/>
  <c r="V19" i="12"/>
  <c r="V70" i="12" s="1"/>
  <c r="U19" i="12"/>
  <c r="U70" i="12" s="1"/>
  <c r="T19" i="12"/>
  <c r="T70" i="12" s="1"/>
  <c r="S19" i="12"/>
  <c r="S70" i="12" s="1"/>
  <c r="R19" i="12"/>
  <c r="R70" i="12" s="1"/>
  <c r="Q19" i="12"/>
  <c r="Q70" i="12" s="1"/>
  <c r="P19" i="12"/>
  <c r="P70" i="12" s="1"/>
  <c r="O19" i="12"/>
  <c r="O70" i="12" s="1"/>
  <c r="N19" i="12"/>
  <c r="N70" i="12" s="1"/>
  <c r="M19" i="12"/>
  <c r="M70" i="12" s="1"/>
  <c r="L19" i="12"/>
  <c r="L70" i="12" s="1"/>
  <c r="K19" i="12"/>
  <c r="K70" i="12" s="1"/>
  <c r="J19" i="12"/>
  <c r="J70" i="12" s="1"/>
  <c r="I19" i="12"/>
  <c r="I70" i="12" s="1"/>
  <c r="H19" i="12"/>
  <c r="H70" i="12" s="1"/>
  <c r="G19" i="12"/>
  <c r="G70" i="12" s="1"/>
  <c r="F19" i="12"/>
  <c r="F70" i="12" s="1"/>
  <c r="E19" i="12"/>
  <c r="E70" i="12" s="1"/>
  <c r="D19" i="12"/>
  <c r="D70" i="12" s="1"/>
  <c r="CX18" i="12"/>
  <c r="CX69" i="12" s="1"/>
  <c r="CW18" i="12"/>
  <c r="CW69" i="12" s="1"/>
  <c r="CV18" i="12"/>
  <c r="CV69" i="12" s="1"/>
  <c r="CU18" i="12"/>
  <c r="CU69" i="12" s="1"/>
  <c r="CT18" i="12"/>
  <c r="CT69" i="12" s="1"/>
  <c r="CS18" i="12"/>
  <c r="CS69" i="12" s="1"/>
  <c r="CR18" i="12"/>
  <c r="CR69" i="12" s="1"/>
  <c r="CQ18" i="12"/>
  <c r="CQ69" i="12" s="1"/>
  <c r="CP18" i="12"/>
  <c r="CP69" i="12" s="1"/>
  <c r="CO18" i="12"/>
  <c r="CO69" i="12" s="1"/>
  <c r="CN18" i="12"/>
  <c r="CN69" i="12" s="1"/>
  <c r="CM18" i="12"/>
  <c r="CM69" i="12" s="1"/>
  <c r="CL18" i="12"/>
  <c r="CL69" i="12" s="1"/>
  <c r="CK18" i="12"/>
  <c r="CK69" i="12" s="1"/>
  <c r="CJ18" i="12"/>
  <c r="CJ69" i="12" s="1"/>
  <c r="CI18" i="12"/>
  <c r="CI69" i="12" s="1"/>
  <c r="CH18" i="12"/>
  <c r="CH69" i="12" s="1"/>
  <c r="CG18" i="12"/>
  <c r="CG69" i="12" s="1"/>
  <c r="CF18" i="12"/>
  <c r="CF69" i="12" s="1"/>
  <c r="CE18" i="12"/>
  <c r="CE69" i="12" s="1"/>
  <c r="CD18" i="12"/>
  <c r="CD69" i="12" s="1"/>
  <c r="CC18" i="12"/>
  <c r="CC69" i="12" s="1"/>
  <c r="CB18" i="12"/>
  <c r="CB69" i="12" s="1"/>
  <c r="CA18" i="12"/>
  <c r="CA69" i="12" s="1"/>
  <c r="BZ18" i="12"/>
  <c r="BZ69" i="12" s="1"/>
  <c r="BY18" i="12"/>
  <c r="BY69" i="12" s="1"/>
  <c r="BX18" i="12"/>
  <c r="BX69" i="12" s="1"/>
  <c r="BW18" i="12"/>
  <c r="BW69" i="12" s="1"/>
  <c r="BV18" i="12"/>
  <c r="BV69" i="12" s="1"/>
  <c r="BU18" i="12"/>
  <c r="BU69" i="12" s="1"/>
  <c r="BT18" i="12"/>
  <c r="BT69" i="12" s="1"/>
  <c r="BS18" i="12"/>
  <c r="BS69" i="12" s="1"/>
  <c r="BR18" i="12"/>
  <c r="BR69" i="12" s="1"/>
  <c r="BQ18" i="12"/>
  <c r="BQ69" i="12" s="1"/>
  <c r="BP18" i="12"/>
  <c r="BP69" i="12" s="1"/>
  <c r="BO18" i="12"/>
  <c r="BO69" i="12" s="1"/>
  <c r="BN18" i="12"/>
  <c r="BN69" i="12" s="1"/>
  <c r="BM18" i="12"/>
  <c r="BM69" i="12" s="1"/>
  <c r="BL18" i="12"/>
  <c r="BL69" i="12" s="1"/>
  <c r="BK18" i="12"/>
  <c r="BK69" i="12" s="1"/>
  <c r="BJ18" i="12"/>
  <c r="BJ69" i="12" s="1"/>
  <c r="BI18" i="12"/>
  <c r="BI69" i="12" s="1"/>
  <c r="BH18" i="12"/>
  <c r="BH69" i="12" s="1"/>
  <c r="BG18" i="12"/>
  <c r="BG69" i="12" s="1"/>
  <c r="BF18" i="12"/>
  <c r="BF69" i="12" s="1"/>
  <c r="BE18" i="12"/>
  <c r="BE69" i="12" s="1"/>
  <c r="BD18" i="12"/>
  <c r="BD69" i="12" s="1"/>
  <c r="BC18" i="12"/>
  <c r="BC69" i="12" s="1"/>
  <c r="BB18" i="12"/>
  <c r="BB69" i="12" s="1"/>
  <c r="BA18" i="12"/>
  <c r="BA69" i="12" s="1"/>
  <c r="AZ18" i="12"/>
  <c r="AZ69" i="12" s="1"/>
  <c r="AY18" i="12"/>
  <c r="AY69" i="12" s="1"/>
  <c r="AX18" i="12"/>
  <c r="AX69" i="12" s="1"/>
  <c r="AW18" i="12"/>
  <c r="AW69" i="12" s="1"/>
  <c r="AV18" i="12"/>
  <c r="AV69" i="12" s="1"/>
  <c r="AU18" i="12"/>
  <c r="AU69" i="12" s="1"/>
  <c r="AT18" i="12"/>
  <c r="AT69" i="12" s="1"/>
  <c r="AS18" i="12"/>
  <c r="AS69" i="12" s="1"/>
  <c r="AR18" i="12"/>
  <c r="AR69" i="12" s="1"/>
  <c r="AQ18" i="12"/>
  <c r="AQ69" i="12" s="1"/>
  <c r="AP18" i="12"/>
  <c r="AP69" i="12" s="1"/>
  <c r="AO18" i="12"/>
  <c r="AO69" i="12" s="1"/>
  <c r="AN18" i="12"/>
  <c r="AN69" i="12" s="1"/>
  <c r="AM18" i="12"/>
  <c r="AM69" i="12" s="1"/>
  <c r="AL18" i="12"/>
  <c r="AL69" i="12" s="1"/>
  <c r="AK18" i="12"/>
  <c r="AK69" i="12" s="1"/>
  <c r="AJ18" i="12"/>
  <c r="AJ69" i="12" s="1"/>
  <c r="AI18" i="12"/>
  <c r="AI69" i="12" s="1"/>
  <c r="AH18" i="12"/>
  <c r="AH69" i="12" s="1"/>
  <c r="AG18" i="12"/>
  <c r="AG69" i="12" s="1"/>
  <c r="AF18" i="12"/>
  <c r="AF69" i="12" s="1"/>
  <c r="AE18" i="12"/>
  <c r="AE69" i="12" s="1"/>
  <c r="AD18" i="12"/>
  <c r="AD69" i="12" s="1"/>
  <c r="AC18" i="12"/>
  <c r="AC69" i="12" s="1"/>
  <c r="AB18" i="12"/>
  <c r="AB69" i="12" s="1"/>
  <c r="AA18" i="12"/>
  <c r="AA69" i="12" s="1"/>
  <c r="Z18" i="12"/>
  <c r="Z69" i="12" s="1"/>
  <c r="Y18" i="12"/>
  <c r="Y69" i="12" s="1"/>
  <c r="X18" i="12"/>
  <c r="X69" i="12" s="1"/>
  <c r="W18" i="12"/>
  <c r="W69" i="12" s="1"/>
  <c r="V18" i="12"/>
  <c r="V69" i="12" s="1"/>
  <c r="U18" i="12"/>
  <c r="U69" i="12" s="1"/>
  <c r="T18" i="12"/>
  <c r="T69" i="12" s="1"/>
  <c r="S18" i="12"/>
  <c r="S69" i="12" s="1"/>
  <c r="R18" i="12"/>
  <c r="R69" i="12" s="1"/>
  <c r="Q18" i="12"/>
  <c r="Q69" i="12" s="1"/>
  <c r="P18" i="12"/>
  <c r="P69" i="12" s="1"/>
  <c r="O18" i="12"/>
  <c r="O69" i="12" s="1"/>
  <c r="N18" i="12"/>
  <c r="N69" i="12" s="1"/>
  <c r="M18" i="12"/>
  <c r="M69" i="12" s="1"/>
  <c r="L18" i="12"/>
  <c r="L69" i="12" s="1"/>
  <c r="K18" i="12"/>
  <c r="K69" i="12" s="1"/>
  <c r="J18" i="12"/>
  <c r="J69" i="12" s="1"/>
  <c r="I18" i="12"/>
  <c r="I69" i="12" s="1"/>
  <c r="H18" i="12"/>
  <c r="H69" i="12" s="1"/>
  <c r="G18" i="12"/>
  <c r="G69" i="12" s="1"/>
  <c r="F18" i="12"/>
  <c r="F69" i="12" s="1"/>
  <c r="E18" i="12"/>
  <c r="E69" i="12" s="1"/>
  <c r="D18" i="12"/>
  <c r="D69" i="12" s="1"/>
  <c r="CX17" i="12"/>
  <c r="CX68" i="12" s="1"/>
  <c r="CW17" i="12"/>
  <c r="CW68" i="12" s="1"/>
  <c r="CV17" i="12"/>
  <c r="CV68" i="12" s="1"/>
  <c r="CU17" i="12"/>
  <c r="CU68" i="12" s="1"/>
  <c r="CT17" i="12"/>
  <c r="CT68" i="12" s="1"/>
  <c r="CS17" i="12"/>
  <c r="CS68" i="12" s="1"/>
  <c r="CR17" i="12"/>
  <c r="CR68" i="12" s="1"/>
  <c r="CQ17" i="12"/>
  <c r="CQ68" i="12" s="1"/>
  <c r="CP17" i="12"/>
  <c r="CP68" i="12" s="1"/>
  <c r="CO17" i="12"/>
  <c r="CO68" i="12" s="1"/>
  <c r="CN17" i="12"/>
  <c r="CN68" i="12" s="1"/>
  <c r="CM17" i="12"/>
  <c r="CM68" i="12" s="1"/>
  <c r="CL17" i="12"/>
  <c r="CL68" i="12" s="1"/>
  <c r="CK17" i="12"/>
  <c r="CK68" i="12" s="1"/>
  <c r="CJ17" i="12"/>
  <c r="CJ68" i="12" s="1"/>
  <c r="CI17" i="12"/>
  <c r="CI68" i="12" s="1"/>
  <c r="CH17" i="12"/>
  <c r="CH68" i="12" s="1"/>
  <c r="CG17" i="12"/>
  <c r="CG68" i="12" s="1"/>
  <c r="CF17" i="12"/>
  <c r="CF68" i="12" s="1"/>
  <c r="CE17" i="12"/>
  <c r="CE68" i="12" s="1"/>
  <c r="CD17" i="12"/>
  <c r="CD68" i="12" s="1"/>
  <c r="CC17" i="12"/>
  <c r="CC68" i="12" s="1"/>
  <c r="CB17" i="12"/>
  <c r="CB68" i="12" s="1"/>
  <c r="CA17" i="12"/>
  <c r="CA68" i="12" s="1"/>
  <c r="BZ17" i="12"/>
  <c r="BZ68" i="12" s="1"/>
  <c r="BY17" i="12"/>
  <c r="BY68" i="12" s="1"/>
  <c r="BX17" i="12"/>
  <c r="BX68" i="12" s="1"/>
  <c r="BW17" i="12"/>
  <c r="BW68" i="12" s="1"/>
  <c r="BV17" i="12"/>
  <c r="BV68" i="12" s="1"/>
  <c r="BU17" i="12"/>
  <c r="BU68" i="12" s="1"/>
  <c r="BT17" i="12"/>
  <c r="BT68" i="12" s="1"/>
  <c r="BS17" i="12"/>
  <c r="BS68" i="12" s="1"/>
  <c r="BR17" i="12"/>
  <c r="BR68" i="12" s="1"/>
  <c r="BQ17" i="12"/>
  <c r="BQ68" i="12" s="1"/>
  <c r="BP17" i="12"/>
  <c r="BP68" i="12" s="1"/>
  <c r="BO17" i="12"/>
  <c r="BO68" i="12" s="1"/>
  <c r="BN17" i="12"/>
  <c r="BN68" i="12" s="1"/>
  <c r="BM17" i="12"/>
  <c r="BM68" i="12" s="1"/>
  <c r="BL17" i="12"/>
  <c r="BL68" i="12" s="1"/>
  <c r="BK17" i="12"/>
  <c r="BK68" i="12" s="1"/>
  <c r="BJ17" i="12"/>
  <c r="BJ68" i="12" s="1"/>
  <c r="BI17" i="12"/>
  <c r="BI68" i="12" s="1"/>
  <c r="BH17" i="12"/>
  <c r="BH68" i="12" s="1"/>
  <c r="BG17" i="12"/>
  <c r="BG68" i="12" s="1"/>
  <c r="BF17" i="12"/>
  <c r="BF68" i="12" s="1"/>
  <c r="BE17" i="12"/>
  <c r="BE68" i="12" s="1"/>
  <c r="BD17" i="12"/>
  <c r="BD68" i="12" s="1"/>
  <c r="BC17" i="12"/>
  <c r="BC68" i="12" s="1"/>
  <c r="BB17" i="12"/>
  <c r="BB68" i="12" s="1"/>
  <c r="BA17" i="12"/>
  <c r="BA68" i="12" s="1"/>
  <c r="AZ17" i="12"/>
  <c r="AZ68" i="12" s="1"/>
  <c r="AY17" i="12"/>
  <c r="AY68" i="12" s="1"/>
  <c r="AX17" i="12"/>
  <c r="AX68" i="12" s="1"/>
  <c r="AW17" i="12"/>
  <c r="AW68" i="12" s="1"/>
  <c r="AV17" i="12"/>
  <c r="AV68" i="12" s="1"/>
  <c r="AU17" i="12"/>
  <c r="AU68" i="12" s="1"/>
  <c r="AT17" i="12"/>
  <c r="AT68" i="12" s="1"/>
  <c r="AS17" i="12"/>
  <c r="AS68" i="12" s="1"/>
  <c r="AR17" i="12"/>
  <c r="AR68" i="12" s="1"/>
  <c r="AQ17" i="12"/>
  <c r="AQ68" i="12" s="1"/>
  <c r="AP17" i="12"/>
  <c r="AP68" i="12" s="1"/>
  <c r="AO17" i="12"/>
  <c r="AO68" i="12" s="1"/>
  <c r="AN17" i="12"/>
  <c r="AN68" i="12" s="1"/>
  <c r="AM17" i="12"/>
  <c r="AM68" i="12" s="1"/>
  <c r="AL17" i="12"/>
  <c r="AL68" i="12" s="1"/>
  <c r="AK17" i="12"/>
  <c r="AK68" i="12" s="1"/>
  <c r="AJ17" i="12"/>
  <c r="AJ68" i="12" s="1"/>
  <c r="AI17" i="12"/>
  <c r="AI68" i="12" s="1"/>
  <c r="AH17" i="12"/>
  <c r="AH68" i="12" s="1"/>
  <c r="AG17" i="12"/>
  <c r="AG68" i="12" s="1"/>
  <c r="AF17" i="12"/>
  <c r="AF68" i="12" s="1"/>
  <c r="AE17" i="12"/>
  <c r="AE68" i="12" s="1"/>
  <c r="AD17" i="12"/>
  <c r="AD68" i="12" s="1"/>
  <c r="AC17" i="12"/>
  <c r="AC68" i="12" s="1"/>
  <c r="AB17" i="12"/>
  <c r="AB68" i="12" s="1"/>
  <c r="AA17" i="12"/>
  <c r="AA68" i="12" s="1"/>
  <c r="Z17" i="12"/>
  <c r="Z68" i="12" s="1"/>
  <c r="Y17" i="12"/>
  <c r="Y68" i="12" s="1"/>
  <c r="X17" i="12"/>
  <c r="X68" i="12" s="1"/>
  <c r="W17" i="12"/>
  <c r="W68" i="12" s="1"/>
  <c r="V17" i="12"/>
  <c r="V68" i="12" s="1"/>
  <c r="U17" i="12"/>
  <c r="U68" i="12" s="1"/>
  <c r="T17" i="12"/>
  <c r="T68" i="12" s="1"/>
  <c r="S17" i="12"/>
  <c r="S68" i="12" s="1"/>
  <c r="R17" i="12"/>
  <c r="R68" i="12" s="1"/>
  <c r="Q17" i="12"/>
  <c r="Q68" i="12" s="1"/>
  <c r="P17" i="12"/>
  <c r="P68" i="12" s="1"/>
  <c r="O17" i="12"/>
  <c r="O68" i="12" s="1"/>
  <c r="N17" i="12"/>
  <c r="N68" i="12" s="1"/>
  <c r="M17" i="12"/>
  <c r="M68" i="12" s="1"/>
  <c r="L17" i="12"/>
  <c r="L68" i="12" s="1"/>
  <c r="K17" i="12"/>
  <c r="K68" i="12" s="1"/>
  <c r="J17" i="12"/>
  <c r="J68" i="12" s="1"/>
  <c r="I17" i="12"/>
  <c r="I68" i="12" s="1"/>
  <c r="H17" i="12"/>
  <c r="H68" i="12" s="1"/>
  <c r="G17" i="12"/>
  <c r="G68" i="12" s="1"/>
  <c r="F17" i="12"/>
  <c r="F68" i="12" s="1"/>
  <c r="E17" i="12"/>
  <c r="E68" i="12" s="1"/>
  <c r="D17" i="12"/>
  <c r="D68" i="12" s="1"/>
  <c r="CX16" i="12"/>
  <c r="CX67" i="12" s="1"/>
  <c r="CW16" i="12"/>
  <c r="CW67" i="12" s="1"/>
  <c r="CV16" i="12"/>
  <c r="CV67" i="12" s="1"/>
  <c r="CU16" i="12"/>
  <c r="CU67" i="12" s="1"/>
  <c r="CT16" i="12"/>
  <c r="CT67" i="12" s="1"/>
  <c r="CS16" i="12"/>
  <c r="CS67" i="12" s="1"/>
  <c r="CR16" i="12"/>
  <c r="CR67" i="12" s="1"/>
  <c r="CQ16" i="12"/>
  <c r="CQ67" i="12" s="1"/>
  <c r="CP16" i="12"/>
  <c r="CP67" i="12" s="1"/>
  <c r="CO16" i="12"/>
  <c r="CO67" i="12" s="1"/>
  <c r="CN16" i="12"/>
  <c r="CN67" i="12" s="1"/>
  <c r="CM16" i="12"/>
  <c r="CM67" i="12" s="1"/>
  <c r="CL16" i="12"/>
  <c r="CL67" i="12" s="1"/>
  <c r="CK16" i="12"/>
  <c r="CK67" i="12" s="1"/>
  <c r="CJ16" i="12"/>
  <c r="CJ67" i="12" s="1"/>
  <c r="CI16" i="12"/>
  <c r="CI67" i="12" s="1"/>
  <c r="CH16" i="12"/>
  <c r="CH67" i="12" s="1"/>
  <c r="CG16" i="12"/>
  <c r="CG67" i="12" s="1"/>
  <c r="CF16" i="12"/>
  <c r="CF67" i="12" s="1"/>
  <c r="CE16" i="12"/>
  <c r="CE67" i="12" s="1"/>
  <c r="CD16" i="12"/>
  <c r="CD67" i="12" s="1"/>
  <c r="CC16" i="12"/>
  <c r="CC67" i="12" s="1"/>
  <c r="CB16" i="12"/>
  <c r="CB67" i="12" s="1"/>
  <c r="CA16" i="12"/>
  <c r="CA67" i="12" s="1"/>
  <c r="BZ16" i="12"/>
  <c r="BZ67" i="12" s="1"/>
  <c r="BY16" i="12"/>
  <c r="BY67" i="12" s="1"/>
  <c r="BX16" i="12"/>
  <c r="BX67" i="12" s="1"/>
  <c r="BW16" i="12"/>
  <c r="BW67" i="12" s="1"/>
  <c r="BV16" i="12"/>
  <c r="BV67" i="12" s="1"/>
  <c r="BU16" i="12"/>
  <c r="BU67" i="12" s="1"/>
  <c r="BT16" i="12"/>
  <c r="BT67" i="12" s="1"/>
  <c r="BS16" i="12"/>
  <c r="BS67" i="12" s="1"/>
  <c r="BR16" i="12"/>
  <c r="BR67" i="12" s="1"/>
  <c r="BQ16" i="12"/>
  <c r="BQ67" i="12" s="1"/>
  <c r="BP16" i="12"/>
  <c r="BP67" i="12" s="1"/>
  <c r="BO16" i="12"/>
  <c r="BO67" i="12" s="1"/>
  <c r="BN16" i="12"/>
  <c r="BN67" i="12" s="1"/>
  <c r="BM16" i="12"/>
  <c r="BM67" i="12" s="1"/>
  <c r="BL16" i="12"/>
  <c r="BL67" i="12" s="1"/>
  <c r="BK16" i="12"/>
  <c r="BK67" i="12" s="1"/>
  <c r="BJ16" i="12"/>
  <c r="BJ67" i="12" s="1"/>
  <c r="BI16" i="12"/>
  <c r="BI67" i="12" s="1"/>
  <c r="BH16" i="12"/>
  <c r="BH67" i="12" s="1"/>
  <c r="BG16" i="12"/>
  <c r="BG67" i="12" s="1"/>
  <c r="BF16" i="12"/>
  <c r="BF67" i="12" s="1"/>
  <c r="BE16" i="12"/>
  <c r="BE67" i="12" s="1"/>
  <c r="BD16" i="12"/>
  <c r="BD67" i="12" s="1"/>
  <c r="BC16" i="12"/>
  <c r="BC67" i="12" s="1"/>
  <c r="BB16" i="12"/>
  <c r="BB67" i="12" s="1"/>
  <c r="BA16" i="12"/>
  <c r="BA67" i="12" s="1"/>
  <c r="AZ16" i="12"/>
  <c r="AZ67" i="12" s="1"/>
  <c r="AY16" i="12"/>
  <c r="AY67" i="12" s="1"/>
  <c r="AX16" i="12"/>
  <c r="AX67" i="12" s="1"/>
  <c r="AW16" i="12"/>
  <c r="AW67" i="12" s="1"/>
  <c r="AV16" i="12"/>
  <c r="AV67" i="12" s="1"/>
  <c r="AU16" i="12"/>
  <c r="AU67" i="12" s="1"/>
  <c r="AT16" i="12"/>
  <c r="AT67" i="12" s="1"/>
  <c r="AS16" i="12"/>
  <c r="AS67" i="12" s="1"/>
  <c r="AR16" i="12"/>
  <c r="AR67" i="12" s="1"/>
  <c r="AQ16" i="12"/>
  <c r="AQ67" i="12" s="1"/>
  <c r="AP16" i="12"/>
  <c r="AP67" i="12" s="1"/>
  <c r="AO16" i="12"/>
  <c r="AO67" i="12" s="1"/>
  <c r="AN16" i="12"/>
  <c r="AN67" i="12" s="1"/>
  <c r="AM16" i="12"/>
  <c r="AM67" i="12" s="1"/>
  <c r="AL16" i="12"/>
  <c r="AL67" i="12" s="1"/>
  <c r="AK16" i="12"/>
  <c r="AK67" i="12" s="1"/>
  <c r="AJ16" i="12"/>
  <c r="AJ67" i="12" s="1"/>
  <c r="AI16" i="12"/>
  <c r="AI67" i="12" s="1"/>
  <c r="AH16" i="12"/>
  <c r="AH67" i="12" s="1"/>
  <c r="AG16" i="12"/>
  <c r="AG67" i="12" s="1"/>
  <c r="AF16" i="12"/>
  <c r="AF67" i="12" s="1"/>
  <c r="AE16" i="12"/>
  <c r="AE67" i="12" s="1"/>
  <c r="AD16" i="12"/>
  <c r="AD67" i="12" s="1"/>
  <c r="AC16" i="12"/>
  <c r="AC67" i="12" s="1"/>
  <c r="AB16" i="12"/>
  <c r="AB67" i="12" s="1"/>
  <c r="AA16" i="12"/>
  <c r="AA67" i="12" s="1"/>
  <c r="Z16" i="12"/>
  <c r="Z67" i="12" s="1"/>
  <c r="Y16" i="12"/>
  <c r="Y67" i="12" s="1"/>
  <c r="X16" i="12"/>
  <c r="X67" i="12" s="1"/>
  <c r="W16" i="12"/>
  <c r="W67" i="12" s="1"/>
  <c r="V16" i="12"/>
  <c r="V67" i="12" s="1"/>
  <c r="U16" i="12"/>
  <c r="U67" i="12" s="1"/>
  <c r="T16" i="12"/>
  <c r="T67" i="12" s="1"/>
  <c r="S16" i="12"/>
  <c r="S67" i="12" s="1"/>
  <c r="R16" i="12"/>
  <c r="R67" i="12" s="1"/>
  <c r="Q16" i="12"/>
  <c r="Q67" i="12" s="1"/>
  <c r="P16" i="12"/>
  <c r="P67" i="12" s="1"/>
  <c r="O16" i="12"/>
  <c r="O67" i="12" s="1"/>
  <c r="N16" i="12"/>
  <c r="N67" i="12" s="1"/>
  <c r="M16" i="12"/>
  <c r="M67" i="12" s="1"/>
  <c r="L16" i="12"/>
  <c r="L67" i="12" s="1"/>
  <c r="K16" i="12"/>
  <c r="K67" i="12" s="1"/>
  <c r="J16" i="12"/>
  <c r="J67" i="12" s="1"/>
  <c r="I16" i="12"/>
  <c r="I67" i="12" s="1"/>
  <c r="H16" i="12"/>
  <c r="H67" i="12" s="1"/>
  <c r="G16" i="12"/>
  <c r="G67" i="12" s="1"/>
  <c r="F16" i="12"/>
  <c r="F67" i="12" s="1"/>
  <c r="E16" i="12"/>
  <c r="E67" i="12" s="1"/>
  <c r="D16" i="12"/>
  <c r="D67" i="12" s="1"/>
  <c r="CX15" i="12"/>
  <c r="CX66" i="12" s="1"/>
  <c r="CW15" i="12"/>
  <c r="CW66" i="12" s="1"/>
  <c r="CV15" i="12"/>
  <c r="CV66" i="12" s="1"/>
  <c r="CU15" i="12"/>
  <c r="CU66" i="12" s="1"/>
  <c r="CT15" i="12"/>
  <c r="CT66" i="12" s="1"/>
  <c r="CS15" i="12"/>
  <c r="CS66" i="12" s="1"/>
  <c r="CR15" i="12"/>
  <c r="CR66" i="12" s="1"/>
  <c r="CQ15" i="12"/>
  <c r="CQ66" i="12" s="1"/>
  <c r="CP15" i="12"/>
  <c r="CP66" i="12" s="1"/>
  <c r="CO15" i="12"/>
  <c r="CO66" i="12" s="1"/>
  <c r="CN15" i="12"/>
  <c r="CN66" i="12" s="1"/>
  <c r="CM15" i="12"/>
  <c r="CM66" i="12" s="1"/>
  <c r="CL15" i="12"/>
  <c r="CL66" i="12" s="1"/>
  <c r="CK15" i="12"/>
  <c r="CK66" i="12" s="1"/>
  <c r="CJ15" i="12"/>
  <c r="CJ66" i="12" s="1"/>
  <c r="CI15" i="12"/>
  <c r="CI66" i="12" s="1"/>
  <c r="CH15" i="12"/>
  <c r="CH66" i="12" s="1"/>
  <c r="CG15" i="12"/>
  <c r="CG66" i="12" s="1"/>
  <c r="CF15" i="12"/>
  <c r="CF66" i="12" s="1"/>
  <c r="CE15" i="12"/>
  <c r="CE66" i="12" s="1"/>
  <c r="CD15" i="12"/>
  <c r="CD66" i="12" s="1"/>
  <c r="CC15" i="12"/>
  <c r="CC66" i="12" s="1"/>
  <c r="CB15" i="12"/>
  <c r="CB66" i="12" s="1"/>
  <c r="CA15" i="12"/>
  <c r="CA66" i="12" s="1"/>
  <c r="BZ15" i="12"/>
  <c r="BZ66" i="12" s="1"/>
  <c r="BY15" i="12"/>
  <c r="BY66" i="12" s="1"/>
  <c r="BX15" i="12"/>
  <c r="BX66" i="12" s="1"/>
  <c r="BW15" i="12"/>
  <c r="BW66" i="12" s="1"/>
  <c r="BV15" i="12"/>
  <c r="BV66" i="12" s="1"/>
  <c r="BU15" i="12"/>
  <c r="BU66" i="12" s="1"/>
  <c r="BT15" i="12"/>
  <c r="BT66" i="12" s="1"/>
  <c r="BS15" i="12"/>
  <c r="BS66" i="12" s="1"/>
  <c r="BR15" i="12"/>
  <c r="BR66" i="12" s="1"/>
  <c r="BQ15" i="12"/>
  <c r="BQ66" i="12" s="1"/>
  <c r="BP15" i="12"/>
  <c r="BP66" i="12" s="1"/>
  <c r="BO15" i="12"/>
  <c r="BO66" i="12" s="1"/>
  <c r="BN15" i="12"/>
  <c r="BN66" i="12" s="1"/>
  <c r="BM15" i="12"/>
  <c r="BM66" i="12" s="1"/>
  <c r="BL15" i="12"/>
  <c r="BL66" i="12" s="1"/>
  <c r="BK15" i="12"/>
  <c r="BK66" i="12" s="1"/>
  <c r="BJ15" i="12"/>
  <c r="BJ66" i="12" s="1"/>
  <c r="BI15" i="12"/>
  <c r="BI66" i="12" s="1"/>
  <c r="BH15" i="12"/>
  <c r="BH66" i="12" s="1"/>
  <c r="BG15" i="12"/>
  <c r="BG66" i="12" s="1"/>
  <c r="BF15" i="12"/>
  <c r="BF66" i="12" s="1"/>
  <c r="BE15" i="12"/>
  <c r="BE66" i="12" s="1"/>
  <c r="BD15" i="12"/>
  <c r="BD66" i="12" s="1"/>
  <c r="BC15" i="12"/>
  <c r="BC66" i="12" s="1"/>
  <c r="BB15" i="12"/>
  <c r="BB66" i="12" s="1"/>
  <c r="BA15" i="12"/>
  <c r="BA66" i="12" s="1"/>
  <c r="AZ15" i="12"/>
  <c r="AZ66" i="12" s="1"/>
  <c r="AY15" i="12"/>
  <c r="AY66" i="12" s="1"/>
  <c r="AX15" i="12"/>
  <c r="AX66" i="12" s="1"/>
  <c r="AW15" i="12"/>
  <c r="AW66" i="12" s="1"/>
  <c r="AV15" i="12"/>
  <c r="AV66" i="12" s="1"/>
  <c r="AU15" i="12"/>
  <c r="AU66" i="12" s="1"/>
  <c r="AT15" i="12"/>
  <c r="AT66" i="12" s="1"/>
  <c r="AS15" i="12"/>
  <c r="AS66" i="12" s="1"/>
  <c r="AR15" i="12"/>
  <c r="AR66" i="12" s="1"/>
  <c r="AQ15" i="12"/>
  <c r="AQ66" i="12" s="1"/>
  <c r="AP15" i="12"/>
  <c r="AP66" i="12" s="1"/>
  <c r="AO15" i="12"/>
  <c r="AO66" i="12" s="1"/>
  <c r="AN15" i="12"/>
  <c r="AN66" i="12" s="1"/>
  <c r="AM15" i="12"/>
  <c r="AM66" i="12" s="1"/>
  <c r="AL15" i="12"/>
  <c r="AL66" i="12" s="1"/>
  <c r="AK15" i="12"/>
  <c r="AK66" i="12" s="1"/>
  <c r="AJ15" i="12"/>
  <c r="AJ66" i="12" s="1"/>
  <c r="AI15" i="12"/>
  <c r="AI66" i="12" s="1"/>
  <c r="AH15" i="12"/>
  <c r="AH66" i="12" s="1"/>
  <c r="AG15" i="12"/>
  <c r="AG66" i="12" s="1"/>
  <c r="AF15" i="12"/>
  <c r="AF66" i="12" s="1"/>
  <c r="AE15" i="12"/>
  <c r="AE66" i="12" s="1"/>
  <c r="AD15" i="12"/>
  <c r="AD66" i="12" s="1"/>
  <c r="AC15" i="12"/>
  <c r="AC66" i="12" s="1"/>
  <c r="AB15" i="12"/>
  <c r="AB66" i="12" s="1"/>
  <c r="AA15" i="12"/>
  <c r="AA66" i="12" s="1"/>
  <c r="Z15" i="12"/>
  <c r="Z66" i="12" s="1"/>
  <c r="Y15" i="12"/>
  <c r="Y66" i="12" s="1"/>
  <c r="X15" i="12"/>
  <c r="X66" i="12" s="1"/>
  <c r="W15" i="12"/>
  <c r="W66" i="12" s="1"/>
  <c r="V15" i="12"/>
  <c r="V66" i="12" s="1"/>
  <c r="U15" i="12"/>
  <c r="U66" i="12" s="1"/>
  <c r="T15" i="12"/>
  <c r="T66" i="12" s="1"/>
  <c r="S15" i="12"/>
  <c r="S66" i="12" s="1"/>
  <c r="R15" i="12"/>
  <c r="R66" i="12" s="1"/>
  <c r="Q15" i="12"/>
  <c r="Q66" i="12" s="1"/>
  <c r="P15" i="12"/>
  <c r="P66" i="12" s="1"/>
  <c r="O15" i="12"/>
  <c r="O66" i="12" s="1"/>
  <c r="N15" i="12"/>
  <c r="N66" i="12" s="1"/>
  <c r="M15" i="12"/>
  <c r="M66" i="12" s="1"/>
  <c r="L15" i="12"/>
  <c r="L66" i="12" s="1"/>
  <c r="K15" i="12"/>
  <c r="K66" i="12" s="1"/>
  <c r="J15" i="12"/>
  <c r="J66" i="12" s="1"/>
  <c r="I15" i="12"/>
  <c r="I66" i="12" s="1"/>
  <c r="H15" i="12"/>
  <c r="H66" i="12" s="1"/>
  <c r="G15" i="12"/>
  <c r="G66" i="12" s="1"/>
  <c r="F15" i="12"/>
  <c r="F66" i="12" s="1"/>
  <c r="E15" i="12"/>
  <c r="E66" i="12" s="1"/>
  <c r="D15" i="12"/>
  <c r="D66" i="12" s="1"/>
  <c r="CX14" i="12"/>
  <c r="CX65" i="12" s="1"/>
  <c r="CW14" i="12"/>
  <c r="CW65" i="12" s="1"/>
  <c r="CV14" i="12"/>
  <c r="CV65" i="12" s="1"/>
  <c r="CU14" i="12"/>
  <c r="CU65" i="12" s="1"/>
  <c r="CT14" i="12"/>
  <c r="CT65" i="12" s="1"/>
  <c r="CS14" i="12"/>
  <c r="CS65" i="12" s="1"/>
  <c r="CR14" i="12"/>
  <c r="CR65" i="12" s="1"/>
  <c r="CQ14" i="12"/>
  <c r="CQ65" i="12" s="1"/>
  <c r="CP14" i="12"/>
  <c r="CP65" i="12" s="1"/>
  <c r="CO14" i="12"/>
  <c r="CO65" i="12" s="1"/>
  <c r="CN14" i="12"/>
  <c r="CN65" i="12" s="1"/>
  <c r="CM14" i="12"/>
  <c r="CM65" i="12" s="1"/>
  <c r="CL14" i="12"/>
  <c r="CL65" i="12" s="1"/>
  <c r="CK14" i="12"/>
  <c r="CK65" i="12" s="1"/>
  <c r="CJ14" i="12"/>
  <c r="CJ65" i="12" s="1"/>
  <c r="CI14" i="12"/>
  <c r="CI65" i="12" s="1"/>
  <c r="CH14" i="12"/>
  <c r="CH65" i="12" s="1"/>
  <c r="CG14" i="12"/>
  <c r="CG65" i="12" s="1"/>
  <c r="CF14" i="12"/>
  <c r="CF65" i="12" s="1"/>
  <c r="CE14" i="12"/>
  <c r="CE65" i="12" s="1"/>
  <c r="CD14" i="12"/>
  <c r="CD65" i="12" s="1"/>
  <c r="CC14" i="12"/>
  <c r="CC65" i="12" s="1"/>
  <c r="CB14" i="12"/>
  <c r="CB65" i="12" s="1"/>
  <c r="CA14" i="12"/>
  <c r="CA65" i="12" s="1"/>
  <c r="BZ14" i="12"/>
  <c r="BZ65" i="12" s="1"/>
  <c r="BY14" i="12"/>
  <c r="BY65" i="12" s="1"/>
  <c r="BX14" i="12"/>
  <c r="BX65" i="12" s="1"/>
  <c r="BW14" i="12"/>
  <c r="BW65" i="12" s="1"/>
  <c r="BV14" i="12"/>
  <c r="BV65" i="12" s="1"/>
  <c r="BU14" i="12"/>
  <c r="BU65" i="12" s="1"/>
  <c r="BT14" i="12"/>
  <c r="BT65" i="12" s="1"/>
  <c r="BS14" i="12"/>
  <c r="BS65" i="12" s="1"/>
  <c r="BR14" i="12"/>
  <c r="BR65" i="12" s="1"/>
  <c r="BQ14" i="12"/>
  <c r="BQ65" i="12" s="1"/>
  <c r="BP14" i="12"/>
  <c r="BP65" i="12" s="1"/>
  <c r="BO14" i="12"/>
  <c r="BO65" i="12" s="1"/>
  <c r="BN14" i="12"/>
  <c r="BN65" i="12" s="1"/>
  <c r="BM14" i="12"/>
  <c r="BM65" i="12" s="1"/>
  <c r="BL14" i="12"/>
  <c r="BL65" i="12" s="1"/>
  <c r="BK14" i="12"/>
  <c r="BK65" i="12" s="1"/>
  <c r="BJ14" i="12"/>
  <c r="BJ65" i="12" s="1"/>
  <c r="BI14" i="12"/>
  <c r="BI65" i="12" s="1"/>
  <c r="BH14" i="12"/>
  <c r="BH65" i="12" s="1"/>
  <c r="BG14" i="12"/>
  <c r="BG65" i="12" s="1"/>
  <c r="BF14" i="12"/>
  <c r="BF65" i="12" s="1"/>
  <c r="BE14" i="12"/>
  <c r="BE65" i="12" s="1"/>
  <c r="BD14" i="12"/>
  <c r="BD65" i="12" s="1"/>
  <c r="BC14" i="12"/>
  <c r="BC65" i="12" s="1"/>
  <c r="BB14" i="12"/>
  <c r="BB65" i="12" s="1"/>
  <c r="BA14" i="12"/>
  <c r="BA65" i="12" s="1"/>
  <c r="AZ14" i="12"/>
  <c r="AZ65" i="12" s="1"/>
  <c r="AY14" i="12"/>
  <c r="AY65" i="12" s="1"/>
  <c r="AX14" i="12"/>
  <c r="AX65" i="12" s="1"/>
  <c r="AW14" i="12"/>
  <c r="AW65" i="12" s="1"/>
  <c r="AV14" i="12"/>
  <c r="AV65" i="12" s="1"/>
  <c r="AU14" i="12"/>
  <c r="AU65" i="12" s="1"/>
  <c r="AT14" i="12"/>
  <c r="AT65" i="12" s="1"/>
  <c r="AS14" i="12"/>
  <c r="AS65" i="12" s="1"/>
  <c r="AR14" i="12"/>
  <c r="AR65" i="12" s="1"/>
  <c r="AQ14" i="12"/>
  <c r="AQ65" i="12" s="1"/>
  <c r="AP14" i="12"/>
  <c r="AP65" i="12" s="1"/>
  <c r="AO14" i="12"/>
  <c r="AO65" i="12" s="1"/>
  <c r="AN14" i="12"/>
  <c r="AN65" i="12" s="1"/>
  <c r="AM14" i="12"/>
  <c r="AM65" i="12" s="1"/>
  <c r="AL14" i="12"/>
  <c r="AL65" i="12" s="1"/>
  <c r="AK14" i="12"/>
  <c r="AK65" i="12" s="1"/>
  <c r="AJ14" i="12"/>
  <c r="AJ65" i="12" s="1"/>
  <c r="AI14" i="12"/>
  <c r="AI65" i="12" s="1"/>
  <c r="AH14" i="12"/>
  <c r="AH65" i="12" s="1"/>
  <c r="AG14" i="12"/>
  <c r="AG65" i="12" s="1"/>
  <c r="AF14" i="12"/>
  <c r="AF65" i="12" s="1"/>
  <c r="AE14" i="12"/>
  <c r="AE65" i="12" s="1"/>
  <c r="AD14" i="12"/>
  <c r="AD65" i="12" s="1"/>
  <c r="AC14" i="12"/>
  <c r="AC65" i="12" s="1"/>
  <c r="AB14" i="12"/>
  <c r="AB65" i="12" s="1"/>
  <c r="AA14" i="12"/>
  <c r="AA65" i="12" s="1"/>
  <c r="Z14" i="12"/>
  <c r="Z65" i="12" s="1"/>
  <c r="Y14" i="12"/>
  <c r="Y65" i="12" s="1"/>
  <c r="X14" i="12"/>
  <c r="X65" i="12" s="1"/>
  <c r="W14" i="12"/>
  <c r="W65" i="12" s="1"/>
  <c r="V14" i="12"/>
  <c r="V65" i="12" s="1"/>
  <c r="U14" i="12"/>
  <c r="U65" i="12" s="1"/>
  <c r="T14" i="12"/>
  <c r="T65" i="12" s="1"/>
  <c r="S14" i="12"/>
  <c r="S65" i="12" s="1"/>
  <c r="R14" i="12"/>
  <c r="R65" i="12" s="1"/>
  <c r="Q14" i="12"/>
  <c r="Q65" i="12" s="1"/>
  <c r="P14" i="12"/>
  <c r="P65" i="12" s="1"/>
  <c r="O14" i="12"/>
  <c r="O65" i="12" s="1"/>
  <c r="N14" i="12"/>
  <c r="N65" i="12" s="1"/>
  <c r="M14" i="12"/>
  <c r="M65" i="12" s="1"/>
  <c r="L14" i="12"/>
  <c r="L65" i="12" s="1"/>
  <c r="K14" i="12"/>
  <c r="K65" i="12" s="1"/>
  <c r="J14" i="12"/>
  <c r="J65" i="12" s="1"/>
  <c r="I14" i="12"/>
  <c r="I65" i="12" s="1"/>
  <c r="H14" i="12"/>
  <c r="H65" i="12" s="1"/>
  <c r="G14" i="12"/>
  <c r="G65" i="12" s="1"/>
  <c r="F14" i="12"/>
  <c r="F65" i="12" s="1"/>
  <c r="E14" i="12"/>
  <c r="E65" i="12" s="1"/>
  <c r="D14" i="12"/>
  <c r="D65" i="12" s="1"/>
  <c r="CX13" i="12"/>
  <c r="CX64" i="12" s="1"/>
  <c r="CW13" i="12"/>
  <c r="CW64" i="12" s="1"/>
  <c r="CV13" i="12"/>
  <c r="CV64" i="12" s="1"/>
  <c r="CU13" i="12"/>
  <c r="CU64" i="12" s="1"/>
  <c r="CT13" i="12"/>
  <c r="CT64" i="12" s="1"/>
  <c r="CS13" i="12"/>
  <c r="CS64" i="12" s="1"/>
  <c r="CR13" i="12"/>
  <c r="CR64" i="12" s="1"/>
  <c r="CQ13" i="12"/>
  <c r="CQ64" i="12" s="1"/>
  <c r="CP13" i="12"/>
  <c r="CP64" i="12" s="1"/>
  <c r="CO13" i="12"/>
  <c r="CO64" i="12" s="1"/>
  <c r="CN13" i="12"/>
  <c r="CN64" i="12" s="1"/>
  <c r="CM13" i="12"/>
  <c r="CM64" i="12" s="1"/>
  <c r="CL13" i="12"/>
  <c r="CL64" i="12" s="1"/>
  <c r="CK13" i="12"/>
  <c r="CK64" i="12" s="1"/>
  <c r="CJ13" i="12"/>
  <c r="CJ64" i="12" s="1"/>
  <c r="CI13" i="12"/>
  <c r="CI64" i="12" s="1"/>
  <c r="CH13" i="12"/>
  <c r="CH64" i="12" s="1"/>
  <c r="CG13" i="12"/>
  <c r="CG64" i="12" s="1"/>
  <c r="CF13" i="12"/>
  <c r="CF64" i="12" s="1"/>
  <c r="CE13" i="12"/>
  <c r="CE64" i="12" s="1"/>
  <c r="CD13" i="12"/>
  <c r="CD64" i="12" s="1"/>
  <c r="CC13" i="12"/>
  <c r="CC64" i="12" s="1"/>
  <c r="CB13" i="12"/>
  <c r="CB64" i="12" s="1"/>
  <c r="CA13" i="12"/>
  <c r="CA64" i="12" s="1"/>
  <c r="BZ13" i="12"/>
  <c r="BZ64" i="12" s="1"/>
  <c r="BY13" i="12"/>
  <c r="BY64" i="12" s="1"/>
  <c r="BX13" i="12"/>
  <c r="BX64" i="12" s="1"/>
  <c r="BW13" i="12"/>
  <c r="BW64" i="12" s="1"/>
  <c r="BV13" i="12"/>
  <c r="BV64" i="12" s="1"/>
  <c r="BU13" i="12"/>
  <c r="BU64" i="12" s="1"/>
  <c r="BT13" i="12"/>
  <c r="BT64" i="12" s="1"/>
  <c r="BS13" i="12"/>
  <c r="BS64" i="12" s="1"/>
  <c r="BR13" i="12"/>
  <c r="BR64" i="12" s="1"/>
  <c r="BQ13" i="12"/>
  <c r="BQ64" i="12" s="1"/>
  <c r="BP13" i="12"/>
  <c r="BP64" i="12" s="1"/>
  <c r="BO13" i="12"/>
  <c r="BO64" i="12" s="1"/>
  <c r="BN13" i="12"/>
  <c r="BN64" i="12" s="1"/>
  <c r="BM13" i="12"/>
  <c r="BM64" i="12" s="1"/>
  <c r="BL13" i="12"/>
  <c r="BL64" i="12" s="1"/>
  <c r="BK13" i="12"/>
  <c r="BK64" i="12" s="1"/>
  <c r="BJ13" i="12"/>
  <c r="BJ64" i="12" s="1"/>
  <c r="BI13" i="12"/>
  <c r="BI64" i="12" s="1"/>
  <c r="BH13" i="12"/>
  <c r="BH64" i="12" s="1"/>
  <c r="BG13" i="12"/>
  <c r="BG64" i="12" s="1"/>
  <c r="BF13" i="12"/>
  <c r="BF64" i="12" s="1"/>
  <c r="BE13" i="12"/>
  <c r="BE64" i="12" s="1"/>
  <c r="BD13" i="12"/>
  <c r="BD64" i="12" s="1"/>
  <c r="BC13" i="12"/>
  <c r="BC64" i="12" s="1"/>
  <c r="BB13" i="12"/>
  <c r="BB64" i="12" s="1"/>
  <c r="BA13" i="12"/>
  <c r="BA64" i="12" s="1"/>
  <c r="AZ13" i="12"/>
  <c r="AZ64" i="12" s="1"/>
  <c r="AY13" i="12"/>
  <c r="AY64" i="12" s="1"/>
  <c r="AX13" i="12"/>
  <c r="AX64" i="12" s="1"/>
  <c r="AW13" i="12"/>
  <c r="AW64" i="12" s="1"/>
  <c r="AV13" i="12"/>
  <c r="AV64" i="12" s="1"/>
  <c r="AU13" i="12"/>
  <c r="AU64" i="12" s="1"/>
  <c r="AT13" i="12"/>
  <c r="AT64" i="12" s="1"/>
  <c r="AS13" i="12"/>
  <c r="AS64" i="12" s="1"/>
  <c r="AR13" i="12"/>
  <c r="AR64" i="12" s="1"/>
  <c r="AQ13" i="12"/>
  <c r="AQ64" i="12" s="1"/>
  <c r="AP13" i="12"/>
  <c r="AP64" i="12" s="1"/>
  <c r="AO13" i="12"/>
  <c r="AO64" i="12" s="1"/>
  <c r="AN13" i="12"/>
  <c r="AN64" i="12" s="1"/>
  <c r="AM13" i="12"/>
  <c r="AM64" i="12" s="1"/>
  <c r="AL13" i="12"/>
  <c r="AL64" i="12" s="1"/>
  <c r="AK13" i="12"/>
  <c r="AK64" i="12" s="1"/>
  <c r="AJ13" i="12"/>
  <c r="AJ64" i="12" s="1"/>
  <c r="AI13" i="12"/>
  <c r="AI64" i="12" s="1"/>
  <c r="AH13" i="12"/>
  <c r="AH64" i="12" s="1"/>
  <c r="AG13" i="12"/>
  <c r="AG64" i="12" s="1"/>
  <c r="AF13" i="12"/>
  <c r="AF64" i="12" s="1"/>
  <c r="AE13" i="12"/>
  <c r="AE64" i="12" s="1"/>
  <c r="AD13" i="12"/>
  <c r="AD64" i="12" s="1"/>
  <c r="AC13" i="12"/>
  <c r="AC64" i="12" s="1"/>
  <c r="AB13" i="12"/>
  <c r="AB64" i="12" s="1"/>
  <c r="AA13" i="12"/>
  <c r="AA64" i="12" s="1"/>
  <c r="Z13" i="12"/>
  <c r="Z64" i="12" s="1"/>
  <c r="Y13" i="12"/>
  <c r="Y64" i="12" s="1"/>
  <c r="X13" i="12"/>
  <c r="X64" i="12" s="1"/>
  <c r="W13" i="12"/>
  <c r="W64" i="12" s="1"/>
  <c r="V13" i="12"/>
  <c r="V64" i="12" s="1"/>
  <c r="U13" i="12"/>
  <c r="U64" i="12" s="1"/>
  <c r="T13" i="12"/>
  <c r="T64" i="12" s="1"/>
  <c r="S13" i="12"/>
  <c r="S64" i="12" s="1"/>
  <c r="R13" i="12"/>
  <c r="R64" i="12" s="1"/>
  <c r="Q13" i="12"/>
  <c r="Q64" i="12" s="1"/>
  <c r="P13" i="12"/>
  <c r="P64" i="12" s="1"/>
  <c r="O13" i="12"/>
  <c r="O64" i="12" s="1"/>
  <c r="N13" i="12"/>
  <c r="N64" i="12" s="1"/>
  <c r="M13" i="12"/>
  <c r="M64" i="12" s="1"/>
  <c r="L13" i="12"/>
  <c r="L64" i="12" s="1"/>
  <c r="K13" i="12"/>
  <c r="K64" i="12" s="1"/>
  <c r="J13" i="12"/>
  <c r="J64" i="12" s="1"/>
  <c r="I13" i="12"/>
  <c r="I64" i="12" s="1"/>
  <c r="H13" i="12"/>
  <c r="H64" i="12" s="1"/>
  <c r="G13" i="12"/>
  <c r="G64" i="12" s="1"/>
  <c r="F13" i="12"/>
  <c r="F64" i="12" s="1"/>
  <c r="E13" i="12"/>
  <c r="E64" i="12" s="1"/>
  <c r="D13" i="12"/>
  <c r="D64" i="12" s="1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CX2" i="12"/>
  <c r="CW2" i="12"/>
  <c r="CV2" i="12"/>
  <c r="CU2" i="12"/>
  <c r="CT2" i="12"/>
  <c r="CS2" i="12"/>
  <c r="CR2" i="12"/>
  <c r="CQ2" i="12"/>
  <c r="CP2" i="12"/>
  <c r="CO2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X116" i="2"/>
  <c r="CW116" i="2"/>
  <c r="CV116" i="2"/>
  <c r="CU116" i="2"/>
  <c r="CT116" i="2"/>
  <c r="CS116" i="2"/>
  <c r="CR116" i="2"/>
  <c r="CQ116" i="2"/>
  <c r="CP116" i="2"/>
  <c r="CO116" i="2"/>
  <c r="CN116" i="2"/>
  <c r="CM116" i="2"/>
  <c r="CL116" i="2"/>
  <c r="CK116" i="2"/>
  <c r="CJ116" i="2"/>
  <c r="CI116" i="2"/>
  <c r="CH116" i="2"/>
  <c r="CG116" i="2"/>
  <c r="CF116" i="2"/>
  <c r="CE116" i="2"/>
  <c r="CD116" i="2"/>
  <c r="CC116" i="2"/>
  <c r="CB116" i="2"/>
  <c r="CA116" i="2"/>
  <c r="BZ116" i="2"/>
  <c r="BY116" i="2"/>
  <c r="BX116" i="2"/>
  <c r="BW116" i="2"/>
  <c r="BV116" i="2"/>
  <c r="BU116" i="2"/>
  <c r="BT116" i="2"/>
  <c r="BS116" i="2"/>
  <c r="BR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X115" i="2"/>
  <c r="CW115" i="2"/>
  <c r="CV115" i="2"/>
  <c r="CU115" i="2"/>
  <c r="CT115" i="2"/>
  <c r="CS115" i="2"/>
  <c r="CR115" i="2"/>
  <c r="CQ115" i="2"/>
  <c r="CP115" i="2"/>
  <c r="CO115" i="2"/>
  <c r="CN115" i="2"/>
  <c r="CM115" i="2"/>
  <c r="CL115" i="2"/>
  <c r="CK115" i="2"/>
  <c r="CJ115" i="2"/>
  <c r="CI115" i="2"/>
  <c r="CH115" i="2"/>
  <c r="CG115" i="2"/>
  <c r="CF115" i="2"/>
  <c r="CE115" i="2"/>
  <c r="CD115" i="2"/>
  <c r="CC115" i="2"/>
  <c r="CB115" i="2"/>
  <c r="CA115" i="2"/>
  <c r="BZ115" i="2"/>
  <c r="BY115" i="2"/>
  <c r="BX115" i="2"/>
  <c r="BW115" i="2"/>
  <c r="BV115" i="2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BB115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X114" i="2"/>
  <c r="CW114" i="2"/>
  <c r="CV114" i="2"/>
  <c r="CU114" i="2"/>
  <c r="CT114" i="2"/>
  <c r="CS114" i="2"/>
  <c r="CR114" i="2"/>
  <c r="CQ114" i="2"/>
  <c r="CP114" i="2"/>
  <c r="CO114" i="2"/>
  <c r="CN114" i="2"/>
  <c r="CM114" i="2"/>
  <c r="CL114" i="2"/>
  <c r="CK114" i="2"/>
  <c r="CJ114" i="2"/>
  <c r="CI114" i="2"/>
  <c r="CH114" i="2"/>
  <c r="CG114" i="2"/>
  <c r="CF114" i="2"/>
  <c r="CE114" i="2"/>
  <c r="CD114" i="2"/>
  <c r="CC114" i="2"/>
  <c r="CB114" i="2"/>
  <c r="CA114" i="2"/>
  <c r="BZ114" i="2"/>
  <c r="BY114" i="2"/>
  <c r="BX114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BB114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X113" i="2"/>
  <c r="CW113" i="2"/>
  <c r="CV113" i="2"/>
  <c r="CU113" i="2"/>
  <c r="CT113" i="2"/>
  <c r="CS113" i="2"/>
  <c r="CR113" i="2"/>
  <c r="CQ113" i="2"/>
  <c r="CP113" i="2"/>
  <c r="CO113" i="2"/>
  <c r="CN113" i="2"/>
  <c r="CM113" i="2"/>
  <c r="CL113" i="2"/>
  <c r="CK113" i="2"/>
  <c r="CJ113" i="2"/>
  <c r="CI113" i="2"/>
  <c r="CH113" i="2"/>
  <c r="CG113" i="2"/>
  <c r="CF113" i="2"/>
  <c r="CE113" i="2"/>
  <c r="CD113" i="2"/>
  <c r="CC113" i="2"/>
  <c r="CB113" i="2"/>
  <c r="CA113" i="2"/>
  <c r="BZ113" i="2"/>
  <c r="BY113" i="2"/>
  <c r="BX113" i="2"/>
  <c r="BW113" i="2"/>
  <c r="BV113" i="2"/>
  <c r="BU113" i="2"/>
  <c r="BT113" i="2"/>
  <c r="BS113" i="2"/>
  <c r="BR113" i="2"/>
  <c r="BQ113" i="2"/>
  <c r="BP113" i="2"/>
  <c r="BO113" i="2"/>
  <c r="BN113" i="2"/>
  <c r="BM113" i="2"/>
  <c r="BL113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X112" i="2"/>
  <c r="CW112" i="2"/>
  <c r="CV112" i="2"/>
  <c r="CU112" i="2"/>
  <c r="CT112" i="2"/>
  <c r="CS112" i="2"/>
  <c r="CR112" i="2"/>
  <c r="CQ112" i="2"/>
  <c r="CP112" i="2"/>
  <c r="CO112" i="2"/>
  <c r="CN112" i="2"/>
  <c r="CM112" i="2"/>
  <c r="CL112" i="2"/>
  <c r="CK112" i="2"/>
  <c r="CJ112" i="2"/>
  <c r="CI112" i="2"/>
  <c r="CH112" i="2"/>
  <c r="CG112" i="2"/>
  <c r="CF112" i="2"/>
  <c r="CE112" i="2"/>
  <c r="CD112" i="2"/>
  <c r="CC112" i="2"/>
  <c r="CB112" i="2"/>
  <c r="CA112" i="2"/>
  <c r="BZ112" i="2"/>
  <c r="BY112" i="2"/>
  <c r="BX112" i="2"/>
  <c r="BW112" i="2"/>
  <c r="BV112" i="2"/>
  <c r="BU112" i="2"/>
  <c r="BT112" i="2"/>
  <c r="BS112" i="2"/>
  <c r="BR112" i="2"/>
  <c r="BQ112" i="2"/>
  <c r="BP112" i="2"/>
  <c r="BO112" i="2"/>
  <c r="BN112" i="2"/>
  <c r="BM112" i="2"/>
  <c r="BL112" i="2"/>
  <c r="BK112" i="2"/>
  <c r="BJ112" i="2"/>
  <c r="BI112" i="2"/>
  <c r="BH112" i="2"/>
  <c r="BG112" i="2"/>
  <c r="BF112" i="2"/>
  <c r="BE112" i="2"/>
  <c r="BD112" i="2"/>
  <c r="BC112" i="2"/>
  <c r="BB112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X111" i="2"/>
  <c r="CW111" i="2"/>
  <c r="CV111" i="2"/>
  <c r="CU111" i="2"/>
  <c r="CT111" i="2"/>
  <c r="CS111" i="2"/>
  <c r="CR111" i="2"/>
  <c r="CQ111" i="2"/>
  <c r="CP111" i="2"/>
  <c r="CO111" i="2"/>
  <c r="CN111" i="2"/>
  <c r="CM111" i="2"/>
  <c r="CL111" i="2"/>
  <c r="CK111" i="2"/>
  <c r="CJ111" i="2"/>
  <c r="CI111" i="2"/>
  <c r="CH111" i="2"/>
  <c r="CG111" i="2"/>
  <c r="CF111" i="2"/>
  <c r="CE111" i="2"/>
  <c r="CD111" i="2"/>
  <c r="CC111" i="2"/>
  <c r="CB111" i="2"/>
  <c r="CA111" i="2"/>
  <c r="BZ111" i="2"/>
  <c r="BY111" i="2"/>
  <c r="BX111" i="2"/>
  <c r="BW111" i="2"/>
  <c r="BV111" i="2"/>
  <c r="BU111" i="2"/>
  <c r="BT111" i="2"/>
  <c r="BS111" i="2"/>
  <c r="BR111" i="2"/>
  <c r="BQ111" i="2"/>
  <c r="BP111" i="2"/>
  <c r="BO111" i="2"/>
  <c r="BN111" i="2"/>
  <c r="BM111" i="2"/>
  <c r="BL111" i="2"/>
  <c r="BK111" i="2"/>
  <c r="BJ111" i="2"/>
  <c r="BI111" i="2"/>
  <c r="BH111" i="2"/>
  <c r="BG111" i="2"/>
  <c r="BF111" i="2"/>
  <c r="BE111" i="2"/>
  <c r="BD111" i="2"/>
  <c r="BC111" i="2"/>
  <c r="BB111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X110" i="2"/>
  <c r="CW110" i="2"/>
  <c r="CV110" i="2"/>
  <c r="CU110" i="2"/>
  <c r="CT110" i="2"/>
  <c r="CS110" i="2"/>
  <c r="CR110" i="2"/>
  <c r="CQ110" i="2"/>
  <c r="CP110" i="2"/>
  <c r="CO110" i="2"/>
  <c r="CN110" i="2"/>
  <c r="CM110" i="2"/>
  <c r="CL110" i="2"/>
  <c r="CK110" i="2"/>
  <c r="CJ110" i="2"/>
  <c r="CI110" i="2"/>
  <c r="CH110" i="2"/>
  <c r="CG110" i="2"/>
  <c r="CF110" i="2"/>
  <c r="CE110" i="2"/>
  <c r="CD110" i="2"/>
  <c r="CC110" i="2"/>
  <c r="CB110" i="2"/>
  <c r="CA110" i="2"/>
  <c r="BZ110" i="2"/>
  <c r="BY110" i="2"/>
  <c r="BX110" i="2"/>
  <c r="BW110" i="2"/>
  <c r="BV110" i="2"/>
  <c r="BU110" i="2"/>
  <c r="BT110" i="2"/>
  <c r="BS110" i="2"/>
  <c r="BR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BB110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X109" i="2"/>
  <c r="CW109" i="2"/>
  <c r="CV109" i="2"/>
  <c r="CU109" i="2"/>
  <c r="CT109" i="2"/>
  <c r="CS109" i="2"/>
  <c r="CR109" i="2"/>
  <c r="CQ109" i="2"/>
  <c r="CP109" i="2"/>
  <c r="CO109" i="2"/>
  <c r="CN109" i="2"/>
  <c r="CM109" i="2"/>
  <c r="CL109" i="2"/>
  <c r="CK109" i="2"/>
  <c r="CJ109" i="2"/>
  <c r="CI109" i="2"/>
  <c r="CH109" i="2"/>
  <c r="CG109" i="2"/>
  <c r="CF109" i="2"/>
  <c r="CE109" i="2"/>
  <c r="CD109" i="2"/>
  <c r="CC109" i="2"/>
  <c r="CB109" i="2"/>
  <c r="CA109" i="2"/>
  <c r="BZ109" i="2"/>
  <c r="BY109" i="2"/>
  <c r="BX109" i="2"/>
  <c r="BW109" i="2"/>
  <c r="BV109" i="2"/>
  <c r="BU109" i="2"/>
  <c r="BT109" i="2"/>
  <c r="BS109" i="2"/>
  <c r="BR109" i="2"/>
  <c r="BQ109" i="2"/>
  <c r="BP109" i="2"/>
  <c r="BO109" i="2"/>
  <c r="BN109" i="2"/>
  <c r="BM109" i="2"/>
  <c r="BL109" i="2"/>
  <c r="BK109" i="2"/>
  <c r="BJ109" i="2"/>
  <c r="BI109" i="2"/>
  <c r="BH109" i="2"/>
  <c r="BG109" i="2"/>
  <c r="BF109" i="2"/>
  <c r="BE109" i="2"/>
  <c r="BD109" i="2"/>
  <c r="BC109" i="2"/>
  <c r="BB109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CC108" i="2"/>
  <c r="CB108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X107" i="2"/>
  <c r="CW107" i="2"/>
  <c r="CV107" i="2"/>
  <c r="CU107" i="2"/>
  <c r="CT107" i="2"/>
  <c r="CS107" i="2"/>
  <c r="CR107" i="2"/>
  <c r="CQ107" i="2"/>
  <c r="CP107" i="2"/>
  <c r="CO107" i="2"/>
  <c r="CN107" i="2"/>
  <c r="CM107" i="2"/>
  <c r="CL107" i="2"/>
  <c r="CK107" i="2"/>
  <c r="CJ107" i="2"/>
  <c r="CI107" i="2"/>
  <c r="CH107" i="2"/>
  <c r="CG107" i="2"/>
  <c r="CF107" i="2"/>
  <c r="CE107" i="2"/>
  <c r="CD107" i="2"/>
  <c r="CC107" i="2"/>
  <c r="CB107" i="2"/>
  <c r="CA107" i="2"/>
  <c r="BZ107" i="2"/>
  <c r="BY107" i="2"/>
  <c r="BX107" i="2"/>
  <c r="BW107" i="2"/>
  <c r="BV107" i="2"/>
  <c r="BU107" i="2"/>
  <c r="BT107" i="2"/>
  <c r="BS107" i="2"/>
  <c r="BR107" i="2"/>
  <c r="BQ107" i="2"/>
  <c r="BP107" i="2"/>
  <c r="BO107" i="2"/>
  <c r="BN107" i="2"/>
  <c r="BM107" i="2"/>
  <c r="BL107" i="2"/>
  <c r="BK107" i="2"/>
  <c r="BJ107" i="2"/>
  <c r="BI107" i="2"/>
  <c r="BH107" i="2"/>
  <c r="BG107" i="2"/>
  <c r="BF107" i="2"/>
  <c r="BE107" i="2"/>
  <c r="BD107" i="2"/>
  <c r="BC107" i="2"/>
  <c r="BB107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X106" i="2"/>
  <c r="CW106" i="2"/>
  <c r="CV106" i="2"/>
  <c r="CU106" i="2"/>
  <c r="CT106" i="2"/>
  <c r="CS106" i="2"/>
  <c r="CR106" i="2"/>
  <c r="CQ106" i="2"/>
  <c r="CP106" i="2"/>
  <c r="CO106" i="2"/>
  <c r="CN106" i="2"/>
  <c r="CM106" i="2"/>
  <c r="CL106" i="2"/>
  <c r="CK106" i="2"/>
  <c r="CJ106" i="2"/>
  <c r="CI106" i="2"/>
  <c r="CH106" i="2"/>
  <c r="CG106" i="2"/>
  <c r="CF106" i="2"/>
  <c r="CE106" i="2"/>
  <c r="CD106" i="2"/>
  <c r="CC106" i="2"/>
  <c r="CB106" i="2"/>
  <c r="CA106" i="2"/>
  <c r="BZ106" i="2"/>
  <c r="BY106" i="2"/>
  <c r="BX106" i="2"/>
  <c r="BW106" i="2"/>
  <c r="BV106" i="2"/>
  <c r="BU106" i="2"/>
  <c r="BT106" i="2"/>
  <c r="BS106" i="2"/>
  <c r="BR106" i="2"/>
  <c r="BQ106" i="2"/>
  <c r="BP106" i="2"/>
  <c r="BO106" i="2"/>
  <c r="BN106" i="2"/>
  <c r="BM106" i="2"/>
  <c r="BL106" i="2"/>
  <c r="BK106" i="2"/>
  <c r="BJ106" i="2"/>
  <c r="BI106" i="2"/>
  <c r="BH106" i="2"/>
  <c r="BG106" i="2"/>
  <c r="BF106" i="2"/>
  <c r="BE106" i="2"/>
  <c r="BD106" i="2"/>
  <c r="BC106" i="2"/>
  <c r="BB106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X105" i="2"/>
  <c r="CW105" i="2"/>
  <c r="CV105" i="2"/>
  <c r="CU105" i="2"/>
  <c r="CT105" i="2"/>
  <c r="CS105" i="2"/>
  <c r="CR105" i="2"/>
  <c r="CQ105" i="2"/>
  <c r="CP105" i="2"/>
  <c r="CO105" i="2"/>
  <c r="CN105" i="2"/>
  <c r="CM105" i="2"/>
  <c r="CL105" i="2"/>
  <c r="CK105" i="2"/>
  <c r="CJ105" i="2"/>
  <c r="CI105" i="2"/>
  <c r="CH105" i="2"/>
  <c r="CG105" i="2"/>
  <c r="CF105" i="2"/>
  <c r="CE105" i="2"/>
  <c r="CD105" i="2"/>
  <c r="CC105" i="2"/>
  <c r="CB105" i="2"/>
  <c r="CA105" i="2"/>
  <c r="BZ105" i="2"/>
  <c r="BY105" i="2"/>
  <c r="BX105" i="2"/>
  <c r="BW105" i="2"/>
  <c r="BV105" i="2"/>
  <c r="BU105" i="2"/>
  <c r="BT105" i="2"/>
  <c r="BS105" i="2"/>
  <c r="BR105" i="2"/>
  <c r="BQ105" i="2"/>
  <c r="BP105" i="2"/>
  <c r="BO105" i="2"/>
  <c r="BN105" i="2"/>
  <c r="BM105" i="2"/>
  <c r="BL105" i="2"/>
  <c r="BK105" i="2"/>
  <c r="BJ105" i="2"/>
  <c r="BI105" i="2"/>
  <c r="BH105" i="2"/>
  <c r="BG105" i="2"/>
  <c r="BF105" i="2"/>
  <c r="BE105" i="2"/>
  <c r="BD105" i="2"/>
  <c r="BC105" i="2"/>
  <c r="BB105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X104" i="2"/>
  <c r="CW104" i="2"/>
  <c r="CV104" i="2"/>
  <c r="CU104" i="2"/>
  <c r="CT104" i="2"/>
  <c r="CS104" i="2"/>
  <c r="CR104" i="2"/>
  <c r="CQ104" i="2"/>
  <c r="CP104" i="2"/>
  <c r="CO104" i="2"/>
  <c r="CN104" i="2"/>
  <c r="CM104" i="2"/>
  <c r="CL104" i="2"/>
  <c r="CK104" i="2"/>
  <c r="CJ104" i="2"/>
  <c r="CI104" i="2"/>
  <c r="CH104" i="2"/>
  <c r="CG104" i="2"/>
  <c r="CF104" i="2"/>
  <c r="CE104" i="2"/>
  <c r="CD104" i="2"/>
  <c r="CC104" i="2"/>
  <c r="CB104" i="2"/>
  <c r="CA104" i="2"/>
  <c r="BZ104" i="2"/>
  <c r="BY104" i="2"/>
  <c r="BX104" i="2"/>
  <c r="BW104" i="2"/>
  <c r="BV104" i="2"/>
  <c r="BU104" i="2"/>
  <c r="BT104" i="2"/>
  <c r="BS104" i="2"/>
  <c r="BR104" i="2"/>
  <c r="BQ104" i="2"/>
  <c r="BP104" i="2"/>
  <c r="BO104" i="2"/>
  <c r="BN104" i="2"/>
  <c r="BM104" i="2"/>
  <c r="BL104" i="2"/>
  <c r="BK104" i="2"/>
  <c r="BJ104" i="2"/>
  <c r="BI104" i="2"/>
  <c r="BH104" i="2"/>
  <c r="BG104" i="2"/>
  <c r="BF104" i="2"/>
  <c r="BE104" i="2"/>
  <c r="BD104" i="2"/>
  <c r="BC104" i="2"/>
  <c r="BB104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X103" i="2"/>
  <c r="CW103" i="2"/>
  <c r="CV103" i="2"/>
  <c r="CU103" i="2"/>
  <c r="CT103" i="2"/>
  <c r="CS103" i="2"/>
  <c r="CR103" i="2"/>
  <c r="CQ103" i="2"/>
  <c r="CP103" i="2"/>
  <c r="CO103" i="2"/>
  <c r="CN103" i="2"/>
  <c r="CM103" i="2"/>
  <c r="CL103" i="2"/>
  <c r="CK103" i="2"/>
  <c r="CJ103" i="2"/>
  <c r="CI103" i="2"/>
  <c r="CH103" i="2"/>
  <c r="CG103" i="2"/>
  <c r="CF103" i="2"/>
  <c r="CE103" i="2"/>
  <c r="CD103" i="2"/>
  <c r="CC103" i="2"/>
  <c r="CB103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X102" i="2"/>
  <c r="CW102" i="2"/>
  <c r="CV102" i="2"/>
  <c r="CU102" i="2"/>
  <c r="CT102" i="2"/>
  <c r="CS102" i="2"/>
  <c r="CR102" i="2"/>
  <c r="CQ102" i="2"/>
  <c r="CP102" i="2"/>
  <c r="CO102" i="2"/>
  <c r="CN102" i="2"/>
  <c r="CM102" i="2"/>
  <c r="CL102" i="2"/>
  <c r="CK102" i="2"/>
  <c r="CJ102" i="2"/>
  <c r="CI102" i="2"/>
  <c r="CH102" i="2"/>
  <c r="CG102" i="2"/>
  <c r="CF102" i="2"/>
  <c r="CE102" i="2"/>
  <c r="CD102" i="2"/>
  <c r="CC102" i="2"/>
  <c r="CB102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X101" i="2"/>
  <c r="CW101" i="2"/>
  <c r="CV101" i="2"/>
  <c r="CU101" i="2"/>
  <c r="CT101" i="2"/>
  <c r="CS101" i="2"/>
  <c r="CR101" i="2"/>
  <c r="CQ101" i="2"/>
  <c r="CP101" i="2"/>
  <c r="CO101" i="2"/>
  <c r="CN101" i="2"/>
  <c r="CM101" i="2"/>
  <c r="CL101" i="2"/>
  <c r="CK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X100" i="2"/>
  <c r="CW100" i="2"/>
  <c r="CV100" i="2"/>
  <c r="CU100" i="2"/>
  <c r="CT100" i="2"/>
  <c r="CS100" i="2"/>
  <c r="CR100" i="2"/>
  <c r="CQ100" i="2"/>
  <c r="CP100" i="2"/>
  <c r="CO100" i="2"/>
  <c r="CN100" i="2"/>
  <c r="CM100" i="2"/>
  <c r="CL100" i="2"/>
  <c r="CK100" i="2"/>
  <c r="CJ100" i="2"/>
  <c r="CI100" i="2"/>
  <c r="CH100" i="2"/>
  <c r="CG100" i="2"/>
  <c r="CF100" i="2"/>
  <c r="CE100" i="2"/>
  <c r="CD100" i="2"/>
  <c r="CC100" i="2"/>
  <c r="CB100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X99" i="2"/>
  <c r="CW99" i="2"/>
  <c r="CV99" i="2"/>
  <c r="CU99" i="2"/>
  <c r="CT99" i="2"/>
  <c r="CS99" i="2"/>
  <c r="CR99" i="2"/>
  <c r="CQ99" i="2"/>
  <c r="CP99" i="2"/>
  <c r="CO99" i="2"/>
  <c r="CN99" i="2"/>
  <c r="CM99" i="2"/>
  <c r="CL99" i="2"/>
  <c r="CK99" i="2"/>
  <c r="CJ99" i="2"/>
  <c r="CI99" i="2"/>
  <c r="CH99" i="2"/>
  <c r="CG99" i="2"/>
  <c r="CF99" i="2"/>
  <c r="CE99" i="2"/>
  <c r="CD99" i="2"/>
  <c r="CC99" i="2"/>
  <c r="CB99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X98" i="2"/>
  <c r="CW98" i="2"/>
  <c r="CV98" i="2"/>
  <c r="CU98" i="2"/>
  <c r="CT98" i="2"/>
  <c r="CS98" i="2"/>
  <c r="CR98" i="2"/>
  <c r="CQ98" i="2"/>
  <c r="CP98" i="2"/>
  <c r="CO98" i="2"/>
  <c r="CN98" i="2"/>
  <c r="CM98" i="2"/>
  <c r="CL98" i="2"/>
  <c r="CK98" i="2"/>
  <c r="CJ98" i="2"/>
  <c r="CI98" i="2"/>
  <c r="CH98" i="2"/>
  <c r="CG98" i="2"/>
  <c r="CF98" i="2"/>
  <c r="CE98" i="2"/>
  <c r="CD98" i="2"/>
  <c r="CC98" i="2"/>
  <c r="CB98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X97" i="2"/>
  <c r="CW97" i="2"/>
  <c r="CV97" i="2"/>
  <c r="CU97" i="2"/>
  <c r="CT97" i="2"/>
  <c r="CS97" i="2"/>
  <c r="CR97" i="2"/>
  <c r="CQ97" i="2"/>
  <c r="CP97" i="2"/>
  <c r="CO97" i="2"/>
  <c r="CN97" i="2"/>
  <c r="CM97" i="2"/>
  <c r="CL97" i="2"/>
  <c r="CK97" i="2"/>
  <c r="CJ97" i="2"/>
  <c r="CI97" i="2"/>
  <c r="CH97" i="2"/>
  <c r="CG97" i="2"/>
  <c r="CF97" i="2"/>
  <c r="CE97" i="2"/>
  <c r="CD97" i="2"/>
  <c r="CC97" i="2"/>
  <c r="CB97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X96" i="2"/>
  <c r="CW96" i="2"/>
  <c r="CV96" i="2"/>
  <c r="CU96" i="2"/>
  <c r="CT96" i="2"/>
  <c r="CS96" i="2"/>
  <c r="CR96" i="2"/>
  <c r="CQ96" i="2"/>
  <c r="CP96" i="2"/>
  <c r="CO96" i="2"/>
  <c r="CN96" i="2"/>
  <c r="CM96" i="2"/>
  <c r="CL96" i="2"/>
  <c r="CK96" i="2"/>
  <c r="CJ96" i="2"/>
  <c r="CI96" i="2"/>
  <c r="CH96" i="2"/>
  <c r="CG96" i="2"/>
  <c r="CF96" i="2"/>
  <c r="CE96" i="2"/>
  <c r="CD96" i="2"/>
  <c r="CC96" i="2"/>
  <c r="CB96" i="2"/>
  <c r="CA96" i="2"/>
  <c r="BZ96" i="2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X95" i="2"/>
  <c r="CW95" i="2"/>
  <c r="CV95" i="2"/>
  <c r="CU95" i="2"/>
  <c r="CT95" i="2"/>
  <c r="CS95" i="2"/>
  <c r="CR95" i="2"/>
  <c r="CQ95" i="2"/>
  <c r="CP95" i="2"/>
  <c r="CO95" i="2"/>
  <c r="CN95" i="2"/>
  <c r="CM95" i="2"/>
  <c r="CL95" i="2"/>
  <c r="CK95" i="2"/>
  <c r="CJ95" i="2"/>
  <c r="CI95" i="2"/>
  <c r="CH95" i="2"/>
  <c r="CG95" i="2"/>
  <c r="CF95" i="2"/>
  <c r="CE95" i="2"/>
  <c r="CD95" i="2"/>
  <c r="CC95" i="2"/>
  <c r="CB95" i="2"/>
  <c r="CA95" i="2"/>
  <c r="BZ95" i="2"/>
  <c r="BY95" i="2"/>
  <c r="BX95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H123" i="10"/>
  <c r="CV122" i="10"/>
  <c r="Z122" i="10"/>
  <c r="CB121" i="10"/>
  <c r="AV121" i="10"/>
  <c r="P121" i="10"/>
  <c r="CN120" i="10"/>
  <c r="BT120" i="10"/>
  <c r="BD120" i="10"/>
  <c r="AN120" i="10"/>
  <c r="X120" i="10"/>
  <c r="H120" i="10"/>
  <c r="CM119" i="10"/>
  <c r="BW119" i="10"/>
  <c r="BG119" i="10"/>
  <c r="AQ119" i="10"/>
  <c r="AA119" i="10"/>
  <c r="K119" i="10"/>
  <c r="CP118" i="10"/>
  <c r="BZ118" i="10"/>
  <c r="BJ118" i="10"/>
  <c r="BA118" i="10"/>
  <c r="AV118" i="10"/>
  <c r="AP118" i="10"/>
  <c r="AK118" i="10"/>
  <c r="AF118" i="10"/>
  <c r="Z118" i="10"/>
  <c r="U118" i="10"/>
  <c r="P118" i="10"/>
  <c r="J118" i="10"/>
  <c r="E118" i="10"/>
  <c r="CU117" i="10"/>
  <c r="CO117" i="10"/>
  <c r="CJ117" i="10"/>
  <c r="CE117" i="10"/>
  <c r="CA117" i="10"/>
  <c r="BW117" i="10"/>
  <c r="BS117" i="10"/>
  <c r="BO117" i="10"/>
  <c r="BK117" i="10"/>
  <c r="BG117" i="10"/>
  <c r="BC117" i="10"/>
  <c r="AY117" i="10"/>
  <c r="AU117" i="10"/>
  <c r="AQ117" i="10"/>
  <c r="AM117" i="10"/>
  <c r="AI117" i="10"/>
  <c r="AE117" i="10"/>
  <c r="AA117" i="10"/>
  <c r="W117" i="10"/>
  <c r="S117" i="10"/>
  <c r="O117" i="10"/>
  <c r="K117" i="10"/>
  <c r="G117" i="10"/>
  <c r="CX116" i="10"/>
  <c r="CX125" i="10" s="1"/>
  <c r="CW116" i="10"/>
  <c r="CW125" i="10" s="1"/>
  <c r="CV116" i="10"/>
  <c r="CV125" i="10" s="1"/>
  <c r="CU116" i="10"/>
  <c r="CU125" i="10" s="1"/>
  <c r="CT116" i="10"/>
  <c r="CT125" i="10" s="1"/>
  <c r="CS116" i="10"/>
  <c r="CS125" i="10" s="1"/>
  <c r="CR116" i="10"/>
  <c r="CR125" i="10" s="1"/>
  <c r="CQ116" i="10"/>
  <c r="CQ125" i="10" s="1"/>
  <c r="CP116" i="10"/>
  <c r="CP125" i="10" s="1"/>
  <c r="CO116" i="10"/>
  <c r="CO125" i="10" s="1"/>
  <c r="CN116" i="10"/>
  <c r="CN125" i="10" s="1"/>
  <c r="CM116" i="10"/>
  <c r="CM125" i="10" s="1"/>
  <c r="CL116" i="10"/>
  <c r="CL125" i="10" s="1"/>
  <c r="CK116" i="10"/>
  <c r="CK125" i="10" s="1"/>
  <c r="CJ116" i="10"/>
  <c r="CJ125" i="10" s="1"/>
  <c r="CI116" i="10"/>
  <c r="CI125" i="10" s="1"/>
  <c r="CH116" i="10"/>
  <c r="CH125" i="10" s="1"/>
  <c r="CG116" i="10"/>
  <c r="CG125" i="10" s="1"/>
  <c r="CF116" i="10"/>
  <c r="CF125" i="10" s="1"/>
  <c r="CE116" i="10"/>
  <c r="CE125" i="10" s="1"/>
  <c r="CD116" i="10"/>
  <c r="CD125" i="10" s="1"/>
  <c r="CC116" i="10"/>
  <c r="CC125" i="10" s="1"/>
  <c r="CB116" i="10"/>
  <c r="CB125" i="10" s="1"/>
  <c r="CA116" i="10"/>
  <c r="CA125" i="10" s="1"/>
  <c r="BZ116" i="10"/>
  <c r="BZ125" i="10" s="1"/>
  <c r="BY116" i="10"/>
  <c r="BY125" i="10" s="1"/>
  <c r="BX116" i="10"/>
  <c r="BX125" i="10" s="1"/>
  <c r="BW116" i="10"/>
  <c r="BW125" i="10" s="1"/>
  <c r="BV116" i="10"/>
  <c r="BV125" i="10" s="1"/>
  <c r="BU116" i="10"/>
  <c r="BU125" i="10" s="1"/>
  <c r="BT116" i="10"/>
  <c r="BT125" i="10" s="1"/>
  <c r="BS116" i="10"/>
  <c r="BS125" i="10" s="1"/>
  <c r="BR116" i="10"/>
  <c r="BR125" i="10" s="1"/>
  <c r="BQ116" i="10"/>
  <c r="BQ125" i="10" s="1"/>
  <c r="BP116" i="10"/>
  <c r="BP125" i="10" s="1"/>
  <c r="BO116" i="10"/>
  <c r="BO125" i="10" s="1"/>
  <c r="BN116" i="10"/>
  <c r="BN125" i="10" s="1"/>
  <c r="BM116" i="10"/>
  <c r="BM125" i="10" s="1"/>
  <c r="BL116" i="10"/>
  <c r="BL125" i="10" s="1"/>
  <c r="BK116" i="10"/>
  <c r="BK125" i="10" s="1"/>
  <c r="BJ116" i="10"/>
  <c r="BJ125" i="10" s="1"/>
  <c r="BI116" i="10"/>
  <c r="BI125" i="10" s="1"/>
  <c r="BH116" i="10"/>
  <c r="BH125" i="10" s="1"/>
  <c r="BG116" i="10"/>
  <c r="BG125" i="10" s="1"/>
  <c r="BF116" i="10"/>
  <c r="BF125" i="10" s="1"/>
  <c r="BE116" i="10"/>
  <c r="BE125" i="10" s="1"/>
  <c r="BD116" i="10"/>
  <c r="BD125" i="10" s="1"/>
  <c r="BC116" i="10"/>
  <c r="BC125" i="10" s="1"/>
  <c r="BB116" i="10"/>
  <c r="BB125" i="10" s="1"/>
  <c r="BA116" i="10"/>
  <c r="BA125" i="10" s="1"/>
  <c r="AZ116" i="10"/>
  <c r="AZ125" i="10" s="1"/>
  <c r="AY116" i="10"/>
  <c r="AY125" i="10" s="1"/>
  <c r="AX116" i="10"/>
  <c r="AX125" i="10" s="1"/>
  <c r="AW116" i="10"/>
  <c r="AW125" i="10" s="1"/>
  <c r="AV116" i="10"/>
  <c r="AV125" i="10" s="1"/>
  <c r="AU116" i="10"/>
  <c r="AU125" i="10" s="1"/>
  <c r="AT116" i="10"/>
  <c r="AT125" i="10" s="1"/>
  <c r="AS116" i="10"/>
  <c r="AS125" i="10" s="1"/>
  <c r="AR116" i="10"/>
  <c r="AR125" i="10" s="1"/>
  <c r="AQ116" i="10"/>
  <c r="AQ125" i="10" s="1"/>
  <c r="AP116" i="10"/>
  <c r="AP125" i="10" s="1"/>
  <c r="AO116" i="10"/>
  <c r="AO125" i="10" s="1"/>
  <c r="AN116" i="10"/>
  <c r="AN125" i="10" s="1"/>
  <c r="AM116" i="10"/>
  <c r="AM125" i="10" s="1"/>
  <c r="AL116" i="10"/>
  <c r="AL125" i="10" s="1"/>
  <c r="AK116" i="10"/>
  <c r="AK125" i="10" s="1"/>
  <c r="AJ116" i="10"/>
  <c r="AJ125" i="10" s="1"/>
  <c r="AI116" i="10"/>
  <c r="AI125" i="10" s="1"/>
  <c r="AH116" i="10"/>
  <c r="AH125" i="10" s="1"/>
  <c r="AG116" i="10"/>
  <c r="AG125" i="10" s="1"/>
  <c r="AF116" i="10"/>
  <c r="AF125" i="10" s="1"/>
  <c r="AE116" i="10"/>
  <c r="AE125" i="10" s="1"/>
  <c r="AD116" i="10"/>
  <c r="AD125" i="10" s="1"/>
  <c r="AC116" i="10"/>
  <c r="AC125" i="10" s="1"/>
  <c r="AB116" i="10"/>
  <c r="AB125" i="10" s="1"/>
  <c r="AA116" i="10"/>
  <c r="AA125" i="10" s="1"/>
  <c r="Z116" i="10"/>
  <c r="Z125" i="10" s="1"/>
  <c r="Y116" i="10"/>
  <c r="Y125" i="10" s="1"/>
  <c r="X116" i="10"/>
  <c r="X125" i="10" s="1"/>
  <c r="W116" i="10"/>
  <c r="W125" i="10" s="1"/>
  <c r="V116" i="10"/>
  <c r="V125" i="10" s="1"/>
  <c r="U116" i="10"/>
  <c r="U125" i="10" s="1"/>
  <c r="T116" i="10"/>
  <c r="T125" i="10" s="1"/>
  <c r="S116" i="10"/>
  <c r="S125" i="10" s="1"/>
  <c r="R116" i="10"/>
  <c r="R125" i="10" s="1"/>
  <c r="Q116" i="10"/>
  <c r="Q125" i="10" s="1"/>
  <c r="P116" i="10"/>
  <c r="P125" i="10" s="1"/>
  <c r="O116" i="10"/>
  <c r="O125" i="10" s="1"/>
  <c r="N116" i="10"/>
  <c r="N125" i="10" s="1"/>
  <c r="M116" i="10"/>
  <c r="M125" i="10" s="1"/>
  <c r="L116" i="10"/>
  <c r="L125" i="10" s="1"/>
  <c r="K116" i="10"/>
  <c r="K125" i="10" s="1"/>
  <c r="J116" i="10"/>
  <c r="J125" i="10" s="1"/>
  <c r="I116" i="10"/>
  <c r="I125" i="10" s="1"/>
  <c r="H116" i="10"/>
  <c r="H125" i="10" s="1"/>
  <c r="G116" i="10"/>
  <c r="G125" i="10" s="1"/>
  <c r="F116" i="10"/>
  <c r="F125" i="10" s="1"/>
  <c r="E116" i="10"/>
  <c r="E125" i="10" s="1"/>
  <c r="D116" i="10"/>
  <c r="D125" i="10" s="1"/>
  <c r="CX115" i="10"/>
  <c r="CW115" i="10"/>
  <c r="CV115" i="10"/>
  <c r="CU115" i="10"/>
  <c r="CT115" i="10"/>
  <c r="CS115" i="10"/>
  <c r="CR115" i="10"/>
  <c r="CQ115" i="10"/>
  <c r="CP115" i="10"/>
  <c r="CO115" i="10"/>
  <c r="CN115" i="10"/>
  <c r="CM115" i="10"/>
  <c r="CL115" i="10"/>
  <c r="CK115" i="10"/>
  <c r="CJ115" i="10"/>
  <c r="CI115" i="10"/>
  <c r="CH115" i="10"/>
  <c r="CG115" i="10"/>
  <c r="CF115" i="10"/>
  <c r="CE115" i="10"/>
  <c r="CD115" i="10"/>
  <c r="CC115" i="10"/>
  <c r="CB115" i="10"/>
  <c r="CA115" i="10"/>
  <c r="BZ115" i="10"/>
  <c r="BY115" i="10"/>
  <c r="BX115" i="10"/>
  <c r="BW115" i="10"/>
  <c r="BV115" i="10"/>
  <c r="BU115" i="10"/>
  <c r="BT115" i="10"/>
  <c r="BS115" i="10"/>
  <c r="BR115" i="10"/>
  <c r="BQ115" i="10"/>
  <c r="BP115" i="10"/>
  <c r="BO115" i="10"/>
  <c r="BN115" i="10"/>
  <c r="BM115" i="10"/>
  <c r="BL115" i="10"/>
  <c r="BK115" i="10"/>
  <c r="BJ115" i="10"/>
  <c r="BI115" i="10"/>
  <c r="BH115" i="10"/>
  <c r="BG115" i="10"/>
  <c r="BF115" i="10"/>
  <c r="BE115" i="10"/>
  <c r="BD115" i="10"/>
  <c r="BC115" i="10"/>
  <c r="BB115" i="10"/>
  <c r="BA115" i="10"/>
  <c r="AZ115" i="10"/>
  <c r="AY115" i="10"/>
  <c r="AX115" i="10"/>
  <c r="AW115" i="10"/>
  <c r="AV115" i="10"/>
  <c r="AU115" i="10"/>
  <c r="AT115" i="10"/>
  <c r="AS115" i="10"/>
  <c r="AR115" i="10"/>
  <c r="AQ115" i="10"/>
  <c r="AP115" i="10"/>
  <c r="AO115" i="10"/>
  <c r="AN115" i="10"/>
  <c r="AM115" i="10"/>
  <c r="AL115" i="10"/>
  <c r="AK115" i="10"/>
  <c r="AJ115" i="10"/>
  <c r="AI115" i="10"/>
  <c r="AH115" i="10"/>
  <c r="AG115" i="10"/>
  <c r="AF115" i="10"/>
  <c r="AE115" i="10"/>
  <c r="AD115" i="10"/>
  <c r="AC115" i="10"/>
  <c r="AB115" i="10"/>
  <c r="AA115" i="10"/>
  <c r="Z115" i="10"/>
  <c r="Y115" i="10"/>
  <c r="X115" i="10"/>
  <c r="W115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D115" i="10"/>
  <c r="CX114" i="10"/>
  <c r="CW114" i="10"/>
  <c r="CV114" i="10"/>
  <c r="CU114" i="10"/>
  <c r="CT114" i="10"/>
  <c r="CS114" i="10"/>
  <c r="CR114" i="10"/>
  <c r="CQ114" i="10"/>
  <c r="CP114" i="10"/>
  <c r="CO114" i="10"/>
  <c r="CN114" i="10"/>
  <c r="CM114" i="10"/>
  <c r="CL114" i="10"/>
  <c r="CK114" i="10"/>
  <c r="CJ114" i="10"/>
  <c r="CI114" i="10"/>
  <c r="CH114" i="10"/>
  <c r="CG114" i="10"/>
  <c r="CF114" i="10"/>
  <c r="CE114" i="10"/>
  <c r="CD114" i="10"/>
  <c r="CC114" i="10"/>
  <c r="CB114" i="10"/>
  <c r="CA114" i="10"/>
  <c r="BZ114" i="10"/>
  <c r="BY114" i="10"/>
  <c r="BX114" i="10"/>
  <c r="BW114" i="10"/>
  <c r="BV114" i="10"/>
  <c r="BU114" i="10"/>
  <c r="BT114" i="10"/>
  <c r="BS114" i="10"/>
  <c r="BR114" i="10"/>
  <c r="BQ114" i="10"/>
  <c r="BP114" i="10"/>
  <c r="BO114" i="10"/>
  <c r="BN114" i="10"/>
  <c r="BM114" i="10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CX113" i="10"/>
  <c r="CW113" i="10"/>
  <c r="CV113" i="10"/>
  <c r="CU113" i="10"/>
  <c r="CT113" i="10"/>
  <c r="CS113" i="10"/>
  <c r="CR113" i="10"/>
  <c r="CQ113" i="10"/>
  <c r="CP113" i="10"/>
  <c r="CO113" i="10"/>
  <c r="CN113" i="10"/>
  <c r="CM113" i="10"/>
  <c r="CL113" i="10"/>
  <c r="CK113" i="10"/>
  <c r="CJ113" i="10"/>
  <c r="CI113" i="10"/>
  <c r="CH113" i="10"/>
  <c r="CG113" i="10"/>
  <c r="CF113" i="10"/>
  <c r="CE113" i="10"/>
  <c r="CD113" i="10"/>
  <c r="CC113" i="10"/>
  <c r="CB113" i="10"/>
  <c r="CA113" i="10"/>
  <c r="BZ113" i="10"/>
  <c r="BY113" i="10"/>
  <c r="BX113" i="10"/>
  <c r="BW113" i="10"/>
  <c r="BV113" i="10"/>
  <c r="BU113" i="10"/>
  <c r="BT113" i="10"/>
  <c r="BS113" i="10"/>
  <c r="BR113" i="10"/>
  <c r="BQ113" i="10"/>
  <c r="BP113" i="10"/>
  <c r="BO113" i="10"/>
  <c r="BN113" i="10"/>
  <c r="BM113" i="10"/>
  <c r="BL113" i="10"/>
  <c r="BK113" i="10"/>
  <c r="BJ113" i="10"/>
  <c r="BI113" i="10"/>
  <c r="BH113" i="10"/>
  <c r="BG113" i="10"/>
  <c r="BF113" i="10"/>
  <c r="BE113" i="10"/>
  <c r="BD113" i="10"/>
  <c r="BC113" i="10"/>
  <c r="BB113" i="10"/>
  <c r="BA113" i="10"/>
  <c r="AZ113" i="10"/>
  <c r="AY113" i="10"/>
  <c r="AX113" i="10"/>
  <c r="AW113" i="10"/>
  <c r="AV113" i="10"/>
  <c r="AU113" i="10"/>
  <c r="AT113" i="10"/>
  <c r="AS113" i="10"/>
  <c r="AR113" i="10"/>
  <c r="AQ113" i="10"/>
  <c r="AP113" i="10"/>
  <c r="AO113" i="10"/>
  <c r="AN113" i="10"/>
  <c r="AM113" i="10"/>
  <c r="AL113" i="10"/>
  <c r="AK113" i="10"/>
  <c r="AJ113" i="10"/>
  <c r="AI113" i="10"/>
  <c r="AH113" i="10"/>
  <c r="AG113" i="10"/>
  <c r="AF113" i="10"/>
  <c r="AE113" i="10"/>
  <c r="AD113" i="10"/>
  <c r="AC113" i="10"/>
  <c r="AB113" i="10"/>
  <c r="AA113" i="10"/>
  <c r="Z113" i="10"/>
  <c r="Y113" i="10"/>
  <c r="X113" i="10"/>
  <c r="W113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D113" i="10"/>
  <c r="CX112" i="10"/>
  <c r="CW112" i="10"/>
  <c r="CV112" i="10"/>
  <c r="CU112" i="10"/>
  <c r="CT112" i="10"/>
  <c r="CS112" i="10"/>
  <c r="CR112" i="10"/>
  <c r="CQ112" i="10"/>
  <c r="CP112" i="10"/>
  <c r="CO112" i="10"/>
  <c r="CN112" i="10"/>
  <c r="CM112" i="10"/>
  <c r="CL112" i="10"/>
  <c r="CK112" i="10"/>
  <c r="CJ112" i="10"/>
  <c r="CI112" i="10"/>
  <c r="CH112" i="10"/>
  <c r="CG112" i="10"/>
  <c r="CF112" i="10"/>
  <c r="CE112" i="10"/>
  <c r="CD112" i="10"/>
  <c r="CC112" i="10"/>
  <c r="CB112" i="10"/>
  <c r="CA112" i="10"/>
  <c r="BZ112" i="10"/>
  <c r="BY112" i="10"/>
  <c r="BX112" i="10"/>
  <c r="BW112" i="10"/>
  <c r="BV112" i="10"/>
  <c r="BU112" i="10"/>
  <c r="BT112" i="10"/>
  <c r="BS112" i="10"/>
  <c r="BR112" i="10"/>
  <c r="BQ112" i="10"/>
  <c r="BP112" i="10"/>
  <c r="BO112" i="10"/>
  <c r="BN112" i="10"/>
  <c r="BM112" i="10"/>
  <c r="BL112" i="10"/>
  <c r="BK112" i="10"/>
  <c r="BJ112" i="10"/>
  <c r="BI112" i="10"/>
  <c r="BH112" i="10"/>
  <c r="BG112" i="10"/>
  <c r="BF112" i="10"/>
  <c r="BE112" i="10"/>
  <c r="BD112" i="10"/>
  <c r="BC112" i="10"/>
  <c r="BB112" i="10"/>
  <c r="BA112" i="10"/>
  <c r="AZ112" i="10"/>
  <c r="AY112" i="10"/>
  <c r="AX112" i="10"/>
  <c r="AW112" i="10"/>
  <c r="AV112" i="10"/>
  <c r="AU112" i="10"/>
  <c r="AT112" i="10"/>
  <c r="AS112" i="10"/>
  <c r="AR112" i="10"/>
  <c r="AQ112" i="10"/>
  <c r="AP112" i="10"/>
  <c r="AO112" i="10"/>
  <c r="AN112" i="10"/>
  <c r="AM112" i="10"/>
  <c r="AL112" i="10"/>
  <c r="AK112" i="10"/>
  <c r="AJ112" i="10"/>
  <c r="AI112" i="10"/>
  <c r="AH112" i="10"/>
  <c r="AG112" i="10"/>
  <c r="AF112" i="10"/>
  <c r="AE112" i="10"/>
  <c r="AD112" i="10"/>
  <c r="AC112" i="10"/>
  <c r="AB112" i="10"/>
  <c r="AA112" i="10"/>
  <c r="Z112" i="10"/>
  <c r="Y112" i="10"/>
  <c r="X112" i="10"/>
  <c r="W112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D112" i="10"/>
  <c r="CX111" i="10"/>
  <c r="CW111" i="10"/>
  <c r="CV111" i="10"/>
  <c r="CU111" i="10"/>
  <c r="CT111" i="10"/>
  <c r="CS111" i="10"/>
  <c r="CR111" i="10"/>
  <c r="CQ111" i="10"/>
  <c r="CP111" i="10"/>
  <c r="CO111" i="10"/>
  <c r="CN111" i="10"/>
  <c r="CM111" i="10"/>
  <c r="CL111" i="10"/>
  <c r="CK111" i="10"/>
  <c r="CJ111" i="10"/>
  <c r="CI111" i="10"/>
  <c r="CH111" i="10"/>
  <c r="CG111" i="10"/>
  <c r="CF111" i="10"/>
  <c r="CE111" i="10"/>
  <c r="CD111" i="10"/>
  <c r="CC111" i="10"/>
  <c r="CB111" i="10"/>
  <c r="CA111" i="10"/>
  <c r="BZ111" i="10"/>
  <c r="BY111" i="10"/>
  <c r="BX111" i="10"/>
  <c r="BW111" i="10"/>
  <c r="BV111" i="10"/>
  <c r="BU111" i="10"/>
  <c r="BT111" i="10"/>
  <c r="BS111" i="10"/>
  <c r="BR111" i="10"/>
  <c r="BQ111" i="10"/>
  <c r="BP111" i="10"/>
  <c r="BO111" i="10"/>
  <c r="BN111" i="10"/>
  <c r="BM111" i="10"/>
  <c r="BL111" i="10"/>
  <c r="BK111" i="10"/>
  <c r="BJ111" i="10"/>
  <c r="BI111" i="10"/>
  <c r="BH111" i="10"/>
  <c r="BG111" i="10"/>
  <c r="BF111" i="10"/>
  <c r="BE111" i="10"/>
  <c r="BD111" i="10"/>
  <c r="BC111" i="10"/>
  <c r="BB111" i="10"/>
  <c r="BA111" i="10"/>
  <c r="AZ111" i="10"/>
  <c r="AY111" i="10"/>
  <c r="AX111" i="10"/>
  <c r="AW111" i="10"/>
  <c r="AV111" i="10"/>
  <c r="AU111" i="10"/>
  <c r="AT111" i="10"/>
  <c r="AS111" i="10"/>
  <c r="AR111" i="10"/>
  <c r="AQ111" i="10"/>
  <c r="AP111" i="10"/>
  <c r="AO111" i="10"/>
  <c r="AN111" i="10"/>
  <c r="AM111" i="10"/>
  <c r="AL111" i="10"/>
  <c r="AK111" i="10"/>
  <c r="AJ111" i="10"/>
  <c r="AI111" i="10"/>
  <c r="AH111" i="10"/>
  <c r="AG111" i="10"/>
  <c r="AF111" i="10"/>
  <c r="AE111" i="10"/>
  <c r="AD111" i="10"/>
  <c r="AC111" i="10"/>
  <c r="AB111" i="10"/>
  <c r="AA111" i="10"/>
  <c r="Z111" i="10"/>
  <c r="Y111" i="10"/>
  <c r="X111" i="10"/>
  <c r="W111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D111" i="10"/>
  <c r="CX110" i="10"/>
  <c r="CW110" i="10"/>
  <c r="CV110" i="10"/>
  <c r="CU110" i="10"/>
  <c r="CT110" i="10"/>
  <c r="CS110" i="10"/>
  <c r="CR110" i="10"/>
  <c r="CQ110" i="10"/>
  <c r="CP110" i="10"/>
  <c r="CO110" i="10"/>
  <c r="CN110" i="10"/>
  <c r="CM110" i="10"/>
  <c r="CL110" i="10"/>
  <c r="CK110" i="10"/>
  <c r="CJ110" i="10"/>
  <c r="CI110" i="10"/>
  <c r="CH110" i="10"/>
  <c r="CG110" i="10"/>
  <c r="CF110" i="10"/>
  <c r="CE110" i="10"/>
  <c r="CD110" i="10"/>
  <c r="CC110" i="10"/>
  <c r="CB110" i="10"/>
  <c r="CA110" i="10"/>
  <c r="BZ110" i="10"/>
  <c r="BY110" i="10"/>
  <c r="BX110" i="10"/>
  <c r="BW110" i="10"/>
  <c r="BV110" i="10"/>
  <c r="BU110" i="10"/>
  <c r="BT110" i="10"/>
  <c r="BS110" i="10"/>
  <c r="BR110" i="10"/>
  <c r="BQ110" i="10"/>
  <c r="BP110" i="10"/>
  <c r="BO110" i="10"/>
  <c r="BN110" i="10"/>
  <c r="BM110" i="10"/>
  <c r="BL110" i="10"/>
  <c r="BK110" i="10"/>
  <c r="BJ110" i="10"/>
  <c r="BI110" i="10"/>
  <c r="BH110" i="10"/>
  <c r="BG110" i="10"/>
  <c r="BF110" i="10"/>
  <c r="BE110" i="10"/>
  <c r="BD110" i="10"/>
  <c r="BC110" i="10"/>
  <c r="BB110" i="10"/>
  <c r="BA110" i="10"/>
  <c r="AZ110" i="10"/>
  <c r="AY110" i="10"/>
  <c r="AX110" i="10"/>
  <c r="AW110" i="10"/>
  <c r="AV110" i="10"/>
  <c r="AU110" i="10"/>
  <c r="AT110" i="10"/>
  <c r="AS110" i="10"/>
  <c r="AR110" i="10"/>
  <c r="AQ110" i="10"/>
  <c r="AP110" i="10"/>
  <c r="AO110" i="10"/>
  <c r="AN110" i="10"/>
  <c r="AM110" i="10"/>
  <c r="AL110" i="10"/>
  <c r="AK110" i="10"/>
  <c r="AJ110" i="10"/>
  <c r="AI110" i="10"/>
  <c r="AH110" i="10"/>
  <c r="AG110" i="10"/>
  <c r="AF110" i="10"/>
  <c r="AE110" i="10"/>
  <c r="AD110" i="10"/>
  <c r="AC110" i="10"/>
  <c r="AB110" i="10"/>
  <c r="AA110" i="10"/>
  <c r="Z110" i="10"/>
  <c r="Y110" i="10"/>
  <c r="X110" i="10"/>
  <c r="W110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D110" i="10"/>
  <c r="CX109" i="10"/>
  <c r="CW109" i="10"/>
  <c r="CV109" i="10"/>
  <c r="CU109" i="10"/>
  <c r="CT109" i="10"/>
  <c r="CS109" i="10"/>
  <c r="CR109" i="10"/>
  <c r="CQ109" i="10"/>
  <c r="CP109" i="10"/>
  <c r="CO109" i="10"/>
  <c r="CN109" i="10"/>
  <c r="CM109" i="10"/>
  <c r="CL109" i="10"/>
  <c r="CK109" i="10"/>
  <c r="CJ109" i="10"/>
  <c r="CI109" i="10"/>
  <c r="CH109" i="10"/>
  <c r="CG109" i="10"/>
  <c r="CF109" i="10"/>
  <c r="CE109" i="10"/>
  <c r="CD109" i="10"/>
  <c r="CC109" i="10"/>
  <c r="CB109" i="10"/>
  <c r="CA109" i="10"/>
  <c r="BZ109" i="10"/>
  <c r="BY109" i="10"/>
  <c r="BX109" i="10"/>
  <c r="BW109" i="10"/>
  <c r="BV109" i="10"/>
  <c r="BU109" i="10"/>
  <c r="BT109" i="10"/>
  <c r="BS109" i="10"/>
  <c r="BR109" i="10"/>
  <c r="BQ109" i="10"/>
  <c r="BP109" i="10"/>
  <c r="BO109" i="10"/>
  <c r="BN109" i="10"/>
  <c r="BM109" i="10"/>
  <c r="BL109" i="10"/>
  <c r="BK109" i="10"/>
  <c r="BJ109" i="10"/>
  <c r="BI109" i="10"/>
  <c r="BH109" i="10"/>
  <c r="BG109" i="10"/>
  <c r="BF109" i="10"/>
  <c r="BE109" i="10"/>
  <c r="BD109" i="10"/>
  <c r="BC109" i="10"/>
  <c r="BB109" i="10"/>
  <c r="BA109" i="10"/>
  <c r="AZ109" i="10"/>
  <c r="AY109" i="10"/>
  <c r="AX109" i="10"/>
  <c r="AW109" i="10"/>
  <c r="AV109" i="10"/>
  <c r="AU109" i="10"/>
  <c r="AT109" i="10"/>
  <c r="AS109" i="10"/>
  <c r="AR109" i="10"/>
  <c r="AQ109" i="10"/>
  <c r="AP109" i="10"/>
  <c r="AO109" i="10"/>
  <c r="AN109" i="10"/>
  <c r="AM109" i="10"/>
  <c r="AL109" i="10"/>
  <c r="AK109" i="10"/>
  <c r="AJ109" i="10"/>
  <c r="AI109" i="10"/>
  <c r="AH109" i="10"/>
  <c r="AG109" i="10"/>
  <c r="AF109" i="10"/>
  <c r="AE109" i="10"/>
  <c r="AD109" i="10"/>
  <c r="AC109" i="10"/>
  <c r="AB109" i="10"/>
  <c r="AA109" i="10"/>
  <c r="Z109" i="10"/>
  <c r="Y109" i="10"/>
  <c r="X109" i="10"/>
  <c r="W109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D109" i="10"/>
  <c r="CX108" i="10"/>
  <c r="CW108" i="10"/>
  <c r="CV108" i="10"/>
  <c r="CU108" i="10"/>
  <c r="CT108" i="10"/>
  <c r="CS108" i="10"/>
  <c r="CR108" i="10"/>
  <c r="CQ108" i="10"/>
  <c r="CP108" i="10"/>
  <c r="CO108" i="10"/>
  <c r="CN108" i="10"/>
  <c r="CM108" i="10"/>
  <c r="CL108" i="10"/>
  <c r="CK108" i="10"/>
  <c r="CJ108" i="10"/>
  <c r="CI108" i="10"/>
  <c r="CH108" i="10"/>
  <c r="CG108" i="10"/>
  <c r="CF108" i="10"/>
  <c r="CE108" i="10"/>
  <c r="CD108" i="10"/>
  <c r="CC108" i="10"/>
  <c r="CB108" i="10"/>
  <c r="CA108" i="10"/>
  <c r="BZ108" i="10"/>
  <c r="BY108" i="10"/>
  <c r="BX108" i="10"/>
  <c r="BW108" i="10"/>
  <c r="BV108" i="10"/>
  <c r="BU108" i="10"/>
  <c r="BT108" i="10"/>
  <c r="BS108" i="10"/>
  <c r="BR108" i="10"/>
  <c r="BQ108" i="10"/>
  <c r="BP108" i="10"/>
  <c r="BO108" i="10"/>
  <c r="BN108" i="10"/>
  <c r="BM108" i="10"/>
  <c r="BL108" i="10"/>
  <c r="BK108" i="10"/>
  <c r="BJ108" i="10"/>
  <c r="BI108" i="10"/>
  <c r="BH108" i="10"/>
  <c r="BG108" i="10"/>
  <c r="BF108" i="10"/>
  <c r="BE108" i="10"/>
  <c r="BD108" i="10"/>
  <c r="BC108" i="10"/>
  <c r="BB108" i="10"/>
  <c r="BA108" i="10"/>
  <c r="AZ108" i="10"/>
  <c r="AY108" i="10"/>
  <c r="AX108" i="10"/>
  <c r="AW108" i="10"/>
  <c r="AV108" i="10"/>
  <c r="AU108" i="10"/>
  <c r="AT108" i="10"/>
  <c r="AS108" i="10"/>
  <c r="AR108" i="10"/>
  <c r="AQ108" i="10"/>
  <c r="AP108" i="10"/>
  <c r="AO108" i="10"/>
  <c r="AN108" i="10"/>
  <c r="AM108" i="10"/>
  <c r="AL108" i="10"/>
  <c r="AK108" i="10"/>
  <c r="AJ108" i="10"/>
  <c r="AI108" i="10"/>
  <c r="AH108" i="10"/>
  <c r="AG108" i="10"/>
  <c r="AF108" i="10"/>
  <c r="AE108" i="10"/>
  <c r="AD108" i="10"/>
  <c r="AC108" i="10"/>
  <c r="AB108" i="10"/>
  <c r="AA108" i="10"/>
  <c r="Z108" i="10"/>
  <c r="Y108" i="10"/>
  <c r="X108" i="10"/>
  <c r="W108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D108" i="10"/>
  <c r="CX107" i="10"/>
  <c r="CX124" i="10" s="1"/>
  <c r="CW107" i="10"/>
  <c r="CW124" i="10" s="1"/>
  <c r="CV107" i="10"/>
  <c r="CV124" i="10" s="1"/>
  <c r="CU107" i="10"/>
  <c r="CU124" i="10" s="1"/>
  <c r="CT107" i="10"/>
  <c r="CT124" i="10" s="1"/>
  <c r="CS107" i="10"/>
  <c r="CS124" i="10" s="1"/>
  <c r="CR107" i="10"/>
  <c r="CR124" i="10" s="1"/>
  <c r="CQ107" i="10"/>
  <c r="CQ124" i="10" s="1"/>
  <c r="CP107" i="10"/>
  <c r="CP124" i="10" s="1"/>
  <c r="CO107" i="10"/>
  <c r="CO124" i="10" s="1"/>
  <c r="CN107" i="10"/>
  <c r="CN124" i="10" s="1"/>
  <c r="CM107" i="10"/>
  <c r="CM124" i="10" s="1"/>
  <c r="CL107" i="10"/>
  <c r="CL124" i="10" s="1"/>
  <c r="CK107" i="10"/>
  <c r="CK124" i="10" s="1"/>
  <c r="CJ107" i="10"/>
  <c r="CJ124" i="10" s="1"/>
  <c r="CI107" i="10"/>
  <c r="CI124" i="10" s="1"/>
  <c r="CH107" i="10"/>
  <c r="CH124" i="10" s="1"/>
  <c r="CG107" i="10"/>
  <c r="CG124" i="10" s="1"/>
  <c r="CF107" i="10"/>
  <c r="CF124" i="10" s="1"/>
  <c r="CE107" i="10"/>
  <c r="CE124" i="10" s="1"/>
  <c r="CD107" i="10"/>
  <c r="CD124" i="10" s="1"/>
  <c r="CC107" i="10"/>
  <c r="CC124" i="10" s="1"/>
  <c r="CB107" i="10"/>
  <c r="CB124" i="10" s="1"/>
  <c r="CA107" i="10"/>
  <c r="CA124" i="10" s="1"/>
  <c r="BZ107" i="10"/>
  <c r="BZ124" i="10" s="1"/>
  <c r="BY107" i="10"/>
  <c r="BY124" i="10" s="1"/>
  <c r="BX107" i="10"/>
  <c r="BX124" i="10" s="1"/>
  <c r="BW107" i="10"/>
  <c r="BW124" i="10" s="1"/>
  <c r="BV107" i="10"/>
  <c r="BV124" i="10" s="1"/>
  <c r="BU107" i="10"/>
  <c r="BU124" i="10" s="1"/>
  <c r="BT107" i="10"/>
  <c r="BT124" i="10" s="1"/>
  <c r="BS107" i="10"/>
  <c r="BS124" i="10" s="1"/>
  <c r="BR107" i="10"/>
  <c r="BR124" i="10" s="1"/>
  <c r="BQ107" i="10"/>
  <c r="BQ124" i="10" s="1"/>
  <c r="BP107" i="10"/>
  <c r="BP124" i="10" s="1"/>
  <c r="BO107" i="10"/>
  <c r="BO124" i="10" s="1"/>
  <c r="BN107" i="10"/>
  <c r="BN124" i="10" s="1"/>
  <c r="BM107" i="10"/>
  <c r="BM124" i="10" s="1"/>
  <c r="BL107" i="10"/>
  <c r="BL124" i="10" s="1"/>
  <c r="BK107" i="10"/>
  <c r="BK124" i="10" s="1"/>
  <c r="BJ107" i="10"/>
  <c r="BJ124" i="10" s="1"/>
  <c r="BI107" i="10"/>
  <c r="BI124" i="10" s="1"/>
  <c r="BH107" i="10"/>
  <c r="BH124" i="10" s="1"/>
  <c r="BG107" i="10"/>
  <c r="BG124" i="10" s="1"/>
  <c r="BF107" i="10"/>
  <c r="BF124" i="10" s="1"/>
  <c r="BE107" i="10"/>
  <c r="BE124" i="10" s="1"/>
  <c r="BD107" i="10"/>
  <c r="BD124" i="10" s="1"/>
  <c r="BC107" i="10"/>
  <c r="BC124" i="10" s="1"/>
  <c r="BB107" i="10"/>
  <c r="BB124" i="10" s="1"/>
  <c r="BA107" i="10"/>
  <c r="BA124" i="10" s="1"/>
  <c r="AZ107" i="10"/>
  <c r="AZ124" i="10" s="1"/>
  <c r="AY107" i="10"/>
  <c r="AY124" i="10" s="1"/>
  <c r="AX107" i="10"/>
  <c r="AX124" i="10" s="1"/>
  <c r="AW107" i="10"/>
  <c r="AW124" i="10" s="1"/>
  <c r="AV107" i="10"/>
  <c r="AV124" i="10" s="1"/>
  <c r="AU107" i="10"/>
  <c r="AU124" i="10" s="1"/>
  <c r="AT107" i="10"/>
  <c r="AT124" i="10" s="1"/>
  <c r="AS107" i="10"/>
  <c r="AS124" i="10" s="1"/>
  <c r="AR107" i="10"/>
  <c r="AR124" i="10" s="1"/>
  <c r="AQ107" i="10"/>
  <c r="AQ124" i="10" s="1"/>
  <c r="AP107" i="10"/>
  <c r="AP124" i="10" s="1"/>
  <c r="AO107" i="10"/>
  <c r="AO124" i="10" s="1"/>
  <c r="AN107" i="10"/>
  <c r="AN124" i="10" s="1"/>
  <c r="AM107" i="10"/>
  <c r="AM124" i="10" s="1"/>
  <c r="AL107" i="10"/>
  <c r="AL124" i="10" s="1"/>
  <c r="AK107" i="10"/>
  <c r="AK124" i="10" s="1"/>
  <c r="AJ107" i="10"/>
  <c r="AJ124" i="10" s="1"/>
  <c r="AI107" i="10"/>
  <c r="AI124" i="10" s="1"/>
  <c r="AH107" i="10"/>
  <c r="AH124" i="10" s="1"/>
  <c r="AG107" i="10"/>
  <c r="AG124" i="10" s="1"/>
  <c r="AF107" i="10"/>
  <c r="AF124" i="10" s="1"/>
  <c r="AE107" i="10"/>
  <c r="AE124" i="10" s="1"/>
  <c r="AD107" i="10"/>
  <c r="AD124" i="10" s="1"/>
  <c r="AC107" i="10"/>
  <c r="AC124" i="10" s="1"/>
  <c r="AB107" i="10"/>
  <c r="AB124" i="10" s="1"/>
  <c r="AA107" i="10"/>
  <c r="AA124" i="10" s="1"/>
  <c r="Z107" i="10"/>
  <c r="Z124" i="10" s="1"/>
  <c r="Y107" i="10"/>
  <c r="Y124" i="10" s="1"/>
  <c r="X107" i="10"/>
  <c r="X124" i="10" s="1"/>
  <c r="W107" i="10"/>
  <c r="W124" i="10" s="1"/>
  <c r="V107" i="10"/>
  <c r="V124" i="10" s="1"/>
  <c r="U107" i="10"/>
  <c r="U124" i="10" s="1"/>
  <c r="T107" i="10"/>
  <c r="T124" i="10" s="1"/>
  <c r="S107" i="10"/>
  <c r="S124" i="10" s="1"/>
  <c r="R107" i="10"/>
  <c r="R124" i="10" s="1"/>
  <c r="Q107" i="10"/>
  <c r="Q124" i="10" s="1"/>
  <c r="P107" i="10"/>
  <c r="P124" i="10" s="1"/>
  <c r="O107" i="10"/>
  <c r="O124" i="10" s="1"/>
  <c r="N107" i="10"/>
  <c r="N124" i="10" s="1"/>
  <c r="M107" i="10"/>
  <c r="M124" i="10" s="1"/>
  <c r="L107" i="10"/>
  <c r="L124" i="10" s="1"/>
  <c r="K107" i="10"/>
  <c r="K124" i="10" s="1"/>
  <c r="J107" i="10"/>
  <c r="J124" i="10" s="1"/>
  <c r="I107" i="10"/>
  <c r="I124" i="10" s="1"/>
  <c r="H107" i="10"/>
  <c r="H124" i="10" s="1"/>
  <c r="G107" i="10"/>
  <c r="G124" i="10" s="1"/>
  <c r="F107" i="10"/>
  <c r="F124" i="10" s="1"/>
  <c r="E107" i="10"/>
  <c r="E124" i="10" s="1"/>
  <c r="D107" i="10"/>
  <c r="D124" i="10" s="1"/>
  <c r="CX106" i="10"/>
  <c r="CX123" i="10" s="1"/>
  <c r="CW106" i="10"/>
  <c r="CW123" i="10" s="1"/>
  <c r="CV106" i="10"/>
  <c r="CV123" i="10" s="1"/>
  <c r="CU106" i="10"/>
  <c r="CU123" i="10" s="1"/>
  <c r="CT106" i="10"/>
  <c r="CT123" i="10" s="1"/>
  <c r="CS106" i="10"/>
  <c r="CS123" i="10" s="1"/>
  <c r="CR106" i="10"/>
  <c r="CR123" i="10" s="1"/>
  <c r="CQ106" i="10"/>
  <c r="CQ123" i="10" s="1"/>
  <c r="CP106" i="10"/>
  <c r="CP123" i="10" s="1"/>
  <c r="CO106" i="10"/>
  <c r="CO123" i="10" s="1"/>
  <c r="CN106" i="10"/>
  <c r="CN123" i="10" s="1"/>
  <c r="CM106" i="10"/>
  <c r="CM123" i="10" s="1"/>
  <c r="CL106" i="10"/>
  <c r="CL123" i="10" s="1"/>
  <c r="CK106" i="10"/>
  <c r="CK123" i="10" s="1"/>
  <c r="CJ106" i="10"/>
  <c r="CJ123" i="10" s="1"/>
  <c r="CI106" i="10"/>
  <c r="CI123" i="10" s="1"/>
  <c r="CH106" i="10"/>
  <c r="CG106" i="10"/>
  <c r="CG123" i="10" s="1"/>
  <c r="CF106" i="10"/>
  <c r="CF123" i="10" s="1"/>
  <c r="CE106" i="10"/>
  <c r="CE123" i="10" s="1"/>
  <c r="CD106" i="10"/>
  <c r="CD123" i="10" s="1"/>
  <c r="CC106" i="10"/>
  <c r="CC123" i="10" s="1"/>
  <c r="CB106" i="10"/>
  <c r="CB123" i="10" s="1"/>
  <c r="CA106" i="10"/>
  <c r="CA123" i="10" s="1"/>
  <c r="BZ106" i="10"/>
  <c r="BZ123" i="10" s="1"/>
  <c r="BY106" i="10"/>
  <c r="BY123" i="10" s="1"/>
  <c r="BX106" i="10"/>
  <c r="BX123" i="10" s="1"/>
  <c r="BW106" i="10"/>
  <c r="BW123" i="10" s="1"/>
  <c r="BV106" i="10"/>
  <c r="BV123" i="10" s="1"/>
  <c r="BU106" i="10"/>
  <c r="BU123" i="10" s="1"/>
  <c r="BT106" i="10"/>
  <c r="BT123" i="10" s="1"/>
  <c r="BS106" i="10"/>
  <c r="BS123" i="10" s="1"/>
  <c r="BR106" i="10"/>
  <c r="BR123" i="10" s="1"/>
  <c r="BQ106" i="10"/>
  <c r="BQ123" i="10" s="1"/>
  <c r="BP106" i="10"/>
  <c r="BP123" i="10" s="1"/>
  <c r="BO106" i="10"/>
  <c r="BO123" i="10" s="1"/>
  <c r="BN106" i="10"/>
  <c r="BN123" i="10" s="1"/>
  <c r="BM106" i="10"/>
  <c r="BM123" i="10" s="1"/>
  <c r="BL106" i="10"/>
  <c r="BL123" i="10" s="1"/>
  <c r="BK106" i="10"/>
  <c r="BK123" i="10" s="1"/>
  <c r="BJ106" i="10"/>
  <c r="BJ123" i="10" s="1"/>
  <c r="BI106" i="10"/>
  <c r="BI123" i="10" s="1"/>
  <c r="BH106" i="10"/>
  <c r="BH123" i="10" s="1"/>
  <c r="BG106" i="10"/>
  <c r="BG123" i="10" s="1"/>
  <c r="BF106" i="10"/>
  <c r="BF123" i="10" s="1"/>
  <c r="BE106" i="10"/>
  <c r="BE123" i="10" s="1"/>
  <c r="BD106" i="10"/>
  <c r="BD123" i="10" s="1"/>
  <c r="BC106" i="10"/>
  <c r="BC123" i="10" s="1"/>
  <c r="BB106" i="10"/>
  <c r="BB123" i="10" s="1"/>
  <c r="BA106" i="10"/>
  <c r="BA123" i="10" s="1"/>
  <c r="AZ106" i="10"/>
  <c r="AZ123" i="10" s="1"/>
  <c r="AY106" i="10"/>
  <c r="AY123" i="10" s="1"/>
  <c r="AX106" i="10"/>
  <c r="AX123" i="10" s="1"/>
  <c r="AW106" i="10"/>
  <c r="AW123" i="10" s="1"/>
  <c r="AV106" i="10"/>
  <c r="AV123" i="10" s="1"/>
  <c r="AU106" i="10"/>
  <c r="AU123" i="10" s="1"/>
  <c r="AT106" i="10"/>
  <c r="AT123" i="10" s="1"/>
  <c r="AS106" i="10"/>
  <c r="AS123" i="10" s="1"/>
  <c r="AR106" i="10"/>
  <c r="AR123" i="10" s="1"/>
  <c r="AQ106" i="10"/>
  <c r="AQ123" i="10" s="1"/>
  <c r="AP106" i="10"/>
  <c r="AP123" i="10" s="1"/>
  <c r="AO106" i="10"/>
  <c r="AO123" i="10" s="1"/>
  <c r="AN106" i="10"/>
  <c r="AN123" i="10" s="1"/>
  <c r="AM106" i="10"/>
  <c r="AM123" i="10" s="1"/>
  <c r="AL106" i="10"/>
  <c r="AL123" i="10" s="1"/>
  <c r="AK106" i="10"/>
  <c r="AK123" i="10" s="1"/>
  <c r="AJ106" i="10"/>
  <c r="AJ123" i="10" s="1"/>
  <c r="AI106" i="10"/>
  <c r="AI123" i="10" s="1"/>
  <c r="AH106" i="10"/>
  <c r="AH123" i="10" s="1"/>
  <c r="AG106" i="10"/>
  <c r="AG123" i="10" s="1"/>
  <c r="AF106" i="10"/>
  <c r="AF123" i="10" s="1"/>
  <c r="AE106" i="10"/>
  <c r="AE123" i="10" s="1"/>
  <c r="AD106" i="10"/>
  <c r="AD123" i="10" s="1"/>
  <c r="AC106" i="10"/>
  <c r="AC123" i="10" s="1"/>
  <c r="AB106" i="10"/>
  <c r="AB123" i="10" s="1"/>
  <c r="AA106" i="10"/>
  <c r="AA123" i="10" s="1"/>
  <c r="Z106" i="10"/>
  <c r="Z123" i="10" s="1"/>
  <c r="Y106" i="10"/>
  <c r="Y123" i="10" s="1"/>
  <c r="X106" i="10"/>
  <c r="X123" i="10" s="1"/>
  <c r="W106" i="10"/>
  <c r="W123" i="10" s="1"/>
  <c r="V106" i="10"/>
  <c r="V123" i="10" s="1"/>
  <c r="U106" i="10"/>
  <c r="U123" i="10" s="1"/>
  <c r="T106" i="10"/>
  <c r="T123" i="10" s="1"/>
  <c r="S106" i="10"/>
  <c r="S123" i="10" s="1"/>
  <c r="R106" i="10"/>
  <c r="R123" i="10" s="1"/>
  <c r="Q106" i="10"/>
  <c r="Q123" i="10" s="1"/>
  <c r="P106" i="10"/>
  <c r="P123" i="10" s="1"/>
  <c r="O106" i="10"/>
  <c r="O123" i="10" s="1"/>
  <c r="N106" i="10"/>
  <c r="N123" i="10" s="1"/>
  <c r="M106" i="10"/>
  <c r="M123" i="10" s="1"/>
  <c r="L106" i="10"/>
  <c r="L123" i="10" s="1"/>
  <c r="K106" i="10"/>
  <c r="K123" i="10" s="1"/>
  <c r="J106" i="10"/>
  <c r="J123" i="10" s="1"/>
  <c r="I106" i="10"/>
  <c r="I123" i="10" s="1"/>
  <c r="H106" i="10"/>
  <c r="H123" i="10" s="1"/>
  <c r="G106" i="10"/>
  <c r="G123" i="10" s="1"/>
  <c r="F106" i="10"/>
  <c r="F123" i="10" s="1"/>
  <c r="E106" i="10"/>
  <c r="E123" i="10" s="1"/>
  <c r="D106" i="10"/>
  <c r="D123" i="10" s="1"/>
  <c r="CX105" i="10"/>
  <c r="CX122" i="10" s="1"/>
  <c r="CW105" i="10"/>
  <c r="CW122" i="10" s="1"/>
  <c r="CV105" i="10"/>
  <c r="CU105" i="10"/>
  <c r="CU122" i="10" s="1"/>
  <c r="CT105" i="10"/>
  <c r="CT122" i="10" s="1"/>
  <c r="CS105" i="10"/>
  <c r="CS122" i="10" s="1"/>
  <c r="CR105" i="10"/>
  <c r="CR122" i="10" s="1"/>
  <c r="CQ105" i="10"/>
  <c r="CQ122" i="10" s="1"/>
  <c r="CP105" i="10"/>
  <c r="CP122" i="10" s="1"/>
  <c r="CO105" i="10"/>
  <c r="CO122" i="10" s="1"/>
  <c r="CN105" i="10"/>
  <c r="CN122" i="10" s="1"/>
  <c r="CM105" i="10"/>
  <c r="CM122" i="10" s="1"/>
  <c r="CL105" i="10"/>
  <c r="CL122" i="10" s="1"/>
  <c r="CK105" i="10"/>
  <c r="CK122" i="10" s="1"/>
  <c r="CJ105" i="10"/>
  <c r="CJ122" i="10" s="1"/>
  <c r="CI105" i="10"/>
  <c r="CI122" i="10" s="1"/>
  <c r="CH105" i="10"/>
  <c r="CH122" i="10" s="1"/>
  <c r="CG105" i="10"/>
  <c r="CG122" i="10" s="1"/>
  <c r="CF105" i="10"/>
  <c r="CF122" i="10" s="1"/>
  <c r="CE105" i="10"/>
  <c r="CE122" i="10" s="1"/>
  <c r="CD105" i="10"/>
  <c r="CD122" i="10" s="1"/>
  <c r="CC105" i="10"/>
  <c r="CC122" i="10" s="1"/>
  <c r="CB105" i="10"/>
  <c r="CB122" i="10" s="1"/>
  <c r="CA105" i="10"/>
  <c r="CA122" i="10" s="1"/>
  <c r="BZ105" i="10"/>
  <c r="BZ122" i="10" s="1"/>
  <c r="BY105" i="10"/>
  <c r="BY122" i="10" s="1"/>
  <c r="BX105" i="10"/>
  <c r="BX122" i="10" s="1"/>
  <c r="BW105" i="10"/>
  <c r="BW122" i="10" s="1"/>
  <c r="BV105" i="10"/>
  <c r="BV122" i="10" s="1"/>
  <c r="BU105" i="10"/>
  <c r="BU122" i="10" s="1"/>
  <c r="BT105" i="10"/>
  <c r="BT122" i="10" s="1"/>
  <c r="BS105" i="10"/>
  <c r="BS122" i="10" s="1"/>
  <c r="BR105" i="10"/>
  <c r="BR122" i="10" s="1"/>
  <c r="BQ105" i="10"/>
  <c r="BQ122" i="10" s="1"/>
  <c r="BP105" i="10"/>
  <c r="BP122" i="10" s="1"/>
  <c r="BO105" i="10"/>
  <c r="BO122" i="10" s="1"/>
  <c r="BN105" i="10"/>
  <c r="BN122" i="10" s="1"/>
  <c r="BM105" i="10"/>
  <c r="BM122" i="10" s="1"/>
  <c r="BL105" i="10"/>
  <c r="BL122" i="10" s="1"/>
  <c r="BK105" i="10"/>
  <c r="BK122" i="10" s="1"/>
  <c r="BJ105" i="10"/>
  <c r="BJ122" i="10" s="1"/>
  <c r="BI105" i="10"/>
  <c r="BI122" i="10" s="1"/>
  <c r="BH105" i="10"/>
  <c r="BH122" i="10" s="1"/>
  <c r="BG105" i="10"/>
  <c r="BG122" i="10" s="1"/>
  <c r="BF105" i="10"/>
  <c r="BF122" i="10" s="1"/>
  <c r="BE105" i="10"/>
  <c r="BE122" i="10" s="1"/>
  <c r="BD105" i="10"/>
  <c r="BD122" i="10" s="1"/>
  <c r="BC105" i="10"/>
  <c r="BC122" i="10" s="1"/>
  <c r="BB105" i="10"/>
  <c r="BB122" i="10" s="1"/>
  <c r="BA105" i="10"/>
  <c r="BA122" i="10" s="1"/>
  <c r="AZ105" i="10"/>
  <c r="AZ122" i="10" s="1"/>
  <c r="AY105" i="10"/>
  <c r="AY122" i="10" s="1"/>
  <c r="AX105" i="10"/>
  <c r="AX122" i="10" s="1"/>
  <c r="AW105" i="10"/>
  <c r="AW122" i="10" s="1"/>
  <c r="AV105" i="10"/>
  <c r="AV122" i="10" s="1"/>
  <c r="AU105" i="10"/>
  <c r="AU122" i="10" s="1"/>
  <c r="AT105" i="10"/>
  <c r="AT122" i="10" s="1"/>
  <c r="AS105" i="10"/>
  <c r="AS122" i="10" s="1"/>
  <c r="AR105" i="10"/>
  <c r="AR122" i="10" s="1"/>
  <c r="AQ105" i="10"/>
  <c r="AQ122" i="10" s="1"/>
  <c r="AP105" i="10"/>
  <c r="AP122" i="10" s="1"/>
  <c r="AO105" i="10"/>
  <c r="AO122" i="10" s="1"/>
  <c r="AN105" i="10"/>
  <c r="AN122" i="10" s="1"/>
  <c r="AM105" i="10"/>
  <c r="AM122" i="10" s="1"/>
  <c r="AL105" i="10"/>
  <c r="AL122" i="10" s="1"/>
  <c r="AK105" i="10"/>
  <c r="AK122" i="10" s="1"/>
  <c r="AJ105" i="10"/>
  <c r="AJ122" i="10" s="1"/>
  <c r="AI105" i="10"/>
  <c r="AI122" i="10" s="1"/>
  <c r="AH105" i="10"/>
  <c r="AH122" i="10" s="1"/>
  <c r="AG105" i="10"/>
  <c r="AG122" i="10" s="1"/>
  <c r="AF105" i="10"/>
  <c r="AF122" i="10" s="1"/>
  <c r="AE105" i="10"/>
  <c r="AE122" i="10" s="1"/>
  <c r="AD105" i="10"/>
  <c r="AD122" i="10" s="1"/>
  <c r="AC105" i="10"/>
  <c r="AC122" i="10" s="1"/>
  <c r="AB105" i="10"/>
  <c r="AB122" i="10" s="1"/>
  <c r="AA105" i="10"/>
  <c r="AA122" i="10" s="1"/>
  <c r="Z105" i="10"/>
  <c r="Y105" i="10"/>
  <c r="Y122" i="10" s="1"/>
  <c r="X105" i="10"/>
  <c r="X122" i="10" s="1"/>
  <c r="W105" i="10"/>
  <c r="W122" i="10" s="1"/>
  <c r="V105" i="10"/>
  <c r="V122" i="10" s="1"/>
  <c r="U105" i="10"/>
  <c r="U122" i="10" s="1"/>
  <c r="T105" i="10"/>
  <c r="T122" i="10" s="1"/>
  <c r="S105" i="10"/>
  <c r="S122" i="10" s="1"/>
  <c r="R105" i="10"/>
  <c r="R122" i="10" s="1"/>
  <c r="Q105" i="10"/>
  <c r="Q122" i="10" s="1"/>
  <c r="P105" i="10"/>
  <c r="P122" i="10" s="1"/>
  <c r="O105" i="10"/>
  <c r="O122" i="10" s="1"/>
  <c r="N105" i="10"/>
  <c r="N122" i="10" s="1"/>
  <c r="M105" i="10"/>
  <c r="M122" i="10" s="1"/>
  <c r="L105" i="10"/>
  <c r="L122" i="10" s="1"/>
  <c r="K105" i="10"/>
  <c r="K122" i="10" s="1"/>
  <c r="J105" i="10"/>
  <c r="J122" i="10" s="1"/>
  <c r="I105" i="10"/>
  <c r="I122" i="10" s="1"/>
  <c r="H105" i="10"/>
  <c r="H122" i="10" s="1"/>
  <c r="G105" i="10"/>
  <c r="G122" i="10" s="1"/>
  <c r="F105" i="10"/>
  <c r="F122" i="10" s="1"/>
  <c r="E105" i="10"/>
  <c r="E122" i="10" s="1"/>
  <c r="D105" i="10"/>
  <c r="D122" i="10" s="1"/>
  <c r="CX104" i="10"/>
  <c r="CX121" i="10" s="1"/>
  <c r="CW104" i="10"/>
  <c r="CW121" i="10" s="1"/>
  <c r="CV104" i="10"/>
  <c r="CV121" i="10" s="1"/>
  <c r="CU104" i="10"/>
  <c r="CU121" i="10" s="1"/>
  <c r="CT104" i="10"/>
  <c r="CT121" i="10" s="1"/>
  <c r="CS104" i="10"/>
  <c r="CS121" i="10" s="1"/>
  <c r="CR104" i="10"/>
  <c r="CR121" i="10" s="1"/>
  <c r="CQ104" i="10"/>
  <c r="CQ121" i="10" s="1"/>
  <c r="CP104" i="10"/>
  <c r="CP121" i="10" s="1"/>
  <c r="CO104" i="10"/>
  <c r="CO121" i="10" s="1"/>
  <c r="CN104" i="10"/>
  <c r="CN121" i="10" s="1"/>
  <c r="CM104" i="10"/>
  <c r="CM121" i="10" s="1"/>
  <c r="CL104" i="10"/>
  <c r="CL121" i="10" s="1"/>
  <c r="CK104" i="10"/>
  <c r="CK121" i="10" s="1"/>
  <c r="CJ104" i="10"/>
  <c r="CJ121" i="10" s="1"/>
  <c r="CI104" i="10"/>
  <c r="CI121" i="10" s="1"/>
  <c r="CH104" i="10"/>
  <c r="CH121" i="10" s="1"/>
  <c r="CG104" i="10"/>
  <c r="CG121" i="10" s="1"/>
  <c r="CF104" i="10"/>
  <c r="CF121" i="10" s="1"/>
  <c r="CE104" i="10"/>
  <c r="CE121" i="10" s="1"/>
  <c r="CD104" i="10"/>
  <c r="CD121" i="10" s="1"/>
  <c r="CC104" i="10"/>
  <c r="CC121" i="10" s="1"/>
  <c r="CB104" i="10"/>
  <c r="CA104" i="10"/>
  <c r="CA121" i="10" s="1"/>
  <c r="BZ104" i="10"/>
  <c r="BZ121" i="10" s="1"/>
  <c r="BY104" i="10"/>
  <c r="BY121" i="10" s="1"/>
  <c r="BX104" i="10"/>
  <c r="BX121" i="10" s="1"/>
  <c r="BW104" i="10"/>
  <c r="BW121" i="10" s="1"/>
  <c r="BV104" i="10"/>
  <c r="BV121" i="10" s="1"/>
  <c r="BU104" i="10"/>
  <c r="BU121" i="10" s="1"/>
  <c r="BT104" i="10"/>
  <c r="BT121" i="10" s="1"/>
  <c r="BS104" i="10"/>
  <c r="BS121" i="10" s="1"/>
  <c r="BR104" i="10"/>
  <c r="BR121" i="10" s="1"/>
  <c r="BQ104" i="10"/>
  <c r="BQ121" i="10" s="1"/>
  <c r="BP104" i="10"/>
  <c r="BP121" i="10" s="1"/>
  <c r="BO104" i="10"/>
  <c r="BO121" i="10" s="1"/>
  <c r="BN104" i="10"/>
  <c r="BN121" i="10" s="1"/>
  <c r="BM104" i="10"/>
  <c r="BM121" i="10" s="1"/>
  <c r="BL104" i="10"/>
  <c r="BL121" i="10" s="1"/>
  <c r="BK104" i="10"/>
  <c r="BK121" i="10" s="1"/>
  <c r="BJ104" i="10"/>
  <c r="BJ121" i="10" s="1"/>
  <c r="BI104" i="10"/>
  <c r="BI121" i="10" s="1"/>
  <c r="BH104" i="10"/>
  <c r="BH121" i="10" s="1"/>
  <c r="BG104" i="10"/>
  <c r="BG121" i="10" s="1"/>
  <c r="BF104" i="10"/>
  <c r="BF121" i="10" s="1"/>
  <c r="BE104" i="10"/>
  <c r="BE121" i="10" s="1"/>
  <c r="BD104" i="10"/>
  <c r="BD121" i="10" s="1"/>
  <c r="BC104" i="10"/>
  <c r="BC121" i="10" s="1"/>
  <c r="BB104" i="10"/>
  <c r="BB121" i="10" s="1"/>
  <c r="BA104" i="10"/>
  <c r="BA121" i="10" s="1"/>
  <c r="AZ104" i="10"/>
  <c r="AZ121" i="10" s="1"/>
  <c r="AY104" i="10"/>
  <c r="AY121" i="10" s="1"/>
  <c r="AX104" i="10"/>
  <c r="AX121" i="10" s="1"/>
  <c r="AW104" i="10"/>
  <c r="AW121" i="10" s="1"/>
  <c r="AV104" i="10"/>
  <c r="AU104" i="10"/>
  <c r="AU121" i="10" s="1"/>
  <c r="AT104" i="10"/>
  <c r="AT121" i="10" s="1"/>
  <c r="AS104" i="10"/>
  <c r="AS121" i="10" s="1"/>
  <c r="AR104" i="10"/>
  <c r="AR121" i="10" s="1"/>
  <c r="AQ104" i="10"/>
  <c r="AQ121" i="10" s="1"/>
  <c r="AP104" i="10"/>
  <c r="AP121" i="10" s="1"/>
  <c r="AO104" i="10"/>
  <c r="AO121" i="10" s="1"/>
  <c r="AN104" i="10"/>
  <c r="AN121" i="10" s="1"/>
  <c r="AM104" i="10"/>
  <c r="AM121" i="10" s="1"/>
  <c r="AL104" i="10"/>
  <c r="AL121" i="10" s="1"/>
  <c r="AK104" i="10"/>
  <c r="AK121" i="10" s="1"/>
  <c r="AJ104" i="10"/>
  <c r="AJ121" i="10" s="1"/>
  <c r="AI104" i="10"/>
  <c r="AI121" i="10" s="1"/>
  <c r="AH104" i="10"/>
  <c r="AH121" i="10" s="1"/>
  <c r="AG104" i="10"/>
  <c r="AG121" i="10" s="1"/>
  <c r="AF104" i="10"/>
  <c r="AF121" i="10" s="1"/>
  <c r="AE104" i="10"/>
  <c r="AE121" i="10" s="1"/>
  <c r="AD104" i="10"/>
  <c r="AD121" i="10" s="1"/>
  <c r="AC104" i="10"/>
  <c r="AC121" i="10" s="1"/>
  <c r="AB104" i="10"/>
  <c r="AB121" i="10" s="1"/>
  <c r="AA104" i="10"/>
  <c r="AA121" i="10" s="1"/>
  <c r="Z104" i="10"/>
  <c r="Z121" i="10" s="1"/>
  <c r="Y104" i="10"/>
  <c r="Y121" i="10" s="1"/>
  <c r="X104" i="10"/>
  <c r="X121" i="10" s="1"/>
  <c r="W104" i="10"/>
  <c r="W121" i="10" s="1"/>
  <c r="V104" i="10"/>
  <c r="V121" i="10" s="1"/>
  <c r="U104" i="10"/>
  <c r="U121" i="10" s="1"/>
  <c r="T104" i="10"/>
  <c r="T121" i="10" s="1"/>
  <c r="S104" i="10"/>
  <c r="S121" i="10" s="1"/>
  <c r="R104" i="10"/>
  <c r="R121" i="10" s="1"/>
  <c r="Q104" i="10"/>
  <c r="Q121" i="10" s="1"/>
  <c r="P104" i="10"/>
  <c r="O104" i="10"/>
  <c r="O121" i="10" s="1"/>
  <c r="N104" i="10"/>
  <c r="N121" i="10" s="1"/>
  <c r="M104" i="10"/>
  <c r="M121" i="10" s="1"/>
  <c r="L104" i="10"/>
  <c r="L121" i="10" s="1"/>
  <c r="K104" i="10"/>
  <c r="K121" i="10" s="1"/>
  <c r="J104" i="10"/>
  <c r="J121" i="10" s="1"/>
  <c r="I104" i="10"/>
  <c r="I121" i="10" s="1"/>
  <c r="H104" i="10"/>
  <c r="H121" i="10" s="1"/>
  <c r="G104" i="10"/>
  <c r="G121" i="10" s="1"/>
  <c r="F104" i="10"/>
  <c r="F121" i="10" s="1"/>
  <c r="E104" i="10"/>
  <c r="E121" i="10" s="1"/>
  <c r="D104" i="10"/>
  <c r="D121" i="10" s="1"/>
  <c r="CX103" i="10"/>
  <c r="CX120" i="10" s="1"/>
  <c r="CW103" i="10"/>
  <c r="CW120" i="10" s="1"/>
  <c r="CV103" i="10"/>
  <c r="CV120" i="10" s="1"/>
  <c r="CU103" i="10"/>
  <c r="CU120" i="10" s="1"/>
  <c r="CT103" i="10"/>
  <c r="CT120" i="10" s="1"/>
  <c r="CS103" i="10"/>
  <c r="CS120" i="10" s="1"/>
  <c r="CR103" i="10"/>
  <c r="CR120" i="10" s="1"/>
  <c r="CQ103" i="10"/>
  <c r="CQ120" i="10" s="1"/>
  <c r="CP103" i="10"/>
  <c r="CP120" i="10" s="1"/>
  <c r="CO103" i="10"/>
  <c r="CO120" i="10" s="1"/>
  <c r="CN103" i="10"/>
  <c r="CM103" i="10"/>
  <c r="CM120" i="10" s="1"/>
  <c r="CL103" i="10"/>
  <c r="CL120" i="10" s="1"/>
  <c r="CK103" i="10"/>
  <c r="CK120" i="10" s="1"/>
  <c r="CJ103" i="10"/>
  <c r="CJ120" i="10" s="1"/>
  <c r="CI103" i="10"/>
  <c r="CI120" i="10" s="1"/>
  <c r="CH103" i="10"/>
  <c r="CH120" i="10" s="1"/>
  <c r="CG103" i="10"/>
  <c r="CG120" i="10" s="1"/>
  <c r="CF103" i="10"/>
  <c r="CF120" i="10" s="1"/>
  <c r="CE103" i="10"/>
  <c r="CE120" i="10" s="1"/>
  <c r="CD103" i="10"/>
  <c r="CD120" i="10" s="1"/>
  <c r="CC103" i="10"/>
  <c r="CC120" i="10" s="1"/>
  <c r="CB103" i="10"/>
  <c r="CB120" i="10" s="1"/>
  <c r="CA103" i="10"/>
  <c r="CA120" i="10" s="1"/>
  <c r="BZ103" i="10"/>
  <c r="BZ120" i="10" s="1"/>
  <c r="BY103" i="10"/>
  <c r="BY120" i="10" s="1"/>
  <c r="BX103" i="10"/>
  <c r="BX120" i="10" s="1"/>
  <c r="BW103" i="10"/>
  <c r="BW120" i="10" s="1"/>
  <c r="BV103" i="10"/>
  <c r="BV120" i="10" s="1"/>
  <c r="BU103" i="10"/>
  <c r="BU120" i="10" s="1"/>
  <c r="BT103" i="10"/>
  <c r="BS103" i="10"/>
  <c r="BS120" i="10" s="1"/>
  <c r="BR103" i="10"/>
  <c r="BR120" i="10" s="1"/>
  <c r="BQ103" i="10"/>
  <c r="BQ120" i="10" s="1"/>
  <c r="BP103" i="10"/>
  <c r="BP120" i="10" s="1"/>
  <c r="BO103" i="10"/>
  <c r="BO120" i="10" s="1"/>
  <c r="BN103" i="10"/>
  <c r="BN120" i="10" s="1"/>
  <c r="BM103" i="10"/>
  <c r="BM120" i="10" s="1"/>
  <c r="BL103" i="10"/>
  <c r="BL120" i="10" s="1"/>
  <c r="BK103" i="10"/>
  <c r="BK120" i="10" s="1"/>
  <c r="BJ103" i="10"/>
  <c r="BJ120" i="10" s="1"/>
  <c r="BI103" i="10"/>
  <c r="BI120" i="10" s="1"/>
  <c r="BH103" i="10"/>
  <c r="BH120" i="10" s="1"/>
  <c r="BG103" i="10"/>
  <c r="BG120" i="10" s="1"/>
  <c r="BF103" i="10"/>
  <c r="BF120" i="10" s="1"/>
  <c r="BE103" i="10"/>
  <c r="BE120" i="10" s="1"/>
  <c r="BD103" i="10"/>
  <c r="BC103" i="10"/>
  <c r="BC120" i="10" s="1"/>
  <c r="BB103" i="10"/>
  <c r="BB120" i="10" s="1"/>
  <c r="BA103" i="10"/>
  <c r="BA120" i="10" s="1"/>
  <c r="AZ103" i="10"/>
  <c r="AZ120" i="10" s="1"/>
  <c r="AY103" i="10"/>
  <c r="AY120" i="10" s="1"/>
  <c r="AX103" i="10"/>
  <c r="AX120" i="10" s="1"/>
  <c r="AW103" i="10"/>
  <c r="AW120" i="10" s="1"/>
  <c r="AV103" i="10"/>
  <c r="AV120" i="10" s="1"/>
  <c r="AU103" i="10"/>
  <c r="AU120" i="10" s="1"/>
  <c r="AT103" i="10"/>
  <c r="AT120" i="10" s="1"/>
  <c r="AS103" i="10"/>
  <c r="AS120" i="10" s="1"/>
  <c r="AR103" i="10"/>
  <c r="AR120" i="10" s="1"/>
  <c r="AQ103" i="10"/>
  <c r="AQ120" i="10" s="1"/>
  <c r="AP103" i="10"/>
  <c r="AP120" i="10" s="1"/>
  <c r="AO103" i="10"/>
  <c r="AO120" i="10" s="1"/>
  <c r="AN103" i="10"/>
  <c r="AM103" i="10"/>
  <c r="AM120" i="10" s="1"/>
  <c r="AL103" i="10"/>
  <c r="AL120" i="10" s="1"/>
  <c r="AK103" i="10"/>
  <c r="AK120" i="10" s="1"/>
  <c r="AJ103" i="10"/>
  <c r="AJ120" i="10" s="1"/>
  <c r="AI103" i="10"/>
  <c r="AI120" i="10" s="1"/>
  <c r="AH103" i="10"/>
  <c r="AH120" i="10" s="1"/>
  <c r="AG103" i="10"/>
  <c r="AG120" i="10" s="1"/>
  <c r="AF103" i="10"/>
  <c r="AF120" i="10" s="1"/>
  <c r="AE103" i="10"/>
  <c r="AE120" i="10" s="1"/>
  <c r="AD103" i="10"/>
  <c r="AD120" i="10" s="1"/>
  <c r="AC103" i="10"/>
  <c r="AC120" i="10" s="1"/>
  <c r="AB103" i="10"/>
  <c r="AB120" i="10" s="1"/>
  <c r="AA103" i="10"/>
  <c r="AA120" i="10" s="1"/>
  <c r="Z103" i="10"/>
  <c r="Z120" i="10" s="1"/>
  <c r="Y103" i="10"/>
  <c r="Y120" i="10" s="1"/>
  <c r="X103" i="10"/>
  <c r="W103" i="10"/>
  <c r="W120" i="10" s="1"/>
  <c r="V103" i="10"/>
  <c r="V120" i="10" s="1"/>
  <c r="U103" i="10"/>
  <c r="U120" i="10" s="1"/>
  <c r="T103" i="10"/>
  <c r="T120" i="10" s="1"/>
  <c r="S103" i="10"/>
  <c r="S120" i="10" s="1"/>
  <c r="R103" i="10"/>
  <c r="R120" i="10" s="1"/>
  <c r="Q103" i="10"/>
  <c r="Q120" i="10" s="1"/>
  <c r="P103" i="10"/>
  <c r="P120" i="10" s="1"/>
  <c r="O103" i="10"/>
  <c r="O120" i="10" s="1"/>
  <c r="N103" i="10"/>
  <c r="N120" i="10" s="1"/>
  <c r="M103" i="10"/>
  <c r="M120" i="10" s="1"/>
  <c r="L103" i="10"/>
  <c r="L120" i="10" s="1"/>
  <c r="K103" i="10"/>
  <c r="K120" i="10" s="1"/>
  <c r="J103" i="10"/>
  <c r="J120" i="10" s="1"/>
  <c r="I103" i="10"/>
  <c r="I120" i="10" s="1"/>
  <c r="H103" i="10"/>
  <c r="G103" i="10"/>
  <c r="G120" i="10" s="1"/>
  <c r="F103" i="10"/>
  <c r="F120" i="10" s="1"/>
  <c r="E103" i="10"/>
  <c r="E120" i="10" s="1"/>
  <c r="D103" i="10"/>
  <c r="D120" i="10" s="1"/>
  <c r="CX102" i="10"/>
  <c r="CX119" i="10" s="1"/>
  <c r="CW102" i="10"/>
  <c r="CW119" i="10" s="1"/>
  <c r="CV102" i="10"/>
  <c r="CV119" i="10" s="1"/>
  <c r="CU102" i="10"/>
  <c r="CU119" i="10" s="1"/>
  <c r="CT102" i="10"/>
  <c r="CT119" i="10" s="1"/>
  <c r="CS102" i="10"/>
  <c r="CS119" i="10" s="1"/>
  <c r="CR102" i="10"/>
  <c r="CR119" i="10" s="1"/>
  <c r="CQ102" i="10"/>
  <c r="CQ119" i="10" s="1"/>
  <c r="CP102" i="10"/>
  <c r="CP119" i="10" s="1"/>
  <c r="CO102" i="10"/>
  <c r="CO119" i="10" s="1"/>
  <c r="CN102" i="10"/>
  <c r="CN119" i="10" s="1"/>
  <c r="CM102" i="10"/>
  <c r="CL102" i="10"/>
  <c r="CL119" i="10" s="1"/>
  <c r="CK102" i="10"/>
  <c r="CK119" i="10" s="1"/>
  <c r="CJ102" i="10"/>
  <c r="CJ119" i="10" s="1"/>
  <c r="CI102" i="10"/>
  <c r="CI119" i="10" s="1"/>
  <c r="CH102" i="10"/>
  <c r="CH119" i="10" s="1"/>
  <c r="CG102" i="10"/>
  <c r="CG119" i="10" s="1"/>
  <c r="CF102" i="10"/>
  <c r="CF119" i="10" s="1"/>
  <c r="CE102" i="10"/>
  <c r="CE119" i="10" s="1"/>
  <c r="CD102" i="10"/>
  <c r="CD119" i="10" s="1"/>
  <c r="CC102" i="10"/>
  <c r="CC119" i="10" s="1"/>
  <c r="CB102" i="10"/>
  <c r="CB119" i="10" s="1"/>
  <c r="CA102" i="10"/>
  <c r="CA119" i="10" s="1"/>
  <c r="BZ102" i="10"/>
  <c r="BZ119" i="10" s="1"/>
  <c r="BY102" i="10"/>
  <c r="BY119" i="10" s="1"/>
  <c r="BX102" i="10"/>
  <c r="BX119" i="10" s="1"/>
  <c r="BW102" i="10"/>
  <c r="BV102" i="10"/>
  <c r="BV119" i="10" s="1"/>
  <c r="BU102" i="10"/>
  <c r="BU119" i="10" s="1"/>
  <c r="BT102" i="10"/>
  <c r="BT119" i="10" s="1"/>
  <c r="BS102" i="10"/>
  <c r="BS119" i="10" s="1"/>
  <c r="BR102" i="10"/>
  <c r="BR119" i="10" s="1"/>
  <c r="BQ102" i="10"/>
  <c r="BQ119" i="10" s="1"/>
  <c r="BP102" i="10"/>
  <c r="BP119" i="10" s="1"/>
  <c r="BO102" i="10"/>
  <c r="BO119" i="10" s="1"/>
  <c r="BN102" i="10"/>
  <c r="BN119" i="10" s="1"/>
  <c r="BM102" i="10"/>
  <c r="BM119" i="10" s="1"/>
  <c r="BL102" i="10"/>
  <c r="BL119" i="10" s="1"/>
  <c r="BK102" i="10"/>
  <c r="BK119" i="10" s="1"/>
  <c r="BJ102" i="10"/>
  <c r="BJ119" i="10" s="1"/>
  <c r="BI102" i="10"/>
  <c r="BI119" i="10" s="1"/>
  <c r="BH102" i="10"/>
  <c r="BH119" i="10" s="1"/>
  <c r="BG102" i="10"/>
  <c r="BF102" i="10"/>
  <c r="BF119" i="10" s="1"/>
  <c r="BE102" i="10"/>
  <c r="BE119" i="10" s="1"/>
  <c r="BD102" i="10"/>
  <c r="BD119" i="10" s="1"/>
  <c r="BC102" i="10"/>
  <c r="BC119" i="10" s="1"/>
  <c r="BB102" i="10"/>
  <c r="BB119" i="10" s="1"/>
  <c r="BA102" i="10"/>
  <c r="BA119" i="10" s="1"/>
  <c r="AZ102" i="10"/>
  <c r="AZ119" i="10" s="1"/>
  <c r="AY102" i="10"/>
  <c r="AY119" i="10" s="1"/>
  <c r="AX102" i="10"/>
  <c r="AX119" i="10" s="1"/>
  <c r="AW102" i="10"/>
  <c r="AW119" i="10" s="1"/>
  <c r="AV102" i="10"/>
  <c r="AV119" i="10" s="1"/>
  <c r="AU102" i="10"/>
  <c r="AU119" i="10" s="1"/>
  <c r="AT102" i="10"/>
  <c r="AT119" i="10" s="1"/>
  <c r="AS102" i="10"/>
  <c r="AS119" i="10" s="1"/>
  <c r="AR102" i="10"/>
  <c r="AR119" i="10" s="1"/>
  <c r="AQ102" i="10"/>
  <c r="AP102" i="10"/>
  <c r="AP119" i="10" s="1"/>
  <c r="AO102" i="10"/>
  <c r="AO119" i="10" s="1"/>
  <c r="AN102" i="10"/>
  <c r="AN119" i="10" s="1"/>
  <c r="AM102" i="10"/>
  <c r="AM119" i="10" s="1"/>
  <c r="AL102" i="10"/>
  <c r="AL119" i="10" s="1"/>
  <c r="AK102" i="10"/>
  <c r="AK119" i="10" s="1"/>
  <c r="AJ102" i="10"/>
  <c r="AJ119" i="10" s="1"/>
  <c r="AI102" i="10"/>
  <c r="AI119" i="10" s="1"/>
  <c r="AH102" i="10"/>
  <c r="AH119" i="10" s="1"/>
  <c r="AG102" i="10"/>
  <c r="AG119" i="10" s="1"/>
  <c r="AF102" i="10"/>
  <c r="AF119" i="10" s="1"/>
  <c r="AE102" i="10"/>
  <c r="AE119" i="10" s="1"/>
  <c r="AD102" i="10"/>
  <c r="AD119" i="10" s="1"/>
  <c r="AC102" i="10"/>
  <c r="AC119" i="10" s="1"/>
  <c r="AB102" i="10"/>
  <c r="AB119" i="10" s="1"/>
  <c r="AA102" i="10"/>
  <c r="Z102" i="10"/>
  <c r="Z119" i="10" s="1"/>
  <c r="Y102" i="10"/>
  <c r="Y119" i="10" s="1"/>
  <c r="X102" i="10"/>
  <c r="X119" i="10" s="1"/>
  <c r="W102" i="10"/>
  <c r="W119" i="10" s="1"/>
  <c r="V102" i="10"/>
  <c r="V119" i="10" s="1"/>
  <c r="U102" i="10"/>
  <c r="U119" i="10" s="1"/>
  <c r="T102" i="10"/>
  <c r="T119" i="10" s="1"/>
  <c r="S102" i="10"/>
  <c r="S119" i="10" s="1"/>
  <c r="R102" i="10"/>
  <c r="R119" i="10" s="1"/>
  <c r="Q102" i="10"/>
  <c r="Q119" i="10" s="1"/>
  <c r="P102" i="10"/>
  <c r="P119" i="10" s="1"/>
  <c r="O102" i="10"/>
  <c r="O119" i="10" s="1"/>
  <c r="N102" i="10"/>
  <c r="N119" i="10" s="1"/>
  <c r="M102" i="10"/>
  <c r="M119" i="10" s="1"/>
  <c r="L102" i="10"/>
  <c r="L119" i="10" s="1"/>
  <c r="K102" i="10"/>
  <c r="J102" i="10"/>
  <c r="J119" i="10" s="1"/>
  <c r="I102" i="10"/>
  <c r="I119" i="10" s="1"/>
  <c r="H102" i="10"/>
  <c r="H119" i="10" s="1"/>
  <c r="G102" i="10"/>
  <c r="G119" i="10" s="1"/>
  <c r="F102" i="10"/>
  <c r="F119" i="10" s="1"/>
  <c r="E102" i="10"/>
  <c r="E119" i="10" s="1"/>
  <c r="D102" i="10"/>
  <c r="D119" i="10" s="1"/>
  <c r="CX101" i="10"/>
  <c r="CX118" i="10" s="1"/>
  <c r="CW101" i="10"/>
  <c r="CW118" i="10" s="1"/>
  <c r="CV101" i="10"/>
  <c r="CV118" i="10" s="1"/>
  <c r="CU101" i="10"/>
  <c r="CU118" i="10" s="1"/>
  <c r="CT101" i="10"/>
  <c r="CT118" i="10" s="1"/>
  <c r="CS101" i="10"/>
  <c r="CS118" i="10" s="1"/>
  <c r="CR101" i="10"/>
  <c r="CR118" i="10" s="1"/>
  <c r="CQ101" i="10"/>
  <c r="CQ118" i="10" s="1"/>
  <c r="CP101" i="10"/>
  <c r="CO101" i="10"/>
  <c r="CO118" i="10" s="1"/>
  <c r="CN101" i="10"/>
  <c r="CN118" i="10" s="1"/>
  <c r="CM101" i="10"/>
  <c r="CM118" i="10" s="1"/>
  <c r="CL101" i="10"/>
  <c r="CL118" i="10" s="1"/>
  <c r="CK101" i="10"/>
  <c r="CK118" i="10" s="1"/>
  <c r="CJ101" i="10"/>
  <c r="CJ118" i="10" s="1"/>
  <c r="CI101" i="10"/>
  <c r="CI118" i="10" s="1"/>
  <c r="CH101" i="10"/>
  <c r="CH118" i="10" s="1"/>
  <c r="CG101" i="10"/>
  <c r="CG118" i="10" s="1"/>
  <c r="CF101" i="10"/>
  <c r="CF118" i="10" s="1"/>
  <c r="CE101" i="10"/>
  <c r="CE118" i="10" s="1"/>
  <c r="CD101" i="10"/>
  <c r="CD118" i="10" s="1"/>
  <c r="CC101" i="10"/>
  <c r="CC118" i="10" s="1"/>
  <c r="CB101" i="10"/>
  <c r="CB118" i="10" s="1"/>
  <c r="CA101" i="10"/>
  <c r="CA118" i="10" s="1"/>
  <c r="BZ101" i="10"/>
  <c r="BY101" i="10"/>
  <c r="BY118" i="10" s="1"/>
  <c r="BX101" i="10"/>
  <c r="BX118" i="10" s="1"/>
  <c r="BW101" i="10"/>
  <c r="BW118" i="10" s="1"/>
  <c r="BV101" i="10"/>
  <c r="BV118" i="10" s="1"/>
  <c r="BU101" i="10"/>
  <c r="BU118" i="10" s="1"/>
  <c r="BT101" i="10"/>
  <c r="BT118" i="10" s="1"/>
  <c r="BS101" i="10"/>
  <c r="BS118" i="10" s="1"/>
  <c r="BR101" i="10"/>
  <c r="BR118" i="10" s="1"/>
  <c r="BQ101" i="10"/>
  <c r="BQ118" i="10" s="1"/>
  <c r="BP101" i="10"/>
  <c r="BP118" i="10" s="1"/>
  <c r="BO101" i="10"/>
  <c r="BO118" i="10" s="1"/>
  <c r="BN101" i="10"/>
  <c r="BN118" i="10" s="1"/>
  <c r="BM101" i="10"/>
  <c r="BM118" i="10" s="1"/>
  <c r="BL101" i="10"/>
  <c r="BL118" i="10" s="1"/>
  <c r="BK101" i="10"/>
  <c r="BK118" i="10" s="1"/>
  <c r="BJ101" i="10"/>
  <c r="BI101" i="10"/>
  <c r="BI118" i="10" s="1"/>
  <c r="BH101" i="10"/>
  <c r="BH118" i="10" s="1"/>
  <c r="BG101" i="10"/>
  <c r="BG118" i="10" s="1"/>
  <c r="BF101" i="10"/>
  <c r="BF118" i="10" s="1"/>
  <c r="BE101" i="10"/>
  <c r="BE118" i="10" s="1"/>
  <c r="BD101" i="10"/>
  <c r="BD118" i="10" s="1"/>
  <c r="BC101" i="10"/>
  <c r="BC118" i="10" s="1"/>
  <c r="BB101" i="10"/>
  <c r="BB118" i="10" s="1"/>
  <c r="BA101" i="10"/>
  <c r="AZ101" i="10"/>
  <c r="AZ118" i="10" s="1"/>
  <c r="AY101" i="10"/>
  <c r="AY118" i="10" s="1"/>
  <c r="AX101" i="10"/>
  <c r="AX118" i="10" s="1"/>
  <c r="AW101" i="10"/>
  <c r="AW118" i="10" s="1"/>
  <c r="AV101" i="10"/>
  <c r="AU101" i="10"/>
  <c r="AU118" i="10" s="1"/>
  <c r="AT101" i="10"/>
  <c r="AT118" i="10" s="1"/>
  <c r="AS101" i="10"/>
  <c r="AS118" i="10" s="1"/>
  <c r="AR101" i="10"/>
  <c r="AR118" i="10" s="1"/>
  <c r="AQ101" i="10"/>
  <c r="AQ118" i="10" s="1"/>
  <c r="AP101" i="10"/>
  <c r="AO101" i="10"/>
  <c r="AO118" i="10" s="1"/>
  <c r="AN101" i="10"/>
  <c r="AN118" i="10" s="1"/>
  <c r="AM101" i="10"/>
  <c r="AM118" i="10" s="1"/>
  <c r="AL101" i="10"/>
  <c r="AL118" i="10" s="1"/>
  <c r="AK101" i="10"/>
  <c r="AJ101" i="10"/>
  <c r="AJ118" i="10" s="1"/>
  <c r="AI101" i="10"/>
  <c r="AI118" i="10" s="1"/>
  <c r="AH101" i="10"/>
  <c r="AH118" i="10" s="1"/>
  <c r="AG101" i="10"/>
  <c r="AG118" i="10" s="1"/>
  <c r="AF101" i="10"/>
  <c r="AE101" i="10"/>
  <c r="AE118" i="10" s="1"/>
  <c r="AD101" i="10"/>
  <c r="AD118" i="10" s="1"/>
  <c r="AC101" i="10"/>
  <c r="AC118" i="10" s="1"/>
  <c r="AB101" i="10"/>
  <c r="AB118" i="10" s="1"/>
  <c r="AA101" i="10"/>
  <c r="AA118" i="10" s="1"/>
  <c r="Z101" i="10"/>
  <c r="Y101" i="10"/>
  <c r="Y118" i="10" s="1"/>
  <c r="X101" i="10"/>
  <c r="X118" i="10" s="1"/>
  <c r="W101" i="10"/>
  <c r="W118" i="10" s="1"/>
  <c r="V101" i="10"/>
  <c r="V118" i="10" s="1"/>
  <c r="U101" i="10"/>
  <c r="T101" i="10"/>
  <c r="T118" i="10" s="1"/>
  <c r="S101" i="10"/>
  <c r="S118" i="10" s="1"/>
  <c r="R101" i="10"/>
  <c r="R118" i="10" s="1"/>
  <c r="Q101" i="10"/>
  <c r="Q118" i="10" s="1"/>
  <c r="P101" i="10"/>
  <c r="O101" i="10"/>
  <c r="O118" i="10" s="1"/>
  <c r="N101" i="10"/>
  <c r="N118" i="10" s="1"/>
  <c r="M101" i="10"/>
  <c r="M118" i="10" s="1"/>
  <c r="L101" i="10"/>
  <c r="L118" i="10" s="1"/>
  <c r="K101" i="10"/>
  <c r="K118" i="10" s="1"/>
  <c r="J101" i="10"/>
  <c r="I101" i="10"/>
  <c r="I118" i="10" s="1"/>
  <c r="H101" i="10"/>
  <c r="H118" i="10" s="1"/>
  <c r="G101" i="10"/>
  <c r="G118" i="10" s="1"/>
  <c r="F101" i="10"/>
  <c r="F118" i="10" s="1"/>
  <c r="E101" i="10"/>
  <c r="D101" i="10"/>
  <c r="D118" i="10" s="1"/>
  <c r="CX100" i="10"/>
  <c r="CX117" i="10" s="1"/>
  <c r="CW100" i="10"/>
  <c r="CW117" i="10" s="1"/>
  <c r="CV100" i="10"/>
  <c r="CV117" i="10" s="1"/>
  <c r="CU100" i="10"/>
  <c r="CT100" i="10"/>
  <c r="CT117" i="10" s="1"/>
  <c r="CS100" i="10"/>
  <c r="CS117" i="10" s="1"/>
  <c r="CR100" i="10"/>
  <c r="CR117" i="10" s="1"/>
  <c r="CQ100" i="10"/>
  <c r="CQ117" i="10" s="1"/>
  <c r="CP100" i="10"/>
  <c r="CP117" i="10" s="1"/>
  <c r="CO100" i="10"/>
  <c r="CN100" i="10"/>
  <c r="CN117" i="10" s="1"/>
  <c r="CM100" i="10"/>
  <c r="CM117" i="10" s="1"/>
  <c r="CL100" i="10"/>
  <c r="CL117" i="10" s="1"/>
  <c r="CK100" i="10"/>
  <c r="CK117" i="10" s="1"/>
  <c r="CJ100" i="10"/>
  <c r="CI100" i="10"/>
  <c r="CI117" i="10" s="1"/>
  <c r="CH100" i="10"/>
  <c r="CH117" i="10" s="1"/>
  <c r="CG100" i="10"/>
  <c r="CG117" i="10" s="1"/>
  <c r="CF100" i="10"/>
  <c r="CF117" i="10" s="1"/>
  <c r="CE100" i="10"/>
  <c r="CD100" i="10"/>
  <c r="CD117" i="10" s="1"/>
  <c r="CC100" i="10"/>
  <c r="CC117" i="10" s="1"/>
  <c r="CB100" i="10"/>
  <c r="CB117" i="10" s="1"/>
  <c r="CA100" i="10"/>
  <c r="BZ100" i="10"/>
  <c r="BZ117" i="10" s="1"/>
  <c r="BY100" i="10"/>
  <c r="BY117" i="10" s="1"/>
  <c r="BX100" i="10"/>
  <c r="BX117" i="10" s="1"/>
  <c r="BW100" i="10"/>
  <c r="BV100" i="10"/>
  <c r="BV117" i="10" s="1"/>
  <c r="BU100" i="10"/>
  <c r="BU117" i="10" s="1"/>
  <c r="BT100" i="10"/>
  <c r="BT117" i="10" s="1"/>
  <c r="BS100" i="10"/>
  <c r="BR100" i="10"/>
  <c r="BR117" i="10" s="1"/>
  <c r="BQ100" i="10"/>
  <c r="BQ117" i="10" s="1"/>
  <c r="BP100" i="10"/>
  <c r="BP117" i="10" s="1"/>
  <c r="BO100" i="10"/>
  <c r="BN100" i="10"/>
  <c r="BN117" i="10" s="1"/>
  <c r="BM100" i="10"/>
  <c r="BM117" i="10" s="1"/>
  <c r="BL100" i="10"/>
  <c r="BL117" i="10" s="1"/>
  <c r="BK100" i="10"/>
  <c r="BJ100" i="10"/>
  <c r="BJ117" i="10" s="1"/>
  <c r="BI100" i="10"/>
  <c r="BI117" i="10" s="1"/>
  <c r="BH100" i="10"/>
  <c r="BH117" i="10" s="1"/>
  <c r="BG100" i="10"/>
  <c r="BF100" i="10"/>
  <c r="BF117" i="10" s="1"/>
  <c r="BE100" i="10"/>
  <c r="BE117" i="10" s="1"/>
  <c r="BD100" i="10"/>
  <c r="BD117" i="10" s="1"/>
  <c r="BC100" i="10"/>
  <c r="BB100" i="10"/>
  <c r="BB117" i="10" s="1"/>
  <c r="BA100" i="10"/>
  <c r="BA117" i="10" s="1"/>
  <c r="AZ100" i="10"/>
  <c r="AZ117" i="10" s="1"/>
  <c r="AY100" i="10"/>
  <c r="AX100" i="10"/>
  <c r="AX117" i="10" s="1"/>
  <c r="AW100" i="10"/>
  <c r="AW117" i="10" s="1"/>
  <c r="AV100" i="10"/>
  <c r="AV117" i="10" s="1"/>
  <c r="AU100" i="10"/>
  <c r="AT100" i="10"/>
  <c r="AT117" i="10" s="1"/>
  <c r="AS100" i="10"/>
  <c r="AS117" i="10" s="1"/>
  <c r="AR100" i="10"/>
  <c r="AR117" i="10" s="1"/>
  <c r="AQ100" i="10"/>
  <c r="AP100" i="10"/>
  <c r="AP117" i="10" s="1"/>
  <c r="AO100" i="10"/>
  <c r="AO117" i="10" s="1"/>
  <c r="AN100" i="10"/>
  <c r="AN117" i="10" s="1"/>
  <c r="AM100" i="10"/>
  <c r="AL100" i="10"/>
  <c r="AL117" i="10" s="1"/>
  <c r="AK100" i="10"/>
  <c r="AK117" i="10" s="1"/>
  <c r="AJ100" i="10"/>
  <c r="AJ117" i="10" s="1"/>
  <c r="AI100" i="10"/>
  <c r="AH100" i="10"/>
  <c r="AH117" i="10" s="1"/>
  <c r="AG100" i="10"/>
  <c r="AG117" i="10" s="1"/>
  <c r="AF100" i="10"/>
  <c r="AF117" i="10" s="1"/>
  <c r="AE100" i="10"/>
  <c r="AD100" i="10"/>
  <c r="AD117" i="10" s="1"/>
  <c r="AC100" i="10"/>
  <c r="AC117" i="10" s="1"/>
  <c r="AB100" i="10"/>
  <c r="AB117" i="10" s="1"/>
  <c r="AA100" i="10"/>
  <c r="Z100" i="10"/>
  <c r="Z117" i="10" s="1"/>
  <c r="Y100" i="10"/>
  <c r="Y117" i="10" s="1"/>
  <c r="X100" i="10"/>
  <c r="X117" i="10" s="1"/>
  <c r="W100" i="10"/>
  <c r="V100" i="10"/>
  <c r="V117" i="10" s="1"/>
  <c r="U100" i="10"/>
  <c r="U117" i="10" s="1"/>
  <c r="T100" i="10"/>
  <c r="T117" i="10" s="1"/>
  <c r="S100" i="10"/>
  <c r="R100" i="10"/>
  <c r="R117" i="10" s="1"/>
  <c r="Q100" i="10"/>
  <c r="Q117" i="10" s="1"/>
  <c r="P100" i="10"/>
  <c r="P117" i="10" s="1"/>
  <c r="O100" i="10"/>
  <c r="N100" i="10"/>
  <c r="N117" i="10" s="1"/>
  <c r="M100" i="10"/>
  <c r="M117" i="10" s="1"/>
  <c r="L100" i="10"/>
  <c r="L117" i="10" s="1"/>
  <c r="K100" i="10"/>
  <c r="J100" i="10"/>
  <c r="J117" i="10" s="1"/>
  <c r="I100" i="10"/>
  <c r="I117" i="10" s="1"/>
  <c r="H100" i="10"/>
  <c r="H117" i="10" s="1"/>
  <c r="G100" i="10"/>
  <c r="F100" i="10"/>
  <c r="F117" i="10" s="1"/>
  <c r="E100" i="10"/>
  <c r="E117" i="10" s="1"/>
  <c r="D100" i="10"/>
  <c r="D117" i="10" s="1"/>
  <c r="CX99" i="10"/>
  <c r="CW99" i="10"/>
  <c r="CV99" i="10"/>
  <c r="CU99" i="10"/>
  <c r="CT99" i="10"/>
  <c r="CS99" i="10"/>
  <c r="CR99" i="10"/>
  <c r="CQ99" i="10"/>
  <c r="CP99" i="10"/>
  <c r="CO99" i="10"/>
  <c r="CN99" i="10"/>
  <c r="CM99" i="10"/>
  <c r="CL99" i="10"/>
  <c r="CK99" i="10"/>
  <c r="CJ99" i="10"/>
  <c r="CI99" i="10"/>
  <c r="CH99" i="10"/>
  <c r="CG99" i="10"/>
  <c r="CF99" i="10"/>
  <c r="CE99" i="10"/>
  <c r="CD99" i="10"/>
  <c r="CC99" i="10"/>
  <c r="CB99" i="10"/>
  <c r="CA99" i="10"/>
  <c r="BZ99" i="10"/>
  <c r="BY99" i="10"/>
  <c r="BX99" i="10"/>
  <c r="BW99" i="10"/>
  <c r="BV99" i="10"/>
  <c r="BU99" i="10"/>
  <c r="BT99" i="10"/>
  <c r="BS99" i="10"/>
  <c r="BR99" i="10"/>
  <c r="BQ99" i="10"/>
  <c r="BP99" i="10"/>
  <c r="BO99" i="10"/>
  <c r="BN99" i="10"/>
  <c r="BM99" i="10"/>
  <c r="BL99" i="10"/>
  <c r="BK99" i="10"/>
  <c r="BJ99" i="10"/>
  <c r="BI99" i="10"/>
  <c r="BH99" i="10"/>
  <c r="BG99" i="10"/>
  <c r="BF99" i="10"/>
  <c r="BE99" i="10"/>
  <c r="BD99" i="10"/>
  <c r="BC99" i="10"/>
  <c r="BB99" i="10"/>
  <c r="BA99" i="10"/>
  <c r="AZ99" i="10"/>
  <c r="AY99" i="10"/>
  <c r="AX99" i="10"/>
  <c r="AW99" i="10"/>
  <c r="AV99" i="10"/>
  <c r="AU99" i="10"/>
  <c r="AT99" i="10"/>
  <c r="AS99" i="10"/>
  <c r="AR99" i="10"/>
  <c r="AQ99" i="10"/>
  <c r="AP99" i="10"/>
  <c r="AO99" i="10"/>
  <c r="AN99" i="10"/>
  <c r="AM99" i="10"/>
  <c r="AL99" i="10"/>
  <c r="AK99" i="10"/>
  <c r="AJ99" i="10"/>
  <c r="AI99" i="10"/>
  <c r="AH99" i="10"/>
  <c r="AG99" i="10"/>
  <c r="AF99" i="10"/>
  <c r="AE99" i="10"/>
  <c r="AD99" i="10"/>
  <c r="AC99" i="10"/>
  <c r="AB99" i="10"/>
  <c r="AA99" i="10"/>
  <c r="Z99" i="10"/>
  <c r="Y99" i="10"/>
  <c r="X99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X98" i="10"/>
  <c r="CW98" i="10"/>
  <c r="CV98" i="10"/>
  <c r="CU98" i="10"/>
  <c r="CT98" i="10"/>
  <c r="CS98" i="10"/>
  <c r="CR98" i="10"/>
  <c r="CQ98" i="10"/>
  <c r="CP98" i="10"/>
  <c r="CO98" i="10"/>
  <c r="CN98" i="10"/>
  <c r="CM98" i="10"/>
  <c r="CL98" i="10"/>
  <c r="CK98" i="10"/>
  <c r="CJ98" i="10"/>
  <c r="CI98" i="10"/>
  <c r="CH98" i="10"/>
  <c r="CG98" i="10"/>
  <c r="CF98" i="10"/>
  <c r="CE98" i="10"/>
  <c r="CD98" i="10"/>
  <c r="CC98" i="10"/>
  <c r="CB98" i="10"/>
  <c r="CA98" i="10"/>
  <c r="BZ98" i="10"/>
  <c r="BY98" i="10"/>
  <c r="BX98" i="10"/>
  <c r="BW98" i="10"/>
  <c r="BV98" i="10"/>
  <c r="BU98" i="10"/>
  <c r="BT98" i="10"/>
  <c r="BS98" i="10"/>
  <c r="BR98" i="10"/>
  <c r="BQ98" i="10"/>
  <c r="BP98" i="10"/>
  <c r="BO98" i="10"/>
  <c r="BN98" i="10"/>
  <c r="BM98" i="10"/>
  <c r="BL98" i="10"/>
  <c r="BK98" i="10"/>
  <c r="BJ98" i="10"/>
  <c r="BI98" i="10"/>
  <c r="BH98" i="10"/>
  <c r="BG98" i="10"/>
  <c r="BF98" i="10"/>
  <c r="BE98" i="10"/>
  <c r="BD98" i="10"/>
  <c r="BC98" i="10"/>
  <c r="BB98" i="10"/>
  <c r="BA98" i="10"/>
  <c r="AZ98" i="10"/>
  <c r="AY98" i="10"/>
  <c r="AX98" i="10"/>
  <c r="AW98" i="10"/>
  <c r="AV98" i="10"/>
  <c r="AU98" i="10"/>
  <c r="AT98" i="10"/>
  <c r="AS98" i="10"/>
  <c r="AR98" i="10"/>
  <c r="AQ98" i="10"/>
  <c r="AP98" i="10"/>
  <c r="AO98" i="10"/>
  <c r="AN98" i="10"/>
  <c r="AM98" i="10"/>
  <c r="AL98" i="10"/>
  <c r="AK98" i="10"/>
  <c r="AJ98" i="10"/>
  <c r="AI98" i="10"/>
  <c r="AH98" i="10"/>
  <c r="AG98" i="10"/>
  <c r="AF98" i="10"/>
  <c r="AE98" i="10"/>
  <c r="AD98" i="10"/>
  <c r="AC98" i="10"/>
  <c r="AB98" i="10"/>
  <c r="AA98" i="10"/>
  <c r="Z98" i="10"/>
  <c r="Y98" i="10"/>
  <c r="X98" i="10"/>
  <c r="W98" i="10"/>
  <c r="V98" i="10"/>
  <c r="U98" i="10"/>
  <c r="T98" i="10"/>
  <c r="S98" i="10"/>
  <c r="R98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X97" i="10"/>
  <c r="CW97" i="10"/>
  <c r="CV97" i="10"/>
  <c r="CU97" i="10"/>
  <c r="CT97" i="10"/>
  <c r="CS97" i="10"/>
  <c r="CR97" i="10"/>
  <c r="CQ97" i="10"/>
  <c r="CP97" i="10"/>
  <c r="CO97" i="10"/>
  <c r="CN97" i="10"/>
  <c r="CM97" i="10"/>
  <c r="CL97" i="10"/>
  <c r="CK97" i="10"/>
  <c r="CJ97" i="10"/>
  <c r="CI97" i="10"/>
  <c r="CH97" i="10"/>
  <c r="CG97" i="10"/>
  <c r="CF97" i="10"/>
  <c r="CE97" i="10"/>
  <c r="CD97" i="10"/>
  <c r="CC97" i="10"/>
  <c r="CB97" i="10"/>
  <c r="CA97" i="10"/>
  <c r="BZ97" i="10"/>
  <c r="BY97" i="10"/>
  <c r="BX97" i="10"/>
  <c r="BW97" i="10"/>
  <c r="BV97" i="10"/>
  <c r="BU97" i="10"/>
  <c r="BT97" i="10"/>
  <c r="BS97" i="10"/>
  <c r="BR97" i="10"/>
  <c r="BQ97" i="10"/>
  <c r="BP97" i="10"/>
  <c r="BO97" i="10"/>
  <c r="BN97" i="10"/>
  <c r="BM97" i="10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X96" i="10"/>
  <c r="CW96" i="10"/>
  <c r="CV96" i="10"/>
  <c r="CU96" i="10"/>
  <c r="CT96" i="10"/>
  <c r="CS96" i="10"/>
  <c r="CR96" i="10"/>
  <c r="CQ96" i="10"/>
  <c r="CP96" i="10"/>
  <c r="CO96" i="10"/>
  <c r="CN96" i="10"/>
  <c r="CM96" i="10"/>
  <c r="CL96" i="10"/>
  <c r="CK96" i="10"/>
  <c r="CJ96" i="10"/>
  <c r="CI96" i="10"/>
  <c r="CH96" i="10"/>
  <c r="CG96" i="10"/>
  <c r="CF96" i="10"/>
  <c r="CE96" i="10"/>
  <c r="CD96" i="10"/>
  <c r="CC96" i="10"/>
  <c r="CB96" i="10"/>
  <c r="CA96" i="10"/>
  <c r="BZ96" i="10"/>
  <c r="BY96" i="10"/>
  <c r="BX96" i="10"/>
  <c r="BW96" i="10"/>
  <c r="BV96" i="10"/>
  <c r="BU96" i="10"/>
  <c r="BT96" i="10"/>
  <c r="BS96" i="10"/>
  <c r="BR96" i="10"/>
  <c r="BQ96" i="10"/>
  <c r="BP96" i="10"/>
  <c r="BO96" i="10"/>
  <c r="BN96" i="10"/>
  <c r="BM96" i="10"/>
  <c r="BL96" i="10"/>
  <c r="BK96" i="10"/>
  <c r="BJ96" i="10"/>
  <c r="BI96" i="10"/>
  <c r="BH96" i="10"/>
  <c r="BG96" i="10"/>
  <c r="BF96" i="10"/>
  <c r="BE96" i="10"/>
  <c r="BD96" i="10"/>
  <c r="BC96" i="10"/>
  <c r="BB96" i="10"/>
  <c r="BA96" i="10"/>
  <c r="AZ96" i="10"/>
  <c r="AY96" i="10"/>
  <c r="AX96" i="10"/>
  <c r="AW96" i="10"/>
  <c r="AV96" i="10"/>
  <c r="AU96" i="10"/>
  <c r="AT96" i="10"/>
  <c r="AS96" i="10"/>
  <c r="AR96" i="10"/>
  <c r="AQ96" i="10"/>
  <c r="AP96" i="10"/>
  <c r="AO96" i="10"/>
  <c r="AN96" i="10"/>
  <c r="AM96" i="10"/>
  <c r="AL96" i="10"/>
  <c r="AK96" i="10"/>
  <c r="AJ96" i="10"/>
  <c r="AI96" i="10"/>
  <c r="AH96" i="10"/>
  <c r="AG96" i="10"/>
  <c r="AF96" i="10"/>
  <c r="AE96" i="10"/>
  <c r="AD96" i="10"/>
  <c r="AC96" i="10"/>
  <c r="AB96" i="10"/>
  <c r="AA96" i="10"/>
  <c r="Z96" i="10"/>
  <c r="Y96" i="10"/>
  <c r="X96" i="10"/>
  <c r="W96" i="10"/>
  <c r="V96" i="10"/>
  <c r="U96" i="10"/>
  <c r="T96" i="10"/>
  <c r="S96" i="10"/>
  <c r="R96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X95" i="10"/>
  <c r="CW95" i="10"/>
  <c r="CV95" i="10"/>
  <c r="CU95" i="10"/>
  <c r="CT95" i="10"/>
  <c r="CS95" i="10"/>
  <c r="CR95" i="10"/>
  <c r="CQ95" i="10"/>
  <c r="CP95" i="10"/>
  <c r="CO95" i="10"/>
  <c r="CN95" i="10"/>
  <c r="CM95" i="10"/>
  <c r="CL95" i="10"/>
  <c r="CK95" i="10"/>
  <c r="CJ95" i="10"/>
  <c r="CI95" i="10"/>
  <c r="CH95" i="10"/>
  <c r="CG95" i="10"/>
  <c r="CF95" i="10"/>
  <c r="CE95" i="10"/>
  <c r="CD95" i="10"/>
  <c r="CC95" i="10"/>
  <c r="CB95" i="10"/>
  <c r="CA95" i="10"/>
  <c r="BZ95" i="10"/>
  <c r="BY95" i="10"/>
  <c r="BX95" i="10"/>
  <c r="BW95" i="10"/>
  <c r="BV95" i="10"/>
  <c r="BU95" i="10"/>
  <c r="BT95" i="10"/>
  <c r="BS95" i="10"/>
  <c r="BR95" i="10"/>
  <c r="BQ95" i="10"/>
  <c r="BP95" i="10"/>
  <c r="BO95" i="10"/>
  <c r="BN95" i="10"/>
  <c r="BM95" i="10"/>
  <c r="BL95" i="10"/>
  <c r="BK95" i="10"/>
  <c r="BJ95" i="10"/>
  <c r="BI95" i="10"/>
  <c r="BH95" i="10"/>
  <c r="BG95" i="10"/>
  <c r="BF95" i="10"/>
  <c r="BE95" i="10"/>
  <c r="BD95" i="10"/>
  <c r="BC95" i="10"/>
  <c r="BB95" i="10"/>
  <c r="BA95" i="10"/>
  <c r="AZ95" i="10"/>
  <c r="AY95" i="10"/>
  <c r="AX95" i="10"/>
  <c r="AW95" i="10"/>
  <c r="AV95" i="10"/>
  <c r="AU95" i="10"/>
  <c r="AT95" i="10"/>
  <c r="AS95" i="10"/>
  <c r="AR95" i="10"/>
  <c r="AQ95" i="10"/>
  <c r="AP95" i="10"/>
  <c r="AO95" i="10"/>
  <c r="AN95" i="10"/>
  <c r="AM95" i="10"/>
  <c r="AL95" i="10"/>
  <c r="AK95" i="10"/>
  <c r="AJ95" i="10"/>
  <c r="AI95" i="10"/>
  <c r="AH95" i="10"/>
  <c r="AG95" i="10"/>
  <c r="AF95" i="10"/>
  <c r="AE95" i="10"/>
  <c r="AD95" i="10"/>
  <c r="AC95" i="10"/>
  <c r="AB95" i="10"/>
  <c r="AA95" i="10"/>
  <c r="Z95" i="10"/>
  <c r="Y95" i="10"/>
  <c r="X95" i="10"/>
  <c r="W95" i="10"/>
  <c r="V95" i="10"/>
  <c r="U95" i="10"/>
  <c r="T95" i="10"/>
  <c r="S95" i="10"/>
  <c r="R95" i="10"/>
  <c r="Q95" i="10"/>
  <c r="P95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D94" i="10"/>
  <c r="CB94" i="10"/>
  <c r="BR94" i="10"/>
  <c r="AX94" i="10"/>
  <c r="AV94" i="10"/>
  <c r="AL94" i="10"/>
  <c r="R94" i="10"/>
  <c r="P94" i="10"/>
  <c r="F94" i="10"/>
  <c r="CE93" i="10"/>
  <c r="BU93" i="10"/>
  <c r="BJ93" i="10"/>
  <c r="AY93" i="10"/>
  <c r="AO93" i="10"/>
  <c r="S93" i="10"/>
  <c r="I93" i="10"/>
  <c r="CH92" i="10"/>
  <c r="BX92" i="10"/>
  <c r="BB92" i="10"/>
  <c r="AR92" i="10"/>
  <c r="AG92" i="10"/>
  <c r="V92" i="10"/>
  <c r="L92" i="10"/>
  <c r="CK91" i="10"/>
  <c r="CA91" i="10"/>
  <c r="BE91" i="10"/>
  <c r="AU91" i="10"/>
  <c r="Y91" i="10"/>
  <c r="O91" i="10"/>
  <c r="D91" i="10"/>
  <c r="CN90" i="10"/>
  <c r="CD90" i="10"/>
  <c r="BH90" i="10"/>
  <c r="AX90" i="10"/>
  <c r="W90" i="10"/>
  <c r="CL89" i="10"/>
  <c r="BW89" i="10"/>
  <c r="BM89" i="10"/>
  <c r="BG89" i="10"/>
  <c r="AW89" i="10"/>
  <c r="AQ89" i="10"/>
  <c r="AG89" i="10"/>
  <c r="AA89" i="10"/>
  <c r="V89" i="10"/>
  <c r="Q89" i="10"/>
  <c r="K89" i="10"/>
  <c r="CV88" i="10"/>
  <c r="CP88" i="10"/>
  <c r="CF88" i="10"/>
  <c r="BZ88" i="10"/>
  <c r="BP88" i="10"/>
  <c r="BJ88" i="10"/>
  <c r="BE88" i="10"/>
  <c r="AZ88" i="10"/>
  <c r="AT88" i="10"/>
  <c r="AJ88" i="10"/>
  <c r="T88" i="10"/>
  <c r="D88" i="10"/>
  <c r="CN87" i="10"/>
  <c r="CI87" i="10"/>
  <c r="BS87" i="10"/>
  <c r="BC87" i="10"/>
  <c r="AW87" i="10"/>
  <c r="AM87" i="10"/>
  <c r="AB87" i="10"/>
  <c r="W87" i="10"/>
  <c r="G87" i="10"/>
  <c r="AN86" i="10"/>
  <c r="CX85" i="10"/>
  <c r="CX94" i="10" s="1"/>
  <c r="CW85" i="10"/>
  <c r="CW94" i="10" s="1"/>
  <c r="CV85" i="10"/>
  <c r="CV94" i="10" s="1"/>
  <c r="CU85" i="10"/>
  <c r="CU94" i="10" s="1"/>
  <c r="CT85" i="10"/>
  <c r="CT94" i="10" s="1"/>
  <c r="CS85" i="10"/>
  <c r="CS94" i="10" s="1"/>
  <c r="CR85" i="10"/>
  <c r="CR94" i="10" s="1"/>
  <c r="CQ85" i="10"/>
  <c r="CQ94" i="10" s="1"/>
  <c r="CP85" i="10"/>
  <c r="CP94" i="10" s="1"/>
  <c r="CO85" i="10"/>
  <c r="CO94" i="10" s="1"/>
  <c r="CN85" i="10"/>
  <c r="CN94" i="10" s="1"/>
  <c r="CM85" i="10"/>
  <c r="CM94" i="10" s="1"/>
  <c r="CL85" i="10"/>
  <c r="CL94" i="10" s="1"/>
  <c r="CK85" i="10"/>
  <c r="CK94" i="10" s="1"/>
  <c r="CJ85" i="10"/>
  <c r="CJ94" i="10" s="1"/>
  <c r="CI85" i="10"/>
  <c r="CI94" i="10" s="1"/>
  <c r="CH85" i="10"/>
  <c r="CH94" i="10" s="1"/>
  <c r="CG85" i="10"/>
  <c r="CG94" i="10" s="1"/>
  <c r="CF85" i="10"/>
  <c r="CF94" i="10" s="1"/>
  <c r="CE85" i="10"/>
  <c r="CE94" i="10" s="1"/>
  <c r="CD85" i="10"/>
  <c r="CC85" i="10"/>
  <c r="CC94" i="10" s="1"/>
  <c r="CB85" i="10"/>
  <c r="CA85" i="10"/>
  <c r="CA94" i="10" s="1"/>
  <c r="BZ85" i="10"/>
  <c r="BZ94" i="10" s="1"/>
  <c r="BY85" i="10"/>
  <c r="BY94" i="10" s="1"/>
  <c r="BX85" i="10"/>
  <c r="BX94" i="10" s="1"/>
  <c r="BW85" i="10"/>
  <c r="BW94" i="10" s="1"/>
  <c r="BV85" i="10"/>
  <c r="BV94" i="10" s="1"/>
  <c r="BU85" i="10"/>
  <c r="BU94" i="10" s="1"/>
  <c r="BT85" i="10"/>
  <c r="BT94" i="10" s="1"/>
  <c r="BS85" i="10"/>
  <c r="BS94" i="10" s="1"/>
  <c r="BR85" i="10"/>
  <c r="BQ85" i="10"/>
  <c r="BQ94" i="10" s="1"/>
  <c r="BP85" i="10"/>
  <c r="BP94" i="10" s="1"/>
  <c r="BO85" i="10"/>
  <c r="BO94" i="10" s="1"/>
  <c r="BN85" i="10"/>
  <c r="BN94" i="10" s="1"/>
  <c r="BM85" i="10"/>
  <c r="BM94" i="10" s="1"/>
  <c r="BL85" i="10"/>
  <c r="BL94" i="10" s="1"/>
  <c r="BK85" i="10"/>
  <c r="BK94" i="10" s="1"/>
  <c r="BJ85" i="10"/>
  <c r="BJ94" i="10" s="1"/>
  <c r="BI85" i="10"/>
  <c r="BI94" i="10" s="1"/>
  <c r="BH85" i="10"/>
  <c r="BH94" i="10" s="1"/>
  <c r="BG85" i="10"/>
  <c r="BG94" i="10" s="1"/>
  <c r="BF85" i="10"/>
  <c r="BF94" i="10" s="1"/>
  <c r="BE85" i="10"/>
  <c r="BE94" i="10" s="1"/>
  <c r="BD85" i="10"/>
  <c r="BD94" i="10" s="1"/>
  <c r="BC85" i="10"/>
  <c r="BC94" i="10" s="1"/>
  <c r="BB85" i="10"/>
  <c r="BB94" i="10" s="1"/>
  <c r="BA85" i="10"/>
  <c r="BA94" i="10" s="1"/>
  <c r="AZ85" i="10"/>
  <c r="AZ94" i="10" s="1"/>
  <c r="AY85" i="10"/>
  <c r="AY94" i="10" s="1"/>
  <c r="AX85" i="10"/>
  <c r="AW85" i="10"/>
  <c r="AW94" i="10" s="1"/>
  <c r="AV85" i="10"/>
  <c r="AU85" i="10"/>
  <c r="AU94" i="10" s="1"/>
  <c r="AT85" i="10"/>
  <c r="AT94" i="10" s="1"/>
  <c r="AS85" i="10"/>
  <c r="AS94" i="10" s="1"/>
  <c r="AR85" i="10"/>
  <c r="AR94" i="10" s="1"/>
  <c r="AQ85" i="10"/>
  <c r="AQ94" i="10" s="1"/>
  <c r="AP85" i="10"/>
  <c r="AP94" i="10" s="1"/>
  <c r="AO85" i="10"/>
  <c r="AO94" i="10" s="1"/>
  <c r="AN85" i="10"/>
  <c r="AN94" i="10" s="1"/>
  <c r="AM85" i="10"/>
  <c r="AM94" i="10" s="1"/>
  <c r="AL85" i="10"/>
  <c r="AK85" i="10"/>
  <c r="AK94" i="10" s="1"/>
  <c r="AJ85" i="10"/>
  <c r="AJ94" i="10" s="1"/>
  <c r="AI85" i="10"/>
  <c r="AI94" i="10" s="1"/>
  <c r="AH85" i="10"/>
  <c r="AH94" i="10" s="1"/>
  <c r="AG85" i="10"/>
  <c r="AG94" i="10" s="1"/>
  <c r="AF85" i="10"/>
  <c r="AF94" i="10" s="1"/>
  <c r="AE85" i="10"/>
  <c r="AE94" i="10" s="1"/>
  <c r="AD85" i="10"/>
  <c r="AD94" i="10" s="1"/>
  <c r="AC85" i="10"/>
  <c r="AC94" i="10" s="1"/>
  <c r="AB85" i="10"/>
  <c r="AB94" i="10" s="1"/>
  <c r="AA85" i="10"/>
  <c r="AA94" i="10" s="1"/>
  <c r="Z85" i="10"/>
  <c r="Z94" i="10" s="1"/>
  <c r="Y85" i="10"/>
  <c r="Y94" i="10" s="1"/>
  <c r="X85" i="10"/>
  <c r="X94" i="10" s="1"/>
  <c r="W85" i="10"/>
  <c r="W94" i="10" s="1"/>
  <c r="V85" i="10"/>
  <c r="V94" i="10" s="1"/>
  <c r="U85" i="10"/>
  <c r="U94" i="10" s="1"/>
  <c r="T85" i="10"/>
  <c r="T94" i="10" s="1"/>
  <c r="S85" i="10"/>
  <c r="S94" i="10" s="1"/>
  <c r="R85" i="10"/>
  <c r="Q85" i="10"/>
  <c r="Q94" i="10" s="1"/>
  <c r="P85" i="10"/>
  <c r="O85" i="10"/>
  <c r="O94" i="10" s="1"/>
  <c r="N85" i="10"/>
  <c r="N94" i="10" s="1"/>
  <c r="M85" i="10"/>
  <c r="M94" i="10" s="1"/>
  <c r="L85" i="10"/>
  <c r="L94" i="10" s="1"/>
  <c r="K85" i="10"/>
  <c r="K94" i="10" s="1"/>
  <c r="J85" i="10"/>
  <c r="J94" i="10" s="1"/>
  <c r="I85" i="10"/>
  <c r="I94" i="10" s="1"/>
  <c r="H85" i="10"/>
  <c r="H94" i="10" s="1"/>
  <c r="G85" i="10"/>
  <c r="G94" i="10" s="1"/>
  <c r="F85" i="10"/>
  <c r="E85" i="10"/>
  <c r="E94" i="10" s="1"/>
  <c r="D85" i="10"/>
  <c r="D94" i="10" s="1"/>
  <c r="CX84" i="10"/>
  <c r="CW84" i="10"/>
  <c r="CV84" i="10"/>
  <c r="CU84" i="10"/>
  <c r="CT84" i="10"/>
  <c r="CS84" i="10"/>
  <c r="CR84" i="10"/>
  <c r="CQ84" i="10"/>
  <c r="CP84" i="10"/>
  <c r="CO84" i="10"/>
  <c r="CN84" i="10"/>
  <c r="CM84" i="10"/>
  <c r="CL84" i="10"/>
  <c r="CK84" i="10"/>
  <c r="CJ84" i="10"/>
  <c r="CI84" i="10"/>
  <c r="CH84" i="10"/>
  <c r="CG84" i="10"/>
  <c r="CF84" i="10"/>
  <c r="CE84" i="10"/>
  <c r="CD84" i="10"/>
  <c r="CC84" i="10"/>
  <c r="CB84" i="10"/>
  <c r="CA84" i="10"/>
  <c r="BZ84" i="10"/>
  <c r="BY84" i="10"/>
  <c r="BX84" i="10"/>
  <c r="BW84" i="10"/>
  <c r="BV84" i="10"/>
  <c r="BU84" i="10"/>
  <c r="BT84" i="10"/>
  <c r="BS84" i="10"/>
  <c r="BR84" i="10"/>
  <c r="BQ84" i="10"/>
  <c r="BP84" i="10"/>
  <c r="BO84" i="10"/>
  <c r="BN84" i="10"/>
  <c r="BM84" i="10"/>
  <c r="BL84" i="10"/>
  <c r="BK84" i="10"/>
  <c r="BJ84" i="10"/>
  <c r="BI84" i="10"/>
  <c r="BH84" i="10"/>
  <c r="BG84" i="10"/>
  <c r="BF84" i="10"/>
  <c r="BE84" i="10"/>
  <c r="BD84" i="10"/>
  <c r="BC84" i="10"/>
  <c r="BB84" i="10"/>
  <c r="BA84" i="10"/>
  <c r="AZ84" i="10"/>
  <c r="AY84" i="10"/>
  <c r="AX84" i="10"/>
  <c r="AW84" i="10"/>
  <c r="AV84" i="10"/>
  <c r="AU84" i="10"/>
  <c r="AT84" i="10"/>
  <c r="AS84" i="10"/>
  <c r="AR84" i="10"/>
  <c r="AQ84" i="10"/>
  <c r="AP84" i="10"/>
  <c r="AO84" i="10"/>
  <c r="AN84" i="10"/>
  <c r="AM84" i="10"/>
  <c r="AL84" i="10"/>
  <c r="AK84" i="10"/>
  <c r="AJ84" i="10"/>
  <c r="AI84" i="10"/>
  <c r="AH84" i="10"/>
  <c r="AG84" i="10"/>
  <c r="AF84" i="10"/>
  <c r="AE84" i="10"/>
  <c r="AD84" i="10"/>
  <c r="AC84" i="10"/>
  <c r="AB84" i="10"/>
  <c r="AA84" i="10"/>
  <c r="Z84" i="10"/>
  <c r="Y84" i="10"/>
  <c r="X84" i="10"/>
  <c r="W84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X83" i="10"/>
  <c r="CW83" i="10"/>
  <c r="CV83" i="10"/>
  <c r="CU83" i="10"/>
  <c r="CT83" i="10"/>
  <c r="CS83" i="10"/>
  <c r="CR83" i="10"/>
  <c r="CQ83" i="10"/>
  <c r="CP83" i="10"/>
  <c r="CO83" i="10"/>
  <c r="CN83" i="10"/>
  <c r="CM83" i="10"/>
  <c r="CL83" i="10"/>
  <c r="CK83" i="10"/>
  <c r="CJ83" i="10"/>
  <c r="CI83" i="10"/>
  <c r="CH83" i="10"/>
  <c r="CG83" i="10"/>
  <c r="CF83" i="10"/>
  <c r="CE83" i="10"/>
  <c r="CD83" i="10"/>
  <c r="CC83" i="10"/>
  <c r="CB83" i="10"/>
  <c r="CA83" i="10"/>
  <c r="BZ83" i="10"/>
  <c r="BY83" i="10"/>
  <c r="BX83" i="10"/>
  <c r="BW83" i="10"/>
  <c r="BV83" i="10"/>
  <c r="BU83" i="10"/>
  <c r="BT83" i="10"/>
  <c r="BS83" i="10"/>
  <c r="BR83" i="10"/>
  <c r="BQ83" i="10"/>
  <c r="BP83" i="10"/>
  <c r="BO83" i="10"/>
  <c r="BN83" i="10"/>
  <c r="BM83" i="10"/>
  <c r="BL83" i="10"/>
  <c r="BK83" i="10"/>
  <c r="BJ83" i="10"/>
  <c r="BI83" i="10"/>
  <c r="BH83" i="10"/>
  <c r="BG83" i="10"/>
  <c r="BF83" i="10"/>
  <c r="BE83" i="10"/>
  <c r="BD83" i="10"/>
  <c r="BC83" i="10"/>
  <c r="BB83" i="10"/>
  <c r="BA83" i="10"/>
  <c r="AZ83" i="10"/>
  <c r="AY83" i="10"/>
  <c r="AX83" i="10"/>
  <c r="AW83" i="10"/>
  <c r="AV83" i="10"/>
  <c r="AU83" i="10"/>
  <c r="AT83" i="10"/>
  <c r="AS83" i="10"/>
  <c r="AR83" i="10"/>
  <c r="AQ83" i="10"/>
  <c r="AP83" i="10"/>
  <c r="AO83" i="10"/>
  <c r="AN83" i="10"/>
  <c r="AM83" i="10"/>
  <c r="AL83" i="10"/>
  <c r="AK83" i="10"/>
  <c r="AJ83" i="10"/>
  <c r="AI83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X82" i="10"/>
  <c r="CW82" i="10"/>
  <c r="CV82" i="10"/>
  <c r="CU82" i="10"/>
  <c r="CT82" i="10"/>
  <c r="CS82" i="10"/>
  <c r="CR82" i="10"/>
  <c r="CQ82" i="10"/>
  <c r="CP82" i="10"/>
  <c r="CO82" i="10"/>
  <c r="CN82" i="10"/>
  <c r="CM82" i="10"/>
  <c r="CL82" i="10"/>
  <c r="CK82" i="10"/>
  <c r="CJ82" i="10"/>
  <c r="CI82" i="10"/>
  <c r="CH82" i="10"/>
  <c r="CG82" i="10"/>
  <c r="CF82" i="10"/>
  <c r="CE82" i="10"/>
  <c r="CD82" i="10"/>
  <c r="CC82" i="10"/>
  <c r="CB82" i="10"/>
  <c r="CA82" i="10"/>
  <c r="BZ82" i="10"/>
  <c r="BY82" i="10"/>
  <c r="BX82" i="10"/>
  <c r="BW82" i="10"/>
  <c r="BV82" i="10"/>
  <c r="BU82" i="10"/>
  <c r="BT82" i="10"/>
  <c r="BS82" i="10"/>
  <c r="BR82" i="10"/>
  <c r="BQ82" i="10"/>
  <c r="BP82" i="10"/>
  <c r="BO82" i="10"/>
  <c r="BN82" i="10"/>
  <c r="BM82" i="10"/>
  <c r="BL82" i="10"/>
  <c r="BK82" i="10"/>
  <c r="BJ82" i="10"/>
  <c r="BI82" i="10"/>
  <c r="BH82" i="10"/>
  <c r="BG82" i="10"/>
  <c r="BF82" i="10"/>
  <c r="BE82" i="10"/>
  <c r="BD82" i="10"/>
  <c r="BC82" i="10"/>
  <c r="BB82" i="10"/>
  <c r="BA82" i="10"/>
  <c r="AZ82" i="10"/>
  <c r="AY82" i="10"/>
  <c r="AX82" i="10"/>
  <c r="AW82" i="10"/>
  <c r="AV82" i="10"/>
  <c r="AU82" i="10"/>
  <c r="AT82" i="10"/>
  <c r="AS82" i="10"/>
  <c r="AR82" i="10"/>
  <c r="AQ82" i="10"/>
  <c r="AP82" i="10"/>
  <c r="AO82" i="10"/>
  <c r="AN82" i="10"/>
  <c r="AM82" i="10"/>
  <c r="AL82" i="10"/>
  <c r="AK82" i="10"/>
  <c r="AJ82" i="10"/>
  <c r="AI82" i="10"/>
  <c r="AH82" i="10"/>
  <c r="AG82" i="10"/>
  <c r="AF82" i="10"/>
  <c r="AE82" i="10"/>
  <c r="AD82" i="10"/>
  <c r="AC82" i="10"/>
  <c r="AB82" i="10"/>
  <c r="AA82" i="10"/>
  <c r="Z82" i="10"/>
  <c r="Y82" i="10"/>
  <c r="X82" i="10"/>
  <c r="W82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X81" i="10"/>
  <c r="CW81" i="10"/>
  <c r="CV81" i="10"/>
  <c r="CU81" i="10"/>
  <c r="CT81" i="10"/>
  <c r="CS81" i="10"/>
  <c r="CR81" i="10"/>
  <c r="CQ81" i="10"/>
  <c r="CP81" i="10"/>
  <c r="CO81" i="10"/>
  <c r="CN81" i="10"/>
  <c r="CM81" i="10"/>
  <c r="CL81" i="10"/>
  <c r="CK81" i="10"/>
  <c r="CJ81" i="10"/>
  <c r="CI81" i="10"/>
  <c r="CH81" i="10"/>
  <c r="CG81" i="10"/>
  <c r="CF81" i="10"/>
  <c r="CE81" i="10"/>
  <c r="CD81" i="10"/>
  <c r="CC81" i="10"/>
  <c r="CB81" i="10"/>
  <c r="CA81" i="10"/>
  <c r="BZ81" i="10"/>
  <c r="BY81" i="10"/>
  <c r="BX81" i="10"/>
  <c r="BW81" i="10"/>
  <c r="BV81" i="10"/>
  <c r="BU81" i="10"/>
  <c r="BT81" i="10"/>
  <c r="BS81" i="10"/>
  <c r="BR81" i="10"/>
  <c r="BQ81" i="10"/>
  <c r="BP81" i="10"/>
  <c r="BO81" i="10"/>
  <c r="BN81" i="10"/>
  <c r="BM81" i="10"/>
  <c r="BL81" i="10"/>
  <c r="BK81" i="10"/>
  <c r="BJ81" i="10"/>
  <c r="BI81" i="10"/>
  <c r="BH81" i="10"/>
  <c r="BG81" i="10"/>
  <c r="BF81" i="10"/>
  <c r="BE81" i="10"/>
  <c r="BD81" i="10"/>
  <c r="BC81" i="10"/>
  <c r="BB81" i="10"/>
  <c r="BA81" i="10"/>
  <c r="AZ81" i="10"/>
  <c r="AY81" i="10"/>
  <c r="AX81" i="10"/>
  <c r="AW81" i="10"/>
  <c r="AV81" i="10"/>
  <c r="AU81" i="10"/>
  <c r="AT81" i="10"/>
  <c r="AS81" i="10"/>
  <c r="AR81" i="10"/>
  <c r="AQ81" i="10"/>
  <c r="AP81" i="10"/>
  <c r="AO81" i="10"/>
  <c r="AN81" i="10"/>
  <c r="AM81" i="10"/>
  <c r="AL81" i="10"/>
  <c r="AK81" i="10"/>
  <c r="AJ81" i="10"/>
  <c r="AI81" i="10"/>
  <c r="AH81" i="10"/>
  <c r="AG81" i="10"/>
  <c r="AF81" i="10"/>
  <c r="AE81" i="10"/>
  <c r="AD81" i="10"/>
  <c r="AC81" i="10"/>
  <c r="AB81" i="10"/>
  <c r="AA81" i="10"/>
  <c r="Z81" i="10"/>
  <c r="Y81" i="10"/>
  <c r="X81" i="10"/>
  <c r="W81" i="10"/>
  <c r="V81" i="10"/>
  <c r="U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W79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W78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W77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X76" i="10"/>
  <c r="CX93" i="10" s="1"/>
  <c r="CW76" i="10"/>
  <c r="CW93" i="10" s="1"/>
  <c r="CV76" i="10"/>
  <c r="CV93" i="10" s="1"/>
  <c r="CU76" i="10"/>
  <c r="CU93" i="10" s="1"/>
  <c r="CT76" i="10"/>
  <c r="CT93" i="10" s="1"/>
  <c r="CS76" i="10"/>
  <c r="CS93" i="10" s="1"/>
  <c r="CR76" i="10"/>
  <c r="CR93" i="10" s="1"/>
  <c r="CQ76" i="10"/>
  <c r="CQ93" i="10" s="1"/>
  <c r="CP76" i="10"/>
  <c r="CP93" i="10" s="1"/>
  <c r="CO76" i="10"/>
  <c r="CO93" i="10" s="1"/>
  <c r="CN76" i="10"/>
  <c r="CN93" i="10" s="1"/>
  <c r="CM76" i="10"/>
  <c r="CM93" i="10" s="1"/>
  <c r="CL76" i="10"/>
  <c r="CL93" i="10" s="1"/>
  <c r="CK76" i="10"/>
  <c r="CK93" i="10" s="1"/>
  <c r="CJ76" i="10"/>
  <c r="CJ93" i="10" s="1"/>
  <c r="CI76" i="10"/>
  <c r="CI93" i="10" s="1"/>
  <c r="CH76" i="10"/>
  <c r="CH93" i="10" s="1"/>
  <c r="CG76" i="10"/>
  <c r="CG93" i="10" s="1"/>
  <c r="CF76" i="10"/>
  <c r="CF93" i="10" s="1"/>
  <c r="CE76" i="10"/>
  <c r="CD76" i="10"/>
  <c r="CD93" i="10" s="1"/>
  <c r="CC76" i="10"/>
  <c r="CC93" i="10" s="1"/>
  <c r="CB76" i="10"/>
  <c r="CB93" i="10" s="1"/>
  <c r="CA76" i="10"/>
  <c r="CA93" i="10" s="1"/>
  <c r="BZ76" i="10"/>
  <c r="BZ93" i="10" s="1"/>
  <c r="BY76" i="10"/>
  <c r="BY93" i="10" s="1"/>
  <c r="BX76" i="10"/>
  <c r="BX93" i="10" s="1"/>
  <c r="BW76" i="10"/>
  <c r="BW93" i="10" s="1"/>
  <c r="BV76" i="10"/>
  <c r="BV93" i="10" s="1"/>
  <c r="BU76" i="10"/>
  <c r="BT76" i="10"/>
  <c r="BT93" i="10" s="1"/>
  <c r="BS76" i="10"/>
  <c r="BS93" i="10" s="1"/>
  <c r="BR76" i="10"/>
  <c r="BR93" i="10" s="1"/>
  <c r="BQ76" i="10"/>
  <c r="BQ93" i="10" s="1"/>
  <c r="BP76" i="10"/>
  <c r="BP93" i="10" s="1"/>
  <c r="BO76" i="10"/>
  <c r="BO93" i="10" s="1"/>
  <c r="BN76" i="10"/>
  <c r="BN93" i="10" s="1"/>
  <c r="BM76" i="10"/>
  <c r="BM93" i="10" s="1"/>
  <c r="BL76" i="10"/>
  <c r="BL93" i="10" s="1"/>
  <c r="BK76" i="10"/>
  <c r="BK93" i="10" s="1"/>
  <c r="BJ76" i="10"/>
  <c r="BI76" i="10"/>
  <c r="BI93" i="10" s="1"/>
  <c r="BH76" i="10"/>
  <c r="BH93" i="10" s="1"/>
  <c r="BG76" i="10"/>
  <c r="BG93" i="10" s="1"/>
  <c r="BF76" i="10"/>
  <c r="BF93" i="10" s="1"/>
  <c r="BE76" i="10"/>
  <c r="BE93" i="10" s="1"/>
  <c r="BD76" i="10"/>
  <c r="BD93" i="10" s="1"/>
  <c r="BC76" i="10"/>
  <c r="BC93" i="10" s="1"/>
  <c r="BB76" i="10"/>
  <c r="BB93" i="10" s="1"/>
  <c r="BA76" i="10"/>
  <c r="BA93" i="10" s="1"/>
  <c r="AZ76" i="10"/>
  <c r="AZ93" i="10" s="1"/>
  <c r="AY76" i="10"/>
  <c r="AX76" i="10"/>
  <c r="AX93" i="10" s="1"/>
  <c r="AW76" i="10"/>
  <c r="AW93" i="10" s="1"/>
  <c r="AV76" i="10"/>
  <c r="AV93" i="10" s="1"/>
  <c r="AU76" i="10"/>
  <c r="AU93" i="10" s="1"/>
  <c r="AT76" i="10"/>
  <c r="AT93" i="10" s="1"/>
  <c r="AS76" i="10"/>
  <c r="AS93" i="10" s="1"/>
  <c r="AR76" i="10"/>
  <c r="AR93" i="10" s="1"/>
  <c r="AQ76" i="10"/>
  <c r="AQ93" i="10" s="1"/>
  <c r="AP76" i="10"/>
  <c r="AP93" i="10" s="1"/>
  <c r="AO76" i="10"/>
  <c r="AN76" i="10"/>
  <c r="AN93" i="10" s="1"/>
  <c r="AM76" i="10"/>
  <c r="AM93" i="10" s="1"/>
  <c r="AL76" i="10"/>
  <c r="AL93" i="10" s="1"/>
  <c r="AK76" i="10"/>
  <c r="AK93" i="10" s="1"/>
  <c r="AJ76" i="10"/>
  <c r="AJ93" i="10" s="1"/>
  <c r="AI76" i="10"/>
  <c r="AI93" i="10" s="1"/>
  <c r="AH76" i="10"/>
  <c r="AH93" i="10" s="1"/>
  <c r="AG76" i="10"/>
  <c r="AG93" i="10" s="1"/>
  <c r="AF76" i="10"/>
  <c r="AF93" i="10" s="1"/>
  <c r="AE76" i="10"/>
  <c r="AE93" i="10" s="1"/>
  <c r="AD76" i="10"/>
  <c r="AD93" i="10" s="1"/>
  <c r="AC76" i="10"/>
  <c r="AC93" i="10" s="1"/>
  <c r="AB76" i="10"/>
  <c r="AB93" i="10" s="1"/>
  <c r="AA76" i="10"/>
  <c r="AA93" i="10" s="1"/>
  <c r="Z76" i="10"/>
  <c r="Z93" i="10" s="1"/>
  <c r="Y76" i="10"/>
  <c r="Y93" i="10" s="1"/>
  <c r="X76" i="10"/>
  <c r="X93" i="10" s="1"/>
  <c r="W76" i="10"/>
  <c r="W93" i="10" s="1"/>
  <c r="V76" i="10"/>
  <c r="V93" i="10" s="1"/>
  <c r="U76" i="10"/>
  <c r="U93" i="10" s="1"/>
  <c r="T76" i="10"/>
  <c r="T93" i="10" s="1"/>
  <c r="S76" i="10"/>
  <c r="R76" i="10"/>
  <c r="R93" i="10" s="1"/>
  <c r="Q76" i="10"/>
  <c r="Q93" i="10" s="1"/>
  <c r="P76" i="10"/>
  <c r="P93" i="10" s="1"/>
  <c r="O76" i="10"/>
  <c r="O93" i="10" s="1"/>
  <c r="N76" i="10"/>
  <c r="N93" i="10" s="1"/>
  <c r="M76" i="10"/>
  <c r="M93" i="10" s="1"/>
  <c r="L76" i="10"/>
  <c r="L93" i="10" s="1"/>
  <c r="K76" i="10"/>
  <c r="K93" i="10" s="1"/>
  <c r="J76" i="10"/>
  <c r="J93" i="10" s="1"/>
  <c r="I76" i="10"/>
  <c r="H76" i="10"/>
  <c r="H93" i="10" s="1"/>
  <c r="G76" i="10"/>
  <c r="G93" i="10" s="1"/>
  <c r="F76" i="10"/>
  <c r="F93" i="10" s="1"/>
  <c r="E76" i="10"/>
  <c r="E93" i="10" s="1"/>
  <c r="D76" i="10"/>
  <c r="D93" i="10" s="1"/>
  <c r="CX75" i="10"/>
  <c r="CX92" i="10" s="1"/>
  <c r="CW75" i="10"/>
  <c r="CW92" i="10" s="1"/>
  <c r="CV75" i="10"/>
  <c r="CV92" i="10" s="1"/>
  <c r="CU75" i="10"/>
  <c r="CU92" i="10" s="1"/>
  <c r="CT75" i="10"/>
  <c r="CT92" i="10" s="1"/>
  <c r="CS75" i="10"/>
  <c r="CS92" i="10" s="1"/>
  <c r="CR75" i="10"/>
  <c r="CR92" i="10" s="1"/>
  <c r="CQ75" i="10"/>
  <c r="CQ92" i="10" s="1"/>
  <c r="CP75" i="10"/>
  <c r="CP92" i="10" s="1"/>
  <c r="CO75" i="10"/>
  <c r="CO92" i="10" s="1"/>
  <c r="CN75" i="10"/>
  <c r="CN92" i="10" s="1"/>
  <c r="CM75" i="10"/>
  <c r="CM92" i="10" s="1"/>
  <c r="CL75" i="10"/>
  <c r="CL92" i="10" s="1"/>
  <c r="CK75" i="10"/>
  <c r="CK92" i="10" s="1"/>
  <c r="CJ75" i="10"/>
  <c r="CJ92" i="10" s="1"/>
  <c r="CI75" i="10"/>
  <c r="CI92" i="10" s="1"/>
  <c r="CH75" i="10"/>
  <c r="CG75" i="10"/>
  <c r="CG92" i="10" s="1"/>
  <c r="CF75" i="10"/>
  <c r="CF92" i="10" s="1"/>
  <c r="CE75" i="10"/>
  <c r="CE92" i="10" s="1"/>
  <c r="CD75" i="10"/>
  <c r="CD92" i="10" s="1"/>
  <c r="CC75" i="10"/>
  <c r="CC92" i="10" s="1"/>
  <c r="CB75" i="10"/>
  <c r="CB92" i="10" s="1"/>
  <c r="CA75" i="10"/>
  <c r="CA92" i="10" s="1"/>
  <c r="BZ75" i="10"/>
  <c r="BZ92" i="10" s="1"/>
  <c r="BY75" i="10"/>
  <c r="BY92" i="10" s="1"/>
  <c r="BX75" i="10"/>
  <c r="BW75" i="10"/>
  <c r="BW92" i="10" s="1"/>
  <c r="BV75" i="10"/>
  <c r="BV92" i="10" s="1"/>
  <c r="BU75" i="10"/>
  <c r="BU92" i="10" s="1"/>
  <c r="BT75" i="10"/>
  <c r="BT92" i="10" s="1"/>
  <c r="BS75" i="10"/>
  <c r="BS92" i="10" s="1"/>
  <c r="BR75" i="10"/>
  <c r="BR92" i="10" s="1"/>
  <c r="BQ75" i="10"/>
  <c r="BQ92" i="10" s="1"/>
  <c r="BP75" i="10"/>
  <c r="BP92" i="10" s="1"/>
  <c r="BO75" i="10"/>
  <c r="BO92" i="10" s="1"/>
  <c r="BN75" i="10"/>
  <c r="BN92" i="10" s="1"/>
  <c r="BM75" i="10"/>
  <c r="BM92" i="10" s="1"/>
  <c r="BL75" i="10"/>
  <c r="BL92" i="10" s="1"/>
  <c r="BK75" i="10"/>
  <c r="BK92" i="10" s="1"/>
  <c r="BJ75" i="10"/>
  <c r="BJ92" i="10" s="1"/>
  <c r="BI75" i="10"/>
  <c r="BI92" i="10" s="1"/>
  <c r="BH75" i="10"/>
  <c r="BH92" i="10" s="1"/>
  <c r="BG75" i="10"/>
  <c r="BG92" i="10" s="1"/>
  <c r="BF75" i="10"/>
  <c r="BF92" i="10" s="1"/>
  <c r="BE75" i="10"/>
  <c r="BE92" i="10" s="1"/>
  <c r="BD75" i="10"/>
  <c r="BD92" i="10" s="1"/>
  <c r="BC75" i="10"/>
  <c r="BC92" i="10" s="1"/>
  <c r="BB75" i="10"/>
  <c r="BA75" i="10"/>
  <c r="BA92" i="10" s="1"/>
  <c r="AZ75" i="10"/>
  <c r="AZ92" i="10" s="1"/>
  <c r="AY75" i="10"/>
  <c r="AY92" i="10" s="1"/>
  <c r="AX75" i="10"/>
  <c r="AX92" i="10" s="1"/>
  <c r="AW75" i="10"/>
  <c r="AW92" i="10" s="1"/>
  <c r="AV75" i="10"/>
  <c r="AV92" i="10" s="1"/>
  <c r="AU75" i="10"/>
  <c r="AU92" i="10" s="1"/>
  <c r="AT75" i="10"/>
  <c r="AT92" i="10" s="1"/>
  <c r="AS75" i="10"/>
  <c r="AS92" i="10" s="1"/>
  <c r="AR75" i="10"/>
  <c r="AQ75" i="10"/>
  <c r="AQ92" i="10" s="1"/>
  <c r="AP75" i="10"/>
  <c r="AP92" i="10" s="1"/>
  <c r="AO75" i="10"/>
  <c r="AO92" i="10" s="1"/>
  <c r="AN75" i="10"/>
  <c r="AN92" i="10" s="1"/>
  <c r="AM75" i="10"/>
  <c r="AM92" i="10" s="1"/>
  <c r="AL75" i="10"/>
  <c r="AL92" i="10" s="1"/>
  <c r="AK75" i="10"/>
  <c r="AK92" i="10" s="1"/>
  <c r="AJ75" i="10"/>
  <c r="AJ92" i="10" s="1"/>
  <c r="AI75" i="10"/>
  <c r="AI92" i="10" s="1"/>
  <c r="AH75" i="10"/>
  <c r="AH92" i="10" s="1"/>
  <c r="AG75" i="10"/>
  <c r="AF75" i="10"/>
  <c r="AF92" i="10" s="1"/>
  <c r="AE75" i="10"/>
  <c r="AE92" i="10" s="1"/>
  <c r="AD75" i="10"/>
  <c r="AD92" i="10" s="1"/>
  <c r="AC75" i="10"/>
  <c r="AC92" i="10" s="1"/>
  <c r="AB75" i="10"/>
  <c r="AB92" i="10" s="1"/>
  <c r="AA75" i="10"/>
  <c r="AA92" i="10" s="1"/>
  <c r="Z75" i="10"/>
  <c r="Z92" i="10" s="1"/>
  <c r="Y75" i="10"/>
  <c r="Y92" i="10" s="1"/>
  <c r="X75" i="10"/>
  <c r="X92" i="10" s="1"/>
  <c r="W75" i="10"/>
  <c r="W92" i="10" s="1"/>
  <c r="V75" i="10"/>
  <c r="U75" i="10"/>
  <c r="U92" i="10" s="1"/>
  <c r="T75" i="10"/>
  <c r="T92" i="10" s="1"/>
  <c r="S75" i="10"/>
  <c r="S92" i="10" s="1"/>
  <c r="R75" i="10"/>
  <c r="R92" i="10" s="1"/>
  <c r="Q75" i="10"/>
  <c r="Q92" i="10" s="1"/>
  <c r="P75" i="10"/>
  <c r="P92" i="10" s="1"/>
  <c r="O75" i="10"/>
  <c r="O92" i="10" s="1"/>
  <c r="N75" i="10"/>
  <c r="N92" i="10" s="1"/>
  <c r="M75" i="10"/>
  <c r="M92" i="10" s="1"/>
  <c r="L75" i="10"/>
  <c r="K75" i="10"/>
  <c r="K92" i="10" s="1"/>
  <c r="J75" i="10"/>
  <c r="J92" i="10" s="1"/>
  <c r="I75" i="10"/>
  <c r="I92" i="10" s="1"/>
  <c r="H75" i="10"/>
  <c r="H92" i="10" s="1"/>
  <c r="G75" i="10"/>
  <c r="G92" i="10" s="1"/>
  <c r="F75" i="10"/>
  <c r="F92" i="10" s="1"/>
  <c r="E75" i="10"/>
  <c r="E92" i="10" s="1"/>
  <c r="D75" i="10"/>
  <c r="D92" i="10" s="1"/>
  <c r="CX74" i="10"/>
  <c r="CX91" i="10" s="1"/>
  <c r="CW74" i="10"/>
  <c r="CW91" i="10" s="1"/>
  <c r="CV74" i="10"/>
  <c r="CV91" i="10" s="1"/>
  <c r="CU74" i="10"/>
  <c r="CU91" i="10" s="1"/>
  <c r="CT74" i="10"/>
  <c r="CT91" i="10" s="1"/>
  <c r="CS74" i="10"/>
  <c r="CS91" i="10" s="1"/>
  <c r="CR74" i="10"/>
  <c r="CR91" i="10" s="1"/>
  <c r="CQ74" i="10"/>
  <c r="CQ91" i="10" s="1"/>
  <c r="CP74" i="10"/>
  <c r="CP91" i="10" s="1"/>
  <c r="CO74" i="10"/>
  <c r="CO91" i="10" s="1"/>
  <c r="CN74" i="10"/>
  <c r="CN91" i="10" s="1"/>
  <c r="CM74" i="10"/>
  <c r="CM91" i="10" s="1"/>
  <c r="CL74" i="10"/>
  <c r="CL91" i="10" s="1"/>
  <c r="CK74" i="10"/>
  <c r="CJ74" i="10"/>
  <c r="CJ91" i="10" s="1"/>
  <c r="CI74" i="10"/>
  <c r="CI91" i="10" s="1"/>
  <c r="CH74" i="10"/>
  <c r="CH91" i="10" s="1"/>
  <c r="CG74" i="10"/>
  <c r="CG91" i="10" s="1"/>
  <c r="CF74" i="10"/>
  <c r="CF91" i="10" s="1"/>
  <c r="CE74" i="10"/>
  <c r="CE91" i="10" s="1"/>
  <c r="CD74" i="10"/>
  <c r="CD91" i="10" s="1"/>
  <c r="CC74" i="10"/>
  <c r="CC91" i="10" s="1"/>
  <c r="CB74" i="10"/>
  <c r="CB91" i="10" s="1"/>
  <c r="CA74" i="10"/>
  <c r="BZ74" i="10"/>
  <c r="BZ91" i="10" s="1"/>
  <c r="BY74" i="10"/>
  <c r="BY91" i="10" s="1"/>
  <c r="BX74" i="10"/>
  <c r="BX91" i="10" s="1"/>
  <c r="BW74" i="10"/>
  <c r="BW91" i="10" s="1"/>
  <c r="BV74" i="10"/>
  <c r="BV91" i="10" s="1"/>
  <c r="BU74" i="10"/>
  <c r="BU91" i="10" s="1"/>
  <c r="BT74" i="10"/>
  <c r="BT91" i="10" s="1"/>
  <c r="BS74" i="10"/>
  <c r="BS91" i="10" s="1"/>
  <c r="BR74" i="10"/>
  <c r="BR91" i="10" s="1"/>
  <c r="BQ74" i="10"/>
  <c r="BQ91" i="10" s="1"/>
  <c r="BP74" i="10"/>
  <c r="BP91" i="10" s="1"/>
  <c r="BO74" i="10"/>
  <c r="BO91" i="10" s="1"/>
  <c r="BN74" i="10"/>
  <c r="BN91" i="10" s="1"/>
  <c r="BM74" i="10"/>
  <c r="BM91" i="10" s="1"/>
  <c r="BL74" i="10"/>
  <c r="BL91" i="10" s="1"/>
  <c r="BK74" i="10"/>
  <c r="BK91" i="10" s="1"/>
  <c r="BJ74" i="10"/>
  <c r="BJ91" i="10" s="1"/>
  <c r="BI74" i="10"/>
  <c r="BI91" i="10" s="1"/>
  <c r="BH74" i="10"/>
  <c r="BH91" i="10" s="1"/>
  <c r="BG74" i="10"/>
  <c r="BG91" i="10" s="1"/>
  <c r="BF74" i="10"/>
  <c r="BF91" i="10" s="1"/>
  <c r="BE74" i="10"/>
  <c r="BD74" i="10"/>
  <c r="BD91" i="10" s="1"/>
  <c r="BC74" i="10"/>
  <c r="BC91" i="10" s="1"/>
  <c r="BB74" i="10"/>
  <c r="BB91" i="10" s="1"/>
  <c r="BA74" i="10"/>
  <c r="BA91" i="10" s="1"/>
  <c r="AZ74" i="10"/>
  <c r="AZ91" i="10" s="1"/>
  <c r="AY74" i="10"/>
  <c r="AY91" i="10" s="1"/>
  <c r="AX74" i="10"/>
  <c r="AX91" i="10" s="1"/>
  <c r="AW74" i="10"/>
  <c r="AW91" i="10" s="1"/>
  <c r="AV74" i="10"/>
  <c r="AV91" i="10" s="1"/>
  <c r="AU74" i="10"/>
  <c r="AT74" i="10"/>
  <c r="AT91" i="10" s="1"/>
  <c r="AS74" i="10"/>
  <c r="AS91" i="10" s="1"/>
  <c r="AR74" i="10"/>
  <c r="AR91" i="10" s="1"/>
  <c r="AQ74" i="10"/>
  <c r="AQ91" i="10" s="1"/>
  <c r="AP74" i="10"/>
  <c r="AP91" i="10" s="1"/>
  <c r="AO74" i="10"/>
  <c r="AO91" i="10" s="1"/>
  <c r="AN74" i="10"/>
  <c r="AN91" i="10" s="1"/>
  <c r="AM74" i="10"/>
  <c r="AM91" i="10" s="1"/>
  <c r="AL74" i="10"/>
  <c r="AL91" i="10" s="1"/>
  <c r="AK74" i="10"/>
  <c r="AK91" i="10" s="1"/>
  <c r="AJ74" i="10"/>
  <c r="AJ91" i="10" s="1"/>
  <c r="AI74" i="10"/>
  <c r="AI91" i="10" s="1"/>
  <c r="AH74" i="10"/>
  <c r="AH91" i="10" s="1"/>
  <c r="AG74" i="10"/>
  <c r="AG91" i="10" s="1"/>
  <c r="AF74" i="10"/>
  <c r="AF91" i="10" s="1"/>
  <c r="AE74" i="10"/>
  <c r="AE91" i="10" s="1"/>
  <c r="AD74" i="10"/>
  <c r="AD91" i="10" s="1"/>
  <c r="AC74" i="10"/>
  <c r="AC91" i="10" s="1"/>
  <c r="AB74" i="10"/>
  <c r="AB91" i="10" s="1"/>
  <c r="AA74" i="10"/>
  <c r="AA91" i="10" s="1"/>
  <c r="Z74" i="10"/>
  <c r="Z91" i="10" s="1"/>
  <c r="Y74" i="10"/>
  <c r="X74" i="10"/>
  <c r="X91" i="10" s="1"/>
  <c r="W74" i="10"/>
  <c r="W91" i="10" s="1"/>
  <c r="V74" i="10"/>
  <c r="V91" i="10" s="1"/>
  <c r="U74" i="10"/>
  <c r="U91" i="10" s="1"/>
  <c r="T74" i="10"/>
  <c r="T91" i="10" s="1"/>
  <c r="S74" i="10"/>
  <c r="S91" i="10" s="1"/>
  <c r="R74" i="10"/>
  <c r="R91" i="10" s="1"/>
  <c r="Q74" i="10"/>
  <c r="Q91" i="10" s="1"/>
  <c r="P74" i="10"/>
  <c r="P91" i="10" s="1"/>
  <c r="O74" i="10"/>
  <c r="N74" i="10"/>
  <c r="N91" i="10" s="1"/>
  <c r="M74" i="10"/>
  <c r="M91" i="10" s="1"/>
  <c r="L74" i="10"/>
  <c r="L91" i="10" s="1"/>
  <c r="K74" i="10"/>
  <c r="K91" i="10" s="1"/>
  <c r="J74" i="10"/>
  <c r="J91" i="10" s="1"/>
  <c r="I74" i="10"/>
  <c r="I91" i="10" s="1"/>
  <c r="H74" i="10"/>
  <c r="H91" i="10" s="1"/>
  <c r="G74" i="10"/>
  <c r="G91" i="10" s="1"/>
  <c r="F74" i="10"/>
  <c r="F91" i="10" s="1"/>
  <c r="E74" i="10"/>
  <c r="E91" i="10" s="1"/>
  <c r="D74" i="10"/>
  <c r="CX73" i="10"/>
  <c r="CX90" i="10" s="1"/>
  <c r="CW73" i="10"/>
  <c r="CW90" i="10" s="1"/>
  <c r="CV73" i="10"/>
  <c r="CV90" i="10" s="1"/>
  <c r="CU73" i="10"/>
  <c r="CU90" i="10" s="1"/>
  <c r="CT73" i="10"/>
  <c r="CT90" i="10" s="1"/>
  <c r="CS73" i="10"/>
  <c r="CS90" i="10" s="1"/>
  <c r="CR73" i="10"/>
  <c r="CR90" i="10" s="1"/>
  <c r="CQ73" i="10"/>
  <c r="CQ90" i="10" s="1"/>
  <c r="CP73" i="10"/>
  <c r="CP90" i="10" s="1"/>
  <c r="CO73" i="10"/>
  <c r="CO90" i="10" s="1"/>
  <c r="CN73" i="10"/>
  <c r="CM73" i="10"/>
  <c r="CM90" i="10" s="1"/>
  <c r="CL73" i="10"/>
  <c r="CL90" i="10" s="1"/>
  <c r="CK73" i="10"/>
  <c r="CK90" i="10" s="1"/>
  <c r="CJ73" i="10"/>
  <c r="CJ90" i="10" s="1"/>
  <c r="CI73" i="10"/>
  <c r="CI90" i="10" s="1"/>
  <c r="CH73" i="10"/>
  <c r="CH90" i="10" s="1"/>
  <c r="CG73" i="10"/>
  <c r="CG90" i="10" s="1"/>
  <c r="CF73" i="10"/>
  <c r="CF90" i="10" s="1"/>
  <c r="CE73" i="10"/>
  <c r="CE90" i="10" s="1"/>
  <c r="CD73" i="10"/>
  <c r="CC73" i="10"/>
  <c r="CC90" i="10" s="1"/>
  <c r="CB73" i="10"/>
  <c r="CB90" i="10" s="1"/>
  <c r="CA73" i="10"/>
  <c r="CA90" i="10" s="1"/>
  <c r="BZ73" i="10"/>
  <c r="BZ90" i="10" s="1"/>
  <c r="BY73" i="10"/>
  <c r="BY90" i="10" s="1"/>
  <c r="BX73" i="10"/>
  <c r="BX90" i="10" s="1"/>
  <c r="BW73" i="10"/>
  <c r="BW90" i="10" s="1"/>
  <c r="BV73" i="10"/>
  <c r="BV90" i="10" s="1"/>
  <c r="BU73" i="10"/>
  <c r="BU90" i="10" s="1"/>
  <c r="BT73" i="10"/>
  <c r="BT90" i="10" s="1"/>
  <c r="BS73" i="10"/>
  <c r="BS90" i="10" s="1"/>
  <c r="BR73" i="10"/>
  <c r="BR90" i="10" s="1"/>
  <c r="BQ73" i="10"/>
  <c r="BQ90" i="10" s="1"/>
  <c r="BP73" i="10"/>
  <c r="BP90" i="10" s="1"/>
  <c r="BO73" i="10"/>
  <c r="BO90" i="10" s="1"/>
  <c r="BN73" i="10"/>
  <c r="BN90" i="10" s="1"/>
  <c r="BM73" i="10"/>
  <c r="BM90" i="10" s="1"/>
  <c r="BL73" i="10"/>
  <c r="BL90" i="10" s="1"/>
  <c r="BK73" i="10"/>
  <c r="BK90" i="10" s="1"/>
  <c r="BJ73" i="10"/>
  <c r="BJ90" i="10" s="1"/>
  <c r="BI73" i="10"/>
  <c r="BI90" i="10" s="1"/>
  <c r="BH73" i="10"/>
  <c r="BG73" i="10"/>
  <c r="BG90" i="10" s="1"/>
  <c r="BF73" i="10"/>
  <c r="BF90" i="10" s="1"/>
  <c r="BE73" i="10"/>
  <c r="BE90" i="10" s="1"/>
  <c r="BD73" i="10"/>
  <c r="BD90" i="10" s="1"/>
  <c r="BC73" i="10"/>
  <c r="BC90" i="10" s="1"/>
  <c r="BB73" i="10"/>
  <c r="BB90" i="10" s="1"/>
  <c r="BA73" i="10"/>
  <c r="BA90" i="10" s="1"/>
  <c r="AZ73" i="10"/>
  <c r="AZ90" i="10" s="1"/>
  <c r="AY73" i="10"/>
  <c r="AY90" i="10" s="1"/>
  <c r="AX73" i="10"/>
  <c r="AW73" i="10"/>
  <c r="AW90" i="10" s="1"/>
  <c r="AV73" i="10"/>
  <c r="AV90" i="10" s="1"/>
  <c r="AU73" i="10"/>
  <c r="AU90" i="10" s="1"/>
  <c r="AT73" i="10"/>
  <c r="AT90" i="10" s="1"/>
  <c r="AS73" i="10"/>
  <c r="AS90" i="10" s="1"/>
  <c r="AR73" i="10"/>
  <c r="AR90" i="10" s="1"/>
  <c r="AQ73" i="10"/>
  <c r="AQ90" i="10" s="1"/>
  <c r="AP73" i="10"/>
  <c r="AP90" i="10" s="1"/>
  <c r="AO73" i="10"/>
  <c r="AO90" i="10" s="1"/>
  <c r="AN73" i="10"/>
  <c r="AN90" i="10" s="1"/>
  <c r="AM73" i="10"/>
  <c r="AM90" i="10" s="1"/>
  <c r="AL73" i="10"/>
  <c r="AL90" i="10" s="1"/>
  <c r="AK73" i="10"/>
  <c r="AK90" i="10" s="1"/>
  <c r="AJ73" i="10"/>
  <c r="AJ90" i="10" s="1"/>
  <c r="AI73" i="10"/>
  <c r="AI90" i="10" s="1"/>
  <c r="AH73" i="10"/>
  <c r="AH90" i="10" s="1"/>
  <c r="AG73" i="10"/>
  <c r="AG90" i="10" s="1"/>
  <c r="AF73" i="10"/>
  <c r="AF90" i="10" s="1"/>
  <c r="AE73" i="10"/>
  <c r="AE90" i="10" s="1"/>
  <c r="AD73" i="10"/>
  <c r="AD90" i="10" s="1"/>
  <c r="AC73" i="10"/>
  <c r="AC90" i="10" s="1"/>
  <c r="AB73" i="10"/>
  <c r="AB90" i="10" s="1"/>
  <c r="AA73" i="10"/>
  <c r="AA90" i="10" s="1"/>
  <c r="Z73" i="10"/>
  <c r="Z90" i="10" s="1"/>
  <c r="Y73" i="10"/>
  <c r="Y90" i="10" s="1"/>
  <c r="X73" i="10"/>
  <c r="X90" i="10" s="1"/>
  <c r="W73" i="10"/>
  <c r="V73" i="10"/>
  <c r="V90" i="10" s="1"/>
  <c r="U73" i="10"/>
  <c r="U90" i="10" s="1"/>
  <c r="T73" i="10"/>
  <c r="T90" i="10" s="1"/>
  <c r="S73" i="10"/>
  <c r="S90" i="10" s="1"/>
  <c r="R73" i="10"/>
  <c r="R90" i="10" s="1"/>
  <c r="Q73" i="10"/>
  <c r="Q90" i="10" s="1"/>
  <c r="P73" i="10"/>
  <c r="P90" i="10" s="1"/>
  <c r="O73" i="10"/>
  <c r="O90" i="10" s="1"/>
  <c r="N73" i="10"/>
  <c r="N90" i="10" s="1"/>
  <c r="M73" i="10"/>
  <c r="M90" i="10" s="1"/>
  <c r="L73" i="10"/>
  <c r="L90" i="10" s="1"/>
  <c r="K73" i="10"/>
  <c r="K90" i="10" s="1"/>
  <c r="J73" i="10"/>
  <c r="J90" i="10" s="1"/>
  <c r="I73" i="10"/>
  <c r="I90" i="10" s="1"/>
  <c r="H73" i="10"/>
  <c r="H90" i="10" s="1"/>
  <c r="G73" i="10"/>
  <c r="G90" i="10" s="1"/>
  <c r="F73" i="10"/>
  <c r="F90" i="10" s="1"/>
  <c r="E73" i="10"/>
  <c r="E90" i="10" s="1"/>
  <c r="D73" i="10"/>
  <c r="D90" i="10" s="1"/>
  <c r="CX72" i="10"/>
  <c r="CX89" i="10" s="1"/>
  <c r="CW72" i="10"/>
  <c r="CW89" i="10" s="1"/>
  <c r="CV72" i="10"/>
  <c r="CV89" i="10" s="1"/>
  <c r="CU72" i="10"/>
  <c r="CU89" i="10" s="1"/>
  <c r="CT72" i="10"/>
  <c r="CT89" i="10" s="1"/>
  <c r="CS72" i="10"/>
  <c r="CS89" i="10" s="1"/>
  <c r="CR72" i="10"/>
  <c r="CR89" i="10" s="1"/>
  <c r="CQ72" i="10"/>
  <c r="CQ89" i="10" s="1"/>
  <c r="CP72" i="10"/>
  <c r="CP89" i="10" s="1"/>
  <c r="CO72" i="10"/>
  <c r="CO89" i="10" s="1"/>
  <c r="CN72" i="10"/>
  <c r="CN89" i="10" s="1"/>
  <c r="CM72" i="10"/>
  <c r="CM89" i="10" s="1"/>
  <c r="CL72" i="10"/>
  <c r="CK72" i="10"/>
  <c r="CK89" i="10" s="1"/>
  <c r="CJ72" i="10"/>
  <c r="CJ89" i="10" s="1"/>
  <c r="CI72" i="10"/>
  <c r="CI89" i="10" s="1"/>
  <c r="CH72" i="10"/>
  <c r="CH89" i="10" s="1"/>
  <c r="CG72" i="10"/>
  <c r="CG89" i="10" s="1"/>
  <c r="CF72" i="10"/>
  <c r="CF89" i="10" s="1"/>
  <c r="CE72" i="10"/>
  <c r="CE89" i="10" s="1"/>
  <c r="CD72" i="10"/>
  <c r="CD89" i="10" s="1"/>
  <c r="CC72" i="10"/>
  <c r="CC89" i="10" s="1"/>
  <c r="CB72" i="10"/>
  <c r="CB89" i="10" s="1"/>
  <c r="CA72" i="10"/>
  <c r="CA89" i="10" s="1"/>
  <c r="BZ72" i="10"/>
  <c r="BZ89" i="10" s="1"/>
  <c r="BY72" i="10"/>
  <c r="BY89" i="10" s="1"/>
  <c r="BX72" i="10"/>
  <c r="BX89" i="10" s="1"/>
  <c r="BW72" i="10"/>
  <c r="BV72" i="10"/>
  <c r="BV89" i="10" s="1"/>
  <c r="BU72" i="10"/>
  <c r="BU89" i="10" s="1"/>
  <c r="BT72" i="10"/>
  <c r="BT89" i="10" s="1"/>
  <c r="BS72" i="10"/>
  <c r="BS89" i="10" s="1"/>
  <c r="BR72" i="10"/>
  <c r="BR89" i="10" s="1"/>
  <c r="BQ72" i="10"/>
  <c r="BQ89" i="10" s="1"/>
  <c r="BP72" i="10"/>
  <c r="BP89" i="10" s="1"/>
  <c r="BO72" i="10"/>
  <c r="BO89" i="10" s="1"/>
  <c r="BN72" i="10"/>
  <c r="BN89" i="10" s="1"/>
  <c r="BM72" i="10"/>
  <c r="BL72" i="10"/>
  <c r="BL89" i="10" s="1"/>
  <c r="BK72" i="10"/>
  <c r="BK89" i="10" s="1"/>
  <c r="BJ72" i="10"/>
  <c r="BJ89" i="10" s="1"/>
  <c r="BI72" i="10"/>
  <c r="BI89" i="10" s="1"/>
  <c r="BH72" i="10"/>
  <c r="BH89" i="10" s="1"/>
  <c r="BG72" i="10"/>
  <c r="BF72" i="10"/>
  <c r="BF89" i="10" s="1"/>
  <c r="BE72" i="10"/>
  <c r="BE89" i="10" s="1"/>
  <c r="BD72" i="10"/>
  <c r="BD89" i="10" s="1"/>
  <c r="BC72" i="10"/>
  <c r="BC89" i="10" s="1"/>
  <c r="BB72" i="10"/>
  <c r="BB89" i="10" s="1"/>
  <c r="BA72" i="10"/>
  <c r="BA89" i="10" s="1"/>
  <c r="AZ72" i="10"/>
  <c r="AZ89" i="10" s="1"/>
  <c r="AY72" i="10"/>
  <c r="AY89" i="10" s="1"/>
  <c r="AX72" i="10"/>
  <c r="AX89" i="10" s="1"/>
  <c r="AW72" i="10"/>
  <c r="AV72" i="10"/>
  <c r="AV89" i="10" s="1"/>
  <c r="AU72" i="10"/>
  <c r="AU89" i="10" s="1"/>
  <c r="AT72" i="10"/>
  <c r="AT89" i="10" s="1"/>
  <c r="AS72" i="10"/>
  <c r="AS89" i="10" s="1"/>
  <c r="AR72" i="10"/>
  <c r="AR89" i="10" s="1"/>
  <c r="AQ72" i="10"/>
  <c r="AP72" i="10"/>
  <c r="AP89" i="10" s="1"/>
  <c r="AO72" i="10"/>
  <c r="AO89" i="10" s="1"/>
  <c r="AN72" i="10"/>
  <c r="AN89" i="10" s="1"/>
  <c r="AM72" i="10"/>
  <c r="AM89" i="10" s="1"/>
  <c r="AL72" i="10"/>
  <c r="AL89" i="10" s="1"/>
  <c r="AK72" i="10"/>
  <c r="AK89" i="10" s="1"/>
  <c r="AJ72" i="10"/>
  <c r="AJ89" i="10" s="1"/>
  <c r="AI72" i="10"/>
  <c r="AI89" i="10" s="1"/>
  <c r="AH72" i="10"/>
  <c r="AH89" i="10" s="1"/>
  <c r="AG72" i="10"/>
  <c r="AF72" i="10"/>
  <c r="AF89" i="10" s="1"/>
  <c r="AE72" i="10"/>
  <c r="AE89" i="10" s="1"/>
  <c r="AD72" i="10"/>
  <c r="AD89" i="10" s="1"/>
  <c r="AC72" i="10"/>
  <c r="AC89" i="10" s="1"/>
  <c r="AB72" i="10"/>
  <c r="AB89" i="10" s="1"/>
  <c r="AA72" i="10"/>
  <c r="Z72" i="10"/>
  <c r="Z89" i="10" s="1"/>
  <c r="Y72" i="10"/>
  <c r="Y89" i="10" s="1"/>
  <c r="X72" i="10"/>
  <c r="X89" i="10" s="1"/>
  <c r="W72" i="10"/>
  <c r="W89" i="10" s="1"/>
  <c r="V72" i="10"/>
  <c r="U72" i="10"/>
  <c r="U89" i="10" s="1"/>
  <c r="T72" i="10"/>
  <c r="T89" i="10" s="1"/>
  <c r="S72" i="10"/>
  <c r="S89" i="10" s="1"/>
  <c r="R72" i="10"/>
  <c r="R89" i="10" s="1"/>
  <c r="Q72" i="10"/>
  <c r="P72" i="10"/>
  <c r="P89" i="10" s="1"/>
  <c r="O72" i="10"/>
  <c r="O89" i="10" s="1"/>
  <c r="N72" i="10"/>
  <c r="N89" i="10" s="1"/>
  <c r="M72" i="10"/>
  <c r="M89" i="10" s="1"/>
  <c r="L72" i="10"/>
  <c r="L89" i="10" s="1"/>
  <c r="K72" i="10"/>
  <c r="J72" i="10"/>
  <c r="J89" i="10" s="1"/>
  <c r="I72" i="10"/>
  <c r="I89" i="10" s="1"/>
  <c r="H72" i="10"/>
  <c r="H89" i="10" s="1"/>
  <c r="G72" i="10"/>
  <c r="G89" i="10" s="1"/>
  <c r="F72" i="10"/>
  <c r="F89" i="10" s="1"/>
  <c r="E72" i="10"/>
  <c r="E89" i="10" s="1"/>
  <c r="D72" i="10"/>
  <c r="D89" i="10" s="1"/>
  <c r="CX71" i="10"/>
  <c r="CX88" i="10" s="1"/>
  <c r="CW71" i="10"/>
  <c r="CW88" i="10" s="1"/>
  <c r="CV71" i="10"/>
  <c r="CU71" i="10"/>
  <c r="CU88" i="10" s="1"/>
  <c r="CT71" i="10"/>
  <c r="CT88" i="10" s="1"/>
  <c r="CS71" i="10"/>
  <c r="CS88" i="10" s="1"/>
  <c r="CR71" i="10"/>
  <c r="CR88" i="10" s="1"/>
  <c r="CQ71" i="10"/>
  <c r="CQ88" i="10" s="1"/>
  <c r="CP71" i="10"/>
  <c r="CO71" i="10"/>
  <c r="CO88" i="10" s="1"/>
  <c r="CN71" i="10"/>
  <c r="CN88" i="10" s="1"/>
  <c r="CM71" i="10"/>
  <c r="CM88" i="10" s="1"/>
  <c r="CL71" i="10"/>
  <c r="CL88" i="10" s="1"/>
  <c r="CK71" i="10"/>
  <c r="CK88" i="10" s="1"/>
  <c r="CJ71" i="10"/>
  <c r="CJ88" i="10" s="1"/>
  <c r="CI71" i="10"/>
  <c r="CI88" i="10" s="1"/>
  <c r="CH71" i="10"/>
  <c r="CH88" i="10" s="1"/>
  <c r="CG71" i="10"/>
  <c r="CG88" i="10" s="1"/>
  <c r="CF71" i="10"/>
  <c r="CE71" i="10"/>
  <c r="CE88" i="10" s="1"/>
  <c r="CD71" i="10"/>
  <c r="CD88" i="10" s="1"/>
  <c r="CC71" i="10"/>
  <c r="CC88" i="10" s="1"/>
  <c r="CB71" i="10"/>
  <c r="CB88" i="10" s="1"/>
  <c r="CA71" i="10"/>
  <c r="CA88" i="10" s="1"/>
  <c r="BZ71" i="10"/>
  <c r="BY71" i="10"/>
  <c r="BY88" i="10" s="1"/>
  <c r="BX71" i="10"/>
  <c r="BX88" i="10" s="1"/>
  <c r="BW71" i="10"/>
  <c r="BW88" i="10" s="1"/>
  <c r="BV71" i="10"/>
  <c r="BV88" i="10" s="1"/>
  <c r="BU71" i="10"/>
  <c r="BU88" i="10" s="1"/>
  <c r="BT71" i="10"/>
  <c r="BT88" i="10" s="1"/>
  <c r="BS71" i="10"/>
  <c r="BS88" i="10" s="1"/>
  <c r="BR71" i="10"/>
  <c r="BR88" i="10" s="1"/>
  <c r="BQ71" i="10"/>
  <c r="BQ88" i="10" s="1"/>
  <c r="BP71" i="10"/>
  <c r="BO71" i="10"/>
  <c r="BO88" i="10" s="1"/>
  <c r="BN71" i="10"/>
  <c r="BN88" i="10" s="1"/>
  <c r="BM71" i="10"/>
  <c r="BM88" i="10" s="1"/>
  <c r="BL71" i="10"/>
  <c r="BL88" i="10" s="1"/>
  <c r="BK71" i="10"/>
  <c r="BK88" i="10" s="1"/>
  <c r="BJ71" i="10"/>
  <c r="BI71" i="10"/>
  <c r="BI88" i="10" s="1"/>
  <c r="BH71" i="10"/>
  <c r="BH88" i="10" s="1"/>
  <c r="BG71" i="10"/>
  <c r="BG88" i="10" s="1"/>
  <c r="BF71" i="10"/>
  <c r="BF88" i="10" s="1"/>
  <c r="BE71" i="10"/>
  <c r="BD71" i="10"/>
  <c r="BD88" i="10" s="1"/>
  <c r="BC71" i="10"/>
  <c r="BC88" i="10" s="1"/>
  <c r="BB71" i="10"/>
  <c r="BB88" i="10" s="1"/>
  <c r="BA71" i="10"/>
  <c r="BA88" i="10" s="1"/>
  <c r="AZ71" i="10"/>
  <c r="AY71" i="10"/>
  <c r="AY88" i="10" s="1"/>
  <c r="AX71" i="10"/>
  <c r="AX88" i="10" s="1"/>
  <c r="AW71" i="10"/>
  <c r="AW88" i="10" s="1"/>
  <c r="AV71" i="10"/>
  <c r="AV88" i="10" s="1"/>
  <c r="AU71" i="10"/>
  <c r="AU88" i="10" s="1"/>
  <c r="AT71" i="10"/>
  <c r="AS71" i="10"/>
  <c r="AS88" i="10" s="1"/>
  <c r="AR71" i="10"/>
  <c r="AR88" i="10" s="1"/>
  <c r="AQ71" i="10"/>
  <c r="AQ88" i="10" s="1"/>
  <c r="AP71" i="10"/>
  <c r="AP88" i="10" s="1"/>
  <c r="AO71" i="10"/>
  <c r="AO88" i="10" s="1"/>
  <c r="AN71" i="10"/>
  <c r="AN88" i="10" s="1"/>
  <c r="AM71" i="10"/>
  <c r="AM88" i="10" s="1"/>
  <c r="AL71" i="10"/>
  <c r="AL88" i="10" s="1"/>
  <c r="AK71" i="10"/>
  <c r="AK88" i="10" s="1"/>
  <c r="AJ71" i="10"/>
  <c r="AI71" i="10"/>
  <c r="AI88" i="10" s="1"/>
  <c r="AH71" i="10"/>
  <c r="AH88" i="10" s="1"/>
  <c r="AG71" i="10"/>
  <c r="AG88" i="10" s="1"/>
  <c r="AF71" i="10"/>
  <c r="AF88" i="10" s="1"/>
  <c r="AE71" i="10"/>
  <c r="AE88" i="10" s="1"/>
  <c r="AD71" i="10"/>
  <c r="AD88" i="10" s="1"/>
  <c r="AC71" i="10"/>
  <c r="AC88" i="10" s="1"/>
  <c r="AB71" i="10"/>
  <c r="AB88" i="10" s="1"/>
  <c r="AA71" i="10"/>
  <c r="AA88" i="10" s="1"/>
  <c r="Z71" i="10"/>
  <c r="Z88" i="10" s="1"/>
  <c r="Y71" i="10"/>
  <c r="Y88" i="10" s="1"/>
  <c r="X71" i="10"/>
  <c r="X88" i="10" s="1"/>
  <c r="W71" i="10"/>
  <c r="W88" i="10" s="1"/>
  <c r="V71" i="10"/>
  <c r="V88" i="10" s="1"/>
  <c r="U71" i="10"/>
  <c r="U88" i="10" s="1"/>
  <c r="T71" i="10"/>
  <c r="S71" i="10"/>
  <c r="S88" i="10" s="1"/>
  <c r="R71" i="10"/>
  <c r="R88" i="10" s="1"/>
  <c r="Q71" i="10"/>
  <c r="Q88" i="10" s="1"/>
  <c r="P71" i="10"/>
  <c r="P88" i="10" s="1"/>
  <c r="O71" i="10"/>
  <c r="O88" i="10" s="1"/>
  <c r="N71" i="10"/>
  <c r="N88" i="10" s="1"/>
  <c r="M71" i="10"/>
  <c r="M88" i="10" s="1"/>
  <c r="L71" i="10"/>
  <c r="L88" i="10" s="1"/>
  <c r="K71" i="10"/>
  <c r="K88" i="10" s="1"/>
  <c r="J71" i="10"/>
  <c r="J88" i="10" s="1"/>
  <c r="I71" i="10"/>
  <c r="I88" i="10" s="1"/>
  <c r="H71" i="10"/>
  <c r="H88" i="10" s="1"/>
  <c r="G71" i="10"/>
  <c r="G88" i="10" s="1"/>
  <c r="F71" i="10"/>
  <c r="F88" i="10" s="1"/>
  <c r="E71" i="10"/>
  <c r="E88" i="10" s="1"/>
  <c r="D71" i="10"/>
  <c r="CX70" i="10"/>
  <c r="CX87" i="10" s="1"/>
  <c r="CW70" i="10"/>
  <c r="CW87" i="10" s="1"/>
  <c r="CV70" i="10"/>
  <c r="CV87" i="10" s="1"/>
  <c r="CU70" i="10"/>
  <c r="CU87" i="10" s="1"/>
  <c r="CT70" i="10"/>
  <c r="CT87" i="10" s="1"/>
  <c r="CS70" i="10"/>
  <c r="CS87" i="10" s="1"/>
  <c r="CR70" i="10"/>
  <c r="CR87" i="10" s="1"/>
  <c r="CQ70" i="10"/>
  <c r="CQ87" i="10" s="1"/>
  <c r="CP70" i="10"/>
  <c r="CP87" i="10" s="1"/>
  <c r="CO70" i="10"/>
  <c r="CO87" i="10" s="1"/>
  <c r="CN70" i="10"/>
  <c r="CM70" i="10"/>
  <c r="CM87" i="10" s="1"/>
  <c r="CL70" i="10"/>
  <c r="CL87" i="10" s="1"/>
  <c r="CK70" i="10"/>
  <c r="CK87" i="10" s="1"/>
  <c r="CJ70" i="10"/>
  <c r="CJ87" i="10" s="1"/>
  <c r="CI70" i="10"/>
  <c r="CH70" i="10"/>
  <c r="CH87" i="10" s="1"/>
  <c r="CG70" i="10"/>
  <c r="CG87" i="10" s="1"/>
  <c r="CF70" i="10"/>
  <c r="CF87" i="10" s="1"/>
  <c r="CE70" i="10"/>
  <c r="CE87" i="10" s="1"/>
  <c r="CD70" i="10"/>
  <c r="CD87" i="10" s="1"/>
  <c r="CC70" i="10"/>
  <c r="CC87" i="10" s="1"/>
  <c r="CB70" i="10"/>
  <c r="CB87" i="10" s="1"/>
  <c r="CA70" i="10"/>
  <c r="CA87" i="10" s="1"/>
  <c r="BZ70" i="10"/>
  <c r="BZ87" i="10" s="1"/>
  <c r="BY70" i="10"/>
  <c r="BY87" i="10" s="1"/>
  <c r="BX70" i="10"/>
  <c r="BX87" i="10" s="1"/>
  <c r="BW70" i="10"/>
  <c r="BW87" i="10" s="1"/>
  <c r="BV70" i="10"/>
  <c r="BV87" i="10" s="1"/>
  <c r="BU70" i="10"/>
  <c r="BU87" i="10" s="1"/>
  <c r="BT70" i="10"/>
  <c r="BT87" i="10" s="1"/>
  <c r="BS70" i="10"/>
  <c r="BR70" i="10"/>
  <c r="BR87" i="10" s="1"/>
  <c r="BQ70" i="10"/>
  <c r="BQ87" i="10" s="1"/>
  <c r="BP70" i="10"/>
  <c r="BP87" i="10" s="1"/>
  <c r="BO70" i="10"/>
  <c r="BO87" i="10" s="1"/>
  <c r="BN70" i="10"/>
  <c r="BN87" i="10" s="1"/>
  <c r="BM70" i="10"/>
  <c r="BM87" i="10" s="1"/>
  <c r="BL70" i="10"/>
  <c r="BL87" i="10" s="1"/>
  <c r="BK70" i="10"/>
  <c r="BK87" i="10" s="1"/>
  <c r="BJ70" i="10"/>
  <c r="BJ87" i="10" s="1"/>
  <c r="BI70" i="10"/>
  <c r="BI87" i="10" s="1"/>
  <c r="BH70" i="10"/>
  <c r="BH87" i="10" s="1"/>
  <c r="BG70" i="10"/>
  <c r="BG87" i="10" s="1"/>
  <c r="BF70" i="10"/>
  <c r="BF87" i="10" s="1"/>
  <c r="BE70" i="10"/>
  <c r="BE87" i="10" s="1"/>
  <c r="BD70" i="10"/>
  <c r="BD87" i="10" s="1"/>
  <c r="BC70" i="10"/>
  <c r="BB70" i="10"/>
  <c r="BB87" i="10" s="1"/>
  <c r="BA70" i="10"/>
  <c r="BA87" i="10" s="1"/>
  <c r="AZ70" i="10"/>
  <c r="AZ87" i="10" s="1"/>
  <c r="AY70" i="10"/>
  <c r="AY87" i="10" s="1"/>
  <c r="AX70" i="10"/>
  <c r="AX87" i="10" s="1"/>
  <c r="AW70" i="10"/>
  <c r="AV70" i="10"/>
  <c r="AV87" i="10" s="1"/>
  <c r="AU70" i="10"/>
  <c r="AU87" i="10" s="1"/>
  <c r="AT70" i="10"/>
  <c r="AT87" i="10" s="1"/>
  <c r="AS70" i="10"/>
  <c r="AS87" i="10" s="1"/>
  <c r="AR70" i="10"/>
  <c r="AR87" i="10" s="1"/>
  <c r="AQ70" i="10"/>
  <c r="AQ87" i="10" s="1"/>
  <c r="AP70" i="10"/>
  <c r="AP87" i="10" s="1"/>
  <c r="AO70" i="10"/>
  <c r="AO87" i="10" s="1"/>
  <c r="AN70" i="10"/>
  <c r="AN87" i="10" s="1"/>
  <c r="AM70" i="10"/>
  <c r="AL70" i="10"/>
  <c r="AL87" i="10" s="1"/>
  <c r="AK70" i="10"/>
  <c r="AK87" i="10" s="1"/>
  <c r="AJ70" i="10"/>
  <c r="AJ87" i="10" s="1"/>
  <c r="AI70" i="10"/>
  <c r="AI87" i="10" s="1"/>
  <c r="AH70" i="10"/>
  <c r="AH87" i="10" s="1"/>
  <c r="AG70" i="10"/>
  <c r="AG87" i="10" s="1"/>
  <c r="AF70" i="10"/>
  <c r="AF87" i="10" s="1"/>
  <c r="AE70" i="10"/>
  <c r="AE87" i="10" s="1"/>
  <c r="AD70" i="10"/>
  <c r="AD87" i="10" s="1"/>
  <c r="AC70" i="10"/>
  <c r="AC87" i="10" s="1"/>
  <c r="AB70" i="10"/>
  <c r="AA70" i="10"/>
  <c r="AA87" i="10" s="1"/>
  <c r="Z70" i="10"/>
  <c r="Z87" i="10" s="1"/>
  <c r="Y70" i="10"/>
  <c r="Y87" i="10" s="1"/>
  <c r="X70" i="10"/>
  <c r="X87" i="10" s="1"/>
  <c r="W70" i="10"/>
  <c r="V70" i="10"/>
  <c r="V87" i="10" s="1"/>
  <c r="U70" i="10"/>
  <c r="U87" i="10" s="1"/>
  <c r="T70" i="10"/>
  <c r="T87" i="10" s="1"/>
  <c r="S70" i="10"/>
  <c r="S87" i="10" s="1"/>
  <c r="R70" i="10"/>
  <c r="R87" i="10" s="1"/>
  <c r="Q70" i="10"/>
  <c r="Q87" i="10" s="1"/>
  <c r="P70" i="10"/>
  <c r="P87" i="10" s="1"/>
  <c r="O70" i="10"/>
  <c r="O87" i="10" s="1"/>
  <c r="N70" i="10"/>
  <c r="N87" i="10" s="1"/>
  <c r="M70" i="10"/>
  <c r="M87" i="10" s="1"/>
  <c r="L70" i="10"/>
  <c r="L87" i="10" s="1"/>
  <c r="K70" i="10"/>
  <c r="K87" i="10" s="1"/>
  <c r="J70" i="10"/>
  <c r="J87" i="10" s="1"/>
  <c r="I70" i="10"/>
  <c r="I87" i="10" s="1"/>
  <c r="H70" i="10"/>
  <c r="H87" i="10" s="1"/>
  <c r="G70" i="10"/>
  <c r="F70" i="10"/>
  <c r="F87" i="10" s="1"/>
  <c r="E70" i="10"/>
  <c r="E87" i="10" s="1"/>
  <c r="D70" i="10"/>
  <c r="D87" i="10" s="1"/>
  <c r="CX69" i="10"/>
  <c r="CX86" i="10" s="1"/>
  <c r="CW69" i="10"/>
  <c r="CW86" i="10" s="1"/>
  <c r="CV69" i="10"/>
  <c r="CV86" i="10" s="1"/>
  <c r="CU69" i="10"/>
  <c r="CU86" i="10" s="1"/>
  <c r="CT69" i="10"/>
  <c r="CT86" i="10" s="1"/>
  <c r="CS69" i="10"/>
  <c r="CS86" i="10" s="1"/>
  <c r="CR69" i="10"/>
  <c r="CR86" i="10" s="1"/>
  <c r="CQ69" i="10"/>
  <c r="CQ86" i="10" s="1"/>
  <c r="CP69" i="10"/>
  <c r="CP86" i="10" s="1"/>
  <c r="CO69" i="10"/>
  <c r="CO86" i="10" s="1"/>
  <c r="CN69" i="10"/>
  <c r="CN86" i="10" s="1"/>
  <c r="CM69" i="10"/>
  <c r="CM86" i="10" s="1"/>
  <c r="CL69" i="10"/>
  <c r="CL86" i="10" s="1"/>
  <c r="CK69" i="10"/>
  <c r="CK86" i="10" s="1"/>
  <c r="CJ69" i="10"/>
  <c r="CJ86" i="10" s="1"/>
  <c r="CI69" i="10"/>
  <c r="CI86" i="10" s="1"/>
  <c r="CH69" i="10"/>
  <c r="CH86" i="10" s="1"/>
  <c r="CG69" i="10"/>
  <c r="CG86" i="10" s="1"/>
  <c r="CF69" i="10"/>
  <c r="CF86" i="10" s="1"/>
  <c r="CE69" i="10"/>
  <c r="CE86" i="10" s="1"/>
  <c r="CD69" i="10"/>
  <c r="CD86" i="10" s="1"/>
  <c r="CC69" i="10"/>
  <c r="CC86" i="10" s="1"/>
  <c r="CB69" i="10"/>
  <c r="CB86" i="10" s="1"/>
  <c r="CA69" i="10"/>
  <c r="CA86" i="10" s="1"/>
  <c r="BZ69" i="10"/>
  <c r="BZ86" i="10" s="1"/>
  <c r="BY69" i="10"/>
  <c r="BY86" i="10" s="1"/>
  <c r="BX69" i="10"/>
  <c r="BX86" i="10" s="1"/>
  <c r="BW69" i="10"/>
  <c r="BW86" i="10" s="1"/>
  <c r="BV69" i="10"/>
  <c r="BV86" i="10" s="1"/>
  <c r="BU69" i="10"/>
  <c r="BU86" i="10" s="1"/>
  <c r="BT69" i="10"/>
  <c r="BT86" i="10" s="1"/>
  <c r="BS69" i="10"/>
  <c r="BS86" i="10" s="1"/>
  <c r="BR69" i="10"/>
  <c r="BR86" i="10" s="1"/>
  <c r="BQ69" i="10"/>
  <c r="BQ86" i="10" s="1"/>
  <c r="BP69" i="10"/>
  <c r="BP86" i="10" s="1"/>
  <c r="BO69" i="10"/>
  <c r="BO86" i="10" s="1"/>
  <c r="BN69" i="10"/>
  <c r="BN86" i="10" s="1"/>
  <c r="BM69" i="10"/>
  <c r="BM86" i="10" s="1"/>
  <c r="BL69" i="10"/>
  <c r="BL86" i="10" s="1"/>
  <c r="BK69" i="10"/>
  <c r="BK86" i="10" s="1"/>
  <c r="BJ69" i="10"/>
  <c r="BJ86" i="10" s="1"/>
  <c r="BI69" i="10"/>
  <c r="BI86" i="10" s="1"/>
  <c r="BH69" i="10"/>
  <c r="BH86" i="10" s="1"/>
  <c r="BG69" i="10"/>
  <c r="BG86" i="10" s="1"/>
  <c r="BF69" i="10"/>
  <c r="BF86" i="10" s="1"/>
  <c r="BE69" i="10"/>
  <c r="BE86" i="10" s="1"/>
  <c r="BD69" i="10"/>
  <c r="BD86" i="10" s="1"/>
  <c r="BC69" i="10"/>
  <c r="BC86" i="10" s="1"/>
  <c r="BB69" i="10"/>
  <c r="BB86" i="10" s="1"/>
  <c r="BA69" i="10"/>
  <c r="BA86" i="10" s="1"/>
  <c r="AZ69" i="10"/>
  <c r="AZ86" i="10" s="1"/>
  <c r="AY69" i="10"/>
  <c r="AY86" i="10" s="1"/>
  <c r="AX69" i="10"/>
  <c r="AX86" i="10" s="1"/>
  <c r="AW69" i="10"/>
  <c r="AW86" i="10" s="1"/>
  <c r="AV69" i="10"/>
  <c r="AV86" i="10" s="1"/>
  <c r="AU69" i="10"/>
  <c r="AU86" i="10" s="1"/>
  <c r="AT69" i="10"/>
  <c r="AT86" i="10" s="1"/>
  <c r="AS69" i="10"/>
  <c r="AS86" i="10" s="1"/>
  <c r="AR69" i="10"/>
  <c r="AR86" i="10" s="1"/>
  <c r="AQ69" i="10"/>
  <c r="AQ86" i="10" s="1"/>
  <c r="AP69" i="10"/>
  <c r="AP86" i="10" s="1"/>
  <c r="AO69" i="10"/>
  <c r="AO86" i="10" s="1"/>
  <c r="AN69" i="10"/>
  <c r="AM69" i="10"/>
  <c r="AM86" i="10" s="1"/>
  <c r="AL69" i="10"/>
  <c r="AL86" i="10" s="1"/>
  <c r="AK69" i="10"/>
  <c r="AK86" i="10" s="1"/>
  <c r="AJ69" i="10"/>
  <c r="AJ86" i="10" s="1"/>
  <c r="AI69" i="10"/>
  <c r="AI86" i="10" s="1"/>
  <c r="AH69" i="10"/>
  <c r="AH86" i="10" s="1"/>
  <c r="AG69" i="10"/>
  <c r="AG86" i="10" s="1"/>
  <c r="AF69" i="10"/>
  <c r="AF86" i="10" s="1"/>
  <c r="AE69" i="10"/>
  <c r="AE86" i="10" s="1"/>
  <c r="AD69" i="10"/>
  <c r="AD86" i="10" s="1"/>
  <c r="AC69" i="10"/>
  <c r="AC86" i="10" s="1"/>
  <c r="AB69" i="10"/>
  <c r="AB86" i="10" s="1"/>
  <c r="AA69" i="10"/>
  <c r="AA86" i="10" s="1"/>
  <c r="Z69" i="10"/>
  <c r="Z86" i="10" s="1"/>
  <c r="Y69" i="10"/>
  <c r="Y86" i="10" s="1"/>
  <c r="X69" i="10"/>
  <c r="X86" i="10" s="1"/>
  <c r="W69" i="10"/>
  <c r="W86" i="10" s="1"/>
  <c r="V69" i="10"/>
  <c r="V86" i="10" s="1"/>
  <c r="U69" i="10"/>
  <c r="U86" i="10" s="1"/>
  <c r="T69" i="10"/>
  <c r="T86" i="10" s="1"/>
  <c r="S69" i="10"/>
  <c r="S86" i="10" s="1"/>
  <c r="R69" i="10"/>
  <c r="R86" i="10" s="1"/>
  <c r="Q69" i="10"/>
  <c r="Q86" i="10" s="1"/>
  <c r="P69" i="10"/>
  <c r="P86" i="10" s="1"/>
  <c r="O69" i="10"/>
  <c r="O86" i="10" s="1"/>
  <c r="N69" i="10"/>
  <c r="N86" i="10" s="1"/>
  <c r="M69" i="10"/>
  <c r="M86" i="10" s="1"/>
  <c r="L69" i="10"/>
  <c r="L86" i="10" s="1"/>
  <c r="K69" i="10"/>
  <c r="K86" i="10" s="1"/>
  <c r="J69" i="10"/>
  <c r="J86" i="10" s="1"/>
  <c r="I69" i="10"/>
  <c r="I86" i="10" s="1"/>
  <c r="H69" i="10"/>
  <c r="H86" i="10" s="1"/>
  <c r="G69" i="10"/>
  <c r="G86" i="10" s="1"/>
  <c r="F69" i="10"/>
  <c r="F86" i="10" s="1"/>
  <c r="E69" i="10"/>
  <c r="E86" i="10" s="1"/>
  <c r="D69" i="10"/>
  <c r="D86" i="10" s="1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W68" i="10"/>
  <c r="V68" i="10"/>
  <c r="U68" i="10"/>
  <c r="T68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W67" i="10"/>
  <c r="V67" i="10"/>
  <c r="U67" i="10"/>
  <c r="T67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W66" i="10"/>
  <c r="V66" i="10"/>
  <c r="U66" i="10"/>
  <c r="T66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W65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W64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X63" i="10"/>
  <c r="CQ63" i="10"/>
  <c r="CM63" i="10"/>
  <c r="CL63" i="10"/>
  <c r="CH63" i="10"/>
  <c r="CA63" i="10"/>
  <c r="BW63" i="10"/>
  <c r="BV63" i="10"/>
  <c r="BR63" i="10"/>
  <c r="BM63" i="10"/>
  <c r="BK63" i="10"/>
  <c r="BG63" i="10"/>
  <c r="BF63" i="10"/>
  <c r="BB63" i="10"/>
  <c r="AW63" i="10"/>
  <c r="AU63" i="10"/>
  <c r="AQ63" i="10"/>
  <c r="AP63" i="10"/>
  <c r="AL63" i="10"/>
  <c r="AE63" i="10"/>
  <c r="AA63" i="10"/>
  <c r="Z63" i="10"/>
  <c r="V63" i="10"/>
  <c r="O63" i="10"/>
  <c r="K63" i="10"/>
  <c r="J63" i="10"/>
  <c r="F63" i="10"/>
  <c r="CV62" i="10"/>
  <c r="CT62" i="10"/>
  <c r="CP62" i="10"/>
  <c r="CO62" i="10"/>
  <c r="CK62" i="10"/>
  <c r="CD62" i="10"/>
  <c r="BZ62" i="10"/>
  <c r="BY62" i="10"/>
  <c r="BU62" i="10"/>
  <c r="BN62" i="10"/>
  <c r="BJ62" i="10"/>
  <c r="BI62" i="10"/>
  <c r="BE62" i="10"/>
  <c r="AX62" i="10"/>
  <c r="AT62" i="10"/>
  <c r="AS62" i="10"/>
  <c r="AO62" i="10"/>
  <c r="AJ62" i="10"/>
  <c r="AH62" i="10"/>
  <c r="AD62" i="10"/>
  <c r="AC62" i="10"/>
  <c r="Y62" i="10"/>
  <c r="U62" i="10"/>
  <c r="Q62" i="10"/>
  <c r="M62" i="10"/>
  <c r="I62" i="10"/>
  <c r="E62" i="10"/>
  <c r="CV61" i="10"/>
  <c r="CR61" i="10"/>
  <c r="CN61" i="10"/>
  <c r="CJ61" i="10"/>
  <c r="CF61" i="10"/>
  <c r="CB61" i="10"/>
  <c r="BX61" i="10"/>
  <c r="BT61" i="10"/>
  <c r="BP61" i="10"/>
  <c r="BO61" i="10"/>
  <c r="BL61" i="10"/>
  <c r="BH61" i="10"/>
  <c r="BG61" i="10"/>
  <c r="BD61" i="10"/>
  <c r="AZ61" i="10"/>
  <c r="AY61" i="10"/>
  <c r="AV61" i="10"/>
  <c r="AR61" i="10"/>
  <c r="AQ61" i="10"/>
  <c r="AN61" i="10"/>
  <c r="AJ61" i="10"/>
  <c r="AI61" i="10"/>
  <c r="AF61" i="10"/>
  <c r="AB61" i="10"/>
  <c r="AA61" i="10"/>
  <c r="X61" i="10"/>
  <c r="T61" i="10"/>
  <c r="S61" i="10"/>
  <c r="P61" i="10"/>
  <c r="L61" i="10"/>
  <c r="K61" i="10"/>
  <c r="H61" i="10"/>
  <c r="D61" i="10"/>
  <c r="CX60" i="10"/>
  <c r="CU60" i="10"/>
  <c r="CQ60" i="10"/>
  <c r="CP60" i="10"/>
  <c r="CM60" i="10"/>
  <c r="CI60" i="10"/>
  <c r="CH60" i="10"/>
  <c r="CE60" i="10"/>
  <c r="CA60" i="10"/>
  <c r="BZ60" i="10"/>
  <c r="BW60" i="10"/>
  <c r="BS60" i="10"/>
  <c r="BR60" i="10"/>
  <c r="BO60" i="10"/>
  <c r="BK60" i="10"/>
  <c r="BJ60" i="10"/>
  <c r="BG60" i="10"/>
  <c r="BC60" i="10"/>
  <c r="BB60" i="10"/>
  <c r="AY60" i="10"/>
  <c r="AU60" i="10"/>
  <c r="AT60" i="10"/>
  <c r="AQ60" i="10"/>
  <c r="AM60" i="10"/>
  <c r="AL60" i="10"/>
  <c r="AI60" i="10"/>
  <c r="AE60" i="10"/>
  <c r="AD60" i="10"/>
  <c r="AA60" i="10"/>
  <c r="W60" i="10"/>
  <c r="V60" i="10"/>
  <c r="S60" i="10"/>
  <c r="O60" i="10"/>
  <c r="N60" i="10"/>
  <c r="K60" i="10"/>
  <c r="G60" i="10"/>
  <c r="F60" i="10"/>
  <c r="CX59" i="10"/>
  <c r="CT59" i="10"/>
  <c r="CS59" i="10"/>
  <c r="CP59" i="10"/>
  <c r="CL59" i="10"/>
  <c r="CK59" i="10"/>
  <c r="CH59" i="10"/>
  <c r="CD59" i="10"/>
  <c r="CC59" i="10"/>
  <c r="BZ59" i="10"/>
  <c r="BV59" i="10"/>
  <c r="BU59" i="10"/>
  <c r="BR59" i="10"/>
  <c r="BN59" i="10"/>
  <c r="BM59" i="10"/>
  <c r="BJ59" i="10"/>
  <c r="BF59" i="10"/>
  <c r="BE59" i="10"/>
  <c r="BB59" i="10"/>
  <c r="AX59" i="10"/>
  <c r="AW59" i="10"/>
  <c r="AT59" i="10"/>
  <c r="AP59" i="10"/>
  <c r="AO59" i="10"/>
  <c r="AL59" i="10"/>
  <c r="AH59" i="10"/>
  <c r="AG59" i="10"/>
  <c r="AD59" i="10"/>
  <c r="Z59" i="10"/>
  <c r="Y59" i="10"/>
  <c r="V59" i="10"/>
  <c r="R59" i="10"/>
  <c r="Q59" i="10"/>
  <c r="N59" i="10"/>
  <c r="J59" i="10"/>
  <c r="I59" i="10"/>
  <c r="F59" i="10"/>
  <c r="CW58" i="10"/>
  <c r="CV58" i="10"/>
  <c r="CS58" i="10"/>
  <c r="CO58" i="10"/>
  <c r="CN58" i="10"/>
  <c r="CK58" i="10"/>
  <c r="CG58" i="10"/>
  <c r="CF58" i="10"/>
  <c r="CC58" i="10"/>
  <c r="BY58" i="10"/>
  <c r="BX58" i="10"/>
  <c r="BU58" i="10"/>
  <c r="BQ58" i="10"/>
  <c r="BP58" i="10"/>
  <c r="BM58" i="10"/>
  <c r="BI58" i="10"/>
  <c r="BH58" i="10"/>
  <c r="BE58" i="10"/>
  <c r="BA58" i="10"/>
  <c r="AZ58" i="10"/>
  <c r="AW58" i="10"/>
  <c r="AS58" i="10"/>
  <c r="AR58" i="10"/>
  <c r="AO58" i="10"/>
  <c r="AK58" i="10"/>
  <c r="AJ58" i="10"/>
  <c r="AG58" i="10"/>
  <c r="AC58" i="10"/>
  <c r="AB58" i="10"/>
  <c r="Y58" i="10"/>
  <c r="U58" i="10"/>
  <c r="T58" i="10"/>
  <c r="Q58" i="10"/>
  <c r="M58" i="10"/>
  <c r="L58" i="10"/>
  <c r="I58" i="10"/>
  <c r="E58" i="10"/>
  <c r="D58" i="10"/>
  <c r="CV57" i="10"/>
  <c r="CR57" i="10"/>
  <c r="CQ57" i="10"/>
  <c r="CN57" i="10"/>
  <c r="CJ57" i="10"/>
  <c r="CI57" i="10"/>
  <c r="CF57" i="10"/>
  <c r="CB57" i="10"/>
  <c r="CA57" i="10"/>
  <c r="BX57" i="10"/>
  <c r="BT57" i="10"/>
  <c r="BS57" i="10"/>
  <c r="BP57" i="10"/>
  <c r="BL57" i="10"/>
  <c r="BK57" i="10"/>
  <c r="BH57" i="10"/>
  <c r="BD57" i="10"/>
  <c r="BC57" i="10"/>
  <c r="AZ57" i="10"/>
  <c r="AV57" i="10"/>
  <c r="AU57" i="10"/>
  <c r="AR57" i="10"/>
  <c r="AN57" i="10"/>
  <c r="AM57" i="10"/>
  <c r="AJ57" i="10"/>
  <c r="AF57" i="10"/>
  <c r="AE57" i="10"/>
  <c r="AB57" i="10"/>
  <c r="X57" i="10"/>
  <c r="W57" i="10"/>
  <c r="T57" i="10"/>
  <c r="P57" i="10"/>
  <c r="O57" i="10"/>
  <c r="L57" i="10"/>
  <c r="H57" i="10"/>
  <c r="G57" i="10"/>
  <c r="D57" i="10"/>
  <c r="CU56" i="10"/>
  <c r="CT56" i="10"/>
  <c r="CQ56" i="10"/>
  <c r="CM56" i="10"/>
  <c r="CL56" i="10"/>
  <c r="CI56" i="10"/>
  <c r="CE56" i="10"/>
  <c r="CD56" i="10"/>
  <c r="CA56" i="10"/>
  <c r="BW56" i="10"/>
  <c r="BV56" i="10"/>
  <c r="BS56" i="10"/>
  <c r="BO56" i="10"/>
  <c r="BN56" i="10"/>
  <c r="BK56" i="10"/>
  <c r="BG56" i="10"/>
  <c r="BF56" i="10"/>
  <c r="BC56" i="10"/>
  <c r="AY56" i="10"/>
  <c r="AX56" i="10"/>
  <c r="AU56" i="10"/>
  <c r="AQ56" i="10"/>
  <c r="AP56" i="10"/>
  <c r="AM56" i="10"/>
  <c r="AI56" i="10"/>
  <c r="AH56" i="10"/>
  <c r="AE56" i="10"/>
  <c r="AA56" i="10"/>
  <c r="Z56" i="10"/>
  <c r="W56" i="10"/>
  <c r="S56" i="10"/>
  <c r="R56" i="10"/>
  <c r="O56" i="10"/>
  <c r="K56" i="10"/>
  <c r="J56" i="10"/>
  <c r="G56" i="10"/>
  <c r="CX55" i="10"/>
  <c r="CW55" i="10"/>
  <c r="CT55" i="10"/>
  <c r="CP55" i="10"/>
  <c r="CO55" i="10"/>
  <c r="CL55" i="10"/>
  <c r="CH55" i="10"/>
  <c r="CG55" i="10"/>
  <c r="CD55" i="10"/>
  <c r="BZ55" i="10"/>
  <c r="BY55" i="10"/>
  <c r="BV55" i="10"/>
  <c r="BR55" i="10"/>
  <c r="BQ55" i="10"/>
  <c r="BN55" i="10"/>
  <c r="BJ55" i="10"/>
  <c r="BI55" i="10"/>
  <c r="BF55" i="10"/>
  <c r="BB55" i="10"/>
  <c r="BA55" i="10"/>
  <c r="AX55" i="10"/>
  <c r="AT55" i="10"/>
  <c r="AS55" i="10"/>
  <c r="AP55" i="10"/>
  <c r="AL55" i="10"/>
  <c r="AK55" i="10"/>
  <c r="AH55" i="10"/>
  <c r="AD55" i="10"/>
  <c r="AC55" i="10"/>
  <c r="Z55" i="10"/>
  <c r="V55" i="10"/>
  <c r="U55" i="10"/>
  <c r="R55" i="10"/>
  <c r="N55" i="10"/>
  <c r="M55" i="10"/>
  <c r="J55" i="10"/>
  <c r="F55" i="10"/>
  <c r="E55" i="10"/>
  <c r="CX54" i="10"/>
  <c r="CW54" i="10"/>
  <c r="CW63" i="10" s="1"/>
  <c r="CV54" i="10"/>
  <c r="CV63" i="10" s="1"/>
  <c r="CU54" i="10"/>
  <c r="CU63" i="10" s="1"/>
  <c r="CT54" i="10"/>
  <c r="CT63" i="10" s="1"/>
  <c r="CS54" i="10"/>
  <c r="CS63" i="10" s="1"/>
  <c r="CR54" i="10"/>
  <c r="CR63" i="10" s="1"/>
  <c r="CQ54" i="10"/>
  <c r="CP54" i="10"/>
  <c r="CP63" i="10" s="1"/>
  <c r="CO54" i="10"/>
  <c r="CO63" i="10" s="1"/>
  <c r="CN54" i="10"/>
  <c r="CN63" i="10" s="1"/>
  <c r="CM54" i="10"/>
  <c r="CL54" i="10"/>
  <c r="CK54" i="10"/>
  <c r="CK63" i="10" s="1"/>
  <c r="CJ54" i="10"/>
  <c r="CJ63" i="10" s="1"/>
  <c r="CI54" i="10"/>
  <c r="CI63" i="10" s="1"/>
  <c r="CH54" i="10"/>
  <c r="CG54" i="10"/>
  <c r="CG63" i="10" s="1"/>
  <c r="CF54" i="10"/>
  <c r="CF63" i="10" s="1"/>
  <c r="CE54" i="10"/>
  <c r="CE63" i="10" s="1"/>
  <c r="CD54" i="10"/>
  <c r="CD63" i="10" s="1"/>
  <c r="CC54" i="10"/>
  <c r="CC63" i="10" s="1"/>
  <c r="CB54" i="10"/>
  <c r="CB63" i="10" s="1"/>
  <c r="CA54" i="10"/>
  <c r="BZ54" i="10"/>
  <c r="BZ63" i="10" s="1"/>
  <c r="BY54" i="10"/>
  <c r="BY63" i="10" s="1"/>
  <c r="BX54" i="10"/>
  <c r="BX63" i="10" s="1"/>
  <c r="BW54" i="10"/>
  <c r="BV54" i="10"/>
  <c r="BU54" i="10"/>
  <c r="BU63" i="10" s="1"/>
  <c r="BT54" i="10"/>
  <c r="BT63" i="10" s="1"/>
  <c r="BS54" i="10"/>
  <c r="BS63" i="10" s="1"/>
  <c r="BR54" i="10"/>
  <c r="BQ54" i="10"/>
  <c r="BQ63" i="10" s="1"/>
  <c r="BP54" i="10"/>
  <c r="BP63" i="10" s="1"/>
  <c r="BO54" i="10"/>
  <c r="BO63" i="10" s="1"/>
  <c r="BN54" i="10"/>
  <c r="BN63" i="10" s="1"/>
  <c r="BM54" i="10"/>
  <c r="BL54" i="10"/>
  <c r="BL63" i="10" s="1"/>
  <c r="BK54" i="10"/>
  <c r="BJ54" i="10"/>
  <c r="BJ63" i="10" s="1"/>
  <c r="BI54" i="10"/>
  <c r="BI63" i="10" s="1"/>
  <c r="BH54" i="10"/>
  <c r="BH63" i="10" s="1"/>
  <c r="BG54" i="10"/>
  <c r="BF54" i="10"/>
  <c r="BE54" i="10"/>
  <c r="BE63" i="10" s="1"/>
  <c r="BD54" i="10"/>
  <c r="BD63" i="10" s="1"/>
  <c r="BC54" i="10"/>
  <c r="BC63" i="10" s="1"/>
  <c r="BB54" i="10"/>
  <c r="BA54" i="10"/>
  <c r="BA63" i="10" s="1"/>
  <c r="AZ54" i="10"/>
  <c r="AZ63" i="10" s="1"/>
  <c r="AY54" i="10"/>
  <c r="AY63" i="10" s="1"/>
  <c r="AX54" i="10"/>
  <c r="AX63" i="10" s="1"/>
  <c r="AW54" i="10"/>
  <c r="AV54" i="10"/>
  <c r="AV63" i="10" s="1"/>
  <c r="AU54" i="10"/>
  <c r="AT54" i="10"/>
  <c r="AT63" i="10" s="1"/>
  <c r="AS54" i="10"/>
  <c r="AS63" i="10" s="1"/>
  <c r="AR54" i="10"/>
  <c r="AR63" i="10" s="1"/>
  <c r="AQ54" i="10"/>
  <c r="AP54" i="10"/>
  <c r="AO54" i="10"/>
  <c r="AO63" i="10" s="1"/>
  <c r="AN54" i="10"/>
  <c r="AN63" i="10" s="1"/>
  <c r="AM54" i="10"/>
  <c r="AM63" i="10" s="1"/>
  <c r="AL54" i="10"/>
  <c r="AK54" i="10"/>
  <c r="AK63" i="10" s="1"/>
  <c r="AJ54" i="10"/>
  <c r="AJ63" i="10" s="1"/>
  <c r="AI54" i="10"/>
  <c r="AI63" i="10" s="1"/>
  <c r="AH54" i="10"/>
  <c r="AH63" i="10" s="1"/>
  <c r="AG54" i="10"/>
  <c r="AG63" i="10" s="1"/>
  <c r="AF54" i="10"/>
  <c r="AF63" i="10" s="1"/>
  <c r="AE54" i="10"/>
  <c r="AD54" i="10"/>
  <c r="AD63" i="10" s="1"/>
  <c r="AC54" i="10"/>
  <c r="AC63" i="10" s="1"/>
  <c r="AB54" i="10"/>
  <c r="AB63" i="10" s="1"/>
  <c r="AA54" i="10"/>
  <c r="Z54" i="10"/>
  <c r="Y54" i="10"/>
  <c r="Y63" i="10" s="1"/>
  <c r="X54" i="10"/>
  <c r="X63" i="10" s="1"/>
  <c r="W54" i="10"/>
  <c r="W63" i="10" s="1"/>
  <c r="V54" i="10"/>
  <c r="U54" i="10"/>
  <c r="U63" i="10" s="1"/>
  <c r="T54" i="10"/>
  <c r="T63" i="10" s="1"/>
  <c r="S54" i="10"/>
  <c r="S63" i="10" s="1"/>
  <c r="R54" i="10"/>
  <c r="R63" i="10" s="1"/>
  <c r="Q54" i="10"/>
  <c r="Q63" i="10" s="1"/>
  <c r="P54" i="10"/>
  <c r="P63" i="10" s="1"/>
  <c r="O54" i="10"/>
  <c r="N54" i="10"/>
  <c r="N63" i="10" s="1"/>
  <c r="M54" i="10"/>
  <c r="M63" i="10" s="1"/>
  <c r="L54" i="10"/>
  <c r="L63" i="10" s="1"/>
  <c r="K54" i="10"/>
  <c r="J54" i="10"/>
  <c r="I54" i="10"/>
  <c r="I63" i="10" s="1"/>
  <c r="H54" i="10"/>
  <c r="H63" i="10" s="1"/>
  <c r="G54" i="10"/>
  <c r="G63" i="10" s="1"/>
  <c r="F54" i="10"/>
  <c r="E54" i="10"/>
  <c r="E63" i="10" s="1"/>
  <c r="D54" i="10"/>
  <c r="D63" i="10" s="1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W53" i="10"/>
  <c r="V53" i="10"/>
  <c r="U53" i="10"/>
  <c r="T53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W52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W51" i="10"/>
  <c r="V51" i="10"/>
  <c r="U51" i="10"/>
  <c r="T51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W50" i="10"/>
  <c r="V50" i="10"/>
  <c r="U50" i="10"/>
  <c r="T50" i="10"/>
  <c r="S50" i="10"/>
  <c r="R50" i="10"/>
  <c r="Q50" i="10"/>
  <c r="P50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W49" i="10"/>
  <c r="V49" i="10"/>
  <c r="U49" i="10"/>
  <c r="T49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W48" i="10"/>
  <c r="V48" i="10"/>
  <c r="U48" i="10"/>
  <c r="T48" i="10"/>
  <c r="S48" i="10"/>
  <c r="R48" i="10"/>
  <c r="Q48" i="10"/>
  <c r="P48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W47" i="10"/>
  <c r="V47" i="10"/>
  <c r="U47" i="10"/>
  <c r="T47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X45" i="10"/>
  <c r="CX62" i="10" s="1"/>
  <c r="CW45" i="10"/>
  <c r="CW62" i="10" s="1"/>
  <c r="CV45" i="10"/>
  <c r="CU45" i="10"/>
  <c r="CU62" i="10" s="1"/>
  <c r="CT45" i="10"/>
  <c r="CS45" i="10"/>
  <c r="CS62" i="10" s="1"/>
  <c r="CR45" i="10"/>
  <c r="CR62" i="10" s="1"/>
  <c r="CQ45" i="10"/>
  <c r="CQ62" i="10" s="1"/>
  <c r="CP45" i="10"/>
  <c r="CO45" i="10"/>
  <c r="CN45" i="10"/>
  <c r="CN62" i="10" s="1"/>
  <c r="CM45" i="10"/>
  <c r="CM62" i="10" s="1"/>
  <c r="CL45" i="10"/>
  <c r="CL62" i="10" s="1"/>
  <c r="CK45" i="10"/>
  <c r="CJ45" i="10"/>
  <c r="CJ62" i="10" s="1"/>
  <c r="CI45" i="10"/>
  <c r="CI62" i="10" s="1"/>
  <c r="CH45" i="10"/>
  <c r="CH62" i="10" s="1"/>
  <c r="CG45" i="10"/>
  <c r="CG62" i="10" s="1"/>
  <c r="CF45" i="10"/>
  <c r="CF62" i="10" s="1"/>
  <c r="CE45" i="10"/>
  <c r="CE62" i="10" s="1"/>
  <c r="CD45" i="10"/>
  <c r="CC45" i="10"/>
  <c r="CC62" i="10" s="1"/>
  <c r="CB45" i="10"/>
  <c r="CB62" i="10" s="1"/>
  <c r="CA45" i="10"/>
  <c r="CA62" i="10" s="1"/>
  <c r="BZ45" i="10"/>
  <c r="BY45" i="10"/>
  <c r="BX45" i="10"/>
  <c r="BX62" i="10" s="1"/>
  <c r="BW45" i="10"/>
  <c r="BW62" i="10" s="1"/>
  <c r="BV45" i="10"/>
  <c r="BV62" i="10" s="1"/>
  <c r="BU45" i="10"/>
  <c r="BT45" i="10"/>
  <c r="BT62" i="10" s="1"/>
  <c r="BS45" i="10"/>
  <c r="BS62" i="10" s="1"/>
  <c r="BR45" i="10"/>
  <c r="BR62" i="10" s="1"/>
  <c r="BQ45" i="10"/>
  <c r="BQ62" i="10" s="1"/>
  <c r="BP45" i="10"/>
  <c r="BP62" i="10" s="1"/>
  <c r="BO45" i="10"/>
  <c r="BO62" i="10" s="1"/>
  <c r="BN45" i="10"/>
  <c r="BM45" i="10"/>
  <c r="BM62" i="10" s="1"/>
  <c r="BL45" i="10"/>
  <c r="BL62" i="10" s="1"/>
  <c r="BK45" i="10"/>
  <c r="BK62" i="10" s="1"/>
  <c r="BJ45" i="10"/>
  <c r="BI45" i="10"/>
  <c r="BH45" i="10"/>
  <c r="BH62" i="10" s="1"/>
  <c r="BG45" i="10"/>
  <c r="BG62" i="10" s="1"/>
  <c r="BF45" i="10"/>
  <c r="BF62" i="10" s="1"/>
  <c r="BE45" i="10"/>
  <c r="BD45" i="10"/>
  <c r="BD62" i="10" s="1"/>
  <c r="BC45" i="10"/>
  <c r="BC62" i="10" s="1"/>
  <c r="BB45" i="10"/>
  <c r="BB62" i="10" s="1"/>
  <c r="BA45" i="10"/>
  <c r="BA62" i="10" s="1"/>
  <c r="AZ45" i="10"/>
  <c r="AZ62" i="10" s="1"/>
  <c r="AY45" i="10"/>
  <c r="AY62" i="10" s="1"/>
  <c r="AX45" i="10"/>
  <c r="AW45" i="10"/>
  <c r="AW62" i="10" s="1"/>
  <c r="AV45" i="10"/>
  <c r="AV62" i="10" s="1"/>
  <c r="AU45" i="10"/>
  <c r="AU62" i="10" s="1"/>
  <c r="AT45" i="10"/>
  <c r="AS45" i="10"/>
  <c r="AR45" i="10"/>
  <c r="AR62" i="10" s="1"/>
  <c r="AQ45" i="10"/>
  <c r="AQ62" i="10" s="1"/>
  <c r="AP45" i="10"/>
  <c r="AP62" i="10" s="1"/>
  <c r="AO45" i="10"/>
  <c r="AN45" i="10"/>
  <c r="AN62" i="10" s="1"/>
  <c r="AM45" i="10"/>
  <c r="AM62" i="10" s="1"/>
  <c r="AL45" i="10"/>
  <c r="AL62" i="10" s="1"/>
  <c r="AK45" i="10"/>
  <c r="AK62" i="10" s="1"/>
  <c r="AJ45" i="10"/>
  <c r="AI45" i="10"/>
  <c r="AI62" i="10" s="1"/>
  <c r="AH45" i="10"/>
  <c r="AG45" i="10"/>
  <c r="AG62" i="10" s="1"/>
  <c r="AF45" i="10"/>
  <c r="AF62" i="10" s="1"/>
  <c r="AE45" i="10"/>
  <c r="AE62" i="10" s="1"/>
  <c r="AD45" i="10"/>
  <c r="AC45" i="10"/>
  <c r="AB45" i="10"/>
  <c r="AB62" i="10" s="1"/>
  <c r="AA45" i="10"/>
  <c r="AA62" i="10" s="1"/>
  <c r="Z45" i="10"/>
  <c r="Z62" i="10" s="1"/>
  <c r="Y45" i="10"/>
  <c r="X45" i="10"/>
  <c r="X62" i="10" s="1"/>
  <c r="W45" i="10"/>
  <c r="W62" i="10" s="1"/>
  <c r="V45" i="10"/>
  <c r="V62" i="10" s="1"/>
  <c r="U45" i="10"/>
  <c r="T45" i="10"/>
  <c r="T62" i="10" s="1"/>
  <c r="S45" i="10"/>
  <c r="S62" i="10" s="1"/>
  <c r="R45" i="10"/>
  <c r="R62" i="10" s="1"/>
  <c r="Q45" i="10"/>
  <c r="P45" i="10"/>
  <c r="P62" i="10" s="1"/>
  <c r="O45" i="10"/>
  <c r="O62" i="10" s="1"/>
  <c r="N45" i="10"/>
  <c r="N62" i="10" s="1"/>
  <c r="M45" i="10"/>
  <c r="L45" i="10"/>
  <c r="L62" i="10" s="1"/>
  <c r="K45" i="10"/>
  <c r="K62" i="10" s="1"/>
  <c r="J45" i="10"/>
  <c r="J62" i="10" s="1"/>
  <c r="I45" i="10"/>
  <c r="H45" i="10"/>
  <c r="H62" i="10" s="1"/>
  <c r="G45" i="10"/>
  <c r="G62" i="10" s="1"/>
  <c r="F45" i="10"/>
  <c r="F62" i="10" s="1"/>
  <c r="E45" i="10"/>
  <c r="D45" i="10"/>
  <c r="D62" i="10" s="1"/>
  <c r="CX44" i="10"/>
  <c r="CX61" i="10" s="1"/>
  <c r="CW44" i="10"/>
  <c r="CW61" i="10" s="1"/>
  <c r="CV44" i="10"/>
  <c r="CU44" i="10"/>
  <c r="CU61" i="10" s="1"/>
  <c r="CT44" i="10"/>
  <c r="CT61" i="10" s="1"/>
  <c r="CS44" i="10"/>
  <c r="CS61" i="10" s="1"/>
  <c r="CR44" i="10"/>
  <c r="CQ44" i="10"/>
  <c r="CQ61" i="10" s="1"/>
  <c r="CP44" i="10"/>
  <c r="CP61" i="10" s="1"/>
  <c r="CO44" i="10"/>
  <c r="CO61" i="10" s="1"/>
  <c r="CN44" i="10"/>
  <c r="CM44" i="10"/>
  <c r="CM61" i="10" s="1"/>
  <c r="CL44" i="10"/>
  <c r="CL61" i="10" s="1"/>
  <c r="CK44" i="10"/>
  <c r="CK61" i="10" s="1"/>
  <c r="CJ44" i="10"/>
  <c r="CI44" i="10"/>
  <c r="CI61" i="10" s="1"/>
  <c r="CH44" i="10"/>
  <c r="CH61" i="10" s="1"/>
  <c r="CG44" i="10"/>
  <c r="CG61" i="10" s="1"/>
  <c r="CF44" i="10"/>
  <c r="CE44" i="10"/>
  <c r="CE61" i="10" s="1"/>
  <c r="CD44" i="10"/>
  <c r="CD61" i="10" s="1"/>
  <c r="CC44" i="10"/>
  <c r="CC61" i="10" s="1"/>
  <c r="CB44" i="10"/>
  <c r="CA44" i="10"/>
  <c r="CA61" i="10" s="1"/>
  <c r="BZ44" i="10"/>
  <c r="BZ61" i="10" s="1"/>
  <c r="BY44" i="10"/>
  <c r="BY61" i="10" s="1"/>
  <c r="BX44" i="10"/>
  <c r="BW44" i="10"/>
  <c r="BW61" i="10" s="1"/>
  <c r="BV44" i="10"/>
  <c r="BV61" i="10" s="1"/>
  <c r="BU44" i="10"/>
  <c r="BU61" i="10" s="1"/>
  <c r="BT44" i="10"/>
  <c r="BS44" i="10"/>
  <c r="BS61" i="10" s="1"/>
  <c r="BR44" i="10"/>
  <c r="BR61" i="10" s="1"/>
  <c r="BQ44" i="10"/>
  <c r="BQ61" i="10" s="1"/>
  <c r="BP44" i="10"/>
  <c r="BO44" i="10"/>
  <c r="BN44" i="10"/>
  <c r="BN61" i="10" s="1"/>
  <c r="BM44" i="10"/>
  <c r="BM61" i="10" s="1"/>
  <c r="BL44" i="10"/>
  <c r="BK44" i="10"/>
  <c r="BK61" i="10" s="1"/>
  <c r="BJ44" i="10"/>
  <c r="BJ61" i="10" s="1"/>
  <c r="BI44" i="10"/>
  <c r="BI61" i="10" s="1"/>
  <c r="BH44" i="10"/>
  <c r="BG44" i="10"/>
  <c r="BF44" i="10"/>
  <c r="BF61" i="10" s="1"/>
  <c r="BE44" i="10"/>
  <c r="BE61" i="10" s="1"/>
  <c r="BD44" i="10"/>
  <c r="BC44" i="10"/>
  <c r="BC61" i="10" s="1"/>
  <c r="BB44" i="10"/>
  <c r="BB61" i="10" s="1"/>
  <c r="BA44" i="10"/>
  <c r="BA61" i="10" s="1"/>
  <c r="AZ44" i="10"/>
  <c r="AY44" i="10"/>
  <c r="AX44" i="10"/>
  <c r="AX61" i="10" s="1"/>
  <c r="AW44" i="10"/>
  <c r="AW61" i="10" s="1"/>
  <c r="AV44" i="10"/>
  <c r="AU44" i="10"/>
  <c r="AU61" i="10" s="1"/>
  <c r="AT44" i="10"/>
  <c r="AT61" i="10" s="1"/>
  <c r="AS44" i="10"/>
  <c r="AS61" i="10" s="1"/>
  <c r="AR44" i="10"/>
  <c r="AQ44" i="10"/>
  <c r="AP44" i="10"/>
  <c r="AP61" i="10" s="1"/>
  <c r="AO44" i="10"/>
  <c r="AO61" i="10" s="1"/>
  <c r="AN44" i="10"/>
  <c r="AM44" i="10"/>
  <c r="AM61" i="10" s="1"/>
  <c r="AL44" i="10"/>
  <c r="AL61" i="10" s="1"/>
  <c r="AK44" i="10"/>
  <c r="AK61" i="10" s="1"/>
  <c r="AJ44" i="10"/>
  <c r="AI44" i="10"/>
  <c r="AH44" i="10"/>
  <c r="AH61" i="10" s="1"/>
  <c r="AG44" i="10"/>
  <c r="AG61" i="10" s="1"/>
  <c r="AF44" i="10"/>
  <c r="AE44" i="10"/>
  <c r="AE61" i="10" s="1"/>
  <c r="AD44" i="10"/>
  <c r="AD61" i="10" s="1"/>
  <c r="AC44" i="10"/>
  <c r="AC61" i="10" s="1"/>
  <c r="AB44" i="10"/>
  <c r="AA44" i="10"/>
  <c r="Z44" i="10"/>
  <c r="Z61" i="10" s="1"/>
  <c r="Y44" i="10"/>
  <c r="Y61" i="10" s="1"/>
  <c r="X44" i="10"/>
  <c r="W44" i="10"/>
  <c r="W61" i="10" s="1"/>
  <c r="V44" i="10"/>
  <c r="V61" i="10" s="1"/>
  <c r="U44" i="10"/>
  <c r="U61" i="10" s="1"/>
  <c r="T44" i="10"/>
  <c r="S44" i="10"/>
  <c r="R44" i="10"/>
  <c r="R61" i="10" s="1"/>
  <c r="Q44" i="10"/>
  <c r="Q61" i="10" s="1"/>
  <c r="P44" i="10"/>
  <c r="O44" i="10"/>
  <c r="O61" i="10" s="1"/>
  <c r="N44" i="10"/>
  <c r="N61" i="10" s="1"/>
  <c r="M44" i="10"/>
  <c r="M61" i="10" s="1"/>
  <c r="L44" i="10"/>
  <c r="K44" i="10"/>
  <c r="J44" i="10"/>
  <c r="J61" i="10" s="1"/>
  <c r="I44" i="10"/>
  <c r="I61" i="10" s="1"/>
  <c r="H44" i="10"/>
  <c r="G44" i="10"/>
  <c r="G61" i="10" s="1"/>
  <c r="F44" i="10"/>
  <c r="F61" i="10" s="1"/>
  <c r="E44" i="10"/>
  <c r="E61" i="10" s="1"/>
  <c r="D44" i="10"/>
  <c r="CX43" i="10"/>
  <c r="CW43" i="10"/>
  <c r="CW60" i="10" s="1"/>
  <c r="CV43" i="10"/>
  <c r="CV60" i="10" s="1"/>
  <c r="CU43" i="10"/>
  <c r="CT43" i="10"/>
  <c r="CT60" i="10" s="1"/>
  <c r="CS43" i="10"/>
  <c r="CS60" i="10" s="1"/>
  <c r="CR43" i="10"/>
  <c r="CR60" i="10" s="1"/>
  <c r="CQ43" i="10"/>
  <c r="CP43" i="10"/>
  <c r="CO43" i="10"/>
  <c r="CO60" i="10" s="1"/>
  <c r="CN43" i="10"/>
  <c r="CN60" i="10" s="1"/>
  <c r="CM43" i="10"/>
  <c r="CL43" i="10"/>
  <c r="CL60" i="10" s="1"/>
  <c r="CK43" i="10"/>
  <c r="CK60" i="10" s="1"/>
  <c r="CJ43" i="10"/>
  <c r="CJ60" i="10" s="1"/>
  <c r="CI43" i="10"/>
  <c r="CH43" i="10"/>
  <c r="CG43" i="10"/>
  <c r="CG60" i="10" s="1"/>
  <c r="CF43" i="10"/>
  <c r="CF60" i="10" s="1"/>
  <c r="CE43" i="10"/>
  <c r="CD43" i="10"/>
  <c r="CD60" i="10" s="1"/>
  <c r="CC43" i="10"/>
  <c r="CC60" i="10" s="1"/>
  <c r="CB43" i="10"/>
  <c r="CB60" i="10" s="1"/>
  <c r="CA43" i="10"/>
  <c r="BZ43" i="10"/>
  <c r="BY43" i="10"/>
  <c r="BY60" i="10" s="1"/>
  <c r="BX43" i="10"/>
  <c r="BX60" i="10" s="1"/>
  <c r="BW43" i="10"/>
  <c r="BV43" i="10"/>
  <c r="BV60" i="10" s="1"/>
  <c r="BU43" i="10"/>
  <c r="BU60" i="10" s="1"/>
  <c r="BT43" i="10"/>
  <c r="BT60" i="10" s="1"/>
  <c r="BS43" i="10"/>
  <c r="BR43" i="10"/>
  <c r="BQ43" i="10"/>
  <c r="BQ60" i="10" s="1"/>
  <c r="BP43" i="10"/>
  <c r="BP60" i="10" s="1"/>
  <c r="BO43" i="10"/>
  <c r="BN43" i="10"/>
  <c r="BN60" i="10" s="1"/>
  <c r="BM43" i="10"/>
  <c r="BM60" i="10" s="1"/>
  <c r="BL43" i="10"/>
  <c r="BL60" i="10" s="1"/>
  <c r="BK43" i="10"/>
  <c r="BJ43" i="10"/>
  <c r="BI43" i="10"/>
  <c r="BI60" i="10" s="1"/>
  <c r="BH43" i="10"/>
  <c r="BH60" i="10" s="1"/>
  <c r="BG43" i="10"/>
  <c r="BF43" i="10"/>
  <c r="BF60" i="10" s="1"/>
  <c r="BE43" i="10"/>
  <c r="BE60" i="10" s="1"/>
  <c r="BD43" i="10"/>
  <c r="BD60" i="10" s="1"/>
  <c r="BC43" i="10"/>
  <c r="BB43" i="10"/>
  <c r="BA43" i="10"/>
  <c r="BA60" i="10" s="1"/>
  <c r="AZ43" i="10"/>
  <c r="AZ60" i="10" s="1"/>
  <c r="AY43" i="10"/>
  <c r="AX43" i="10"/>
  <c r="AX60" i="10" s="1"/>
  <c r="AW43" i="10"/>
  <c r="AW60" i="10" s="1"/>
  <c r="AV43" i="10"/>
  <c r="AV60" i="10" s="1"/>
  <c r="AU43" i="10"/>
  <c r="AT43" i="10"/>
  <c r="AS43" i="10"/>
  <c r="AS60" i="10" s="1"/>
  <c r="AR43" i="10"/>
  <c r="AR60" i="10" s="1"/>
  <c r="AQ43" i="10"/>
  <c r="AP43" i="10"/>
  <c r="AP60" i="10" s="1"/>
  <c r="AO43" i="10"/>
  <c r="AO60" i="10" s="1"/>
  <c r="AN43" i="10"/>
  <c r="AN60" i="10" s="1"/>
  <c r="AM43" i="10"/>
  <c r="AL43" i="10"/>
  <c r="AK43" i="10"/>
  <c r="AK60" i="10" s="1"/>
  <c r="AJ43" i="10"/>
  <c r="AJ60" i="10" s="1"/>
  <c r="AI43" i="10"/>
  <c r="AH43" i="10"/>
  <c r="AH60" i="10" s="1"/>
  <c r="AG43" i="10"/>
  <c r="AG60" i="10" s="1"/>
  <c r="AF43" i="10"/>
  <c r="AF60" i="10" s="1"/>
  <c r="AE43" i="10"/>
  <c r="AD43" i="10"/>
  <c r="AC43" i="10"/>
  <c r="AC60" i="10" s="1"/>
  <c r="AB43" i="10"/>
  <c r="AB60" i="10" s="1"/>
  <c r="AA43" i="10"/>
  <c r="Z43" i="10"/>
  <c r="Z60" i="10" s="1"/>
  <c r="Y43" i="10"/>
  <c r="Y60" i="10" s="1"/>
  <c r="X43" i="10"/>
  <c r="X60" i="10" s="1"/>
  <c r="W43" i="10"/>
  <c r="V43" i="10"/>
  <c r="U43" i="10"/>
  <c r="U60" i="10" s="1"/>
  <c r="T43" i="10"/>
  <c r="T60" i="10" s="1"/>
  <c r="S43" i="10"/>
  <c r="R43" i="10"/>
  <c r="R60" i="10" s="1"/>
  <c r="Q43" i="10"/>
  <c r="Q60" i="10" s="1"/>
  <c r="P43" i="10"/>
  <c r="P60" i="10" s="1"/>
  <c r="O43" i="10"/>
  <c r="N43" i="10"/>
  <c r="M43" i="10"/>
  <c r="M60" i="10" s="1"/>
  <c r="L43" i="10"/>
  <c r="L60" i="10" s="1"/>
  <c r="K43" i="10"/>
  <c r="J43" i="10"/>
  <c r="J60" i="10" s="1"/>
  <c r="I43" i="10"/>
  <c r="I60" i="10" s="1"/>
  <c r="H43" i="10"/>
  <c r="H60" i="10" s="1"/>
  <c r="G43" i="10"/>
  <c r="F43" i="10"/>
  <c r="E43" i="10"/>
  <c r="E60" i="10" s="1"/>
  <c r="D43" i="10"/>
  <c r="D60" i="10" s="1"/>
  <c r="CX42" i="10"/>
  <c r="CW42" i="10"/>
  <c r="CW59" i="10" s="1"/>
  <c r="CV42" i="10"/>
  <c r="CV59" i="10" s="1"/>
  <c r="CU42" i="10"/>
  <c r="CU59" i="10" s="1"/>
  <c r="CT42" i="10"/>
  <c r="CS42" i="10"/>
  <c r="CR42" i="10"/>
  <c r="CR59" i="10" s="1"/>
  <c r="CQ42" i="10"/>
  <c r="CQ59" i="10" s="1"/>
  <c r="CP42" i="10"/>
  <c r="CO42" i="10"/>
  <c r="CO59" i="10" s="1"/>
  <c r="CN42" i="10"/>
  <c r="CN59" i="10" s="1"/>
  <c r="CM42" i="10"/>
  <c r="CM59" i="10" s="1"/>
  <c r="CL42" i="10"/>
  <c r="CK42" i="10"/>
  <c r="CJ42" i="10"/>
  <c r="CJ59" i="10" s="1"/>
  <c r="CI42" i="10"/>
  <c r="CI59" i="10" s="1"/>
  <c r="CH42" i="10"/>
  <c r="CG42" i="10"/>
  <c r="CG59" i="10" s="1"/>
  <c r="CF42" i="10"/>
  <c r="CF59" i="10" s="1"/>
  <c r="CE42" i="10"/>
  <c r="CE59" i="10" s="1"/>
  <c r="CD42" i="10"/>
  <c r="CC42" i="10"/>
  <c r="CB42" i="10"/>
  <c r="CB59" i="10" s="1"/>
  <c r="CA42" i="10"/>
  <c r="CA59" i="10" s="1"/>
  <c r="BZ42" i="10"/>
  <c r="BY42" i="10"/>
  <c r="BY59" i="10" s="1"/>
  <c r="BX42" i="10"/>
  <c r="BX59" i="10" s="1"/>
  <c r="BW42" i="10"/>
  <c r="BW59" i="10" s="1"/>
  <c r="BV42" i="10"/>
  <c r="BU42" i="10"/>
  <c r="BT42" i="10"/>
  <c r="BT59" i="10" s="1"/>
  <c r="BS42" i="10"/>
  <c r="BS59" i="10" s="1"/>
  <c r="BR42" i="10"/>
  <c r="BQ42" i="10"/>
  <c r="BQ59" i="10" s="1"/>
  <c r="BP42" i="10"/>
  <c r="BP59" i="10" s="1"/>
  <c r="BO42" i="10"/>
  <c r="BO59" i="10" s="1"/>
  <c r="BN42" i="10"/>
  <c r="BM42" i="10"/>
  <c r="BL42" i="10"/>
  <c r="BL59" i="10" s="1"/>
  <c r="BK42" i="10"/>
  <c r="BK59" i="10" s="1"/>
  <c r="BJ42" i="10"/>
  <c r="BI42" i="10"/>
  <c r="BI59" i="10" s="1"/>
  <c r="BH42" i="10"/>
  <c r="BH59" i="10" s="1"/>
  <c r="BG42" i="10"/>
  <c r="BG59" i="10" s="1"/>
  <c r="BF42" i="10"/>
  <c r="BE42" i="10"/>
  <c r="BD42" i="10"/>
  <c r="BD59" i="10" s="1"/>
  <c r="BC42" i="10"/>
  <c r="BC59" i="10" s="1"/>
  <c r="BB42" i="10"/>
  <c r="BA42" i="10"/>
  <c r="BA59" i="10" s="1"/>
  <c r="AZ42" i="10"/>
  <c r="AZ59" i="10" s="1"/>
  <c r="AY42" i="10"/>
  <c r="AY59" i="10" s="1"/>
  <c r="AX42" i="10"/>
  <c r="AW42" i="10"/>
  <c r="AV42" i="10"/>
  <c r="AV59" i="10" s="1"/>
  <c r="AU42" i="10"/>
  <c r="AU59" i="10" s="1"/>
  <c r="AT42" i="10"/>
  <c r="AS42" i="10"/>
  <c r="AS59" i="10" s="1"/>
  <c r="AR42" i="10"/>
  <c r="AR59" i="10" s="1"/>
  <c r="AQ42" i="10"/>
  <c r="AQ59" i="10" s="1"/>
  <c r="AP42" i="10"/>
  <c r="AO42" i="10"/>
  <c r="AN42" i="10"/>
  <c r="AN59" i="10" s="1"/>
  <c r="AM42" i="10"/>
  <c r="AM59" i="10" s="1"/>
  <c r="AL42" i="10"/>
  <c r="AK42" i="10"/>
  <c r="AK59" i="10" s="1"/>
  <c r="AJ42" i="10"/>
  <c r="AJ59" i="10" s="1"/>
  <c r="AI42" i="10"/>
  <c r="AI59" i="10" s="1"/>
  <c r="AH42" i="10"/>
  <c r="AG42" i="10"/>
  <c r="AF42" i="10"/>
  <c r="AF59" i="10" s="1"/>
  <c r="AE42" i="10"/>
  <c r="AE59" i="10" s="1"/>
  <c r="AD42" i="10"/>
  <c r="AC42" i="10"/>
  <c r="AC59" i="10" s="1"/>
  <c r="AB42" i="10"/>
  <c r="AB59" i="10" s="1"/>
  <c r="AA42" i="10"/>
  <c r="AA59" i="10" s="1"/>
  <c r="Z42" i="10"/>
  <c r="Y42" i="10"/>
  <c r="X42" i="10"/>
  <c r="X59" i="10" s="1"/>
  <c r="W42" i="10"/>
  <c r="W59" i="10" s="1"/>
  <c r="V42" i="10"/>
  <c r="U42" i="10"/>
  <c r="U59" i="10" s="1"/>
  <c r="T42" i="10"/>
  <c r="T59" i="10" s="1"/>
  <c r="S42" i="10"/>
  <c r="S59" i="10" s="1"/>
  <c r="R42" i="10"/>
  <c r="Q42" i="10"/>
  <c r="P42" i="10"/>
  <c r="P59" i="10" s="1"/>
  <c r="O42" i="10"/>
  <c r="O59" i="10" s="1"/>
  <c r="N42" i="10"/>
  <c r="M42" i="10"/>
  <c r="M59" i="10" s="1"/>
  <c r="L42" i="10"/>
  <c r="L59" i="10" s="1"/>
  <c r="K42" i="10"/>
  <c r="K59" i="10" s="1"/>
  <c r="J42" i="10"/>
  <c r="I42" i="10"/>
  <c r="H42" i="10"/>
  <c r="H59" i="10" s="1"/>
  <c r="G42" i="10"/>
  <c r="G59" i="10" s="1"/>
  <c r="F42" i="10"/>
  <c r="E42" i="10"/>
  <c r="E59" i="10" s="1"/>
  <c r="D42" i="10"/>
  <c r="D59" i="10" s="1"/>
  <c r="CX41" i="10"/>
  <c r="CX58" i="10" s="1"/>
  <c r="CW41" i="10"/>
  <c r="CV41" i="10"/>
  <c r="CU41" i="10"/>
  <c r="CU58" i="10" s="1"/>
  <c r="CT41" i="10"/>
  <c r="CT58" i="10" s="1"/>
  <c r="CS41" i="10"/>
  <c r="CR41" i="10"/>
  <c r="CR58" i="10" s="1"/>
  <c r="CQ41" i="10"/>
  <c r="CQ58" i="10" s="1"/>
  <c r="CP41" i="10"/>
  <c r="CP58" i="10" s="1"/>
  <c r="CO41" i="10"/>
  <c r="CN41" i="10"/>
  <c r="CM41" i="10"/>
  <c r="CM58" i="10" s="1"/>
  <c r="CL41" i="10"/>
  <c r="CL58" i="10" s="1"/>
  <c r="CK41" i="10"/>
  <c r="CJ41" i="10"/>
  <c r="CJ58" i="10" s="1"/>
  <c r="CI41" i="10"/>
  <c r="CI58" i="10" s="1"/>
  <c r="CH41" i="10"/>
  <c r="CH58" i="10" s="1"/>
  <c r="CG41" i="10"/>
  <c r="CF41" i="10"/>
  <c r="CE41" i="10"/>
  <c r="CE58" i="10" s="1"/>
  <c r="CD41" i="10"/>
  <c r="CD58" i="10" s="1"/>
  <c r="CC41" i="10"/>
  <c r="CB41" i="10"/>
  <c r="CB58" i="10" s="1"/>
  <c r="CA41" i="10"/>
  <c r="CA58" i="10" s="1"/>
  <c r="BZ41" i="10"/>
  <c r="BZ58" i="10" s="1"/>
  <c r="BY41" i="10"/>
  <c r="BX41" i="10"/>
  <c r="BW41" i="10"/>
  <c r="BW58" i="10" s="1"/>
  <c r="BV41" i="10"/>
  <c r="BV58" i="10" s="1"/>
  <c r="BU41" i="10"/>
  <c r="BT41" i="10"/>
  <c r="BT58" i="10" s="1"/>
  <c r="BS41" i="10"/>
  <c r="BS58" i="10" s="1"/>
  <c r="BR41" i="10"/>
  <c r="BR58" i="10" s="1"/>
  <c r="BQ41" i="10"/>
  <c r="BP41" i="10"/>
  <c r="BO41" i="10"/>
  <c r="BO58" i="10" s="1"/>
  <c r="BN41" i="10"/>
  <c r="BN58" i="10" s="1"/>
  <c r="BM41" i="10"/>
  <c r="BL41" i="10"/>
  <c r="BL58" i="10" s="1"/>
  <c r="BK41" i="10"/>
  <c r="BK58" i="10" s="1"/>
  <c r="BJ41" i="10"/>
  <c r="BJ58" i="10" s="1"/>
  <c r="BI41" i="10"/>
  <c r="BH41" i="10"/>
  <c r="BG41" i="10"/>
  <c r="BG58" i="10" s="1"/>
  <c r="BF41" i="10"/>
  <c r="BF58" i="10" s="1"/>
  <c r="BE41" i="10"/>
  <c r="BD41" i="10"/>
  <c r="BD58" i="10" s="1"/>
  <c r="BC41" i="10"/>
  <c r="BC58" i="10" s="1"/>
  <c r="BB41" i="10"/>
  <c r="BB58" i="10" s="1"/>
  <c r="BA41" i="10"/>
  <c r="AZ41" i="10"/>
  <c r="AY41" i="10"/>
  <c r="AY58" i="10" s="1"/>
  <c r="AX41" i="10"/>
  <c r="AX58" i="10" s="1"/>
  <c r="AW41" i="10"/>
  <c r="AV41" i="10"/>
  <c r="AV58" i="10" s="1"/>
  <c r="AU41" i="10"/>
  <c r="AU58" i="10" s="1"/>
  <c r="AT41" i="10"/>
  <c r="AT58" i="10" s="1"/>
  <c r="AS41" i="10"/>
  <c r="AR41" i="10"/>
  <c r="AQ41" i="10"/>
  <c r="AQ58" i="10" s="1"/>
  <c r="AP41" i="10"/>
  <c r="AP58" i="10" s="1"/>
  <c r="AO41" i="10"/>
  <c r="AN41" i="10"/>
  <c r="AN58" i="10" s="1"/>
  <c r="AM41" i="10"/>
  <c r="AM58" i="10" s="1"/>
  <c r="AL41" i="10"/>
  <c r="AL58" i="10" s="1"/>
  <c r="AK41" i="10"/>
  <c r="AJ41" i="10"/>
  <c r="AI41" i="10"/>
  <c r="AI58" i="10" s="1"/>
  <c r="AH41" i="10"/>
  <c r="AH58" i="10" s="1"/>
  <c r="AG41" i="10"/>
  <c r="AF41" i="10"/>
  <c r="AF58" i="10" s="1"/>
  <c r="AE41" i="10"/>
  <c r="AE58" i="10" s="1"/>
  <c r="AD41" i="10"/>
  <c r="AD58" i="10" s="1"/>
  <c r="AC41" i="10"/>
  <c r="AB41" i="10"/>
  <c r="AA41" i="10"/>
  <c r="AA58" i="10" s="1"/>
  <c r="Z41" i="10"/>
  <c r="Z58" i="10" s="1"/>
  <c r="Y41" i="10"/>
  <c r="X41" i="10"/>
  <c r="X58" i="10" s="1"/>
  <c r="W41" i="10"/>
  <c r="W58" i="10" s="1"/>
  <c r="V41" i="10"/>
  <c r="V58" i="10" s="1"/>
  <c r="U41" i="10"/>
  <c r="T41" i="10"/>
  <c r="S41" i="10"/>
  <c r="S58" i="10" s="1"/>
  <c r="R41" i="10"/>
  <c r="R58" i="10" s="1"/>
  <c r="Q41" i="10"/>
  <c r="P41" i="10"/>
  <c r="P58" i="10" s="1"/>
  <c r="O41" i="10"/>
  <c r="O58" i="10" s="1"/>
  <c r="N41" i="10"/>
  <c r="N58" i="10" s="1"/>
  <c r="M41" i="10"/>
  <c r="L41" i="10"/>
  <c r="K41" i="10"/>
  <c r="K58" i="10" s="1"/>
  <c r="J41" i="10"/>
  <c r="J58" i="10" s="1"/>
  <c r="I41" i="10"/>
  <c r="H41" i="10"/>
  <c r="H58" i="10" s="1"/>
  <c r="G41" i="10"/>
  <c r="G58" i="10" s="1"/>
  <c r="F41" i="10"/>
  <c r="F58" i="10" s="1"/>
  <c r="E41" i="10"/>
  <c r="D41" i="10"/>
  <c r="CX40" i="10"/>
  <c r="CX57" i="10" s="1"/>
  <c r="CW40" i="10"/>
  <c r="CW57" i="10" s="1"/>
  <c r="CV40" i="10"/>
  <c r="CU40" i="10"/>
  <c r="CU57" i="10" s="1"/>
  <c r="CT40" i="10"/>
  <c r="CT57" i="10" s="1"/>
  <c r="CS40" i="10"/>
  <c r="CS57" i="10" s="1"/>
  <c r="CR40" i="10"/>
  <c r="CQ40" i="10"/>
  <c r="CP40" i="10"/>
  <c r="CP57" i="10" s="1"/>
  <c r="CO40" i="10"/>
  <c r="CO57" i="10" s="1"/>
  <c r="CN40" i="10"/>
  <c r="CM40" i="10"/>
  <c r="CM57" i="10" s="1"/>
  <c r="CL40" i="10"/>
  <c r="CL57" i="10" s="1"/>
  <c r="CK40" i="10"/>
  <c r="CK57" i="10" s="1"/>
  <c r="CJ40" i="10"/>
  <c r="CI40" i="10"/>
  <c r="CH40" i="10"/>
  <c r="CH57" i="10" s="1"/>
  <c r="CG40" i="10"/>
  <c r="CG57" i="10" s="1"/>
  <c r="CF40" i="10"/>
  <c r="CE40" i="10"/>
  <c r="CE57" i="10" s="1"/>
  <c r="CD40" i="10"/>
  <c r="CD57" i="10" s="1"/>
  <c r="CC40" i="10"/>
  <c r="CC57" i="10" s="1"/>
  <c r="CB40" i="10"/>
  <c r="CA40" i="10"/>
  <c r="BZ40" i="10"/>
  <c r="BZ57" i="10" s="1"/>
  <c r="BY40" i="10"/>
  <c r="BY57" i="10" s="1"/>
  <c r="BX40" i="10"/>
  <c r="BW40" i="10"/>
  <c r="BW57" i="10" s="1"/>
  <c r="BV40" i="10"/>
  <c r="BV57" i="10" s="1"/>
  <c r="BU40" i="10"/>
  <c r="BU57" i="10" s="1"/>
  <c r="BT40" i="10"/>
  <c r="BS40" i="10"/>
  <c r="BR40" i="10"/>
  <c r="BR57" i="10" s="1"/>
  <c r="BQ40" i="10"/>
  <c r="BQ57" i="10" s="1"/>
  <c r="BP40" i="10"/>
  <c r="BO40" i="10"/>
  <c r="BO57" i="10" s="1"/>
  <c r="BN40" i="10"/>
  <c r="BN57" i="10" s="1"/>
  <c r="BM40" i="10"/>
  <c r="BM57" i="10" s="1"/>
  <c r="BL40" i="10"/>
  <c r="BK40" i="10"/>
  <c r="BJ40" i="10"/>
  <c r="BJ57" i="10" s="1"/>
  <c r="BI40" i="10"/>
  <c r="BI57" i="10" s="1"/>
  <c r="BH40" i="10"/>
  <c r="BG40" i="10"/>
  <c r="BG57" i="10" s="1"/>
  <c r="BF40" i="10"/>
  <c r="BF57" i="10" s="1"/>
  <c r="BE40" i="10"/>
  <c r="BE57" i="10" s="1"/>
  <c r="BD40" i="10"/>
  <c r="BC40" i="10"/>
  <c r="BB40" i="10"/>
  <c r="BB57" i="10" s="1"/>
  <c r="BA40" i="10"/>
  <c r="BA57" i="10" s="1"/>
  <c r="AZ40" i="10"/>
  <c r="AY40" i="10"/>
  <c r="AY57" i="10" s="1"/>
  <c r="AX40" i="10"/>
  <c r="AX57" i="10" s="1"/>
  <c r="AW40" i="10"/>
  <c r="AW57" i="10" s="1"/>
  <c r="AV40" i="10"/>
  <c r="AU40" i="10"/>
  <c r="AT40" i="10"/>
  <c r="AT57" i="10" s="1"/>
  <c r="AS40" i="10"/>
  <c r="AS57" i="10" s="1"/>
  <c r="AR40" i="10"/>
  <c r="AQ40" i="10"/>
  <c r="AQ57" i="10" s="1"/>
  <c r="AP40" i="10"/>
  <c r="AP57" i="10" s="1"/>
  <c r="AO40" i="10"/>
  <c r="AO57" i="10" s="1"/>
  <c r="AN40" i="10"/>
  <c r="AM40" i="10"/>
  <c r="AL40" i="10"/>
  <c r="AL57" i="10" s="1"/>
  <c r="AK40" i="10"/>
  <c r="AK57" i="10" s="1"/>
  <c r="AJ40" i="10"/>
  <c r="AI40" i="10"/>
  <c r="AI57" i="10" s="1"/>
  <c r="AH40" i="10"/>
  <c r="AH57" i="10" s="1"/>
  <c r="AG40" i="10"/>
  <c r="AG57" i="10" s="1"/>
  <c r="AF40" i="10"/>
  <c r="AE40" i="10"/>
  <c r="AD40" i="10"/>
  <c r="AD57" i="10" s="1"/>
  <c r="AC40" i="10"/>
  <c r="AC57" i="10" s="1"/>
  <c r="AB40" i="10"/>
  <c r="AA40" i="10"/>
  <c r="AA57" i="10" s="1"/>
  <c r="Z40" i="10"/>
  <c r="Z57" i="10" s="1"/>
  <c r="Y40" i="10"/>
  <c r="Y57" i="10" s="1"/>
  <c r="X40" i="10"/>
  <c r="W40" i="10"/>
  <c r="V40" i="10"/>
  <c r="V57" i="10" s="1"/>
  <c r="U40" i="10"/>
  <c r="U57" i="10" s="1"/>
  <c r="T40" i="10"/>
  <c r="S40" i="10"/>
  <c r="S57" i="10" s="1"/>
  <c r="R40" i="10"/>
  <c r="R57" i="10" s="1"/>
  <c r="Q40" i="10"/>
  <c r="Q57" i="10" s="1"/>
  <c r="P40" i="10"/>
  <c r="O40" i="10"/>
  <c r="N40" i="10"/>
  <c r="N57" i="10" s="1"/>
  <c r="M40" i="10"/>
  <c r="M57" i="10" s="1"/>
  <c r="L40" i="10"/>
  <c r="K40" i="10"/>
  <c r="K57" i="10" s="1"/>
  <c r="J40" i="10"/>
  <c r="J57" i="10" s="1"/>
  <c r="I40" i="10"/>
  <c r="I57" i="10" s="1"/>
  <c r="H40" i="10"/>
  <c r="G40" i="10"/>
  <c r="F40" i="10"/>
  <c r="F57" i="10" s="1"/>
  <c r="E40" i="10"/>
  <c r="E57" i="10" s="1"/>
  <c r="D40" i="10"/>
  <c r="CX39" i="10"/>
  <c r="CX56" i="10" s="1"/>
  <c r="CW39" i="10"/>
  <c r="CW56" i="10" s="1"/>
  <c r="CV39" i="10"/>
  <c r="CV56" i="10" s="1"/>
  <c r="CU39" i="10"/>
  <c r="CT39" i="10"/>
  <c r="CS39" i="10"/>
  <c r="CS56" i="10" s="1"/>
  <c r="CR39" i="10"/>
  <c r="CR56" i="10" s="1"/>
  <c r="CQ39" i="10"/>
  <c r="CP39" i="10"/>
  <c r="CP56" i="10" s="1"/>
  <c r="CO39" i="10"/>
  <c r="CO56" i="10" s="1"/>
  <c r="CN39" i="10"/>
  <c r="CN56" i="10" s="1"/>
  <c r="CM39" i="10"/>
  <c r="CL39" i="10"/>
  <c r="CK39" i="10"/>
  <c r="CK56" i="10" s="1"/>
  <c r="CJ39" i="10"/>
  <c r="CJ56" i="10" s="1"/>
  <c r="CI39" i="10"/>
  <c r="CH39" i="10"/>
  <c r="CH56" i="10" s="1"/>
  <c r="CG39" i="10"/>
  <c r="CG56" i="10" s="1"/>
  <c r="CF39" i="10"/>
  <c r="CF56" i="10" s="1"/>
  <c r="CE39" i="10"/>
  <c r="CD39" i="10"/>
  <c r="CC39" i="10"/>
  <c r="CC56" i="10" s="1"/>
  <c r="CB39" i="10"/>
  <c r="CB56" i="10" s="1"/>
  <c r="CA39" i="10"/>
  <c r="BZ39" i="10"/>
  <c r="BZ56" i="10" s="1"/>
  <c r="BY39" i="10"/>
  <c r="BY56" i="10" s="1"/>
  <c r="BX39" i="10"/>
  <c r="BX56" i="10" s="1"/>
  <c r="BW39" i="10"/>
  <c r="BV39" i="10"/>
  <c r="BU39" i="10"/>
  <c r="BU56" i="10" s="1"/>
  <c r="BT39" i="10"/>
  <c r="BT56" i="10" s="1"/>
  <c r="BS39" i="10"/>
  <c r="BR39" i="10"/>
  <c r="BR56" i="10" s="1"/>
  <c r="BQ39" i="10"/>
  <c r="BQ56" i="10" s="1"/>
  <c r="BP39" i="10"/>
  <c r="BP56" i="10" s="1"/>
  <c r="BO39" i="10"/>
  <c r="BN39" i="10"/>
  <c r="BM39" i="10"/>
  <c r="BM56" i="10" s="1"/>
  <c r="BL39" i="10"/>
  <c r="BL56" i="10" s="1"/>
  <c r="BK39" i="10"/>
  <c r="BJ39" i="10"/>
  <c r="BJ56" i="10" s="1"/>
  <c r="BI39" i="10"/>
  <c r="BI56" i="10" s="1"/>
  <c r="BH39" i="10"/>
  <c r="BH56" i="10" s="1"/>
  <c r="BG39" i="10"/>
  <c r="BF39" i="10"/>
  <c r="BE39" i="10"/>
  <c r="BE56" i="10" s="1"/>
  <c r="BD39" i="10"/>
  <c r="BD56" i="10" s="1"/>
  <c r="BC39" i="10"/>
  <c r="BB39" i="10"/>
  <c r="BB56" i="10" s="1"/>
  <c r="BA39" i="10"/>
  <c r="BA56" i="10" s="1"/>
  <c r="AZ39" i="10"/>
  <c r="AZ56" i="10" s="1"/>
  <c r="AY39" i="10"/>
  <c r="AX39" i="10"/>
  <c r="AW39" i="10"/>
  <c r="AW56" i="10" s="1"/>
  <c r="AV39" i="10"/>
  <c r="AV56" i="10" s="1"/>
  <c r="AU39" i="10"/>
  <c r="AT39" i="10"/>
  <c r="AT56" i="10" s="1"/>
  <c r="AS39" i="10"/>
  <c r="AS56" i="10" s="1"/>
  <c r="AR39" i="10"/>
  <c r="AR56" i="10" s="1"/>
  <c r="AQ39" i="10"/>
  <c r="AP39" i="10"/>
  <c r="AO39" i="10"/>
  <c r="AO56" i="10" s="1"/>
  <c r="AN39" i="10"/>
  <c r="AN56" i="10" s="1"/>
  <c r="AM39" i="10"/>
  <c r="AL39" i="10"/>
  <c r="AL56" i="10" s="1"/>
  <c r="AK39" i="10"/>
  <c r="AK56" i="10" s="1"/>
  <c r="AJ39" i="10"/>
  <c r="AJ56" i="10" s="1"/>
  <c r="AI39" i="10"/>
  <c r="AH39" i="10"/>
  <c r="AG39" i="10"/>
  <c r="AG56" i="10" s="1"/>
  <c r="AF39" i="10"/>
  <c r="AF56" i="10" s="1"/>
  <c r="AE39" i="10"/>
  <c r="AD39" i="10"/>
  <c r="AD56" i="10" s="1"/>
  <c r="AC39" i="10"/>
  <c r="AC56" i="10" s="1"/>
  <c r="AB39" i="10"/>
  <c r="AB56" i="10" s="1"/>
  <c r="AA39" i="10"/>
  <c r="Z39" i="10"/>
  <c r="Y39" i="10"/>
  <c r="Y56" i="10" s="1"/>
  <c r="X39" i="10"/>
  <c r="X56" i="10" s="1"/>
  <c r="W39" i="10"/>
  <c r="V39" i="10"/>
  <c r="V56" i="10" s="1"/>
  <c r="U39" i="10"/>
  <c r="U56" i="10" s="1"/>
  <c r="T39" i="10"/>
  <c r="T56" i="10" s="1"/>
  <c r="S39" i="10"/>
  <c r="R39" i="10"/>
  <c r="Q39" i="10"/>
  <c r="Q56" i="10" s="1"/>
  <c r="P39" i="10"/>
  <c r="P56" i="10" s="1"/>
  <c r="O39" i="10"/>
  <c r="N39" i="10"/>
  <c r="N56" i="10" s="1"/>
  <c r="M39" i="10"/>
  <c r="M56" i="10" s="1"/>
  <c r="L39" i="10"/>
  <c r="L56" i="10" s="1"/>
  <c r="K39" i="10"/>
  <c r="J39" i="10"/>
  <c r="I39" i="10"/>
  <c r="I56" i="10" s="1"/>
  <c r="H39" i="10"/>
  <c r="H56" i="10" s="1"/>
  <c r="G39" i="10"/>
  <c r="F39" i="10"/>
  <c r="F56" i="10" s="1"/>
  <c r="E39" i="10"/>
  <c r="E56" i="10" s="1"/>
  <c r="D39" i="10"/>
  <c r="D56" i="10" s="1"/>
  <c r="CX38" i="10"/>
  <c r="CW38" i="10"/>
  <c r="CV38" i="10"/>
  <c r="CV55" i="10" s="1"/>
  <c r="CU38" i="10"/>
  <c r="CU55" i="10" s="1"/>
  <c r="CT38" i="10"/>
  <c r="CS38" i="10"/>
  <c r="CS55" i="10" s="1"/>
  <c r="CR38" i="10"/>
  <c r="CR55" i="10" s="1"/>
  <c r="CQ38" i="10"/>
  <c r="CQ55" i="10" s="1"/>
  <c r="CP38" i="10"/>
  <c r="CO38" i="10"/>
  <c r="CN38" i="10"/>
  <c r="CN55" i="10" s="1"/>
  <c r="CM38" i="10"/>
  <c r="CM55" i="10" s="1"/>
  <c r="CL38" i="10"/>
  <c r="CK38" i="10"/>
  <c r="CK55" i="10" s="1"/>
  <c r="CJ38" i="10"/>
  <c r="CJ55" i="10" s="1"/>
  <c r="CI38" i="10"/>
  <c r="CI55" i="10" s="1"/>
  <c r="CH38" i="10"/>
  <c r="CG38" i="10"/>
  <c r="CF38" i="10"/>
  <c r="CF55" i="10" s="1"/>
  <c r="CE38" i="10"/>
  <c r="CE55" i="10" s="1"/>
  <c r="CD38" i="10"/>
  <c r="CC38" i="10"/>
  <c r="CC55" i="10" s="1"/>
  <c r="CB38" i="10"/>
  <c r="CB55" i="10" s="1"/>
  <c r="CA38" i="10"/>
  <c r="CA55" i="10" s="1"/>
  <c r="BZ38" i="10"/>
  <c r="BY38" i="10"/>
  <c r="BX38" i="10"/>
  <c r="BX55" i="10" s="1"/>
  <c r="BW38" i="10"/>
  <c r="BW55" i="10" s="1"/>
  <c r="BV38" i="10"/>
  <c r="BU38" i="10"/>
  <c r="BU55" i="10" s="1"/>
  <c r="BT38" i="10"/>
  <c r="BT55" i="10" s="1"/>
  <c r="BS38" i="10"/>
  <c r="BS55" i="10" s="1"/>
  <c r="BR38" i="10"/>
  <c r="BQ38" i="10"/>
  <c r="BP38" i="10"/>
  <c r="BP55" i="10" s="1"/>
  <c r="BO38" i="10"/>
  <c r="BO55" i="10" s="1"/>
  <c r="BN38" i="10"/>
  <c r="BM38" i="10"/>
  <c r="BM55" i="10" s="1"/>
  <c r="BL38" i="10"/>
  <c r="BL55" i="10" s="1"/>
  <c r="BK38" i="10"/>
  <c r="BK55" i="10" s="1"/>
  <c r="BJ38" i="10"/>
  <c r="BI38" i="10"/>
  <c r="BH38" i="10"/>
  <c r="BH55" i="10" s="1"/>
  <c r="BG38" i="10"/>
  <c r="BG55" i="10" s="1"/>
  <c r="BF38" i="10"/>
  <c r="BE38" i="10"/>
  <c r="BE55" i="10" s="1"/>
  <c r="BD38" i="10"/>
  <c r="BD55" i="10" s="1"/>
  <c r="BC38" i="10"/>
  <c r="BC55" i="10" s="1"/>
  <c r="BB38" i="10"/>
  <c r="BA38" i="10"/>
  <c r="AZ38" i="10"/>
  <c r="AZ55" i="10" s="1"/>
  <c r="AY38" i="10"/>
  <c r="AY55" i="10" s="1"/>
  <c r="AX38" i="10"/>
  <c r="AW38" i="10"/>
  <c r="AW55" i="10" s="1"/>
  <c r="AV38" i="10"/>
  <c r="AV55" i="10" s="1"/>
  <c r="AU38" i="10"/>
  <c r="AU55" i="10" s="1"/>
  <c r="AT38" i="10"/>
  <c r="AS38" i="10"/>
  <c r="AR38" i="10"/>
  <c r="AR55" i="10" s="1"/>
  <c r="AQ38" i="10"/>
  <c r="AQ55" i="10" s="1"/>
  <c r="AP38" i="10"/>
  <c r="AO38" i="10"/>
  <c r="AO55" i="10" s="1"/>
  <c r="AN38" i="10"/>
  <c r="AN55" i="10" s="1"/>
  <c r="AM38" i="10"/>
  <c r="AM55" i="10" s="1"/>
  <c r="AL38" i="10"/>
  <c r="AK38" i="10"/>
  <c r="AJ38" i="10"/>
  <c r="AJ55" i="10" s="1"/>
  <c r="AI38" i="10"/>
  <c r="AI55" i="10" s="1"/>
  <c r="AH38" i="10"/>
  <c r="AG38" i="10"/>
  <c r="AG55" i="10" s="1"/>
  <c r="AF38" i="10"/>
  <c r="AF55" i="10" s="1"/>
  <c r="AE38" i="10"/>
  <c r="AE55" i="10" s="1"/>
  <c r="AD38" i="10"/>
  <c r="AC38" i="10"/>
  <c r="AB38" i="10"/>
  <c r="AB55" i="10" s="1"/>
  <c r="AA38" i="10"/>
  <c r="AA55" i="10" s="1"/>
  <c r="Z38" i="10"/>
  <c r="Y38" i="10"/>
  <c r="Y55" i="10" s="1"/>
  <c r="X38" i="10"/>
  <c r="X55" i="10" s="1"/>
  <c r="W38" i="10"/>
  <c r="W55" i="10" s="1"/>
  <c r="V38" i="10"/>
  <c r="U38" i="10"/>
  <c r="T38" i="10"/>
  <c r="T55" i="10" s="1"/>
  <c r="S38" i="10"/>
  <c r="S55" i="10" s="1"/>
  <c r="R38" i="10"/>
  <c r="Q38" i="10"/>
  <c r="Q55" i="10" s="1"/>
  <c r="P38" i="10"/>
  <c r="P55" i="10" s="1"/>
  <c r="O38" i="10"/>
  <c r="O55" i="10" s="1"/>
  <c r="N38" i="10"/>
  <c r="M38" i="10"/>
  <c r="L38" i="10"/>
  <c r="L55" i="10" s="1"/>
  <c r="K38" i="10"/>
  <c r="K55" i="10" s="1"/>
  <c r="J38" i="10"/>
  <c r="I38" i="10"/>
  <c r="I55" i="10" s="1"/>
  <c r="H38" i="10"/>
  <c r="H55" i="10" s="1"/>
  <c r="G38" i="10"/>
  <c r="G55" i="10" s="1"/>
  <c r="F38" i="10"/>
  <c r="E38" i="10"/>
  <c r="D38" i="10"/>
  <c r="D55" i="10" s="1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W32" i="10"/>
  <c r="CQ32" i="10"/>
  <c r="CM32" i="10"/>
  <c r="CL32" i="10"/>
  <c r="CI32" i="10"/>
  <c r="CG32" i="10"/>
  <c r="CA32" i="10"/>
  <c r="BW32" i="10"/>
  <c r="BV32" i="10"/>
  <c r="BQ32" i="10"/>
  <c r="BK32" i="10"/>
  <c r="BG32" i="10"/>
  <c r="BF32" i="10"/>
  <c r="BA32" i="10"/>
  <c r="AU32" i="10"/>
  <c r="AQ32" i="10"/>
  <c r="AP32" i="10"/>
  <c r="AK32" i="10"/>
  <c r="AE32" i="10"/>
  <c r="AA32" i="10"/>
  <c r="Z32" i="10"/>
  <c r="U32" i="10"/>
  <c r="O32" i="10"/>
  <c r="K32" i="10"/>
  <c r="J32" i="10"/>
  <c r="E32" i="10"/>
  <c r="CT31" i="10"/>
  <c r="CO31" i="10"/>
  <c r="CJ31" i="10"/>
  <c r="CD31" i="10"/>
  <c r="BY31" i="10"/>
  <c r="BT31" i="10"/>
  <c r="BN31" i="10"/>
  <c r="BI31" i="10"/>
  <c r="BD31" i="10"/>
  <c r="AX31" i="10"/>
  <c r="AS31" i="10"/>
  <c r="AN31" i="10"/>
  <c r="AH31" i="10"/>
  <c r="AC31" i="10"/>
  <c r="X31" i="10"/>
  <c r="R31" i="10"/>
  <c r="M31" i="10"/>
  <c r="H31" i="10"/>
  <c r="CW30" i="10"/>
  <c r="CR30" i="10"/>
  <c r="CM30" i="10"/>
  <c r="CG30" i="10"/>
  <c r="CB30" i="10"/>
  <c r="BW30" i="10"/>
  <c r="BQ30" i="10"/>
  <c r="BL30" i="10"/>
  <c r="BG30" i="10"/>
  <c r="BA30" i="10"/>
  <c r="AV30" i="10"/>
  <c r="AQ30" i="10"/>
  <c r="AK30" i="10"/>
  <c r="AF30" i="10"/>
  <c r="AA30" i="10"/>
  <c r="U30" i="10"/>
  <c r="P30" i="10"/>
  <c r="K30" i="10"/>
  <c r="E30" i="10"/>
  <c r="CU29" i="10"/>
  <c r="CP29" i="10"/>
  <c r="CJ29" i="10"/>
  <c r="CE29" i="10"/>
  <c r="BZ29" i="10"/>
  <c r="BT29" i="10"/>
  <c r="BO29" i="10"/>
  <c r="BJ29" i="10"/>
  <c r="BD29" i="10"/>
  <c r="AY29" i="10"/>
  <c r="AT29" i="10"/>
  <c r="AN29" i="10"/>
  <c r="AI29" i="10"/>
  <c r="AD29" i="10"/>
  <c r="X29" i="10"/>
  <c r="S29" i="10"/>
  <c r="N29" i="10"/>
  <c r="H29" i="10"/>
  <c r="CX28" i="10"/>
  <c r="CS28" i="10"/>
  <c r="CM28" i="10"/>
  <c r="CH28" i="10"/>
  <c r="CC28" i="10"/>
  <c r="BW28" i="10"/>
  <c r="BR28" i="10"/>
  <c r="BM28" i="10"/>
  <c r="BG28" i="10"/>
  <c r="BB28" i="10"/>
  <c r="AW28" i="10"/>
  <c r="AS28" i="10"/>
  <c r="AO28" i="10"/>
  <c r="AK28" i="10"/>
  <c r="AG28" i="10"/>
  <c r="AC28" i="10"/>
  <c r="Y28" i="10"/>
  <c r="U28" i="10"/>
  <c r="Q28" i="10"/>
  <c r="M28" i="10"/>
  <c r="I28" i="10"/>
  <c r="E28" i="10"/>
  <c r="CV27" i="10"/>
  <c r="CR27" i="10"/>
  <c r="CN27" i="10"/>
  <c r="CJ27" i="10"/>
  <c r="CF27" i="10"/>
  <c r="CB27" i="10"/>
  <c r="BX27" i="10"/>
  <c r="BT27" i="10"/>
  <c r="BP27" i="10"/>
  <c r="BL27" i="10"/>
  <c r="BH27" i="10"/>
  <c r="BD27" i="10"/>
  <c r="AZ27" i="10"/>
  <c r="AV27" i="10"/>
  <c r="AR27" i="10"/>
  <c r="AN27" i="10"/>
  <c r="AJ27" i="10"/>
  <c r="AF27" i="10"/>
  <c r="AB27" i="10"/>
  <c r="X27" i="10"/>
  <c r="T27" i="10"/>
  <c r="P27" i="10"/>
  <c r="L27" i="10"/>
  <c r="H27" i="10"/>
  <c r="D27" i="10"/>
  <c r="CU26" i="10"/>
  <c r="CQ26" i="10"/>
  <c r="CM26" i="10"/>
  <c r="CI26" i="10"/>
  <c r="CE26" i="10"/>
  <c r="CA26" i="10"/>
  <c r="BW26" i="10"/>
  <c r="BS26" i="10"/>
  <c r="BO26" i="10"/>
  <c r="BK26" i="10"/>
  <c r="BG26" i="10"/>
  <c r="BC26" i="10"/>
  <c r="AY26" i="10"/>
  <c r="AU26" i="10"/>
  <c r="AQ26" i="10"/>
  <c r="AM26" i="10"/>
  <c r="AI26" i="10"/>
  <c r="AE26" i="10"/>
  <c r="AA26" i="10"/>
  <c r="W26" i="10"/>
  <c r="S26" i="10"/>
  <c r="O26" i="10"/>
  <c r="K26" i="10"/>
  <c r="G26" i="10"/>
  <c r="CX25" i="10"/>
  <c r="CT25" i="10"/>
  <c r="CP25" i="10"/>
  <c r="CL25" i="10"/>
  <c r="CH25" i="10"/>
  <c r="CD25" i="10"/>
  <c r="BZ25" i="10"/>
  <c r="BV25" i="10"/>
  <c r="BR25" i="10"/>
  <c r="BN25" i="10"/>
  <c r="BJ25" i="10"/>
  <c r="BF25" i="10"/>
  <c r="BB25" i="10"/>
  <c r="AX25" i="10"/>
  <c r="AT25" i="10"/>
  <c r="AP25" i="10"/>
  <c r="AL25" i="10"/>
  <c r="AH25" i="10"/>
  <c r="AD25" i="10"/>
  <c r="Z25" i="10"/>
  <c r="V25" i="10"/>
  <c r="R25" i="10"/>
  <c r="N25" i="10"/>
  <c r="J25" i="10"/>
  <c r="F25" i="10"/>
  <c r="CW24" i="10"/>
  <c r="CS24" i="10"/>
  <c r="CO24" i="10"/>
  <c r="CK24" i="10"/>
  <c r="CG24" i="10"/>
  <c r="CC24" i="10"/>
  <c r="BY24" i="10"/>
  <c r="BU24" i="10"/>
  <c r="BQ24" i="10"/>
  <c r="BM24" i="10"/>
  <c r="BI24" i="10"/>
  <c r="BE24" i="10"/>
  <c r="BA24" i="10"/>
  <c r="AW24" i="10"/>
  <c r="AS24" i="10"/>
  <c r="AO24" i="10"/>
  <c r="AK24" i="10"/>
  <c r="AG24" i="10"/>
  <c r="AC24" i="10"/>
  <c r="Y24" i="10"/>
  <c r="U24" i="10"/>
  <c r="Q24" i="10"/>
  <c r="M24" i="10"/>
  <c r="I24" i="10"/>
  <c r="E24" i="10"/>
  <c r="CX23" i="10"/>
  <c r="CX32" i="10" s="1"/>
  <c r="CW23" i="10"/>
  <c r="CV23" i="10"/>
  <c r="CV32" i="10" s="1"/>
  <c r="CU23" i="10"/>
  <c r="CU32" i="10" s="1"/>
  <c r="CT23" i="10"/>
  <c r="CT32" i="10" s="1"/>
  <c r="CS23" i="10"/>
  <c r="CS32" i="10" s="1"/>
  <c r="CR23" i="10"/>
  <c r="CR32" i="10" s="1"/>
  <c r="CQ23" i="10"/>
  <c r="CP23" i="10"/>
  <c r="CP32" i="10" s="1"/>
  <c r="CO23" i="10"/>
  <c r="CO32" i="10" s="1"/>
  <c r="CN23" i="10"/>
  <c r="CN32" i="10" s="1"/>
  <c r="CM23" i="10"/>
  <c r="CL23" i="10"/>
  <c r="CK23" i="10"/>
  <c r="CK32" i="10" s="1"/>
  <c r="CJ23" i="10"/>
  <c r="CJ32" i="10" s="1"/>
  <c r="CI23" i="10"/>
  <c r="CH23" i="10"/>
  <c r="CH32" i="10" s="1"/>
  <c r="CG23" i="10"/>
  <c r="CF23" i="10"/>
  <c r="CF32" i="10" s="1"/>
  <c r="CE23" i="10"/>
  <c r="CE32" i="10" s="1"/>
  <c r="CD23" i="10"/>
  <c r="CD32" i="10" s="1"/>
  <c r="CC23" i="10"/>
  <c r="CC32" i="10" s="1"/>
  <c r="CB23" i="10"/>
  <c r="CB32" i="10" s="1"/>
  <c r="CA23" i="10"/>
  <c r="BZ23" i="10"/>
  <c r="BZ32" i="10" s="1"/>
  <c r="BY23" i="10"/>
  <c r="BY32" i="10" s="1"/>
  <c r="BX23" i="10"/>
  <c r="BX32" i="10" s="1"/>
  <c r="BW23" i="10"/>
  <c r="BV23" i="10"/>
  <c r="BU23" i="10"/>
  <c r="BU32" i="10" s="1"/>
  <c r="BT23" i="10"/>
  <c r="BT32" i="10" s="1"/>
  <c r="BS23" i="10"/>
  <c r="BS32" i="10" s="1"/>
  <c r="BR23" i="10"/>
  <c r="BR32" i="10" s="1"/>
  <c r="BQ23" i="10"/>
  <c r="BP23" i="10"/>
  <c r="BP32" i="10" s="1"/>
  <c r="BO23" i="10"/>
  <c r="BO32" i="10" s="1"/>
  <c r="BN23" i="10"/>
  <c r="BN32" i="10" s="1"/>
  <c r="BM23" i="10"/>
  <c r="BM32" i="10" s="1"/>
  <c r="BL23" i="10"/>
  <c r="BL32" i="10" s="1"/>
  <c r="BK23" i="10"/>
  <c r="BJ23" i="10"/>
  <c r="BJ32" i="10" s="1"/>
  <c r="BI23" i="10"/>
  <c r="BI32" i="10" s="1"/>
  <c r="BH23" i="10"/>
  <c r="BH32" i="10" s="1"/>
  <c r="BG23" i="10"/>
  <c r="BF23" i="10"/>
  <c r="BE23" i="10"/>
  <c r="BE32" i="10" s="1"/>
  <c r="BD23" i="10"/>
  <c r="BD32" i="10" s="1"/>
  <c r="BC23" i="10"/>
  <c r="BC32" i="10" s="1"/>
  <c r="BB23" i="10"/>
  <c r="BB32" i="10" s="1"/>
  <c r="BA23" i="10"/>
  <c r="AZ23" i="10"/>
  <c r="AZ32" i="10" s="1"/>
  <c r="AY23" i="10"/>
  <c r="AY32" i="10" s="1"/>
  <c r="AX23" i="10"/>
  <c r="AX32" i="10" s="1"/>
  <c r="AW23" i="10"/>
  <c r="AW32" i="10" s="1"/>
  <c r="AV23" i="10"/>
  <c r="AV32" i="10" s="1"/>
  <c r="AU23" i="10"/>
  <c r="AT23" i="10"/>
  <c r="AT32" i="10" s="1"/>
  <c r="AS23" i="10"/>
  <c r="AS32" i="10" s="1"/>
  <c r="AR23" i="10"/>
  <c r="AR32" i="10" s="1"/>
  <c r="AQ23" i="10"/>
  <c r="AP23" i="10"/>
  <c r="AO23" i="10"/>
  <c r="AO32" i="10" s="1"/>
  <c r="AN23" i="10"/>
  <c r="AN32" i="10" s="1"/>
  <c r="AM23" i="10"/>
  <c r="AM32" i="10" s="1"/>
  <c r="AL23" i="10"/>
  <c r="AL32" i="10" s="1"/>
  <c r="AK23" i="10"/>
  <c r="AJ23" i="10"/>
  <c r="AJ32" i="10" s="1"/>
  <c r="AI23" i="10"/>
  <c r="AI32" i="10" s="1"/>
  <c r="AH23" i="10"/>
  <c r="AH32" i="10" s="1"/>
  <c r="AG23" i="10"/>
  <c r="AG32" i="10" s="1"/>
  <c r="AF23" i="10"/>
  <c r="AF32" i="10" s="1"/>
  <c r="AE23" i="10"/>
  <c r="AD23" i="10"/>
  <c r="AD32" i="10" s="1"/>
  <c r="AC23" i="10"/>
  <c r="AC32" i="10" s="1"/>
  <c r="AB23" i="10"/>
  <c r="AB32" i="10" s="1"/>
  <c r="AA23" i="10"/>
  <c r="Z23" i="10"/>
  <c r="Y23" i="10"/>
  <c r="Y32" i="10" s="1"/>
  <c r="X23" i="10"/>
  <c r="X32" i="10" s="1"/>
  <c r="W23" i="10"/>
  <c r="W32" i="10" s="1"/>
  <c r="V23" i="10"/>
  <c r="V32" i="10" s="1"/>
  <c r="U23" i="10"/>
  <c r="T23" i="10"/>
  <c r="T32" i="10" s="1"/>
  <c r="S23" i="10"/>
  <c r="S32" i="10" s="1"/>
  <c r="R23" i="10"/>
  <c r="R32" i="10" s="1"/>
  <c r="Q23" i="10"/>
  <c r="Q32" i="10" s="1"/>
  <c r="P23" i="10"/>
  <c r="P32" i="10" s="1"/>
  <c r="O23" i="10"/>
  <c r="N23" i="10"/>
  <c r="N32" i="10" s="1"/>
  <c r="M23" i="10"/>
  <c r="M32" i="10" s="1"/>
  <c r="L23" i="10"/>
  <c r="L32" i="10" s="1"/>
  <c r="K23" i="10"/>
  <c r="J23" i="10"/>
  <c r="I23" i="10"/>
  <c r="I32" i="10" s="1"/>
  <c r="H23" i="10"/>
  <c r="H32" i="10" s="1"/>
  <c r="G23" i="10"/>
  <c r="G32" i="10" s="1"/>
  <c r="F23" i="10"/>
  <c r="F32" i="10" s="1"/>
  <c r="E23" i="10"/>
  <c r="D23" i="10"/>
  <c r="D32" i="10" s="1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X14" i="10"/>
  <c r="CX31" i="10" s="1"/>
  <c r="CW14" i="10"/>
  <c r="CW31" i="10" s="1"/>
  <c r="CV14" i="10"/>
  <c r="CV31" i="10" s="1"/>
  <c r="CU14" i="10"/>
  <c r="CU31" i="10" s="1"/>
  <c r="CT14" i="10"/>
  <c r="CS14" i="10"/>
  <c r="CS31" i="10" s="1"/>
  <c r="CR14" i="10"/>
  <c r="CR31" i="10" s="1"/>
  <c r="CQ14" i="10"/>
  <c r="CQ31" i="10" s="1"/>
  <c r="CP14" i="10"/>
  <c r="CP31" i="10" s="1"/>
  <c r="CO14" i="10"/>
  <c r="CN14" i="10"/>
  <c r="CN31" i="10" s="1"/>
  <c r="CM14" i="10"/>
  <c r="CM31" i="10" s="1"/>
  <c r="CL14" i="10"/>
  <c r="CL31" i="10" s="1"/>
  <c r="CK14" i="10"/>
  <c r="CK31" i="10" s="1"/>
  <c r="CJ14" i="10"/>
  <c r="CI14" i="10"/>
  <c r="CI31" i="10" s="1"/>
  <c r="CH14" i="10"/>
  <c r="CH31" i="10" s="1"/>
  <c r="CG14" i="10"/>
  <c r="CG31" i="10" s="1"/>
  <c r="CF14" i="10"/>
  <c r="CF31" i="10" s="1"/>
  <c r="CE14" i="10"/>
  <c r="CE31" i="10" s="1"/>
  <c r="CD14" i="10"/>
  <c r="CC14" i="10"/>
  <c r="CC31" i="10" s="1"/>
  <c r="CB14" i="10"/>
  <c r="CB31" i="10" s="1"/>
  <c r="CA14" i="10"/>
  <c r="CA31" i="10" s="1"/>
  <c r="BZ14" i="10"/>
  <c r="BZ31" i="10" s="1"/>
  <c r="BY14" i="10"/>
  <c r="BX14" i="10"/>
  <c r="BX31" i="10" s="1"/>
  <c r="BW14" i="10"/>
  <c r="BW31" i="10" s="1"/>
  <c r="BV14" i="10"/>
  <c r="BV31" i="10" s="1"/>
  <c r="BU14" i="10"/>
  <c r="BU31" i="10" s="1"/>
  <c r="BT14" i="10"/>
  <c r="BS14" i="10"/>
  <c r="BS31" i="10" s="1"/>
  <c r="BR14" i="10"/>
  <c r="BR31" i="10" s="1"/>
  <c r="BQ14" i="10"/>
  <c r="BQ31" i="10" s="1"/>
  <c r="BP14" i="10"/>
  <c r="BP31" i="10" s="1"/>
  <c r="BO14" i="10"/>
  <c r="BO31" i="10" s="1"/>
  <c r="BN14" i="10"/>
  <c r="BM14" i="10"/>
  <c r="BM31" i="10" s="1"/>
  <c r="BL14" i="10"/>
  <c r="BL31" i="10" s="1"/>
  <c r="BK14" i="10"/>
  <c r="BK31" i="10" s="1"/>
  <c r="BJ14" i="10"/>
  <c r="BJ31" i="10" s="1"/>
  <c r="BI14" i="10"/>
  <c r="BH14" i="10"/>
  <c r="BH31" i="10" s="1"/>
  <c r="BG14" i="10"/>
  <c r="BG31" i="10" s="1"/>
  <c r="BF14" i="10"/>
  <c r="BF31" i="10" s="1"/>
  <c r="BE14" i="10"/>
  <c r="BE31" i="10" s="1"/>
  <c r="BD14" i="10"/>
  <c r="BC14" i="10"/>
  <c r="BC31" i="10" s="1"/>
  <c r="BB14" i="10"/>
  <c r="BB31" i="10" s="1"/>
  <c r="BA14" i="10"/>
  <c r="BA31" i="10" s="1"/>
  <c r="AZ14" i="10"/>
  <c r="AZ31" i="10" s="1"/>
  <c r="AY14" i="10"/>
  <c r="AY31" i="10" s="1"/>
  <c r="AX14" i="10"/>
  <c r="AW14" i="10"/>
  <c r="AW31" i="10" s="1"/>
  <c r="AV14" i="10"/>
  <c r="AV31" i="10" s="1"/>
  <c r="AU14" i="10"/>
  <c r="AU31" i="10" s="1"/>
  <c r="AT14" i="10"/>
  <c r="AT31" i="10" s="1"/>
  <c r="AS14" i="10"/>
  <c r="AR14" i="10"/>
  <c r="AR31" i="10" s="1"/>
  <c r="AQ14" i="10"/>
  <c r="AQ31" i="10" s="1"/>
  <c r="AP14" i="10"/>
  <c r="AP31" i="10" s="1"/>
  <c r="AO14" i="10"/>
  <c r="AO31" i="10" s="1"/>
  <c r="AN14" i="10"/>
  <c r="AM14" i="10"/>
  <c r="AM31" i="10" s="1"/>
  <c r="AL14" i="10"/>
  <c r="AL31" i="10" s="1"/>
  <c r="AK14" i="10"/>
  <c r="AK31" i="10" s="1"/>
  <c r="AJ14" i="10"/>
  <c r="AJ31" i="10" s="1"/>
  <c r="AI14" i="10"/>
  <c r="AI31" i="10" s="1"/>
  <c r="AH14" i="10"/>
  <c r="AG14" i="10"/>
  <c r="AG31" i="10" s="1"/>
  <c r="AF14" i="10"/>
  <c r="AF31" i="10" s="1"/>
  <c r="AE14" i="10"/>
  <c r="AE31" i="10" s="1"/>
  <c r="AD14" i="10"/>
  <c r="AD31" i="10" s="1"/>
  <c r="AC14" i="10"/>
  <c r="AB14" i="10"/>
  <c r="AB31" i="10" s="1"/>
  <c r="AA14" i="10"/>
  <c r="AA31" i="10" s="1"/>
  <c r="Z14" i="10"/>
  <c r="Z31" i="10" s="1"/>
  <c r="Y14" i="10"/>
  <c r="Y31" i="10" s="1"/>
  <c r="X14" i="10"/>
  <c r="W14" i="10"/>
  <c r="W31" i="10" s="1"/>
  <c r="V14" i="10"/>
  <c r="V31" i="10" s="1"/>
  <c r="U14" i="10"/>
  <c r="U31" i="10" s="1"/>
  <c r="T14" i="10"/>
  <c r="T31" i="10" s="1"/>
  <c r="S14" i="10"/>
  <c r="S31" i="10" s="1"/>
  <c r="R14" i="10"/>
  <c r="Q14" i="10"/>
  <c r="Q31" i="10" s="1"/>
  <c r="P14" i="10"/>
  <c r="P31" i="10" s="1"/>
  <c r="O14" i="10"/>
  <c r="O31" i="10" s="1"/>
  <c r="N14" i="10"/>
  <c r="N31" i="10" s="1"/>
  <c r="M14" i="10"/>
  <c r="L14" i="10"/>
  <c r="L31" i="10" s="1"/>
  <c r="K14" i="10"/>
  <c r="K31" i="10" s="1"/>
  <c r="J14" i="10"/>
  <c r="J31" i="10" s="1"/>
  <c r="I14" i="10"/>
  <c r="I31" i="10" s="1"/>
  <c r="H14" i="10"/>
  <c r="G14" i="10"/>
  <c r="G31" i="10" s="1"/>
  <c r="F14" i="10"/>
  <c r="F31" i="10" s="1"/>
  <c r="E14" i="10"/>
  <c r="E31" i="10" s="1"/>
  <c r="D14" i="10"/>
  <c r="D31" i="10" s="1"/>
  <c r="CX13" i="10"/>
  <c r="CX30" i="10" s="1"/>
  <c r="CW13" i="10"/>
  <c r="CV13" i="10"/>
  <c r="CV30" i="10" s="1"/>
  <c r="CU13" i="10"/>
  <c r="CU30" i="10" s="1"/>
  <c r="CT13" i="10"/>
  <c r="CT30" i="10" s="1"/>
  <c r="CS13" i="10"/>
  <c r="CS30" i="10" s="1"/>
  <c r="CR13" i="10"/>
  <c r="CQ13" i="10"/>
  <c r="CQ30" i="10" s="1"/>
  <c r="CP13" i="10"/>
  <c r="CP30" i="10" s="1"/>
  <c r="CO13" i="10"/>
  <c r="CO30" i="10" s="1"/>
  <c r="CN13" i="10"/>
  <c r="CN30" i="10" s="1"/>
  <c r="CM13" i="10"/>
  <c r="CL13" i="10"/>
  <c r="CL30" i="10" s="1"/>
  <c r="CK13" i="10"/>
  <c r="CK30" i="10" s="1"/>
  <c r="CJ13" i="10"/>
  <c r="CJ30" i="10" s="1"/>
  <c r="CI13" i="10"/>
  <c r="CI30" i="10" s="1"/>
  <c r="CH13" i="10"/>
  <c r="CH30" i="10" s="1"/>
  <c r="CG13" i="10"/>
  <c r="CF13" i="10"/>
  <c r="CF30" i="10" s="1"/>
  <c r="CE13" i="10"/>
  <c r="CE30" i="10" s="1"/>
  <c r="CD13" i="10"/>
  <c r="CD30" i="10" s="1"/>
  <c r="CC13" i="10"/>
  <c r="CC30" i="10" s="1"/>
  <c r="CB13" i="10"/>
  <c r="CA13" i="10"/>
  <c r="CA30" i="10" s="1"/>
  <c r="BZ13" i="10"/>
  <c r="BZ30" i="10" s="1"/>
  <c r="BY13" i="10"/>
  <c r="BY30" i="10" s="1"/>
  <c r="BX13" i="10"/>
  <c r="BX30" i="10" s="1"/>
  <c r="BW13" i="10"/>
  <c r="BV13" i="10"/>
  <c r="BV30" i="10" s="1"/>
  <c r="BU13" i="10"/>
  <c r="BU30" i="10" s="1"/>
  <c r="BT13" i="10"/>
  <c r="BT30" i="10" s="1"/>
  <c r="BS13" i="10"/>
  <c r="BS30" i="10" s="1"/>
  <c r="BR13" i="10"/>
  <c r="BR30" i="10" s="1"/>
  <c r="BQ13" i="10"/>
  <c r="BP13" i="10"/>
  <c r="BP30" i="10" s="1"/>
  <c r="BO13" i="10"/>
  <c r="BO30" i="10" s="1"/>
  <c r="BN13" i="10"/>
  <c r="BN30" i="10" s="1"/>
  <c r="BM13" i="10"/>
  <c r="BM30" i="10" s="1"/>
  <c r="BL13" i="10"/>
  <c r="BK13" i="10"/>
  <c r="BK30" i="10" s="1"/>
  <c r="BJ13" i="10"/>
  <c r="BJ30" i="10" s="1"/>
  <c r="BI13" i="10"/>
  <c r="BI30" i="10" s="1"/>
  <c r="BH13" i="10"/>
  <c r="BH30" i="10" s="1"/>
  <c r="BG13" i="10"/>
  <c r="BF13" i="10"/>
  <c r="BF30" i="10" s="1"/>
  <c r="BE13" i="10"/>
  <c r="BE30" i="10" s="1"/>
  <c r="BD13" i="10"/>
  <c r="BD30" i="10" s="1"/>
  <c r="BC13" i="10"/>
  <c r="BC30" i="10" s="1"/>
  <c r="BB13" i="10"/>
  <c r="BB30" i="10" s="1"/>
  <c r="BA13" i="10"/>
  <c r="AZ13" i="10"/>
  <c r="AZ30" i="10" s="1"/>
  <c r="AY13" i="10"/>
  <c r="AY30" i="10" s="1"/>
  <c r="AX13" i="10"/>
  <c r="AX30" i="10" s="1"/>
  <c r="AW13" i="10"/>
  <c r="AW30" i="10" s="1"/>
  <c r="AV13" i="10"/>
  <c r="AU13" i="10"/>
  <c r="AU30" i="10" s="1"/>
  <c r="AT13" i="10"/>
  <c r="AT30" i="10" s="1"/>
  <c r="AS13" i="10"/>
  <c r="AS30" i="10" s="1"/>
  <c r="AR13" i="10"/>
  <c r="AR30" i="10" s="1"/>
  <c r="AQ13" i="10"/>
  <c r="AP13" i="10"/>
  <c r="AP30" i="10" s="1"/>
  <c r="AO13" i="10"/>
  <c r="AO30" i="10" s="1"/>
  <c r="AN13" i="10"/>
  <c r="AN30" i="10" s="1"/>
  <c r="AM13" i="10"/>
  <c r="AM30" i="10" s="1"/>
  <c r="AL13" i="10"/>
  <c r="AL30" i="10" s="1"/>
  <c r="AK13" i="10"/>
  <c r="AJ13" i="10"/>
  <c r="AJ30" i="10" s="1"/>
  <c r="AI13" i="10"/>
  <c r="AI30" i="10" s="1"/>
  <c r="AH13" i="10"/>
  <c r="AH30" i="10" s="1"/>
  <c r="AG13" i="10"/>
  <c r="AG30" i="10" s="1"/>
  <c r="AF13" i="10"/>
  <c r="AE13" i="10"/>
  <c r="AE30" i="10" s="1"/>
  <c r="AD13" i="10"/>
  <c r="AD30" i="10" s="1"/>
  <c r="AC13" i="10"/>
  <c r="AC30" i="10" s="1"/>
  <c r="AB13" i="10"/>
  <c r="AB30" i="10" s="1"/>
  <c r="AA13" i="10"/>
  <c r="Z13" i="10"/>
  <c r="Z30" i="10" s="1"/>
  <c r="Y13" i="10"/>
  <c r="Y30" i="10" s="1"/>
  <c r="X13" i="10"/>
  <c r="X30" i="10" s="1"/>
  <c r="W13" i="10"/>
  <c r="W30" i="10" s="1"/>
  <c r="V13" i="10"/>
  <c r="V30" i="10" s="1"/>
  <c r="U13" i="10"/>
  <c r="T13" i="10"/>
  <c r="T30" i="10" s="1"/>
  <c r="S13" i="10"/>
  <c r="S30" i="10" s="1"/>
  <c r="R13" i="10"/>
  <c r="R30" i="10" s="1"/>
  <c r="Q13" i="10"/>
  <c r="Q30" i="10" s="1"/>
  <c r="P13" i="10"/>
  <c r="O13" i="10"/>
  <c r="O30" i="10" s="1"/>
  <c r="N13" i="10"/>
  <c r="N30" i="10" s="1"/>
  <c r="M13" i="10"/>
  <c r="M30" i="10" s="1"/>
  <c r="L13" i="10"/>
  <c r="L30" i="10" s="1"/>
  <c r="K13" i="10"/>
  <c r="J13" i="10"/>
  <c r="J30" i="10" s="1"/>
  <c r="I13" i="10"/>
  <c r="I30" i="10" s="1"/>
  <c r="H13" i="10"/>
  <c r="H30" i="10" s="1"/>
  <c r="G13" i="10"/>
  <c r="G30" i="10" s="1"/>
  <c r="F13" i="10"/>
  <c r="F30" i="10" s="1"/>
  <c r="E13" i="10"/>
  <c r="D13" i="10"/>
  <c r="D30" i="10" s="1"/>
  <c r="CX12" i="10"/>
  <c r="CX29" i="10" s="1"/>
  <c r="CW12" i="10"/>
  <c r="CW29" i="10" s="1"/>
  <c r="CV12" i="10"/>
  <c r="CV29" i="10" s="1"/>
  <c r="CU12" i="10"/>
  <c r="CT12" i="10"/>
  <c r="CT29" i="10" s="1"/>
  <c r="CS12" i="10"/>
  <c r="CS29" i="10" s="1"/>
  <c r="CR12" i="10"/>
  <c r="CR29" i="10" s="1"/>
  <c r="CQ12" i="10"/>
  <c r="CQ29" i="10" s="1"/>
  <c r="CP12" i="10"/>
  <c r="CO12" i="10"/>
  <c r="CO29" i="10" s="1"/>
  <c r="CN12" i="10"/>
  <c r="CN29" i="10" s="1"/>
  <c r="CM12" i="10"/>
  <c r="CM29" i="10" s="1"/>
  <c r="CL12" i="10"/>
  <c r="CL29" i="10" s="1"/>
  <c r="CK12" i="10"/>
  <c r="CK29" i="10" s="1"/>
  <c r="CJ12" i="10"/>
  <c r="CI12" i="10"/>
  <c r="CI29" i="10" s="1"/>
  <c r="CH12" i="10"/>
  <c r="CH29" i="10" s="1"/>
  <c r="CG12" i="10"/>
  <c r="CG29" i="10" s="1"/>
  <c r="CF12" i="10"/>
  <c r="CF29" i="10" s="1"/>
  <c r="CE12" i="10"/>
  <c r="CD12" i="10"/>
  <c r="CD29" i="10" s="1"/>
  <c r="CC12" i="10"/>
  <c r="CC29" i="10" s="1"/>
  <c r="CB12" i="10"/>
  <c r="CB29" i="10" s="1"/>
  <c r="CA12" i="10"/>
  <c r="CA29" i="10" s="1"/>
  <c r="BZ12" i="10"/>
  <c r="BY12" i="10"/>
  <c r="BY29" i="10" s="1"/>
  <c r="BX12" i="10"/>
  <c r="BX29" i="10" s="1"/>
  <c r="BW12" i="10"/>
  <c r="BW29" i="10" s="1"/>
  <c r="BV12" i="10"/>
  <c r="BV29" i="10" s="1"/>
  <c r="BU12" i="10"/>
  <c r="BU29" i="10" s="1"/>
  <c r="BT12" i="10"/>
  <c r="BS12" i="10"/>
  <c r="BS29" i="10" s="1"/>
  <c r="BR12" i="10"/>
  <c r="BR29" i="10" s="1"/>
  <c r="BQ12" i="10"/>
  <c r="BQ29" i="10" s="1"/>
  <c r="BP12" i="10"/>
  <c r="BP29" i="10" s="1"/>
  <c r="BO12" i="10"/>
  <c r="BN12" i="10"/>
  <c r="BN29" i="10" s="1"/>
  <c r="BM12" i="10"/>
  <c r="BM29" i="10" s="1"/>
  <c r="BL12" i="10"/>
  <c r="BL29" i="10" s="1"/>
  <c r="BK12" i="10"/>
  <c r="BK29" i="10" s="1"/>
  <c r="BJ12" i="10"/>
  <c r="BI12" i="10"/>
  <c r="BI29" i="10" s="1"/>
  <c r="BH12" i="10"/>
  <c r="BH29" i="10" s="1"/>
  <c r="BG12" i="10"/>
  <c r="BG29" i="10" s="1"/>
  <c r="BF12" i="10"/>
  <c r="BF29" i="10" s="1"/>
  <c r="BE12" i="10"/>
  <c r="BE29" i="10" s="1"/>
  <c r="BD12" i="10"/>
  <c r="BC12" i="10"/>
  <c r="BC29" i="10" s="1"/>
  <c r="BB12" i="10"/>
  <c r="BB29" i="10" s="1"/>
  <c r="BA12" i="10"/>
  <c r="BA29" i="10" s="1"/>
  <c r="AZ12" i="10"/>
  <c r="AZ29" i="10" s="1"/>
  <c r="AY12" i="10"/>
  <c r="AX12" i="10"/>
  <c r="AX29" i="10" s="1"/>
  <c r="AW12" i="10"/>
  <c r="AW29" i="10" s="1"/>
  <c r="AV12" i="10"/>
  <c r="AV29" i="10" s="1"/>
  <c r="AU12" i="10"/>
  <c r="AU29" i="10" s="1"/>
  <c r="AT12" i="10"/>
  <c r="AS12" i="10"/>
  <c r="AS29" i="10" s="1"/>
  <c r="AR12" i="10"/>
  <c r="AR29" i="10" s="1"/>
  <c r="AQ12" i="10"/>
  <c r="AQ29" i="10" s="1"/>
  <c r="AP12" i="10"/>
  <c r="AP29" i="10" s="1"/>
  <c r="AO12" i="10"/>
  <c r="AO29" i="10" s="1"/>
  <c r="AN12" i="10"/>
  <c r="AM12" i="10"/>
  <c r="AM29" i="10" s="1"/>
  <c r="AL12" i="10"/>
  <c r="AL29" i="10" s="1"/>
  <c r="AK12" i="10"/>
  <c r="AK29" i="10" s="1"/>
  <c r="AJ12" i="10"/>
  <c r="AJ29" i="10" s="1"/>
  <c r="AI12" i="10"/>
  <c r="AH12" i="10"/>
  <c r="AH29" i="10" s="1"/>
  <c r="AG12" i="10"/>
  <c r="AG29" i="10" s="1"/>
  <c r="AF12" i="10"/>
  <c r="AF29" i="10" s="1"/>
  <c r="AE12" i="10"/>
  <c r="AE29" i="10" s="1"/>
  <c r="AD12" i="10"/>
  <c r="AC12" i="10"/>
  <c r="AC29" i="10" s="1"/>
  <c r="AB12" i="10"/>
  <c r="AB29" i="10" s="1"/>
  <c r="AA12" i="10"/>
  <c r="AA29" i="10" s="1"/>
  <c r="Z12" i="10"/>
  <c r="Z29" i="10" s="1"/>
  <c r="Y12" i="10"/>
  <c r="Y29" i="10" s="1"/>
  <c r="X12" i="10"/>
  <c r="W12" i="10"/>
  <c r="W29" i="10" s="1"/>
  <c r="V12" i="10"/>
  <c r="V29" i="10" s="1"/>
  <c r="U12" i="10"/>
  <c r="U29" i="10" s="1"/>
  <c r="T12" i="10"/>
  <c r="T29" i="10" s="1"/>
  <c r="S12" i="10"/>
  <c r="R12" i="10"/>
  <c r="R29" i="10" s="1"/>
  <c r="Q12" i="10"/>
  <c r="Q29" i="10" s="1"/>
  <c r="P12" i="10"/>
  <c r="P29" i="10" s="1"/>
  <c r="O12" i="10"/>
  <c r="O29" i="10" s="1"/>
  <c r="N12" i="10"/>
  <c r="M12" i="10"/>
  <c r="M29" i="10" s="1"/>
  <c r="L12" i="10"/>
  <c r="L29" i="10" s="1"/>
  <c r="K12" i="10"/>
  <c r="K29" i="10" s="1"/>
  <c r="J12" i="10"/>
  <c r="J29" i="10" s="1"/>
  <c r="I12" i="10"/>
  <c r="I29" i="10" s="1"/>
  <c r="H12" i="10"/>
  <c r="G12" i="10"/>
  <c r="G29" i="10" s="1"/>
  <c r="F12" i="10"/>
  <c r="F29" i="10" s="1"/>
  <c r="E12" i="10"/>
  <c r="E29" i="10" s="1"/>
  <c r="D12" i="10"/>
  <c r="D29" i="10" s="1"/>
  <c r="CX11" i="10"/>
  <c r="CW11" i="10"/>
  <c r="CW28" i="10" s="1"/>
  <c r="CV11" i="10"/>
  <c r="CV28" i="10" s="1"/>
  <c r="CU11" i="10"/>
  <c r="CU28" i="10" s="1"/>
  <c r="CT11" i="10"/>
  <c r="CT28" i="10" s="1"/>
  <c r="CS11" i="10"/>
  <c r="CR11" i="10"/>
  <c r="CR28" i="10" s="1"/>
  <c r="CQ11" i="10"/>
  <c r="CQ28" i="10" s="1"/>
  <c r="CP11" i="10"/>
  <c r="CP28" i="10" s="1"/>
  <c r="CO11" i="10"/>
  <c r="CO28" i="10" s="1"/>
  <c r="CN11" i="10"/>
  <c r="CN28" i="10" s="1"/>
  <c r="CM11" i="10"/>
  <c r="CL11" i="10"/>
  <c r="CL28" i="10" s="1"/>
  <c r="CK11" i="10"/>
  <c r="CK28" i="10" s="1"/>
  <c r="CJ11" i="10"/>
  <c r="CJ28" i="10" s="1"/>
  <c r="CI11" i="10"/>
  <c r="CI28" i="10" s="1"/>
  <c r="CH11" i="10"/>
  <c r="CG11" i="10"/>
  <c r="CG28" i="10" s="1"/>
  <c r="CF11" i="10"/>
  <c r="CF28" i="10" s="1"/>
  <c r="CE11" i="10"/>
  <c r="CE28" i="10" s="1"/>
  <c r="CD11" i="10"/>
  <c r="CD28" i="10" s="1"/>
  <c r="CC11" i="10"/>
  <c r="CB11" i="10"/>
  <c r="CB28" i="10" s="1"/>
  <c r="CA11" i="10"/>
  <c r="CA28" i="10" s="1"/>
  <c r="BZ11" i="10"/>
  <c r="BZ28" i="10" s="1"/>
  <c r="BY11" i="10"/>
  <c r="BY28" i="10" s="1"/>
  <c r="BX11" i="10"/>
  <c r="BX28" i="10" s="1"/>
  <c r="BW11" i="10"/>
  <c r="BV11" i="10"/>
  <c r="BV28" i="10" s="1"/>
  <c r="BU11" i="10"/>
  <c r="BU28" i="10" s="1"/>
  <c r="BT11" i="10"/>
  <c r="BT28" i="10" s="1"/>
  <c r="BS11" i="10"/>
  <c r="BS28" i="10" s="1"/>
  <c r="BR11" i="10"/>
  <c r="BQ11" i="10"/>
  <c r="BQ28" i="10" s="1"/>
  <c r="BP11" i="10"/>
  <c r="BP28" i="10" s="1"/>
  <c r="BO11" i="10"/>
  <c r="BO28" i="10" s="1"/>
  <c r="BN11" i="10"/>
  <c r="BN28" i="10" s="1"/>
  <c r="BM11" i="10"/>
  <c r="BL11" i="10"/>
  <c r="BL28" i="10" s="1"/>
  <c r="BK11" i="10"/>
  <c r="BK28" i="10" s="1"/>
  <c r="BJ11" i="10"/>
  <c r="BJ28" i="10" s="1"/>
  <c r="BI11" i="10"/>
  <c r="BI28" i="10" s="1"/>
  <c r="BH11" i="10"/>
  <c r="BH28" i="10" s="1"/>
  <c r="BG11" i="10"/>
  <c r="BF11" i="10"/>
  <c r="BF28" i="10" s="1"/>
  <c r="BE11" i="10"/>
  <c r="BE28" i="10" s="1"/>
  <c r="BD11" i="10"/>
  <c r="BD28" i="10" s="1"/>
  <c r="BC11" i="10"/>
  <c r="BC28" i="10" s="1"/>
  <c r="BB11" i="10"/>
  <c r="BA11" i="10"/>
  <c r="BA28" i="10" s="1"/>
  <c r="AZ11" i="10"/>
  <c r="AZ28" i="10" s="1"/>
  <c r="AY11" i="10"/>
  <c r="AY28" i="10" s="1"/>
  <c r="AX11" i="10"/>
  <c r="AX28" i="10" s="1"/>
  <c r="AW11" i="10"/>
  <c r="AV11" i="10"/>
  <c r="AV28" i="10" s="1"/>
  <c r="AU11" i="10"/>
  <c r="AU28" i="10" s="1"/>
  <c r="AT11" i="10"/>
  <c r="AT28" i="10" s="1"/>
  <c r="AS11" i="10"/>
  <c r="AR11" i="10"/>
  <c r="AR28" i="10" s="1"/>
  <c r="AQ11" i="10"/>
  <c r="AQ28" i="10" s="1"/>
  <c r="AP11" i="10"/>
  <c r="AP28" i="10" s="1"/>
  <c r="AO11" i="10"/>
  <c r="AN11" i="10"/>
  <c r="AN28" i="10" s="1"/>
  <c r="AM11" i="10"/>
  <c r="AM28" i="10" s="1"/>
  <c r="AL11" i="10"/>
  <c r="AL28" i="10" s="1"/>
  <c r="AK11" i="10"/>
  <c r="AJ11" i="10"/>
  <c r="AJ28" i="10" s="1"/>
  <c r="AI11" i="10"/>
  <c r="AI28" i="10" s="1"/>
  <c r="AH11" i="10"/>
  <c r="AH28" i="10" s="1"/>
  <c r="AG11" i="10"/>
  <c r="AF11" i="10"/>
  <c r="AF28" i="10" s="1"/>
  <c r="AE11" i="10"/>
  <c r="AE28" i="10" s="1"/>
  <c r="AD11" i="10"/>
  <c r="AD28" i="10" s="1"/>
  <c r="AC11" i="10"/>
  <c r="AB11" i="10"/>
  <c r="AB28" i="10" s="1"/>
  <c r="AA11" i="10"/>
  <c r="AA28" i="10" s="1"/>
  <c r="Z11" i="10"/>
  <c r="Z28" i="10" s="1"/>
  <c r="Y11" i="10"/>
  <c r="X11" i="10"/>
  <c r="X28" i="10" s="1"/>
  <c r="W11" i="10"/>
  <c r="W28" i="10" s="1"/>
  <c r="V11" i="10"/>
  <c r="V28" i="10" s="1"/>
  <c r="U11" i="10"/>
  <c r="T11" i="10"/>
  <c r="T28" i="10" s="1"/>
  <c r="S11" i="10"/>
  <c r="S28" i="10" s="1"/>
  <c r="R11" i="10"/>
  <c r="R28" i="10" s="1"/>
  <c r="Q11" i="10"/>
  <c r="P11" i="10"/>
  <c r="P28" i="10" s="1"/>
  <c r="O11" i="10"/>
  <c r="O28" i="10" s="1"/>
  <c r="N11" i="10"/>
  <c r="N28" i="10" s="1"/>
  <c r="M11" i="10"/>
  <c r="L11" i="10"/>
  <c r="L28" i="10" s="1"/>
  <c r="K11" i="10"/>
  <c r="K28" i="10" s="1"/>
  <c r="J11" i="10"/>
  <c r="J28" i="10" s="1"/>
  <c r="I11" i="10"/>
  <c r="H11" i="10"/>
  <c r="H28" i="10" s="1"/>
  <c r="G11" i="10"/>
  <c r="G28" i="10" s="1"/>
  <c r="F11" i="10"/>
  <c r="F28" i="10" s="1"/>
  <c r="E11" i="10"/>
  <c r="D11" i="10"/>
  <c r="D28" i="10" s="1"/>
  <c r="CX10" i="10"/>
  <c r="CX27" i="10" s="1"/>
  <c r="CW10" i="10"/>
  <c r="CW27" i="10" s="1"/>
  <c r="CV10" i="10"/>
  <c r="CU10" i="10"/>
  <c r="CU27" i="10" s="1"/>
  <c r="CT10" i="10"/>
  <c r="CT27" i="10" s="1"/>
  <c r="CS10" i="10"/>
  <c r="CS27" i="10" s="1"/>
  <c r="CR10" i="10"/>
  <c r="CQ10" i="10"/>
  <c r="CQ27" i="10" s="1"/>
  <c r="CP10" i="10"/>
  <c r="CP27" i="10" s="1"/>
  <c r="CO10" i="10"/>
  <c r="CO27" i="10" s="1"/>
  <c r="CN10" i="10"/>
  <c r="CM10" i="10"/>
  <c r="CM27" i="10" s="1"/>
  <c r="CL10" i="10"/>
  <c r="CL27" i="10" s="1"/>
  <c r="CK10" i="10"/>
  <c r="CK27" i="10" s="1"/>
  <c r="CJ10" i="10"/>
  <c r="CI10" i="10"/>
  <c r="CI27" i="10" s="1"/>
  <c r="CH10" i="10"/>
  <c r="CH27" i="10" s="1"/>
  <c r="CG10" i="10"/>
  <c r="CG27" i="10" s="1"/>
  <c r="CF10" i="10"/>
  <c r="CE10" i="10"/>
  <c r="CE27" i="10" s="1"/>
  <c r="CD10" i="10"/>
  <c r="CD27" i="10" s="1"/>
  <c r="CC10" i="10"/>
  <c r="CC27" i="10" s="1"/>
  <c r="CB10" i="10"/>
  <c r="CA10" i="10"/>
  <c r="CA27" i="10" s="1"/>
  <c r="BZ10" i="10"/>
  <c r="BZ27" i="10" s="1"/>
  <c r="BY10" i="10"/>
  <c r="BY27" i="10" s="1"/>
  <c r="BX10" i="10"/>
  <c r="BW10" i="10"/>
  <c r="BW27" i="10" s="1"/>
  <c r="BV10" i="10"/>
  <c r="BV27" i="10" s="1"/>
  <c r="BU10" i="10"/>
  <c r="BU27" i="10" s="1"/>
  <c r="BT10" i="10"/>
  <c r="BS10" i="10"/>
  <c r="BS27" i="10" s="1"/>
  <c r="BR10" i="10"/>
  <c r="BR27" i="10" s="1"/>
  <c r="BQ10" i="10"/>
  <c r="BQ27" i="10" s="1"/>
  <c r="BP10" i="10"/>
  <c r="BO10" i="10"/>
  <c r="BO27" i="10" s="1"/>
  <c r="BN10" i="10"/>
  <c r="BN27" i="10" s="1"/>
  <c r="BM10" i="10"/>
  <c r="BM27" i="10" s="1"/>
  <c r="BL10" i="10"/>
  <c r="BK10" i="10"/>
  <c r="BK27" i="10" s="1"/>
  <c r="BJ10" i="10"/>
  <c r="BJ27" i="10" s="1"/>
  <c r="BI10" i="10"/>
  <c r="BI27" i="10" s="1"/>
  <c r="BH10" i="10"/>
  <c r="BG10" i="10"/>
  <c r="BG27" i="10" s="1"/>
  <c r="BF10" i="10"/>
  <c r="BF27" i="10" s="1"/>
  <c r="BE10" i="10"/>
  <c r="BE27" i="10" s="1"/>
  <c r="BD10" i="10"/>
  <c r="BC10" i="10"/>
  <c r="BC27" i="10" s="1"/>
  <c r="BB10" i="10"/>
  <c r="BB27" i="10" s="1"/>
  <c r="BA10" i="10"/>
  <c r="BA27" i="10" s="1"/>
  <c r="AZ10" i="10"/>
  <c r="AY10" i="10"/>
  <c r="AY27" i="10" s="1"/>
  <c r="AX10" i="10"/>
  <c r="AX27" i="10" s="1"/>
  <c r="AW10" i="10"/>
  <c r="AW27" i="10" s="1"/>
  <c r="AV10" i="10"/>
  <c r="AU10" i="10"/>
  <c r="AU27" i="10" s="1"/>
  <c r="AT10" i="10"/>
  <c r="AT27" i="10" s="1"/>
  <c r="AS10" i="10"/>
  <c r="AS27" i="10" s="1"/>
  <c r="AR10" i="10"/>
  <c r="AQ10" i="10"/>
  <c r="AQ27" i="10" s="1"/>
  <c r="AP10" i="10"/>
  <c r="AP27" i="10" s="1"/>
  <c r="AO10" i="10"/>
  <c r="AO27" i="10" s="1"/>
  <c r="AN10" i="10"/>
  <c r="AM10" i="10"/>
  <c r="AM27" i="10" s="1"/>
  <c r="AL10" i="10"/>
  <c r="AL27" i="10" s="1"/>
  <c r="AK10" i="10"/>
  <c r="AK27" i="10" s="1"/>
  <c r="AJ10" i="10"/>
  <c r="AI10" i="10"/>
  <c r="AI27" i="10" s="1"/>
  <c r="AH10" i="10"/>
  <c r="AH27" i="10" s="1"/>
  <c r="AG10" i="10"/>
  <c r="AG27" i="10" s="1"/>
  <c r="AF10" i="10"/>
  <c r="AE10" i="10"/>
  <c r="AE27" i="10" s="1"/>
  <c r="AD10" i="10"/>
  <c r="AD27" i="10" s="1"/>
  <c r="AC10" i="10"/>
  <c r="AC27" i="10" s="1"/>
  <c r="AB10" i="10"/>
  <c r="AA10" i="10"/>
  <c r="AA27" i="10" s="1"/>
  <c r="Z10" i="10"/>
  <c r="Z27" i="10" s="1"/>
  <c r="Y10" i="10"/>
  <c r="Y27" i="10" s="1"/>
  <c r="X10" i="10"/>
  <c r="W10" i="10"/>
  <c r="W27" i="10" s="1"/>
  <c r="V10" i="10"/>
  <c r="V27" i="10" s="1"/>
  <c r="U10" i="10"/>
  <c r="U27" i="10" s="1"/>
  <c r="T10" i="10"/>
  <c r="S10" i="10"/>
  <c r="S27" i="10" s="1"/>
  <c r="R10" i="10"/>
  <c r="R27" i="10" s="1"/>
  <c r="Q10" i="10"/>
  <c r="Q27" i="10" s="1"/>
  <c r="P10" i="10"/>
  <c r="O10" i="10"/>
  <c r="O27" i="10" s="1"/>
  <c r="N10" i="10"/>
  <c r="N27" i="10" s="1"/>
  <c r="M10" i="10"/>
  <c r="M27" i="10" s="1"/>
  <c r="L10" i="10"/>
  <c r="K10" i="10"/>
  <c r="K27" i="10" s="1"/>
  <c r="J10" i="10"/>
  <c r="J27" i="10" s="1"/>
  <c r="I10" i="10"/>
  <c r="I27" i="10" s="1"/>
  <c r="H10" i="10"/>
  <c r="G10" i="10"/>
  <c r="G27" i="10" s="1"/>
  <c r="F10" i="10"/>
  <c r="F27" i="10" s="1"/>
  <c r="E10" i="10"/>
  <c r="E27" i="10" s="1"/>
  <c r="D10" i="10"/>
  <c r="CX9" i="10"/>
  <c r="CX26" i="10" s="1"/>
  <c r="CW9" i="10"/>
  <c r="CW26" i="10" s="1"/>
  <c r="CV9" i="10"/>
  <c r="CV26" i="10" s="1"/>
  <c r="CU9" i="10"/>
  <c r="CT9" i="10"/>
  <c r="CT26" i="10" s="1"/>
  <c r="CS9" i="10"/>
  <c r="CS26" i="10" s="1"/>
  <c r="CR9" i="10"/>
  <c r="CR26" i="10" s="1"/>
  <c r="CQ9" i="10"/>
  <c r="CP9" i="10"/>
  <c r="CP26" i="10" s="1"/>
  <c r="CO9" i="10"/>
  <c r="CO26" i="10" s="1"/>
  <c r="CN9" i="10"/>
  <c r="CN26" i="10" s="1"/>
  <c r="CM9" i="10"/>
  <c r="CL9" i="10"/>
  <c r="CL26" i="10" s="1"/>
  <c r="CK9" i="10"/>
  <c r="CK26" i="10" s="1"/>
  <c r="CJ9" i="10"/>
  <c r="CJ26" i="10" s="1"/>
  <c r="CI9" i="10"/>
  <c r="CH9" i="10"/>
  <c r="CH26" i="10" s="1"/>
  <c r="CG9" i="10"/>
  <c r="CG26" i="10" s="1"/>
  <c r="CF9" i="10"/>
  <c r="CF26" i="10" s="1"/>
  <c r="CE9" i="10"/>
  <c r="CD9" i="10"/>
  <c r="CD26" i="10" s="1"/>
  <c r="CC9" i="10"/>
  <c r="CC26" i="10" s="1"/>
  <c r="CB9" i="10"/>
  <c r="CB26" i="10" s="1"/>
  <c r="CA9" i="10"/>
  <c r="BZ9" i="10"/>
  <c r="BZ26" i="10" s="1"/>
  <c r="BY9" i="10"/>
  <c r="BY26" i="10" s="1"/>
  <c r="BX9" i="10"/>
  <c r="BX26" i="10" s="1"/>
  <c r="BW9" i="10"/>
  <c r="BV9" i="10"/>
  <c r="BV26" i="10" s="1"/>
  <c r="BU9" i="10"/>
  <c r="BU26" i="10" s="1"/>
  <c r="BT9" i="10"/>
  <c r="BT26" i="10" s="1"/>
  <c r="BS9" i="10"/>
  <c r="BR9" i="10"/>
  <c r="BR26" i="10" s="1"/>
  <c r="BQ9" i="10"/>
  <c r="BQ26" i="10" s="1"/>
  <c r="BP9" i="10"/>
  <c r="BP26" i="10" s="1"/>
  <c r="BO9" i="10"/>
  <c r="BN9" i="10"/>
  <c r="BN26" i="10" s="1"/>
  <c r="BM9" i="10"/>
  <c r="BM26" i="10" s="1"/>
  <c r="BL9" i="10"/>
  <c r="BL26" i="10" s="1"/>
  <c r="BK9" i="10"/>
  <c r="BJ9" i="10"/>
  <c r="BJ26" i="10" s="1"/>
  <c r="BI9" i="10"/>
  <c r="BI26" i="10" s="1"/>
  <c r="BH9" i="10"/>
  <c r="BH26" i="10" s="1"/>
  <c r="BG9" i="10"/>
  <c r="BF9" i="10"/>
  <c r="BF26" i="10" s="1"/>
  <c r="BE9" i="10"/>
  <c r="BE26" i="10" s="1"/>
  <c r="BD9" i="10"/>
  <c r="BD26" i="10" s="1"/>
  <c r="BC9" i="10"/>
  <c r="BB9" i="10"/>
  <c r="BB26" i="10" s="1"/>
  <c r="BA9" i="10"/>
  <c r="BA26" i="10" s="1"/>
  <c r="AZ9" i="10"/>
  <c r="AZ26" i="10" s="1"/>
  <c r="AY9" i="10"/>
  <c r="AX9" i="10"/>
  <c r="AX26" i="10" s="1"/>
  <c r="AW9" i="10"/>
  <c r="AW26" i="10" s="1"/>
  <c r="AV9" i="10"/>
  <c r="AV26" i="10" s="1"/>
  <c r="AU9" i="10"/>
  <c r="AT9" i="10"/>
  <c r="AT26" i="10" s="1"/>
  <c r="AS9" i="10"/>
  <c r="AS26" i="10" s="1"/>
  <c r="AR9" i="10"/>
  <c r="AR26" i="10" s="1"/>
  <c r="AQ9" i="10"/>
  <c r="AP9" i="10"/>
  <c r="AP26" i="10" s="1"/>
  <c r="AO9" i="10"/>
  <c r="AO26" i="10" s="1"/>
  <c r="AN9" i="10"/>
  <c r="AN26" i="10" s="1"/>
  <c r="AM9" i="10"/>
  <c r="AL9" i="10"/>
  <c r="AL26" i="10" s="1"/>
  <c r="AK9" i="10"/>
  <c r="AK26" i="10" s="1"/>
  <c r="AJ9" i="10"/>
  <c r="AJ26" i="10" s="1"/>
  <c r="AI9" i="10"/>
  <c r="AH9" i="10"/>
  <c r="AH26" i="10" s="1"/>
  <c r="AG9" i="10"/>
  <c r="AG26" i="10" s="1"/>
  <c r="AF9" i="10"/>
  <c r="AF26" i="10" s="1"/>
  <c r="AE9" i="10"/>
  <c r="AD9" i="10"/>
  <c r="AD26" i="10" s="1"/>
  <c r="AC9" i="10"/>
  <c r="AC26" i="10" s="1"/>
  <c r="AB9" i="10"/>
  <c r="AB26" i="10" s="1"/>
  <c r="AA9" i="10"/>
  <c r="Z9" i="10"/>
  <c r="Z26" i="10" s="1"/>
  <c r="Y9" i="10"/>
  <c r="Y26" i="10" s="1"/>
  <c r="X9" i="10"/>
  <c r="X26" i="10" s="1"/>
  <c r="W9" i="10"/>
  <c r="V9" i="10"/>
  <c r="V26" i="10" s="1"/>
  <c r="U9" i="10"/>
  <c r="U26" i="10" s="1"/>
  <c r="T9" i="10"/>
  <c r="T26" i="10" s="1"/>
  <c r="S9" i="10"/>
  <c r="R9" i="10"/>
  <c r="R26" i="10" s="1"/>
  <c r="Q9" i="10"/>
  <c r="Q26" i="10" s="1"/>
  <c r="P9" i="10"/>
  <c r="P26" i="10" s="1"/>
  <c r="O9" i="10"/>
  <c r="N9" i="10"/>
  <c r="N26" i="10" s="1"/>
  <c r="M9" i="10"/>
  <c r="M26" i="10" s="1"/>
  <c r="L9" i="10"/>
  <c r="L26" i="10" s="1"/>
  <c r="K9" i="10"/>
  <c r="J9" i="10"/>
  <c r="J26" i="10" s="1"/>
  <c r="I9" i="10"/>
  <c r="I26" i="10" s="1"/>
  <c r="H9" i="10"/>
  <c r="H26" i="10" s="1"/>
  <c r="G9" i="10"/>
  <c r="F9" i="10"/>
  <c r="F26" i="10" s="1"/>
  <c r="E9" i="10"/>
  <c r="E26" i="10" s="1"/>
  <c r="D9" i="10"/>
  <c r="D26" i="10" s="1"/>
  <c r="CX8" i="10"/>
  <c r="CW8" i="10"/>
  <c r="CW25" i="10" s="1"/>
  <c r="CV8" i="10"/>
  <c r="CV25" i="10" s="1"/>
  <c r="CU8" i="10"/>
  <c r="CU25" i="10" s="1"/>
  <c r="CT8" i="10"/>
  <c r="CS8" i="10"/>
  <c r="CS25" i="10" s="1"/>
  <c r="CR8" i="10"/>
  <c r="CR25" i="10" s="1"/>
  <c r="CQ8" i="10"/>
  <c r="CQ25" i="10" s="1"/>
  <c r="CP8" i="10"/>
  <c r="CO8" i="10"/>
  <c r="CO25" i="10" s="1"/>
  <c r="CN8" i="10"/>
  <c r="CN25" i="10" s="1"/>
  <c r="CM8" i="10"/>
  <c r="CM25" i="10" s="1"/>
  <c r="CL8" i="10"/>
  <c r="CK8" i="10"/>
  <c r="CK25" i="10" s="1"/>
  <c r="CJ8" i="10"/>
  <c r="CJ25" i="10" s="1"/>
  <c r="CI8" i="10"/>
  <c r="CI25" i="10" s="1"/>
  <c r="CH8" i="10"/>
  <c r="CG8" i="10"/>
  <c r="CG25" i="10" s="1"/>
  <c r="CF8" i="10"/>
  <c r="CF25" i="10" s="1"/>
  <c r="CE8" i="10"/>
  <c r="CE25" i="10" s="1"/>
  <c r="CD8" i="10"/>
  <c r="CC8" i="10"/>
  <c r="CC25" i="10" s="1"/>
  <c r="CB8" i="10"/>
  <c r="CB25" i="10" s="1"/>
  <c r="CA8" i="10"/>
  <c r="CA25" i="10" s="1"/>
  <c r="BZ8" i="10"/>
  <c r="BY8" i="10"/>
  <c r="BY25" i="10" s="1"/>
  <c r="BX8" i="10"/>
  <c r="BX25" i="10" s="1"/>
  <c r="BW8" i="10"/>
  <c r="BW25" i="10" s="1"/>
  <c r="BV8" i="10"/>
  <c r="BU8" i="10"/>
  <c r="BU25" i="10" s="1"/>
  <c r="BT8" i="10"/>
  <c r="BT25" i="10" s="1"/>
  <c r="BS8" i="10"/>
  <c r="BS25" i="10" s="1"/>
  <c r="BR8" i="10"/>
  <c r="BQ8" i="10"/>
  <c r="BQ25" i="10" s="1"/>
  <c r="BP8" i="10"/>
  <c r="BP25" i="10" s="1"/>
  <c r="BO8" i="10"/>
  <c r="BO25" i="10" s="1"/>
  <c r="BN8" i="10"/>
  <c r="BM8" i="10"/>
  <c r="BM25" i="10" s="1"/>
  <c r="BL8" i="10"/>
  <c r="BL25" i="10" s="1"/>
  <c r="BK8" i="10"/>
  <c r="BK25" i="10" s="1"/>
  <c r="BJ8" i="10"/>
  <c r="BI8" i="10"/>
  <c r="BI25" i="10" s="1"/>
  <c r="BH8" i="10"/>
  <c r="BH25" i="10" s="1"/>
  <c r="BG8" i="10"/>
  <c r="BG25" i="10" s="1"/>
  <c r="BF8" i="10"/>
  <c r="BE8" i="10"/>
  <c r="BE25" i="10" s="1"/>
  <c r="BD8" i="10"/>
  <c r="BD25" i="10" s="1"/>
  <c r="BC8" i="10"/>
  <c r="BC25" i="10" s="1"/>
  <c r="BB8" i="10"/>
  <c r="BA8" i="10"/>
  <c r="BA25" i="10" s="1"/>
  <c r="AZ8" i="10"/>
  <c r="AZ25" i="10" s="1"/>
  <c r="AY8" i="10"/>
  <c r="AY25" i="10" s="1"/>
  <c r="AX8" i="10"/>
  <c r="AW8" i="10"/>
  <c r="AW25" i="10" s="1"/>
  <c r="AV8" i="10"/>
  <c r="AV25" i="10" s="1"/>
  <c r="AU8" i="10"/>
  <c r="AU25" i="10" s="1"/>
  <c r="AT8" i="10"/>
  <c r="AS8" i="10"/>
  <c r="AS25" i="10" s="1"/>
  <c r="AR8" i="10"/>
  <c r="AR25" i="10" s="1"/>
  <c r="AQ8" i="10"/>
  <c r="AQ25" i="10" s="1"/>
  <c r="AP8" i="10"/>
  <c r="AO8" i="10"/>
  <c r="AO25" i="10" s="1"/>
  <c r="AN8" i="10"/>
  <c r="AN25" i="10" s="1"/>
  <c r="AM8" i="10"/>
  <c r="AM25" i="10" s="1"/>
  <c r="AL8" i="10"/>
  <c r="AK8" i="10"/>
  <c r="AK25" i="10" s="1"/>
  <c r="AJ8" i="10"/>
  <c r="AJ25" i="10" s="1"/>
  <c r="AI8" i="10"/>
  <c r="AI25" i="10" s="1"/>
  <c r="AH8" i="10"/>
  <c r="AG8" i="10"/>
  <c r="AG25" i="10" s="1"/>
  <c r="AF8" i="10"/>
  <c r="AF25" i="10" s="1"/>
  <c r="AE8" i="10"/>
  <c r="AE25" i="10" s="1"/>
  <c r="AD8" i="10"/>
  <c r="AC8" i="10"/>
  <c r="AC25" i="10" s="1"/>
  <c r="AB8" i="10"/>
  <c r="AB25" i="10" s="1"/>
  <c r="AA8" i="10"/>
  <c r="AA25" i="10" s="1"/>
  <c r="Z8" i="10"/>
  <c r="Y8" i="10"/>
  <c r="Y25" i="10" s="1"/>
  <c r="X8" i="10"/>
  <c r="X25" i="10" s="1"/>
  <c r="W8" i="10"/>
  <c r="W25" i="10" s="1"/>
  <c r="V8" i="10"/>
  <c r="U8" i="10"/>
  <c r="U25" i="10" s="1"/>
  <c r="T8" i="10"/>
  <c r="T25" i="10" s="1"/>
  <c r="S8" i="10"/>
  <c r="S25" i="10" s="1"/>
  <c r="R8" i="10"/>
  <c r="Q8" i="10"/>
  <c r="Q25" i="10" s="1"/>
  <c r="P8" i="10"/>
  <c r="P25" i="10" s="1"/>
  <c r="O8" i="10"/>
  <c r="O25" i="10" s="1"/>
  <c r="N8" i="10"/>
  <c r="M8" i="10"/>
  <c r="M25" i="10" s="1"/>
  <c r="L8" i="10"/>
  <c r="L25" i="10" s="1"/>
  <c r="K8" i="10"/>
  <c r="K25" i="10" s="1"/>
  <c r="J8" i="10"/>
  <c r="I8" i="10"/>
  <c r="I25" i="10" s="1"/>
  <c r="H8" i="10"/>
  <c r="H25" i="10" s="1"/>
  <c r="G8" i="10"/>
  <c r="G25" i="10" s="1"/>
  <c r="F8" i="10"/>
  <c r="E8" i="10"/>
  <c r="E25" i="10" s="1"/>
  <c r="D8" i="10"/>
  <c r="D25" i="10" s="1"/>
  <c r="CX7" i="10"/>
  <c r="CX24" i="10" s="1"/>
  <c r="CW7" i="10"/>
  <c r="CV7" i="10"/>
  <c r="CV24" i="10" s="1"/>
  <c r="CU7" i="10"/>
  <c r="CU24" i="10" s="1"/>
  <c r="CT7" i="10"/>
  <c r="CT24" i="10" s="1"/>
  <c r="CS7" i="10"/>
  <c r="CR7" i="10"/>
  <c r="CR24" i="10" s="1"/>
  <c r="CQ7" i="10"/>
  <c r="CQ24" i="10" s="1"/>
  <c r="CP7" i="10"/>
  <c r="CP24" i="10" s="1"/>
  <c r="CO7" i="10"/>
  <c r="CN7" i="10"/>
  <c r="CN24" i="10" s="1"/>
  <c r="CM7" i="10"/>
  <c r="CM24" i="10" s="1"/>
  <c r="CL7" i="10"/>
  <c r="CL24" i="10" s="1"/>
  <c r="CK7" i="10"/>
  <c r="CJ7" i="10"/>
  <c r="CJ24" i="10" s="1"/>
  <c r="CI7" i="10"/>
  <c r="CI24" i="10" s="1"/>
  <c r="CH7" i="10"/>
  <c r="CH24" i="10" s="1"/>
  <c r="CG7" i="10"/>
  <c r="CF7" i="10"/>
  <c r="CF24" i="10" s="1"/>
  <c r="CE7" i="10"/>
  <c r="CE24" i="10" s="1"/>
  <c r="CD7" i="10"/>
  <c r="CD24" i="10" s="1"/>
  <c r="CC7" i="10"/>
  <c r="CB7" i="10"/>
  <c r="CB24" i="10" s="1"/>
  <c r="CA7" i="10"/>
  <c r="CA24" i="10" s="1"/>
  <c r="BZ7" i="10"/>
  <c r="BZ24" i="10" s="1"/>
  <c r="BY7" i="10"/>
  <c r="BX7" i="10"/>
  <c r="BX24" i="10" s="1"/>
  <c r="BW7" i="10"/>
  <c r="BW24" i="10" s="1"/>
  <c r="BV7" i="10"/>
  <c r="BV24" i="10" s="1"/>
  <c r="BU7" i="10"/>
  <c r="BT7" i="10"/>
  <c r="BT24" i="10" s="1"/>
  <c r="BS7" i="10"/>
  <c r="BS24" i="10" s="1"/>
  <c r="BR7" i="10"/>
  <c r="BR24" i="10" s="1"/>
  <c r="BQ7" i="10"/>
  <c r="BP7" i="10"/>
  <c r="BP24" i="10" s="1"/>
  <c r="BO7" i="10"/>
  <c r="BO24" i="10" s="1"/>
  <c r="BN7" i="10"/>
  <c r="BN24" i="10" s="1"/>
  <c r="BM7" i="10"/>
  <c r="BL7" i="10"/>
  <c r="BL24" i="10" s="1"/>
  <c r="BK7" i="10"/>
  <c r="BK24" i="10" s="1"/>
  <c r="BJ7" i="10"/>
  <c r="BJ24" i="10" s="1"/>
  <c r="BI7" i="10"/>
  <c r="BH7" i="10"/>
  <c r="BH24" i="10" s="1"/>
  <c r="BG7" i="10"/>
  <c r="BG24" i="10" s="1"/>
  <c r="BF7" i="10"/>
  <c r="BF24" i="10" s="1"/>
  <c r="BE7" i="10"/>
  <c r="BD7" i="10"/>
  <c r="BD24" i="10" s="1"/>
  <c r="BC7" i="10"/>
  <c r="BC24" i="10" s="1"/>
  <c r="BB7" i="10"/>
  <c r="BB24" i="10" s="1"/>
  <c r="BA7" i="10"/>
  <c r="AZ7" i="10"/>
  <c r="AZ24" i="10" s="1"/>
  <c r="AY7" i="10"/>
  <c r="AY24" i="10" s="1"/>
  <c r="AX7" i="10"/>
  <c r="AX24" i="10" s="1"/>
  <c r="AW7" i="10"/>
  <c r="AV7" i="10"/>
  <c r="AV24" i="10" s="1"/>
  <c r="AU7" i="10"/>
  <c r="AU24" i="10" s="1"/>
  <c r="AT7" i="10"/>
  <c r="AT24" i="10" s="1"/>
  <c r="AS7" i="10"/>
  <c r="AR7" i="10"/>
  <c r="AR24" i="10" s="1"/>
  <c r="AQ7" i="10"/>
  <c r="AQ24" i="10" s="1"/>
  <c r="AP7" i="10"/>
  <c r="AP24" i="10" s="1"/>
  <c r="AO7" i="10"/>
  <c r="AN7" i="10"/>
  <c r="AN24" i="10" s="1"/>
  <c r="AM7" i="10"/>
  <c r="AM24" i="10" s="1"/>
  <c r="AL7" i="10"/>
  <c r="AL24" i="10" s="1"/>
  <c r="AK7" i="10"/>
  <c r="AJ7" i="10"/>
  <c r="AJ24" i="10" s="1"/>
  <c r="AI7" i="10"/>
  <c r="AI24" i="10" s="1"/>
  <c r="AH7" i="10"/>
  <c r="AH24" i="10" s="1"/>
  <c r="AG7" i="10"/>
  <c r="AF7" i="10"/>
  <c r="AF24" i="10" s="1"/>
  <c r="AE7" i="10"/>
  <c r="AE24" i="10" s="1"/>
  <c r="AD7" i="10"/>
  <c r="AD24" i="10" s="1"/>
  <c r="AC7" i="10"/>
  <c r="AB7" i="10"/>
  <c r="AB24" i="10" s="1"/>
  <c r="AA7" i="10"/>
  <c r="AA24" i="10" s="1"/>
  <c r="Z7" i="10"/>
  <c r="Z24" i="10" s="1"/>
  <c r="Y7" i="10"/>
  <c r="X7" i="10"/>
  <c r="X24" i="10" s="1"/>
  <c r="W7" i="10"/>
  <c r="W24" i="10" s="1"/>
  <c r="V7" i="10"/>
  <c r="V24" i="10" s="1"/>
  <c r="U7" i="10"/>
  <c r="T7" i="10"/>
  <c r="T24" i="10" s="1"/>
  <c r="S7" i="10"/>
  <c r="S24" i="10" s="1"/>
  <c r="R7" i="10"/>
  <c r="R24" i="10" s="1"/>
  <c r="Q7" i="10"/>
  <c r="P7" i="10"/>
  <c r="P24" i="10" s="1"/>
  <c r="O7" i="10"/>
  <c r="O24" i="10" s="1"/>
  <c r="N7" i="10"/>
  <c r="N24" i="10" s="1"/>
  <c r="M7" i="10"/>
  <c r="L7" i="10"/>
  <c r="L24" i="10" s="1"/>
  <c r="K7" i="10"/>
  <c r="K24" i="10" s="1"/>
  <c r="J7" i="10"/>
  <c r="J24" i="10" s="1"/>
  <c r="I7" i="10"/>
  <c r="H7" i="10"/>
  <c r="H24" i="10" s="1"/>
  <c r="G7" i="10"/>
  <c r="G24" i="10" s="1"/>
  <c r="F7" i="10"/>
  <c r="F24" i="10" s="1"/>
  <c r="E7" i="10"/>
  <c r="D7" i="10"/>
  <c r="D24" i="10" s="1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X4" i="10"/>
  <c r="CW4" i="10"/>
  <c r="CV4" i="10"/>
  <c r="CU4" i="10"/>
  <c r="CT4" i="10"/>
  <c r="CS4" i="10"/>
  <c r="CR4" i="10"/>
  <c r="CQ4" i="10"/>
  <c r="CP4" i="10"/>
  <c r="CO4" i="10"/>
  <c r="CN4" i="10"/>
  <c r="CM4" i="10"/>
  <c r="CL4" i="10"/>
  <c r="CK4" i="10"/>
  <c r="CJ4" i="10"/>
  <c r="CI4" i="10"/>
  <c r="CH4" i="10"/>
  <c r="CG4" i="10"/>
  <c r="CF4" i="10"/>
  <c r="CE4" i="10"/>
  <c r="CD4" i="10"/>
  <c r="CC4" i="10"/>
  <c r="CB4" i="10"/>
  <c r="CA4" i="10"/>
  <c r="BZ4" i="10"/>
  <c r="BY4" i="10"/>
  <c r="BX4" i="10"/>
  <c r="BW4" i="10"/>
  <c r="BV4" i="10"/>
  <c r="BU4" i="10"/>
  <c r="BT4" i="10"/>
  <c r="BS4" i="10"/>
  <c r="BR4" i="10"/>
  <c r="BQ4" i="10"/>
  <c r="BP4" i="10"/>
  <c r="BO4" i="10"/>
  <c r="BN4" i="10"/>
  <c r="BM4" i="10"/>
  <c r="BL4" i="10"/>
  <c r="BK4" i="10"/>
  <c r="BJ4" i="10"/>
  <c r="BI4" i="10"/>
  <c r="BH4" i="10"/>
  <c r="BG4" i="10"/>
  <c r="BF4" i="10"/>
  <c r="BE4" i="10"/>
  <c r="BD4" i="10"/>
  <c r="BC4" i="10"/>
  <c r="BB4" i="10"/>
  <c r="BA4" i="10"/>
  <c r="AZ4" i="10"/>
  <c r="AY4" i="10"/>
  <c r="AX4" i="10"/>
  <c r="AW4" i="10"/>
  <c r="AV4" i="10"/>
  <c r="AU4" i="10"/>
  <c r="AT4" i="10"/>
  <c r="AS4" i="10"/>
  <c r="AR4" i="10"/>
  <c r="AQ4" i="10"/>
  <c r="AP4" i="10"/>
  <c r="AO4" i="10"/>
  <c r="AN4" i="10"/>
  <c r="AM4" i="10"/>
  <c r="AL4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X2" i="10"/>
  <c r="CW2" i="10"/>
  <c r="CV2" i="10"/>
  <c r="CU2" i="10"/>
  <c r="CT2" i="10"/>
  <c r="CS2" i="10"/>
  <c r="CR2" i="10"/>
  <c r="CQ2" i="10"/>
  <c r="CP2" i="10"/>
  <c r="CO2" i="10"/>
  <c r="CN2" i="10"/>
  <c r="CM2" i="10"/>
  <c r="CL2" i="10"/>
  <c r="CK2" i="10"/>
  <c r="CJ2" i="10"/>
  <c r="CI2" i="10"/>
  <c r="CH2" i="10"/>
  <c r="CG2" i="10"/>
  <c r="CF2" i="10"/>
  <c r="CE2" i="10"/>
  <c r="CD2" i="10"/>
  <c r="CC2" i="10"/>
  <c r="CB2" i="10"/>
  <c r="CA2" i="10"/>
  <c r="BZ2" i="10"/>
  <c r="BY2" i="10"/>
  <c r="BX2" i="10"/>
  <c r="BW2" i="10"/>
  <c r="BV2" i="10"/>
  <c r="BU2" i="10"/>
  <c r="BT2" i="10"/>
  <c r="BS2" i="10"/>
  <c r="BR2" i="10"/>
  <c r="BQ2" i="10"/>
  <c r="BP2" i="10"/>
  <c r="BO2" i="10"/>
  <c r="BN2" i="10"/>
  <c r="BM2" i="10"/>
  <c r="BL2" i="10"/>
  <c r="BK2" i="10"/>
  <c r="BJ2" i="10"/>
  <c r="BI2" i="10"/>
  <c r="BH2" i="10"/>
  <c r="BG2" i="10"/>
  <c r="BF2" i="10"/>
  <c r="BE2" i="10"/>
  <c r="BD2" i="10"/>
  <c r="BC2" i="10"/>
  <c r="BB2" i="10"/>
  <c r="BA2" i="10"/>
  <c r="AZ2" i="10"/>
  <c r="AY2" i="10"/>
  <c r="AX2" i="10"/>
  <c r="AW2" i="10"/>
  <c r="AV2" i="10"/>
  <c r="AU2" i="10"/>
  <c r="AT2" i="10"/>
  <c r="AS2" i="10"/>
  <c r="AR2" i="10"/>
  <c r="AQ2" i="10"/>
  <c r="AP2" i="10"/>
  <c r="AO2" i="10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X116" i="9"/>
  <c r="CW116" i="9"/>
  <c r="CV116" i="9"/>
  <c r="CU116" i="9"/>
  <c r="CU125" i="9" s="1"/>
  <c r="CT116" i="9"/>
  <c r="CS116" i="9"/>
  <c r="CR116" i="9"/>
  <c r="CQ116" i="9"/>
  <c r="CQ125" i="9" s="1"/>
  <c r="CP116" i="9"/>
  <c r="CO116" i="9"/>
  <c r="CN116" i="9"/>
  <c r="CM116" i="9"/>
  <c r="CM125" i="9" s="1"/>
  <c r="CL116" i="9"/>
  <c r="CK116" i="9"/>
  <c r="CJ116" i="9"/>
  <c r="CI116" i="9"/>
  <c r="CI125" i="9" s="1"/>
  <c r="CH116" i="9"/>
  <c r="CG116" i="9"/>
  <c r="CF116" i="9"/>
  <c r="CE116" i="9"/>
  <c r="CE125" i="9" s="1"/>
  <c r="CD116" i="9"/>
  <c r="CC116" i="9"/>
  <c r="CB116" i="9"/>
  <c r="CA116" i="9"/>
  <c r="CA125" i="9" s="1"/>
  <c r="BZ116" i="9"/>
  <c r="BY116" i="9"/>
  <c r="BX116" i="9"/>
  <c r="BW116" i="9"/>
  <c r="BW125" i="9" s="1"/>
  <c r="BV116" i="9"/>
  <c r="BU116" i="9"/>
  <c r="BT116" i="9"/>
  <c r="BS116" i="9"/>
  <c r="BS125" i="9" s="1"/>
  <c r="BR116" i="9"/>
  <c r="BQ116" i="9"/>
  <c r="BP116" i="9"/>
  <c r="BO116" i="9"/>
  <c r="BO125" i="9" s="1"/>
  <c r="BN116" i="9"/>
  <c r="BM116" i="9"/>
  <c r="BL116" i="9"/>
  <c r="BK116" i="9"/>
  <c r="BK125" i="9" s="1"/>
  <c r="BJ116" i="9"/>
  <c r="BI116" i="9"/>
  <c r="BH116" i="9"/>
  <c r="BG116" i="9"/>
  <c r="BG125" i="9" s="1"/>
  <c r="BF116" i="9"/>
  <c r="BE116" i="9"/>
  <c r="BD116" i="9"/>
  <c r="BC116" i="9"/>
  <c r="BC125" i="9" s="1"/>
  <c r="BB116" i="9"/>
  <c r="BA116" i="9"/>
  <c r="AZ116" i="9"/>
  <c r="AY116" i="9"/>
  <c r="AY125" i="9" s="1"/>
  <c r="AX116" i="9"/>
  <c r="AW116" i="9"/>
  <c r="AV116" i="9"/>
  <c r="AU116" i="9"/>
  <c r="AU125" i="9" s="1"/>
  <c r="AT116" i="9"/>
  <c r="AS116" i="9"/>
  <c r="AR116" i="9"/>
  <c r="AQ116" i="9"/>
  <c r="AQ125" i="9" s="1"/>
  <c r="AP116" i="9"/>
  <c r="AO116" i="9"/>
  <c r="AN116" i="9"/>
  <c r="AM116" i="9"/>
  <c r="AM125" i="9" s="1"/>
  <c r="AL116" i="9"/>
  <c r="AK116" i="9"/>
  <c r="AJ116" i="9"/>
  <c r="AI116" i="9"/>
  <c r="AI125" i="9" s="1"/>
  <c r="AH116" i="9"/>
  <c r="AG116" i="9"/>
  <c r="AF116" i="9"/>
  <c r="AE116" i="9"/>
  <c r="AE125" i="9" s="1"/>
  <c r="AD116" i="9"/>
  <c r="AC116" i="9"/>
  <c r="AB116" i="9"/>
  <c r="AA116" i="9"/>
  <c r="AA125" i="9" s="1"/>
  <c r="Z116" i="9"/>
  <c r="Y116" i="9"/>
  <c r="X116" i="9"/>
  <c r="W116" i="9"/>
  <c r="W125" i="9" s="1"/>
  <c r="V116" i="9"/>
  <c r="U116" i="9"/>
  <c r="T116" i="9"/>
  <c r="S116" i="9"/>
  <c r="S125" i="9" s="1"/>
  <c r="R116" i="9"/>
  <c r="Q116" i="9"/>
  <c r="P116" i="9"/>
  <c r="O116" i="9"/>
  <c r="O125" i="9" s="1"/>
  <c r="N116" i="9"/>
  <c r="M116" i="9"/>
  <c r="L116" i="9"/>
  <c r="K116" i="9"/>
  <c r="K125" i="9" s="1"/>
  <c r="J116" i="9"/>
  <c r="I116" i="9"/>
  <c r="H116" i="9"/>
  <c r="G116" i="9"/>
  <c r="G125" i="9" s="1"/>
  <c r="F116" i="9"/>
  <c r="E116" i="9"/>
  <c r="D116" i="9"/>
  <c r="CX115" i="9"/>
  <c r="CW115" i="9"/>
  <c r="CV115" i="9"/>
  <c r="CU115" i="9"/>
  <c r="CT115" i="9"/>
  <c r="CS115" i="9"/>
  <c r="CR115" i="9"/>
  <c r="CQ115" i="9"/>
  <c r="CP115" i="9"/>
  <c r="CO115" i="9"/>
  <c r="CN115" i="9"/>
  <c r="CM115" i="9"/>
  <c r="CL115" i="9"/>
  <c r="CK115" i="9"/>
  <c r="CJ115" i="9"/>
  <c r="CI115" i="9"/>
  <c r="CH115" i="9"/>
  <c r="CG115" i="9"/>
  <c r="CF115" i="9"/>
  <c r="CE115" i="9"/>
  <c r="CD115" i="9"/>
  <c r="CC115" i="9"/>
  <c r="CB115" i="9"/>
  <c r="CA115" i="9"/>
  <c r="BZ115" i="9"/>
  <c r="BY115" i="9"/>
  <c r="BX115" i="9"/>
  <c r="BW115" i="9"/>
  <c r="BV115" i="9"/>
  <c r="BU115" i="9"/>
  <c r="BT115" i="9"/>
  <c r="BS115" i="9"/>
  <c r="BR115" i="9"/>
  <c r="BQ115" i="9"/>
  <c r="BP115" i="9"/>
  <c r="BO115" i="9"/>
  <c r="BN115" i="9"/>
  <c r="BM115" i="9"/>
  <c r="BL115" i="9"/>
  <c r="BK115" i="9"/>
  <c r="BJ115" i="9"/>
  <c r="BI115" i="9"/>
  <c r="BH115" i="9"/>
  <c r="BG115" i="9"/>
  <c r="BF115" i="9"/>
  <c r="BE115" i="9"/>
  <c r="BD115" i="9"/>
  <c r="BC115" i="9"/>
  <c r="BB115" i="9"/>
  <c r="BA115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X114" i="9"/>
  <c r="CW114" i="9"/>
  <c r="CV114" i="9"/>
  <c r="CU114" i="9"/>
  <c r="CT114" i="9"/>
  <c r="CS114" i="9"/>
  <c r="CR114" i="9"/>
  <c r="CQ114" i="9"/>
  <c r="CP114" i="9"/>
  <c r="CO114" i="9"/>
  <c r="CN114" i="9"/>
  <c r="CM114" i="9"/>
  <c r="CL114" i="9"/>
  <c r="CK114" i="9"/>
  <c r="CJ114" i="9"/>
  <c r="CI114" i="9"/>
  <c r="CH114" i="9"/>
  <c r="CG114" i="9"/>
  <c r="CF114" i="9"/>
  <c r="CE114" i="9"/>
  <c r="CD114" i="9"/>
  <c r="CC114" i="9"/>
  <c r="CB114" i="9"/>
  <c r="CA114" i="9"/>
  <c r="BZ114" i="9"/>
  <c r="BY114" i="9"/>
  <c r="BX114" i="9"/>
  <c r="BW114" i="9"/>
  <c r="BV114" i="9"/>
  <c r="BU114" i="9"/>
  <c r="BT114" i="9"/>
  <c r="BS114" i="9"/>
  <c r="BR114" i="9"/>
  <c r="BQ114" i="9"/>
  <c r="BP114" i="9"/>
  <c r="BO114" i="9"/>
  <c r="BN114" i="9"/>
  <c r="BM114" i="9"/>
  <c r="BL114" i="9"/>
  <c r="BK114" i="9"/>
  <c r="BJ114" i="9"/>
  <c r="BI114" i="9"/>
  <c r="BH114" i="9"/>
  <c r="BG114" i="9"/>
  <c r="BF114" i="9"/>
  <c r="BE114" i="9"/>
  <c r="BD114" i="9"/>
  <c r="BC114" i="9"/>
  <c r="BB114" i="9"/>
  <c r="BA114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X113" i="9"/>
  <c r="CW113" i="9"/>
  <c r="CV113" i="9"/>
  <c r="CU113" i="9"/>
  <c r="CT113" i="9"/>
  <c r="CS113" i="9"/>
  <c r="CR113" i="9"/>
  <c r="CQ113" i="9"/>
  <c r="CP113" i="9"/>
  <c r="CO113" i="9"/>
  <c r="CN113" i="9"/>
  <c r="CM113" i="9"/>
  <c r="CL113" i="9"/>
  <c r="CK113" i="9"/>
  <c r="CJ113" i="9"/>
  <c r="CI113" i="9"/>
  <c r="CH113" i="9"/>
  <c r="CG113" i="9"/>
  <c r="CF113" i="9"/>
  <c r="CE113" i="9"/>
  <c r="CD113" i="9"/>
  <c r="CC113" i="9"/>
  <c r="CB113" i="9"/>
  <c r="CA113" i="9"/>
  <c r="BZ113" i="9"/>
  <c r="BY113" i="9"/>
  <c r="BX113" i="9"/>
  <c r="BW113" i="9"/>
  <c r="BV113" i="9"/>
  <c r="BU113" i="9"/>
  <c r="BT113" i="9"/>
  <c r="BS113" i="9"/>
  <c r="BR113" i="9"/>
  <c r="BQ113" i="9"/>
  <c r="BP113" i="9"/>
  <c r="BO113" i="9"/>
  <c r="BN113" i="9"/>
  <c r="BM113" i="9"/>
  <c r="BL113" i="9"/>
  <c r="BK113" i="9"/>
  <c r="BJ113" i="9"/>
  <c r="BI113" i="9"/>
  <c r="BH113" i="9"/>
  <c r="BG113" i="9"/>
  <c r="BF113" i="9"/>
  <c r="BE113" i="9"/>
  <c r="BD113" i="9"/>
  <c r="BC113" i="9"/>
  <c r="BB113" i="9"/>
  <c r="BA113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X112" i="9"/>
  <c r="CW112" i="9"/>
  <c r="CV112" i="9"/>
  <c r="CU112" i="9"/>
  <c r="CT112" i="9"/>
  <c r="CS112" i="9"/>
  <c r="CR112" i="9"/>
  <c r="CQ112" i="9"/>
  <c r="CP112" i="9"/>
  <c r="CO112" i="9"/>
  <c r="CN112" i="9"/>
  <c r="CM112" i="9"/>
  <c r="CL112" i="9"/>
  <c r="CK112" i="9"/>
  <c r="CJ112" i="9"/>
  <c r="CI112" i="9"/>
  <c r="CH112" i="9"/>
  <c r="CG112" i="9"/>
  <c r="CF112" i="9"/>
  <c r="CE112" i="9"/>
  <c r="CD112" i="9"/>
  <c r="CC112" i="9"/>
  <c r="CB112" i="9"/>
  <c r="CA112" i="9"/>
  <c r="BZ112" i="9"/>
  <c r="BY112" i="9"/>
  <c r="BX112" i="9"/>
  <c r="BW112" i="9"/>
  <c r="BV112" i="9"/>
  <c r="BU112" i="9"/>
  <c r="BT112" i="9"/>
  <c r="BS112" i="9"/>
  <c r="BR112" i="9"/>
  <c r="BQ112" i="9"/>
  <c r="BP112" i="9"/>
  <c r="BO112" i="9"/>
  <c r="BN112" i="9"/>
  <c r="BM112" i="9"/>
  <c r="BL112" i="9"/>
  <c r="BK112" i="9"/>
  <c r="BJ112" i="9"/>
  <c r="BI112" i="9"/>
  <c r="BH112" i="9"/>
  <c r="BG112" i="9"/>
  <c r="BF112" i="9"/>
  <c r="BE112" i="9"/>
  <c r="BD112" i="9"/>
  <c r="BC112" i="9"/>
  <c r="BB112" i="9"/>
  <c r="BA112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X111" i="9"/>
  <c r="CW111" i="9"/>
  <c r="CV111" i="9"/>
  <c r="CU111" i="9"/>
  <c r="CT111" i="9"/>
  <c r="CS111" i="9"/>
  <c r="CR111" i="9"/>
  <c r="CQ111" i="9"/>
  <c r="CP111" i="9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Y111" i="9"/>
  <c r="BX111" i="9"/>
  <c r="BW111" i="9"/>
  <c r="BV111" i="9"/>
  <c r="BU111" i="9"/>
  <c r="BT111" i="9"/>
  <c r="BS111" i="9"/>
  <c r="BR111" i="9"/>
  <c r="BQ111" i="9"/>
  <c r="BP111" i="9"/>
  <c r="BO111" i="9"/>
  <c r="BN111" i="9"/>
  <c r="BM111" i="9"/>
  <c r="BL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X110" i="9"/>
  <c r="CW110" i="9"/>
  <c r="CV110" i="9"/>
  <c r="CU110" i="9"/>
  <c r="CT110" i="9"/>
  <c r="CS110" i="9"/>
  <c r="CR110" i="9"/>
  <c r="CQ110" i="9"/>
  <c r="CP110" i="9"/>
  <c r="CO110" i="9"/>
  <c r="CN110" i="9"/>
  <c r="CM110" i="9"/>
  <c r="CL110" i="9"/>
  <c r="CK110" i="9"/>
  <c r="CJ110" i="9"/>
  <c r="CI110" i="9"/>
  <c r="CH110" i="9"/>
  <c r="CG110" i="9"/>
  <c r="CF110" i="9"/>
  <c r="CE110" i="9"/>
  <c r="CD110" i="9"/>
  <c r="CC110" i="9"/>
  <c r="CB110" i="9"/>
  <c r="CA110" i="9"/>
  <c r="BZ110" i="9"/>
  <c r="BY110" i="9"/>
  <c r="BX110" i="9"/>
  <c r="BW110" i="9"/>
  <c r="BV110" i="9"/>
  <c r="BU110" i="9"/>
  <c r="BT110" i="9"/>
  <c r="BS110" i="9"/>
  <c r="BR110" i="9"/>
  <c r="BQ110" i="9"/>
  <c r="BP110" i="9"/>
  <c r="BO110" i="9"/>
  <c r="BN110" i="9"/>
  <c r="BM110" i="9"/>
  <c r="BL110" i="9"/>
  <c r="BK110" i="9"/>
  <c r="BJ110" i="9"/>
  <c r="BI110" i="9"/>
  <c r="BH110" i="9"/>
  <c r="BG110" i="9"/>
  <c r="BF110" i="9"/>
  <c r="BE110" i="9"/>
  <c r="BD110" i="9"/>
  <c r="BC110" i="9"/>
  <c r="BB110" i="9"/>
  <c r="BA110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X109" i="9"/>
  <c r="CW109" i="9"/>
  <c r="CV109" i="9"/>
  <c r="CU109" i="9"/>
  <c r="CT109" i="9"/>
  <c r="CS109" i="9"/>
  <c r="CR109" i="9"/>
  <c r="CQ109" i="9"/>
  <c r="CP109" i="9"/>
  <c r="CO109" i="9"/>
  <c r="CN109" i="9"/>
  <c r="CM109" i="9"/>
  <c r="CL109" i="9"/>
  <c r="CK109" i="9"/>
  <c r="CJ109" i="9"/>
  <c r="CI109" i="9"/>
  <c r="CH109" i="9"/>
  <c r="CG109" i="9"/>
  <c r="CF109" i="9"/>
  <c r="CE109" i="9"/>
  <c r="CD109" i="9"/>
  <c r="CC109" i="9"/>
  <c r="CB109" i="9"/>
  <c r="CA109" i="9"/>
  <c r="BZ109" i="9"/>
  <c r="BY109" i="9"/>
  <c r="BX109" i="9"/>
  <c r="BW109" i="9"/>
  <c r="BV109" i="9"/>
  <c r="BU109" i="9"/>
  <c r="BT109" i="9"/>
  <c r="BS109" i="9"/>
  <c r="BR109" i="9"/>
  <c r="BQ109" i="9"/>
  <c r="BP109" i="9"/>
  <c r="BO109" i="9"/>
  <c r="BN109" i="9"/>
  <c r="BM109" i="9"/>
  <c r="BL109" i="9"/>
  <c r="BK109" i="9"/>
  <c r="BJ109" i="9"/>
  <c r="BI109" i="9"/>
  <c r="BH109" i="9"/>
  <c r="BG109" i="9"/>
  <c r="BF109" i="9"/>
  <c r="BE109" i="9"/>
  <c r="BD109" i="9"/>
  <c r="BC109" i="9"/>
  <c r="BB109" i="9"/>
  <c r="BA109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X108" i="9"/>
  <c r="CW108" i="9"/>
  <c r="CV108" i="9"/>
  <c r="CU108" i="9"/>
  <c r="CT108" i="9"/>
  <c r="CS108" i="9"/>
  <c r="CR108" i="9"/>
  <c r="CQ108" i="9"/>
  <c r="CP108" i="9"/>
  <c r="CO108" i="9"/>
  <c r="CN108" i="9"/>
  <c r="CM108" i="9"/>
  <c r="CL108" i="9"/>
  <c r="CK108" i="9"/>
  <c r="CJ108" i="9"/>
  <c r="CI108" i="9"/>
  <c r="CH108" i="9"/>
  <c r="CG108" i="9"/>
  <c r="CF108" i="9"/>
  <c r="CE108" i="9"/>
  <c r="CD108" i="9"/>
  <c r="CC108" i="9"/>
  <c r="CB108" i="9"/>
  <c r="CA108" i="9"/>
  <c r="BZ108" i="9"/>
  <c r="BY108" i="9"/>
  <c r="BX108" i="9"/>
  <c r="BW108" i="9"/>
  <c r="BV108" i="9"/>
  <c r="BU108" i="9"/>
  <c r="BT108" i="9"/>
  <c r="BS108" i="9"/>
  <c r="BR108" i="9"/>
  <c r="BQ108" i="9"/>
  <c r="BP108" i="9"/>
  <c r="BO108" i="9"/>
  <c r="BN108" i="9"/>
  <c r="BM108" i="9"/>
  <c r="BL108" i="9"/>
  <c r="BK108" i="9"/>
  <c r="BJ108" i="9"/>
  <c r="BI108" i="9"/>
  <c r="BH108" i="9"/>
  <c r="BG108" i="9"/>
  <c r="BF108" i="9"/>
  <c r="BE108" i="9"/>
  <c r="BD108" i="9"/>
  <c r="BC108" i="9"/>
  <c r="BB108" i="9"/>
  <c r="BA108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X107" i="9"/>
  <c r="CX124" i="9" s="1"/>
  <c r="CW107" i="9"/>
  <c r="CV107" i="9"/>
  <c r="CU107" i="9"/>
  <c r="CT107" i="9"/>
  <c r="CT124" i="9" s="1"/>
  <c r="CS107" i="9"/>
  <c r="CR107" i="9"/>
  <c r="CQ107" i="9"/>
  <c r="CP107" i="9"/>
  <c r="CP124" i="9" s="1"/>
  <c r="CO107" i="9"/>
  <c r="CN107" i="9"/>
  <c r="CM107" i="9"/>
  <c r="CL107" i="9"/>
  <c r="CL124" i="9" s="1"/>
  <c r="CK107" i="9"/>
  <c r="CJ107" i="9"/>
  <c r="CI107" i="9"/>
  <c r="CH107" i="9"/>
  <c r="CH124" i="9" s="1"/>
  <c r="CG107" i="9"/>
  <c r="CF107" i="9"/>
  <c r="CE107" i="9"/>
  <c r="CD107" i="9"/>
  <c r="CD124" i="9" s="1"/>
  <c r="CC107" i="9"/>
  <c r="CB107" i="9"/>
  <c r="CA107" i="9"/>
  <c r="BZ107" i="9"/>
  <c r="BZ124" i="9" s="1"/>
  <c r="BY107" i="9"/>
  <c r="BX107" i="9"/>
  <c r="BW107" i="9"/>
  <c r="BV107" i="9"/>
  <c r="BV124" i="9" s="1"/>
  <c r="BU107" i="9"/>
  <c r="BT107" i="9"/>
  <c r="BS107" i="9"/>
  <c r="BR107" i="9"/>
  <c r="BR124" i="9" s="1"/>
  <c r="BQ107" i="9"/>
  <c r="BP107" i="9"/>
  <c r="BO107" i="9"/>
  <c r="BN107" i="9"/>
  <c r="BN124" i="9" s="1"/>
  <c r="BM107" i="9"/>
  <c r="BL107" i="9"/>
  <c r="BK107" i="9"/>
  <c r="BJ107" i="9"/>
  <c r="BJ124" i="9" s="1"/>
  <c r="BI107" i="9"/>
  <c r="BH107" i="9"/>
  <c r="BG107" i="9"/>
  <c r="BF107" i="9"/>
  <c r="BF124" i="9" s="1"/>
  <c r="BE107" i="9"/>
  <c r="BD107" i="9"/>
  <c r="BC107" i="9"/>
  <c r="BB107" i="9"/>
  <c r="BB124" i="9" s="1"/>
  <c r="BA107" i="9"/>
  <c r="AZ107" i="9"/>
  <c r="AY107" i="9"/>
  <c r="AX107" i="9"/>
  <c r="AX124" i="9" s="1"/>
  <c r="AW107" i="9"/>
  <c r="AV107" i="9"/>
  <c r="AU107" i="9"/>
  <c r="AT107" i="9"/>
  <c r="AT124" i="9" s="1"/>
  <c r="AS107" i="9"/>
  <c r="AR107" i="9"/>
  <c r="AQ107" i="9"/>
  <c r="AP107" i="9"/>
  <c r="AP124" i="9" s="1"/>
  <c r="AO107" i="9"/>
  <c r="AN107" i="9"/>
  <c r="AM107" i="9"/>
  <c r="AL107" i="9"/>
  <c r="AL124" i="9" s="1"/>
  <c r="AK107" i="9"/>
  <c r="AJ107" i="9"/>
  <c r="AI107" i="9"/>
  <c r="AH107" i="9"/>
  <c r="AH124" i="9" s="1"/>
  <c r="AG107" i="9"/>
  <c r="AF107" i="9"/>
  <c r="AE107" i="9"/>
  <c r="AD107" i="9"/>
  <c r="AD124" i="9" s="1"/>
  <c r="AC107" i="9"/>
  <c r="AB107" i="9"/>
  <c r="AA107" i="9"/>
  <c r="Z107" i="9"/>
  <c r="Z124" i="9" s="1"/>
  <c r="Y107" i="9"/>
  <c r="X107" i="9"/>
  <c r="W107" i="9"/>
  <c r="V107" i="9"/>
  <c r="V124" i="9" s="1"/>
  <c r="U107" i="9"/>
  <c r="T107" i="9"/>
  <c r="S107" i="9"/>
  <c r="R107" i="9"/>
  <c r="R124" i="9" s="1"/>
  <c r="Q107" i="9"/>
  <c r="P107" i="9"/>
  <c r="O107" i="9"/>
  <c r="N107" i="9"/>
  <c r="N124" i="9" s="1"/>
  <c r="M107" i="9"/>
  <c r="L107" i="9"/>
  <c r="K107" i="9"/>
  <c r="J107" i="9"/>
  <c r="J124" i="9" s="1"/>
  <c r="I107" i="9"/>
  <c r="H107" i="9"/>
  <c r="G107" i="9"/>
  <c r="F107" i="9"/>
  <c r="F124" i="9" s="1"/>
  <c r="E107" i="9"/>
  <c r="D107" i="9"/>
  <c r="CX106" i="9"/>
  <c r="CW106" i="9"/>
  <c r="CW123" i="9" s="1"/>
  <c r="CV106" i="9"/>
  <c r="CU106" i="9"/>
  <c r="CT106" i="9"/>
  <c r="CS106" i="9"/>
  <c r="CS123" i="9" s="1"/>
  <c r="CR106" i="9"/>
  <c r="CQ106" i="9"/>
  <c r="CP106" i="9"/>
  <c r="CO106" i="9"/>
  <c r="CO123" i="9" s="1"/>
  <c r="CN106" i="9"/>
  <c r="CM106" i="9"/>
  <c r="CL106" i="9"/>
  <c r="CK106" i="9"/>
  <c r="CK123" i="9" s="1"/>
  <c r="CJ106" i="9"/>
  <c r="CI106" i="9"/>
  <c r="CH106" i="9"/>
  <c r="CG106" i="9"/>
  <c r="CG123" i="9" s="1"/>
  <c r="CF106" i="9"/>
  <c r="CE106" i="9"/>
  <c r="CD106" i="9"/>
  <c r="CC106" i="9"/>
  <c r="CC123" i="9" s="1"/>
  <c r="CB106" i="9"/>
  <c r="CA106" i="9"/>
  <c r="BZ106" i="9"/>
  <c r="BY106" i="9"/>
  <c r="BY123" i="9" s="1"/>
  <c r="BX106" i="9"/>
  <c r="BW106" i="9"/>
  <c r="BV106" i="9"/>
  <c r="BU106" i="9"/>
  <c r="BU123" i="9" s="1"/>
  <c r="BT106" i="9"/>
  <c r="BS106" i="9"/>
  <c r="BR106" i="9"/>
  <c r="BQ106" i="9"/>
  <c r="BQ123" i="9" s="1"/>
  <c r="BP106" i="9"/>
  <c r="BO106" i="9"/>
  <c r="BN106" i="9"/>
  <c r="BM106" i="9"/>
  <c r="BM123" i="9" s="1"/>
  <c r="BL106" i="9"/>
  <c r="BK106" i="9"/>
  <c r="BJ106" i="9"/>
  <c r="BI106" i="9"/>
  <c r="BI123" i="9" s="1"/>
  <c r="BH106" i="9"/>
  <c r="BG106" i="9"/>
  <c r="BF106" i="9"/>
  <c r="BE106" i="9"/>
  <c r="BE123" i="9" s="1"/>
  <c r="BD106" i="9"/>
  <c r="BC106" i="9"/>
  <c r="BB106" i="9"/>
  <c r="BA106" i="9"/>
  <c r="BA123" i="9" s="1"/>
  <c r="AZ106" i="9"/>
  <c r="AY106" i="9"/>
  <c r="AX106" i="9"/>
  <c r="AW106" i="9"/>
  <c r="AW123" i="9" s="1"/>
  <c r="AV106" i="9"/>
  <c r="AU106" i="9"/>
  <c r="AT106" i="9"/>
  <c r="AS106" i="9"/>
  <c r="AS123" i="9" s="1"/>
  <c r="AR106" i="9"/>
  <c r="AQ106" i="9"/>
  <c r="AP106" i="9"/>
  <c r="AO106" i="9"/>
  <c r="AO123" i="9" s="1"/>
  <c r="AN106" i="9"/>
  <c r="AM106" i="9"/>
  <c r="AL106" i="9"/>
  <c r="AK106" i="9"/>
  <c r="AK123" i="9" s="1"/>
  <c r="AJ106" i="9"/>
  <c r="AI106" i="9"/>
  <c r="AH106" i="9"/>
  <c r="AG106" i="9"/>
  <c r="AG123" i="9" s="1"/>
  <c r="AF106" i="9"/>
  <c r="AE106" i="9"/>
  <c r="AD106" i="9"/>
  <c r="AC106" i="9"/>
  <c r="AC123" i="9" s="1"/>
  <c r="AB106" i="9"/>
  <c r="AA106" i="9"/>
  <c r="Z106" i="9"/>
  <c r="Y106" i="9"/>
  <c r="Y123" i="9" s="1"/>
  <c r="X106" i="9"/>
  <c r="W106" i="9"/>
  <c r="V106" i="9"/>
  <c r="U106" i="9"/>
  <c r="U123" i="9" s="1"/>
  <c r="T106" i="9"/>
  <c r="S106" i="9"/>
  <c r="R106" i="9"/>
  <c r="Q106" i="9"/>
  <c r="Q123" i="9" s="1"/>
  <c r="P106" i="9"/>
  <c r="O106" i="9"/>
  <c r="N106" i="9"/>
  <c r="M106" i="9"/>
  <c r="M123" i="9" s="1"/>
  <c r="L106" i="9"/>
  <c r="K106" i="9"/>
  <c r="J106" i="9"/>
  <c r="I106" i="9"/>
  <c r="I123" i="9" s="1"/>
  <c r="H106" i="9"/>
  <c r="G106" i="9"/>
  <c r="F106" i="9"/>
  <c r="E106" i="9"/>
  <c r="E123" i="9" s="1"/>
  <c r="D106" i="9"/>
  <c r="CX105" i="9"/>
  <c r="CW105" i="9"/>
  <c r="CV105" i="9"/>
  <c r="CV122" i="9" s="1"/>
  <c r="CU105" i="9"/>
  <c r="CT105" i="9"/>
  <c r="CS105" i="9"/>
  <c r="CR105" i="9"/>
  <c r="CR122" i="9" s="1"/>
  <c r="CQ105" i="9"/>
  <c r="CP105" i="9"/>
  <c r="CO105" i="9"/>
  <c r="CN105" i="9"/>
  <c r="CN122" i="9" s="1"/>
  <c r="CM105" i="9"/>
  <c r="CL105" i="9"/>
  <c r="CK105" i="9"/>
  <c r="CJ105" i="9"/>
  <c r="CJ122" i="9" s="1"/>
  <c r="CI105" i="9"/>
  <c r="CH105" i="9"/>
  <c r="CG105" i="9"/>
  <c r="CF105" i="9"/>
  <c r="CF122" i="9" s="1"/>
  <c r="CE105" i="9"/>
  <c r="CD105" i="9"/>
  <c r="CC105" i="9"/>
  <c r="CB105" i="9"/>
  <c r="CB122" i="9" s="1"/>
  <c r="CA105" i="9"/>
  <c r="BZ105" i="9"/>
  <c r="BY105" i="9"/>
  <c r="BX105" i="9"/>
  <c r="BX122" i="9" s="1"/>
  <c r="BW105" i="9"/>
  <c r="BV105" i="9"/>
  <c r="BU105" i="9"/>
  <c r="BT105" i="9"/>
  <c r="BT122" i="9" s="1"/>
  <c r="BS105" i="9"/>
  <c r="BR105" i="9"/>
  <c r="BQ105" i="9"/>
  <c r="BP105" i="9"/>
  <c r="BP122" i="9" s="1"/>
  <c r="BO105" i="9"/>
  <c r="BN105" i="9"/>
  <c r="BM105" i="9"/>
  <c r="BL105" i="9"/>
  <c r="BL122" i="9" s="1"/>
  <c r="BK105" i="9"/>
  <c r="BJ105" i="9"/>
  <c r="BI105" i="9"/>
  <c r="BH105" i="9"/>
  <c r="BH122" i="9" s="1"/>
  <c r="BG105" i="9"/>
  <c r="BF105" i="9"/>
  <c r="BE105" i="9"/>
  <c r="BD105" i="9"/>
  <c r="BD122" i="9" s="1"/>
  <c r="BC105" i="9"/>
  <c r="BB105" i="9"/>
  <c r="BA105" i="9"/>
  <c r="AZ105" i="9"/>
  <c r="AZ122" i="9" s="1"/>
  <c r="AY105" i="9"/>
  <c r="AX105" i="9"/>
  <c r="AW105" i="9"/>
  <c r="AV105" i="9"/>
  <c r="AV122" i="9" s="1"/>
  <c r="AU105" i="9"/>
  <c r="AT105" i="9"/>
  <c r="AS105" i="9"/>
  <c r="AR105" i="9"/>
  <c r="AR122" i="9" s="1"/>
  <c r="AQ105" i="9"/>
  <c r="AP105" i="9"/>
  <c r="AO105" i="9"/>
  <c r="AN105" i="9"/>
  <c r="AN122" i="9" s="1"/>
  <c r="AM105" i="9"/>
  <c r="AL105" i="9"/>
  <c r="AK105" i="9"/>
  <c r="AJ105" i="9"/>
  <c r="AJ122" i="9" s="1"/>
  <c r="AI105" i="9"/>
  <c r="AH105" i="9"/>
  <c r="AG105" i="9"/>
  <c r="AF105" i="9"/>
  <c r="AF122" i="9" s="1"/>
  <c r="AE105" i="9"/>
  <c r="AD105" i="9"/>
  <c r="AC105" i="9"/>
  <c r="AB105" i="9"/>
  <c r="AB122" i="9" s="1"/>
  <c r="AA105" i="9"/>
  <c r="Z105" i="9"/>
  <c r="Y105" i="9"/>
  <c r="X105" i="9"/>
  <c r="X122" i="9" s="1"/>
  <c r="W105" i="9"/>
  <c r="V105" i="9"/>
  <c r="U105" i="9"/>
  <c r="T105" i="9"/>
  <c r="T122" i="9" s="1"/>
  <c r="S105" i="9"/>
  <c r="R105" i="9"/>
  <c r="Q105" i="9"/>
  <c r="P105" i="9"/>
  <c r="P122" i="9" s="1"/>
  <c r="O105" i="9"/>
  <c r="N105" i="9"/>
  <c r="M105" i="9"/>
  <c r="L105" i="9"/>
  <c r="L122" i="9" s="1"/>
  <c r="K105" i="9"/>
  <c r="J105" i="9"/>
  <c r="I105" i="9"/>
  <c r="H105" i="9"/>
  <c r="H122" i="9" s="1"/>
  <c r="G105" i="9"/>
  <c r="F105" i="9"/>
  <c r="E105" i="9"/>
  <c r="D105" i="9"/>
  <c r="D122" i="9" s="1"/>
  <c r="CX104" i="9"/>
  <c r="CW104" i="9"/>
  <c r="CV104" i="9"/>
  <c r="CU104" i="9"/>
  <c r="CU121" i="9" s="1"/>
  <c r="CT104" i="9"/>
  <c r="CS104" i="9"/>
  <c r="CR104" i="9"/>
  <c r="CQ104" i="9"/>
  <c r="CQ121" i="9" s="1"/>
  <c r="CP104" i="9"/>
  <c r="CO104" i="9"/>
  <c r="CN104" i="9"/>
  <c r="CM104" i="9"/>
  <c r="CM121" i="9" s="1"/>
  <c r="CL104" i="9"/>
  <c r="CK104" i="9"/>
  <c r="CJ104" i="9"/>
  <c r="CI104" i="9"/>
  <c r="CI121" i="9" s="1"/>
  <c r="CH104" i="9"/>
  <c r="CG104" i="9"/>
  <c r="CF104" i="9"/>
  <c r="CE104" i="9"/>
  <c r="CE121" i="9" s="1"/>
  <c r="CD104" i="9"/>
  <c r="CC104" i="9"/>
  <c r="CB104" i="9"/>
  <c r="CA104" i="9"/>
  <c r="CA121" i="9" s="1"/>
  <c r="BZ104" i="9"/>
  <c r="BY104" i="9"/>
  <c r="BX104" i="9"/>
  <c r="BW104" i="9"/>
  <c r="BW121" i="9" s="1"/>
  <c r="BV104" i="9"/>
  <c r="BU104" i="9"/>
  <c r="BT104" i="9"/>
  <c r="BS104" i="9"/>
  <c r="BS121" i="9" s="1"/>
  <c r="BR104" i="9"/>
  <c r="BQ104" i="9"/>
  <c r="BP104" i="9"/>
  <c r="BO104" i="9"/>
  <c r="BO121" i="9" s="1"/>
  <c r="BN104" i="9"/>
  <c r="BM104" i="9"/>
  <c r="BL104" i="9"/>
  <c r="BK104" i="9"/>
  <c r="BK121" i="9" s="1"/>
  <c r="BJ104" i="9"/>
  <c r="BI104" i="9"/>
  <c r="BH104" i="9"/>
  <c r="BG104" i="9"/>
  <c r="BG121" i="9" s="1"/>
  <c r="BF104" i="9"/>
  <c r="BE104" i="9"/>
  <c r="BD104" i="9"/>
  <c r="BC104" i="9"/>
  <c r="BC121" i="9" s="1"/>
  <c r="BB104" i="9"/>
  <c r="BA104" i="9"/>
  <c r="AZ104" i="9"/>
  <c r="AY104" i="9"/>
  <c r="AY121" i="9" s="1"/>
  <c r="AX104" i="9"/>
  <c r="AW104" i="9"/>
  <c r="AV104" i="9"/>
  <c r="AU104" i="9"/>
  <c r="AU121" i="9" s="1"/>
  <c r="AT104" i="9"/>
  <c r="AS104" i="9"/>
  <c r="AR104" i="9"/>
  <c r="AQ104" i="9"/>
  <c r="AQ121" i="9" s="1"/>
  <c r="AP104" i="9"/>
  <c r="AO104" i="9"/>
  <c r="AN104" i="9"/>
  <c r="AM104" i="9"/>
  <c r="AM121" i="9" s="1"/>
  <c r="AL104" i="9"/>
  <c r="AK104" i="9"/>
  <c r="AJ104" i="9"/>
  <c r="AI104" i="9"/>
  <c r="AI121" i="9" s="1"/>
  <c r="AH104" i="9"/>
  <c r="AG104" i="9"/>
  <c r="AF104" i="9"/>
  <c r="AE104" i="9"/>
  <c r="AE121" i="9" s="1"/>
  <c r="AD104" i="9"/>
  <c r="AC104" i="9"/>
  <c r="AB104" i="9"/>
  <c r="AA104" i="9"/>
  <c r="AA121" i="9" s="1"/>
  <c r="Z104" i="9"/>
  <c r="Y104" i="9"/>
  <c r="X104" i="9"/>
  <c r="W104" i="9"/>
  <c r="W121" i="9" s="1"/>
  <c r="V104" i="9"/>
  <c r="U104" i="9"/>
  <c r="T104" i="9"/>
  <c r="S104" i="9"/>
  <c r="S121" i="9" s="1"/>
  <c r="R104" i="9"/>
  <c r="Q104" i="9"/>
  <c r="P104" i="9"/>
  <c r="O104" i="9"/>
  <c r="O121" i="9" s="1"/>
  <c r="N104" i="9"/>
  <c r="M104" i="9"/>
  <c r="L104" i="9"/>
  <c r="K104" i="9"/>
  <c r="K121" i="9" s="1"/>
  <c r="J104" i="9"/>
  <c r="I104" i="9"/>
  <c r="H104" i="9"/>
  <c r="G104" i="9"/>
  <c r="G121" i="9" s="1"/>
  <c r="F104" i="9"/>
  <c r="E104" i="9"/>
  <c r="D104" i="9"/>
  <c r="CX103" i="9"/>
  <c r="CX120" i="9" s="1"/>
  <c r="CW103" i="9"/>
  <c r="CV103" i="9"/>
  <c r="CU103" i="9"/>
  <c r="CT103" i="9"/>
  <c r="CS103" i="9"/>
  <c r="CR103" i="9"/>
  <c r="CQ103" i="9"/>
  <c r="CP103" i="9"/>
  <c r="CO103" i="9"/>
  <c r="CN103" i="9"/>
  <c r="CM103" i="9"/>
  <c r="CL103" i="9"/>
  <c r="CK103" i="9"/>
  <c r="CJ103" i="9"/>
  <c r="CI103" i="9"/>
  <c r="CH103" i="9"/>
  <c r="CG103" i="9"/>
  <c r="CF103" i="9"/>
  <c r="CE103" i="9"/>
  <c r="CD103" i="9"/>
  <c r="CC103" i="9"/>
  <c r="CB103" i="9"/>
  <c r="CA103" i="9"/>
  <c r="BZ103" i="9"/>
  <c r="BZ120" i="9" s="1"/>
  <c r="BY103" i="9"/>
  <c r="BX103" i="9"/>
  <c r="BW103" i="9"/>
  <c r="BV103" i="9"/>
  <c r="BV120" i="9" s="1"/>
  <c r="BU103" i="9"/>
  <c r="BT103" i="9"/>
  <c r="BS103" i="9"/>
  <c r="BR103" i="9"/>
  <c r="BR120" i="9" s="1"/>
  <c r="BQ103" i="9"/>
  <c r="BP103" i="9"/>
  <c r="BO103" i="9"/>
  <c r="BN103" i="9"/>
  <c r="BN120" i="9" s="1"/>
  <c r="BM103" i="9"/>
  <c r="BL103" i="9"/>
  <c r="BK103" i="9"/>
  <c r="BJ103" i="9"/>
  <c r="BJ120" i="9" s="1"/>
  <c r="BI103" i="9"/>
  <c r="BH103" i="9"/>
  <c r="BG103" i="9"/>
  <c r="BF103" i="9"/>
  <c r="BE103" i="9"/>
  <c r="BD103" i="9"/>
  <c r="BC103" i="9"/>
  <c r="BB103" i="9"/>
  <c r="BA103" i="9"/>
  <c r="AZ103" i="9"/>
  <c r="AY103" i="9"/>
  <c r="AX103" i="9"/>
  <c r="AW103" i="9"/>
  <c r="AV103" i="9"/>
  <c r="AU103" i="9"/>
  <c r="AT103" i="9"/>
  <c r="AS103" i="9"/>
  <c r="AR103" i="9"/>
  <c r="AQ103" i="9"/>
  <c r="AP103" i="9"/>
  <c r="AO103" i="9"/>
  <c r="AN103" i="9"/>
  <c r="AM103" i="9"/>
  <c r="AL103" i="9"/>
  <c r="AL120" i="9" s="1"/>
  <c r="AK103" i="9"/>
  <c r="AJ103" i="9"/>
  <c r="AI103" i="9"/>
  <c r="AH103" i="9"/>
  <c r="AH120" i="9" s="1"/>
  <c r="AG103" i="9"/>
  <c r="AF103" i="9"/>
  <c r="AE103" i="9"/>
  <c r="AD103" i="9"/>
  <c r="AD120" i="9" s="1"/>
  <c r="AC103" i="9"/>
  <c r="AB103" i="9"/>
  <c r="AA103" i="9"/>
  <c r="Z103" i="9"/>
  <c r="Z120" i="9" s="1"/>
  <c r="Y103" i="9"/>
  <c r="X103" i="9"/>
  <c r="W103" i="9"/>
  <c r="V103" i="9"/>
  <c r="V120" i="9" s="1"/>
  <c r="U103" i="9"/>
  <c r="T103" i="9"/>
  <c r="S103" i="9"/>
  <c r="R103" i="9"/>
  <c r="R120" i="9" s="1"/>
  <c r="Q103" i="9"/>
  <c r="P103" i="9"/>
  <c r="O103" i="9"/>
  <c r="N103" i="9"/>
  <c r="N120" i="9" s="1"/>
  <c r="M103" i="9"/>
  <c r="L103" i="9"/>
  <c r="K103" i="9"/>
  <c r="J103" i="9"/>
  <c r="J120" i="9" s="1"/>
  <c r="I103" i="9"/>
  <c r="H103" i="9"/>
  <c r="G103" i="9"/>
  <c r="F103" i="9"/>
  <c r="F120" i="9" s="1"/>
  <c r="E103" i="9"/>
  <c r="D103" i="9"/>
  <c r="CX102" i="9"/>
  <c r="CW102" i="9"/>
  <c r="CW119" i="9" s="1"/>
  <c r="CV102" i="9"/>
  <c r="CU102" i="9"/>
  <c r="CT102" i="9"/>
  <c r="CS102" i="9"/>
  <c r="CR102" i="9"/>
  <c r="CQ102" i="9"/>
  <c r="CP102" i="9"/>
  <c r="CO102" i="9"/>
  <c r="CN102" i="9"/>
  <c r="CM102" i="9"/>
  <c r="CL102" i="9"/>
  <c r="CK102" i="9"/>
  <c r="CJ102" i="9"/>
  <c r="CI102" i="9"/>
  <c r="CH102" i="9"/>
  <c r="CG102" i="9"/>
  <c r="CF102" i="9"/>
  <c r="CE102" i="9"/>
  <c r="CD102" i="9"/>
  <c r="CC102" i="9"/>
  <c r="CC119" i="9" s="1"/>
  <c r="CB102" i="9"/>
  <c r="CA102" i="9"/>
  <c r="BZ102" i="9"/>
  <c r="BY102" i="9"/>
  <c r="BY119" i="9" s="1"/>
  <c r="BX102" i="9"/>
  <c r="BW102" i="9"/>
  <c r="BV102" i="9"/>
  <c r="BU102" i="9"/>
  <c r="BU119" i="9" s="1"/>
  <c r="BT102" i="9"/>
  <c r="BS102" i="9"/>
  <c r="BR102" i="9"/>
  <c r="BQ102" i="9"/>
  <c r="BQ119" i="9" s="1"/>
  <c r="BP102" i="9"/>
  <c r="BO102" i="9"/>
  <c r="BN102" i="9"/>
  <c r="BM102" i="9"/>
  <c r="BM119" i="9" s="1"/>
  <c r="BL102" i="9"/>
  <c r="BK102" i="9"/>
  <c r="BJ102" i="9"/>
  <c r="BI102" i="9"/>
  <c r="BI119" i="9" s="1"/>
  <c r="BH102" i="9"/>
  <c r="BG102" i="9"/>
  <c r="BF102" i="9"/>
  <c r="BE102" i="9"/>
  <c r="BE119" i="9" s="1"/>
  <c r="BD102" i="9"/>
  <c r="BC102" i="9"/>
  <c r="BB102" i="9"/>
  <c r="BA102" i="9"/>
  <c r="BA119" i="9" s="1"/>
  <c r="AZ102" i="9"/>
  <c r="AY102" i="9"/>
  <c r="AX102" i="9"/>
  <c r="AW102" i="9"/>
  <c r="AW119" i="9" s="1"/>
  <c r="AV102" i="9"/>
  <c r="AU102" i="9"/>
  <c r="AT102" i="9"/>
  <c r="AS102" i="9"/>
  <c r="AS119" i="9" s="1"/>
  <c r="AR102" i="9"/>
  <c r="AQ102" i="9"/>
  <c r="AP102" i="9"/>
  <c r="AO102" i="9"/>
  <c r="AO119" i="9" s="1"/>
  <c r="AN102" i="9"/>
  <c r="AM102" i="9"/>
  <c r="AL102" i="9"/>
  <c r="AK102" i="9"/>
  <c r="AK119" i="9" s="1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Q119" i="9" s="1"/>
  <c r="P102" i="9"/>
  <c r="O102" i="9"/>
  <c r="N102" i="9"/>
  <c r="M102" i="9"/>
  <c r="M119" i="9" s="1"/>
  <c r="L102" i="9"/>
  <c r="K102" i="9"/>
  <c r="J102" i="9"/>
  <c r="I102" i="9"/>
  <c r="I119" i="9" s="1"/>
  <c r="H102" i="9"/>
  <c r="G102" i="9"/>
  <c r="F102" i="9"/>
  <c r="E102" i="9"/>
  <c r="E119" i="9" s="1"/>
  <c r="D102" i="9"/>
  <c r="CX101" i="9"/>
  <c r="CW101" i="9"/>
  <c r="CV101" i="9"/>
  <c r="CV118" i="9" s="1"/>
  <c r="CU101" i="9"/>
  <c r="CT101" i="9"/>
  <c r="CS101" i="9"/>
  <c r="CR101" i="9"/>
  <c r="CR118" i="9" s="1"/>
  <c r="CQ101" i="9"/>
  <c r="CP101" i="9"/>
  <c r="CO101" i="9"/>
  <c r="CN101" i="9"/>
  <c r="CN118" i="9" s="1"/>
  <c r="CM101" i="9"/>
  <c r="CL101" i="9"/>
  <c r="CK101" i="9"/>
  <c r="CJ101" i="9"/>
  <c r="CJ118" i="9" s="1"/>
  <c r="CI101" i="9"/>
  <c r="CH101" i="9"/>
  <c r="CG101" i="9"/>
  <c r="CF101" i="9"/>
  <c r="CF118" i="9" s="1"/>
  <c r="CE101" i="9"/>
  <c r="CD101" i="9"/>
  <c r="CC101" i="9"/>
  <c r="CB101" i="9"/>
  <c r="CB118" i="9" s="1"/>
  <c r="CA101" i="9"/>
  <c r="BZ101" i="9"/>
  <c r="BY101" i="9"/>
  <c r="BX101" i="9"/>
  <c r="BX118" i="9" s="1"/>
  <c r="BW101" i="9"/>
  <c r="BV101" i="9"/>
  <c r="BU101" i="9"/>
  <c r="BT101" i="9"/>
  <c r="BT118" i="9" s="1"/>
  <c r="BS101" i="9"/>
  <c r="BR101" i="9"/>
  <c r="BQ101" i="9"/>
  <c r="BP101" i="9"/>
  <c r="BO101" i="9"/>
  <c r="BN101" i="9"/>
  <c r="BM101" i="9"/>
  <c r="BL101" i="9"/>
  <c r="BK101" i="9"/>
  <c r="BJ101" i="9"/>
  <c r="BI101" i="9"/>
  <c r="BH101" i="9"/>
  <c r="BG101" i="9"/>
  <c r="BF101" i="9"/>
  <c r="BE101" i="9"/>
  <c r="BD101" i="9"/>
  <c r="BC101" i="9"/>
  <c r="BB101" i="9"/>
  <c r="BA101" i="9"/>
  <c r="AZ101" i="9"/>
  <c r="AZ118" i="9" s="1"/>
  <c r="AY101" i="9"/>
  <c r="AX101" i="9"/>
  <c r="AW101" i="9"/>
  <c r="AV101" i="9"/>
  <c r="AV118" i="9" s="1"/>
  <c r="AU101" i="9"/>
  <c r="AT101" i="9"/>
  <c r="AS101" i="9"/>
  <c r="AR101" i="9"/>
  <c r="AR118" i="9" s="1"/>
  <c r="AQ101" i="9"/>
  <c r="AP101" i="9"/>
  <c r="AO101" i="9"/>
  <c r="AN101" i="9"/>
  <c r="AN118" i="9" s="1"/>
  <c r="AM101" i="9"/>
  <c r="AL101" i="9"/>
  <c r="AK101" i="9"/>
  <c r="AJ101" i="9"/>
  <c r="AJ118" i="9" s="1"/>
  <c r="AI101" i="9"/>
  <c r="AH101" i="9"/>
  <c r="AG101" i="9"/>
  <c r="AF101" i="9"/>
  <c r="AF118" i="9" s="1"/>
  <c r="AE101" i="9"/>
  <c r="AD101" i="9"/>
  <c r="AC101" i="9"/>
  <c r="AB101" i="9"/>
  <c r="AB118" i="9" s="1"/>
  <c r="AA101" i="9"/>
  <c r="Z101" i="9"/>
  <c r="Y101" i="9"/>
  <c r="X101" i="9"/>
  <c r="X118" i="9" s="1"/>
  <c r="W101" i="9"/>
  <c r="V101" i="9"/>
  <c r="U101" i="9"/>
  <c r="T101" i="9"/>
  <c r="T118" i="9" s="1"/>
  <c r="S101" i="9"/>
  <c r="R101" i="9"/>
  <c r="Q101" i="9"/>
  <c r="P101" i="9"/>
  <c r="P118" i="9" s="1"/>
  <c r="O101" i="9"/>
  <c r="N101" i="9"/>
  <c r="M101" i="9"/>
  <c r="L101" i="9"/>
  <c r="L118" i="9" s="1"/>
  <c r="K101" i="9"/>
  <c r="J101" i="9"/>
  <c r="I101" i="9"/>
  <c r="H101" i="9"/>
  <c r="H118" i="9" s="1"/>
  <c r="G101" i="9"/>
  <c r="F101" i="9"/>
  <c r="E101" i="9"/>
  <c r="D101" i="9"/>
  <c r="D118" i="9" s="1"/>
  <c r="CX100" i="9"/>
  <c r="CW100" i="9"/>
  <c r="CV100" i="9"/>
  <c r="CU100" i="9"/>
  <c r="CU117" i="9" s="1"/>
  <c r="CT100" i="9"/>
  <c r="CS100" i="9"/>
  <c r="CR100" i="9"/>
  <c r="CQ100" i="9"/>
  <c r="CQ117" i="9" s="1"/>
  <c r="CP100" i="9"/>
  <c r="CO100" i="9"/>
  <c r="CN100" i="9"/>
  <c r="CM100" i="9"/>
  <c r="CM117" i="9" s="1"/>
  <c r="CL100" i="9"/>
  <c r="CK100" i="9"/>
  <c r="CJ100" i="9"/>
  <c r="CI100" i="9"/>
  <c r="CH100" i="9"/>
  <c r="CG100" i="9"/>
  <c r="CF100" i="9"/>
  <c r="CE100" i="9"/>
  <c r="CE117" i="9" s="1"/>
  <c r="CD100" i="9"/>
  <c r="CC100" i="9"/>
  <c r="CB100" i="9"/>
  <c r="CA100" i="9"/>
  <c r="CA117" i="9" s="1"/>
  <c r="BZ100" i="9"/>
  <c r="BY100" i="9"/>
  <c r="BX100" i="9"/>
  <c r="BW100" i="9"/>
  <c r="BW117" i="9" s="1"/>
  <c r="BV100" i="9"/>
  <c r="BU100" i="9"/>
  <c r="BT100" i="9"/>
  <c r="BS100" i="9"/>
  <c r="BR100" i="9"/>
  <c r="BQ100" i="9"/>
  <c r="BP100" i="9"/>
  <c r="BO100" i="9"/>
  <c r="BO117" i="9" s="1"/>
  <c r="BN100" i="9"/>
  <c r="BM100" i="9"/>
  <c r="BL100" i="9"/>
  <c r="BK100" i="9"/>
  <c r="BK117" i="9" s="1"/>
  <c r="BJ100" i="9"/>
  <c r="BI100" i="9"/>
  <c r="BH100" i="9"/>
  <c r="BG100" i="9"/>
  <c r="BG117" i="9" s="1"/>
  <c r="BF100" i="9"/>
  <c r="BE100" i="9"/>
  <c r="BD100" i="9"/>
  <c r="BC100" i="9"/>
  <c r="BB100" i="9"/>
  <c r="BA100" i="9"/>
  <c r="AZ100" i="9"/>
  <c r="AY100" i="9"/>
  <c r="AY117" i="9" s="1"/>
  <c r="AX100" i="9"/>
  <c r="AW100" i="9"/>
  <c r="AV100" i="9"/>
  <c r="AU100" i="9"/>
  <c r="AU117" i="9" s="1"/>
  <c r="AT100" i="9"/>
  <c r="AS100" i="9"/>
  <c r="AR100" i="9"/>
  <c r="AQ100" i="9"/>
  <c r="AQ117" i="9" s="1"/>
  <c r="AP100" i="9"/>
  <c r="AO100" i="9"/>
  <c r="AN100" i="9"/>
  <c r="AM100" i="9"/>
  <c r="AL100" i="9"/>
  <c r="AK100" i="9"/>
  <c r="AJ100" i="9"/>
  <c r="AI100" i="9"/>
  <c r="AI117" i="9" s="1"/>
  <c r="AH100" i="9"/>
  <c r="AG100" i="9"/>
  <c r="AF100" i="9"/>
  <c r="AE100" i="9"/>
  <c r="AE117" i="9" s="1"/>
  <c r="AD100" i="9"/>
  <c r="AC100" i="9"/>
  <c r="AB100" i="9"/>
  <c r="AA100" i="9"/>
  <c r="AA117" i="9" s="1"/>
  <c r="Z100" i="9"/>
  <c r="Y100" i="9"/>
  <c r="X100" i="9"/>
  <c r="W100" i="9"/>
  <c r="V100" i="9"/>
  <c r="U100" i="9"/>
  <c r="T100" i="9"/>
  <c r="S100" i="9"/>
  <c r="S117" i="9" s="1"/>
  <c r="R100" i="9"/>
  <c r="Q100" i="9"/>
  <c r="P100" i="9"/>
  <c r="O100" i="9"/>
  <c r="N100" i="9"/>
  <c r="M100" i="9"/>
  <c r="L100" i="9"/>
  <c r="K100" i="9"/>
  <c r="K117" i="9" s="1"/>
  <c r="J100" i="9"/>
  <c r="I100" i="9"/>
  <c r="H100" i="9"/>
  <c r="G100" i="9"/>
  <c r="F100" i="9"/>
  <c r="E100" i="9"/>
  <c r="D100" i="9"/>
  <c r="CX99" i="9"/>
  <c r="CW99" i="9"/>
  <c r="CV99" i="9"/>
  <c r="CU99" i="9"/>
  <c r="CT99" i="9"/>
  <c r="CS99" i="9"/>
  <c r="CR99" i="9"/>
  <c r="CQ99" i="9"/>
  <c r="CP99" i="9"/>
  <c r="CO99" i="9"/>
  <c r="CN99" i="9"/>
  <c r="CM99" i="9"/>
  <c r="CL99" i="9"/>
  <c r="CK99" i="9"/>
  <c r="CJ99" i="9"/>
  <c r="CI99" i="9"/>
  <c r="CH99" i="9"/>
  <c r="CG99" i="9"/>
  <c r="CF99" i="9"/>
  <c r="CE99" i="9"/>
  <c r="CD99" i="9"/>
  <c r="CC99" i="9"/>
  <c r="CB99" i="9"/>
  <c r="CA99" i="9"/>
  <c r="BZ99" i="9"/>
  <c r="BY99" i="9"/>
  <c r="BX99" i="9"/>
  <c r="BW99" i="9"/>
  <c r="BV99" i="9"/>
  <c r="BU99" i="9"/>
  <c r="BT99" i="9"/>
  <c r="BS99" i="9"/>
  <c r="BR99" i="9"/>
  <c r="BQ99" i="9"/>
  <c r="BP99" i="9"/>
  <c r="BO99" i="9"/>
  <c r="BN99" i="9"/>
  <c r="BM99" i="9"/>
  <c r="BL99" i="9"/>
  <c r="BK99" i="9"/>
  <c r="BJ99" i="9"/>
  <c r="BI99" i="9"/>
  <c r="BH99" i="9"/>
  <c r="BG99" i="9"/>
  <c r="BF99" i="9"/>
  <c r="BE99" i="9"/>
  <c r="BD99" i="9"/>
  <c r="BC99" i="9"/>
  <c r="BB99" i="9"/>
  <c r="BA99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X98" i="9"/>
  <c r="CW98" i="9"/>
  <c r="CV98" i="9"/>
  <c r="CU98" i="9"/>
  <c r="CT98" i="9"/>
  <c r="CS98" i="9"/>
  <c r="CR98" i="9"/>
  <c r="CQ98" i="9"/>
  <c r="CP98" i="9"/>
  <c r="CO98" i="9"/>
  <c r="CN98" i="9"/>
  <c r="CM98" i="9"/>
  <c r="CL98" i="9"/>
  <c r="CK98" i="9"/>
  <c r="CJ98" i="9"/>
  <c r="CI98" i="9"/>
  <c r="CH98" i="9"/>
  <c r="CG98" i="9"/>
  <c r="CF98" i="9"/>
  <c r="CE98" i="9"/>
  <c r="CD98" i="9"/>
  <c r="CC98" i="9"/>
  <c r="CB98" i="9"/>
  <c r="CA98" i="9"/>
  <c r="BZ98" i="9"/>
  <c r="BY98" i="9"/>
  <c r="BX98" i="9"/>
  <c r="BW98" i="9"/>
  <c r="BV98" i="9"/>
  <c r="BU98" i="9"/>
  <c r="BT98" i="9"/>
  <c r="BS98" i="9"/>
  <c r="BR98" i="9"/>
  <c r="BQ98" i="9"/>
  <c r="BP98" i="9"/>
  <c r="BO98" i="9"/>
  <c r="BN98" i="9"/>
  <c r="BM98" i="9"/>
  <c r="BL98" i="9"/>
  <c r="BK98" i="9"/>
  <c r="BJ98" i="9"/>
  <c r="BI98" i="9"/>
  <c r="BH98" i="9"/>
  <c r="BG98" i="9"/>
  <c r="BF98" i="9"/>
  <c r="BE98" i="9"/>
  <c r="BD98" i="9"/>
  <c r="BC98" i="9"/>
  <c r="BB98" i="9"/>
  <c r="BA98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X97" i="9"/>
  <c r="CW97" i="9"/>
  <c r="CV97" i="9"/>
  <c r="CU97" i="9"/>
  <c r="CT97" i="9"/>
  <c r="CS97" i="9"/>
  <c r="CR97" i="9"/>
  <c r="CQ97" i="9"/>
  <c r="CP97" i="9"/>
  <c r="CO97" i="9"/>
  <c r="CN97" i="9"/>
  <c r="CM97" i="9"/>
  <c r="CL97" i="9"/>
  <c r="CK97" i="9"/>
  <c r="CJ97" i="9"/>
  <c r="CI97" i="9"/>
  <c r="CH97" i="9"/>
  <c r="CG97" i="9"/>
  <c r="CF97" i="9"/>
  <c r="CE97" i="9"/>
  <c r="CD97" i="9"/>
  <c r="CC97" i="9"/>
  <c r="CB97" i="9"/>
  <c r="CA97" i="9"/>
  <c r="BZ97" i="9"/>
  <c r="BY97" i="9"/>
  <c r="BX97" i="9"/>
  <c r="BW97" i="9"/>
  <c r="BV97" i="9"/>
  <c r="BU97" i="9"/>
  <c r="BT97" i="9"/>
  <c r="BS97" i="9"/>
  <c r="BR97" i="9"/>
  <c r="BQ97" i="9"/>
  <c r="BP97" i="9"/>
  <c r="BO97" i="9"/>
  <c r="BN97" i="9"/>
  <c r="BM97" i="9"/>
  <c r="BL97" i="9"/>
  <c r="BK97" i="9"/>
  <c r="BJ97" i="9"/>
  <c r="BI97" i="9"/>
  <c r="BH97" i="9"/>
  <c r="BG97" i="9"/>
  <c r="BF97" i="9"/>
  <c r="BE97" i="9"/>
  <c r="BD97" i="9"/>
  <c r="BC97" i="9"/>
  <c r="BB97" i="9"/>
  <c r="BA97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X96" i="9"/>
  <c r="CW96" i="9"/>
  <c r="CV96" i="9"/>
  <c r="CU96" i="9"/>
  <c r="CT96" i="9"/>
  <c r="CS96" i="9"/>
  <c r="CR96" i="9"/>
  <c r="CQ96" i="9"/>
  <c r="CP96" i="9"/>
  <c r="CO96" i="9"/>
  <c r="CN96" i="9"/>
  <c r="CM96" i="9"/>
  <c r="CL96" i="9"/>
  <c r="CK96" i="9"/>
  <c r="CJ96" i="9"/>
  <c r="CI96" i="9"/>
  <c r="CH96" i="9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X95" i="9"/>
  <c r="CW95" i="9"/>
  <c r="CV95" i="9"/>
  <c r="CU95" i="9"/>
  <c r="CT95" i="9"/>
  <c r="CS95" i="9"/>
  <c r="CR95" i="9"/>
  <c r="CQ95" i="9"/>
  <c r="CP95" i="9"/>
  <c r="CO95" i="9"/>
  <c r="CN95" i="9"/>
  <c r="CM95" i="9"/>
  <c r="CL95" i="9"/>
  <c r="CK95" i="9"/>
  <c r="CJ95" i="9"/>
  <c r="CI95" i="9"/>
  <c r="CH95" i="9"/>
  <c r="CG95" i="9"/>
  <c r="CF95" i="9"/>
  <c r="CE95" i="9"/>
  <c r="CD95" i="9"/>
  <c r="CC95" i="9"/>
  <c r="CB95" i="9"/>
  <c r="CA95" i="9"/>
  <c r="BZ95" i="9"/>
  <c r="BY95" i="9"/>
  <c r="BX95" i="9"/>
  <c r="BW95" i="9"/>
  <c r="BV95" i="9"/>
  <c r="BU95" i="9"/>
  <c r="BT95" i="9"/>
  <c r="BS95" i="9"/>
  <c r="BR95" i="9"/>
  <c r="BQ95" i="9"/>
  <c r="BP95" i="9"/>
  <c r="BO95" i="9"/>
  <c r="BN95" i="9"/>
  <c r="BM95" i="9"/>
  <c r="BL95" i="9"/>
  <c r="BK95" i="9"/>
  <c r="BJ95" i="9"/>
  <c r="BI95" i="9"/>
  <c r="BH95" i="9"/>
  <c r="BG95" i="9"/>
  <c r="BF95" i="9"/>
  <c r="BE95" i="9"/>
  <c r="BD95" i="9"/>
  <c r="BC95" i="9"/>
  <c r="BB95" i="9"/>
  <c r="BA95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C120" i="9"/>
  <c r="Q120" i="9"/>
  <c r="CT119" i="9"/>
  <c r="CD119" i="9"/>
  <c r="BN119" i="9"/>
  <c r="AX119" i="9"/>
  <c r="AH119" i="9"/>
  <c r="R119" i="9"/>
  <c r="CW118" i="9"/>
  <c r="CG118" i="9"/>
  <c r="BQ118" i="9"/>
  <c r="BA118" i="9"/>
  <c r="AK118" i="9"/>
  <c r="U118" i="9"/>
  <c r="CP117" i="9"/>
  <c r="CL117" i="9"/>
  <c r="CH117" i="9"/>
  <c r="CD117" i="9"/>
  <c r="BZ117" i="9"/>
  <c r="BV117" i="9"/>
  <c r="BR117" i="9"/>
  <c r="BN117" i="9"/>
  <c r="BJ117" i="9"/>
  <c r="BF117" i="9"/>
  <c r="BB117" i="9"/>
  <c r="AX117" i="9"/>
  <c r="AT117" i="9"/>
  <c r="AP117" i="9"/>
  <c r="AL117" i="9"/>
  <c r="AH117" i="9"/>
  <c r="AD117" i="9"/>
  <c r="Z117" i="9"/>
  <c r="V117" i="9"/>
  <c r="R117" i="9"/>
  <c r="N117" i="9"/>
  <c r="J117" i="9"/>
  <c r="F117" i="9"/>
  <c r="CX125" i="9"/>
  <c r="CW125" i="9"/>
  <c r="CV125" i="9"/>
  <c r="CT125" i="9"/>
  <c r="CS125" i="9"/>
  <c r="CR125" i="9"/>
  <c r="CP125" i="9"/>
  <c r="CO125" i="9"/>
  <c r="CN125" i="9"/>
  <c r="CL125" i="9"/>
  <c r="CK125" i="9"/>
  <c r="CJ125" i="9"/>
  <c r="CH125" i="9"/>
  <c r="CG125" i="9"/>
  <c r="CF125" i="9"/>
  <c r="CD125" i="9"/>
  <c r="CC125" i="9"/>
  <c r="CB125" i="9"/>
  <c r="BZ125" i="9"/>
  <c r="BY125" i="9"/>
  <c r="BX125" i="9"/>
  <c r="BV125" i="9"/>
  <c r="BU125" i="9"/>
  <c r="BT125" i="9"/>
  <c r="BR125" i="9"/>
  <c r="BQ125" i="9"/>
  <c r="BP125" i="9"/>
  <c r="BN125" i="9"/>
  <c r="BM125" i="9"/>
  <c r="BL125" i="9"/>
  <c r="BJ125" i="9"/>
  <c r="BI125" i="9"/>
  <c r="BH125" i="9"/>
  <c r="BF125" i="9"/>
  <c r="BE125" i="9"/>
  <c r="BD125" i="9"/>
  <c r="BB125" i="9"/>
  <c r="BA125" i="9"/>
  <c r="AZ125" i="9"/>
  <c r="AX125" i="9"/>
  <c r="AW125" i="9"/>
  <c r="AV125" i="9"/>
  <c r="AT125" i="9"/>
  <c r="AS125" i="9"/>
  <c r="AR125" i="9"/>
  <c r="AP125" i="9"/>
  <c r="AO125" i="9"/>
  <c r="AN125" i="9"/>
  <c r="AL125" i="9"/>
  <c r="AK125" i="9"/>
  <c r="AJ125" i="9"/>
  <c r="AH125" i="9"/>
  <c r="AG125" i="9"/>
  <c r="AF125" i="9"/>
  <c r="AD125" i="9"/>
  <c r="AC125" i="9"/>
  <c r="AB125" i="9"/>
  <c r="Z125" i="9"/>
  <c r="Y125" i="9"/>
  <c r="X125" i="9"/>
  <c r="V125" i="9"/>
  <c r="U125" i="9"/>
  <c r="T125" i="9"/>
  <c r="R125" i="9"/>
  <c r="Q125" i="9"/>
  <c r="P125" i="9"/>
  <c r="N125" i="9"/>
  <c r="M125" i="9"/>
  <c r="L125" i="9"/>
  <c r="J125" i="9"/>
  <c r="I125" i="9"/>
  <c r="H125" i="9"/>
  <c r="F125" i="9"/>
  <c r="E125" i="9"/>
  <c r="D125" i="9"/>
  <c r="CW124" i="9"/>
  <c r="CV124" i="9"/>
  <c r="CU124" i="9"/>
  <c r="CS124" i="9"/>
  <c r="CR124" i="9"/>
  <c r="CQ124" i="9"/>
  <c r="CO124" i="9"/>
  <c r="CN124" i="9"/>
  <c r="CM124" i="9"/>
  <c r="CK124" i="9"/>
  <c r="CJ124" i="9"/>
  <c r="CI124" i="9"/>
  <c r="CG124" i="9"/>
  <c r="CF124" i="9"/>
  <c r="CE124" i="9"/>
  <c r="CC124" i="9"/>
  <c r="CB124" i="9"/>
  <c r="CA124" i="9"/>
  <c r="BY124" i="9"/>
  <c r="BX124" i="9"/>
  <c r="BW124" i="9"/>
  <c r="BU124" i="9"/>
  <c r="BT124" i="9"/>
  <c r="BS124" i="9"/>
  <c r="BQ124" i="9"/>
  <c r="BP124" i="9"/>
  <c r="BO124" i="9"/>
  <c r="BM124" i="9"/>
  <c r="BL124" i="9"/>
  <c r="BK124" i="9"/>
  <c r="BI124" i="9"/>
  <c r="BH124" i="9"/>
  <c r="BG124" i="9"/>
  <c r="BE124" i="9"/>
  <c r="BD124" i="9"/>
  <c r="BC124" i="9"/>
  <c r="BA124" i="9"/>
  <c r="AZ124" i="9"/>
  <c r="AY124" i="9"/>
  <c r="AW124" i="9"/>
  <c r="AV124" i="9"/>
  <c r="AU124" i="9"/>
  <c r="AS124" i="9"/>
  <c r="AR124" i="9"/>
  <c r="AQ124" i="9"/>
  <c r="AO124" i="9"/>
  <c r="AN124" i="9"/>
  <c r="AM124" i="9"/>
  <c r="AK124" i="9"/>
  <c r="AJ124" i="9"/>
  <c r="AI124" i="9"/>
  <c r="AG124" i="9"/>
  <c r="AF124" i="9"/>
  <c r="AE124" i="9"/>
  <c r="AC124" i="9"/>
  <c r="AB124" i="9"/>
  <c r="AA124" i="9"/>
  <c r="Y124" i="9"/>
  <c r="X124" i="9"/>
  <c r="W124" i="9"/>
  <c r="U124" i="9"/>
  <c r="T124" i="9"/>
  <c r="S124" i="9"/>
  <c r="Q124" i="9"/>
  <c r="P124" i="9"/>
  <c r="O124" i="9"/>
  <c r="M124" i="9"/>
  <c r="L124" i="9"/>
  <c r="K124" i="9"/>
  <c r="I124" i="9"/>
  <c r="H124" i="9"/>
  <c r="G124" i="9"/>
  <c r="E124" i="9"/>
  <c r="D124" i="9"/>
  <c r="CX123" i="9"/>
  <c r="CV123" i="9"/>
  <c r="CU123" i="9"/>
  <c r="CT123" i="9"/>
  <c r="CR123" i="9"/>
  <c r="CQ123" i="9"/>
  <c r="CP123" i="9"/>
  <c r="CN123" i="9"/>
  <c r="CM123" i="9"/>
  <c r="CL123" i="9"/>
  <c r="CJ123" i="9"/>
  <c r="CI123" i="9"/>
  <c r="CH123" i="9"/>
  <c r="CF123" i="9"/>
  <c r="CE123" i="9"/>
  <c r="CD123" i="9"/>
  <c r="CB123" i="9"/>
  <c r="CA123" i="9"/>
  <c r="BZ123" i="9"/>
  <c r="BX123" i="9"/>
  <c r="BW123" i="9"/>
  <c r="BV123" i="9"/>
  <c r="BT123" i="9"/>
  <c r="BS123" i="9"/>
  <c r="BR123" i="9"/>
  <c r="BP123" i="9"/>
  <c r="BO123" i="9"/>
  <c r="BN123" i="9"/>
  <c r="BL123" i="9"/>
  <c r="BK123" i="9"/>
  <c r="BJ123" i="9"/>
  <c r="BH123" i="9"/>
  <c r="BG123" i="9"/>
  <c r="BF123" i="9"/>
  <c r="BD123" i="9"/>
  <c r="BC123" i="9"/>
  <c r="BB123" i="9"/>
  <c r="AZ123" i="9"/>
  <c r="AY123" i="9"/>
  <c r="AX123" i="9"/>
  <c r="AV123" i="9"/>
  <c r="AU123" i="9"/>
  <c r="AT123" i="9"/>
  <c r="AR123" i="9"/>
  <c r="AQ123" i="9"/>
  <c r="AP123" i="9"/>
  <c r="AN123" i="9"/>
  <c r="AM123" i="9"/>
  <c r="AL123" i="9"/>
  <c r="AJ123" i="9"/>
  <c r="AI123" i="9"/>
  <c r="AH123" i="9"/>
  <c r="AF123" i="9"/>
  <c r="AE123" i="9"/>
  <c r="AD123" i="9"/>
  <c r="AB123" i="9"/>
  <c r="AA123" i="9"/>
  <c r="Z123" i="9"/>
  <c r="X123" i="9"/>
  <c r="W123" i="9"/>
  <c r="V123" i="9"/>
  <c r="T123" i="9"/>
  <c r="S123" i="9"/>
  <c r="R123" i="9"/>
  <c r="P123" i="9"/>
  <c r="O123" i="9"/>
  <c r="N123" i="9"/>
  <c r="L123" i="9"/>
  <c r="K123" i="9"/>
  <c r="J123" i="9"/>
  <c r="H123" i="9"/>
  <c r="G123" i="9"/>
  <c r="F123" i="9"/>
  <c r="D123" i="9"/>
  <c r="CX122" i="9"/>
  <c r="CW122" i="9"/>
  <c r="CU122" i="9"/>
  <c r="CT122" i="9"/>
  <c r="CS122" i="9"/>
  <c r="CQ122" i="9"/>
  <c r="CP122" i="9"/>
  <c r="CO122" i="9"/>
  <c r="CM122" i="9"/>
  <c r="CL122" i="9"/>
  <c r="CK122" i="9"/>
  <c r="CI122" i="9"/>
  <c r="CH122" i="9"/>
  <c r="CG122" i="9"/>
  <c r="CE122" i="9"/>
  <c r="CD122" i="9"/>
  <c r="CC122" i="9"/>
  <c r="CA122" i="9"/>
  <c r="BZ122" i="9"/>
  <c r="BY122" i="9"/>
  <c r="BW122" i="9"/>
  <c r="BV122" i="9"/>
  <c r="BU122" i="9"/>
  <c r="BS122" i="9"/>
  <c r="BR122" i="9"/>
  <c r="BQ122" i="9"/>
  <c r="BO122" i="9"/>
  <c r="BN122" i="9"/>
  <c r="BM122" i="9"/>
  <c r="BK122" i="9"/>
  <c r="BJ122" i="9"/>
  <c r="BI122" i="9"/>
  <c r="BG122" i="9"/>
  <c r="BF122" i="9"/>
  <c r="BE122" i="9"/>
  <c r="BC122" i="9"/>
  <c r="BB122" i="9"/>
  <c r="BA122" i="9"/>
  <c r="AY122" i="9"/>
  <c r="AX122" i="9"/>
  <c r="AW122" i="9"/>
  <c r="AU122" i="9"/>
  <c r="AT122" i="9"/>
  <c r="AS122" i="9"/>
  <c r="AQ122" i="9"/>
  <c r="AP122" i="9"/>
  <c r="AO122" i="9"/>
  <c r="AM122" i="9"/>
  <c r="AL122" i="9"/>
  <c r="AK122" i="9"/>
  <c r="AI122" i="9"/>
  <c r="AH122" i="9"/>
  <c r="AG122" i="9"/>
  <c r="AE122" i="9"/>
  <c r="AD122" i="9"/>
  <c r="AC122" i="9"/>
  <c r="AA122" i="9"/>
  <c r="Z122" i="9"/>
  <c r="Y122" i="9"/>
  <c r="W122" i="9"/>
  <c r="V122" i="9"/>
  <c r="U122" i="9"/>
  <c r="S122" i="9"/>
  <c r="R122" i="9"/>
  <c r="Q122" i="9"/>
  <c r="O122" i="9"/>
  <c r="N122" i="9"/>
  <c r="M122" i="9"/>
  <c r="K122" i="9"/>
  <c r="J122" i="9"/>
  <c r="I122" i="9"/>
  <c r="G122" i="9"/>
  <c r="F122" i="9"/>
  <c r="E122" i="9"/>
  <c r="CX121" i="9"/>
  <c r="CW121" i="9"/>
  <c r="CV121" i="9"/>
  <c r="CT121" i="9"/>
  <c r="CS121" i="9"/>
  <c r="CR121" i="9"/>
  <c r="CP121" i="9"/>
  <c r="CO121" i="9"/>
  <c r="CN121" i="9"/>
  <c r="CL121" i="9"/>
  <c r="CK121" i="9"/>
  <c r="CJ121" i="9"/>
  <c r="CH121" i="9"/>
  <c r="CG121" i="9"/>
  <c r="CF121" i="9"/>
  <c r="CD121" i="9"/>
  <c r="CC121" i="9"/>
  <c r="CB121" i="9"/>
  <c r="BZ121" i="9"/>
  <c r="BY121" i="9"/>
  <c r="BX121" i="9"/>
  <c r="BV121" i="9"/>
  <c r="BU121" i="9"/>
  <c r="BT121" i="9"/>
  <c r="BR121" i="9"/>
  <c r="BQ121" i="9"/>
  <c r="BP121" i="9"/>
  <c r="BN121" i="9"/>
  <c r="BM121" i="9"/>
  <c r="BL121" i="9"/>
  <c r="BJ121" i="9"/>
  <c r="BI121" i="9"/>
  <c r="BH121" i="9"/>
  <c r="BF121" i="9"/>
  <c r="BE121" i="9"/>
  <c r="BD121" i="9"/>
  <c r="BB121" i="9"/>
  <c r="BA121" i="9"/>
  <c r="AZ121" i="9"/>
  <c r="AX121" i="9"/>
  <c r="AW121" i="9"/>
  <c r="AV121" i="9"/>
  <c r="AT121" i="9"/>
  <c r="AS121" i="9"/>
  <c r="AR121" i="9"/>
  <c r="AP121" i="9"/>
  <c r="AO121" i="9"/>
  <c r="AN121" i="9"/>
  <c r="AL121" i="9"/>
  <c r="AK121" i="9"/>
  <c r="AJ121" i="9"/>
  <c r="AH121" i="9"/>
  <c r="AG121" i="9"/>
  <c r="AF121" i="9"/>
  <c r="AD121" i="9"/>
  <c r="AC121" i="9"/>
  <c r="AB121" i="9"/>
  <c r="Z121" i="9"/>
  <c r="Y121" i="9"/>
  <c r="X121" i="9"/>
  <c r="V121" i="9"/>
  <c r="U121" i="9"/>
  <c r="T121" i="9"/>
  <c r="R121" i="9"/>
  <c r="Q121" i="9"/>
  <c r="P121" i="9"/>
  <c r="N121" i="9"/>
  <c r="M121" i="9"/>
  <c r="L121" i="9"/>
  <c r="J121" i="9"/>
  <c r="I121" i="9"/>
  <c r="H121" i="9"/>
  <c r="F121" i="9"/>
  <c r="E121" i="9"/>
  <c r="D121" i="9"/>
  <c r="CW120" i="9"/>
  <c r="CV120" i="9"/>
  <c r="CU120" i="9"/>
  <c r="CT120" i="9"/>
  <c r="CS120" i="9"/>
  <c r="CR120" i="9"/>
  <c r="CQ120" i="9"/>
  <c r="CP120" i="9"/>
  <c r="CO120" i="9"/>
  <c r="CN120" i="9"/>
  <c r="CM120" i="9"/>
  <c r="CL120" i="9"/>
  <c r="CK120" i="9"/>
  <c r="CJ120" i="9"/>
  <c r="CI120" i="9"/>
  <c r="CH120" i="9"/>
  <c r="CG120" i="9"/>
  <c r="CF120" i="9"/>
  <c r="CE120" i="9"/>
  <c r="CD120" i="9"/>
  <c r="CB120" i="9"/>
  <c r="CA120" i="9"/>
  <c r="BY120" i="9"/>
  <c r="BX120" i="9"/>
  <c r="BW120" i="9"/>
  <c r="BU120" i="9"/>
  <c r="BT120" i="9"/>
  <c r="BS120" i="9"/>
  <c r="BQ120" i="9"/>
  <c r="BP120" i="9"/>
  <c r="BO120" i="9"/>
  <c r="BM120" i="9"/>
  <c r="BL120" i="9"/>
  <c r="BK120" i="9"/>
  <c r="BI120" i="9"/>
  <c r="BH120" i="9"/>
  <c r="BG120" i="9"/>
  <c r="BF120" i="9"/>
  <c r="BE120" i="9"/>
  <c r="BD120" i="9"/>
  <c r="BC120" i="9"/>
  <c r="BB120" i="9"/>
  <c r="BA120" i="9"/>
  <c r="AZ120" i="9"/>
  <c r="AY120" i="9"/>
  <c r="AX120" i="9"/>
  <c r="AW120" i="9"/>
  <c r="AV120" i="9"/>
  <c r="AU120" i="9"/>
  <c r="AT120" i="9"/>
  <c r="AS120" i="9"/>
  <c r="AR120" i="9"/>
  <c r="AQ120" i="9"/>
  <c r="AP120" i="9"/>
  <c r="AO120" i="9"/>
  <c r="AN120" i="9"/>
  <c r="AM120" i="9"/>
  <c r="AK120" i="9"/>
  <c r="AJ120" i="9"/>
  <c r="AI120" i="9"/>
  <c r="AG120" i="9"/>
  <c r="AF120" i="9"/>
  <c r="AE120" i="9"/>
  <c r="AC120" i="9"/>
  <c r="AB120" i="9"/>
  <c r="AA120" i="9"/>
  <c r="Y120" i="9"/>
  <c r="X120" i="9"/>
  <c r="W120" i="9"/>
  <c r="U120" i="9"/>
  <c r="T120" i="9"/>
  <c r="S120" i="9"/>
  <c r="P120" i="9"/>
  <c r="O120" i="9"/>
  <c r="M120" i="9"/>
  <c r="L120" i="9"/>
  <c r="K120" i="9"/>
  <c r="I120" i="9"/>
  <c r="H120" i="9"/>
  <c r="G120" i="9"/>
  <c r="E120" i="9"/>
  <c r="D120" i="9"/>
  <c r="CX119" i="9"/>
  <c r="CV119" i="9"/>
  <c r="CU119" i="9"/>
  <c r="CS119" i="9"/>
  <c r="CR119" i="9"/>
  <c r="CQ119" i="9"/>
  <c r="CP119" i="9"/>
  <c r="CO119" i="9"/>
  <c r="CN119" i="9"/>
  <c r="CM119" i="9"/>
  <c r="CL119" i="9"/>
  <c r="CK119" i="9"/>
  <c r="CJ119" i="9"/>
  <c r="CI119" i="9"/>
  <c r="CH119" i="9"/>
  <c r="CG119" i="9"/>
  <c r="CF119" i="9"/>
  <c r="CE119" i="9"/>
  <c r="CB119" i="9"/>
  <c r="CA119" i="9"/>
  <c r="BZ119" i="9"/>
  <c r="BX119" i="9"/>
  <c r="BW119" i="9"/>
  <c r="BV119" i="9"/>
  <c r="BT119" i="9"/>
  <c r="BS119" i="9"/>
  <c r="BR119" i="9"/>
  <c r="BP119" i="9"/>
  <c r="BO119" i="9"/>
  <c r="BL119" i="9"/>
  <c r="BK119" i="9"/>
  <c r="BJ119" i="9"/>
  <c r="BH119" i="9"/>
  <c r="BG119" i="9"/>
  <c r="BF119" i="9"/>
  <c r="BD119" i="9"/>
  <c r="BC119" i="9"/>
  <c r="BB119" i="9"/>
  <c r="AZ119" i="9"/>
  <c r="AY119" i="9"/>
  <c r="AV119" i="9"/>
  <c r="AU119" i="9"/>
  <c r="AT119" i="9"/>
  <c r="AR119" i="9"/>
  <c r="AQ119" i="9"/>
  <c r="AP119" i="9"/>
  <c r="AN119" i="9"/>
  <c r="AM119" i="9"/>
  <c r="AL119" i="9"/>
  <c r="AJ119" i="9"/>
  <c r="AI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P119" i="9"/>
  <c r="O119" i="9"/>
  <c r="N119" i="9"/>
  <c r="L119" i="9"/>
  <c r="K119" i="9"/>
  <c r="J119" i="9"/>
  <c r="H119" i="9"/>
  <c r="G119" i="9"/>
  <c r="F119" i="9"/>
  <c r="D119" i="9"/>
  <c r="CX118" i="9"/>
  <c r="CU118" i="9"/>
  <c r="CT118" i="9"/>
  <c r="CS118" i="9"/>
  <c r="CQ118" i="9"/>
  <c r="CP118" i="9"/>
  <c r="CO118" i="9"/>
  <c r="CM118" i="9"/>
  <c r="CL118" i="9"/>
  <c r="CK118" i="9"/>
  <c r="CI118" i="9"/>
  <c r="CH118" i="9"/>
  <c r="CE118" i="9"/>
  <c r="CD118" i="9"/>
  <c r="CC118" i="9"/>
  <c r="CA118" i="9"/>
  <c r="BZ118" i="9"/>
  <c r="BY118" i="9"/>
  <c r="BW118" i="9"/>
  <c r="BV118" i="9"/>
  <c r="BU118" i="9"/>
  <c r="BS118" i="9"/>
  <c r="BR118" i="9"/>
  <c r="BP118" i="9"/>
  <c r="BO118" i="9"/>
  <c r="BN118" i="9"/>
  <c r="BM118" i="9"/>
  <c r="BL118" i="9"/>
  <c r="BK118" i="9"/>
  <c r="BJ118" i="9"/>
  <c r="BI118" i="9"/>
  <c r="BH118" i="9"/>
  <c r="BG118" i="9"/>
  <c r="BF118" i="9"/>
  <c r="BE118" i="9"/>
  <c r="BD118" i="9"/>
  <c r="BC118" i="9"/>
  <c r="BB118" i="9"/>
  <c r="AY118" i="9"/>
  <c r="AX118" i="9"/>
  <c r="AW118" i="9"/>
  <c r="AU118" i="9"/>
  <c r="AT118" i="9"/>
  <c r="AS118" i="9"/>
  <c r="AQ118" i="9"/>
  <c r="AP118" i="9"/>
  <c r="AO118" i="9"/>
  <c r="AM118" i="9"/>
  <c r="AL118" i="9"/>
  <c r="AI118" i="9"/>
  <c r="AH118" i="9"/>
  <c r="AG118" i="9"/>
  <c r="AE118" i="9"/>
  <c r="AD118" i="9"/>
  <c r="AC118" i="9"/>
  <c r="AA118" i="9"/>
  <c r="Z118" i="9"/>
  <c r="Y118" i="9"/>
  <c r="W118" i="9"/>
  <c r="V118" i="9"/>
  <c r="S118" i="9"/>
  <c r="R118" i="9"/>
  <c r="Q118" i="9"/>
  <c r="O118" i="9"/>
  <c r="N118" i="9"/>
  <c r="M118" i="9"/>
  <c r="K118" i="9"/>
  <c r="J118" i="9"/>
  <c r="I118" i="9"/>
  <c r="G118" i="9"/>
  <c r="F118" i="9"/>
  <c r="E118" i="9"/>
  <c r="CX117" i="9"/>
  <c r="CW117" i="9"/>
  <c r="CV117" i="9"/>
  <c r="CT117" i="9"/>
  <c r="CS117" i="9"/>
  <c r="CR117" i="9"/>
  <c r="CO117" i="9"/>
  <c r="CN117" i="9"/>
  <c r="CK117" i="9"/>
  <c r="CJ117" i="9"/>
  <c r="CI117" i="9"/>
  <c r="CG117" i="9"/>
  <c r="CF117" i="9"/>
  <c r="CC117" i="9"/>
  <c r="CB117" i="9"/>
  <c r="BY117" i="9"/>
  <c r="BX117" i="9"/>
  <c r="BU117" i="9"/>
  <c r="BT117" i="9"/>
  <c r="BS117" i="9"/>
  <c r="BQ117" i="9"/>
  <c r="BP117" i="9"/>
  <c r="BM117" i="9"/>
  <c r="BL117" i="9"/>
  <c r="BI117" i="9"/>
  <c r="BH117" i="9"/>
  <c r="BE117" i="9"/>
  <c r="BD117" i="9"/>
  <c r="BC117" i="9"/>
  <c r="BA117" i="9"/>
  <c r="AZ117" i="9"/>
  <c r="AW117" i="9"/>
  <c r="AV117" i="9"/>
  <c r="AS117" i="9"/>
  <c r="AR117" i="9"/>
  <c r="AO117" i="9"/>
  <c r="AN117" i="9"/>
  <c r="AM117" i="9"/>
  <c r="AK117" i="9"/>
  <c r="AJ117" i="9"/>
  <c r="AG117" i="9"/>
  <c r="AF117" i="9"/>
  <c r="AC117" i="9"/>
  <c r="AB117" i="9"/>
  <c r="Y117" i="9"/>
  <c r="X117" i="9"/>
  <c r="W117" i="9"/>
  <c r="U117" i="9"/>
  <c r="T117" i="9"/>
  <c r="Q117" i="9"/>
  <c r="P117" i="9"/>
  <c r="O117" i="9"/>
  <c r="M117" i="9"/>
  <c r="L117" i="9"/>
  <c r="I117" i="9"/>
  <c r="H117" i="9"/>
  <c r="G117" i="9"/>
  <c r="E117" i="9"/>
  <c r="D117" i="9"/>
  <c r="CQ94" i="9"/>
  <c r="BS94" i="9"/>
  <c r="BK94" i="9"/>
  <c r="AM94" i="9"/>
  <c r="AE94" i="9"/>
  <c r="G94" i="9"/>
  <c r="CT93" i="9"/>
  <c r="BV93" i="9"/>
  <c r="BN93" i="9"/>
  <c r="AP93" i="9"/>
  <c r="AH93" i="9"/>
  <c r="F93" i="9"/>
  <c r="CK92" i="9"/>
  <c r="CF92" i="9"/>
  <c r="BP92" i="9"/>
  <c r="AO92" i="9"/>
  <c r="Y92" i="9"/>
  <c r="T92" i="9"/>
  <c r="D92" i="9"/>
  <c r="BX91" i="9"/>
  <c r="BH91" i="9"/>
  <c r="BC91" i="9"/>
  <c r="AM91" i="9"/>
  <c r="AH91" i="9"/>
  <c r="L91" i="9"/>
  <c r="CQ90" i="9"/>
  <c r="CL90" i="9"/>
  <c r="BV90" i="9"/>
  <c r="AU90" i="9"/>
  <c r="AE90" i="9"/>
  <c r="Z90" i="9"/>
  <c r="J90" i="9"/>
  <c r="G89" i="9"/>
  <c r="BC86" i="9"/>
  <c r="AQ86" i="9"/>
  <c r="AL86" i="9"/>
  <c r="AA86" i="9"/>
  <c r="V86" i="9"/>
  <c r="K86" i="9"/>
  <c r="F86" i="9"/>
  <c r="CX85" i="9"/>
  <c r="CX94" i="9" s="1"/>
  <c r="CW85" i="9"/>
  <c r="CW94" i="9" s="1"/>
  <c r="CV85" i="9"/>
  <c r="CV94" i="9" s="1"/>
  <c r="CU85" i="9"/>
  <c r="CU94" i="9" s="1"/>
  <c r="CT85" i="9"/>
  <c r="CT94" i="9" s="1"/>
  <c r="CS85" i="9"/>
  <c r="CS94" i="9" s="1"/>
  <c r="CR85" i="9"/>
  <c r="CR94" i="9" s="1"/>
  <c r="CQ85" i="9"/>
  <c r="CP85" i="9"/>
  <c r="CP94" i="9" s="1"/>
  <c r="CO85" i="9"/>
  <c r="CO94" i="9" s="1"/>
  <c r="CN85" i="9"/>
  <c r="CN94" i="9" s="1"/>
  <c r="CM85" i="9"/>
  <c r="CM94" i="9" s="1"/>
  <c r="CL85" i="9"/>
  <c r="CL94" i="9" s="1"/>
  <c r="CK85" i="9"/>
  <c r="CK94" i="9" s="1"/>
  <c r="CJ85" i="9"/>
  <c r="CJ94" i="9" s="1"/>
  <c r="CI85" i="9"/>
  <c r="CI94" i="9" s="1"/>
  <c r="CH85" i="9"/>
  <c r="CH94" i="9" s="1"/>
  <c r="CG85" i="9"/>
  <c r="CG94" i="9" s="1"/>
  <c r="CF85" i="9"/>
  <c r="CF94" i="9" s="1"/>
  <c r="CE85" i="9"/>
  <c r="CE94" i="9" s="1"/>
  <c r="CD85" i="9"/>
  <c r="CD94" i="9" s="1"/>
  <c r="CC85" i="9"/>
  <c r="CC94" i="9" s="1"/>
  <c r="CB85" i="9"/>
  <c r="CB94" i="9" s="1"/>
  <c r="CA85" i="9"/>
  <c r="CA94" i="9" s="1"/>
  <c r="BZ85" i="9"/>
  <c r="BZ94" i="9" s="1"/>
  <c r="BY85" i="9"/>
  <c r="BY94" i="9" s="1"/>
  <c r="BX85" i="9"/>
  <c r="BX94" i="9" s="1"/>
  <c r="BW85" i="9"/>
  <c r="BW94" i="9" s="1"/>
  <c r="BV85" i="9"/>
  <c r="BV94" i="9" s="1"/>
  <c r="BU85" i="9"/>
  <c r="BU94" i="9" s="1"/>
  <c r="BT85" i="9"/>
  <c r="BT94" i="9" s="1"/>
  <c r="BS85" i="9"/>
  <c r="BR85" i="9"/>
  <c r="BR94" i="9" s="1"/>
  <c r="BQ85" i="9"/>
  <c r="BQ94" i="9" s="1"/>
  <c r="BP85" i="9"/>
  <c r="BP94" i="9" s="1"/>
  <c r="BO85" i="9"/>
  <c r="BO94" i="9" s="1"/>
  <c r="BN85" i="9"/>
  <c r="BN94" i="9" s="1"/>
  <c r="BM85" i="9"/>
  <c r="BM94" i="9" s="1"/>
  <c r="BL85" i="9"/>
  <c r="BL94" i="9" s="1"/>
  <c r="BK85" i="9"/>
  <c r="BJ85" i="9"/>
  <c r="BJ94" i="9" s="1"/>
  <c r="BI85" i="9"/>
  <c r="BI94" i="9" s="1"/>
  <c r="BH85" i="9"/>
  <c r="BH94" i="9" s="1"/>
  <c r="BG85" i="9"/>
  <c r="BG94" i="9" s="1"/>
  <c r="BF85" i="9"/>
  <c r="BF94" i="9" s="1"/>
  <c r="BE85" i="9"/>
  <c r="BE94" i="9" s="1"/>
  <c r="BD85" i="9"/>
  <c r="BD94" i="9" s="1"/>
  <c r="BC85" i="9"/>
  <c r="BC94" i="9" s="1"/>
  <c r="BB85" i="9"/>
  <c r="BB94" i="9" s="1"/>
  <c r="BA85" i="9"/>
  <c r="BA94" i="9" s="1"/>
  <c r="AZ85" i="9"/>
  <c r="AZ94" i="9" s="1"/>
  <c r="AY85" i="9"/>
  <c r="AY94" i="9" s="1"/>
  <c r="AX85" i="9"/>
  <c r="AX94" i="9" s="1"/>
  <c r="AW85" i="9"/>
  <c r="AW94" i="9" s="1"/>
  <c r="AV85" i="9"/>
  <c r="AV94" i="9" s="1"/>
  <c r="AU85" i="9"/>
  <c r="AU94" i="9" s="1"/>
  <c r="AT85" i="9"/>
  <c r="AT94" i="9" s="1"/>
  <c r="AS85" i="9"/>
  <c r="AS94" i="9" s="1"/>
  <c r="AR85" i="9"/>
  <c r="AR94" i="9" s="1"/>
  <c r="AQ85" i="9"/>
  <c r="AQ94" i="9" s="1"/>
  <c r="AP85" i="9"/>
  <c r="AP94" i="9" s="1"/>
  <c r="AO85" i="9"/>
  <c r="AO94" i="9" s="1"/>
  <c r="AN85" i="9"/>
  <c r="AN94" i="9" s="1"/>
  <c r="AM85" i="9"/>
  <c r="AL85" i="9"/>
  <c r="AL94" i="9" s="1"/>
  <c r="AK85" i="9"/>
  <c r="AK94" i="9" s="1"/>
  <c r="AJ85" i="9"/>
  <c r="AJ94" i="9" s="1"/>
  <c r="AI85" i="9"/>
  <c r="AI94" i="9" s="1"/>
  <c r="AH85" i="9"/>
  <c r="AH94" i="9" s="1"/>
  <c r="AG85" i="9"/>
  <c r="AG94" i="9" s="1"/>
  <c r="AF85" i="9"/>
  <c r="AF94" i="9" s="1"/>
  <c r="AE85" i="9"/>
  <c r="AD85" i="9"/>
  <c r="AD94" i="9" s="1"/>
  <c r="AC85" i="9"/>
  <c r="AC94" i="9" s="1"/>
  <c r="AB85" i="9"/>
  <c r="AB94" i="9" s="1"/>
  <c r="AA85" i="9"/>
  <c r="AA94" i="9" s="1"/>
  <c r="Z85" i="9"/>
  <c r="Z94" i="9" s="1"/>
  <c r="Y85" i="9"/>
  <c r="Y94" i="9" s="1"/>
  <c r="X85" i="9"/>
  <c r="X94" i="9" s="1"/>
  <c r="W85" i="9"/>
  <c r="W94" i="9" s="1"/>
  <c r="V85" i="9"/>
  <c r="V94" i="9" s="1"/>
  <c r="U85" i="9"/>
  <c r="U94" i="9" s="1"/>
  <c r="T85" i="9"/>
  <c r="T94" i="9" s="1"/>
  <c r="S85" i="9"/>
  <c r="S94" i="9" s="1"/>
  <c r="R85" i="9"/>
  <c r="R94" i="9" s="1"/>
  <c r="Q85" i="9"/>
  <c r="Q94" i="9" s="1"/>
  <c r="P85" i="9"/>
  <c r="P94" i="9" s="1"/>
  <c r="O85" i="9"/>
  <c r="O94" i="9" s="1"/>
  <c r="N85" i="9"/>
  <c r="N94" i="9" s="1"/>
  <c r="M85" i="9"/>
  <c r="M94" i="9" s="1"/>
  <c r="L85" i="9"/>
  <c r="L94" i="9" s="1"/>
  <c r="K85" i="9"/>
  <c r="K94" i="9" s="1"/>
  <c r="J85" i="9"/>
  <c r="J94" i="9" s="1"/>
  <c r="I85" i="9"/>
  <c r="I94" i="9" s="1"/>
  <c r="H85" i="9"/>
  <c r="H94" i="9" s="1"/>
  <c r="G85" i="9"/>
  <c r="F85" i="9"/>
  <c r="F94" i="9" s="1"/>
  <c r="E85" i="9"/>
  <c r="E94" i="9" s="1"/>
  <c r="D85" i="9"/>
  <c r="D94" i="9" s="1"/>
  <c r="CX84" i="9"/>
  <c r="CW84" i="9"/>
  <c r="CV84" i="9"/>
  <c r="CU84" i="9"/>
  <c r="CT84" i="9"/>
  <c r="CS84" i="9"/>
  <c r="CR84" i="9"/>
  <c r="CQ84" i="9"/>
  <c r="CP84" i="9"/>
  <c r="CO84" i="9"/>
  <c r="CN84" i="9"/>
  <c r="CM84" i="9"/>
  <c r="CL84" i="9"/>
  <c r="CK84" i="9"/>
  <c r="CJ84" i="9"/>
  <c r="CI84" i="9"/>
  <c r="CH84" i="9"/>
  <c r="CG84" i="9"/>
  <c r="CF84" i="9"/>
  <c r="CE84" i="9"/>
  <c r="CD84" i="9"/>
  <c r="CC84" i="9"/>
  <c r="CB84" i="9"/>
  <c r="CA84" i="9"/>
  <c r="BZ84" i="9"/>
  <c r="BY84" i="9"/>
  <c r="BX84" i="9"/>
  <c r="BW84" i="9"/>
  <c r="BV84" i="9"/>
  <c r="BU84" i="9"/>
  <c r="BT84" i="9"/>
  <c r="BS84" i="9"/>
  <c r="BR84" i="9"/>
  <c r="BQ84" i="9"/>
  <c r="BP84" i="9"/>
  <c r="BO84" i="9"/>
  <c r="BN84" i="9"/>
  <c r="BM84" i="9"/>
  <c r="BL84" i="9"/>
  <c r="BK84" i="9"/>
  <c r="BJ84" i="9"/>
  <c r="BI84" i="9"/>
  <c r="BH84" i="9"/>
  <c r="BG84" i="9"/>
  <c r="BF84" i="9"/>
  <c r="BE84" i="9"/>
  <c r="BD84" i="9"/>
  <c r="BC84" i="9"/>
  <c r="BB84" i="9"/>
  <c r="BA84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X83" i="9"/>
  <c r="CW83" i="9"/>
  <c r="CV83" i="9"/>
  <c r="CU83" i="9"/>
  <c r="CT83" i="9"/>
  <c r="CS83" i="9"/>
  <c r="CR83" i="9"/>
  <c r="CQ83" i="9"/>
  <c r="CP83" i="9"/>
  <c r="CO83" i="9"/>
  <c r="CN83" i="9"/>
  <c r="CM83" i="9"/>
  <c r="CL83" i="9"/>
  <c r="CK83" i="9"/>
  <c r="CJ83" i="9"/>
  <c r="CI83" i="9"/>
  <c r="CH83" i="9"/>
  <c r="CG83" i="9"/>
  <c r="CF83" i="9"/>
  <c r="CE83" i="9"/>
  <c r="CD83" i="9"/>
  <c r="CC83" i="9"/>
  <c r="CB83" i="9"/>
  <c r="CA83" i="9"/>
  <c r="BZ83" i="9"/>
  <c r="BY83" i="9"/>
  <c r="BX83" i="9"/>
  <c r="BW83" i="9"/>
  <c r="BV83" i="9"/>
  <c r="BU83" i="9"/>
  <c r="BT83" i="9"/>
  <c r="BS83" i="9"/>
  <c r="BR83" i="9"/>
  <c r="BQ83" i="9"/>
  <c r="BP83" i="9"/>
  <c r="BO83" i="9"/>
  <c r="BN83" i="9"/>
  <c r="BM83" i="9"/>
  <c r="BL83" i="9"/>
  <c r="BK83" i="9"/>
  <c r="BJ83" i="9"/>
  <c r="BI83" i="9"/>
  <c r="BH83" i="9"/>
  <c r="BG83" i="9"/>
  <c r="BF83" i="9"/>
  <c r="BE83" i="9"/>
  <c r="BD83" i="9"/>
  <c r="BC83" i="9"/>
  <c r="BB83" i="9"/>
  <c r="BA83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X82" i="9"/>
  <c r="CW82" i="9"/>
  <c r="CV82" i="9"/>
  <c r="CU82" i="9"/>
  <c r="CT82" i="9"/>
  <c r="CS82" i="9"/>
  <c r="CR82" i="9"/>
  <c r="CQ82" i="9"/>
  <c r="CP82" i="9"/>
  <c r="CO82" i="9"/>
  <c r="CN82" i="9"/>
  <c r="CM82" i="9"/>
  <c r="CL82" i="9"/>
  <c r="CK82" i="9"/>
  <c r="CJ82" i="9"/>
  <c r="CI82" i="9"/>
  <c r="CH82" i="9"/>
  <c r="CG82" i="9"/>
  <c r="CF82" i="9"/>
  <c r="CE82" i="9"/>
  <c r="CD82" i="9"/>
  <c r="CC82" i="9"/>
  <c r="CB82" i="9"/>
  <c r="CA82" i="9"/>
  <c r="BZ82" i="9"/>
  <c r="BY82" i="9"/>
  <c r="BX82" i="9"/>
  <c r="BW82" i="9"/>
  <c r="BV82" i="9"/>
  <c r="BU82" i="9"/>
  <c r="BT82" i="9"/>
  <c r="BS82" i="9"/>
  <c r="BR82" i="9"/>
  <c r="BQ82" i="9"/>
  <c r="BP82" i="9"/>
  <c r="BO82" i="9"/>
  <c r="BN82" i="9"/>
  <c r="BM82" i="9"/>
  <c r="BL82" i="9"/>
  <c r="BK82" i="9"/>
  <c r="BJ82" i="9"/>
  <c r="BI82" i="9"/>
  <c r="BH82" i="9"/>
  <c r="BG82" i="9"/>
  <c r="BF82" i="9"/>
  <c r="BE82" i="9"/>
  <c r="BD82" i="9"/>
  <c r="BC82" i="9"/>
  <c r="BB82" i="9"/>
  <c r="BA82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X80" i="9"/>
  <c r="CW80" i="9"/>
  <c r="CV80" i="9"/>
  <c r="CU80" i="9"/>
  <c r="CT80" i="9"/>
  <c r="CS80" i="9"/>
  <c r="CR80" i="9"/>
  <c r="CQ80" i="9"/>
  <c r="CP80" i="9"/>
  <c r="CO80" i="9"/>
  <c r="CN80" i="9"/>
  <c r="CM80" i="9"/>
  <c r="CL80" i="9"/>
  <c r="CK80" i="9"/>
  <c r="CJ80" i="9"/>
  <c r="CI80" i="9"/>
  <c r="CH80" i="9"/>
  <c r="CG80" i="9"/>
  <c r="CF80" i="9"/>
  <c r="CE80" i="9"/>
  <c r="CD80" i="9"/>
  <c r="CC80" i="9"/>
  <c r="CB80" i="9"/>
  <c r="CA80" i="9"/>
  <c r="BZ80" i="9"/>
  <c r="BY80" i="9"/>
  <c r="BX80" i="9"/>
  <c r="BW80" i="9"/>
  <c r="BV80" i="9"/>
  <c r="BU80" i="9"/>
  <c r="BT80" i="9"/>
  <c r="BS80" i="9"/>
  <c r="BR80" i="9"/>
  <c r="BQ80" i="9"/>
  <c r="BP80" i="9"/>
  <c r="BO80" i="9"/>
  <c r="BN80" i="9"/>
  <c r="BM80" i="9"/>
  <c r="BL80" i="9"/>
  <c r="BK80" i="9"/>
  <c r="BJ80" i="9"/>
  <c r="BI80" i="9"/>
  <c r="BH80" i="9"/>
  <c r="BG80" i="9"/>
  <c r="BF80" i="9"/>
  <c r="BE80" i="9"/>
  <c r="BD80" i="9"/>
  <c r="BC80" i="9"/>
  <c r="BB80" i="9"/>
  <c r="BA80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X79" i="9"/>
  <c r="CW79" i="9"/>
  <c r="CV79" i="9"/>
  <c r="CU79" i="9"/>
  <c r="CT79" i="9"/>
  <c r="CS79" i="9"/>
  <c r="CR79" i="9"/>
  <c r="CQ79" i="9"/>
  <c r="CP79" i="9"/>
  <c r="CO79" i="9"/>
  <c r="CN79" i="9"/>
  <c r="CM79" i="9"/>
  <c r="CL79" i="9"/>
  <c r="CK79" i="9"/>
  <c r="CJ79" i="9"/>
  <c r="CI79" i="9"/>
  <c r="CH79" i="9"/>
  <c r="CG79" i="9"/>
  <c r="CF79" i="9"/>
  <c r="CE79" i="9"/>
  <c r="CD79" i="9"/>
  <c r="CC79" i="9"/>
  <c r="CB79" i="9"/>
  <c r="CA79" i="9"/>
  <c r="BZ79" i="9"/>
  <c r="BY79" i="9"/>
  <c r="BX79" i="9"/>
  <c r="BW79" i="9"/>
  <c r="BV79" i="9"/>
  <c r="BU79" i="9"/>
  <c r="BT79" i="9"/>
  <c r="BS79" i="9"/>
  <c r="BR79" i="9"/>
  <c r="BQ79" i="9"/>
  <c r="BP79" i="9"/>
  <c r="BO79" i="9"/>
  <c r="BN79" i="9"/>
  <c r="BM79" i="9"/>
  <c r="BL79" i="9"/>
  <c r="BK79" i="9"/>
  <c r="BJ79" i="9"/>
  <c r="BI79" i="9"/>
  <c r="BH79" i="9"/>
  <c r="BG79" i="9"/>
  <c r="BF79" i="9"/>
  <c r="BE79" i="9"/>
  <c r="BD79" i="9"/>
  <c r="BC79" i="9"/>
  <c r="BB79" i="9"/>
  <c r="BA79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X78" i="9"/>
  <c r="CW78" i="9"/>
  <c r="CV78" i="9"/>
  <c r="CU78" i="9"/>
  <c r="CT78" i="9"/>
  <c r="CS78" i="9"/>
  <c r="CR78" i="9"/>
  <c r="CQ78" i="9"/>
  <c r="CP78" i="9"/>
  <c r="CO78" i="9"/>
  <c r="CN78" i="9"/>
  <c r="CM78" i="9"/>
  <c r="CL78" i="9"/>
  <c r="CK78" i="9"/>
  <c r="CJ78" i="9"/>
  <c r="CI78" i="9"/>
  <c r="CH78" i="9"/>
  <c r="CG78" i="9"/>
  <c r="CF78" i="9"/>
  <c r="CE78" i="9"/>
  <c r="CD78" i="9"/>
  <c r="CC78" i="9"/>
  <c r="CB78" i="9"/>
  <c r="CA78" i="9"/>
  <c r="BZ78" i="9"/>
  <c r="BY78" i="9"/>
  <c r="BX78" i="9"/>
  <c r="BW78" i="9"/>
  <c r="BV78" i="9"/>
  <c r="BU78" i="9"/>
  <c r="BT78" i="9"/>
  <c r="BS78" i="9"/>
  <c r="BR78" i="9"/>
  <c r="BQ78" i="9"/>
  <c r="BP78" i="9"/>
  <c r="BO78" i="9"/>
  <c r="BN78" i="9"/>
  <c r="BM78" i="9"/>
  <c r="BL78" i="9"/>
  <c r="BK78" i="9"/>
  <c r="BJ78" i="9"/>
  <c r="BI78" i="9"/>
  <c r="BH78" i="9"/>
  <c r="BG78" i="9"/>
  <c r="BF78" i="9"/>
  <c r="BE78" i="9"/>
  <c r="BD78" i="9"/>
  <c r="BC78" i="9"/>
  <c r="BB78" i="9"/>
  <c r="BA78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X77" i="9"/>
  <c r="CW77" i="9"/>
  <c r="CV77" i="9"/>
  <c r="CU77" i="9"/>
  <c r="CT77" i="9"/>
  <c r="CS77" i="9"/>
  <c r="CR77" i="9"/>
  <c r="CQ77" i="9"/>
  <c r="CP77" i="9"/>
  <c r="CO77" i="9"/>
  <c r="CN77" i="9"/>
  <c r="CM77" i="9"/>
  <c r="CL77" i="9"/>
  <c r="CK77" i="9"/>
  <c r="CJ77" i="9"/>
  <c r="CI77" i="9"/>
  <c r="CH77" i="9"/>
  <c r="CG77" i="9"/>
  <c r="CF77" i="9"/>
  <c r="CE77" i="9"/>
  <c r="CD77" i="9"/>
  <c r="CC77" i="9"/>
  <c r="CB77" i="9"/>
  <c r="CA77" i="9"/>
  <c r="BZ77" i="9"/>
  <c r="BY77" i="9"/>
  <c r="BX77" i="9"/>
  <c r="BW77" i="9"/>
  <c r="BV77" i="9"/>
  <c r="BU77" i="9"/>
  <c r="BT77" i="9"/>
  <c r="BS77" i="9"/>
  <c r="BR77" i="9"/>
  <c r="BQ77" i="9"/>
  <c r="BP77" i="9"/>
  <c r="BO77" i="9"/>
  <c r="BN77" i="9"/>
  <c r="BM77" i="9"/>
  <c r="BL77" i="9"/>
  <c r="BK77" i="9"/>
  <c r="BJ77" i="9"/>
  <c r="BI77" i="9"/>
  <c r="BH77" i="9"/>
  <c r="BG77" i="9"/>
  <c r="BF77" i="9"/>
  <c r="BE77" i="9"/>
  <c r="BD77" i="9"/>
  <c r="BC77" i="9"/>
  <c r="BB77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X76" i="9"/>
  <c r="CX93" i="9" s="1"/>
  <c r="CW76" i="9"/>
  <c r="CW93" i="9" s="1"/>
  <c r="CV76" i="9"/>
  <c r="CV93" i="9" s="1"/>
  <c r="CU76" i="9"/>
  <c r="CU93" i="9" s="1"/>
  <c r="CT76" i="9"/>
  <c r="CS76" i="9"/>
  <c r="CS93" i="9" s="1"/>
  <c r="CR76" i="9"/>
  <c r="CR93" i="9" s="1"/>
  <c r="CQ76" i="9"/>
  <c r="CQ93" i="9" s="1"/>
  <c r="CP76" i="9"/>
  <c r="CP93" i="9" s="1"/>
  <c r="CO76" i="9"/>
  <c r="CO93" i="9" s="1"/>
  <c r="CN76" i="9"/>
  <c r="CN93" i="9" s="1"/>
  <c r="CM76" i="9"/>
  <c r="CM93" i="9" s="1"/>
  <c r="CL76" i="9"/>
  <c r="CL93" i="9" s="1"/>
  <c r="CK76" i="9"/>
  <c r="CK93" i="9" s="1"/>
  <c r="CJ76" i="9"/>
  <c r="CJ93" i="9" s="1"/>
  <c r="CI76" i="9"/>
  <c r="CI93" i="9" s="1"/>
  <c r="CH76" i="9"/>
  <c r="CH93" i="9" s="1"/>
  <c r="CG76" i="9"/>
  <c r="CG93" i="9" s="1"/>
  <c r="CF76" i="9"/>
  <c r="CF93" i="9" s="1"/>
  <c r="CE76" i="9"/>
  <c r="CE93" i="9" s="1"/>
  <c r="CD76" i="9"/>
  <c r="CD93" i="9" s="1"/>
  <c r="CC76" i="9"/>
  <c r="CC93" i="9" s="1"/>
  <c r="CB76" i="9"/>
  <c r="CB93" i="9" s="1"/>
  <c r="CA76" i="9"/>
  <c r="CA93" i="9" s="1"/>
  <c r="BZ76" i="9"/>
  <c r="BZ93" i="9" s="1"/>
  <c r="BY76" i="9"/>
  <c r="BY93" i="9" s="1"/>
  <c r="BX76" i="9"/>
  <c r="BX93" i="9" s="1"/>
  <c r="BW76" i="9"/>
  <c r="BW93" i="9" s="1"/>
  <c r="BV76" i="9"/>
  <c r="BU76" i="9"/>
  <c r="BU93" i="9" s="1"/>
  <c r="BT76" i="9"/>
  <c r="BT93" i="9" s="1"/>
  <c r="BS76" i="9"/>
  <c r="BS93" i="9" s="1"/>
  <c r="BR76" i="9"/>
  <c r="BR93" i="9" s="1"/>
  <c r="BQ76" i="9"/>
  <c r="BQ93" i="9" s="1"/>
  <c r="BP76" i="9"/>
  <c r="BP93" i="9" s="1"/>
  <c r="BO76" i="9"/>
  <c r="BO93" i="9" s="1"/>
  <c r="BN76" i="9"/>
  <c r="BM76" i="9"/>
  <c r="BM93" i="9" s="1"/>
  <c r="BL76" i="9"/>
  <c r="BL93" i="9" s="1"/>
  <c r="BK76" i="9"/>
  <c r="BK93" i="9" s="1"/>
  <c r="BJ76" i="9"/>
  <c r="BJ93" i="9" s="1"/>
  <c r="BI76" i="9"/>
  <c r="BI93" i="9" s="1"/>
  <c r="BH76" i="9"/>
  <c r="BH93" i="9" s="1"/>
  <c r="BG76" i="9"/>
  <c r="BG93" i="9" s="1"/>
  <c r="BF76" i="9"/>
  <c r="BF93" i="9" s="1"/>
  <c r="BE76" i="9"/>
  <c r="BE93" i="9" s="1"/>
  <c r="BD76" i="9"/>
  <c r="BD93" i="9" s="1"/>
  <c r="BC76" i="9"/>
  <c r="BC93" i="9" s="1"/>
  <c r="BB76" i="9"/>
  <c r="BB93" i="9" s="1"/>
  <c r="BA76" i="9"/>
  <c r="BA93" i="9" s="1"/>
  <c r="AZ76" i="9"/>
  <c r="AZ93" i="9" s="1"/>
  <c r="AY76" i="9"/>
  <c r="AY93" i="9" s="1"/>
  <c r="AX76" i="9"/>
  <c r="AX93" i="9" s="1"/>
  <c r="AW76" i="9"/>
  <c r="AW93" i="9" s="1"/>
  <c r="AV76" i="9"/>
  <c r="AV93" i="9" s="1"/>
  <c r="AU76" i="9"/>
  <c r="AU93" i="9" s="1"/>
  <c r="AT76" i="9"/>
  <c r="AT93" i="9" s="1"/>
  <c r="AS76" i="9"/>
  <c r="AS93" i="9" s="1"/>
  <c r="AR76" i="9"/>
  <c r="AR93" i="9" s="1"/>
  <c r="AQ76" i="9"/>
  <c r="AQ93" i="9" s="1"/>
  <c r="AP76" i="9"/>
  <c r="AO76" i="9"/>
  <c r="AO93" i="9" s="1"/>
  <c r="AN76" i="9"/>
  <c r="AN93" i="9" s="1"/>
  <c r="AM76" i="9"/>
  <c r="AM93" i="9" s="1"/>
  <c r="AL76" i="9"/>
  <c r="AL93" i="9" s="1"/>
  <c r="AK76" i="9"/>
  <c r="AK93" i="9" s="1"/>
  <c r="AJ76" i="9"/>
  <c r="AJ93" i="9" s="1"/>
  <c r="AI76" i="9"/>
  <c r="AI93" i="9" s="1"/>
  <c r="AH76" i="9"/>
  <c r="AG76" i="9"/>
  <c r="AG93" i="9" s="1"/>
  <c r="AF76" i="9"/>
  <c r="AF93" i="9" s="1"/>
  <c r="AE76" i="9"/>
  <c r="AE93" i="9" s="1"/>
  <c r="AD76" i="9"/>
  <c r="AD93" i="9" s="1"/>
  <c r="AC76" i="9"/>
  <c r="AC93" i="9" s="1"/>
  <c r="AB76" i="9"/>
  <c r="AB93" i="9" s="1"/>
  <c r="AA76" i="9"/>
  <c r="AA93" i="9" s="1"/>
  <c r="Z76" i="9"/>
  <c r="Z93" i="9" s="1"/>
  <c r="Y76" i="9"/>
  <c r="Y93" i="9" s="1"/>
  <c r="X76" i="9"/>
  <c r="X93" i="9" s="1"/>
  <c r="W76" i="9"/>
  <c r="W93" i="9" s="1"/>
  <c r="V76" i="9"/>
  <c r="V93" i="9" s="1"/>
  <c r="U76" i="9"/>
  <c r="U93" i="9" s="1"/>
  <c r="T76" i="9"/>
  <c r="T93" i="9" s="1"/>
  <c r="S76" i="9"/>
  <c r="S93" i="9" s="1"/>
  <c r="R76" i="9"/>
  <c r="R93" i="9" s="1"/>
  <c r="Q76" i="9"/>
  <c r="Q93" i="9" s="1"/>
  <c r="P76" i="9"/>
  <c r="P93" i="9" s="1"/>
  <c r="O76" i="9"/>
  <c r="O93" i="9" s="1"/>
  <c r="N76" i="9"/>
  <c r="N93" i="9" s="1"/>
  <c r="M76" i="9"/>
  <c r="M93" i="9" s="1"/>
  <c r="L76" i="9"/>
  <c r="L93" i="9" s="1"/>
  <c r="K76" i="9"/>
  <c r="K93" i="9" s="1"/>
  <c r="J76" i="9"/>
  <c r="J93" i="9" s="1"/>
  <c r="I76" i="9"/>
  <c r="I93" i="9" s="1"/>
  <c r="H76" i="9"/>
  <c r="H93" i="9" s="1"/>
  <c r="G76" i="9"/>
  <c r="G93" i="9" s="1"/>
  <c r="F76" i="9"/>
  <c r="E76" i="9"/>
  <c r="E93" i="9" s="1"/>
  <c r="D76" i="9"/>
  <c r="D93" i="9" s="1"/>
  <c r="CX75" i="9"/>
  <c r="CX92" i="9" s="1"/>
  <c r="CW75" i="9"/>
  <c r="CW92" i="9" s="1"/>
  <c r="CV75" i="9"/>
  <c r="CV92" i="9" s="1"/>
  <c r="CU75" i="9"/>
  <c r="CU92" i="9" s="1"/>
  <c r="CT75" i="9"/>
  <c r="CT92" i="9" s="1"/>
  <c r="CS75" i="9"/>
  <c r="CS92" i="9" s="1"/>
  <c r="CR75" i="9"/>
  <c r="CR92" i="9" s="1"/>
  <c r="CQ75" i="9"/>
  <c r="CQ92" i="9" s="1"/>
  <c r="CP75" i="9"/>
  <c r="CP92" i="9" s="1"/>
  <c r="CO75" i="9"/>
  <c r="CO92" i="9" s="1"/>
  <c r="CN75" i="9"/>
  <c r="CN92" i="9" s="1"/>
  <c r="CM75" i="9"/>
  <c r="CM92" i="9" s="1"/>
  <c r="CL75" i="9"/>
  <c r="CL92" i="9" s="1"/>
  <c r="CK75" i="9"/>
  <c r="CJ75" i="9"/>
  <c r="CJ92" i="9" s="1"/>
  <c r="CI75" i="9"/>
  <c r="CI92" i="9" s="1"/>
  <c r="CH75" i="9"/>
  <c r="CH92" i="9" s="1"/>
  <c r="CG75" i="9"/>
  <c r="CG92" i="9" s="1"/>
  <c r="CF75" i="9"/>
  <c r="CE75" i="9"/>
  <c r="CE92" i="9" s="1"/>
  <c r="CD75" i="9"/>
  <c r="CD92" i="9" s="1"/>
  <c r="CC75" i="9"/>
  <c r="CC92" i="9" s="1"/>
  <c r="CB75" i="9"/>
  <c r="CB92" i="9" s="1"/>
  <c r="CA75" i="9"/>
  <c r="CA92" i="9" s="1"/>
  <c r="BZ75" i="9"/>
  <c r="BZ92" i="9" s="1"/>
  <c r="BY75" i="9"/>
  <c r="BY92" i="9" s="1"/>
  <c r="BX75" i="9"/>
  <c r="BX92" i="9" s="1"/>
  <c r="BW75" i="9"/>
  <c r="BW92" i="9" s="1"/>
  <c r="BV75" i="9"/>
  <c r="BV92" i="9" s="1"/>
  <c r="BU75" i="9"/>
  <c r="BU92" i="9" s="1"/>
  <c r="BT75" i="9"/>
  <c r="BT92" i="9" s="1"/>
  <c r="BS75" i="9"/>
  <c r="BS92" i="9" s="1"/>
  <c r="BR75" i="9"/>
  <c r="BR92" i="9" s="1"/>
  <c r="BQ75" i="9"/>
  <c r="BQ92" i="9" s="1"/>
  <c r="BP75" i="9"/>
  <c r="BO75" i="9"/>
  <c r="BO92" i="9" s="1"/>
  <c r="BN75" i="9"/>
  <c r="BN92" i="9" s="1"/>
  <c r="BM75" i="9"/>
  <c r="BM92" i="9" s="1"/>
  <c r="BL75" i="9"/>
  <c r="BL92" i="9" s="1"/>
  <c r="BK75" i="9"/>
  <c r="BK92" i="9" s="1"/>
  <c r="BJ75" i="9"/>
  <c r="BJ92" i="9" s="1"/>
  <c r="BI75" i="9"/>
  <c r="BI92" i="9" s="1"/>
  <c r="BH75" i="9"/>
  <c r="BH92" i="9" s="1"/>
  <c r="BG75" i="9"/>
  <c r="BG92" i="9" s="1"/>
  <c r="BF75" i="9"/>
  <c r="BF92" i="9" s="1"/>
  <c r="BE75" i="9"/>
  <c r="BE92" i="9" s="1"/>
  <c r="BD75" i="9"/>
  <c r="BD92" i="9" s="1"/>
  <c r="BC75" i="9"/>
  <c r="BC92" i="9" s="1"/>
  <c r="BB75" i="9"/>
  <c r="BB92" i="9" s="1"/>
  <c r="BA75" i="9"/>
  <c r="BA92" i="9" s="1"/>
  <c r="AZ75" i="9"/>
  <c r="AZ92" i="9" s="1"/>
  <c r="AY75" i="9"/>
  <c r="AY92" i="9" s="1"/>
  <c r="AX75" i="9"/>
  <c r="AX92" i="9" s="1"/>
  <c r="AW75" i="9"/>
  <c r="AW92" i="9" s="1"/>
  <c r="AV75" i="9"/>
  <c r="AV92" i="9" s="1"/>
  <c r="AU75" i="9"/>
  <c r="AU92" i="9" s="1"/>
  <c r="AT75" i="9"/>
  <c r="AT92" i="9" s="1"/>
  <c r="AS75" i="9"/>
  <c r="AS92" i="9" s="1"/>
  <c r="AR75" i="9"/>
  <c r="AR92" i="9" s="1"/>
  <c r="AQ75" i="9"/>
  <c r="AQ92" i="9" s="1"/>
  <c r="AP75" i="9"/>
  <c r="AP92" i="9" s="1"/>
  <c r="AO75" i="9"/>
  <c r="AN75" i="9"/>
  <c r="AN92" i="9" s="1"/>
  <c r="AM75" i="9"/>
  <c r="AM92" i="9" s="1"/>
  <c r="AL75" i="9"/>
  <c r="AL92" i="9" s="1"/>
  <c r="AK75" i="9"/>
  <c r="AK92" i="9" s="1"/>
  <c r="AJ75" i="9"/>
  <c r="AJ92" i="9" s="1"/>
  <c r="AI75" i="9"/>
  <c r="AI92" i="9" s="1"/>
  <c r="AH75" i="9"/>
  <c r="AH92" i="9" s="1"/>
  <c r="AG75" i="9"/>
  <c r="AG92" i="9" s="1"/>
  <c r="AF75" i="9"/>
  <c r="AF92" i="9" s="1"/>
  <c r="AE75" i="9"/>
  <c r="AE92" i="9" s="1"/>
  <c r="AD75" i="9"/>
  <c r="AD92" i="9" s="1"/>
  <c r="AC75" i="9"/>
  <c r="AC92" i="9" s="1"/>
  <c r="AB75" i="9"/>
  <c r="AB92" i="9" s="1"/>
  <c r="AA75" i="9"/>
  <c r="AA92" i="9" s="1"/>
  <c r="Z75" i="9"/>
  <c r="Z92" i="9" s="1"/>
  <c r="Y75" i="9"/>
  <c r="X75" i="9"/>
  <c r="X92" i="9" s="1"/>
  <c r="W75" i="9"/>
  <c r="W92" i="9" s="1"/>
  <c r="V75" i="9"/>
  <c r="V92" i="9" s="1"/>
  <c r="U75" i="9"/>
  <c r="U92" i="9" s="1"/>
  <c r="T75" i="9"/>
  <c r="S75" i="9"/>
  <c r="S92" i="9" s="1"/>
  <c r="R75" i="9"/>
  <c r="R92" i="9" s="1"/>
  <c r="Q75" i="9"/>
  <c r="Q92" i="9" s="1"/>
  <c r="P75" i="9"/>
  <c r="P92" i="9" s="1"/>
  <c r="O75" i="9"/>
  <c r="O92" i="9" s="1"/>
  <c r="N75" i="9"/>
  <c r="N92" i="9" s="1"/>
  <c r="M75" i="9"/>
  <c r="M92" i="9" s="1"/>
  <c r="L75" i="9"/>
  <c r="L92" i="9" s="1"/>
  <c r="K75" i="9"/>
  <c r="K92" i="9" s="1"/>
  <c r="J75" i="9"/>
  <c r="J92" i="9" s="1"/>
  <c r="I75" i="9"/>
  <c r="I92" i="9" s="1"/>
  <c r="H75" i="9"/>
  <c r="H92" i="9" s="1"/>
  <c r="G75" i="9"/>
  <c r="G92" i="9" s="1"/>
  <c r="F75" i="9"/>
  <c r="F92" i="9" s="1"/>
  <c r="E75" i="9"/>
  <c r="E92" i="9" s="1"/>
  <c r="D75" i="9"/>
  <c r="CX74" i="9"/>
  <c r="CX91" i="9" s="1"/>
  <c r="CW74" i="9"/>
  <c r="CW91" i="9" s="1"/>
  <c r="CV74" i="9"/>
  <c r="CV91" i="9" s="1"/>
  <c r="CU74" i="9"/>
  <c r="CU91" i="9" s="1"/>
  <c r="CT74" i="9"/>
  <c r="CT91" i="9" s="1"/>
  <c r="CS74" i="9"/>
  <c r="CS91" i="9" s="1"/>
  <c r="CR74" i="9"/>
  <c r="CR91" i="9" s="1"/>
  <c r="CQ74" i="9"/>
  <c r="CQ91" i="9" s="1"/>
  <c r="CP74" i="9"/>
  <c r="CP91" i="9" s="1"/>
  <c r="CO74" i="9"/>
  <c r="CO91" i="9" s="1"/>
  <c r="CN74" i="9"/>
  <c r="CN91" i="9" s="1"/>
  <c r="CM74" i="9"/>
  <c r="CM91" i="9" s="1"/>
  <c r="CL74" i="9"/>
  <c r="CL91" i="9" s="1"/>
  <c r="CK74" i="9"/>
  <c r="CK91" i="9" s="1"/>
  <c r="CJ74" i="9"/>
  <c r="CJ91" i="9" s="1"/>
  <c r="CI74" i="9"/>
  <c r="CI91" i="9" s="1"/>
  <c r="CH74" i="9"/>
  <c r="CH91" i="9" s="1"/>
  <c r="CG74" i="9"/>
  <c r="CG91" i="9" s="1"/>
  <c r="CF74" i="9"/>
  <c r="CF91" i="9" s="1"/>
  <c r="CE74" i="9"/>
  <c r="CE91" i="9" s="1"/>
  <c r="CD74" i="9"/>
  <c r="CD91" i="9" s="1"/>
  <c r="CC74" i="9"/>
  <c r="CC91" i="9" s="1"/>
  <c r="CB74" i="9"/>
  <c r="CB91" i="9" s="1"/>
  <c r="CA74" i="9"/>
  <c r="CA91" i="9" s="1"/>
  <c r="BZ74" i="9"/>
  <c r="BZ91" i="9" s="1"/>
  <c r="BY74" i="9"/>
  <c r="BY91" i="9" s="1"/>
  <c r="BX74" i="9"/>
  <c r="BW74" i="9"/>
  <c r="BW91" i="9" s="1"/>
  <c r="BV74" i="9"/>
  <c r="BV91" i="9" s="1"/>
  <c r="BU74" i="9"/>
  <c r="BU91" i="9" s="1"/>
  <c r="BT74" i="9"/>
  <c r="BT91" i="9" s="1"/>
  <c r="BS74" i="9"/>
  <c r="BS91" i="9" s="1"/>
  <c r="BR74" i="9"/>
  <c r="BR91" i="9" s="1"/>
  <c r="BQ74" i="9"/>
  <c r="BQ91" i="9" s="1"/>
  <c r="BP74" i="9"/>
  <c r="BP91" i="9" s="1"/>
  <c r="BO74" i="9"/>
  <c r="BO91" i="9" s="1"/>
  <c r="BN74" i="9"/>
  <c r="BN91" i="9" s="1"/>
  <c r="BM74" i="9"/>
  <c r="BM91" i="9" s="1"/>
  <c r="BL74" i="9"/>
  <c r="BL91" i="9" s="1"/>
  <c r="BK74" i="9"/>
  <c r="BK91" i="9" s="1"/>
  <c r="BJ74" i="9"/>
  <c r="BJ91" i="9" s="1"/>
  <c r="BI74" i="9"/>
  <c r="BI91" i="9" s="1"/>
  <c r="BH74" i="9"/>
  <c r="BG74" i="9"/>
  <c r="BG91" i="9" s="1"/>
  <c r="BF74" i="9"/>
  <c r="BF91" i="9" s="1"/>
  <c r="BE74" i="9"/>
  <c r="BE91" i="9" s="1"/>
  <c r="BD74" i="9"/>
  <c r="BD91" i="9" s="1"/>
  <c r="BC74" i="9"/>
  <c r="BB74" i="9"/>
  <c r="BB91" i="9" s="1"/>
  <c r="BA74" i="9"/>
  <c r="BA91" i="9" s="1"/>
  <c r="AZ74" i="9"/>
  <c r="AZ91" i="9" s="1"/>
  <c r="AY74" i="9"/>
  <c r="AY91" i="9" s="1"/>
  <c r="AX74" i="9"/>
  <c r="AX91" i="9" s="1"/>
  <c r="AW74" i="9"/>
  <c r="AW91" i="9" s="1"/>
  <c r="AV74" i="9"/>
  <c r="AV91" i="9" s="1"/>
  <c r="AU74" i="9"/>
  <c r="AU91" i="9" s="1"/>
  <c r="AT74" i="9"/>
  <c r="AT91" i="9" s="1"/>
  <c r="AS74" i="9"/>
  <c r="AS91" i="9" s="1"/>
  <c r="AR74" i="9"/>
  <c r="AR91" i="9" s="1"/>
  <c r="AQ74" i="9"/>
  <c r="AQ91" i="9" s="1"/>
  <c r="AP74" i="9"/>
  <c r="AP91" i="9" s="1"/>
  <c r="AO74" i="9"/>
  <c r="AO91" i="9" s="1"/>
  <c r="AN74" i="9"/>
  <c r="AN91" i="9" s="1"/>
  <c r="AM74" i="9"/>
  <c r="AL74" i="9"/>
  <c r="AL91" i="9" s="1"/>
  <c r="AK74" i="9"/>
  <c r="AK91" i="9" s="1"/>
  <c r="AJ74" i="9"/>
  <c r="AJ91" i="9" s="1"/>
  <c r="AI74" i="9"/>
  <c r="AI91" i="9" s="1"/>
  <c r="AH74" i="9"/>
  <c r="AG74" i="9"/>
  <c r="AG91" i="9" s="1"/>
  <c r="AF74" i="9"/>
  <c r="AF91" i="9" s="1"/>
  <c r="AE74" i="9"/>
  <c r="AE91" i="9" s="1"/>
  <c r="AD74" i="9"/>
  <c r="AD91" i="9" s="1"/>
  <c r="AC74" i="9"/>
  <c r="AC91" i="9" s="1"/>
  <c r="AB74" i="9"/>
  <c r="AB91" i="9" s="1"/>
  <c r="AA74" i="9"/>
  <c r="AA91" i="9" s="1"/>
  <c r="Z74" i="9"/>
  <c r="Z91" i="9" s="1"/>
  <c r="Y74" i="9"/>
  <c r="Y91" i="9" s="1"/>
  <c r="X74" i="9"/>
  <c r="X91" i="9" s="1"/>
  <c r="W74" i="9"/>
  <c r="W91" i="9" s="1"/>
  <c r="V74" i="9"/>
  <c r="V91" i="9" s="1"/>
  <c r="U74" i="9"/>
  <c r="U91" i="9" s="1"/>
  <c r="T74" i="9"/>
  <c r="T91" i="9" s="1"/>
  <c r="S74" i="9"/>
  <c r="S91" i="9" s="1"/>
  <c r="R74" i="9"/>
  <c r="R91" i="9" s="1"/>
  <c r="Q74" i="9"/>
  <c r="Q91" i="9" s="1"/>
  <c r="P74" i="9"/>
  <c r="P91" i="9" s="1"/>
  <c r="O74" i="9"/>
  <c r="O91" i="9" s="1"/>
  <c r="N74" i="9"/>
  <c r="N91" i="9" s="1"/>
  <c r="M74" i="9"/>
  <c r="M91" i="9" s="1"/>
  <c r="L74" i="9"/>
  <c r="K74" i="9"/>
  <c r="K91" i="9" s="1"/>
  <c r="J74" i="9"/>
  <c r="J91" i="9" s="1"/>
  <c r="I74" i="9"/>
  <c r="I91" i="9" s="1"/>
  <c r="H74" i="9"/>
  <c r="H91" i="9" s="1"/>
  <c r="G74" i="9"/>
  <c r="G91" i="9" s="1"/>
  <c r="F74" i="9"/>
  <c r="F91" i="9" s="1"/>
  <c r="E74" i="9"/>
  <c r="E91" i="9" s="1"/>
  <c r="D74" i="9"/>
  <c r="D91" i="9" s="1"/>
  <c r="CX73" i="9"/>
  <c r="CX90" i="9" s="1"/>
  <c r="CW73" i="9"/>
  <c r="CW90" i="9" s="1"/>
  <c r="CV73" i="9"/>
  <c r="CV90" i="9" s="1"/>
  <c r="CU73" i="9"/>
  <c r="CU90" i="9" s="1"/>
  <c r="CT73" i="9"/>
  <c r="CT90" i="9" s="1"/>
  <c r="CS73" i="9"/>
  <c r="CS90" i="9" s="1"/>
  <c r="CR73" i="9"/>
  <c r="CR90" i="9" s="1"/>
  <c r="CQ73" i="9"/>
  <c r="CP73" i="9"/>
  <c r="CP90" i="9" s="1"/>
  <c r="CO73" i="9"/>
  <c r="CO90" i="9" s="1"/>
  <c r="CN73" i="9"/>
  <c r="CN90" i="9" s="1"/>
  <c r="CM73" i="9"/>
  <c r="CM90" i="9" s="1"/>
  <c r="CL73" i="9"/>
  <c r="CK73" i="9"/>
  <c r="CK90" i="9" s="1"/>
  <c r="CJ73" i="9"/>
  <c r="CJ90" i="9" s="1"/>
  <c r="CI73" i="9"/>
  <c r="CI90" i="9" s="1"/>
  <c r="CH73" i="9"/>
  <c r="CH90" i="9" s="1"/>
  <c r="CG73" i="9"/>
  <c r="CG90" i="9" s="1"/>
  <c r="CF73" i="9"/>
  <c r="CF90" i="9" s="1"/>
  <c r="CE73" i="9"/>
  <c r="CE90" i="9" s="1"/>
  <c r="CD73" i="9"/>
  <c r="CD90" i="9" s="1"/>
  <c r="CC73" i="9"/>
  <c r="CC90" i="9" s="1"/>
  <c r="CB73" i="9"/>
  <c r="CB90" i="9" s="1"/>
  <c r="CA73" i="9"/>
  <c r="CA90" i="9" s="1"/>
  <c r="BZ73" i="9"/>
  <c r="BZ90" i="9" s="1"/>
  <c r="BY73" i="9"/>
  <c r="BY90" i="9" s="1"/>
  <c r="BX73" i="9"/>
  <c r="BX90" i="9" s="1"/>
  <c r="BW73" i="9"/>
  <c r="BW90" i="9" s="1"/>
  <c r="BV73" i="9"/>
  <c r="BU73" i="9"/>
  <c r="BU90" i="9" s="1"/>
  <c r="BT73" i="9"/>
  <c r="BT90" i="9" s="1"/>
  <c r="BS73" i="9"/>
  <c r="BS90" i="9" s="1"/>
  <c r="BR73" i="9"/>
  <c r="BR90" i="9" s="1"/>
  <c r="BQ73" i="9"/>
  <c r="BQ90" i="9" s="1"/>
  <c r="BP73" i="9"/>
  <c r="BP90" i="9" s="1"/>
  <c r="BO73" i="9"/>
  <c r="BO90" i="9" s="1"/>
  <c r="BN73" i="9"/>
  <c r="BN90" i="9" s="1"/>
  <c r="BM73" i="9"/>
  <c r="BM90" i="9" s="1"/>
  <c r="BL73" i="9"/>
  <c r="BL90" i="9" s="1"/>
  <c r="BK73" i="9"/>
  <c r="BK90" i="9" s="1"/>
  <c r="BJ73" i="9"/>
  <c r="BJ90" i="9" s="1"/>
  <c r="BI73" i="9"/>
  <c r="BI90" i="9" s="1"/>
  <c r="BH73" i="9"/>
  <c r="BH90" i="9" s="1"/>
  <c r="BG73" i="9"/>
  <c r="BG90" i="9" s="1"/>
  <c r="BF73" i="9"/>
  <c r="BF90" i="9" s="1"/>
  <c r="BE73" i="9"/>
  <c r="BE90" i="9" s="1"/>
  <c r="BD73" i="9"/>
  <c r="BD90" i="9" s="1"/>
  <c r="BC73" i="9"/>
  <c r="BC90" i="9" s="1"/>
  <c r="BB73" i="9"/>
  <c r="BB90" i="9" s="1"/>
  <c r="BA73" i="9"/>
  <c r="BA90" i="9" s="1"/>
  <c r="AZ73" i="9"/>
  <c r="AZ90" i="9" s="1"/>
  <c r="AY73" i="9"/>
  <c r="AY90" i="9" s="1"/>
  <c r="AX73" i="9"/>
  <c r="AX90" i="9" s="1"/>
  <c r="AW73" i="9"/>
  <c r="AW90" i="9" s="1"/>
  <c r="AV73" i="9"/>
  <c r="AV90" i="9" s="1"/>
  <c r="AU73" i="9"/>
  <c r="AT73" i="9"/>
  <c r="AT90" i="9" s="1"/>
  <c r="AS73" i="9"/>
  <c r="AS90" i="9" s="1"/>
  <c r="AR73" i="9"/>
  <c r="AR90" i="9" s="1"/>
  <c r="AQ73" i="9"/>
  <c r="AQ90" i="9" s="1"/>
  <c r="AP73" i="9"/>
  <c r="AP90" i="9" s="1"/>
  <c r="AO73" i="9"/>
  <c r="AO90" i="9" s="1"/>
  <c r="AN73" i="9"/>
  <c r="AN90" i="9" s="1"/>
  <c r="AM73" i="9"/>
  <c r="AM90" i="9" s="1"/>
  <c r="AL73" i="9"/>
  <c r="AL90" i="9" s="1"/>
  <c r="AK73" i="9"/>
  <c r="AK90" i="9" s="1"/>
  <c r="AJ73" i="9"/>
  <c r="AJ90" i="9" s="1"/>
  <c r="AI73" i="9"/>
  <c r="AI90" i="9" s="1"/>
  <c r="AH73" i="9"/>
  <c r="AH90" i="9" s="1"/>
  <c r="AG73" i="9"/>
  <c r="AG90" i="9" s="1"/>
  <c r="AF73" i="9"/>
  <c r="AF90" i="9" s="1"/>
  <c r="AE73" i="9"/>
  <c r="AD73" i="9"/>
  <c r="AD90" i="9" s="1"/>
  <c r="AC73" i="9"/>
  <c r="AC90" i="9" s="1"/>
  <c r="AB73" i="9"/>
  <c r="AB90" i="9" s="1"/>
  <c r="AA73" i="9"/>
  <c r="AA90" i="9" s="1"/>
  <c r="Z73" i="9"/>
  <c r="Y73" i="9"/>
  <c r="Y90" i="9" s="1"/>
  <c r="X73" i="9"/>
  <c r="X90" i="9" s="1"/>
  <c r="W73" i="9"/>
  <c r="W90" i="9" s="1"/>
  <c r="V73" i="9"/>
  <c r="V90" i="9" s="1"/>
  <c r="U73" i="9"/>
  <c r="U90" i="9" s="1"/>
  <c r="T73" i="9"/>
  <c r="T90" i="9" s="1"/>
  <c r="S73" i="9"/>
  <c r="S90" i="9" s="1"/>
  <c r="R73" i="9"/>
  <c r="R90" i="9" s="1"/>
  <c r="Q73" i="9"/>
  <c r="Q90" i="9" s="1"/>
  <c r="P73" i="9"/>
  <c r="P90" i="9" s="1"/>
  <c r="O73" i="9"/>
  <c r="O90" i="9" s="1"/>
  <c r="N73" i="9"/>
  <c r="N90" i="9" s="1"/>
  <c r="M73" i="9"/>
  <c r="M90" i="9" s="1"/>
  <c r="L73" i="9"/>
  <c r="L90" i="9" s="1"/>
  <c r="K73" i="9"/>
  <c r="K90" i="9" s="1"/>
  <c r="J73" i="9"/>
  <c r="I73" i="9"/>
  <c r="I90" i="9" s="1"/>
  <c r="H73" i="9"/>
  <c r="H90" i="9" s="1"/>
  <c r="G73" i="9"/>
  <c r="G90" i="9" s="1"/>
  <c r="F73" i="9"/>
  <c r="F90" i="9" s="1"/>
  <c r="E73" i="9"/>
  <c r="E90" i="9" s="1"/>
  <c r="D73" i="9"/>
  <c r="D90" i="9" s="1"/>
  <c r="CX72" i="9"/>
  <c r="CX89" i="9" s="1"/>
  <c r="CW72" i="9"/>
  <c r="CW89" i="9" s="1"/>
  <c r="CV72" i="9"/>
  <c r="CV89" i="9" s="1"/>
  <c r="CU72" i="9"/>
  <c r="CU89" i="9" s="1"/>
  <c r="CT72" i="9"/>
  <c r="CT89" i="9" s="1"/>
  <c r="CS72" i="9"/>
  <c r="CS89" i="9" s="1"/>
  <c r="CR72" i="9"/>
  <c r="CR89" i="9" s="1"/>
  <c r="CQ72" i="9"/>
  <c r="CQ89" i="9" s="1"/>
  <c r="CP72" i="9"/>
  <c r="CP89" i="9" s="1"/>
  <c r="CO72" i="9"/>
  <c r="CO89" i="9" s="1"/>
  <c r="CN72" i="9"/>
  <c r="CN89" i="9" s="1"/>
  <c r="CM72" i="9"/>
  <c r="CM89" i="9" s="1"/>
  <c r="CL72" i="9"/>
  <c r="CL89" i="9" s="1"/>
  <c r="CK72" i="9"/>
  <c r="CK89" i="9" s="1"/>
  <c r="CJ72" i="9"/>
  <c r="CJ89" i="9" s="1"/>
  <c r="CI72" i="9"/>
  <c r="CI89" i="9" s="1"/>
  <c r="CH72" i="9"/>
  <c r="CH89" i="9" s="1"/>
  <c r="CG72" i="9"/>
  <c r="CG89" i="9" s="1"/>
  <c r="CF72" i="9"/>
  <c r="CF89" i="9" s="1"/>
  <c r="CE72" i="9"/>
  <c r="CE89" i="9" s="1"/>
  <c r="CD72" i="9"/>
  <c r="CD89" i="9" s="1"/>
  <c r="CC72" i="9"/>
  <c r="CC89" i="9" s="1"/>
  <c r="CB72" i="9"/>
  <c r="CB89" i="9" s="1"/>
  <c r="CA72" i="9"/>
  <c r="CA89" i="9" s="1"/>
  <c r="BZ72" i="9"/>
  <c r="BZ89" i="9" s="1"/>
  <c r="BY72" i="9"/>
  <c r="BY89" i="9" s="1"/>
  <c r="BX72" i="9"/>
  <c r="BX89" i="9" s="1"/>
  <c r="BW72" i="9"/>
  <c r="BW89" i="9" s="1"/>
  <c r="BV72" i="9"/>
  <c r="BV89" i="9" s="1"/>
  <c r="BU72" i="9"/>
  <c r="BU89" i="9" s="1"/>
  <c r="BT72" i="9"/>
  <c r="BT89" i="9" s="1"/>
  <c r="BS72" i="9"/>
  <c r="BS89" i="9" s="1"/>
  <c r="BR72" i="9"/>
  <c r="BR89" i="9" s="1"/>
  <c r="BQ72" i="9"/>
  <c r="BQ89" i="9" s="1"/>
  <c r="BP72" i="9"/>
  <c r="BP89" i="9" s="1"/>
  <c r="BO72" i="9"/>
  <c r="BO89" i="9" s="1"/>
  <c r="BN72" i="9"/>
  <c r="BN89" i="9" s="1"/>
  <c r="BM72" i="9"/>
  <c r="BM89" i="9" s="1"/>
  <c r="BL72" i="9"/>
  <c r="BL89" i="9" s="1"/>
  <c r="BK72" i="9"/>
  <c r="BK89" i="9" s="1"/>
  <c r="BJ72" i="9"/>
  <c r="BJ89" i="9" s="1"/>
  <c r="BI72" i="9"/>
  <c r="BI89" i="9" s="1"/>
  <c r="BH72" i="9"/>
  <c r="BH89" i="9" s="1"/>
  <c r="BG72" i="9"/>
  <c r="BG89" i="9" s="1"/>
  <c r="BF72" i="9"/>
  <c r="BF89" i="9" s="1"/>
  <c r="BE72" i="9"/>
  <c r="BE89" i="9" s="1"/>
  <c r="BD72" i="9"/>
  <c r="BD89" i="9" s="1"/>
  <c r="BC72" i="9"/>
  <c r="BC89" i="9" s="1"/>
  <c r="BB72" i="9"/>
  <c r="BB89" i="9" s="1"/>
  <c r="BA72" i="9"/>
  <c r="BA89" i="9" s="1"/>
  <c r="AZ72" i="9"/>
  <c r="AZ89" i="9" s="1"/>
  <c r="AY72" i="9"/>
  <c r="AY89" i="9" s="1"/>
  <c r="AX72" i="9"/>
  <c r="AX89" i="9" s="1"/>
  <c r="AW72" i="9"/>
  <c r="AW89" i="9" s="1"/>
  <c r="AV72" i="9"/>
  <c r="AV89" i="9" s="1"/>
  <c r="AU72" i="9"/>
  <c r="AU89" i="9" s="1"/>
  <c r="AT72" i="9"/>
  <c r="AT89" i="9" s="1"/>
  <c r="AS72" i="9"/>
  <c r="AS89" i="9" s="1"/>
  <c r="AR72" i="9"/>
  <c r="AR89" i="9" s="1"/>
  <c r="AQ72" i="9"/>
  <c r="AQ89" i="9" s="1"/>
  <c r="AP72" i="9"/>
  <c r="AP89" i="9" s="1"/>
  <c r="AO72" i="9"/>
  <c r="AO89" i="9" s="1"/>
  <c r="AN72" i="9"/>
  <c r="AN89" i="9" s="1"/>
  <c r="AM72" i="9"/>
  <c r="AM89" i="9" s="1"/>
  <c r="AL72" i="9"/>
  <c r="AL89" i="9" s="1"/>
  <c r="AK72" i="9"/>
  <c r="AK89" i="9" s="1"/>
  <c r="AJ72" i="9"/>
  <c r="AJ89" i="9" s="1"/>
  <c r="AI72" i="9"/>
  <c r="AI89" i="9" s="1"/>
  <c r="AH72" i="9"/>
  <c r="AH89" i="9" s="1"/>
  <c r="AG72" i="9"/>
  <c r="AG89" i="9" s="1"/>
  <c r="AF72" i="9"/>
  <c r="AF89" i="9" s="1"/>
  <c r="AE72" i="9"/>
  <c r="AE89" i="9" s="1"/>
  <c r="AD72" i="9"/>
  <c r="AD89" i="9" s="1"/>
  <c r="AC72" i="9"/>
  <c r="AC89" i="9" s="1"/>
  <c r="AB72" i="9"/>
  <c r="AB89" i="9" s="1"/>
  <c r="AA72" i="9"/>
  <c r="AA89" i="9" s="1"/>
  <c r="Z72" i="9"/>
  <c r="Z89" i="9" s="1"/>
  <c r="Y72" i="9"/>
  <c r="Y89" i="9" s="1"/>
  <c r="X72" i="9"/>
  <c r="X89" i="9" s="1"/>
  <c r="W72" i="9"/>
  <c r="W89" i="9" s="1"/>
  <c r="V72" i="9"/>
  <c r="V89" i="9" s="1"/>
  <c r="U72" i="9"/>
  <c r="U89" i="9" s="1"/>
  <c r="T72" i="9"/>
  <c r="T89" i="9" s="1"/>
  <c r="S72" i="9"/>
  <c r="S89" i="9" s="1"/>
  <c r="R72" i="9"/>
  <c r="R89" i="9" s="1"/>
  <c r="Q72" i="9"/>
  <c r="Q89" i="9" s="1"/>
  <c r="P72" i="9"/>
  <c r="P89" i="9" s="1"/>
  <c r="O72" i="9"/>
  <c r="O89" i="9" s="1"/>
  <c r="N72" i="9"/>
  <c r="N89" i="9" s="1"/>
  <c r="M72" i="9"/>
  <c r="M89" i="9" s="1"/>
  <c r="L72" i="9"/>
  <c r="L89" i="9" s="1"/>
  <c r="K72" i="9"/>
  <c r="K89" i="9" s="1"/>
  <c r="J72" i="9"/>
  <c r="J89" i="9" s="1"/>
  <c r="I72" i="9"/>
  <c r="I89" i="9" s="1"/>
  <c r="H72" i="9"/>
  <c r="H89" i="9" s="1"/>
  <c r="G72" i="9"/>
  <c r="F72" i="9"/>
  <c r="F89" i="9" s="1"/>
  <c r="E72" i="9"/>
  <c r="E89" i="9" s="1"/>
  <c r="D72" i="9"/>
  <c r="D89" i="9" s="1"/>
  <c r="CX71" i="9"/>
  <c r="CX88" i="9" s="1"/>
  <c r="CW71" i="9"/>
  <c r="CW88" i="9" s="1"/>
  <c r="CV71" i="9"/>
  <c r="CV88" i="9" s="1"/>
  <c r="CU71" i="9"/>
  <c r="CU88" i="9" s="1"/>
  <c r="CT71" i="9"/>
  <c r="CT88" i="9" s="1"/>
  <c r="CS71" i="9"/>
  <c r="CS88" i="9" s="1"/>
  <c r="CR71" i="9"/>
  <c r="CR88" i="9" s="1"/>
  <c r="CQ71" i="9"/>
  <c r="CQ88" i="9" s="1"/>
  <c r="CP71" i="9"/>
  <c r="CP88" i="9" s="1"/>
  <c r="CO71" i="9"/>
  <c r="CO88" i="9" s="1"/>
  <c r="CN71" i="9"/>
  <c r="CN88" i="9" s="1"/>
  <c r="CM71" i="9"/>
  <c r="CM88" i="9" s="1"/>
  <c r="CL71" i="9"/>
  <c r="CL88" i="9" s="1"/>
  <c r="CK71" i="9"/>
  <c r="CK88" i="9" s="1"/>
  <c r="CJ71" i="9"/>
  <c r="CJ88" i="9" s="1"/>
  <c r="CI71" i="9"/>
  <c r="CI88" i="9" s="1"/>
  <c r="CH71" i="9"/>
  <c r="CH88" i="9" s="1"/>
  <c r="CG71" i="9"/>
  <c r="CG88" i="9" s="1"/>
  <c r="CF71" i="9"/>
  <c r="CF88" i="9" s="1"/>
  <c r="CE71" i="9"/>
  <c r="CE88" i="9" s="1"/>
  <c r="CD71" i="9"/>
  <c r="CD88" i="9" s="1"/>
  <c r="CC71" i="9"/>
  <c r="CC88" i="9" s="1"/>
  <c r="CB71" i="9"/>
  <c r="CB88" i="9" s="1"/>
  <c r="CA71" i="9"/>
  <c r="CA88" i="9" s="1"/>
  <c r="BZ71" i="9"/>
  <c r="BZ88" i="9" s="1"/>
  <c r="BY71" i="9"/>
  <c r="BY88" i="9" s="1"/>
  <c r="BX71" i="9"/>
  <c r="BX88" i="9" s="1"/>
  <c r="BW71" i="9"/>
  <c r="BW88" i="9" s="1"/>
  <c r="BV71" i="9"/>
  <c r="BV88" i="9" s="1"/>
  <c r="BU71" i="9"/>
  <c r="BU88" i="9" s="1"/>
  <c r="BT71" i="9"/>
  <c r="BT88" i="9" s="1"/>
  <c r="BS71" i="9"/>
  <c r="BS88" i="9" s="1"/>
  <c r="BR71" i="9"/>
  <c r="BR88" i="9" s="1"/>
  <c r="BQ71" i="9"/>
  <c r="BQ88" i="9" s="1"/>
  <c r="BP71" i="9"/>
  <c r="BP88" i="9" s="1"/>
  <c r="BO71" i="9"/>
  <c r="BO88" i="9" s="1"/>
  <c r="BN71" i="9"/>
  <c r="BN88" i="9" s="1"/>
  <c r="BM71" i="9"/>
  <c r="BM88" i="9" s="1"/>
  <c r="BL71" i="9"/>
  <c r="BL88" i="9" s="1"/>
  <c r="BK71" i="9"/>
  <c r="BK88" i="9" s="1"/>
  <c r="BJ71" i="9"/>
  <c r="BJ88" i="9" s="1"/>
  <c r="BI71" i="9"/>
  <c r="BI88" i="9" s="1"/>
  <c r="BH71" i="9"/>
  <c r="BH88" i="9" s="1"/>
  <c r="BG71" i="9"/>
  <c r="BG88" i="9" s="1"/>
  <c r="BF71" i="9"/>
  <c r="BF88" i="9" s="1"/>
  <c r="BE71" i="9"/>
  <c r="BE88" i="9" s="1"/>
  <c r="BD71" i="9"/>
  <c r="BD88" i="9" s="1"/>
  <c r="BC71" i="9"/>
  <c r="BC88" i="9" s="1"/>
  <c r="BB71" i="9"/>
  <c r="BB88" i="9" s="1"/>
  <c r="BA71" i="9"/>
  <c r="BA88" i="9" s="1"/>
  <c r="AZ71" i="9"/>
  <c r="AZ88" i="9" s="1"/>
  <c r="AY71" i="9"/>
  <c r="AY88" i="9" s="1"/>
  <c r="AX71" i="9"/>
  <c r="AX88" i="9" s="1"/>
  <c r="AW71" i="9"/>
  <c r="AW88" i="9" s="1"/>
  <c r="AV71" i="9"/>
  <c r="AV88" i="9" s="1"/>
  <c r="AU71" i="9"/>
  <c r="AU88" i="9" s="1"/>
  <c r="AT71" i="9"/>
  <c r="AT88" i="9" s="1"/>
  <c r="AS71" i="9"/>
  <c r="AS88" i="9" s="1"/>
  <c r="AR71" i="9"/>
  <c r="AR88" i="9" s="1"/>
  <c r="AQ71" i="9"/>
  <c r="AQ88" i="9" s="1"/>
  <c r="AP71" i="9"/>
  <c r="AP88" i="9" s="1"/>
  <c r="AO71" i="9"/>
  <c r="AO88" i="9" s="1"/>
  <c r="AN71" i="9"/>
  <c r="AN88" i="9" s="1"/>
  <c r="AM71" i="9"/>
  <c r="AM88" i="9" s="1"/>
  <c r="AL71" i="9"/>
  <c r="AL88" i="9" s="1"/>
  <c r="AK71" i="9"/>
  <c r="AK88" i="9" s="1"/>
  <c r="AJ71" i="9"/>
  <c r="AJ88" i="9" s="1"/>
  <c r="AI71" i="9"/>
  <c r="AI88" i="9" s="1"/>
  <c r="AH71" i="9"/>
  <c r="AH88" i="9" s="1"/>
  <c r="AG71" i="9"/>
  <c r="AG88" i="9" s="1"/>
  <c r="AF71" i="9"/>
  <c r="AF88" i="9" s="1"/>
  <c r="AE71" i="9"/>
  <c r="AE88" i="9" s="1"/>
  <c r="AD71" i="9"/>
  <c r="AD88" i="9" s="1"/>
  <c r="AC71" i="9"/>
  <c r="AC88" i="9" s="1"/>
  <c r="AB71" i="9"/>
  <c r="AB88" i="9" s="1"/>
  <c r="AA71" i="9"/>
  <c r="AA88" i="9" s="1"/>
  <c r="Z71" i="9"/>
  <c r="Z88" i="9" s="1"/>
  <c r="Y71" i="9"/>
  <c r="Y88" i="9" s="1"/>
  <c r="X71" i="9"/>
  <c r="X88" i="9" s="1"/>
  <c r="W71" i="9"/>
  <c r="W88" i="9" s="1"/>
  <c r="V71" i="9"/>
  <c r="V88" i="9" s="1"/>
  <c r="U71" i="9"/>
  <c r="U88" i="9" s="1"/>
  <c r="T71" i="9"/>
  <c r="T88" i="9" s="1"/>
  <c r="S71" i="9"/>
  <c r="S88" i="9" s="1"/>
  <c r="R71" i="9"/>
  <c r="R88" i="9" s="1"/>
  <c r="Q71" i="9"/>
  <c r="Q88" i="9" s="1"/>
  <c r="P71" i="9"/>
  <c r="P88" i="9" s="1"/>
  <c r="O71" i="9"/>
  <c r="O88" i="9" s="1"/>
  <c r="N71" i="9"/>
  <c r="N88" i="9" s="1"/>
  <c r="M71" i="9"/>
  <c r="M88" i="9" s="1"/>
  <c r="L71" i="9"/>
  <c r="L88" i="9" s="1"/>
  <c r="K71" i="9"/>
  <c r="K88" i="9" s="1"/>
  <c r="J71" i="9"/>
  <c r="J88" i="9" s="1"/>
  <c r="I71" i="9"/>
  <c r="I88" i="9" s="1"/>
  <c r="H71" i="9"/>
  <c r="H88" i="9" s="1"/>
  <c r="G71" i="9"/>
  <c r="G88" i="9" s="1"/>
  <c r="F71" i="9"/>
  <c r="F88" i="9" s="1"/>
  <c r="E71" i="9"/>
  <c r="E88" i="9" s="1"/>
  <c r="D71" i="9"/>
  <c r="D88" i="9" s="1"/>
  <c r="CX70" i="9"/>
  <c r="CX87" i="9" s="1"/>
  <c r="CW70" i="9"/>
  <c r="CW87" i="9" s="1"/>
  <c r="CV70" i="9"/>
  <c r="CV87" i="9" s="1"/>
  <c r="CU70" i="9"/>
  <c r="CU87" i="9" s="1"/>
  <c r="CT70" i="9"/>
  <c r="CT87" i="9" s="1"/>
  <c r="CS70" i="9"/>
  <c r="CS87" i="9" s="1"/>
  <c r="CR70" i="9"/>
  <c r="CR87" i="9" s="1"/>
  <c r="CQ70" i="9"/>
  <c r="CQ87" i="9" s="1"/>
  <c r="CP70" i="9"/>
  <c r="CP87" i="9" s="1"/>
  <c r="CO70" i="9"/>
  <c r="CO87" i="9" s="1"/>
  <c r="CN70" i="9"/>
  <c r="CN87" i="9" s="1"/>
  <c r="CM70" i="9"/>
  <c r="CM87" i="9" s="1"/>
  <c r="CL70" i="9"/>
  <c r="CL87" i="9" s="1"/>
  <c r="CK70" i="9"/>
  <c r="CK87" i="9" s="1"/>
  <c r="CJ70" i="9"/>
  <c r="CJ87" i="9" s="1"/>
  <c r="CI70" i="9"/>
  <c r="CI87" i="9" s="1"/>
  <c r="CH70" i="9"/>
  <c r="CH87" i="9" s="1"/>
  <c r="CG70" i="9"/>
  <c r="CG87" i="9" s="1"/>
  <c r="CF70" i="9"/>
  <c r="CF87" i="9" s="1"/>
  <c r="CE70" i="9"/>
  <c r="CE87" i="9" s="1"/>
  <c r="CD70" i="9"/>
  <c r="CD87" i="9" s="1"/>
  <c r="CC70" i="9"/>
  <c r="CC87" i="9" s="1"/>
  <c r="CB70" i="9"/>
  <c r="CB87" i="9" s="1"/>
  <c r="CA70" i="9"/>
  <c r="CA87" i="9" s="1"/>
  <c r="BZ70" i="9"/>
  <c r="BZ87" i="9" s="1"/>
  <c r="BY70" i="9"/>
  <c r="BY87" i="9" s="1"/>
  <c r="BX70" i="9"/>
  <c r="BX87" i="9" s="1"/>
  <c r="BW70" i="9"/>
  <c r="BW87" i="9" s="1"/>
  <c r="BV70" i="9"/>
  <c r="BV87" i="9" s="1"/>
  <c r="BU70" i="9"/>
  <c r="BU87" i="9" s="1"/>
  <c r="BT70" i="9"/>
  <c r="BT87" i="9" s="1"/>
  <c r="BS70" i="9"/>
  <c r="BS87" i="9" s="1"/>
  <c r="BR70" i="9"/>
  <c r="BR87" i="9" s="1"/>
  <c r="BQ70" i="9"/>
  <c r="BQ87" i="9" s="1"/>
  <c r="BP70" i="9"/>
  <c r="BP87" i="9" s="1"/>
  <c r="BO70" i="9"/>
  <c r="BO87" i="9" s="1"/>
  <c r="BN70" i="9"/>
  <c r="BN87" i="9" s="1"/>
  <c r="BM70" i="9"/>
  <c r="BM87" i="9" s="1"/>
  <c r="BL70" i="9"/>
  <c r="BL87" i="9" s="1"/>
  <c r="BK70" i="9"/>
  <c r="BK87" i="9" s="1"/>
  <c r="BJ70" i="9"/>
  <c r="BJ87" i="9" s="1"/>
  <c r="BI70" i="9"/>
  <c r="BI87" i="9" s="1"/>
  <c r="BH70" i="9"/>
  <c r="BH87" i="9" s="1"/>
  <c r="BG70" i="9"/>
  <c r="BG87" i="9" s="1"/>
  <c r="BF70" i="9"/>
  <c r="BF87" i="9" s="1"/>
  <c r="BE70" i="9"/>
  <c r="BE87" i="9" s="1"/>
  <c r="BD70" i="9"/>
  <c r="BD87" i="9" s="1"/>
  <c r="BC70" i="9"/>
  <c r="BC87" i="9" s="1"/>
  <c r="BB70" i="9"/>
  <c r="BB87" i="9" s="1"/>
  <c r="BA70" i="9"/>
  <c r="BA87" i="9" s="1"/>
  <c r="AZ70" i="9"/>
  <c r="AZ87" i="9" s="1"/>
  <c r="AY70" i="9"/>
  <c r="AY87" i="9" s="1"/>
  <c r="AX70" i="9"/>
  <c r="AX87" i="9" s="1"/>
  <c r="AW70" i="9"/>
  <c r="AW87" i="9" s="1"/>
  <c r="AV70" i="9"/>
  <c r="AV87" i="9" s="1"/>
  <c r="AU70" i="9"/>
  <c r="AU87" i="9" s="1"/>
  <c r="AT70" i="9"/>
  <c r="AT87" i="9" s="1"/>
  <c r="AS70" i="9"/>
  <c r="AS87" i="9" s="1"/>
  <c r="AR70" i="9"/>
  <c r="AR87" i="9" s="1"/>
  <c r="AQ70" i="9"/>
  <c r="AQ87" i="9" s="1"/>
  <c r="AP70" i="9"/>
  <c r="AP87" i="9" s="1"/>
  <c r="AO70" i="9"/>
  <c r="AO87" i="9" s="1"/>
  <c r="AN70" i="9"/>
  <c r="AN87" i="9" s="1"/>
  <c r="AM70" i="9"/>
  <c r="AM87" i="9" s="1"/>
  <c r="AL70" i="9"/>
  <c r="AL87" i="9" s="1"/>
  <c r="AK70" i="9"/>
  <c r="AK87" i="9" s="1"/>
  <c r="AJ70" i="9"/>
  <c r="AJ87" i="9" s="1"/>
  <c r="AI70" i="9"/>
  <c r="AI87" i="9" s="1"/>
  <c r="AH70" i="9"/>
  <c r="AH87" i="9" s="1"/>
  <c r="AG70" i="9"/>
  <c r="AG87" i="9" s="1"/>
  <c r="AF70" i="9"/>
  <c r="AF87" i="9" s="1"/>
  <c r="AE70" i="9"/>
  <c r="AE87" i="9" s="1"/>
  <c r="AD70" i="9"/>
  <c r="AD87" i="9" s="1"/>
  <c r="AC70" i="9"/>
  <c r="AC87" i="9" s="1"/>
  <c r="AB70" i="9"/>
  <c r="AB87" i="9" s="1"/>
  <c r="AA70" i="9"/>
  <c r="AA87" i="9" s="1"/>
  <c r="Z70" i="9"/>
  <c r="Z87" i="9" s="1"/>
  <c r="Y70" i="9"/>
  <c r="Y87" i="9" s="1"/>
  <c r="X70" i="9"/>
  <c r="X87" i="9" s="1"/>
  <c r="W70" i="9"/>
  <c r="W87" i="9" s="1"/>
  <c r="V70" i="9"/>
  <c r="V87" i="9" s="1"/>
  <c r="U70" i="9"/>
  <c r="U87" i="9" s="1"/>
  <c r="T70" i="9"/>
  <c r="T87" i="9" s="1"/>
  <c r="S70" i="9"/>
  <c r="S87" i="9" s="1"/>
  <c r="R70" i="9"/>
  <c r="R87" i="9" s="1"/>
  <c r="Q70" i="9"/>
  <c r="Q87" i="9" s="1"/>
  <c r="P70" i="9"/>
  <c r="P87" i="9" s="1"/>
  <c r="O70" i="9"/>
  <c r="O87" i="9" s="1"/>
  <c r="N70" i="9"/>
  <c r="N87" i="9" s="1"/>
  <c r="M70" i="9"/>
  <c r="M87" i="9" s="1"/>
  <c r="L70" i="9"/>
  <c r="L87" i="9" s="1"/>
  <c r="K70" i="9"/>
  <c r="K87" i="9" s="1"/>
  <c r="J70" i="9"/>
  <c r="J87" i="9" s="1"/>
  <c r="I70" i="9"/>
  <c r="I87" i="9" s="1"/>
  <c r="H70" i="9"/>
  <c r="H87" i="9" s="1"/>
  <c r="G70" i="9"/>
  <c r="G87" i="9" s="1"/>
  <c r="F70" i="9"/>
  <c r="F87" i="9" s="1"/>
  <c r="E70" i="9"/>
  <c r="E87" i="9" s="1"/>
  <c r="D70" i="9"/>
  <c r="D87" i="9" s="1"/>
  <c r="CX69" i="9"/>
  <c r="CX86" i="9" s="1"/>
  <c r="CW69" i="9"/>
  <c r="CW86" i="9" s="1"/>
  <c r="CV69" i="9"/>
  <c r="CV86" i="9" s="1"/>
  <c r="CU69" i="9"/>
  <c r="CU86" i="9" s="1"/>
  <c r="CT69" i="9"/>
  <c r="CT86" i="9" s="1"/>
  <c r="CS69" i="9"/>
  <c r="CS86" i="9" s="1"/>
  <c r="CR69" i="9"/>
  <c r="CR86" i="9" s="1"/>
  <c r="CQ69" i="9"/>
  <c r="CQ86" i="9" s="1"/>
  <c r="CP69" i="9"/>
  <c r="CP86" i="9" s="1"/>
  <c r="CO69" i="9"/>
  <c r="CO86" i="9" s="1"/>
  <c r="CN69" i="9"/>
  <c r="CN86" i="9" s="1"/>
  <c r="CM69" i="9"/>
  <c r="CM86" i="9" s="1"/>
  <c r="CL69" i="9"/>
  <c r="CL86" i="9" s="1"/>
  <c r="CK69" i="9"/>
  <c r="CK86" i="9" s="1"/>
  <c r="CJ69" i="9"/>
  <c r="CJ86" i="9" s="1"/>
  <c r="CI69" i="9"/>
  <c r="CI86" i="9" s="1"/>
  <c r="CH69" i="9"/>
  <c r="CH86" i="9" s="1"/>
  <c r="CG69" i="9"/>
  <c r="CG86" i="9" s="1"/>
  <c r="CF69" i="9"/>
  <c r="CF86" i="9" s="1"/>
  <c r="CE69" i="9"/>
  <c r="CE86" i="9" s="1"/>
  <c r="CD69" i="9"/>
  <c r="CD86" i="9" s="1"/>
  <c r="CC69" i="9"/>
  <c r="CC86" i="9" s="1"/>
  <c r="CB69" i="9"/>
  <c r="CB86" i="9" s="1"/>
  <c r="CA69" i="9"/>
  <c r="CA86" i="9" s="1"/>
  <c r="BZ69" i="9"/>
  <c r="BZ86" i="9" s="1"/>
  <c r="BY69" i="9"/>
  <c r="BY86" i="9" s="1"/>
  <c r="BX69" i="9"/>
  <c r="BX86" i="9" s="1"/>
  <c r="BW69" i="9"/>
  <c r="BW86" i="9" s="1"/>
  <c r="BV69" i="9"/>
  <c r="BV86" i="9" s="1"/>
  <c r="BU69" i="9"/>
  <c r="BU86" i="9" s="1"/>
  <c r="BT69" i="9"/>
  <c r="BT86" i="9" s="1"/>
  <c r="BS69" i="9"/>
  <c r="BS86" i="9" s="1"/>
  <c r="BR69" i="9"/>
  <c r="BR86" i="9" s="1"/>
  <c r="BQ69" i="9"/>
  <c r="BQ86" i="9" s="1"/>
  <c r="BP69" i="9"/>
  <c r="BP86" i="9" s="1"/>
  <c r="BO69" i="9"/>
  <c r="BO86" i="9" s="1"/>
  <c r="BN69" i="9"/>
  <c r="BN86" i="9" s="1"/>
  <c r="BM69" i="9"/>
  <c r="BM86" i="9" s="1"/>
  <c r="BL69" i="9"/>
  <c r="BL86" i="9" s="1"/>
  <c r="BK69" i="9"/>
  <c r="BK86" i="9" s="1"/>
  <c r="BJ69" i="9"/>
  <c r="BJ86" i="9" s="1"/>
  <c r="BI69" i="9"/>
  <c r="BI86" i="9" s="1"/>
  <c r="BH69" i="9"/>
  <c r="BH86" i="9" s="1"/>
  <c r="BG69" i="9"/>
  <c r="BG86" i="9" s="1"/>
  <c r="BF69" i="9"/>
  <c r="BF86" i="9" s="1"/>
  <c r="BE69" i="9"/>
  <c r="BE86" i="9" s="1"/>
  <c r="BD69" i="9"/>
  <c r="BD86" i="9" s="1"/>
  <c r="BC69" i="9"/>
  <c r="BB69" i="9"/>
  <c r="BB86" i="9" s="1"/>
  <c r="BA69" i="9"/>
  <c r="BA86" i="9" s="1"/>
  <c r="AZ69" i="9"/>
  <c r="AZ86" i="9" s="1"/>
  <c r="AY69" i="9"/>
  <c r="AY86" i="9" s="1"/>
  <c r="AX69" i="9"/>
  <c r="AX86" i="9" s="1"/>
  <c r="AW69" i="9"/>
  <c r="AW86" i="9" s="1"/>
  <c r="AV69" i="9"/>
  <c r="AV86" i="9" s="1"/>
  <c r="AU69" i="9"/>
  <c r="AU86" i="9" s="1"/>
  <c r="AT69" i="9"/>
  <c r="AT86" i="9" s="1"/>
  <c r="AS69" i="9"/>
  <c r="AS86" i="9" s="1"/>
  <c r="AR69" i="9"/>
  <c r="AR86" i="9" s="1"/>
  <c r="AQ69" i="9"/>
  <c r="AP69" i="9"/>
  <c r="AP86" i="9" s="1"/>
  <c r="AO69" i="9"/>
  <c r="AO86" i="9" s="1"/>
  <c r="AN69" i="9"/>
  <c r="AN86" i="9" s="1"/>
  <c r="AM69" i="9"/>
  <c r="AM86" i="9" s="1"/>
  <c r="AL69" i="9"/>
  <c r="AK69" i="9"/>
  <c r="AK86" i="9" s="1"/>
  <c r="AJ69" i="9"/>
  <c r="AJ86" i="9" s="1"/>
  <c r="AI69" i="9"/>
  <c r="AI86" i="9" s="1"/>
  <c r="AH69" i="9"/>
  <c r="AH86" i="9" s="1"/>
  <c r="AG69" i="9"/>
  <c r="AG86" i="9" s="1"/>
  <c r="AF69" i="9"/>
  <c r="AF86" i="9" s="1"/>
  <c r="AE69" i="9"/>
  <c r="AE86" i="9" s="1"/>
  <c r="AD69" i="9"/>
  <c r="AD86" i="9" s="1"/>
  <c r="AC69" i="9"/>
  <c r="AC86" i="9" s="1"/>
  <c r="AB69" i="9"/>
  <c r="AB86" i="9" s="1"/>
  <c r="AA69" i="9"/>
  <c r="Z69" i="9"/>
  <c r="Z86" i="9" s="1"/>
  <c r="Y69" i="9"/>
  <c r="Y86" i="9" s="1"/>
  <c r="X69" i="9"/>
  <c r="X86" i="9" s="1"/>
  <c r="W69" i="9"/>
  <c r="W86" i="9" s="1"/>
  <c r="V69" i="9"/>
  <c r="U69" i="9"/>
  <c r="U86" i="9" s="1"/>
  <c r="T69" i="9"/>
  <c r="T86" i="9" s="1"/>
  <c r="S69" i="9"/>
  <c r="S86" i="9" s="1"/>
  <c r="R69" i="9"/>
  <c r="R86" i="9" s="1"/>
  <c r="Q69" i="9"/>
  <c r="Q86" i="9" s="1"/>
  <c r="P69" i="9"/>
  <c r="P86" i="9" s="1"/>
  <c r="O69" i="9"/>
  <c r="O86" i="9" s="1"/>
  <c r="N69" i="9"/>
  <c r="N86" i="9" s="1"/>
  <c r="M69" i="9"/>
  <c r="M86" i="9" s="1"/>
  <c r="L69" i="9"/>
  <c r="L86" i="9" s="1"/>
  <c r="K69" i="9"/>
  <c r="J69" i="9"/>
  <c r="J86" i="9" s="1"/>
  <c r="I69" i="9"/>
  <c r="I86" i="9" s="1"/>
  <c r="H69" i="9"/>
  <c r="H86" i="9" s="1"/>
  <c r="G69" i="9"/>
  <c r="G86" i="9" s="1"/>
  <c r="F69" i="9"/>
  <c r="E69" i="9"/>
  <c r="E86" i="9" s="1"/>
  <c r="D69" i="9"/>
  <c r="D86" i="9" s="1"/>
  <c r="CX68" i="9"/>
  <c r="CW68" i="9"/>
  <c r="CV68" i="9"/>
  <c r="CU68" i="9"/>
  <c r="CT68" i="9"/>
  <c r="CS68" i="9"/>
  <c r="CR68" i="9"/>
  <c r="CQ68" i="9"/>
  <c r="CP68" i="9"/>
  <c r="CO68" i="9"/>
  <c r="CN68" i="9"/>
  <c r="CM68" i="9"/>
  <c r="CL68" i="9"/>
  <c r="CK68" i="9"/>
  <c r="CJ68" i="9"/>
  <c r="CI68" i="9"/>
  <c r="CH68" i="9"/>
  <c r="CG68" i="9"/>
  <c r="CF68" i="9"/>
  <c r="CE68" i="9"/>
  <c r="CD68" i="9"/>
  <c r="CC68" i="9"/>
  <c r="CB68" i="9"/>
  <c r="CA68" i="9"/>
  <c r="BZ68" i="9"/>
  <c r="BY68" i="9"/>
  <c r="BX68" i="9"/>
  <c r="BW68" i="9"/>
  <c r="BV68" i="9"/>
  <c r="BU68" i="9"/>
  <c r="BT68" i="9"/>
  <c r="BS68" i="9"/>
  <c r="BR68" i="9"/>
  <c r="BQ68" i="9"/>
  <c r="BP68" i="9"/>
  <c r="BO68" i="9"/>
  <c r="BN68" i="9"/>
  <c r="BM68" i="9"/>
  <c r="BL68" i="9"/>
  <c r="BK68" i="9"/>
  <c r="BJ68" i="9"/>
  <c r="BI68" i="9"/>
  <c r="BH68" i="9"/>
  <c r="BG68" i="9"/>
  <c r="BF68" i="9"/>
  <c r="BE68" i="9"/>
  <c r="BD68" i="9"/>
  <c r="BC68" i="9"/>
  <c r="BB68" i="9"/>
  <c r="BA68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X67" i="9"/>
  <c r="CW67" i="9"/>
  <c r="CV67" i="9"/>
  <c r="CU67" i="9"/>
  <c r="CT67" i="9"/>
  <c r="CS67" i="9"/>
  <c r="CR67" i="9"/>
  <c r="CQ67" i="9"/>
  <c r="CP67" i="9"/>
  <c r="CO67" i="9"/>
  <c r="CN67" i="9"/>
  <c r="CM67" i="9"/>
  <c r="CL67" i="9"/>
  <c r="CK67" i="9"/>
  <c r="CJ67" i="9"/>
  <c r="CI67" i="9"/>
  <c r="CH67" i="9"/>
  <c r="CG67" i="9"/>
  <c r="CF67" i="9"/>
  <c r="CE67" i="9"/>
  <c r="CD67" i="9"/>
  <c r="CC67" i="9"/>
  <c r="CB67" i="9"/>
  <c r="CA67" i="9"/>
  <c r="BZ67" i="9"/>
  <c r="BY67" i="9"/>
  <c r="BX67" i="9"/>
  <c r="BW67" i="9"/>
  <c r="BV67" i="9"/>
  <c r="BU67" i="9"/>
  <c r="BT67" i="9"/>
  <c r="BS67" i="9"/>
  <c r="BR67" i="9"/>
  <c r="BQ67" i="9"/>
  <c r="BP67" i="9"/>
  <c r="BO67" i="9"/>
  <c r="BN67" i="9"/>
  <c r="BM67" i="9"/>
  <c r="BL67" i="9"/>
  <c r="BK67" i="9"/>
  <c r="BJ67" i="9"/>
  <c r="BI67" i="9"/>
  <c r="BH67" i="9"/>
  <c r="BG67" i="9"/>
  <c r="BF67" i="9"/>
  <c r="BE67" i="9"/>
  <c r="BD67" i="9"/>
  <c r="BC67" i="9"/>
  <c r="BB67" i="9"/>
  <c r="BA67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X65" i="9"/>
  <c r="CW65" i="9"/>
  <c r="CV65" i="9"/>
  <c r="CU65" i="9"/>
  <c r="CT65" i="9"/>
  <c r="CS65" i="9"/>
  <c r="CR65" i="9"/>
  <c r="CQ65" i="9"/>
  <c r="CP65" i="9"/>
  <c r="CO65" i="9"/>
  <c r="CN65" i="9"/>
  <c r="CM65" i="9"/>
  <c r="CL65" i="9"/>
  <c r="CK65" i="9"/>
  <c r="CJ65" i="9"/>
  <c r="CI65" i="9"/>
  <c r="CH65" i="9"/>
  <c r="CG65" i="9"/>
  <c r="CF65" i="9"/>
  <c r="CE65" i="9"/>
  <c r="CD65" i="9"/>
  <c r="CC65" i="9"/>
  <c r="CB65" i="9"/>
  <c r="CA65" i="9"/>
  <c r="BZ65" i="9"/>
  <c r="BY65" i="9"/>
  <c r="BX65" i="9"/>
  <c r="BW65" i="9"/>
  <c r="BV65" i="9"/>
  <c r="BU65" i="9"/>
  <c r="BT65" i="9"/>
  <c r="BS65" i="9"/>
  <c r="BR65" i="9"/>
  <c r="BQ65" i="9"/>
  <c r="BP65" i="9"/>
  <c r="BO65" i="9"/>
  <c r="BN65" i="9"/>
  <c r="BM65" i="9"/>
  <c r="BL65" i="9"/>
  <c r="BK65" i="9"/>
  <c r="BJ65" i="9"/>
  <c r="BI65" i="9"/>
  <c r="BH65" i="9"/>
  <c r="BG65" i="9"/>
  <c r="BF65" i="9"/>
  <c r="BE65" i="9"/>
  <c r="BD65" i="9"/>
  <c r="BC65" i="9"/>
  <c r="BB65" i="9"/>
  <c r="BA65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X64" i="9"/>
  <c r="CW64" i="9"/>
  <c r="CV64" i="9"/>
  <c r="CU64" i="9"/>
  <c r="CT64" i="9"/>
  <c r="CS64" i="9"/>
  <c r="CR64" i="9"/>
  <c r="CQ64" i="9"/>
  <c r="CP64" i="9"/>
  <c r="CO64" i="9"/>
  <c r="CN64" i="9"/>
  <c r="CM64" i="9"/>
  <c r="CL64" i="9"/>
  <c r="CK64" i="9"/>
  <c r="CJ64" i="9"/>
  <c r="CI64" i="9"/>
  <c r="CH64" i="9"/>
  <c r="CG64" i="9"/>
  <c r="CF64" i="9"/>
  <c r="CE64" i="9"/>
  <c r="CD64" i="9"/>
  <c r="CC64" i="9"/>
  <c r="CB64" i="9"/>
  <c r="CA64" i="9"/>
  <c r="BZ64" i="9"/>
  <c r="BY64" i="9"/>
  <c r="BX64" i="9"/>
  <c r="BW64" i="9"/>
  <c r="BV64" i="9"/>
  <c r="BU64" i="9"/>
  <c r="BT64" i="9"/>
  <c r="BS64" i="9"/>
  <c r="BR64" i="9"/>
  <c r="BQ64" i="9"/>
  <c r="BP64" i="9"/>
  <c r="BO64" i="9"/>
  <c r="BN64" i="9"/>
  <c r="BM64" i="9"/>
  <c r="BL64" i="9"/>
  <c r="BK64" i="9"/>
  <c r="BJ64" i="9"/>
  <c r="BI64" i="9"/>
  <c r="BH64" i="9"/>
  <c r="BG64" i="9"/>
  <c r="BF64" i="9"/>
  <c r="BE64" i="9"/>
  <c r="BD64" i="9"/>
  <c r="BC64" i="9"/>
  <c r="BB64" i="9"/>
  <c r="BA64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X63" i="9"/>
  <c r="CQ63" i="9"/>
  <c r="CP63" i="9"/>
  <c r="CI63" i="9"/>
  <c r="CH63" i="9"/>
  <c r="CA63" i="9"/>
  <c r="BZ63" i="9"/>
  <c r="BS63" i="9"/>
  <c r="BR63" i="9"/>
  <c r="BK63" i="9"/>
  <c r="BJ63" i="9"/>
  <c r="BC63" i="9"/>
  <c r="BB63" i="9"/>
  <c r="AU63" i="9"/>
  <c r="AT63" i="9"/>
  <c r="AM63" i="9"/>
  <c r="AL63" i="9"/>
  <c r="AE63" i="9"/>
  <c r="AD63" i="9"/>
  <c r="W63" i="9"/>
  <c r="V63" i="9"/>
  <c r="O63" i="9"/>
  <c r="N63" i="9"/>
  <c r="G63" i="9"/>
  <c r="F63" i="9"/>
  <c r="CT62" i="9"/>
  <c r="CS62" i="9"/>
  <c r="CL62" i="9"/>
  <c r="CK62" i="9"/>
  <c r="CD62" i="9"/>
  <c r="CC62" i="9"/>
  <c r="BV62" i="9"/>
  <c r="BU62" i="9"/>
  <c r="BN62" i="9"/>
  <c r="BM62" i="9"/>
  <c r="BF62" i="9"/>
  <c r="BE62" i="9"/>
  <c r="AX62" i="9"/>
  <c r="AW62" i="9"/>
  <c r="AP62" i="9"/>
  <c r="AO62" i="9"/>
  <c r="AH62" i="9"/>
  <c r="AG62" i="9"/>
  <c r="Z62" i="9"/>
  <c r="Y62" i="9"/>
  <c r="R62" i="9"/>
  <c r="Q62" i="9"/>
  <c r="J62" i="9"/>
  <c r="I62" i="9"/>
  <c r="CW61" i="9"/>
  <c r="CV61" i="9"/>
  <c r="CO61" i="9"/>
  <c r="CN61" i="9"/>
  <c r="CG61" i="9"/>
  <c r="CF61" i="9"/>
  <c r="BY61" i="9"/>
  <c r="BX61" i="9"/>
  <c r="BQ61" i="9"/>
  <c r="BP61" i="9"/>
  <c r="BI61" i="9"/>
  <c r="BH61" i="9"/>
  <c r="BA61" i="9"/>
  <c r="AZ61" i="9"/>
  <c r="AS61" i="9"/>
  <c r="AR61" i="9"/>
  <c r="AK61" i="9"/>
  <c r="AJ61" i="9"/>
  <c r="AC61" i="9"/>
  <c r="AB61" i="9"/>
  <c r="U61" i="9"/>
  <c r="T61" i="9"/>
  <c r="M61" i="9"/>
  <c r="L61" i="9"/>
  <c r="E61" i="9"/>
  <c r="D61" i="9"/>
  <c r="CR60" i="9"/>
  <c r="CQ60" i="9"/>
  <c r="CJ60" i="9"/>
  <c r="CI60" i="9"/>
  <c r="BS60" i="9"/>
  <c r="BC60" i="9"/>
  <c r="AM60" i="9"/>
  <c r="W60" i="9"/>
  <c r="G60" i="9"/>
  <c r="CL59" i="9"/>
  <c r="BV59" i="9"/>
  <c r="BF59" i="9"/>
  <c r="AP59" i="9"/>
  <c r="Z59" i="9"/>
  <c r="R59" i="9"/>
  <c r="J59" i="9"/>
  <c r="CW58" i="9"/>
  <c r="CO58" i="9"/>
  <c r="CG58" i="9"/>
  <c r="BY58" i="9"/>
  <c r="BQ58" i="9"/>
  <c r="BI58" i="9"/>
  <c r="BA58" i="9"/>
  <c r="AS58" i="9"/>
  <c r="AK58" i="9"/>
  <c r="AC58" i="9"/>
  <c r="U58" i="9"/>
  <c r="M58" i="9"/>
  <c r="E58" i="9"/>
  <c r="CR57" i="9"/>
  <c r="CJ57" i="9"/>
  <c r="CB57" i="9"/>
  <c r="BT57" i="9"/>
  <c r="BL57" i="9"/>
  <c r="BD57" i="9"/>
  <c r="AV57" i="9"/>
  <c r="AN57" i="9"/>
  <c r="AF57" i="9"/>
  <c r="X57" i="9"/>
  <c r="P57" i="9"/>
  <c r="H57" i="9"/>
  <c r="CU56" i="9"/>
  <c r="CM56" i="9"/>
  <c r="CE56" i="9"/>
  <c r="BW56" i="9"/>
  <c r="BO56" i="9"/>
  <c r="BG56" i="9"/>
  <c r="AY56" i="9"/>
  <c r="AQ56" i="9"/>
  <c r="AI56" i="9"/>
  <c r="AA56" i="9"/>
  <c r="S56" i="9"/>
  <c r="K56" i="9"/>
  <c r="CX55" i="9"/>
  <c r="CP55" i="9"/>
  <c r="CH55" i="9"/>
  <c r="BZ55" i="9"/>
  <c r="BR55" i="9"/>
  <c r="BJ55" i="9"/>
  <c r="BB55" i="9"/>
  <c r="AT55" i="9"/>
  <c r="AL55" i="9"/>
  <c r="AD55" i="9"/>
  <c r="V55" i="9"/>
  <c r="N55" i="9"/>
  <c r="F55" i="9"/>
  <c r="CX54" i="9"/>
  <c r="CW54" i="9"/>
  <c r="CW63" i="9" s="1"/>
  <c r="CV54" i="9"/>
  <c r="CV63" i="9" s="1"/>
  <c r="CU54" i="9"/>
  <c r="CU63" i="9" s="1"/>
  <c r="CT54" i="9"/>
  <c r="CT63" i="9" s="1"/>
  <c r="CS54" i="9"/>
  <c r="CS63" i="9" s="1"/>
  <c r="CR54" i="9"/>
  <c r="CR63" i="9" s="1"/>
  <c r="CQ54" i="9"/>
  <c r="CP54" i="9"/>
  <c r="CO54" i="9"/>
  <c r="CO63" i="9" s="1"/>
  <c r="CN54" i="9"/>
  <c r="CN63" i="9" s="1"/>
  <c r="CM54" i="9"/>
  <c r="CM63" i="9" s="1"/>
  <c r="CL54" i="9"/>
  <c r="CL63" i="9" s="1"/>
  <c r="CK54" i="9"/>
  <c r="CK63" i="9" s="1"/>
  <c r="CJ54" i="9"/>
  <c r="CJ63" i="9" s="1"/>
  <c r="CI54" i="9"/>
  <c r="CH54" i="9"/>
  <c r="CG54" i="9"/>
  <c r="CG63" i="9" s="1"/>
  <c r="CF54" i="9"/>
  <c r="CF63" i="9" s="1"/>
  <c r="CE54" i="9"/>
  <c r="CE63" i="9" s="1"/>
  <c r="CD54" i="9"/>
  <c r="CD63" i="9" s="1"/>
  <c r="CC54" i="9"/>
  <c r="CC63" i="9" s="1"/>
  <c r="CB54" i="9"/>
  <c r="CB63" i="9" s="1"/>
  <c r="CA54" i="9"/>
  <c r="BZ54" i="9"/>
  <c r="BY54" i="9"/>
  <c r="BY63" i="9" s="1"/>
  <c r="BX54" i="9"/>
  <c r="BX63" i="9" s="1"/>
  <c r="BW54" i="9"/>
  <c r="BW63" i="9" s="1"/>
  <c r="BV54" i="9"/>
  <c r="BV63" i="9" s="1"/>
  <c r="BU54" i="9"/>
  <c r="BU63" i="9" s="1"/>
  <c r="BT54" i="9"/>
  <c r="BT63" i="9" s="1"/>
  <c r="BS54" i="9"/>
  <c r="BR54" i="9"/>
  <c r="BQ54" i="9"/>
  <c r="BQ63" i="9" s="1"/>
  <c r="BP54" i="9"/>
  <c r="BP63" i="9" s="1"/>
  <c r="BO54" i="9"/>
  <c r="BO63" i="9" s="1"/>
  <c r="BN54" i="9"/>
  <c r="BN63" i="9" s="1"/>
  <c r="BM54" i="9"/>
  <c r="BM63" i="9" s="1"/>
  <c r="BL54" i="9"/>
  <c r="BL63" i="9" s="1"/>
  <c r="BK54" i="9"/>
  <c r="BJ54" i="9"/>
  <c r="BI54" i="9"/>
  <c r="BI63" i="9" s="1"/>
  <c r="BH54" i="9"/>
  <c r="BH63" i="9" s="1"/>
  <c r="BG54" i="9"/>
  <c r="BG63" i="9" s="1"/>
  <c r="BF54" i="9"/>
  <c r="BF63" i="9" s="1"/>
  <c r="BE54" i="9"/>
  <c r="BE63" i="9" s="1"/>
  <c r="BD54" i="9"/>
  <c r="BD63" i="9" s="1"/>
  <c r="BC54" i="9"/>
  <c r="BB54" i="9"/>
  <c r="BA54" i="9"/>
  <c r="BA63" i="9" s="1"/>
  <c r="AZ54" i="9"/>
  <c r="AZ63" i="9" s="1"/>
  <c r="AY54" i="9"/>
  <c r="AY63" i="9" s="1"/>
  <c r="AX54" i="9"/>
  <c r="AX63" i="9" s="1"/>
  <c r="AW54" i="9"/>
  <c r="AW63" i="9" s="1"/>
  <c r="AV54" i="9"/>
  <c r="AV63" i="9" s="1"/>
  <c r="AU54" i="9"/>
  <c r="AT54" i="9"/>
  <c r="AS54" i="9"/>
  <c r="AS63" i="9" s="1"/>
  <c r="AR54" i="9"/>
  <c r="AR63" i="9" s="1"/>
  <c r="AQ54" i="9"/>
  <c r="AQ63" i="9" s="1"/>
  <c r="AP54" i="9"/>
  <c r="AP63" i="9" s="1"/>
  <c r="AO54" i="9"/>
  <c r="AO63" i="9" s="1"/>
  <c r="AN54" i="9"/>
  <c r="AN63" i="9" s="1"/>
  <c r="AM54" i="9"/>
  <c r="AL54" i="9"/>
  <c r="AK54" i="9"/>
  <c r="AK63" i="9" s="1"/>
  <c r="AJ54" i="9"/>
  <c r="AJ63" i="9" s="1"/>
  <c r="AI54" i="9"/>
  <c r="AI63" i="9" s="1"/>
  <c r="AH54" i="9"/>
  <c r="AH63" i="9" s="1"/>
  <c r="AG54" i="9"/>
  <c r="AG63" i="9" s="1"/>
  <c r="AF54" i="9"/>
  <c r="AF63" i="9" s="1"/>
  <c r="AE54" i="9"/>
  <c r="AD54" i="9"/>
  <c r="AC54" i="9"/>
  <c r="AC63" i="9" s="1"/>
  <c r="AB54" i="9"/>
  <c r="AB63" i="9" s="1"/>
  <c r="AA54" i="9"/>
  <c r="AA63" i="9" s="1"/>
  <c r="Z54" i="9"/>
  <c r="Z63" i="9" s="1"/>
  <c r="Y54" i="9"/>
  <c r="Y63" i="9" s="1"/>
  <c r="X54" i="9"/>
  <c r="X63" i="9" s="1"/>
  <c r="W54" i="9"/>
  <c r="V54" i="9"/>
  <c r="U54" i="9"/>
  <c r="U63" i="9" s="1"/>
  <c r="T54" i="9"/>
  <c r="T63" i="9" s="1"/>
  <c r="S54" i="9"/>
  <c r="S63" i="9" s="1"/>
  <c r="R54" i="9"/>
  <c r="R63" i="9" s="1"/>
  <c r="Q54" i="9"/>
  <c r="Q63" i="9" s="1"/>
  <c r="P54" i="9"/>
  <c r="P63" i="9" s="1"/>
  <c r="O54" i="9"/>
  <c r="N54" i="9"/>
  <c r="M54" i="9"/>
  <c r="M63" i="9" s="1"/>
  <c r="L54" i="9"/>
  <c r="L63" i="9" s="1"/>
  <c r="K54" i="9"/>
  <c r="K63" i="9" s="1"/>
  <c r="J54" i="9"/>
  <c r="J63" i="9" s="1"/>
  <c r="I54" i="9"/>
  <c r="I63" i="9" s="1"/>
  <c r="H54" i="9"/>
  <c r="H63" i="9" s="1"/>
  <c r="G54" i="9"/>
  <c r="F54" i="9"/>
  <c r="E54" i="9"/>
  <c r="E63" i="9" s="1"/>
  <c r="D54" i="9"/>
  <c r="D63" i="9" s="1"/>
  <c r="CX53" i="9"/>
  <c r="CW53" i="9"/>
  <c r="CV53" i="9"/>
  <c r="CU53" i="9"/>
  <c r="CT53" i="9"/>
  <c r="CS53" i="9"/>
  <c r="CR53" i="9"/>
  <c r="CQ53" i="9"/>
  <c r="CP53" i="9"/>
  <c r="CO53" i="9"/>
  <c r="CN53" i="9"/>
  <c r="CM53" i="9"/>
  <c r="CL53" i="9"/>
  <c r="CK53" i="9"/>
  <c r="CJ53" i="9"/>
  <c r="CI53" i="9"/>
  <c r="CH53" i="9"/>
  <c r="CG53" i="9"/>
  <c r="CF53" i="9"/>
  <c r="CE53" i="9"/>
  <c r="CD53" i="9"/>
  <c r="CC53" i="9"/>
  <c r="CB53" i="9"/>
  <c r="CA53" i="9"/>
  <c r="BZ53" i="9"/>
  <c r="BY53" i="9"/>
  <c r="BX53" i="9"/>
  <c r="BW53" i="9"/>
  <c r="BV53" i="9"/>
  <c r="BU53" i="9"/>
  <c r="BT53" i="9"/>
  <c r="BS53" i="9"/>
  <c r="BR53" i="9"/>
  <c r="BQ53" i="9"/>
  <c r="BP53" i="9"/>
  <c r="BO53" i="9"/>
  <c r="BN53" i="9"/>
  <c r="BM53" i="9"/>
  <c r="BL53" i="9"/>
  <c r="BK53" i="9"/>
  <c r="BJ53" i="9"/>
  <c r="BI53" i="9"/>
  <c r="BH53" i="9"/>
  <c r="BG53" i="9"/>
  <c r="BF53" i="9"/>
  <c r="BE53" i="9"/>
  <c r="BD53" i="9"/>
  <c r="BC53" i="9"/>
  <c r="BB53" i="9"/>
  <c r="BA53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X52" i="9"/>
  <c r="CW52" i="9"/>
  <c r="CV52" i="9"/>
  <c r="CU52" i="9"/>
  <c r="CT52" i="9"/>
  <c r="CS52" i="9"/>
  <c r="CR52" i="9"/>
  <c r="CQ52" i="9"/>
  <c r="CP52" i="9"/>
  <c r="CO52" i="9"/>
  <c r="CN52" i="9"/>
  <c r="CM52" i="9"/>
  <c r="CL52" i="9"/>
  <c r="CK52" i="9"/>
  <c r="CJ52" i="9"/>
  <c r="CI52" i="9"/>
  <c r="CH52" i="9"/>
  <c r="CG52" i="9"/>
  <c r="CF52" i="9"/>
  <c r="CE52" i="9"/>
  <c r="CD52" i="9"/>
  <c r="CC52" i="9"/>
  <c r="CB52" i="9"/>
  <c r="CA52" i="9"/>
  <c r="BZ52" i="9"/>
  <c r="BY52" i="9"/>
  <c r="BX52" i="9"/>
  <c r="BW52" i="9"/>
  <c r="BV52" i="9"/>
  <c r="BU52" i="9"/>
  <c r="BT52" i="9"/>
  <c r="BS52" i="9"/>
  <c r="BR52" i="9"/>
  <c r="BQ52" i="9"/>
  <c r="BP52" i="9"/>
  <c r="BO52" i="9"/>
  <c r="BN52" i="9"/>
  <c r="BM52" i="9"/>
  <c r="BL52" i="9"/>
  <c r="BK52" i="9"/>
  <c r="BJ52" i="9"/>
  <c r="BI52" i="9"/>
  <c r="BH52" i="9"/>
  <c r="BG52" i="9"/>
  <c r="BF52" i="9"/>
  <c r="BE52" i="9"/>
  <c r="BD52" i="9"/>
  <c r="BC52" i="9"/>
  <c r="BB52" i="9"/>
  <c r="BA52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X51" i="9"/>
  <c r="CW51" i="9"/>
  <c r="CV51" i="9"/>
  <c r="CU51" i="9"/>
  <c r="CT51" i="9"/>
  <c r="CS51" i="9"/>
  <c r="CR51" i="9"/>
  <c r="CQ51" i="9"/>
  <c r="CP51" i="9"/>
  <c r="CO51" i="9"/>
  <c r="CN51" i="9"/>
  <c r="CM51" i="9"/>
  <c r="CL51" i="9"/>
  <c r="CK51" i="9"/>
  <c r="CJ51" i="9"/>
  <c r="CI51" i="9"/>
  <c r="CH51" i="9"/>
  <c r="CG51" i="9"/>
  <c r="CF51" i="9"/>
  <c r="CE51" i="9"/>
  <c r="CD51" i="9"/>
  <c r="CC51" i="9"/>
  <c r="CB51" i="9"/>
  <c r="CA51" i="9"/>
  <c r="BZ51" i="9"/>
  <c r="BY51" i="9"/>
  <c r="BX51" i="9"/>
  <c r="BW51" i="9"/>
  <c r="BV51" i="9"/>
  <c r="BU51" i="9"/>
  <c r="BT51" i="9"/>
  <c r="BS51" i="9"/>
  <c r="BR51" i="9"/>
  <c r="BQ51" i="9"/>
  <c r="BP51" i="9"/>
  <c r="BO51" i="9"/>
  <c r="BN51" i="9"/>
  <c r="BM51" i="9"/>
  <c r="BL51" i="9"/>
  <c r="BK51" i="9"/>
  <c r="BJ51" i="9"/>
  <c r="BI51" i="9"/>
  <c r="BH51" i="9"/>
  <c r="BG51" i="9"/>
  <c r="BF51" i="9"/>
  <c r="BE51" i="9"/>
  <c r="BD51" i="9"/>
  <c r="BC51" i="9"/>
  <c r="BB51" i="9"/>
  <c r="BA51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X50" i="9"/>
  <c r="CW50" i="9"/>
  <c r="CV50" i="9"/>
  <c r="CU50" i="9"/>
  <c r="CT50" i="9"/>
  <c r="CS50" i="9"/>
  <c r="CR50" i="9"/>
  <c r="CQ50" i="9"/>
  <c r="CP50" i="9"/>
  <c r="CO50" i="9"/>
  <c r="CN50" i="9"/>
  <c r="CM50" i="9"/>
  <c r="CL50" i="9"/>
  <c r="CK50" i="9"/>
  <c r="CJ50" i="9"/>
  <c r="CI50" i="9"/>
  <c r="CH50" i="9"/>
  <c r="CG50" i="9"/>
  <c r="CF50" i="9"/>
  <c r="CE50" i="9"/>
  <c r="CD50" i="9"/>
  <c r="CC50" i="9"/>
  <c r="CB50" i="9"/>
  <c r="CA50" i="9"/>
  <c r="BZ50" i="9"/>
  <c r="BY50" i="9"/>
  <c r="BX50" i="9"/>
  <c r="BW50" i="9"/>
  <c r="BV50" i="9"/>
  <c r="BU50" i="9"/>
  <c r="BT50" i="9"/>
  <c r="BS50" i="9"/>
  <c r="BR50" i="9"/>
  <c r="BQ50" i="9"/>
  <c r="BP50" i="9"/>
  <c r="BO50" i="9"/>
  <c r="BN50" i="9"/>
  <c r="BM50" i="9"/>
  <c r="BL50" i="9"/>
  <c r="BK50" i="9"/>
  <c r="BJ50" i="9"/>
  <c r="BI50" i="9"/>
  <c r="BH50" i="9"/>
  <c r="BG50" i="9"/>
  <c r="BF50" i="9"/>
  <c r="BE50" i="9"/>
  <c r="BD50" i="9"/>
  <c r="BC50" i="9"/>
  <c r="BB50" i="9"/>
  <c r="BA50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X49" i="9"/>
  <c r="CW49" i="9"/>
  <c r="CV49" i="9"/>
  <c r="CU49" i="9"/>
  <c r="CT49" i="9"/>
  <c r="CS49" i="9"/>
  <c r="CR49" i="9"/>
  <c r="CQ49" i="9"/>
  <c r="CP49" i="9"/>
  <c r="CO49" i="9"/>
  <c r="CN49" i="9"/>
  <c r="CM49" i="9"/>
  <c r="CL49" i="9"/>
  <c r="CK49" i="9"/>
  <c r="CJ49" i="9"/>
  <c r="CI49" i="9"/>
  <c r="CH49" i="9"/>
  <c r="CG49" i="9"/>
  <c r="CF49" i="9"/>
  <c r="CE49" i="9"/>
  <c r="CD49" i="9"/>
  <c r="CC49" i="9"/>
  <c r="CB49" i="9"/>
  <c r="CA49" i="9"/>
  <c r="BZ49" i="9"/>
  <c r="BY49" i="9"/>
  <c r="BX49" i="9"/>
  <c r="BW49" i="9"/>
  <c r="BV49" i="9"/>
  <c r="BU49" i="9"/>
  <c r="BT49" i="9"/>
  <c r="BS49" i="9"/>
  <c r="BR49" i="9"/>
  <c r="BQ49" i="9"/>
  <c r="BP49" i="9"/>
  <c r="BO49" i="9"/>
  <c r="BN49" i="9"/>
  <c r="BM49" i="9"/>
  <c r="BL49" i="9"/>
  <c r="BK49" i="9"/>
  <c r="BJ49" i="9"/>
  <c r="BI49" i="9"/>
  <c r="BH49" i="9"/>
  <c r="BG49" i="9"/>
  <c r="BF49" i="9"/>
  <c r="BE49" i="9"/>
  <c r="BD49" i="9"/>
  <c r="BC49" i="9"/>
  <c r="BB49" i="9"/>
  <c r="BA49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X48" i="9"/>
  <c r="CW48" i="9"/>
  <c r="CV48" i="9"/>
  <c r="CU48" i="9"/>
  <c r="CT48" i="9"/>
  <c r="CS48" i="9"/>
  <c r="CR48" i="9"/>
  <c r="CQ48" i="9"/>
  <c r="CP48" i="9"/>
  <c r="CO48" i="9"/>
  <c r="CN48" i="9"/>
  <c r="CM48" i="9"/>
  <c r="CL48" i="9"/>
  <c r="CK48" i="9"/>
  <c r="CJ48" i="9"/>
  <c r="CI48" i="9"/>
  <c r="CH48" i="9"/>
  <c r="CG48" i="9"/>
  <c r="CF48" i="9"/>
  <c r="CE48" i="9"/>
  <c r="CD48" i="9"/>
  <c r="CC48" i="9"/>
  <c r="CB48" i="9"/>
  <c r="CA48" i="9"/>
  <c r="BZ48" i="9"/>
  <c r="BY48" i="9"/>
  <c r="BX48" i="9"/>
  <c r="BW48" i="9"/>
  <c r="BV48" i="9"/>
  <c r="BU48" i="9"/>
  <c r="BT48" i="9"/>
  <c r="BS48" i="9"/>
  <c r="BR48" i="9"/>
  <c r="BQ48" i="9"/>
  <c r="BP48" i="9"/>
  <c r="BO48" i="9"/>
  <c r="BN48" i="9"/>
  <c r="BM48" i="9"/>
  <c r="BL48" i="9"/>
  <c r="BK48" i="9"/>
  <c r="BJ48" i="9"/>
  <c r="BI48" i="9"/>
  <c r="BH48" i="9"/>
  <c r="BG48" i="9"/>
  <c r="BF48" i="9"/>
  <c r="BE48" i="9"/>
  <c r="BD48" i="9"/>
  <c r="BC48" i="9"/>
  <c r="BB48" i="9"/>
  <c r="BA48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X47" i="9"/>
  <c r="CW47" i="9"/>
  <c r="CV47" i="9"/>
  <c r="CU47" i="9"/>
  <c r="CT47" i="9"/>
  <c r="CS47" i="9"/>
  <c r="CR47" i="9"/>
  <c r="CQ47" i="9"/>
  <c r="CP47" i="9"/>
  <c r="CO47" i="9"/>
  <c r="CN47" i="9"/>
  <c r="CM47" i="9"/>
  <c r="CL47" i="9"/>
  <c r="CK47" i="9"/>
  <c r="CJ47" i="9"/>
  <c r="CI47" i="9"/>
  <c r="CH47" i="9"/>
  <c r="CG47" i="9"/>
  <c r="CF47" i="9"/>
  <c r="CE47" i="9"/>
  <c r="CD47" i="9"/>
  <c r="CC47" i="9"/>
  <c r="CB47" i="9"/>
  <c r="CA47" i="9"/>
  <c r="BZ47" i="9"/>
  <c r="BY47" i="9"/>
  <c r="BX47" i="9"/>
  <c r="BW47" i="9"/>
  <c r="BV47" i="9"/>
  <c r="BU47" i="9"/>
  <c r="BT47" i="9"/>
  <c r="BS47" i="9"/>
  <c r="BR47" i="9"/>
  <c r="BQ47" i="9"/>
  <c r="BP47" i="9"/>
  <c r="BO47" i="9"/>
  <c r="BN47" i="9"/>
  <c r="BM47" i="9"/>
  <c r="BL47" i="9"/>
  <c r="BK47" i="9"/>
  <c r="BJ47" i="9"/>
  <c r="BI47" i="9"/>
  <c r="BH47" i="9"/>
  <c r="BG47" i="9"/>
  <c r="BF47" i="9"/>
  <c r="BE47" i="9"/>
  <c r="BD47" i="9"/>
  <c r="BC47" i="9"/>
  <c r="BB47" i="9"/>
  <c r="BA47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X46" i="9"/>
  <c r="CW46" i="9"/>
  <c r="CV46" i="9"/>
  <c r="CU46" i="9"/>
  <c r="CT46" i="9"/>
  <c r="CS46" i="9"/>
  <c r="CR46" i="9"/>
  <c r="CQ46" i="9"/>
  <c r="CP46" i="9"/>
  <c r="CO46" i="9"/>
  <c r="CN46" i="9"/>
  <c r="CM46" i="9"/>
  <c r="CL46" i="9"/>
  <c r="CK46" i="9"/>
  <c r="CJ46" i="9"/>
  <c r="CI46" i="9"/>
  <c r="CH46" i="9"/>
  <c r="CG46" i="9"/>
  <c r="CF46" i="9"/>
  <c r="CE46" i="9"/>
  <c r="CD46" i="9"/>
  <c r="CC46" i="9"/>
  <c r="CB46" i="9"/>
  <c r="CA46" i="9"/>
  <c r="BZ46" i="9"/>
  <c r="BY46" i="9"/>
  <c r="BX46" i="9"/>
  <c r="BW46" i="9"/>
  <c r="BV46" i="9"/>
  <c r="BU46" i="9"/>
  <c r="BT46" i="9"/>
  <c r="BS46" i="9"/>
  <c r="BR46" i="9"/>
  <c r="BQ46" i="9"/>
  <c r="BP46" i="9"/>
  <c r="BO46" i="9"/>
  <c r="BN46" i="9"/>
  <c r="BM46" i="9"/>
  <c r="BL46" i="9"/>
  <c r="BK46" i="9"/>
  <c r="BJ46" i="9"/>
  <c r="BI46" i="9"/>
  <c r="BH46" i="9"/>
  <c r="BG46" i="9"/>
  <c r="BF46" i="9"/>
  <c r="BE46" i="9"/>
  <c r="BD46" i="9"/>
  <c r="BC46" i="9"/>
  <c r="BB46" i="9"/>
  <c r="BA46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X45" i="9"/>
  <c r="CX62" i="9" s="1"/>
  <c r="CW45" i="9"/>
  <c r="CW62" i="9" s="1"/>
  <c r="CV45" i="9"/>
  <c r="CV62" i="9" s="1"/>
  <c r="CU45" i="9"/>
  <c r="CU62" i="9" s="1"/>
  <c r="CT45" i="9"/>
  <c r="CS45" i="9"/>
  <c r="CR45" i="9"/>
  <c r="CR62" i="9" s="1"/>
  <c r="CQ45" i="9"/>
  <c r="CQ62" i="9" s="1"/>
  <c r="CP45" i="9"/>
  <c r="CP62" i="9" s="1"/>
  <c r="CO45" i="9"/>
  <c r="CO62" i="9" s="1"/>
  <c r="CN45" i="9"/>
  <c r="CN62" i="9" s="1"/>
  <c r="CM45" i="9"/>
  <c r="CM62" i="9" s="1"/>
  <c r="CL45" i="9"/>
  <c r="CK45" i="9"/>
  <c r="CJ45" i="9"/>
  <c r="CJ62" i="9" s="1"/>
  <c r="CI45" i="9"/>
  <c r="CI62" i="9" s="1"/>
  <c r="CH45" i="9"/>
  <c r="CH62" i="9" s="1"/>
  <c r="CG45" i="9"/>
  <c r="CG62" i="9" s="1"/>
  <c r="CF45" i="9"/>
  <c r="CF62" i="9" s="1"/>
  <c r="CE45" i="9"/>
  <c r="CE62" i="9" s="1"/>
  <c r="CD45" i="9"/>
  <c r="CC45" i="9"/>
  <c r="CB45" i="9"/>
  <c r="CB62" i="9" s="1"/>
  <c r="CA45" i="9"/>
  <c r="CA62" i="9" s="1"/>
  <c r="BZ45" i="9"/>
  <c r="BZ62" i="9" s="1"/>
  <c r="BY45" i="9"/>
  <c r="BY62" i="9" s="1"/>
  <c r="BX45" i="9"/>
  <c r="BX62" i="9" s="1"/>
  <c r="BW45" i="9"/>
  <c r="BW62" i="9" s="1"/>
  <c r="BV45" i="9"/>
  <c r="BU45" i="9"/>
  <c r="BT45" i="9"/>
  <c r="BT62" i="9" s="1"/>
  <c r="BS45" i="9"/>
  <c r="BS62" i="9" s="1"/>
  <c r="BR45" i="9"/>
  <c r="BR62" i="9" s="1"/>
  <c r="BQ45" i="9"/>
  <c r="BQ62" i="9" s="1"/>
  <c r="BP45" i="9"/>
  <c r="BP62" i="9" s="1"/>
  <c r="BO45" i="9"/>
  <c r="BO62" i="9" s="1"/>
  <c r="BN45" i="9"/>
  <c r="BM45" i="9"/>
  <c r="BL45" i="9"/>
  <c r="BL62" i="9" s="1"/>
  <c r="BK45" i="9"/>
  <c r="BK62" i="9" s="1"/>
  <c r="BJ45" i="9"/>
  <c r="BJ62" i="9" s="1"/>
  <c r="BI45" i="9"/>
  <c r="BI62" i="9" s="1"/>
  <c r="BH45" i="9"/>
  <c r="BH62" i="9" s="1"/>
  <c r="BG45" i="9"/>
  <c r="BG62" i="9" s="1"/>
  <c r="BF45" i="9"/>
  <c r="BE45" i="9"/>
  <c r="BD45" i="9"/>
  <c r="BD62" i="9" s="1"/>
  <c r="BC45" i="9"/>
  <c r="BC62" i="9" s="1"/>
  <c r="BB45" i="9"/>
  <c r="BB62" i="9" s="1"/>
  <c r="BA45" i="9"/>
  <c r="BA62" i="9" s="1"/>
  <c r="AZ45" i="9"/>
  <c r="AZ62" i="9" s="1"/>
  <c r="AY45" i="9"/>
  <c r="AY62" i="9" s="1"/>
  <c r="AX45" i="9"/>
  <c r="AW45" i="9"/>
  <c r="AV45" i="9"/>
  <c r="AV62" i="9" s="1"/>
  <c r="AU45" i="9"/>
  <c r="AU62" i="9" s="1"/>
  <c r="AT45" i="9"/>
  <c r="AT62" i="9" s="1"/>
  <c r="AS45" i="9"/>
  <c r="AS62" i="9" s="1"/>
  <c r="AR45" i="9"/>
  <c r="AR62" i="9" s="1"/>
  <c r="AQ45" i="9"/>
  <c r="AQ62" i="9" s="1"/>
  <c r="AP45" i="9"/>
  <c r="AO45" i="9"/>
  <c r="AN45" i="9"/>
  <c r="AN62" i="9" s="1"/>
  <c r="AM45" i="9"/>
  <c r="AM62" i="9" s="1"/>
  <c r="AL45" i="9"/>
  <c r="AL62" i="9" s="1"/>
  <c r="AK45" i="9"/>
  <c r="AK62" i="9" s="1"/>
  <c r="AJ45" i="9"/>
  <c r="AJ62" i="9" s="1"/>
  <c r="AI45" i="9"/>
  <c r="AI62" i="9" s="1"/>
  <c r="AH45" i="9"/>
  <c r="AG45" i="9"/>
  <c r="AF45" i="9"/>
  <c r="AF62" i="9" s="1"/>
  <c r="AE45" i="9"/>
  <c r="AE62" i="9" s="1"/>
  <c r="AD45" i="9"/>
  <c r="AD62" i="9" s="1"/>
  <c r="AC45" i="9"/>
  <c r="AC62" i="9" s="1"/>
  <c r="AB45" i="9"/>
  <c r="AB62" i="9" s="1"/>
  <c r="AA45" i="9"/>
  <c r="AA62" i="9" s="1"/>
  <c r="Z45" i="9"/>
  <c r="Y45" i="9"/>
  <c r="X45" i="9"/>
  <c r="X62" i="9" s="1"/>
  <c r="W45" i="9"/>
  <c r="W62" i="9" s="1"/>
  <c r="V45" i="9"/>
  <c r="V62" i="9" s="1"/>
  <c r="U45" i="9"/>
  <c r="U62" i="9" s="1"/>
  <c r="T45" i="9"/>
  <c r="T62" i="9" s="1"/>
  <c r="S45" i="9"/>
  <c r="S62" i="9" s="1"/>
  <c r="R45" i="9"/>
  <c r="Q45" i="9"/>
  <c r="P45" i="9"/>
  <c r="P62" i="9" s="1"/>
  <c r="O45" i="9"/>
  <c r="O62" i="9" s="1"/>
  <c r="N45" i="9"/>
  <c r="N62" i="9" s="1"/>
  <c r="M45" i="9"/>
  <c r="M62" i="9" s="1"/>
  <c r="L45" i="9"/>
  <c r="L62" i="9" s="1"/>
  <c r="K45" i="9"/>
  <c r="K62" i="9" s="1"/>
  <c r="J45" i="9"/>
  <c r="I45" i="9"/>
  <c r="H45" i="9"/>
  <c r="H62" i="9" s="1"/>
  <c r="G45" i="9"/>
  <c r="G62" i="9" s="1"/>
  <c r="F45" i="9"/>
  <c r="F62" i="9" s="1"/>
  <c r="E45" i="9"/>
  <c r="E62" i="9" s="1"/>
  <c r="D45" i="9"/>
  <c r="D62" i="9" s="1"/>
  <c r="CX44" i="9"/>
  <c r="CX61" i="9" s="1"/>
  <c r="CW44" i="9"/>
  <c r="CV44" i="9"/>
  <c r="CU44" i="9"/>
  <c r="CU61" i="9" s="1"/>
  <c r="CT44" i="9"/>
  <c r="CT61" i="9" s="1"/>
  <c r="CS44" i="9"/>
  <c r="CS61" i="9" s="1"/>
  <c r="CR44" i="9"/>
  <c r="CR61" i="9" s="1"/>
  <c r="CQ44" i="9"/>
  <c r="CQ61" i="9" s="1"/>
  <c r="CP44" i="9"/>
  <c r="CP61" i="9" s="1"/>
  <c r="CO44" i="9"/>
  <c r="CN44" i="9"/>
  <c r="CM44" i="9"/>
  <c r="CM61" i="9" s="1"/>
  <c r="CL44" i="9"/>
  <c r="CL61" i="9" s="1"/>
  <c r="CK44" i="9"/>
  <c r="CK61" i="9" s="1"/>
  <c r="CJ44" i="9"/>
  <c r="CJ61" i="9" s="1"/>
  <c r="CI44" i="9"/>
  <c r="CI61" i="9" s="1"/>
  <c r="CH44" i="9"/>
  <c r="CH61" i="9" s="1"/>
  <c r="CG44" i="9"/>
  <c r="CF44" i="9"/>
  <c r="CE44" i="9"/>
  <c r="CE61" i="9" s="1"/>
  <c r="CD44" i="9"/>
  <c r="CD61" i="9" s="1"/>
  <c r="CC44" i="9"/>
  <c r="CC61" i="9" s="1"/>
  <c r="CB44" i="9"/>
  <c r="CB61" i="9" s="1"/>
  <c r="CA44" i="9"/>
  <c r="CA61" i="9" s="1"/>
  <c r="BZ44" i="9"/>
  <c r="BZ61" i="9" s="1"/>
  <c r="BY44" i="9"/>
  <c r="BX44" i="9"/>
  <c r="BW44" i="9"/>
  <c r="BW61" i="9" s="1"/>
  <c r="BV44" i="9"/>
  <c r="BV61" i="9" s="1"/>
  <c r="BU44" i="9"/>
  <c r="BU61" i="9" s="1"/>
  <c r="BT44" i="9"/>
  <c r="BT61" i="9" s="1"/>
  <c r="BS44" i="9"/>
  <c r="BS61" i="9" s="1"/>
  <c r="BR44" i="9"/>
  <c r="BR61" i="9" s="1"/>
  <c r="BQ44" i="9"/>
  <c r="BP44" i="9"/>
  <c r="BO44" i="9"/>
  <c r="BO61" i="9" s="1"/>
  <c r="BN44" i="9"/>
  <c r="BN61" i="9" s="1"/>
  <c r="BM44" i="9"/>
  <c r="BM61" i="9" s="1"/>
  <c r="BL44" i="9"/>
  <c r="BL61" i="9" s="1"/>
  <c r="BK44" i="9"/>
  <c r="BK61" i="9" s="1"/>
  <c r="BJ44" i="9"/>
  <c r="BJ61" i="9" s="1"/>
  <c r="BI44" i="9"/>
  <c r="BH44" i="9"/>
  <c r="BG44" i="9"/>
  <c r="BG61" i="9" s="1"/>
  <c r="BF44" i="9"/>
  <c r="BF61" i="9" s="1"/>
  <c r="BE44" i="9"/>
  <c r="BE61" i="9" s="1"/>
  <c r="BD44" i="9"/>
  <c r="BD61" i="9" s="1"/>
  <c r="BC44" i="9"/>
  <c r="BC61" i="9" s="1"/>
  <c r="BB44" i="9"/>
  <c r="BB61" i="9" s="1"/>
  <c r="BA44" i="9"/>
  <c r="AZ44" i="9"/>
  <c r="AY44" i="9"/>
  <c r="AY61" i="9" s="1"/>
  <c r="AX44" i="9"/>
  <c r="AX61" i="9" s="1"/>
  <c r="AW44" i="9"/>
  <c r="AW61" i="9" s="1"/>
  <c r="AV44" i="9"/>
  <c r="AV61" i="9" s="1"/>
  <c r="AU44" i="9"/>
  <c r="AU61" i="9" s="1"/>
  <c r="AT44" i="9"/>
  <c r="AT61" i="9" s="1"/>
  <c r="AS44" i="9"/>
  <c r="AR44" i="9"/>
  <c r="AQ44" i="9"/>
  <c r="AQ61" i="9" s="1"/>
  <c r="AP44" i="9"/>
  <c r="AP61" i="9" s="1"/>
  <c r="AO44" i="9"/>
  <c r="AO61" i="9" s="1"/>
  <c r="AN44" i="9"/>
  <c r="AN61" i="9" s="1"/>
  <c r="AM44" i="9"/>
  <c r="AM61" i="9" s="1"/>
  <c r="AL44" i="9"/>
  <c r="AL61" i="9" s="1"/>
  <c r="AK44" i="9"/>
  <c r="AJ44" i="9"/>
  <c r="AI44" i="9"/>
  <c r="AI61" i="9" s="1"/>
  <c r="AH44" i="9"/>
  <c r="AH61" i="9" s="1"/>
  <c r="AG44" i="9"/>
  <c r="AG61" i="9" s="1"/>
  <c r="AF44" i="9"/>
  <c r="AF61" i="9" s="1"/>
  <c r="AE44" i="9"/>
  <c r="AE61" i="9" s="1"/>
  <c r="AD44" i="9"/>
  <c r="AD61" i="9" s="1"/>
  <c r="AC44" i="9"/>
  <c r="AB44" i="9"/>
  <c r="AA44" i="9"/>
  <c r="AA61" i="9" s="1"/>
  <c r="Z44" i="9"/>
  <c r="Z61" i="9" s="1"/>
  <c r="Y44" i="9"/>
  <c r="Y61" i="9" s="1"/>
  <c r="X44" i="9"/>
  <c r="X61" i="9" s="1"/>
  <c r="W44" i="9"/>
  <c r="W61" i="9" s="1"/>
  <c r="V44" i="9"/>
  <c r="V61" i="9" s="1"/>
  <c r="U44" i="9"/>
  <c r="T44" i="9"/>
  <c r="S44" i="9"/>
  <c r="S61" i="9" s="1"/>
  <c r="R44" i="9"/>
  <c r="R61" i="9" s="1"/>
  <c r="Q44" i="9"/>
  <c r="Q61" i="9" s="1"/>
  <c r="P44" i="9"/>
  <c r="P61" i="9" s="1"/>
  <c r="O44" i="9"/>
  <c r="O61" i="9" s="1"/>
  <c r="N44" i="9"/>
  <c r="N61" i="9" s="1"/>
  <c r="M44" i="9"/>
  <c r="L44" i="9"/>
  <c r="K44" i="9"/>
  <c r="K61" i="9" s="1"/>
  <c r="J44" i="9"/>
  <c r="J61" i="9" s="1"/>
  <c r="I44" i="9"/>
  <c r="I61" i="9" s="1"/>
  <c r="H44" i="9"/>
  <c r="H61" i="9" s="1"/>
  <c r="G44" i="9"/>
  <c r="G61" i="9" s="1"/>
  <c r="F44" i="9"/>
  <c r="F61" i="9" s="1"/>
  <c r="E44" i="9"/>
  <c r="D44" i="9"/>
  <c r="CX43" i="9"/>
  <c r="CX60" i="9" s="1"/>
  <c r="CW43" i="9"/>
  <c r="CW60" i="9" s="1"/>
  <c r="CV43" i="9"/>
  <c r="CV60" i="9" s="1"/>
  <c r="CU43" i="9"/>
  <c r="CU60" i="9" s="1"/>
  <c r="CT43" i="9"/>
  <c r="CT60" i="9" s="1"/>
  <c r="CS43" i="9"/>
  <c r="CS60" i="9" s="1"/>
  <c r="CR43" i="9"/>
  <c r="CQ43" i="9"/>
  <c r="CP43" i="9"/>
  <c r="CP60" i="9" s="1"/>
  <c r="CO43" i="9"/>
  <c r="CO60" i="9" s="1"/>
  <c r="CN43" i="9"/>
  <c r="CN60" i="9" s="1"/>
  <c r="CM43" i="9"/>
  <c r="CM60" i="9" s="1"/>
  <c r="CL43" i="9"/>
  <c r="CL60" i="9" s="1"/>
  <c r="CK43" i="9"/>
  <c r="CK60" i="9" s="1"/>
  <c r="CJ43" i="9"/>
  <c r="CI43" i="9"/>
  <c r="CH43" i="9"/>
  <c r="CH60" i="9" s="1"/>
  <c r="CG43" i="9"/>
  <c r="CG60" i="9" s="1"/>
  <c r="CF43" i="9"/>
  <c r="CF60" i="9" s="1"/>
  <c r="CE43" i="9"/>
  <c r="CE60" i="9" s="1"/>
  <c r="CD43" i="9"/>
  <c r="CD60" i="9" s="1"/>
  <c r="CC43" i="9"/>
  <c r="CC60" i="9" s="1"/>
  <c r="CB43" i="9"/>
  <c r="CB60" i="9" s="1"/>
  <c r="CA43" i="9"/>
  <c r="CA60" i="9" s="1"/>
  <c r="BZ43" i="9"/>
  <c r="BZ60" i="9" s="1"/>
  <c r="BY43" i="9"/>
  <c r="BY60" i="9" s="1"/>
  <c r="BX43" i="9"/>
  <c r="BX60" i="9" s="1"/>
  <c r="BW43" i="9"/>
  <c r="BW60" i="9" s="1"/>
  <c r="BV43" i="9"/>
  <c r="BV60" i="9" s="1"/>
  <c r="BU43" i="9"/>
  <c r="BU60" i="9" s="1"/>
  <c r="BT43" i="9"/>
  <c r="BT60" i="9" s="1"/>
  <c r="BS43" i="9"/>
  <c r="BR43" i="9"/>
  <c r="BR60" i="9" s="1"/>
  <c r="BQ43" i="9"/>
  <c r="BQ60" i="9" s="1"/>
  <c r="BP43" i="9"/>
  <c r="BP60" i="9" s="1"/>
  <c r="BO43" i="9"/>
  <c r="BO60" i="9" s="1"/>
  <c r="BN43" i="9"/>
  <c r="BN60" i="9" s="1"/>
  <c r="BM43" i="9"/>
  <c r="BM60" i="9" s="1"/>
  <c r="BL43" i="9"/>
  <c r="BL60" i="9" s="1"/>
  <c r="BK43" i="9"/>
  <c r="BK60" i="9" s="1"/>
  <c r="BJ43" i="9"/>
  <c r="BJ60" i="9" s="1"/>
  <c r="BI43" i="9"/>
  <c r="BI60" i="9" s="1"/>
  <c r="BH43" i="9"/>
  <c r="BH60" i="9" s="1"/>
  <c r="BG43" i="9"/>
  <c r="BG60" i="9" s="1"/>
  <c r="BF43" i="9"/>
  <c r="BF60" i="9" s="1"/>
  <c r="BE43" i="9"/>
  <c r="BE60" i="9" s="1"/>
  <c r="BD43" i="9"/>
  <c r="BD60" i="9" s="1"/>
  <c r="BC43" i="9"/>
  <c r="BB43" i="9"/>
  <c r="BB60" i="9" s="1"/>
  <c r="BA43" i="9"/>
  <c r="BA60" i="9" s="1"/>
  <c r="AZ43" i="9"/>
  <c r="AZ60" i="9" s="1"/>
  <c r="AY43" i="9"/>
  <c r="AY60" i="9" s="1"/>
  <c r="AX43" i="9"/>
  <c r="AX60" i="9" s="1"/>
  <c r="AW43" i="9"/>
  <c r="AW60" i="9" s="1"/>
  <c r="AV43" i="9"/>
  <c r="AV60" i="9" s="1"/>
  <c r="AU43" i="9"/>
  <c r="AU60" i="9" s="1"/>
  <c r="AT43" i="9"/>
  <c r="AT60" i="9" s="1"/>
  <c r="AS43" i="9"/>
  <c r="AS60" i="9" s="1"/>
  <c r="AR43" i="9"/>
  <c r="AR60" i="9" s="1"/>
  <c r="AQ43" i="9"/>
  <c r="AQ60" i="9" s="1"/>
  <c r="AP43" i="9"/>
  <c r="AP60" i="9" s="1"/>
  <c r="AO43" i="9"/>
  <c r="AO60" i="9" s="1"/>
  <c r="AN43" i="9"/>
  <c r="AN60" i="9" s="1"/>
  <c r="AM43" i="9"/>
  <c r="AL43" i="9"/>
  <c r="AL60" i="9" s="1"/>
  <c r="AK43" i="9"/>
  <c r="AK60" i="9" s="1"/>
  <c r="AJ43" i="9"/>
  <c r="AJ60" i="9" s="1"/>
  <c r="AI43" i="9"/>
  <c r="AI60" i="9" s="1"/>
  <c r="AH43" i="9"/>
  <c r="AH60" i="9" s="1"/>
  <c r="AG43" i="9"/>
  <c r="AG60" i="9" s="1"/>
  <c r="AF43" i="9"/>
  <c r="AF60" i="9" s="1"/>
  <c r="AE43" i="9"/>
  <c r="AE60" i="9" s="1"/>
  <c r="AD43" i="9"/>
  <c r="AD60" i="9" s="1"/>
  <c r="AC43" i="9"/>
  <c r="AC60" i="9" s="1"/>
  <c r="AB43" i="9"/>
  <c r="AB60" i="9" s="1"/>
  <c r="AA43" i="9"/>
  <c r="AA60" i="9" s="1"/>
  <c r="Z43" i="9"/>
  <c r="Z60" i="9" s="1"/>
  <c r="Y43" i="9"/>
  <c r="Y60" i="9" s="1"/>
  <c r="X43" i="9"/>
  <c r="X60" i="9" s="1"/>
  <c r="W43" i="9"/>
  <c r="V43" i="9"/>
  <c r="V60" i="9" s="1"/>
  <c r="U43" i="9"/>
  <c r="U60" i="9" s="1"/>
  <c r="T43" i="9"/>
  <c r="T60" i="9" s="1"/>
  <c r="S43" i="9"/>
  <c r="S60" i="9" s="1"/>
  <c r="R43" i="9"/>
  <c r="R60" i="9" s="1"/>
  <c r="Q43" i="9"/>
  <c r="Q60" i="9" s="1"/>
  <c r="P43" i="9"/>
  <c r="P60" i="9" s="1"/>
  <c r="O43" i="9"/>
  <c r="O60" i="9" s="1"/>
  <c r="N43" i="9"/>
  <c r="N60" i="9" s="1"/>
  <c r="M43" i="9"/>
  <c r="M60" i="9" s="1"/>
  <c r="L43" i="9"/>
  <c r="L60" i="9" s="1"/>
  <c r="K43" i="9"/>
  <c r="K60" i="9" s="1"/>
  <c r="J43" i="9"/>
  <c r="J60" i="9" s="1"/>
  <c r="I43" i="9"/>
  <c r="I60" i="9" s="1"/>
  <c r="H43" i="9"/>
  <c r="H60" i="9" s="1"/>
  <c r="G43" i="9"/>
  <c r="F43" i="9"/>
  <c r="F60" i="9" s="1"/>
  <c r="E43" i="9"/>
  <c r="E60" i="9" s="1"/>
  <c r="D43" i="9"/>
  <c r="D60" i="9" s="1"/>
  <c r="CX42" i="9"/>
  <c r="CX59" i="9" s="1"/>
  <c r="CW42" i="9"/>
  <c r="CW59" i="9" s="1"/>
  <c r="CV42" i="9"/>
  <c r="CV59" i="9" s="1"/>
  <c r="CU42" i="9"/>
  <c r="CU59" i="9" s="1"/>
  <c r="CT42" i="9"/>
  <c r="CT59" i="9" s="1"/>
  <c r="CS42" i="9"/>
  <c r="CS59" i="9" s="1"/>
  <c r="CR42" i="9"/>
  <c r="CR59" i="9" s="1"/>
  <c r="CQ42" i="9"/>
  <c r="CQ59" i="9" s="1"/>
  <c r="CP42" i="9"/>
  <c r="CP59" i="9" s="1"/>
  <c r="CO42" i="9"/>
  <c r="CO59" i="9" s="1"/>
  <c r="CN42" i="9"/>
  <c r="CN59" i="9" s="1"/>
  <c r="CM42" i="9"/>
  <c r="CM59" i="9" s="1"/>
  <c r="CL42" i="9"/>
  <c r="CK42" i="9"/>
  <c r="CK59" i="9" s="1"/>
  <c r="CJ42" i="9"/>
  <c r="CJ59" i="9" s="1"/>
  <c r="CI42" i="9"/>
  <c r="CI59" i="9" s="1"/>
  <c r="CH42" i="9"/>
  <c r="CH59" i="9" s="1"/>
  <c r="CG42" i="9"/>
  <c r="CG59" i="9" s="1"/>
  <c r="CF42" i="9"/>
  <c r="CF59" i="9" s="1"/>
  <c r="CE42" i="9"/>
  <c r="CE59" i="9" s="1"/>
  <c r="CD42" i="9"/>
  <c r="CD59" i="9" s="1"/>
  <c r="CC42" i="9"/>
  <c r="CC59" i="9" s="1"/>
  <c r="CB42" i="9"/>
  <c r="CB59" i="9" s="1"/>
  <c r="CA42" i="9"/>
  <c r="CA59" i="9" s="1"/>
  <c r="BZ42" i="9"/>
  <c r="BZ59" i="9" s="1"/>
  <c r="BY42" i="9"/>
  <c r="BY59" i="9" s="1"/>
  <c r="BX42" i="9"/>
  <c r="BX59" i="9" s="1"/>
  <c r="BW42" i="9"/>
  <c r="BW59" i="9" s="1"/>
  <c r="BV42" i="9"/>
  <c r="BU42" i="9"/>
  <c r="BU59" i="9" s="1"/>
  <c r="BT42" i="9"/>
  <c r="BT59" i="9" s="1"/>
  <c r="BS42" i="9"/>
  <c r="BS59" i="9" s="1"/>
  <c r="BR42" i="9"/>
  <c r="BR59" i="9" s="1"/>
  <c r="BQ42" i="9"/>
  <c r="BQ59" i="9" s="1"/>
  <c r="BP42" i="9"/>
  <c r="BP59" i="9" s="1"/>
  <c r="BO42" i="9"/>
  <c r="BO59" i="9" s="1"/>
  <c r="BN42" i="9"/>
  <c r="BN59" i="9" s="1"/>
  <c r="BM42" i="9"/>
  <c r="BM59" i="9" s="1"/>
  <c r="BL42" i="9"/>
  <c r="BL59" i="9" s="1"/>
  <c r="BK42" i="9"/>
  <c r="BK59" i="9" s="1"/>
  <c r="BJ42" i="9"/>
  <c r="BJ59" i="9" s="1"/>
  <c r="BI42" i="9"/>
  <c r="BI59" i="9" s="1"/>
  <c r="BH42" i="9"/>
  <c r="BH59" i="9" s="1"/>
  <c r="BG42" i="9"/>
  <c r="BG59" i="9" s="1"/>
  <c r="BF42" i="9"/>
  <c r="BE42" i="9"/>
  <c r="BE59" i="9" s="1"/>
  <c r="BD42" i="9"/>
  <c r="BD59" i="9" s="1"/>
  <c r="BC42" i="9"/>
  <c r="BC59" i="9" s="1"/>
  <c r="BB42" i="9"/>
  <c r="BB59" i="9" s="1"/>
  <c r="BA42" i="9"/>
  <c r="BA59" i="9" s="1"/>
  <c r="AZ42" i="9"/>
  <c r="AZ59" i="9" s="1"/>
  <c r="AY42" i="9"/>
  <c r="AY59" i="9" s="1"/>
  <c r="AX42" i="9"/>
  <c r="AX59" i="9" s="1"/>
  <c r="AW42" i="9"/>
  <c r="AW59" i="9" s="1"/>
  <c r="AV42" i="9"/>
  <c r="AV59" i="9" s="1"/>
  <c r="AU42" i="9"/>
  <c r="AU59" i="9" s="1"/>
  <c r="AT42" i="9"/>
  <c r="AT59" i="9" s="1"/>
  <c r="AS42" i="9"/>
  <c r="AS59" i="9" s="1"/>
  <c r="AR42" i="9"/>
  <c r="AR59" i="9" s="1"/>
  <c r="AQ42" i="9"/>
  <c r="AQ59" i="9" s="1"/>
  <c r="AP42" i="9"/>
  <c r="AO42" i="9"/>
  <c r="AO59" i="9" s="1"/>
  <c r="AN42" i="9"/>
  <c r="AN59" i="9" s="1"/>
  <c r="AM42" i="9"/>
  <c r="AM59" i="9" s="1"/>
  <c r="AL42" i="9"/>
  <c r="AL59" i="9" s="1"/>
  <c r="AK42" i="9"/>
  <c r="AK59" i="9" s="1"/>
  <c r="AJ42" i="9"/>
  <c r="AJ59" i="9" s="1"/>
  <c r="AI42" i="9"/>
  <c r="AI59" i="9" s="1"/>
  <c r="AH42" i="9"/>
  <c r="AH59" i="9" s="1"/>
  <c r="AG42" i="9"/>
  <c r="AG59" i="9" s="1"/>
  <c r="AF42" i="9"/>
  <c r="AF59" i="9" s="1"/>
  <c r="AE42" i="9"/>
  <c r="AE59" i="9" s="1"/>
  <c r="AD42" i="9"/>
  <c r="AD59" i="9" s="1"/>
  <c r="AC42" i="9"/>
  <c r="AC59" i="9" s="1"/>
  <c r="AB42" i="9"/>
  <c r="AB59" i="9" s="1"/>
  <c r="AA42" i="9"/>
  <c r="AA59" i="9" s="1"/>
  <c r="Z42" i="9"/>
  <c r="Y42" i="9"/>
  <c r="Y59" i="9" s="1"/>
  <c r="X42" i="9"/>
  <c r="X59" i="9" s="1"/>
  <c r="W42" i="9"/>
  <c r="W59" i="9" s="1"/>
  <c r="V42" i="9"/>
  <c r="V59" i="9" s="1"/>
  <c r="U42" i="9"/>
  <c r="U59" i="9" s="1"/>
  <c r="T42" i="9"/>
  <c r="T59" i="9" s="1"/>
  <c r="S42" i="9"/>
  <c r="S59" i="9" s="1"/>
  <c r="R42" i="9"/>
  <c r="Q42" i="9"/>
  <c r="Q59" i="9" s="1"/>
  <c r="P42" i="9"/>
  <c r="P59" i="9" s="1"/>
  <c r="O42" i="9"/>
  <c r="O59" i="9" s="1"/>
  <c r="N42" i="9"/>
  <c r="N59" i="9" s="1"/>
  <c r="M42" i="9"/>
  <c r="M59" i="9" s="1"/>
  <c r="L42" i="9"/>
  <c r="L59" i="9" s="1"/>
  <c r="K42" i="9"/>
  <c r="K59" i="9" s="1"/>
  <c r="J42" i="9"/>
  <c r="I42" i="9"/>
  <c r="I59" i="9" s="1"/>
  <c r="H42" i="9"/>
  <c r="H59" i="9" s="1"/>
  <c r="G42" i="9"/>
  <c r="G59" i="9" s="1"/>
  <c r="F42" i="9"/>
  <c r="F59" i="9" s="1"/>
  <c r="E42" i="9"/>
  <c r="E59" i="9" s="1"/>
  <c r="D42" i="9"/>
  <c r="D59" i="9" s="1"/>
  <c r="CX41" i="9"/>
  <c r="CX58" i="9" s="1"/>
  <c r="CW41" i="9"/>
  <c r="CV41" i="9"/>
  <c r="CV58" i="9" s="1"/>
  <c r="CU41" i="9"/>
  <c r="CU58" i="9" s="1"/>
  <c r="CT41" i="9"/>
  <c r="CT58" i="9" s="1"/>
  <c r="CS41" i="9"/>
  <c r="CS58" i="9" s="1"/>
  <c r="CR41" i="9"/>
  <c r="CR58" i="9" s="1"/>
  <c r="CQ41" i="9"/>
  <c r="CQ58" i="9" s="1"/>
  <c r="CP41" i="9"/>
  <c r="CP58" i="9" s="1"/>
  <c r="CO41" i="9"/>
  <c r="CN41" i="9"/>
  <c r="CN58" i="9" s="1"/>
  <c r="CM41" i="9"/>
  <c r="CM58" i="9" s="1"/>
  <c r="CL41" i="9"/>
  <c r="CL58" i="9" s="1"/>
  <c r="CK41" i="9"/>
  <c r="CK58" i="9" s="1"/>
  <c r="CJ41" i="9"/>
  <c r="CJ58" i="9" s="1"/>
  <c r="CI41" i="9"/>
  <c r="CI58" i="9" s="1"/>
  <c r="CH41" i="9"/>
  <c r="CH58" i="9" s="1"/>
  <c r="CG41" i="9"/>
  <c r="CF41" i="9"/>
  <c r="CF58" i="9" s="1"/>
  <c r="CE41" i="9"/>
  <c r="CE58" i="9" s="1"/>
  <c r="CD41" i="9"/>
  <c r="CD58" i="9" s="1"/>
  <c r="CC41" i="9"/>
  <c r="CC58" i="9" s="1"/>
  <c r="CB41" i="9"/>
  <c r="CB58" i="9" s="1"/>
  <c r="CA41" i="9"/>
  <c r="CA58" i="9" s="1"/>
  <c r="BZ41" i="9"/>
  <c r="BZ58" i="9" s="1"/>
  <c r="BY41" i="9"/>
  <c r="BX41" i="9"/>
  <c r="BX58" i="9" s="1"/>
  <c r="BW41" i="9"/>
  <c r="BW58" i="9" s="1"/>
  <c r="BV41" i="9"/>
  <c r="BV58" i="9" s="1"/>
  <c r="BU41" i="9"/>
  <c r="BU58" i="9" s="1"/>
  <c r="BT41" i="9"/>
  <c r="BT58" i="9" s="1"/>
  <c r="BS41" i="9"/>
  <c r="BS58" i="9" s="1"/>
  <c r="BR41" i="9"/>
  <c r="BR58" i="9" s="1"/>
  <c r="BQ41" i="9"/>
  <c r="BP41" i="9"/>
  <c r="BP58" i="9" s="1"/>
  <c r="BO41" i="9"/>
  <c r="BO58" i="9" s="1"/>
  <c r="BN41" i="9"/>
  <c r="BN58" i="9" s="1"/>
  <c r="BM41" i="9"/>
  <c r="BM58" i="9" s="1"/>
  <c r="BL41" i="9"/>
  <c r="BL58" i="9" s="1"/>
  <c r="BK41" i="9"/>
  <c r="BK58" i="9" s="1"/>
  <c r="BJ41" i="9"/>
  <c r="BJ58" i="9" s="1"/>
  <c r="BI41" i="9"/>
  <c r="BH41" i="9"/>
  <c r="BH58" i="9" s="1"/>
  <c r="BG41" i="9"/>
  <c r="BG58" i="9" s="1"/>
  <c r="BF41" i="9"/>
  <c r="BF58" i="9" s="1"/>
  <c r="BE41" i="9"/>
  <c r="BE58" i="9" s="1"/>
  <c r="BD41" i="9"/>
  <c r="BD58" i="9" s="1"/>
  <c r="BC41" i="9"/>
  <c r="BC58" i="9" s="1"/>
  <c r="BB41" i="9"/>
  <c r="BB58" i="9" s="1"/>
  <c r="BA41" i="9"/>
  <c r="AZ41" i="9"/>
  <c r="AZ58" i="9" s="1"/>
  <c r="AY41" i="9"/>
  <c r="AY58" i="9" s="1"/>
  <c r="AX41" i="9"/>
  <c r="AX58" i="9" s="1"/>
  <c r="AW41" i="9"/>
  <c r="AW58" i="9" s="1"/>
  <c r="AV41" i="9"/>
  <c r="AV58" i="9" s="1"/>
  <c r="AU41" i="9"/>
  <c r="AU58" i="9" s="1"/>
  <c r="AT41" i="9"/>
  <c r="AT58" i="9" s="1"/>
  <c r="AS41" i="9"/>
  <c r="AR41" i="9"/>
  <c r="AR58" i="9" s="1"/>
  <c r="AQ41" i="9"/>
  <c r="AQ58" i="9" s="1"/>
  <c r="AP41" i="9"/>
  <c r="AP58" i="9" s="1"/>
  <c r="AO41" i="9"/>
  <c r="AO58" i="9" s="1"/>
  <c r="AN41" i="9"/>
  <c r="AN58" i="9" s="1"/>
  <c r="AM41" i="9"/>
  <c r="AM58" i="9" s="1"/>
  <c r="AL41" i="9"/>
  <c r="AL58" i="9" s="1"/>
  <c r="AK41" i="9"/>
  <c r="AJ41" i="9"/>
  <c r="AJ58" i="9" s="1"/>
  <c r="AI41" i="9"/>
  <c r="AI58" i="9" s="1"/>
  <c r="AH41" i="9"/>
  <c r="AH58" i="9" s="1"/>
  <c r="AG41" i="9"/>
  <c r="AG58" i="9" s="1"/>
  <c r="AF41" i="9"/>
  <c r="AF58" i="9" s="1"/>
  <c r="AE41" i="9"/>
  <c r="AE58" i="9" s="1"/>
  <c r="AD41" i="9"/>
  <c r="AD58" i="9" s="1"/>
  <c r="AC41" i="9"/>
  <c r="AB41" i="9"/>
  <c r="AB58" i="9" s="1"/>
  <c r="AA41" i="9"/>
  <c r="AA58" i="9" s="1"/>
  <c r="Z41" i="9"/>
  <c r="Z58" i="9" s="1"/>
  <c r="Y41" i="9"/>
  <c r="Y58" i="9" s="1"/>
  <c r="X41" i="9"/>
  <c r="X58" i="9" s="1"/>
  <c r="W41" i="9"/>
  <c r="W58" i="9" s="1"/>
  <c r="V41" i="9"/>
  <c r="V58" i="9" s="1"/>
  <c r="U41" i="9"/>
  <c r="T41" i="9"/>
  <c r="T58" i="9" s="1"/>
  <c r="S41" i="9"/>
  <c r="S58" i="9" s="1"/>
  <c r="R41" i="9"/>
  <c r="R58" i="9" s="1"/>
  <c r="Q41" i="9"/>
  <c r="Q58" i="9" s="1"/>
  <c r="P41" i="9"/>
  <c r="P58" i="9" s="1"/>
  <c r="O41" i="9"/>
  <c r="O58" i="9" s="1"/>
  <c r="N41" i="9"/>
  <c r="N58" i="9" s="1"/>
  <c r="M41" i="9"/>
  <c r="L41" i="9"/>
  <c r="L58" i="9" s="1"/>
  <c r="K41" i="9"/>
  <c r="K58" i="9" s="1"/>
  <c r="J41" i="9"/>
  <c r="J58" i="9" s="1"/>
  <c r="I41" i="9"/>
  <c r="I58" i="9" s="1"/>
  <c r="H41" i="9"/>
  <c r="H58" i="9" s="1"/>
  <c r="G41" i="9"/>
  <c r="G58" i="9" s="1"/>
  <c r="F41" i="9"/>
  <c r="F58" i="9" s="1"/>
  <c r="E41" i="9"/>
  <c r="D41" i="9"/>
  <c r="D58" i="9" s="1"/>
  <c r="CX40" i="9"/>
  <c r="CX57" i="9" s="1"/>
  <c r="CW40" i="9"/>
  <c r="CW57" i="9" s="1"/>
  <c r="CV40" i="9"/>
  <c r="CV57" i="9" s="1"/>
  <c r="CU40" i="9"/>
  <c r="CU57" i="9" s="1"/>
  <c r="CT40" i="9"/>
  <c r="CT57" i="9" s="1"/>
  <c r="CS40" i="9"/>
  <c r="CS57" i="9" s="1"/>
  <c r="CR40" i="9"/>
  <c r="CQ40" i="9"/>
  <c r="CQ57" i="9" s="1"/>
  <c r="CP40" i="9"/>
  <c r="CP57" i="9" s="1"/>
  <c r="CO40" i="9"/>
  <c r="CO57" i="9" s="1"/>
  <c r="CN40" i="9"/>
  <c r="CN57" i="9" s="1"/>
  <c r="CM40" i="9"/>
  <c r="CM57" i="9" s="1"/>
  <c r="CL40" i="9"/>
  <c r="CL57" i="9" s="1"/>
  <c r="CK40" i="9"/>
  <c r="CK57" i="9" s="1"/>
  <c r="CJ40" i="9"/>
  <c r="CI40" i="9"/>
  <c r="CI57" i="9" s="1"/>
  <c r="CH40" i="9"/>
  <c r="CH57" i="9" s="1"/>
  <c r="CG40" i="9"/>
  <c r="CG57" i="9" s="1"/>
  <c r="CF40" i="9"/>
  <c r="CF57" i="9" s="1"/>
  <c r="CE40" i="9"/>
  <c r="CE57" i="9" s="1"/>
  <c r="CD40" i="9"/>
  <c r="CD57" i="9" s="1"/>
  <c r="CC40" i="9"/>
  <c r="CC57" i="9" s="1"/>
  <c r="CB40" i="9"/>
  <c r="CA40" i="9"/>
  <c r="CA57" i="9" s="1"/>
  <c r="BZ40" i="9"/>
  <c r="BZ57" i="9" s="1"/>
  <c r="BY40" i="9"/>
  <c r="BY57" i="9" s="1"/>
  <c r="BX40" i="9"/>
  <c r="BX57" i="9" s="1"/>
  <c r="BW40" i="9"/>
  <c r="BW57" i="9" s="1"/>
  <c r="BV40" i="9"/>
  <c r="BV57" i="9" s="1"/>
  <c r="BU40" i="9"/>
  <c r="BU57" i="9" s="1"/>
  <c r="BT40" i="9"/>
  <c r="BS40" i="9"/>
  <c r="BS57" i="9" s="1"/>
  <c r="BR40" i="9"/>
  <c r="BR57" i="9" s="1"/>
  <c r="BQ40" i="9"/>
  <c r="BQ57" i="9" s="1"/>
  <c r="BP40" i="9"/>
  <c r="BP57" i="9" s="1"/>
  <c r="BO40" i="9"/>
  <c r="BO57" i="9" s="1"/>
  <c r="BN40" i="9"/>
  <c r="BN57" i="9" s="1"/>
  <c r="BM40" i="9"/>
  <c r="BM57" i="9" s="1"/>
  <c r="BL40" i="9"/>
  <c r="BK40" i="9"/>
  <c r="BK57" i="9" s="1"/>
  <c r="BJ40" i="9"/>
  <c r="BJ57" i="9" s="1"/>
  <c r="BI40" i="9"/>
  <c r="BI57" i="9" s="1"/>
  <c r="BH40" i="9"/>
  <c r="BH57" i="9" s="1"/>
  <c r="BG40" i="9"/>
  <c r="BG57" i="9" s="1"/>
  <c r="BF40" i="9"/>
  <c r="BF57" i="9" s="1"/>
  <c r="BE40" i="9"/>
  <c r="BE57" i="9" s="1"/>
  <c r="BD40" i="9"/>
  <c r="BC40" i="9"/>
  <c r="BC57" i="9" s="1"/>
  <c r="BB40" i="9"/>
  <c r="BB57" i="9" s="1"/>
  <c r="BA40" i="9"/>
  <c r="BA57" i="9" s="1"/>
  <c r="AZ40" i="9"/>
  <c r="AZ57" i="9" s="1"/>
  <c r="AY40" i="9"/>
  <c r="AY57" i="9" s="1"/>
  <c r="AX40" i="9"/>
  <c r="AX57" i="9" s="1"/>
  <c r="AW40" i="9"/>
  <c r="AW57" i="9" s="1"/>
  <c r="AV40" i="9"/>
  <c r="AU40" i="9"/>
  <c r="AU57" i="9" s="1"/>
  <c r="AT40" i="9"/>
  <c r="AT57" i="9" s="1"/>
  <c r="AS40" i="9"/>
  <c r="AS57" i="9" s="1"/>
  <c r="AR40" i="9"/>
  <c r="AR57" i="9" s="1"/>
  <c r="AQ40" i="9"/>
  <c r="AQ57" i="9" s="1"/>
  <c r="AP40" i="9"/>
  <c r="AP57" i="9" s="1"/>
  <c r="AO40" i="9"/>
  <c r="AO57" i="9" s="1"/>
  <c r="AN40" i="9"/>
  <c r="AM40" i="9"/>
  <c r="AM57" i="9" s="1"/>
  <c r="AL40" i="9"/>
  <c r="AL57" i="9" s="1"/>
  <c r="AK40" i="9"/>
  <c r="AK57" i="9" s="1"/>
  <c r="AJ40" i="9"/>
  <c r="AJ57" i="9" s="1"/>
  <c r="AI40" i="9"/>
  <c r="AI57" i="9" s="1"/>
  <c r="AH40" i="9"/>
  <c r="AH57" i="9" s="1"/>
  <c r="AG40" i="9"/>
  <c r="AG57" i="9" s="1"/>
  <c r="AF40" i="9"/>
  <c r="AE40" i="9"/>
  <c r="AE57" i="9" s="1"/>
  <c r="AD40" i="9"/>
  <c r="AD57" i="9" s="1"/>
  <c r="AC40" i="9"/>
  <c r="AC57" i="9" s="1"/>
  <c r="AB40" i="9"/>
  <c r="AB57" i="9" s="1"/>
  <c r="AA40" i="9"/>
  <c r="AA57" i="9" s="1"/>
  <c r="Z40" i="9"/>
  <c r="Z57" i="9" s="1"/>
  <c r="Y40" i="9"/>
  <c r="Y57" i="9" s="1"/>
  <c r="X40" i="9"/>
  <c r="W40" i="9"/>
  <c r="W57" i="9" s="1"/>
  <c r="V40" i="9"/>
  <c r="V57" i="9" s="1"/>
  <c r="U40" i="9"/>
  <c r="U57" i="9" s="1"/>
  <c r="T40" i="9"/>
  <c r="T57" i="9" s="1"/>
  <c r="S40" i="9"/>
  <c r="S57" i="9" s="1"/>
  <c r="R40" i="9"/>
  <c r="R57" i="9" s="1"/>
  <c r="Q40" i="9"/>
  <c r="Q57" i="9" s="1"/>
  <c r="P40" i="9"/>
  <c r="O40" i="9"/>
  <c r="O57" i="9" s="1"/>
  <c r="N40" i="9"/>
  <c r="N57" i="9" s="1"/>
  <c r="M40" i="9"/>
  <c r="M57" i="9" s="1"/>
  <c r="L40" i="9"/>
  <c r="L57" i="9" s="1"/>
  <c r="K40" i="9"/>
  <c r="K57" i="9" s="1"/>
  <c r="J40" i="9"/>
  <c r="J57" i="9" s="1"/>
  <c r="I40" i="9"/>
  <c r="I57" i="9" s="1"/>
  <c r="H40" i="9"/>
  <c r="G40" i="9"/>
  <c r="G57" i="9" s="1"/>
  <c r="F40" i="9"/>
  <c r="F57" i="9" s="1"/>
  <c r="E40" i="9"/>
  <c r="E57" i="9" s="1"/>
  <c r="D40" i="9"/>
  <c r="D57" i="9" s="1"/>
  <c r="CX39" i="9"/>
  <c r="CX56" i="9" s="1"/>
  <c r="CW39" i="9"/>
  <c r="CW56" i="9" s="1"/>
  <c r="CV39" i="9"/>
  <c r="CV56" i="9" s="1"/>
  <c r="CU39" i="9"/>
  <c r="CT39" i="9"/>
  <c r="CT56" i="9" s="1"/>
  <c r="CS39" i="9"/>
  <c r="CS56" i="9" s="1"/>
  <c r="CR39" i="9"/>
  <c r="CR56" i="9" s="1"/>
  <c r="CQ39" i="9"/>
  <c r="CQ56" i="9" s="1"/>
  <c r="CP39" i="9"/>
  <c r="CP56" i="9" s="1"/>
  <c r="CO39" i="9"/>
  <c r="CO56" i="9" s="1"/>
  <c r="CN39" i="9"/>
  <c r="CN56" i="9" s="1"/>
  <c r="CM39" i="9"/>
  <c r="CL39" i="9"/>
  <c r="CL56" i="9" s="1"/>
  <c r="CK39" i="9"/>
  <c r="CK56" i="9" s="1"/>
  <c r="CJ39" i="9"/>
  <c r="CJ56" i="9" s="1"/>
  <c r="CI39" i="9"/>
  <c r="CI56" i="9" s="1"/>
  <c r="CH39" i="9"/>
  <c r="CH56" i="9" s="1"/>
  <c r="CG39" i="9"/>
  <c r="CG56" i="9" s="1"/>
  <c r="CF39" i="9"/>
  <c r="CF56" i="9" s="1"/>
  <c r="CE39" i="9"/>
  <c r="CD39" i="9"/>
  <c r="CD56" i="9" s="1"/>
  <c r="CC39" i="9"/>
  <c r="CC56" i="9" s="1"/>
  <c r="CB39" i="9"/>
  <c r="CB56" i="9" s="1"/>
  <c r="CA39" i="9"/>
  <c r="CA56" i="9" s="1"/>
  <c r="BZ39" i="9"/>
  <c r="BZ56" i="9" s="1"/>
  <c r="BY39" i="9"/>
  <c r="BY56" i="9" s="1"/>
  <c r="BX39" i="9"/>
  <c r="BX56" i="9" s="1"/>
  <c r="BW39" i="9"/>
  <c r="BV39" i="9"/>
  <c r="BV56" i="9" s="1"/>
  <c r="BU39" i="9"/>
  <c r="BU56" i="9" s="1"/>
  <c r="BT39" i="9"/>
  <c r="BT56" i="9" s="1"/>
  <c r="BS39" i="9"/>
  <c r="BS56" i="9" s="1"/>
  <c r="BR39" i="9"/>
  <c r="BR56" i="9" s="1"/>
  <c r="BQ39" i="9"/>
  <c r="BQ56" i="9" s="1"/>
  <c r="BP39" i="9"/>
  <c r="BP56" i="9" s="1"/>
  <c r="BO39" i="9"/>
  <c r="BN39" i="9"/>
  <c r="BN56" i="9" s="1"/>
  <c r="BM39" i="9"/>
  <c r="BM56" i="9" s="1"/>
  <c r="BL39" i="9"/>
  <c r="BL56" i="9" s="1"/>
  <c r="BK39" i="9"/>
  <c r="BK56" i="9" s="1"/>
  <c r="BJ39" i="9"/>
  <c r="BJ56" i="9" s="1"/>
  <c r="BI39" i="9"/>
  <c r="BI56" i="9" s="1"/>
  <c r="BH39" i="9"/>
  <c r="BH56" i="9" s="1"/>
  <c r="BG39" i="9"/>
  <c r="BF39" i="9"/>
  <c r="BF56" i="9" s="1"/>
  <c r="BE39" i="9"/>
  <c r="BE56" i="9" s="1"/>
  <c r="BD39" i="9"/>
  <c r="BD56" i="9" s="1"/>
  <c r="BC39" i="9"/>
  <c r="BC56" i="9" s="1"/>
  <c r="BB39" i="9"/>
  <c r="BB56" i="9" s="1"/>
  <c r="BA39" i="9"/>
  <c r="BA56" i="9" s="1"/>
  <c r="AZ39" i="9"/>
  <c r="AZ56" i="9" s="1"/>
  <c r="AY39" i="9"/>
  <c r="AX39" i="9"/>
  <c r="AX56" i="9" s="1"/>
  <c r="AW39" i="9"/>
  <c r="AW56" i="9" s="1"/>
  <c r="AV39" i="9"/>
  <c r="AV56" i="9" s="1"/>
  <c r="AU39" i="9"/>
  <c r="AU56" i="9" s="1"/>
  <c r="AT39" i="9"/>
  <c r="AT56" i="9" s="1"/>
  <c r="AS39" i="9"/>
  <c r="AS56" i="9" s="1"/>
  <c r="AR39" i="9"/>
  <c r="AR56" i="9" s="1"/>
  <c r="AQ39" i="9"/>
  <c r="AP39" i="9"/>
  <c r="AP56" i="9" s="1"/>
  <c r="AO39" i="9"/>
  <c r="AO56" i="9" s="1"/>
  <c r="AN39" i="9"/>
  <c r="AN56" i="9" s="1"/>
  <c r="AM39" i="9"/>
  <c r="AM56" i="9" s="1"/>
  <c r="AL39" i="9"/>
  <c r="AL56" i="9" s="1"/>
  <c r="AK39" i="9"/>
  <c r="AK56" i="9" s="1"/>
  <c r="AJ39" i="9"/>
  <c r="AJ56" i="9" s="1"/>
  <c r="AI39" i="9"/>
  <c r="AH39" i="9"/>
  <c r="AH56" i="9" s="1"/>
  <c r="AG39" i="9"/>
  <c r="AG56" i="9" s="1"/>
  <c r="AF39" i="9"/>
  <c r="AF56" i="9" s="1"/>
  <c r="AE39" i="9"/>
  <c r="AE56" i="9" s="1"/>
  <c r="AD39" i="9"/>
  <c r="AD56" i="9" s="1"/>
  <c r="AC39" i="9"/>
  <c r="AC56" i="9" s="1"/>
  <c r="AB39" i="9"/>
  <c r="AB56" i="9" s="1"/>
  <c r="AA39" i="9"/>
  <c r="Z39" i="9"/>
  <c r="Z56" i="9" s="1"/>
  <c r="Y39" i="9"/>
  <c r="Y56" i="9" s="1"/>
  <c r="X39" i="9"/>
  <c r="X56" i="9" s="1"/>
  <c r="W39" i="9"/>
  <c r="W56" i="9" s="1"/>
  <c r="V39" i="9"/>
  <c r="V56" i="9" s="1"/>
  <c r="U39" i="9"/>
  <c r="U56" i="9" s="1"/>
  <c r="T39" i="9"/>
  <c r="T56" i="9" s="1"/>
  <c r="S39" i="9"/>
  <c r="R39" i="9"/>
  <c r="R56" i="9" s="1"/>
  <c r="Q39" i="9"/>
  <c r="Q56" i="9" s="1"/>
  <c r="P39" i="9"/>
  <c r="P56" i="9" s="1"/>
  <c r="O39" i="9"/>
  <c r="O56" i="9" s="1"/>
  <c r="N39" i="9"/>
  <c r="N56" i="9" s="1"/>
  <c r="M39" i="9"/>
  <c r="M56" i="9" s="1"/>
  <c r="L39" i="9"/>
  <c r="L56" i="9" s="1"/>
  <c r="K39" i="9"/>
  <c r="J39" i="9"/>
  <c r="J56" i="9" s="1"/>
  <c r="I39" i="9"/>
  <c r="I56" i="9" s="1"/>
  <c r="H39" i="9"/>
  <c r="H56" i="9" s="1"/>
  <c r="G39" i="9"/>
  <c r="G56" i="9" s="1"/>
  <c r="F39" i="9"/>
  <c r="F56" i="9" s="1"/>
  <c r="E39" i="9"/>
  <c r="E56" i="9" s="1"/>
  <c r="D39" i="9"/>
  <c r="D56" i="9" s="1"/>
  <c r="CX38" i="9"/>
  <c r="CW38" i="9"/>
  <c r="CW55" i="9" s="1"/>
  <c r="CV38" i="9"/>
  <c r="CV55" i="9" s="1"/>
  <c r="CU38" i="9"/>
  <c r="CU55" i="9" s="1"/>
  <c r="CT38" i="9"/>
  <c r="CT55" i="9" s="1"/>
  <c r="CS38" i="9"/>
  <c r="CS55" i="9" s="1"/>
  <c r="CR38" i="9"/>
  <c r="CR55" i="9" s="1"/>
  <c r="CQ38" i="9"/>
  <c r="CQ55" i="9" s="1"/>
  <c r="CP38" i="9"/>
  <c r="CO38" i="9"/>
  <c r="CO55" i="9" s="1"/>
  <c r="CN38" i="9"/>
  <c r="CN55" i="9" s="1"/>
  <c r="CM38" i="9"/>
  <c r="CM55" i="9" s="1"/>
  <c r="CL38" i="9"/>
  <c r="CL55" i="9" s="1"/>
  <c r="CK38" i="9"/>
  <c r="CK55" i="9" s="1"/>
  <c r="CJ38" i="9"/>
  <c r="CJ55" i="9" s="1"/>
  <c r="CI38" i="9"/>
  <c r="CI55" i="9" s="1"/>
  <c r="CH38" i="9"/>
  <c r="CG38" i="9"/>
  <c r="CG55" i="9" s="1"/>
  <c r="CF38" i="9"/>
  <c r="CF55" i="9" s="1"/>
  <c r="CE38" i="9"/>
  <c r="CE55" i="9" s="1"/>
  <c r="CD38" i="9"/>
  <c r="CD55" i="9" s="1"/>
  <c r="CC38" i="9"/>
  <c r="CC55" i="9" s="1"/>
  <c r="CB38" i="9"/>
  <c r="CB55" i="9" s="1"/>
  <c r="CA38" i="9"/>
  <c r="CA55" i="9" s="1"/>
  <c r="BZ38" i="9"/>
  <c r="BY38" i="9"/>
  <c r="BY55" i="9" s="1"/>
  <c r="BX38" i="9"/>
  <c r="BX55" i="9" s="1"/>
  <c r="BW38" i="9"/>
  <c r="BW55" i="9" s="1"/>
  <c r="BV38" i="9"/>
  <c r="BV55" i="9" s="1"/>
  <c r="BU38" i="9"/>
  <c r="BU55" i="9" s="1"/>
  <c r="BT38" i="9"/>
  <c r="BT55" i="9" s="1"/>
  <c r="BS38" i="9"/>
  <c r="BS55" i="9" s="1"/>
  <c r="BR38" i="9"/>
  <c r="BQ38" i="9"/>
  <c r="BQ55" i="9" s="1"/>
  <c r="BP38" i="9"/>
  <c r="BP55" i="9" s="1"/>
  <c r="BO38" i="9"/>
  <c r="BO55" i="9" s="1"/>
  <c r="BN38" i="9"/>
  <c r="BN55" i="9" s="1"/>
  <c r="BM38" i="9"/>
  <c r="BM55" i="9" s="1"/>
  <c r="BL38" i="9"/>
  <c r="BL55" i="9" s="1"/>
  <c r="BK38" i="9"/>
  <c r="BK55" i="9" s="1"/>
  <c r="BJ38" i="9"/>
  <c r="BI38" i="9"/>
  <c r="BI55" i="9" s="1"/>
  <c r="BH38" i="9"/>
  <c r="BH55" i="9" s="1"/>
  <c r="BG38" i="9"/>
  <c r="BG55" i="9" s="1"/>
  <c r="BF38" i="9"/>
  <c r="BF55" i="9" s="1"/>
  <c r="BE38" i="9"/>
  <c r="BE55" i="9" s="1"/>
  <c r="BD38" i="9"/>
  <c r="BD55" i="9" s="1"/>
  <c r="BC38" i="9"/>
  <c r="BC55" i="9" s="1"/>
  <c r="BB38" i="9"/>
  <c r="BA38" i="9"/>
  <c r="BA55" i="9" s="1"/>
  <c r="AZ38" i="9"/>
  <c r="AZ55" i="9" s="1"/>
  <c r="AY38" i="9"/>
  <c r="AY55" i="9" s="1"/>
  <c r="AX38" i="9"/>
  <c r="AX55" i="9" s="1"/>
  <c r="AW38" i="9"/>
  <c r="AW55" i="9" s="1"/>
  <c r="AV38" i="9"/>
  <c r="AV55" i="9" s="1"/>
  <c r="AU38" i="9"/>
  <c r="AU55" i="9" s="1"/>
  <c r="AT38" i="9"/>
  <c r="AS38" i="9"/>
  <c r="AS55" i="9" s="1"/>
  <c r="AR38" i="9"/>
  <c r="AR55" i="9" s="1"/>
  <c r="AQ38" i="9"/>
  <c r="AQ55" i="9" s="1"/>
  <c r="AP38" i="9"/>
  <c r="AP55" i="9" s="1"/>
  <c r="AO38" i="9"/>
  <c r="AO55" i="9" s="1"/>
  <c r="AN38" i="9"/>
  <c r="AN55" i="9" s="1"/>
  <c r="AM38" i="9"/>
  <c r="AM55" i="9" s="1"/>
  <c r="AL38" i="9"/>
  <c r="AK38" i="9"/>
  <c r="AK55" i="9" s="1"/>
  <c r="AJ38" i="9"/>
  <c r="AJ55" i="9" s="1"/>
  <c r="AI38" i="9"/>
  <c r="AI55" i="9" s="1"/>
  <c r="AH38" i="9"/>
  <c r="AH55" i="9" s="1"/>
  <c r="AG38" i="9"/>
  <c r="AG55" i="9" s="1"/>
  <c r="AF38" i="9"/>
  <c r="AF55" i="9" s="1"/>
  <c r="AE38" i="9"/>
  <c r="AE55" i="9" s="1"/>
  <c r="AD38" i="9"/>
  <c r="AC38" i="9"/>
  <c r="AC55" i="9" s="1"/>
  <c r="AB38" i="9"/>
  <c r="AB55" i="9" s="1"/>
  <c r="AA38" i="9"/>
  <c r="AA55" i="9" s="1"/>
  <c r="Z38" i="9"/>
  <c r="Z55" i="9" s="1"/>
  <c r="Y38" i="9"/>
  <c r="Y55" i="9" s="1"/>
  <c r="X38" i="9"/>
  <c r="X55" i="9" s="1"/>
  <c r="W38" i="9"/>
  <c r="W55" i="9" s="1"/>
  <c r="V38" i="9"/>
  <c r="U38" i="9"/>
  <c r="U55" i="9" s="1"/>
  <c r="T38" i="9"/>
  <c r="T55" i="9" s="1"/>
  <c r="S38" i="9"/>
  <c r="S55" i="9" s="1"/>
  <c r="R38" i="9"/>
  <c r="R55" i="9" s="1"/>
  <c r="Q38" i="9"/>
  <c r="Q55" i="9" s="1"/>
  <c r="P38" i="9"/>
  <c r="P55" i="9" s="1"/>
  <c r="O38" i="9"/>
  <c r="O55" i="9" s="1"/>
  <c r="N38" i="9"/>
  <c r="M38" i="9"/>
  <c r="M55" i="9" s="1"/>
  <c r="L38" i="9"/>
  <c r="L55" i="9" s="1"/>
  <c r="K38" i="9"/>
  <c r="K55" i="9" s="1"/>
  <c r="J38" i="9"/>
  <c r="J55" i="9" s="1"/>
  <c r="I38" i="9"/>
  <c r="I55" i="9" s="1"/>
  <c r="H38" i="9"/>
  <c r="H55" i="9" s="1"/>
  <c r="G38" i="9"/>
  <c r="G55" i="9" s="1"/>
  <c r="F38" i="9"/>
  <c r="E38" i="9"/>
  <c r="E55" i="9" s="1"/>
  <c r="D38" i="9"/>
  <c r="D55" i="9" s="1"/>
  <c r="CX37" i="9"/>
  <c r="CW37" i="9"/>
  <c r="CV37" i="9"/>
  <c r="CU37" i="9"/>
  <c r="CT37" i="9"/>
  <c r="CS37" i="9"/>
  <c r="CR37" i="9"/>
  <c r="CQ37" i="9"/>
  <c r="CP37" i="9"/>
  <c r="CO37" i="9"/>
  <c r="CN37" i="9"/>
  <c r="CM37" i="9"/>
  <c r="CL37" i="9"/>
  <c r="CK37" i="9"/>
  <c r="CJ37" i="9"/>
  <c r="CI37" i="9"/>
  <c r="CH37" i="9"/>
  <c r="CG37" i="9"/>
  <c r="CF37" i="9"/>
  <c r="CE37" i="9"/>
  <c r="CD37" i="9"/>
  <c r="CC37" i="9"/>
  <c r="CB37" i="9"/>
  <c r="CA37" i="9"/>
  <c r="BZ37" i="9"/>
  <c r="BY37" i="9"/>
  <c r="BX37" i="9"/>
  <c r="BW37" i="9"/>
  <c r="BV37" i="9"/>
  <c r="BU37" i="9"/>
  <c r="BT37" i="9"/>
  <c r="BS37" i="9"/>
  <c r="BR37" i="9"/>
  <c r="BQ37" i="9"/>
  <c r="BP37" i="9"/>
  <c r="BO37" i="9"/>
  <c r="BN37" i="9"/>
  <c r="BM37" i="9"/>
  <c r="BL37" i="9"/>
  <c r="BK37" i="9"/>
  <c r="BJ37" i="9"/>
  <c r="BI37" i="9"/>
  <c r="BH37" i="9"/>
  <c r="BG37" i="9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X36" i="9"/>
  <c r="CW36" i="9"/>
  <c r="CV36" i="9"/>
  <c r="CU36" i="9"/>
  <c r="CT36" i="9"/>
  <c r="CS36" i="9"/>
  <c r="CR36" i="9"/>
  <c r="CQ36" i="9"/>
  <c r="CP36" i="9"/>
  <c r="CO36" i="9"/>
  <c r="CN36" i="9"/>
  <c r="CM36" i="9"/>
  <c r="CL36" i="9"/>
  <c r="CK36" i="9"/>
  <c r="CJ36" i="9"/>
  <c r="CI36" i="9"/>
  <c r="CH36" i="9"/>
  <c r="CG36" i="9"/>
  <c r="CF36" i="9"/>
  <c r="CE36" i="9"/>
  <c r="CD36" i="9"/>
  <c r="CC36" i="9"/>
  <c r="CB36" i="9"/>
  <c r="CA36" i="9"/>
  <c r="BZ36" i="9"/>
  <c r="BY36" i="9"/>
  <c r="BX36" i="9"/>
  <c r="BW36" i="9"/>
  <c r="BV36" i="9"/>
  <c r="BU36" i="9"/>
  <c r="BT36" i="9"/>
  <c r="BS36" i="9"/>
  <c r="BR36" i="9"/>
  <c r="BQ36" i="9"/>
  <c r="BP36" i="9"/>
  <c r="BO36" i="9"/>
  <c r="BN36" i="9"/>
  <c r="BM36" i="9"/>
  <c r="BL36" i="9"/>
  <c r="BK36" i="9"/>
  <c r="BJ36" i="9"/>
  <c r="BI36" i="9"/>
  <c r="BH36" i="9"/>
  <c r="BG36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X35" i="9"/>
  <c r="CW35" i="9"/>
  <c r="CV35" i="9"/>
  <c r="CU35" i="9"/>
  <c r="CT35" i="9"/>
  <c r="CS35" i="9"/>
  <c r="CR35" i="9"/>
  <c r="CQ35" i="9"/>
  <c r="CP35" i="9"/>
  <c r="CO35" i="9"/>
  <c r="CN35" i="9"/>
  <c r="CM35" i="9"/>
  <c r="CL35" i="9"/>
  <c r="CK35" i="9"/>
  <c r="CJ35" i="9"/>
  <c r="CI35" i="9"/>
  <c r="CH35" i="9"/>
  <c r="CG35" i="9"/>
  <c r="CF35" i="9"/>
  <c r="CE35" i="9"/>
  <c r="CD35" i="9"/>
  <c r="CC35" i="9"/>
  <c r="CB35" i="9"/>
  <c r="CA35" i="9"/>
  <c r="BZ35" i="9"/>
  <c r="BY35" i="9"/>
  <c r="BX35" i="9"/>
  <c r="BW35" i="9"/>
  <c r="BV35" i="9"/>
  <c r="BU35" i="9"/>
  <c r="BT35" i="9"/>
  <c r="BS35" i="9"/>
  <c r="BR35" i="9"/>
  <c r="BQ35" i="9"/>
  <c r="BP35" i="9"/>
  <c r="BO35" i="9"/>
  <c r="BN35" i="9"/>
  <c r="BM35" i="9"/>
  <c r="BL35" i="9"/>
  <c r="BK35" i="9"/>
  <c r="BJ35" i="9"/>
  <c r="BI35" i="9"/>
  <c r="BH35" i="9"/>
  <c r="BG35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X33" i="9"/>
  <c r="CW33" i="9"/>
  <c r="CV33" i="9"/>
  <c r="CU33" i="9"/>
  <c r="CT33" i="9"/>
  <c r="CS33" i="9"/>
  <c r="CR33" i="9"/>
  <c r="CQ33" i="9"/>
  <c r="CP33" i="9"/>
  <c r="CO33" i="9"/>
  <c r="CN33" i="9"/>
  <c r="CM33" i="9"/>
  <c r="CL33" i="9"/>
  <c r="CK33" i="9"/>
  <c r="CJ33" i="9"/>
  <c r="CI33" i="9"/>
  <c r="CH33" i="9"/>
  <c r="CG33" i="9"/>
  <c r="CF33" i="9"/>
  <c r="CE33" i="9"/>
  <c r="CD33" i="9"/>
  <c r="CC33" i="9"/>
  <c r="CB33" i="9"/>
  <c r="CA33" i="9"/>
  <c r="BZ33" i="9"/>
  <c r="BY33" i="9"/>
  <c r="BX33" i="9"/>
  <c r="BW33" i="9"/>
  <c r="BV33" i="9"/>
  <c r="BU33" i="9"/>
  <c r="BT33" i="9"/>
  <c r="BS33" i="9"/>
  <c r="BR33" i="9"/>
  <c r="BQ33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U32" i="9"/>
  <c r="CQ32" i="9"/>
  <c r="CM32" i="9"/>
  <c r="CI32" i="9"/>
  <c r="CE32" i="9"/>
  <c r="CA32" i="9"/>
  <c r="BW32" i="9"/>
  <c r="BS32" i="9"/>
  <c r="BO32" i="9"/>
  <c r="BK32" i="9"/>
  <c r="BG32" i="9"/>
  <c r="BC32" i="9"/>
  <c r="AY32" i="9"/>
  <c r="AU32" i="9"/>
  <c r="AQ32" i="9"/>
  <c r="AM32" i="9"/>
  <c r="AI32" i="9"/>
  <c r="AE32" i="9"/>
  <c r="AA32" i="9"/>
  <c r="W32" i="9"/>
  <c r="S32" i="9"/>
  <c r="O32" i="9"/>
  <c r="K32" i="9"/>
  <c r="G32" i="9"/>
  <c r="CX31" i="9"/>
  <c r="CT31" i="9"/>
  <c r="CP31" i="9"/>
  <c r="CL31" i="9"/>
  <c r="CH31" i="9"/>
  <c r="CD31" i="9"/>
  <c r="BZ31" i="9"/>
  <c r="BV31" i="9"/>
  <c r="BR31" i="9"/>
  <c r="BN31" i="9"/>
  <c r="BJ31" i="9"/>
  <c r="BF31" i="9"/>
  <c r="BB31" i="9"/>
  <c r="AX31" i="9"/>
  <c r="AT31" i="9"/>
  <c r="AP31" i="9"/>
  <c r="AL31" i="9"/>
  <c r="AH31" i="9"/>
  <c r="AD31" i="9"/>
  <c r="Z31" i="9"/>
  <c r="V31" i="9"/>
  <c r="R31" i="9"/>
  <c r="N31" i="9"/>
  <c r="J31" i="9"/>
  <c r="F31" i="9"/>
  <c r="CW30" i="9"/>
  <c r="CS30" i="9"/>
  <c r="CO30" i="9"/>
  <c r="CK30" i="9"/>
  <c r="CG30" i="9"/>
  <c r="CC30" i="9"/>
  <c r="BY30" i="9"/>
  <c r="BU30" i="9"/>
  <c r="BQ30" i="9"/>
  <c r="BM30" i="9"/>
  <c r="BI30" i="9"/>
  <c r="BF30" i="9"/>
  <c r="BA30" i="9"/>
  <c r="AS30" i="9"/>
  <c r="AP30" i="9"/>
  <c r="AK30" i="9"/>
  <c r="AC30" i="9"/>
  <c r="Z30" i="9"/>
  <c r="U30" i="9"/>
  <c r="M30" i="9"/>
  <c r="J30" i="9"/>
  <c r="E30" i="9"/>
  <c r="CR29" i="9"/>
  <c r="CO29" i="9"/>
  <c r="CJ29" i="9"/>
  <c r="CB29" i="9"/>
  <c r="BY29" i="9"/>
  <c r="BT29" i="9"/>
  <c r="BL29" i="9"/>
  <c r="BI29" i="9"/>
  <c r="BD29" i="9"/>
  <c r="AV29" i="9"/>
  <c r="AS29" i="9"/>
  <c r="AN29" i="9"/>
  <c r="AF29" i="9"/>
  <c r="AC29" i="9"/>
  <c r="X29" i="9"/>
  <c r="P29" i="9"/>
  <c r="M29" i="9"/>
  <c r="H29" i="9"/>
  <c r="CU28" i="9"/>
  <c r="CR28" i="9"/>
  <c r="CM28" i="9"/>
  <c r="CE28" i="9"/>
  <c r="CB28" i="9"/>
  <c r="BW28" i="9"/>
  <c r="BO28" i="9"/>
  <c r="BL28" i="9"/>
  <c r="BG28" i="9"/>
  <c r="AY28" i="9"/>
  <c r="AV28" i="9"/>
  <c r="AQ28" i="9"/>
  <c r="AI28" i="9"/>
  <c r="AF28" i="9"/>
  <c r="AA28" i="9"/>
  <c r="S28" i="9"/>
  <c r="P28" i="9"/>
  <c r="K28" i="9"/>
  <c r="CX27" i="9"/>
  <c r="CU27" i="9"/>
  <c r="CP27" i="9"/>
  <c r="CH27" i="9"/>
  <c r="CE27" i="9"/>
  <c r="BZ27" i="9"/>
  <c r="BR27" i="9"/>
  <c r="BO27" i="9"/>
  <c r="BJ27" i="9"/>
  <c r="BB27" i="9"/>
  <c r="AY27" i="9"/>
  <c r="AT27" i="9"/>
  <c r="AL27" i="9"/>
  <c r="AI27" i="9"/>
  <c r="AD27" i="9"/>
  <c r="V27" i="9"/>
  <c r="S27" i="9"/>
  <c r="N27" i="9"/>
  <c r="F27" i="9"/>
  <c r="CX26" i="9"/>
  <c r="CS26" i="9"/>
  <c r="CK26" i="9"/>
  <c r="CH26" i="9"/>
  <c r="CC26" i="9"/>
  <c r="BU26" i="9"/>
  <c r="BR26" i="9"/>
  <c r="BM26" i="9"/>
  <c r="BE26" i="9"/>
  <c r="BB26" i="9"/>
  <c r="AW26" i="9"/>
  <c r="AO26" i="9"/>
  <c r="AL26" i="9"/>
  <c r="AG26" i="9"/>
  <c r="Y26" i="9"/>
  <c r="V26" i="9"/>
  <c r="Q26" i="9"/>
  <c r="O26" i="9"/>
  <c r="M26" i="9"/>
  <c r="K26" i="9"/>
  <c r="I26" i="9"/>
  <c r="G26" i="9"/>
  <c r="E26" i="9"/>
  <c r="CX25" i="9"/>
  <c r="CV25" i="9"/>
  <c r="CT25" i="9"/>
  <c r="CR25" i="9"/>
  <c r="CP25" i="9"/>
  <c r="CN25" i="9"/>
  <c r="CL25" i="9"/>
  <c r="CJ25" i="9"/>
  <c r="CH25" i="9"/>
  <c r="CF25" i="9"/>
  <c r="CD25" i="9"/>
  <c r="CB25" i="9"/>
  <c r="BZ25" i="9"/>
  <c r="BX25" i="9"/>
  <c r="BV25" i="9"/>
  <c r="BT25" i="9"/>
  <c r="BR25" i="9"/>
  <c r="BP25" i="9"/>
  <c r="BN25" i="9"/>
  <c r="BL25" i="9"/>
  <c r="BJ25" i="9"/>
  <c r="BH25" i="9"/>
  <c r="BF25" i="9"/>
  <c r="BD25" i="9"/>
  <c r="BB25" i="9"/>
  <c r="AZ25" i="9"/>
  <c r="AX25" i="9"/>
  <c r="AV25" i="9"/>
  <c r="AT25" i="9"/>
  <c r="AR25" i="9"/>
  <c r="AP25" i="9"/>
  <c r="AN25" i="9"/>
  <c r="AL25" i="9"/>
  <c r="AJ25" i="9"/>
  <c r="AH25" i="9"/>
  <c r="AF25" i="9"/>
  <c r="AD25" i="9"/>
  <c r="AB25" i="9"/>
  <c r="Z25" i="9"/>
  <c r="X25" i="9"/>
  <c r="V25" i="9"/>
  <c r="T25" i="9"/>
  <c r="R25" i="9"/>
  <c r="P25" i="9"/>
  <c r="N25" i="9"/>
  <c r="L25" i="9"/>
  <c r="J25" i="9"/>
  <c r="H25" i="9"/>
  <c r="F25" i="9"/>
  <c r="D25" i="9"/>
  <c r="CW24" i="9"/>
  <c r="CU24" i="9"/>
  <c r="CS24" i="9"/>
  <c r="CQ24" i="9"/>
  <c r="CO24" i="9"/>
  <c r="CM24" i="9"/>
  <c r="CK24" i="9"/>
  <c r="CI24" i="9"/>
  <c r="CG24" i="9"/>
  <c r="CE24" i="9"/>
  <c r="CC24" i="9"/>
  <c r="CA24" i="9"/>
  <c r="BY24" i="9"/>
  <c r="BW24" i="9"/>
  <c r="BU24" i="9"/>
  <c r="BS24" i="9"/>
  <c r="BQ24" i="9"/>
  <c r="BO24" i="9"/>
  <c r="BM24" i="9"/>
  <c r="BK24" i="9"/>
  <c r="BI24" i="9"/>
  <c r="BG24" i="9"/>
  <c r="BE24" i="9"/>
  <c r="BC24" i="9"/>
  <c r="BA24" i="9"/>
  <c r="AY24" i="9"/>
  <c r="AW24" i="9"/>
  <c r="AU24" i="9"/>
  <c r="AS24" i="9"/>
  <c r="AQ24" i="9"/>
  <c r="AO24" i="9"/>
  <c r="AM24" i="9"/>
  <c r="AK24" i="9"/>
  <c r="AI24" i="9"/>
  <c r="AG24" i="9"/>
  <c r="AE24" i="9"/>
  <c r="AC24" i="9"/>
  <c r="AA24" i="9"/>
  <c r="Y24" i="9"/>
  <c r="W24" i="9"/>
  <c r="U24" i="9"/>
  <c r="S24" i="9"/>
  <c r="Q24" i="9"/>
  <c r="O24" i="9"/>
  <c r="M24" i="9"/>
  <c r="K24" i="9"/>
  <c r="I24" i="9"/>
  <c r="G24" i="9"/>
  <c r="E24" i="9"/>
  <c r="CX23" i="9"/>
  <c r="CX32" i="9" s="1"/>
  <c r="CW23" i="9"/>
  <c r="CW32" i="9" s="1"/>
  <c r="CV23" i="9"/>
  <c r="CV32" i="9" s="1"/>
  <c r="CU23" i="9"/>
  <c r="CT23" i="9"/>
  <c r="CT32" i="9" s="1"/>
  <c r="CS23" i="9"/>
  <c r="CS32" i="9" s="1"/>
  <c r="CR23" i="9"/>
  <c r="CR32" i="9" s="1"/>
  <c r="CQ23" i="9"/>
  <c r="CP23" i="9"/>
  <c r="CP32" i="9" s="1"/>
  <c r="CO23" i="9"/>
  <c r="CO32" i="9" s="1"/>
  <c r="CN23" i="9"/>
  <c r="CN32" i="9" s="1"/>
  <c r="CM23" i="9"/>
  <c r="CL23" i="9"/>
  <c r="CL32" i="9" s="1"/>
  <c r="CK23" i="9"/>
  <c r="CK32" i="9" s="1"/>
  <c r="CJ23" i="9"/>
  <c r="CJ32" i="9" s="1"/>
  <c r="CI23" i="9"/>
  <c r="CH23" i="9"/>
  <c r="CH32" i="9" s="1"/>
  <c r="CG23" i="9"/>
  <c r="CG32" i="9" s="1"/>
  <c r="CF23" i="9"/>
  <c r="CF32" i="9" s="1"/>
  <c r="CE23" i="9"/>
  <c r="CD23" i="9"/>
  <c r="CD32" i="9" s="1"/>
  <c r="CC23" i="9"/>
  <c r="CC32" i="9" s="1"/>
  <c r="CB23" i="9"/>
  <c r="CB32" i="9" s="1"/>
  <c r="CA23" i="9"/>
  <c r="BZ23" i="9"/>
  <c r="BZ32" i="9" s="1"/>
  <c r="BY23" i="9"/>
  <c r="BY32" i="9" s="1"/>
  <c r="BX23" i="9"/>
  <c r="BX32" i="9" s="1"/>
  <c r="BW23" i="9"/>
  <c r="BV23" i="9"/>
  <c r="BV32" i="9" s="1"/>
  <c r="BU23" i="9"/>
  <c r="BU32" i="9" s="1"/>
  <c r="BT23" i="9"/>
  <c r="BT32" i="9" s="1"/>
  <c r="BS23" i="9"/>
  <c r="BR23" i="9"/>
  <c r="BR32" i="9" s="1"/>
  <c r="BQ23" i="9"/>
  <c r="BQ32" i="9" s="1"/>
  <c r="BP23" i="9"/>
  <c r="BP32" i="9" s="1"/>
  <c r="BO23" i="9"/>
  <c r="BN23" i="9"/>
  <c r="BN32" i="9" s="1"/>
  <c r="BM23" i="9"/>
  <c r="BM32" i="9" s="1"/>
  <c r="BL23" i="9"/>
  <c r="BL32" i="9" s="1"/>
  <c r="BK23" i="9"/>
  <c r="BJ23" i="9"/>
  <c r="BJ32" i="9" s="1"/>
  <c r="BI23" i="9"/>
  <c r="BI32" i="9" s="1"/>
  <c r="BH23" i="9"/>
  <c r="BH32" i="9" s="1"/>
  <c r="BG23" i="9"/>
  <c r="BF23" i="9"/>
  <c r="BF32" i="9" s="1"/>
  <c r="BE23" i="9"/>
  <c r="BE32" i="9" s="1"/>
  <c r="BD23" i="9"/>
  <c r="BD32" i="9" s="1"/>
  <c r="BC23" i="9"/>
  <c r="BB23" i="9"/>
  <c r="BB32" i="9" s="1"/>
  <c r="BA23" i="9"/>
  <c r="BA32" i="9" s="1"/>
  <c r="AZ23" i="9"/>
  <c r="AZ32" i="9" s="1"/>
  <c r="AY23" i="9"/>
  <c r="AX23" i="9"/>
  <c r="AX32" i="9" s="1"/>
  <c r="AW23" i="9"/>
  <c r="AW32" i="9" s="1"/>
  <c r="AV23" i="9"/>
  <c r="AV32" i="9" s="1"/>
  <c r="AU23" i="9"/>
  <c r="AT23" i="9"/>
  <c r="AT32" i="9" s="1"/>
  <c r="AS23" i="9"/>
  <c r="AS32" i="9" s="1"/>
  <c r="AR23" i="9"/>
  <c r="AR32" i="9" s="1"/>
  <c r="AQ23" i="9"/>
  <c r="AP23" i="9"/>
  <c r="AP32" i="9" s="1"/>
  <c r="AO23" i="9"/>
  <c r="AO32" i="9" s="1"/>
  <c r="AN23" i="9"/>
  <c r="AN32" i="9" s="1"/>
  <c r="AM23" i="9"/>
  <c r="AL23" i="9"/>
  <c r="AL32" i="9" s="1"/>
  <c r="AK23" i="9"/>
  <c r="AK32" i="9" s="1"/>
  <c r="AJ23" i="9"/>
  <c r="AJ32" i="9" s="1"/>
  <c r="AI23" i="9"/>
  <c r="AH23" i="9"/>
  <c r="AH32" i="9" s="1"/>
  <c r="AG23" i="9"/>
  <c r="AG32" i="9" s="1"/>
  <c r="AF23" i="9"/>
  <c r="AF32" i="9" s="1"/>
  <c r="AE23" i="9"/>
  <c r="AD23" i="9"/>
  <c r="AD32" i="9" s="1"/>
  <c r="AC23" i="9"/>
  <c r="AC32" i="9" s="1"/>
  <c r="AB23" i="9"/>
  <c r="AB32" i="9" s="1"/>
  <c r="AA23" i="9"/>
  <c r="Z23" i="9"/>
  <c r="Z32" i="9" s="1"/>
  <c r="Y23" i="9"/>
  <c r="Y32" i="9" s="1"/>
  <c r="X23" i="9"/>
  <c r="X32" i="9" s="1"/>
  <c r="W23" i="9"/>
  <c r="V23" i="9"/>
  <c r="V32" i="9" s="1"/>
  <c r="U23" i="9"/>
  <c r="U32" i="9" s="1"/>
  <c r="T23" i="9"/>
  <c r="T32" i="9" s="1"/>
  <c r="S23" i="9"/>
  <c r="R23" i="9"/>
  <c r="R32" i="9" s="1"/>
  <c r="Q23" i="9"/>
  <c r="Q32" i="9" s="1"/>
  <c r="P23" i="9"/>
  <c r="P32" i="9" s="1"/>
  <c r="O23" i="9"/>
  <c r="N23" i="9"/>
  <c r="N32" i="9" s="1"/>
  <c r="M23" i="9"/>
  <c r="M32" i="9" s="1"/>
  <c r="L23" i="9"/>
  <c r="L32" i="9" s="1"/>
  <c r="K23" i="9"/>
  <c r="J23" i="9"/>
  <c r="J32" i="9" s="1"/>
  <c r="I23" i="9"/>
  <c r="I32" i="9" s="1"/>
  <c r="H23" i="9"/>
  <c r="H32" i="9" s="1"/>
  <c r="G23" i="9"/>
  <c r="F23" i="9"/>
  <c r="F32" i="9" s="1"/>
  <c r="E23" i="9"/>
  <c r="E32" i="9" s="1"/>
  <c r="D23" i="9"/>
  <c r="D32" i="9" s="1"/>
  <c r="CX22" i="9"/>
  <c r="CW22" i="9"/>
  <c r="CV22" i="9"/>
  <c r="CU22" i="9"/>
  <c r="CT22" i="9"/>
  <c r="CS22" i="9"/>
  <c r="CR22" i="9"/>
  <c r="CQ22" i="9"/>
  <c r="CP22" i="9"/>
  <c r="CO22" i="9"/>
  <c r="CN22" i="9"/>
  <c r="CM22" i="9"/>
  <c r="CL22" i="9"/>
  <c r="CK22" i="9"/>
  <c r="CJ22" i="9"/>
  <c r="CI22" i="9"/>
  <c r="CH22" i="9"/>
  <c r="CG22" i="9"/>
  <c r="CF22" i="9"/>
  <c r="CE22" i="9"/>
  <c r="CD22" i="9"/>
  <c r="CC22" i="9"/>
  <c r="CB22" i="9"/>
  <c r="CA22" i="9"/>
  <c r="BZ22" i="9"/>
  <c r="BY22" i="9"/>
  <c r="BX22" i="9"/>
  <c r="BW22" i="9"/>
  <c r="BV22" i="9"/>
  <c r="BU22" i="9"/>
  <c r="BT22" i="9"/>
  <c r="BS22" i="9"/>
  <c r="BR22" i="9"/>
  <c r="BQ22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X21" i="9"/>
  <c r="CW21" i="9"/>
  <c r="CV21" i="9"/>
  <c r="CU21" i="9"/>
  <c r="CT21" i="9"/>
  <c r="CS21" i="9"/>
  <c r="CR21" i="9"/>
  <c r="CQ21" i="9"/>
  <c r="CP21" i="9"/>
  <c r="CO21" i="9"/>
  <c r="CN21" i="9"/>
  <c r="CM21" i="9"/>
  <c r="CL21" i="9"/>
  <c r="CK21" i="9"/>
  <c r="CJ21" i="9"/>
  <c r="CI21" i="9"/>
  <c r="CH21" i="9"/>
  <c r="CG21" i="9"/>
  <c r="CF21" i="9"/>
  <c r="CE21" i="9"/>
  <c r="CD21" i="9"/>
  <c r="CC21" i="9"/>
  <c r="CB21" i="9"/>
  <c r="CA21" i="9"/>
  <c r="BZ21" i="9"/>
  <c r="BY21" i="9"/>
  <c r="BX21" i="9"/>
  <c r="BW21" i="9"/>
  <c r="BV21" i="9"/>
  <c r="BU21" i="9"/>
  <c r="BT21" i="9"/>
  <c r="BS21" i="9"/>
  <c r="BR21" i="9"/>
  <c r="BQ21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X20" i="9"/>
  <c r="CW20" i="9"/>
  <c r="CV20" i="9"/>
  <c r="CU20" i="9"/>
  <c r="CT20" i="9"/>
  <c r="CS20" i="9"/>
  <c r="CR20" i="9"/>
  <c r="CQ20" i="9"/>
  <c r="CP20" i="9"/>
  <c r="CO20" i="9"/>
  <c r="CN20" i="9"/>
  <c r="CM20" i="9"/>
  <c r="CL20" i="9"/>
  <c r="CK20" i="9"/>
  <c r="CJ20" i="9"/>
  <c r="CI20" i="9"/>
  <c r="CH20" i="9"/>
  <c r="CG20" i="9"/>
  <c r="CF20" i="9"/>
  <c r="CE20" i="9"/>
  <c r="CD20" i="9"/>
  <c r="CC20" i="9"/>
  <c r="CB20" i="9"/>
  <c r="CA20" i="9"/>
  <c r="BZ20" i="9"/>
  <c r="BY20" i="9"/>
  <c r="BX20" i="9"/>
  <c r="BW20" i="9"/>
  <c r="BV20" i="9"/>
  <c r="BU20" i="9"/>
  <c r="BT20" i="9"/>
  <c r="BS20" i="9"/>
  <c r="BR20" i="9"/>
  <c r="BQ20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X19" i="9"/>
  <c r="CW19" i="9"/>
  <c r="CV19" i="9"/>
  <c r="CU19" i="9"/>
  <c r="CT19" i="9"/>
  <c r="CS19" i="9"/>
  <c r="CR19" i="9"/>
  <c r="CQ19" i="9"/>
  <c r="CP19" i="9"/>
  <c r="CO19" i="9"/>
  <c r="CN19" i="9"/>
  <c r="CM19" i="9"/>
  <c r="CL19" i="9"/>
  <c r="CK19" i="9"/>
  <c r="CJ19" i="9"/>
  <c r="CI19" i="9"/>
  <c r="CH19" i="9"/>
  <c r="CG19" i="9"/>
  <c r="CF19" i="9"/>
  <c r="CE19" i="9"/>
  <c r="CD19" i="9"/>
  <c r="CC19" i="9"/>
  <c r="CB19" i="9"/>
  <c r="CA19" i="9"/>
  <c r="BZ19" i="9"/>
  <c r="BY19" i="9"/>
  <c r="BX19" i="9"/>
  <c r="BW19" i="9"/>
  <c r="BV19" i="9"/>
  <c r="BU19" i="9"/>
  <c r="BT19" i="9"/>
  <c r="BS19" i="9"/>
  <c r="BR19" i="9"/>
  <c r="BQ19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X18" i="9"/>
  <c r="CW18" i="9"/>
  <c r="CV18" i="9"/>
  <c r="CU18" i="9"/>
  <c r="CT18" i="9"/>
  <c r="CS18" i="9"/>
  <c r="CR18" i="9"/>
  <c r="CQ18" i="9"/>
  <c r="CP18" i="9"/>
  <c r="CO18" i="9"/>
  <c r="CN18" i="9"/>
  <c r="CM18" i="9"/>
  <c r="CL18" i="9"/>
  <c r="CK18" i="9"/>
  <c r="CJ18" i="9"/>
  <c r="CI18" i="9"/>
  <c r="CH18" i="9"/>
  <c r="CG18" i="9"/>
  <c r="CF18" i="9"/>
  <c r="CE18" i="9"/>
  <c r="CD18" i="9"/>
  <c r="CC18" i="9"/>
  <c r="CB18" i="9"/>
  <c r="CA18" i="9"/>
  <c r="BZ18" i="9"/>
  <c r="BY18" i="9"/>
  <c r="BX18" i="9"/>
  <c r="BW18" i="9"/>
  <c r="BV18" i="9"/>
  <c r="BU18" i="9"/>
  <c r="BT18" i="9"/>
  <c r="BS18" i="9"/>
  <c r="BR18" i="9"/>
  <c r="BQ18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X17" i="9"/>
  <c r="CW17" i="9"/>
  <c r="CV17" i="9"/>
  <c r="CU17" i="9"/>
  <c r="CT17" i="9"/>
  <c r="CS17" i="9"/>
  <c r="CR17" i="9"/>
  <c r="CQ17" i="9"/>
  <c r="CP17" i="9"/>
  <c r="CO17" i="9"/>
  <c r="CN17" i="9"/>
  <c r="CM17" i="9"/>
  <c r="CL17" i="9"/>
  <c r="CK17" i="9"/>
  <c r="CJ17" i="9"/>
  <c r="CI17" i="9"/>
  <c r="CH17" i="9"/>
  <c r="CG17" i="9"/>
  <c r="CF17" i="9"/>
  <c r="CE17" i="9"/>
  <c r="CD17" i="9"/>
  <c r="CC17" i="9"/>
  <c r="CB17" i="9"/>
  <c r="CA17" i="9"/>
  <c r="BZ17" i="9"/>
  <c r="BY17" i="9"/>
  <c r="BX17" i="9"/>
  <c r="BW17" i="9"/>
  <c r="BV17" i="9"/>
  <c r="BU17" i="9"/>
  <c r="BT17" i="9"/>
  <c r="BS17" i="9"/>
  <c r="BR17" i="9"/>
  <c r="BQ17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X16" i="9"/>
  <c r="CW16" i="9"/>
  <c r="CV16" i="9"/>
  <c r="CU16" i="9"/>
  <c r="CT16" i="9"/>
  <c r="CS16" i="9"/>
  <c r="CR16" i="9"/>
  <c r="CQ16" i="9"/>
  <c r="CP16" i="9"/>
  <c r="CO16" i="9"/>
  <c r="CN16" i="9"/>
  <c r="CM16" i="9"/>
  <c r="CL16" i="9"/>
  <c r="CK16" i="9"/>
  <c r="CJ16" i="9"/>
  <c r="CI16" i="9"/>
  <c r="CH16" i="9"/>
  <c r="CG16" i="9"/>
  <c r="CF16" i="9"/>
  <c r="CE16" i="9"/>
  <c r="CD16" i="9"/>
  <c r="CC16" i="9"/>
  <c r="CB16" i="9"/>
  <c r="CA16" i="9"/>
  <c r="BZ16" i="9"/>
  <c r="BY16" i="9"/>
  <c r="BX16" i="9"/>
  <c r="BW16" i="9"/>
  <c r="BV16" i="9"/>
  <c r="BU16" i="9"/>
  <c r="BT16" i="9"/>
  <c r="BS16" i="9"/>
  <c r="BR16" i="9"/>
  <c r="BQ16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X15" i="9"/>
  <c r="CW15" i="9"/>
  <c r="CV15" i="9"/>
  <c r="CU15" i="9"/>
  <c r="CT15" i="9"/>
  <c r="CS15" i="9"/>
  <c r="CR15" i="9"/>
  <c r="CQ15" i="9"/>
  <c r="CP15" i="9"/>
  <c r="CO15" i="9"/>
  <c r="CN15" i="9"/>
  <c r="CM15" i="9"/>
  <c r="CL15" i="9"/>
  <c r="CK15" i="9"/>
  <c r="CJ15" i="9"/>
  <c r="CI15" i="9"/>
  <c r="CH15" i="9"/>
  <c r="CG15" i="9"/>
  <c r="CF15" i="9"/>
  <c r="CE15" i="9"/>
  <c r="CD15" i="9"/>
  <c r="CC15" i="9"/>
  <c r="CB15" i="9"/>
  <c r="CA15" i="9"/>
  <c r="BZ15" i="9"/>
  <c r="BY15" i="9"/>
  <c r="BX15" i="9"/>
  <c r="BW15" i="9"/>
  <c r="BV15" i="9"/>
  <c r="BU15" i="9"/>
  <c r="BT15" i="9"/>
  <c r="BS15" i="9"/>
  <c r="BR15" i="9"/>
  <c r="BQ15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X14" i="9"/>
  <c r="CW14" i="9"/>
  <c r="CW31" i="9" s="1"/>
  <c r="CV14" i="9"/>
  <c r="CV31" i="9" s="1"/>
  <c r="CU14" i="9"/>
  <c r="CU31" i="9" s="1"/>
  <c r="CT14" i="9"/>
  <c r="CS14" i="9"/>
  <c r="CS31" i="9" s="1"/>
  <c r="CR14" i="9"/>
  <c r="CR31" i="9" s="1"/>
  <c r="CQ14" i="9"/>
  <c r="CQ31" i="9" s="1"/>
  <c r="CP14" i="9"/>
  <c r="CO14" i="9"/>
  <c r="CO31" i="9" s="1"/>
  <c r="CN14" i="9"/>
  <c r="CN31" i="9" s="1"/>
  <c r="CM14" i="9"/>
  <c r="CM31" i="9" s="1"/>
  <c r="CL14" i="9"/>
  <c r="CK14" i="9"/>
  <c r="CK31" i="9" s="1"/>
  <c r="CJ14" i="9"/>
  <c r="CJ31" i="9" s="1"/>
  <c r="CI14" i="9"/>
  <c r="CI31" i="9" s="1"/>
  <c r="CH14" i="9"/>
  <c r="CG14" i="9"/>
  <c r="CG31" i="9" s="1"/>
  <c r="CF14" i="9"/>
  <c r="CF31" i="9" s="1"/>
  <c r="CE14" i="9"/>
  <c r="CE31" i="9" s="1"/>
  <c r="CD14" i="9"/>
  <c r="CC14" i="9"/>
  <c r="CC31" i="9" s="1"/>
  <c r="CB14" i="9"/>
  <c r="CB31" i="9" s="1"/>
  <c r="CA14" i="9"/>
  <c r="CA31" i="9" s="1"/>
  <c r="BZ14" i="9"/>
  <c r="BY14" i="9"/>
  <c r="BY31" i="9" s="1"/>
  <c r="BX14" i="9"/>
  <c r="BX31" i="9" s="1"/>
  <c r="BW14" i="9"/>
  <c r="BW31" i="9" s="1"/>
  <c r="BV14" i="9"/>
  <c r="BU14" i="9"/>
  <c r="BU31" i="9" s="1"/>
  <c r="BT14" i="9"/>
  <c r="BT31" i="9" s="1"/>
  <c r="BS14" i="9"/>
  <c r="BS31" i="9" s="1"/>
  <c r="BR14" i="9"/>
  <c r="BQ14" i="9"/>
  <c r="BQ31" i="9" s="1"/>
  <c r="BP14" i="9"/>
  <c r="BP31" i="9" s="1"/>
  <c r="BO14" i="9"/>
  <c r="BO31" i="9" s="1"/>
  <c r="BN14" i="9"/>
  <c r="BM14" i="9"/>
  <c r="BM31" i="9" s="1"/>
  <c r="BL14" i="9"/>
  <c r="BL31" i="9" s="1"/>
  <c r="BK14" i="9"/>
  <c r="BK31" i="9" s="1"/>
  <c r="BJ14" i="9"/>
  <c r="BI14" i="9"/>
  <c r="BI31" i="9" s="1"/>
  <c r="BH14" i="9"/>
  <c r="BH31" i="9" s="1"/>
  <c r="BG14" i="9"/>
  <c r="BG31" i="9" s="1"/>
  <c r="BF14" i="9"/>
  <c r="BE14" i="9"/>
  <c r="BE31" i="9" s="1"/>
  <c r="BD14" i="9"/>
  <c r="BD31" i="9" s="1"/>
  <c r="BC14" i="9"/>
  <c r="BC31" i="9" s="1"/>
  <c r="BB14" i="9"/>
  <c r="BA14" i="9"/>
  <c r="BA31" i="9" s="1"/>
  <c r="AZ14" i="9"/>
  <c r="AZ31" i="9" s="1"/>
  <c r="AY14" i="9"/>
  <c r="AY31" i="9" s="1"/>
  <c r="AX14" i="9"/>
  <c r="AW14" i="9"/>
  <c r="AW31" i="9" s="1"/>
  <c r="AV14" i="9"/>
  <c r="AV31" i="9" s="1"/>
  <c r="AU14" i="9"/>
  <c r="AU31" i="9" s="1"/>
  <c r="AT14" i="9"/>
  <c r="AS14" i="9"/>
  <c r="AS31" i="9" s="1"/>
  <c r="AR14" i="9"/>
  <c r="AR31" i="9" s="1"/>
  <c r="AQ14" i="9"/>
  <c r="AQ31" i="9" s="1"/>
  <c r="AP14" i="9"/>
  <c r="AO14" i="9"/>
  <c r="AO31" i="9" s="1"/>
  <c r="AN14" i="9"/>
  <c r="AN31" i="9" s="1"/>
  <c r="AM14" i="9"/>
  <c r="AM31" i="9" s="1"/>
  <c r="AL14" i="9"/>
  <c r="AK14" i="9"/>
  <c r="AK31" i="9" s="1"/>
  <c r="AJ14" i="9"/>
  <c r="AJ31" i="9" s="1"/>
  <c r="AI14" i="9"/>
  <c r="AI31" i="9" s="1"/>
  <c r="AH14" i="9"/>
  <c r="AG14" i="9"/>
  <c r="AG31" i="9" s="1"/>
  <c r="AF14" i="9"/>
  <c r="AF31" i="9" s="1"/>
  <c r="AE14" i="9"/>
  <c r="AE31" i="9" s="1"/>
  <c r="AD14" i="9"/>
  <c r="AC14" i="9"/>
  <c r="AC31" i="9" s="1"/>
  <c r="AB14" i="9"/>
  <c r="AB31" i="9" s="1"/>
  <c r="AA14" i="9"/>
  <c r="AA31" i="9" s="1"/>
  <c r="Z14" i="9"/>
  <c r="Y14" i="9"/>
  <c r="Y31" i="9" s="1"/>
  <c r="X14" i="9"/>
  <c r="X31" i="9" s="1"/>
  <c r="W14" i="9"/>
  <c r="W31" i="9" s="1"/>
  <c r="V14" i="9"/>
  <c r="U14" i="9"/>
  <c r="U31" i="9" s="1"/>
  <c r="T14" i="9"/>
  <c r="T31" i="9" s="1"/>
  <c r="S14" i="9"/>
  <c r="S31" i="9" s="1"/>
  <c r="R14" i="9"/>
  <c r="Q14" i="9"/>
  <c r="Q31" i="9" s="1"/>
  <c r="P14" i="9"/>
  <c r="P31" i="9" s="1"/>
  <c r="O14" i="9"/>
  <c r="O31" i="9" s="1"/>
  <c r="N14" i="9"/>
  <c r="M14" i="9"/>
  <c r="M31" i="9" s="1"/>
  <c r="L14" i="9"/>
  <c r="L31" i="9" s="1"/>
  <c r="K14" i="9"/>
  <c r="K31" i="9" s="1"/>
  <c r="J14" i="9"/>
  <c r="I14" i="9"/>
  <c r="I31" i="9" s="1"/>
  <c r="H14" i="9"/>
  <c r="H31" i="9" s="1"/>
  <c r="G14" i="9"/>
  <c r="G31" i="9" s="1"/>
  <c r="F14" i="9"/>
  <c r="E14" i="9"/>
  <c r="E31" i="9" s="1"/>
  <c r="D14" i="9"/>
  <c r="D31" i="9" s="1"/>
  <c r="CX13" i="9"/>
  <c r="CX30" i="9" s="1"/>
  <c r="CW13" i="9"/>
  <c r="CV13" i="9"/>
  <c r="CV30" i="9" s="1"/>
  <c r="CU13" i="9"/>
  <c r="CU30" i="9" s="1"/>
  <c r="CT13" i="9"/>
  <c r="CT30" i="9" s="1"/>
  <c r="CS13" i="9"/>
  <c r="CR13" i="9"/>
  <c r="CR30" i="9" s="1"/>
  <c r="CQ13" i="9"/>
  <c r="CQ30" i="9" s="1"/>
  <c r="CP13" i="9"/>
  <c r="CP30" i="9" s="1"/>
  <c r="CO13" i="9"/>
  <c r="CN13" i="9"/>
  <c r="CN30" i="9" s="1"/>
  <c r="CM13" i="9"/>
  <c r="CM30" i="9" s="1"/>
  <c r="CL13" i="9"/>
  <c r="CL30" i="9" s="1"/>
  <c r="CK13" i="9"/>
  <c r="CJ13" i="9"/>
  <c r="CJ30" i="9" s="1"/>
  <c r="CI13" i="9"/>
  <c r="CI30" i="9" s="1"/>
  <c r="CH13" i="9"/>
  <c r="CH30" i="9" s="1"/>
  <c r="CG13" i="9"/>
  <c r="CF13" i="9"/>
  <c r="CF30" i="9" s="1"/>
  <c r="CE13" i="9"/>
  <c r="CE30" i="9" s="1"/>
  <c r="CD13" i="9"/>
  <c r="CD30" i="9" s="1"/>
  <c r="CC13" i="9"/>
  <c r="CB13" i="9"/>
  <c r="CB30" i="9" s="1"/>
  <c r="CA13" i="9"/>
  <c r="CA30" i="9" s="1"/>
  <c r="BZ13" i="9"/>
  <c r="BZ30" i="9" s="1"/>
  <c r="BY13" i="9"/>
  <c r="BX13" i="9"/>
  <c r="BX30" i="9" s="1"/>
  <c r="BW13" i="9"/>
  <c r="BW30" i="9" s="1"/>
  <c r="BV13" i="9"/>
  <c r="BV30" i="9" s="1"/>
  <c r="BU13" i="9"/>
  <c r="BT13" i="9"/>
  <c r="BT30" i="9" s="1"/>
  <c r="BS13" i="9"/>
  <c r="BS30" i="9" s="1"/>
  <c r="BR13" i="9"/>
  <c r="BR30" i="9" s="1"/>
  <c r="BQ13" i="9"/>
  <c r="BP13" i="9"/>
  <c r="BP30" i="9" s="1"/>
  <c r="BO13" i="9"/>
  <c r="BO30" i="9" s="1"/>
  <c r="BN13" i="9"/>
  <c r="BN30" i="9" s="1"/>
  <c r="BM13" i="9"/>
  <c r="BL13" i="9"/>
  <c r="BL30" i="9" s="1"/>
  <c r="BK13" i="9"/>
  <c r="BK30" i="9" s="1"/>
  <c r="BJ13" i="9"/>
  <c r="BJ30" i="9" s="1"/>
  <c r="BI13" i="9"/>
  <c r="BH13" i="9"/>
  <c r="BH30" i="9" s="1"/>
  <c r="BG13" i="9"/>
  <c r="BG30" i="9" s="1"/>
  <c r="BF13" i="9"/>
  <c r="BE13" i="9"/>
  <c r="BE30" i="9" s="1"/>
  <c r="BD13" i="9"/>
  <c r="BD30" i="9" s="1"/>
  <c r="BC13" i="9"/>
  <c r="BC30" i="9" s="1"/>
  <c r="BB13" i="9"/>
  <c r="BB30" i="9" s="1"/>
  <c r="BA13" i="9"/>
  <c r="AZ13" i="9"/>
  <c r="AZ30" i="9" s="1"/>
  <c r="AY13" i="9"/>
  <c r="AY30" i="9" s="1"/>
  <c r="AX13" i="9"/>
  <c r="AX30" i="9" s="1"/>
  <c r="AW13" i="9"/>
  <c r="AW30" i="9" s="1"/>
  <c r="AV13" i="9"/>
  <c r="AV30" i="9" s="1"/>
  <c r="AU13" i="9"/>
  <c r="AU30" i="9" s="1"/>
  <c r="AT13" i="9"/>
  <c r="AT30" i="9" s="1"/>
  <c r="AS13" i="9"/>
  <c r="AR13" i="9"/>
  <c r="AR30" i="9" s="1"/>
  <c r="AQ13" i="9"/>
  <c r="AQ30" i="9" s="1"/>
  <c r="AP13" i="9"/>
  <c r="AO13" i="9"/>
  <c r="AO30" i="9" s="1"/>
  <c r="AN13" i="9"/>
  <c r="AN30" i="9" s="1"/>
  <c r="AM13" i="9"/>
  <c r="AM30" i="9" s="1"/>
  <c r="AL13" i="9"/>
  <c r="AL30" i="9" s="1"/>
  <c r="AK13" i="9"/>
  <c r="AJ13" i="9"/>
  <c r="AJ30" i="9" s="1"/>
  <c r="AI13" i="9"/>
  <c r="AI30" i="9" s="1"/>
  <c r="AH13" i="9"/>
  <c r="AH30" i="9" s="1"/>
  <c r="AG13" i="9"/>
  <c r="AG30" i="9" s="1"/>
  <c r="AF13" i="9"/>
  <c r="AF30" i="9" s="1"/>
  <c r="AE13" i="9"/>
  <c r="AE30" i="9" s="1"/>
  <c r="AD13" i="9"/>
  <c r="AD30" i="9" s="1"/>
  <c r="AC13" i="9"/>
  <c r="AB13" i="9"/>
  <c r="AB30" i="9" s="1"/>
  <c r="AA13" i="9"/>
  <c r="AA30" i="9" s="1"/>
  <c r="Z13" i="9"/>
  <c r="Y13" i="9"/>
  <c r="Y30" i="9" s="1"/>
  <c r="X13" i="9"/>
  <c r="X30" i="9" s="1"/>
  <c r="W13" i="9"/>
  <c r="W30" i="9" s="1"/>
  <c r="V13" i="9"/>
  <c r="V30" i="9" s="1"/>
  <c r="U13" i="9"/>
  <c r="T13" i="9"/>
  <c r="T30" i="9" s="1"/>
  <c r="S13" i="9"/>
  <c r="S30" i="9" s="1"/>
  <c r="R13" i="9"/>
  <c r="R30" i="9" s="1"/>
  <c r="Q13" i="9"/>
  <c r="Q30" i="9" s="1"/>
  <c r="P13" i="9"/>
  <c r="P30" i="9" s="1"/>
  <c r="O13" i="9"/>
  <c r="O30" i="9" s="1"/>
  <c r="N13" i="9"/>
  <c r="N30" i="9" s="1"/>
  <c r="M13" i="9"/>
  <c r="L13" i="9"/>
  <c r="L30" i="9" s="1"/>
  <c r="K13" i="9"/>
  <c r="K30" i="9" s="1"/>
  <c r="J13" i="9"/>
  <c r="I13" i="9"/>
  <c r="I30" i="9" s="1"/>
  <c r="H13" i="9"/>
  <c r="H30" i="9" s="1"/>
  <c r="G13" i="9"/>
  <c r="G30" i="9" s="1"/>
  <c r="F13" i="9"/>
  <c r="F30" i="9" s="1"/>
  <c r="E13" i="9"/>
  <c r="D13" i="9"/>
  <c r="D30" i="9" s="1"/>
  <c r="CX12" i="9"/>
  <c r="CX29" i="9" s="1"/>
  <c r="CW12" i="9"/>
  <c r="CW29" i="9" s="1"/>
  <c r="CV12" i="9"/>
  <c r="CV29" i="9" s="1"/>
  <c r="CU12" i="9"/>
  <c r="CU29" i="9" s="1"/>
  <c r="CT12" i="9"/>
  <c r="CT29" i="9" s="1"/>
  <c r="CS12" i="9"/>
  <c r="CS29" i="9" s="1"/>
  <c r="CR12" i="9"/>
  <c r="CQ12" i="9"/>
  <c r="CQ29" i="9" s="1"/>
  <c r="CP12" i="9"/>
  <c r="CP29" i="9" s="1"/>
  <c r="CO12" i="9"/>
  <c r="CN12" i="9"/>
  <c r="CN29" i="9" s="1"/>
  <c r="CM12" i="9"/>
  <c r="CM29" i="9" s="1"/>
  <c r="CL12" i="9"/>
  <c r="CL29" i="9" s="1"/>
  <c r="CK12" i="9"/>
  <c r="CK29" i="9" s="1"/>
  <c r="CJ12" i="9"/>
  <c r="CI12" i="9"/>
  <c r="CI29" i="9" s="1"/>
  <c r="CH12" i="9"/>
  <c r="CH29" i="9" s="1"/>
  <c r="CG12" i="9"/>
  <c r="CG29" i="9" s="1"/>
  <c r="CF12" i="9"/>
  <c r="CF29" i="9" s="1"/>
  <c r="CE12" i="9"/>
  <c r="CE29" i="9" s="1"/>
  <c r="CD12" i="9"/>
  <c r="CD29" i="9" s="1"/>
  <c r="CC12" i="9"/>
  <c r="CC29" i="9" s="1"/>
  <c r="CB12" i="9"/>
  <c r="CA12" i="9"/>
  <c r="CA29" i="9" s="1"/>
  <c r="BZ12" i="9"/>
  <c r="BZ29" i="9" s="1"/>
  <c r="BY12" i="9"/>
  <c r="BX12" i="9"/>
  <c r="BX29" i="9" s="1"/>
  <c r="BW12" i="9"/>
  <c r="BW29" i="9" s="1"/>
  <c r="BV12" i="9"/>
  <c r="BV29" i="9" s="1"/>
  <c r="BU12" i="9"/>
  <c r="BU29" i="9" s="1"/>
  <c r="BT12" i="9"/>
  <c r="BS12" i="9"/>
  <c r="BS29" i="9" s="1"/>
  <c r="BR12" i="9"/>
  <c r="BR29" i="9" s="1"/>
  <c r="BQ12" i="9"/>
  <c r="BQ29" i="9" s="1"/>
  <c r="BP12" i="9"/>
  <c r="BP29" i="9" s="1"/>
  <c r="BO12" i="9"/>
  <c r="BO29" i="9" s="1"/>
  <c r="BN12" i="9"/>
  <c r="BN29" i="9" s="1"/>
  <c r="BM12" i="9"/>
  <c r="BM29" i="9" s="1"/>
  <c r="BL12" i="9"/>
  <c r="BK12" i="9"/>
  <c r="BK29" i="9" s="1"/>
  <c r="BJ12" i="9"/>
  <c r="BJ29" i="9" s="1"/>
  <c r="BI12" i="9"/>
  <c r="BH12" i="9"/>
  <c r="BH29" i="9" s="1"/>
  <c r="BG12" i="9"/>
  <c r="BG29" i="9" s="1"/>
  <c r="BF12" i="9"/>
  <c r="BF29" i="9" s="1"/>
  <c r="BE12" i="9"/>
  <c r="BE29" i="9" s="1"/>
  <c r="BD12" i="9"/>
  <c r="BC12" i="9"/>
  <c r="BC29" i="9" s="1"/>
  <c r="BB12" i="9"/>
  <c r="BB29" i="9" s="1"/>
  <c r="BA12" i="9"/>
  <c r="BA29" i="9" s="1"/>
  <c r="AZ12" i="9"/>
  <c r="AZ29" i="9" s="1"/>
  <c r="AY12" i="9"/>
  <c r="AY29" i="9" s="1"/>
  <c r="AX12" i="9"/>
  <c r="AX29" i="9" s="1"/>
  <c r="AW12" i="9"/>
  <c r="AW29" i="9" s="1"/>
  <c r="AV12" i="9"/>
  <c r="AU12" i="9"/>
  <c r="AU29" i="9" s="1"/>
  <c r="AT12" i="9"/>
  <c r="AT29" i="9" s="1"/>
  <c r="AS12" i="9"/>
  <c r="AR12" i="9"/>
  <c r="AR29" i="9" s="1"/>
  <c r="AQ12" i="9"/>
  <c r="AQ29" i="9" s="1"/>
  <c r="AP12" i="9"/>
  <c r="AP29" i="9" s="1"/>
  <c r="AO12" i="9"/>
  <c r="AO29" i="9" s="1"/>
  <c r="AN12" i="9"/>
  <c r="AM12" i="9"/>
  <c r="AM29" i="9" s="1"/>
  <c r="AL12" i="9"/>
  <c r="AL29" i="9" s="1"/>
  <c r="AK12" i="9"/>
  <c r="AK29" i="9" s="1"/>
  <c r="AJ12" i="9"/>
  <c r="AJ29" i="9" s="1"/>
  <c r="AI12" i="9"/>
  <c r="AI29" i="9" s="1"/>
  <c r="AH12" i="9"/>
  <c r="AH29" i="9" s="1"/>
  <c r="AG12" i="9"/>
  <c r="AG29" i="9" s="1"/>
  <c r="AF12" i="9"/>
  <c r="AE12" i="9"/>
  <c r="AE29" i="9" s="1"/>
  <c r="AD12" i="9"/>
  <c r="AD29" i="9" s="1"/>
  <c r="AC12" i="9"/>
  <c r="AB12" i="9"/>
  <c r="AB29" i="9" s="1"/>
  <c r="AA12" i="9"/>
  <c r="AA29" i="9" s="1"/>
  <c r="Z12" i="9"/>
  <c r="Z29" i="9" s="1"/>
  <c r="Y12" i="9"/>
  <c r="Y29" i="9" s="1"/>
  <c r="X12" i="9"/>
  <c r="W12" i="9"/>
  <c r="W29" i="9" s="1"/>
  <c r="V12" i="9"/>
  <c r="V29" i="9" s="1"/>
  <c r="U12" i="9"/>
  <c r="U29" i="9" s="1"/>
  <c r="T12" i="9"/>
  <c r="T29" i="9" s="1"/>
  <c r="S12" i="9"/>
  <c r="S29" i="9" s="1"/>
  <c r="R12" i="9"/>
  <c r="R29" i="9" s="1"/>
  <c r="Q12" i="9"/>
  <c r="Q29" i="9" s="1"/>
  <c r="P12" i="9"/>
  <c r="O12" i="9"/>
  <c r="O29" i="9" s="1"/>
  <c r="N12" i="9"/>
  <c r="N29" i="9" s="1"/>
  <c r="M12" i="9"/>
  <c r="L12" i="9"/>
  <c r="L29" i="9" s="1"/>
  <c r="K12" i="9"/>
  <c r="K29" i="9" s="1"/>
  <c r="J12" i="9"/>
  <c r="J29" i="9" s="1"/>
  <c r="I12" i="9"/>
  <c r="I29" i="9" s="1"/>
  <c r="H12" i="9"/>
  <c r="G12" i="9"/>
  <c r="G29" i="9" s="1"/>
  <c r="F12" i="9"/>
  <c r="F29" i="9" s="1"/>
  <c r="E12" i="9"/>
  <c r="E29" i="9" s="1"/>
  <c r="D12" i="9"/>
  <c r="D29" i="9" s="1"/>
  <c r="CX11" i="9"/>
  <c r="CX28" i="9" s="1"/>
  <c r="CW11" i="9"/>
  <c r="CW28" i="9" s="1"/>
  <c r="CV11" i="9"/>
  <c r="CV28" i="9" s="1"/>
  <c r="CU11" i="9"/>
  <c r="CT11" i="9"/>
  <c r="CT28" i="9" s="1"/>
  <c r="CS11" i="9"/>
  <c r="CS28" i="9" s="1"/>
  <c r="CR11" i="9"/>
  <c r="CQ11" i="9"/>
  <c r="CQ28" i="9" s="1"/>
  <c r="CP11" i="9"/>
  <c r="CP28" i="9" s="1"/>
  <c r="CO11" i="9"/>
  <c r="CO28" i="9" s="1"/>
  <c r="CN11" i="9"/>
  <c r="CN28" i="9" s="1"/>
  <c r="CM11" i="9"/>
  <c r="CL11" i="9"/>
  <c r="CL28" i="9" s="1"/>
  <c r="CK11" i="9"/>
  <c r="CK28" i="9" s="1"/>
  <c r="CJ11" i="9"/>
  <c r="CJ28" i="9" s="1"/>
  <c r="CI11" i="9"/>
  <c r="CI28" i="9" s="1"/>
  <c r="CH11" i="9"/>
  <c r="CH28" i="9" s="1"/>
  <c r="CG11" i="9"/>
  <c r="CG28" i="9" s="1"/>
  <c r="CF11" i="9"/>
  <c r="CF28" i="9" s="1"/>
  <c r="CE11" i="9"/>
  <c r="CD11" i="9"/>
  <c r="CD28" i="9" s="1"/>
  <c r="CC11" i="9"/>
  <c r="CC28" i="9" s="1"/>
  <c r="CB11" i="9"/>
  <c r="CA11" i="9"/>
  <c r="CA28" i="9" s="1"/>
  <c r="BZ11" i="9"/>
  <c r="BZ28" i="9" s="1"/>
  <c r="BY11" i="9"/>
  <c r="BY28" i="9" s="1"/>
  <c r="BX11" i="9"/>
  <c r="BX28" i="9" s="1"/>
  <c r="BW11" i="9"/>
  <c r="BV11" i="9"/>
  <c r="BV28" i="9" s="1"/>
  <c r="BU11" i="9"/>
  <c r="BU28" i="9" s="1"/>
  <c r="BT11" i="9"/>
  <c r="BT28" i="9" s="1"/>
  <c r="BS11" i="9"/>
  <c r="BS28" i="9" s="1"/>
  <c r="BR11" i="9"/>
  <c r="BR28" i="9" s="1"/>
  <c r="BQ11" i="9"/>
  <c r="BQ28" i="9" s="1"/>
  <c r="BP11" i="9"/>
  <c r="BP28" i="9" s="1"/>
  <c r="BO11" i="9"/>
  <c r="BN11" i="9"/>
  <c r="BN28" i="9" s="1"/>
  <c r="BM11" i="9"/>
  <c r="BM28" i="9" s="1"/>
  <c r="BL11" i="9"/>
  <c r="BK11" i="9"/>
  <c r="BK28" i="9" s="1"/>
  <c r="BJ11" i="9"/>
  <c r="BJ28" i="9" s="1"/>
  <c r="BI11" i="9"/>
  <c r="BI28" i="9" s="1"/>
  <c r="BH11" i="9"/>
  <c r="BH28" i="9" s="1"/>
  <c r="BG11" i="9"/>
  <c r="BF11" i="9"/>
  <c r="BF28" i="9" s="1"/>
  <c r="BE11" i="9"/>
  <c r="BE28" i="9" s="1"/>
  <c r="BD11" i="9"/>
  <c r="BD28" i="9" s="1"/>
  <c r="BC11" i="9"/>
  <c r="BC28" i="9" s="1"/>
  <c r="BB11" i="9"/>
  <c r="BB28" i="9" s="1"/>
  <c r="BA11" i="9"/>
  <c r="BA28" i="9" s="1"/>
  <c r="AZ11" i="9"/>
  <c r="AZ28" i="9" s="1"/>
  <c r="AY11" i="9"/>
  <c r="AX11" i="9"/>
  <c r="AX28" i="9" s="1"/>
  <c r="AW11" i="9"/>
  <c r="AW28" i="9" s="1"/>
  <c r="AV11" i="9"/>
  <c r="AU11" i="9"/>
  <c r="AU28" i="9" s="1"/>
  <c r="AT11" i="9"/>
  <c r="AT28" i="9" s="1"/>
  <c r="AS11" i="9"/>
  <c r="AS28" i="9" s="1"/>
  <c r="AR11" i="9"/>
  <c r="AR28" i="9" s="1"/>
  <c r="AQ11" i="9"/>
  <c r="AP11" i="9"/>
  <c r="AP28" i="9" s="1"/>
  <c r="AO11" i="9"/>
  <c r="AO28" i="9" s="1"/>
  <c r="AN11" i="9"/>
  <c r="AN28" i="9" s="1"/>
  <c r="AM11" i="9"/>
  <c r="AM28" i="9" s="1"/>
  <c r="AL11" i="9"/>
  <c r="AL28" i="9" s="1"/>
  <c r="AK11" i="9"/>
  <c r="AK28" i="9" s="1"/>
  <c r="AJ11" i="9"/>
  <c r="AJ28" i="9" s="1"/>
  <c r="AI11" i="9"/>
  <c r="AH11" i="9"/>
  <c r="AH28" i="9" s="1"/>
  <c r="AG11" i="9"/>
  <c r="AG28" i="9" s="1"/>
  <c r="AF11" i="9"/>
  <c r="AE11" i="9"/>
  <c r="AE28" i="9" s="1"/>
  <c r="AD11" i="9"/>
  <c r="AD28" i="9" s="1"/>
  <c r="AC11" i="9"/>
  <c r="AC28" i="9" s="1"/>
  <c r="AB11" i="9"/>
  <c r="AB28" i="9" s="1"/>
  <c r="AA11" i="9"/>
  <c r="Z11" i="9"/>
  <c r="Z28" i="9" s="1"/>
  <c r="Y11" i="9"/>
  <c r="Y28" i="9" s="1"/>
  <c r="X11" i="9"/>
  <c r="X28" i="9" s="1"/>
  <c r="W11" i="9"/>
  <c r="W28" i="9" s="1"/>
  <c r="V11" i="9"/>
  <c r="V28" i="9" s="1"/>
  <c r="U11" i="9"/>
  <c r="U28" i="9" s="1"/>
  <c r="T11" i="9"/>
  <c r="T28" i="9" s="1"/>
  <c r="S11" i="9"/>
  <c r="R11" i="9"/>
  <c r="R28" i="9" s="1"/>
  <c r="Q11" i="9"/>
  <c r="Q28" i="9" s="1"/>
  <c r="P11" i="9"/>
  <c r="O11" i="9"/>
  <c r="O28" i="9" s="1"/>
  <c r="N11" i="9"/>
  <c r="N28" i="9" s="1"/>
  <c r="M11" i="9"/>
  <c r="M28" i="9" s="1"/>
  <c r="L11" i="9"/>
  <c r="L28" i="9" s="1"/>
  <c r="K11" i="9"/>
  <c r="J11" i="9"/>
  <c r="J28" i="9" s="1"/>
  <c r="I11" i="9"/>
  <c r="I28" i="9" s="1"/>
  <c r="H11" i="9"/>
  <c r="H28" i="9" s="1"/>
  <c r="G11" i="9"/>
  <c r="G28" i="9" s="1"/>
  <c r="F11" i="9"/>
  <c r="F28" i="9" s="1"/>
  <c r="E11" i="9"/>
  <c r="E28" i="9" s="1"/>
  <c r="D11" i="9"/>
  <c r="D28" i="9" s="1"/>
  <c r="CX10" i="9"/>
  <c r="CW10" i="9"/>
  <c r="CW27" i="9" s="1"/>
  <c r="CV10" i="9"/>
  <c r="CV27" i="9" s="1"/>
  <c r="CU10" i="9"/>
  <c r="CT10" i="9"/>
  <c r="CT27" i="9" s="1"/>
  <c r="CS10" i="9"/>
  <c r="CS27" i="9" s="1"/>
  <c r="CR10" i="9"/>
  <c r="CR27" i="9" s="1"/>
  <c r="CQ10" i="9"/>
  <c r="CQ27" i="9" s="1"/>
  <c r="CP10" i="9"/>
  <c r="CO10" i="9"/>
  <c r="CO27" i="9" s="1"/>
  <c r="CN10" i="9"/>
  <c r="CN27" i="9" s="1"/>
  <c r="CM10" i="9"/>
  <c r="CM27" i="9" s="1"/>
  <c r="CL10" i="9"/>
  <c r="CL27" i="9" s="1"/>
  <c r="CK10" i="9"/>
  <c r="CK27" i="9" s="1"/>
  <c r="CJ10" i="9"/>
  <c r="CJ27" i="9" s="1"/>
  <c r="CI10" i="9"/>
  <c r="CI27" i="9" s="1"/>
  <c r="CH10" i="9"/>
  <c r="CG10" i="9"/>
  <c r="CG27" i="9" s="1"/>
  <c r="CF10" i="9"/>
  <c r="CF27" i="9" s="1"/>
  <c r="CE10" i="9"/>
  <c r="CD10" i="9"/>
  <c r="CD27" i="9" s="1"/>
  <c r="CC10" i="9"/>
  <c r="CC27" i="9" s="1"/>
  <c r="CB10" i="9"/>
  <c r="CB27" i="9" s="1"/>
  <c r="CA10" i="9"/>
  <c r="CA27" i="9" s="1"/>
  <c r="BZ10" i="9"/>
  <c r="BY10" i="9"/>
  <c r="BY27" i="9" s="1"/>
  <c r="BX10" i="9"/>
  <c r="BX27" i="9" s="1"/>
  <c r="BW10" i="9"/>
  <c r="BW27" i="9" s="1"/>
  <c r="BV10" i="9"/>
  <c r="BV27" i="9" s="1"/>
  <c r="BU10" i="9"/>
  <c r="BU27" i="9" s="1"/>
  <c r="BT10" i="9"/>
  <c r="BT27" i="9" s="1"/>
  <c r="BS10" i="9"/>
  <c r="BS27" i="9" s="1"/>
  <c r="BR10" i="9"/>
  <c r="BQ10" i="9"/>
  <c r="BQ27" i="9" s="1"/>
  <c r="BP10" i="9"/>
  <c r="BP27" i="9" s="1"/>
  <c r="BO10" i="9"/>
  <c r="BN10" i="9"/>
  <c r="BN27" i="9" s="1"/>
  <c r="BM10" i="9"/>
  <c r="BM27" i="9" s="1"/>
  <c r="BL10" i="9"/>
  <c r="BL27" i="9" s="1"/>
  <c r="BK10" i="9"/>
  <c r="BK27" i="9" s="1"/>
  <c r="BJ10" i="9"/>
  <c r="BI10" i="9"/>
  <c r="BI27" i="9" s="1"/>
  <c r="BH10" i="9"/>
  <c r="BH27" i="9" s="1"/>
  <c r="BG10" i="9"/>
  <c r="BG27" i="9" s="1"/>
  <c r="BF10" i="9"/>
  <c r="BF27" i="9" s="1"/>
  <c r="BE10" i="9"/>
  <c r="BE27" i="9" s="1"/>
  <c r="BD10" i="9"/>
  <c r="BD27" i="9" s="1"/>
  <c r="BC10" i="9"/>
  <c r="BC27" i="9" s="1"/>
  <c r="BB10" i="9"/>
  <c r="BA10" i="9"/>
  <c r="BA27" i="9" s="1"/>
  <c r="AZ10" i="9"/>
  <c r="AZ27" i="9" s="1"/>
  <c r="AY10" i="9"/>
  <c r="AX10" i="9"/>
  <c r="AX27" i="9" s="1"/>
  <c r="AW10" i="9"/>
  <c r="AW27" i="9" s="1"/>
  <c r="AV10" i="9"/>
  <c r="AV27" i="9" s="1"/>
  <c r="AU10" i="9"/>
  <c r="AU27" i="9" s="1"/>
  <c r="AT10" i="9"/>
  <c r="AS10" i="9"/>
  <c r="AS27" i="9" s="1"/>
  <c r="AR10" i="9"/>
  <c r="AR27" i="9" s="1"/>
  <c r="AQ10" i="9"/>
  <c r="AQ27" i="9" s="1"/>
  <c r="AP10" i="9"/>
  <c r="AP27" i="9" s="1"/>
  <c r="AO10" i="9"/>
  <c r="AO27" i="9" s="1"/>
  <c r="AN10" i="9"/>
  <c r="AN27" i="9" s="1"/>
  <c r="AM10" i="9"/>
  <c r="AM27" i="9" s="1"/>
  <c r="AL10" i="9"/>
  <c r="AK10" i="9"/>
  <c r="AK27" i="9" s="1"/>
  <c r="AJ10" i="9"/>
  <c r="AJ27" i="9" s="1"/>
  <c r="AI10" i="9"/>
  <c r="AH10" i="9"/>
  <c r="AH27" i="9" s="1"/>
  <c r="AG10" i="9"/>
  <c r="AG27" i="9" s="1"/>
  <c r="AF10" i="9"/>
  <c r="AF27" i="9" s="1"/>
  <c r="AE10" i="9"/>
  <c r="AE27" i="9" s="1"/>
  <c r="AD10" i="9"/>
  <c r="AC10" i="9"/>
  <c r="AC27" i="9" s="1"/>
  <c r="AB10" i="9"/>
  <c r="AB27" i="9" s="1"/>
  <c r="AA10" i="9"/>
  <c r="AA27" i="9" s="1"/>
  <c r="Z10" i="9"/>
  <c r="Z27" i="9" s="1"/>
  <c r="Y10" i="9"/>
  <c r="Y27" i="9" s="1"/>
  <c r="X10" i="9"/>
  <c r="X27" i="9" s="1"/>
  <c r="W10" i="9"/>
  <c r="W27" i="9" s="1"/>
  <c r="V10" i="9"/>
  <c r="U10" i="9"/>
  <c r="U27" i="9" s="1"/>
  <c r="T10" i="9"/>
  <c r="T27" i="9" s="1"/>
  <c r="S10" i="9"/>
  <c r="R10" i="9"/>
  <c r="R27" i="9" s="1"/>
  <c r="Q10" i="9"/>
  <c r="Q27" i="9" s="1"/>
  <c r="P10" i="9"/>
  <c r="P27" i="9" s="1"/>
  <c r="O10" i="9"/>
  <c r="O27" i="9" s="1"/>
  <c r="N10" i="9"/>
  <c r="M10" i="9"/>
  <c r="M27" i="9" s="1"/>
  <c r="L10" i="9"/>
  <c r="L27" i="9" s="1"/>
  <c r="K10" i="9"/>
  <c r="K27" i="9" s="1"/>
  <c r="J10" i="9"/>
  <c r="J27" i="9" s="1"/>
  <c r="I10" i="9"/>
  <c r="I27" i="9" s="1"/>
  <c r="H10" i="9"/>
  <c r="H27" i="9" s="1"/>
  <c r="G10" i="9"/>
  <c r="G27" i="9" s="1"/>
  <c r="F10" i="9"/>
  <c r="E10" i="9"/>
  <c r="E27" i="9" s="1"/>
  <c r="D10" i="9"/>
  <c r="D27" i="9" s="1"/>
  <c r="CX9" i="9"/>
  <c r="CW9" i="9"/>
  <c r="CW26" i="9" s="1"/>
  <c r="CV9" i="9"/>
  <c r="CV26" i="9" s="1"/>
  <c r="CU9" i="9"/>
  <c r="CU26" i="9" s="1"/>
  <c r="CT9" i="9"/>
  <c r="CT26" i="9" s="1"/>
  <c r="CS9" i="9"/>
  <c r="CR9" i="9"/>
  <c r="CR26" i="9" s="1"/>
  <c r="CQ9" i="9"/>
  <c r="CQ26" i="9" s="1"/>
  <c r="CP9" i="9"/>
  <c r="CP26" i="9" s="1"/>
  <c r="CO9" i="9"/>
  <c r="CO26" i="9" s="1"/>
  <c r="CN9" i="9"/>
  <c r="CN26" i="9" s="1"/>
  <c r="CM9" i="9"/>
  <c r="CM26" i="9" s="1"/>
  <c r="CL9" i="9"/>
  <c r="CL26" i="9" s="1"/>
  <c r="CK9" i="9"/>
  <c r="CJ9" i="9"/>
  <c r="CJ26" i="9" s="1"/>
  <c r="CI9" i="9"/>
  <c r="CI26" i="9" s="1"/>
  <c r="CH9" i="9"/>
  <c r="CG9" i="9"/>
  <c r="CG26" i="9" s="1"/>
  <c r="CF9" i="9"/>
  <c r="CF26" i="9" s="1"/>
  <c r="CE9" i="9"/>
  <c r="CE26" i="9" s="1"/>
  <c r="CD9" i="9"/>
  <c r="CD26" i="9" s="1"/>
  <c r="CC9" i="9"/>
  <c r="CB9" i="9"/>
  <c r="CB26" i="9" s="1"/>
  <c r="CA9" i="9"/>
  <c r="CA26" i="9" s="1"/>
  <c r="BZ9" i="9"/>
  <c r="BZ26" i="9" s="1"/>
  <c r="BY9" i="9"/>
  <c r="BY26" i="9" s="1"/>
  <c r="BX9" i="9"/>
  <c r="BX26" i="9" s="1"/>
  <c r="BW9" i="9"/>
  <c r="BW26" i="9" s="1"/>
  <c r="BV9" i="9"/>
  <c r="BV26" i="9" s="1"/>
  <c r="BU9" i="9"/>
  <c r="BT9" i="9"/>
  <c r="BT26" i="9" s="1"/>
  <c r="BS9" i="9"/>
  <c r="BS26" i="9" s="1"/>
  <c r="BR9" i="9"/>
  <c r="BQ9" i="9"/>
  <c r="BQ26" i="9" s="1"/>
  <c r="BP9" i="9"/>
  <c r="BP26" i="9" s="1"/>
  <c r="BO9" i="9"/>
  <c r="BO26" i="9" s="1"/>
  <c r="BN9" i="9"/>
  <c r="BN26" i="9" s="1"/>
  <c r="BM9" i="9"/>
  <c r="BL9" i="9"/>
  <c r="BL26" i="9" s="1"/>
  <c r="BK9" i="9"/>
  <c r="BK26" i="9" s="1"/>
  <c r="BJ9" i="9"/>
  <c r="BJ26" i="9" s="1"/>
  <c r="BI9" i="9"/>
  <c r="BI26" i="9" s="1"/>
  <c r="BH9" i="9"/>
  <c r="BH26" i="9" s="1"/>
  <c r="BG9" i="9"/>
  <c r="BG26" i="9" s="1"/>
  <c r="BF9" i="9"/>
  <c r="BF26" i="9" s="1"/>
  <c r="BE9" i="9"/>
  <c r="BD9" i="9"/>
  <c r="BD26" i="9" s="1"/>
  <c r="BC9" i="9"/>
  <c r="BC26" i="9" s="1"/>
  <c r="BB9" i="9"/>
  <c r="BA9" i="9"/>
  <c r="BA26" i="9" s="1"/>
  <c r="AZ9" i="9"/>
  <c r="AZ26" i="9" s="1"/>
  <c r="AY9" i="9"/>
  <c r="AY26" i="9" s="1"/>
  <c r="AX9" i="9"/>
  <c r="AX26" i="9" s="1"/>
  <c r="AW9" i="9"/>
  <c r="AV9" i="9"/>
  <c r="AV26" i="9" s="1"/>
  <c r="AU9" i="9"/>
  <c r="AU26" i="9" s="1"/>
  <c r="AT9" i="9"/>
  <c r="AT26" i="9" s="1"/>
  <c r="AS9" i="9"/>
  <c r="AS26" i="9" s="1"/>
  <c r="AR9" i="9"/>
  <c r="AR26" i="9" s="1"/>
  <c r="AQ9" i="9"/>
  <c r="AQ26" i="9" s="1"/>
  <c r="AP9" i="9"/>
  <c r="AP26" i="9" s="1"/>
  <c r="AO9" i="9"/>
  <c r="AN9" i="9"/>
  <c r="AN26" i="9" s="1"/>
  <c r="AM9" i="9"/>
  <c r="AM26" i="9" s="1"/>
  <c r="AL9" i="9"/>
  <c r="AK9" i="9"/>
  <c r="AK26" i="9" s="1"/>
  <c r="AJ9" i="9"/>
  <c r="AJ26" i="9" s="1"/>
  <c r="AI9" i="9"/>
  <c r="AI26" i="9" s="1"/>
  <c r="AH9" i="9"/>
  <c r="AH26" i="9" s="1"/>
  <c r="AG9" i="9"/>
  <c r="AF9" i="9"/>
  <c r="AF26" i="9" s="1"/>
  <c r="AE9" i="9"/>
  <c r="AE26" i="9" s="1"/>
  <c r="AD9" i="9"/>
  <c r="AD26" i="9" s="1"/>
  <c r="AC9" i="9"/>
  <c r="AC26" i="9" s="1"/>
  <c r="AB9" i="9"/>
  <c r="AB26" i="9" s="1"/>
  <c r="AA9" i="9"/>
  <c r="AA26" i="9" s="1"/>
  <c r="Z9" i="9"/>
  <c r="Z26" i="9" s="1"/>
  <c r="Y9" i="9"/>
  <c r="X9" i="9"/>
  <c r="X26" i="9" s="1"/>
  <c r="W9" i="9"/>
  <c r="W26" i="9" s="1"/>
  <c r="V9" i="9"/>
  <c r="U9" i="9"/>
  <c r="U26" i="9" s="1"/>
  <c r="T9" i="9"/>
  <c r="T26" i="9" s="1"/>
  <c r="S9" i="9"/>
  <c r="S26" i="9" s="1"/>
  <c r="R9" i="9"/>
  <c r="R26" i="9" s="1"/>
  <c r="Q9" i="9"/>
  <c r="P9" i="9"/>
  <c r="P26" i="9" s="1"/>
  <c r="O9" i="9"/>
  <c r="N9" i="9"/>
  <c r="N26" i="9" s="1"/>
  <c r="M9" i="9"/>
  <c r="L9" i="9"/>
  <c r="L26" i="9" s="1"/>
  <c r="K9" i="9"/>
  <c r="J9" i="9"/>
  <c r="J26" i="9" s="1"/>
  <c r="I9" i="9"/>
  <c r="H9" i="9"/>
  <c r="H26" i="9" s="1"/>
  <c r="G9" i="9"/>
  <c r="F9" i="9"/>
  <c r="F26" i="9" s="1"/>
  <c r="E9" i="9"/>
  <c r="D9" i="9"/>
  <c r="D26" i="9" s="1"/>
  <c r="CX8" i="9"/>
  <c r="CW8" i="9"/>
  <c r="CW25" i="9" s="1"/>
  <c r="CV8" i="9"/>
  <c r="CU8" i="9"/>
  <c r="CU25" i="9" s="1"/>
  <c r="CT8" i="9"/>
  <c r="CS8" i="9"/>
  <c r="CS25" i="9" s="1"/>
  <c r="CR8" i="9"/>
  <c r="CQ8" i="9"/>
  <c r="CQ25" i="9" s="1"/>
  <c r="CP8" i="9"/>
  <c r="CO8" i="9"/>
  <c r="CO25" i="9" s="1"/>
  <c r="CN8" i="9"/>
  <c r="CM8" i="9"/>
  <c r="CM25" i="9" s="1"/>
  <c r="CL8" i="9"/>
  <c r="CK8" i="9"/>
  <c r="CK25" i="9" s="1"/>
  <c r="CJ8" i="9"/>
  <c r="CI8" i="9"/>
  <c r="CI25" i="9" s="1"/>
  <c r="CH8" i="9"/>
  <c r="CG8" i="9"/>
  <c r="CG25" i="9" s="1"/>
  <c r="CF8" i="9"/>
  <c r="CE8" i="9"/>
  <c r="CE25" i="9" s="1"/>
  <c r="CD8" i="9"/>
  <c r="CC8" i="9"/>
  <c r="CC25" i="9" s="1"/>
  <c r="CB8" i="9"/>
  <c r="CA8" i="9"/>
  <c r="CA25" i="9" s="1"/>
  <c r="BZ8" i="9"/>
  <c r="BY8" i="9"/>
  <c r="BY25" i="9" s="1"/>
  <c r="BX8" i="9"/>
  <c r="BW8" i="9"/>
  <c r="BW25" i="9" s="1"/>
  <c r="BV8" i="9"/>
  <c r="BU8" i="9"/>
  <c r="BU25" i="9" s="1"/>
  <c r="BT8" i="9"/>
  <c r="BS8" i="9"/>
  <c r="BS25" i="9" s="1"/>
  <c r="BR8" i="9"/>
  <c r="BQ8" i="9"/>
  <c r="BQ25" i="9" s="1"/>
  <c r="BP8" i="9"/>
  <c r="BO8" i="9"/>
  <c r="BO25" i="9" s="1"/>
  <c r="BN8" i="9"/>
  <c r="BM8" i="9"/>
  <c r="BM25" i="9" s="1"/>
  <c r="BL8" i="9"/>
  <c r="BK8" i="9"/>
  <c r="BK25" i="9" s="1"/>
  <c r="BJ8" i="9"/>
  <c r="BI8" i="9"/>
  <c r="BI25" i="9" s="1"/>
  <c r="BH8" i="9"/>
  <c r="BG8" i="9"/>
  <c r="BG25" i="9" s="1"/>
  <c r="BF8" i="9"/>
  <c r="BE8" i="9"/>
  <c r="BE25" i="9" s="1"/>
  <c r="BD8" i="9"/>
  <c r="BC8" i="9"/>
  <c r="BC25" i="9" s="1"/>
  <c r="BB8" i="9"/>
  <c r="BA8" i="9"/>
  <c r="BA25" i="9" s="1"/>
  <c r="AZ8" i="9"/>
  <c r="AY8" i="9"/>
  <c r="AY25" i="9" s="1"/>
  <c r="AX8" i="9"/>
  <c r="AW8" i="9"/>
  <c r="AW25" i="9" s="1"/>
  <c r="AV8" i="9"/>
  <c r="AU8" i="9"/>
  <c r="AU25" i="9" s="1"/>
  <c r="AT8" i="9"/>
  <c r="AS8" i="9"/>
  <c r="AS25" i="9" s="1"/>
  <c r="AR8" i="9"/>
  <c r="AQ8" i="9"/>
  <c r="AQ25" i="9" s="1"/>
  <c r="AP8" i="9"/>
  <c r="AO8" i="9"/>
  <c r="AO25" i="9" s="1"/>
  <c r="AN8" i="9"/>
  <c r="AM8" i="9"/>
  <c r="AM25" i="9" s="1"/>
  <c r="AL8" i="9"/>
  <c r="AK8" i="9"/>
  <c r="AK25" i="9" s="1"/>
  <c r="AJ8" i="9"/>
  <c r="AI8" i="9"/>
  <c r="AI25" i="9" s="1"/>
  <c r="AH8" i="9"/>
  <c r="AG8" i="9"/>
  <c r="AG25" i="9" s="1"/>
  <c r="AF8" i="9"/>
  <c r="AE8" i="9"/>
  <c r="AE25" i="9" s="1"/>
  <c r="AD8" i="9"/>
  <c r="AC8" i="9"/>
  <c r="AC25" i="9" s="1"/>
  <c r="AB8" i="9"/>
  <c r="AA8" i="9"/>
  <c r="AA25" i="9" s="1"/>
  <c r="Z8" i="9"/>
  <c r="Y8" i="9"/>
  <c r="Y25" i="9" s="1"/>
  <c r="X8" i="9"/>
  <c r="W8" i="9"/>
  <c r="W25" i="9" s="1"/>
  <c r="V8" i="9"/>
  <c r="U8" i="9"/>
  <c r="U25" i="9" s="1"/>
  <c r="T8" i="9"/>
  <c r="S8" i="9"/>
  <c r="S25" i="9" s="1"/>
  <c r="R8" i="9"/>
  <c r="Q8" i="9"/>
  <c r="Q25" i="9" s="1"/>
  <c r="P8" i="9"/>
  <c r="O8" i="9"/>
  <c r="O25" i="9" s="1"/>
  <c r="N8" i="9"/>
  <c r="M8" i="9"/>
  <c r="M25" i="9" s="1"/>
  <c r="L8" i="9"/>
  <c r="K8" i="9"/>
  <c r="K25" i="9" s="1"/>
  <c r="J8" i="9"/>
  <c r="I8" i="9"/>
  <c r="I25" i="9" s="1"/>
  <c r="H8" i="9"/>
  <c r="G8" i="9"/>
  <c r="G25" i="9" s="1"/>
  <c r="F8" i="9"/>
  <c r="E8" i="9"/>
  <c r="E25" i="9" s="1"/>
  <c r="D8" i="9"/>
  <c r="CX7" i="9"/>
  <c r="CX24" i="9" s="1"/>
  <c r="CW7" i="9"/>
  <c r="CV7" i="9"/>
  <c r="CV24" i="9" s="1"/>
  <c r="CU7" i="9"/>
  <c r="CT7" i="9"/>
  <c r="CT24" i="9" s="1"/>
  <c r="CS7" i="9"/>
  <c r="CR7" i="9"/>
  <c r="CR24" i="9" s="1"/>
  <c r="CQ7" i="9"/>
  <c r="CP7" i="9"/>
  <c r="CP24" i="9" s="1"/>
  <c r="CO7" i="9"/>
  <c r="CN7" i="9"/>
  <c r="CN24" i="9" s="1"/>
  <c r="CM7" i="9"/>
  <c r="CL7" i="9"/>
  <c r="CL24" i="9" s="1"/>
  <c r="CK7" i="9"/>
  <c r="CJ7" i="9"/>
  <c r="CJ24" i="9" s="1"/>
  <c r="CI7" i="9"/>
  <c r="CH7" i="9"/>
  <c r="CH24" i="9" s="1"/>
  <c r="CG7" i="9"/>
  <c r="CF7" i="9"/>
  <c r="CF24" i="9" s="1"/>
  <c r="CE7" i="9"/>
  <c r="CD7" i="9"/>
  <c r="CD24" i="9" s="1"/>
  <c r="CC7" i="9"/>
  <c r="CB7" i="9"/>
  <c r="CB24" i="9" s="1"/>
  <c r="CA7" i="9"/>
  <c r="BZ7" i="9"/>
  <c r="BZ24" i="9" s="1"/>
  <c r="BY7" i="9"/>
  <c r="BX7" i="9"/>
  <c r="BX24" i="9" s="1"/>
  <c r="BW7" i="9"/>
  <c r="BV7" i="9"/>
  <c r="BV24" i="9" s="1"/>
  <c r="BU7" i="9"/>
  <c r="BT7" i="9"/>
  <c r="BT24" i="9" s="1"/>
  <c r="BS7" i="9"/>
  <c r="BR7" i="9"/>
  <c r="BR24" i="9" s="1"/>
  <c r="BQ7" i="9"/>
  <c r="BP7" i="9"/>
  <c r="BP24" i="9" s="1"/>
  <c r="BO7" i="9"/>
  <c r="BN7" i="9"/>
  <c r="BN24" i="9" s="1"/>
  <c r="BM7" i="9"/>
  <c r="BL7" i="9"/>
  <c r="BL24" i="9" s="1"/>
  <c r="BK7" i="9"/>
  <c r="BJ7" i="9"/>
  <c r="BJ24" i="9" s="1"/>
  <c r="BI7" i="9"/>
  <c r="BH7" i="9"/>
  <c r="BH24" i="9" s="1"/>
  <c r="BG7" i="9"/>
  <c r="BF7" i="9"/>
  <c r="BF24" i="9" s="1"/>
  <c r="BE7" i="9"/>
  <c r="BD7" i="9"/>
  <c r="BD24" i="9" s="1"/>
  <c r="BC7" i="9"/>
  <c r="BB7" i="9"/>
  <c r="BB24" i="9" s="1"/>
  <c r="BA7" i="9"/>
  <c r="AZ7" i="9"/>
  <c r="AZ24" i="9" s="1"/>
  <c r="AY7" i="9"/>
  <c r="AX7" i="9"/>
  <c r="AX24" i="9" s="1"/>
  <c r="AW7" i="9"/>
  <c r="AV7" i="9"/>
  <c r="AV24" i="9" s="1"/>
  <c r="AU7" i="9"/>
  <c r="AT7" i="9"/>
  <c r="AT24" i="9" s="1"/>
  <c r="AS7" i="9"/>
  <c r="AR7" i="9"/>
  <c r="AR24" i="9" s="1"/>
  <c r="AQ7" i="9"/>
  <c r="AP7" i="9"/>
  <c r="AP24" i="9" s="1"/>
  <c r="AO7" i="9"/>
  <c r="AN7" i="9"/>
  <c r="AN24" i="9" s="1"/>
  <c r="AM7" i="9"/>
  <c r="AL7" i="9"/>
  <c r="AL24" i="9" s="1"/>
  <c r="AK7" i="9"/>
  <c r="AJ7" i="9"/>
  <c r="AJ24" i="9" s="1"/>
  <c r="AI7" i="9"/>
  <c r="AH7" i="9"/>
  <c r="AH24" i="9" s="1"/>
  <c r="AG7" i="9"/>
  <c r="AF7" i="9"/>
  <c r="AF24" i="9" s="1"/>
  <c r="AE7" i="9"/>
  <c r="AD7" i="9"/>
  <c r="AD24" i="9" s="1"/>
  <c r="AC7" i="9"/>
  <c r="AB7" i="9"/>
  <c r="AB24" i="9" s="1"/>
  <c r="AA7" i="9"/>
  <c r="Z7" i="9"/>
  <c r="Z24" i="9" s="1"/>
  <c r="Y7" i="9"/>
  <c r="X7" i="9"/>
  <c r="X24" i="9" s="1"/>
  <c r="W7" i="9"/>
  <c r="V7" i="9"/>
  <c r="V24" i="9" s="1"/>
  <c r="U7" i="9"/>
  <c r="T7" i="9"/>
  <c r="T24" i="9" s="1"/>
  <c r="S7" i="9"/>
  <c r="R7" i="9"/>
  <c r="R24" i="9" s="1"/>
  <c r="Q7" i="9"/>
  <c r="P7" i="9"/>
  <c r="P24" i="9" s="1"/>
  <c r="O7" i="9"/>
  <c r="N7" i="9"/>
  <c r="N24" i="9" s="1"/>
  <c r="M7" i="9"/>
  <c r="L7" i="9"/>
  <c r="L24" i="9" s="1"/>
  <c r="K7" i="9"/>
  <c r="J7" i="9"/>
  <c r="J24" i="9" s="1"/>
  <c r="I7" i="9"/>
  <c r="H7" i="9"/>
  <c r="H24" i="9" s="1"/>
  <c r="G7" i="9"/>
  <c r="F7" i="9"/>
  <c r="F24" i="9" s="1"/>
  <c r="E7" i="9"/>
  <c r="D7" i="9"/>
  <c r="D24" i="9" s="1"/>
  <c r="CX6" i="9"/>
  <c r="CW6" i="9"/>
  <c r="CV6" i="9"/>
  <c r="CU6" i="9"/>
  <c r="CT6" i="9"/>
  <c r="CS6" i="9"/>
  <c r="CR6" i="9"/>
  <c r="CQ6" i="9"/>
  <c r="CP6" i="9"/>
  <c r="CO6" i="9"/>
  <c r="CN6" i="9"/>
  <c r="CM6" i="9"/>
  <c r="CL6" i="9"/>
  <c r="CK6" i="9"/>
  <c r="CJ6" i="9"/>
  <c r="CI6" i="9"/>
  <c r="CH6" i="9"/>
  <c r="CG6" i="9"/>
  <c r="CF6" i="9"/>
  <c r="CE6" i="9"/>
  <c r="CD6" i="9"/>
  <c r="CC6" i="9"/>
  <c r="CB6" i="9"/>
  <c r="CA6" i="9"/>
  <c r="BZ6" i="9"/>
  <c r="BY6" i="9"/>
  <c r="BX6" i="9"/>
  <c r="BW6" i="9"/>
  <c r="BV6" i="9"/>
  <c r="BU6" i="9"/>
  <c r="BT6" i="9"/>
  <c r="BS6" i="9"/>
  <c r="BR6" i="9"/>
  <c r="BQ6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BG4" i="9"/>
  <c r="BF4" i="9"/>
  <c r="BE4" i="9"/>
  <c r="BD4" i="9"/>
  <c r="BC4" i="9"/>
  <c r="BB4" i="9"/>
  <c r="BA4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X3" i="9"/>
  <c r="CW3" i="9"/>
  <c r="CV3" i="9"/>
  <c r="CU3" i="9"/>
  <c r="CT3" i="9"/>
  <c r="CS3" i="9"/>
  <c r="CR3" i="9"/>
  <c r="CQ3" i="9"/>
  <c r="CP3" i="9"/>
  <c r="CO3" i="9"/>
  <c r="CN3" i="9"/>
  <c r="CM3" i="9"/>
  <c r="CL3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X2" i="9"/>
  <c r="CW2" i="9"/>
  <c r="CV2" i="9"/>
  <c r="CU2" i="9"/>
  <c r="CT2" i="9"/>
  <c r="CS2" i="9"/>
  <c r="CR2" i="9"/>
  <c r="CQ2" i="9"/>
  <c r="CP2" i="9"/>
  <c r="CO2" i="9"/>
  <c r="CN2" i="9"/>
  <c r="CM2" i="9"/>
  <c r="CL2" i="9"/>
  <c r="CK2" i="9"/>
  <c r="CJ2" i="9"/>
  <c r="CI2" i="9"/>
  <c r="CH2" i="9"/>
  <c r="CG2" i="9"/>
  <c r="CF2" i="9"/>
  <c r="CE2" i="9"/>
  <c r="CD2" i="9"/>
  <c r="CC2" i="9"/>
  <c r="CB2" i="9"/>
  <c r="CA2" i="9"/>
  <c r="BZ2" i="9"/>
  <c r="BY2" i="9"/>
  <c r="BX2" i="9"/>
  <c r="BW2" i="9"/>
  <c r="BV2" i="9"/>
  <c r="BU2" i="9"/>
  <c r="BT2" i="9"/>
  <c r="BS2" i="9"/>
  <c r="BR2" i="9"/>
  <c r="BQ2" i="9"/>
  <c r="BP2" i="9"/>
  <c r="BO2" i="9"/>
  <c r="BN2" i="9"/>
  <c r="BM2" i="9"/>
  <c r="BL2" i="9"/>
  <c r="BK2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U125" i="2"/>
  <c r="CQ125" i="2"/>
  <c r="CM125" i="2"/>
  <c r="CI125" i="2"/>
  <c r="CE125" i="2"/>
  <c r="CA125" i="2"/>
  <c r="BW125" i="2"/>
  <c r="BS125" i="2"/>
  <c r="BO125" i="2"/>
  <c r="BK125" i="2"/>
  <c r="BG125" i="2"/>
  <c r="BC125" i="2"/>
  <c r="AY125" i="2"/>
  <c r="AU125" i="2"/>
  <c r="AQ125" i="2"/>
  <c r="AM125" i="2"/>
  <c r="AI125" i="2"/>
  <c r="AE125" i="2"/>
  <c r="AA125" i="2"/>
  <c r="W125" i="2"/>
  <c r="S125" i="2"/>
  <c r="O125" i="2"/>
  <c r="K125" i="2"/>
  <c r="G125" i="2"/>
  <c r="CX124" i="2"/>
  <c r="CT124" i="2"/>
  <c r="CP124" i="2"/>
  <c r="CL124" i="2"/>
  <c r="CH124" i="2"/>
  <c r="CD124" i="2"/>
  <c r="BZ124" i="2"/>
  <c r="BV124" i="2"/>
  <c r="BR124" i="2"/>
  <c r="BN124" i="2"/>
  <c r="BJ124" i="2"/>
  <c r="BF124" i="2"/>
  <c r="BB124" i="2"/>
  <c r="AX124" i="2"/>
  <c r="AT124" i="2"/>
  <c r="AP124" i="2"/>
  <c r="AL124" i="2"/>
  <c r="AH124" i="2"/>
  <c r="AD124" i="2"/>
  <c r="Z124" i="2"/>
  <c r="V124" i="2"/>
  <c r="R124" i="2"/>
  <c r="N124" i="2"/>
  <c r="J124" i="2"/>
  <c r="F124" i="2"/>
  <c r="CW123" i="2"/>
  <c r="CS123" i="2"/>
  <c r="CO123" i="2"/>
  <c r="CK123" i="2"/>
  <c r="CG123" i="2"/>
  <c r="CC123" i="2"/>
  <c r="BY123" i="2"/>
  <c r="BU123" i="2"/>
  <c r="BQ123" i="2"/>
  <c r="BM123" i="2"/>
  <c r="BI123" i="2"/>
  <c r="BE123" i="2"/>
  <c r="BA123" i="2"/>
  <c r="AW123" i="2"/>
  <c r="AS123" i="2"/>
  <c r="AO123" i="2"/>
  <c r="AK123" i="2"/>
  <c r="AG123" i="2"/>
  <c r="AC123" i="2"/>
  <c r="Y123" i="2"/>
  <c r="U123" i="2"/>
  <c r="Q123" i="2"/>
  <c r="M123" i="2"/>
  <c r="I123" i="2"/>
  <c r="E123" i="2"/>
  <c r="CV122" i="2"/>
  <c r="CR122" i="2"/>
  <c r="CN122" i="2"/>
  <c r="CJ122" i="2"/>
  <c r="CF122" i="2"/>
  <c r="CB122" i="2"/>
  <c r="BX122" i="2"/>
  <c r="BT122" i="2"/>
  <c r="BP122" i="2"/>
  <c r="BL122" i="2"/>
  <c r="BH122" i="2"/>
  <c r="CX85" i="2"/>
  <c r="CW85" i="2"/>
  <c r="CV85" i="2"/>
  <c r="CU85" i="2"/>
  <c r="CU94" i="2" s="1"/>
  <c r="CT85" i="2"/>
  <c r="CS85" i="2"/>
  <c r="CR85" i="2"/>
  <c r="CQ85" i="2"/>
  <c r="CQ94" i="2" s="1"/>
  <c r="CP85" i="2"/>
  <c r="CO85" i="2"/>
  <c r="CN85" i="2"/>
  <c r="CM85" i="2"/>
  <c r="CM94" i="2" s="1"/>
  <c r="CL85" i="2"/>
  <c r="CK85" i="2"/>
  <c r="CJ85" i="2"/>
  <c r="CI85" i="2"/>
  <c r="CI94" i="2" s="1"/>
  <c r="CH85" i="2"/>
  <c r="CG85" i="2"/>
  <c r="CF85" i="2"/>
  <c r="CE85" i="2"/>
  <c r="CE94" i="2" s="1"/>
  <c r="CD85" i="2"/>
  <c r="CC85" i="2"/>
  <c r="CB85" i="2"/>
  <c r="CA85" i="2"/>
  <c r="CA94" i="2" s="1"/>
  <c r="BZ85" i="2"/>
  <c r="BY85" i="2"/>
  <c r="BX85" i="2"/>
  <c r="BW85" i="2"/>
  <c r="BW94" i="2" s="1"/>
  <c r="BV85" i="2"/>
  <c r="BU85" i="2"/>
  <c r="BT85" i="2"/>
  <c r="BS85" i="2"/>
  <c r="BS94" i="2" s="1"/>
  <c r="BR85" i="2"/>
  <c r="BQ85" i="2"/>
  <c r="BP85" i="2"/>
  <c r="BO85" i="2"/>
  <c r="BO94" i="2" s="1"/>
  <c r="BN85" i="2"/>
  <c r="BM85" i="2"/>
  <c r="BL85" i="2"/>
  <c r="BK85" i="2"/>
  <c r="BK94" i="2" s="1"/>
  <c r="BJ85" i="2"/>
  <c r="BI85" i="2"/>
  <c r="BH85" i="2"/>
  <c r="BG85" i="2"/>
  <c r="BG94" i="2" s="1"/>
  <c r="BF85" i="2"/>
  <c r="BE85" i="2"/>
  <c r="BD85" i="2"/>
  <c r="BC85" i="2"/>
  <c r="BC94" i="2" s="1"/>
  <c r="BB85" i="2"/>
  <c r="BA85" i="2"/>
  <c r="AZ85" i="2"/>
  <c r="AY85" i="2"/>
  <c r="AY94" i="2" s="1"/>
  <c r="AX85" i="2"/>
  <c r="AW85" i="2"/>
  <c r="AV85" i="2"/>
  <c r="AU85" i="2"/>
  <c r="AU94" i="2" s="1"/>
  <c r="AT85" i="2"/>
  <c r="AS85" i="2"/>
  <c r="AR85" i="2"/>
  <c r="AQ85" i="2"/>
  <c r="AQ94" i="2" s="1"/>
  <c r="AP85" i="2"/>
  <c r="AO85" i="2"/>
  <c r="AN85" i="2"/>
  <c r="AM85" i="2"/>
  <c r="AM94" i="2" s="1"/>
  <c r="AL85" i="2"/>
  <c r="AK85" i="2"/>
  <c r="AJ85" i="2"/>
  <c r="AI85" i="2"/>
  <c r="AI94" i="2" s="1"/>
  <c r="AH85" i="2"/>
  <c r="AG85" i="2"/>
  <c r="AF85" i="2"/>
  <c r="AE85" i="2"/>
  <c r="AE94" i="2" s="1"/>
  <c r="AD85" i="2"/>
  <c r="AC85" i="2"/>
  <c r="AB85" i="2"/>
  <c r="AA85" i="2"/>
  <c r="AA94" i="2" s="1"/>
  <c r="Z85" i="2"/>
  <c r="Y85" i="2"/>
  <c r="X85" i="2"/>
  <c r="W85" i="2"/>
  <c r="W94" i="2" s="1"/>
  <c r="V85" i="2"/>
  <c r="U85" i="2"/>
  <c r="T85" i="2"/>
  <c r="S85" i="2"/>
  <c r="S94" i="2" s="1"/>
  <c r="R85" i="2"/>
  <c r="Q85" i="2"/>
  <c r="P85" i="2"/>
  <c r="O85" i="2"/>
  <c r="O94" i="2" s="1"/>
  <c r="N85" i="2"/>
  <c r="M85" i="2"/>
  <c r="L85" i="2"/>
  <c r="K85" i="2"/>
  <c r="K94" i="2" s="1"/>
  <c r="J85" i="2"/>
  <c r="I85" i="2"/>
  <c r="H85" i="2"/>
  <c r="G85" i="2"/>
  <c r="G94" i="2" s="1"/>
  <c r="F85" i="2"/>
  <c r="E85" i="2"/>
  <c r="D85" i="2"/>
  <c r="CX84" i="2"/>
  <c r="CW84" i="2"/>
  <c r="CV84" i="2"/>
  <c r="CU84" i="2"/>
  <c r="CT84" i="2"/>
  <c r="CS84" i="2"/>
  <c r="CR84" i="2"/>
  <c r="CQ84" i="2"/>
  <c r="CP84" i="2"/>
  <c r="CO84" i="2"/>
  <c r="CN84" i="2"/>
  <c r="CM84" i="2"/>
  <c r="CL84" i="2"/>
  <c r="CK84" i="2"/>
  <c r="CJ84" i="2"/>
  <c r="CI84" i="2"/>
  <c r="CH84" i="2"/>
  <c r="CG84" i="2"/>
  <c r="CF84" i="2"/>
  <c r="CE84" i="2"/>
  <c r="CD84" i="2"/>
  <c r="CC84" i="2"/>
  <c r="CB84" i="2"/>
  <c r="CA84" i="2"/>
  <c r="BZ84" i="2"/>
  <c r="BY84" i="2"/>
  <c r="BX84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BB84" i="2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X83" i="2"/>
  <c r="CW83" i="2"/>
  <c r="CV83" i="2"/>
  <c r="CU83" i="2"/>
  <c r="CT83" i="2"/>
  <c r="CS83" i="2"/>
  <c r="CR83" i="2"/>
  <c r="CQ83" i="2"/>
  <c r="CP83" i="2"/>
  <c r="CO83" i="2"/>
  <c r="CN83" i="2"/>
  <c r="CM83" i="2"/>
  <c r="CL83" i="2"/>
  <c r="CK83" i="2"/>
  <c r="CJ83" i="2"/>
  <c r="CI83" i="2"/>
  <c r="CH83" i="2"/>
  <c r="CG83" i="2"/>
  <c r="CF83" i="2"/>
  <c r="CE83" i="2"/>
  <c r="CD83" i="2"/>
  <c r="CC83" i="2"/>
  <c r="CB83" i="2"/>
  <c r="CA83" i="2"/>
  <c r="BZ83" i="2"/>
  <c r="BY83" i="2"/>
  <c r="BX83" i="2"/>
  <c r="BW83" i="2"/>
  <c r="BV83" i="2"/>
  <c r="BU83" i="2"/>
  <c r="BT83" i="2"/>
  <c r="BS83" i="2"/>
  <c r="BR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BB83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X82" i="2"/>
  <c r="CW82" i="2"/>
  <c r="CV82" i="2"/>
  <c r="CU82" i="2"/>
  <c r="CT82" i="2"/>
  <c r="CS82" i="2"/>
  <c r="CR82" i="2"/>
  <c r="CQ82" i="2"/>
  <c r="CP82" i="2"/>
  <c r="CO82" i="2"/>
  <c r="CN82" i="2"/>
  <c r="CM82" i="2"/>
  <c r="CL82" i="2"/>
  <c r="CK82" i="2"/>
  <c r="CJ82" i="2"/>
  <c r="CI82" i="2"/>
  <c r="CH82" i="2"/>
  <c r="CG82" i="2"/>
  <c r="CF82" i="2"/>
  <c r="CE82" i="2"/>
  <c r="CD82" i="2"/>
  <c r="CC82" i="2"/>
  <c r="CB82" i="2"/>
  <c r="CA82" i="2"/>
  <c r="BZ82" i="2"/>
  <c r="BY82" i="2"/>
  <c r="BX82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X81" i="2"/>
  <c r="CW81" i="2"/>
  <c r="CV81" i="2"/>
  <c r="CU81" i="2"/>
  <c r="CT81" i="2"/>
  <c r="CS81" i="2"/>
  <c r="CR81" i="2"/>
  <c r="CQ81" i="2"/>
  <c r="CP81" i="2"/>
  <c r="CO81" i="2"/>
  <c r="CN81" i="2"/>
  <c r="CM81" i="2"/>
  <c r="CL81" i="2"/>
  <c r="CK81" i="2"/>
  <c r="CJ81" i="2"/>
  <c r="CI81" i="2"/>
  <c r="CH81" i="2"/>
  <c r="CG81" i="2"/>
  <c r="CF81" i="2"/>
  <c r="CE81" i="2"/>
  <c r="CD81" i="2"/>
  <c r="CC81" i="2"/>
  <c r="CB81" i="2"/>
  <c r="CA81" i="2"/>
  <c r="BZ81" i="2"/>
  <c r="BY81" i="2"/>
  <c r="BX81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BB81" i="2"/>
  <c r="BA81" i="2"/>
  <c r="AZ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X80" i="2"/>
  <c r="CW80" i="2"/>
  <c r="CV80" i="2"/>
  <c r="CU80" i="2"/>
  <c r="CT80" i="2"/>
  <c r="CS80" i="2"/>
  <c r="CR80" i="2"/>
  <c r="CQ80" i="2"/>
  <c r="CP80" i="2"/>
  <c r="CO80" i="2"/>
  <c r="CN80" i="2"/>
  <c r="CM80" i="2"/>
  <c r="CL80" i="2"/>
  <c r="CK80" i="2"/>
  <c r="CJ80" i="2"/>
  <c r="CI80" i="2"/>
  <c r="CH80" i="2"/>
  <c r="CG80" i="2"/>
  <c r="CF80" i="2"/>
  <c r="CE80" i="2"/>
  <c r="CD80" i="2"/>
  <c r="CC80" i="2"/>
  <c r="CB80" i="2"/>
  <c r="CA80" i="2"/>
  <c r="BZ80" i="2"/>
  <c r="BY80" i="2"/>
  <c r="BX80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BB80" i="2"/>
  <c r="BA80" i="2"/>
  <c r="AZ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X79" i="2"/>
  <c r="CW79" i="2"/>
  <c r="CV79" i="2"/>
  <c r="CU79" i="2"/>
  <c r="CT79" i="2"/>
  <c r="CS79" i="2"/>
  <c r="CR79" i="2"/>
  <c r="CQ79" i="2"/>
  <c r="CP79" i="2"/>
  <c r="CO79" i="2"/>
  <c r="CN79" i="2"/>
  <c r="CM79" i="2"/>
  <c r="CL79" i="2"/>
  <c r="CK79" i="2"/>
  <c r="CJ79" i="2"/>
  <c r="CI79" i="2"/>
  <c r="CH79" i="2"/>
  <c r="CG79" i="2"/>
  <c r="CF79" i="2"/>
  <c r="CE79" i="2"/>
  <c r="CD79" i="2"/>
  <c r="CC79" i="2"/>
  <c r="CB79" i="2"/>
  <c r="CA79" i="2"/>
  <c r="BZ79" i="2"/>
  <c r="BY79" i="2"/>
  <c r="BX79" i="2"/>
  <c r="BW79" i="2"/>
  <c r="BV79" i="2"/>
  <c r="BU79" i="2"/>
  <c r="BT79" i="2"/>
  <c r="BS79" i="2"/>
  <c r="BR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BB79" i="2"/>
  <c r="BA79" i="2"/>
  <c r="AZ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X78" i="2"/>
  <c r="CW78" i="2"/>
  <c r="CV78" i="2"/>
  <c r="CU78" i="2"/>
  <c r="CT78" i="2"/>
  <c r="CS78" i="2"/>
  <c r="CR78" i="2"/>
  <c r="CQ78" i="2"/>
  <c r="CP78" i="2"/>
  <c r="CO78" i="2"/>
  <c r="CN78" i="2"/>
  <c r="CM78" i="2"/>
  <c r="CL78" i="2"/>
  <c r="CK78" i="2"/>
  <c r="CJ78" i="2"/>
  <c r="CI78" i="2"/>
  <c r="CH78" i="2"/>
  <c r="CG78" i="2"/>
  <c r="CF78" i="2"/>
  <c r="CE78" i="2"/>
  <c r="CD78" i="2"/>
  <c r="CC78" i="2"/>
  <c r="CB78" i="2"/>
  <c r="CA78" i="2"/>
  <c r="BZ78" i="2"/>
  <c r="BY78" i="2"/>
  <c r="BX78" i="2"/>
  <c r="BW78" i="2"/>
  <c r="BV78" i="2"/>
  <c r="BU78" i="2"/>
  <c r="BT78" i="2"/>
  <c r="BS78" i="2"/>
  <c r="BR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BB78" i="2"/>
  <c r="BA78" i="2"/>
  <c r="AZ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X77" i="2"/>
  <c r="CW77" i="2"/>
  <c r="CV77" i="2"/>
  <c r="CU77" i="2"/>
  <c r="CT77" i="2"/>
  <c r="CS77" i="2"/>
  <c r="CR77" i="2"/>
  <c r="CQ77" i="2"/>
  <c r="CP77" i="2"/>
  <c r="CO77" i="2"/>
  <c r="CN77" i="2"/>
  <c r="CM77" i="2"/>
  <c r="CL77" i="2"/>
  <c r="CK77" i="2"/>
  <c r="CJ77" i="2"/>
  <c r="CI77" i="2"/>
  <c r="CH77" i="2"/>
  <c r="CG77" i="2"/>
  <c r="CF77" i="2"/>
  <c r="CE77" i="2"/>
  <c r="CD77" i="2"/>
  <c r="CC77" i="2"/>
  <c r="CB77" i="2"/>
  <c r="CA77" i="2"/>
  <c r="BZ77" i="2"/>
  <c r="BY77" i="2"/>
  <c r="BX77" i="2"/>
  <c r="BW77" i="2"/>
  <c r="BV77" i="2"/>
  <c r="BU77" i="2"/>
  <c r="BT77" i="2"/>
  <c r="BS77" i="2"/>
  <c r="BR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BB77" i="2"/>
  <c r="BA77" i="2"/>
  <c r="AZ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X76" i="2"/>
  <c r="CX93" i="2" s="1"/>
  <c r="CW76" i="2"/>
  <c r="CV76" i="2"/>
  <c r="CU76" i="2"/>
  <c r="CT76" i="2"/>
  <c r="CT93" i="2" s="1"/>
  <c r="CS76" i="2"/>
  <c r="CR76" i="2"/>
  <c r="CQ76" i="2"/>
  <c r="CP76" i="2"/>
  <c r="CP93" i="2" s="1"/>
  <c r="CO76" i="2"/>
  <c r="CN76" i="2"/>
  <c r="CM76" i="2"/>
  <c r="CL76" i="2"/>
  <c r="CL93" i="2" s="1"/>
  <c r="CK76" i="2"/>
  <c r="CJ76" i="2"/>
  <c r="CI76" i="2"/>
  <c r="CH76" i="2"/>
  <c r="CH93" i="2" s="1"/>
  <c r="CG76" i="2"/>
  <c r="CF76" i="2"/>
  <c r="CE76" i="2"/>
  <c r="CD76" i="2"/>
  <c r="CD93" i="2" s="1"/>
  <c r="CC76" i="2"/>
  <c r="CB76" i="2"/>
  <c r="CA76" i="2"/>
  <c r="BZ76" i="2"/>
  <c r="BZ93" i="2" s="1"/>
  <c r="BY76" i="2"/>
  <c r="BX76" i="2"/>
  <c r="BW76" i="2"/>
  <c r="BV76" i="2"/>
  <c r="BV93" i="2" s="1"/>
  <c r="BU76" i="2"/>
  <c r="BT76" i="2"/>
  <c r="BS76" i="2"/>
  <c r="BR76" i="2"/>
  <c r="BR93" i="2" s="1"/>
  <c r="BQ76" i="2"/>
  <c r="BP76" i="2"/>
  <c r="BO76" i="2"/>
  <c r="BN76" i="2"/>
  <c r="BN93" i="2" s="1"/>
  <c r="BM76" i="2"/>
  <c r="BL76" i="2"/>
  <c r="BK76" i="2"/>
  <c r="BJ76" i="2"/>
  <c r="BJ93" i="2" s="1"/>
  <c r="BI76" i="2"/>
  <c r="BH76" i="2"/>
  <c r="BG76" i="2"/>
  <c r="BF76" i="2"/>
  <c r="BF93" i="2" s="1"/>
  <c r="BE76" i="2"/>
  <c r="BD76" i="2"/>
  <c r="BC76" i="2"/>
  <c r="BB76" i="2"/>
  <c r="BB93" i="2" s="1"/>
  <c r="BA76" i="2"/>
  <c r="AZ76" i="2"/>
  <c r="AY76" i="2"/>
  <c r="AX76" i="2"/>
  <c r="AX93" i="2" s="1"/>
  <c r="AW76" i="2"/>
  <c r="AV76" i="2"/>
  <c r="AU76" i="2"/>
  <c r="AT76" i="2"/>
  <c r="AT93" i="2" s="1"/>
  <c r="AS76" i="2"/>
  <c r="AR76" i="2"/>
  <c r="AQ76" i="2"/>
  <c r="AP76" i="2"/>
  <c r="AP93" i="2" s="1"/>
  <c r="AO76" i="2"/>
  <c r="AN76" i="2"/>
  <c r="AM76" i="2"/>
  <c r="AL76" i="2"/>
  <c r="AL93" i="2" s="1"/>
  <c r="AK76" i="2"/>
  <c r="AJ76" i="2"/>
  <c r="AI76" i="2"/>
  <c r="AH76" i="2"/>
  <c r="AH93" i="2" s="1"/>
  <c r="AG76" i="2"/>
  <c r="AF76" i="2"/>
  <c r="AE76" i="2"/>
  <c r="AD76" i="2"/>
  <c r="AD93" i="2" s="1"/>
  <c r="AC76" i="2"/>
  <c r="AB76" i="2"/>
  <c r="AA76" i="2"/>
  <c r="Z76" i="2"/>
  <c r="Z93" i="2" s="1"/>
  <c r="Y76" i="2"/>
  <c r="X76" i="2"/>
  <c r="W76" i="2"/>
  <c r="V76" i="2"/>
  <c r="V93" i="2" s="1"/>
  <c r="U76" i="2"/>
  <c r="T76" i="2"/>
  <c r="S76" i="2"/>
  <c r="R76" i="2"/>
  <c r="R93" i="2" s="1"/>
  <c r="Q76" i="2"/>
  <c r="P76" i="2"/>
  <c r="O76" i="2"/>
  <c r="N76" i="2"/>
  <c r="N93" i="2" s="1"/>
  <c r="M76" i="2"/>
  <c r="L76" i="2"/>
  <c r="K76" i="2"/>
  <c r="J76" i="2"/>
  <c r="J93" i="2" s="1"/>
  <c r="I76" i="2"/>
  <c r="H76" i="2"/>
  <c r="G76" i="2"/>
  <c r="F76" i="2"/>
  <c r="F93" i="2" s="1"/>
  <c r="E76" i="2"/>
  <c r="D76" i="2"/>
  <c r="CX75" i="2"/>
  <c r="CW75" i="2"/>
  <c r="CW92" i="2" s="1"/>
  <c r="CV75" i="2"/>
  <c r="CU75" i="2"/>
  <c r="CT75" i="2"/>
  <c r="CS75" i="2"/>
  <c r="CS92" i="2" s="1"/>
  <c r="CR75" i="2"/>
  <c r="CQ75" i="2"/>
  <c r="CP75" i="2"/>
  <c r="CO75" i="2"/>
  <c r="CO92" i="2" s="1"/>
  <c r="CN75" i="2"/>
  <c r="CM75" i="2"/>
  <c r="CL75" i="2"/>
  <c r="CK75" i="2"/>
  <c r="CK92" i="2" s="1"/>
  <c r="CJ75" i="2"/>
  <c r="CI75" i="2"/>
  <c r="CH75" i="2"/>
  <c r="CG75" i="2"/>
  <c r="CG92" i="2" s="1"/>
  <c r="CF75" i="2"/>
  <c r="CE75" i="2"/>
  <c r="CD75" i="2"/>
  <c r="CC75" i="2"/>
  <c r="CC92" i="2" s="1"/>
  <c r="CB75" i="2"/>
  <c r="CA75" i="2"/>
  <c r="BZ75" i="2"/>
  <c r="BY75" i="2"/>
  <c r="BY92" i="2" s="1"/>
  <c r="BX75" i="2"/>
  <c r="BW75" i="2"/>
  <c r="BV75" i="2"/>
  <c r="BU75" i="2"/>
  <c r="BU92" i="2" s="1"/>
  <c r="BT75" i="2"/>
  <c r="BS75" i="2"/>
  <c r="BR75" i="2"/>
  <c r="BQ75" i="2"/>
  <c r="BQ92" i="2" s="1"/>
  <c r="BP75" i="2"/>
  <c r="BO75" i="2"/>
  <c r="BN75" i="2"/>
  <c r="BM75" i="2"/>
  <c r="BM92" i="2" s="1"/>
  <c r="BL75" i="2"/>
  <c r="BK75" i="2"/>
  <c r="BJ75" i="2"/>
  <c r="BI75" i="2"/>
  <c r="BI92" i="2" s="1"/>
  <c r="BH75" i="2"/>
  <c r="BG75" i="2"/>
  <c r="BF75" i="2"/>
  <c r="BE75" i="2"/>
  <c r="BE92" i="2" s="1"/>
  <c r="BD75" i="2"/>
  <c r="BC75" i="2"/>
  <c r="BB75" i="2"/>
  <c r="BA75" i="2"/>
  <c r="BA92" i="2" s="1"/>
  <c r="AZ75" i="2"/>
  <c r="AY75" i="2"/>
  <c r="AX75" i="2"/>
  <c r="AW75" i="2"/>
  <c r="AW92" i="2" s="1"/>
  <c r="AV75" i="2"/>
  <c r="AU75" i="2"/>
  <c r="AT75" i="2"/>
  <c r="AS75" i="2"/>
  <c r="AS92" i="2" s="1"/>
  <c r="AR75" i="2"/>
  <c r="AQ75" i="2"/>
  <c r="AP75" i="2"/>
  <c r="AO75" i="2"/>
  <c r="AO92" i="2" s="1"/>
  <c r="AN75" i="2"/>
  <c r="AM75" i="2"/>
  <c r="AL75" i="2"/>
  <c r="AK75" i="2"/>
  <c r="AK92" i="2" s="1"/>
  <c r="AJ75" i="2"/>
  <c r="AI75" i="2"/>
  <c r="AH75" i="2"/>
  <c r="AG75" i="2"/>
  <c r="AG92" i="2" s="1"/>
  <c r="AF75" i="2"/>
  <c r="AE75" i="2"/>
  <c r="AD75" i="2"/>
  <c r="AC75" i="2"/>
  <c r="AC92" i="2" s="1"/>
  <c r="AB75" i="2"/>
  <c r="AA75" i="2"/>
  <c r="Z75" i="2"/>
  <c r="Y75" i="2"/>
  <c r="Y92" i="2" s="1"/>
  <c r="X75" i="2"/>
  <c r="W75" i="2"/>
  <c r="V75" i="2"/>
  <c r="U75" i="2"/>
  <c r="U92" i="2" s="1"/>
  <c r="T75" i="2"/>
  <c r="S75" i="2"/>
  <c r="R75" i="2"/>
  <c r="Q75" i="2"/>
  <c r="Q92" i="2" s="1"/>
  <c r="P75" i="2"/>
  <c r="O75" i="2"/>
  <c r="N75" i="2"/>
  <c r="M75" i="2"/>
  <c r="M92" i="2" s="1"/>
  <c r="L75" i="2"/>
  <c r="K75" i="2"/>
  <c r="J75" i="2"/>
  <c r="I75" i="2"/>
  <c r="I92" i="2" s="1"/>
  <c r="H75" i="2"/>
  <c r="G75" i="2"/>
  <c r="F75" i="2"/>
  <c r="E75" i="2"/>
  <c r="E92" i="2" s="1"/>
  <c r="D75" i="2"/>
  <c r="CX74" i="2"/>
  <c r="CW74" i="2"/>
  <c r="CV74" i="2"/>
  <c r="CV91" i="2" s="1"/>
  <c r="CU74" i="2"/>
  <c r="CT74" i="2"/>
  <c r="CS74" i="2"/>
  <c r="CR74" i="2"/>
  <c r="CR91" i="2" s="1"/>
  <c r="CQ74" i="2"/>
  <c r="CP74" i="2"/>
  <c r="CO74" i="2"/>
  <c r="CN74" i="2"/>
  <c r="CN91" i="2" s="1"/>
  <c r="CM74" i="2"/>
  <c r="CL74" i="2"/>
  <c r="CK74" i="2"/>
  <c r="CJ74" i="2"/>
  <c r="CJ91" i="2" s="1"/>
  <c r="CI74" i="2"/>
  <c r="CH74" i="2"/>
  <c r="CG74" i="2"/>
  <c r="CF74" i="2"/>
  <c r="CF91" i="2" s="1"/>
  <c r="CE74" i="2"/>
  <c r="CD74" i="2"/>
  <c r="CC74" i="2"/>
  <c r="CB74" i="2"/>
  <c r="CB91" i="2" s="1"/>
  <c r="CA74" i="2"/>
  <c r="BZ74" i="2"/>
  <c r="BY74" i="2"/>
  <c r="BX74" i="2"/>
  <c r="BX91" i="2" s="1"/>
  <c r="BW74" i="2"/>
  <c r="BV74" i="2"/>
  <c r="BU74" i="2"/>
  <c r="BT74" i="2"/>
  <c r="BT91" i="2" s="1"/>
  <c r="BS74" i="2"/>
  <c r="BR74" i="2"/>
  <c r="BQ74" i="2"/>
  <c r="BP74" i="2"/>
  <c r="BP91" i="2" s="1"/>
  <c r="BO74" i="2"/>
  <c r="BN74" i="2"/>
  <c r="BM74" i="2"/>
  <c r="BL74" i="2"/>
  <c r="BL91" i="2" s="1"/>
  <c r="BK74" i="2"/>
  <c r="BJ74" i="2"/>
  <c r="BI74" i="2"/>
  <c r="BH74" i="2"/>
  <c r="BH91" i="2" s="1"/>
  <c r="BG74" i="2"/>
  <c r="BF74" i="2"/>
  <c r="BE74" i="2"/>
  <c r="BD74" i="2"/>
  <c r="BD91" i="2" s="1"/>
  <c r="BC74" i="2"/>
  <c r="BB74" i="2"/>
  <c r="BA74" i="2"/>
  <c r="AZ74" i="2"/>
  <c r="AZ91" i="2" s="1"/>
  <c r="AY74" i="2"/>
  <c r="AX74" i="2"/>
  <c r="AW74" i="2"/>
  <c r="AV74" i="2"/>
  <c r="AV91" i="2" s="1"/>
  <c r="AU74" i="2"/>
  <c r="AT74" i="2"/>
  <c r="AS74" i="2"/>
  <c r="AR74" i="2"/>
  <c r="AR91" i="2" s="1"/>
  <c r="AQ74" i="2"/>
  <c r="AP74" i="2"/>
  <c r="AO74" i="2"/>
  <c r="AN74" i="2"/>
  <c r="AN91" i="2" s="1"/>
  <c r="AM74" i="2"/>
  <c r="AL74" i="2"/>
  <c r="AK74" i="2"/>
  <c r="AJ74" i="2"/>
  <c r="AJ91" i="2" s="1"/>
  <c r="AI74" i="2"/>
  <c r="AH74" i="2"/>
  <c r="AG74" i="2"/>
  <c r="AF74" i="2"/>
  <c r="AF91" i="2" s="1"/>
  <c r="AE74" i="2"/>
  <c r="AD74" i="2"/>
  <c r="AC74" i="2"/>
  <c r="AB74" i="2"/>
  <c r="AB91" i="2" s="1"/>
  <c r="AA74" i="2"/>
  <c r="Z74" i="2"/>
  <c r="Y74" i="2"/>
  <c r="X74" i="2"/>
  <c r="X91" i="2" s="1"/>
  <c r="W74" i="2"/>
  <c r="V74" i="2"/>
  <c r="U74" i="2"/>
  <c r="T74" i="2"/>
  <c r="T91" i="2" s="1"/>
  <c r="S74" i="2"/>
  <c r="R74" i="2"/>
  <c r="Q74" i="2"/>
  <c r="P74" i="2"/>
  <c r="P91" i="2" s="1"/>
  <c r="O74" i="2"/>
  <c r="N74" i="2"/>
  <c r="M74" i="2"/>
  <c r="L74" i="2"/>
  <c r="L91" i="2" s="1"/>
  <c r="K74" i="2"/>
  <c r="J74" i="2"/>
  <c r="I74" i="2"/>
  <c r="H74" i="2"/>
  <c r="H91" i="2" s="1"/>
  <c r="G74" i="2"/>
  <c r="F74" i="2"/>
  <c r="E74" i="2"/>
  <c r="D74" i="2"/>
  <c r="D91" i="2" s="1"/>
  <c r="CX73" i="2"/>
  <c r="CW73" i="2"/>
  <c r="CV73" i="2"/>
  <c r="CU73" i="2"/>
  <c r="CU90" i="2" s="1"/>
  <c r="CT73" i="2"/>
  <c r="CS73" i="2"/>
  <c r="CR73" i="2"/>
  <c r="CQ73" i="2"/>
  <c r="CQ90" i="2" s="1"/>
  <c r="CP73" i="2"/>
  <c r="CO73" i="2"/>
  <c r="CN73" i="2"/>
  <c r="CM73" i="2"/>
  <c r="CM90" i="2" s="1"/>
  <c r="CL73" i="2"/>
  <c r="CK73" i="2"/>
  <c r="CJ73" i="2"/>
  <c r="CI73" i="2"/>
  <c r="CI90" i="2" s="1"/>
  <c r="CH73" i="2"/>
  <c r="CG73" i="2"/>
  <c r="CF73" i="2"/>
  <c r="CE73" i="2"/>
  <c r="CE90" i="2" s="1"/>
  <c r="CD73" i="2"/>
  <c r="CC73" i="2"/>
  <c r="CB73" i="2"/>
  <c r="CA73" i="2"/>
  <c r="CA90" i="2" s="1"/>
  <c r="BZ73" i="2"/>
  <c r="BY73" i="2"/>
  <c r="BX73" i="2"/>
  <c r="BW73" i="2"/>
  <c r="BW90" i="2" s="1"/>
  <c r="BV73" i="2"/>
  <c r="BU73" i="2"/>
  <c r="BT73" i="2"/>
  <c r="BS73" i="2"/>
  <c r="BS90" i="2" s="1"/>
  <c r="BR73" i="2"/>
  <c r="BQ73" i="2"/>
  <c r="BP73" i="2"/>
  <c r="BO73" i="2"/>
  <c r="BO90" i="2" s="1"/>
  <c r="BN73" i="2"/>
  <c r="BM73" i="2"/>
  <c r="BL73" i="2"/>
  <c r="BK73" i="2"/>
  <c r="BK90" i="2" s="1"/>
  <c r="BJ73" i="2"/>
  <c r="BI73" i="2"/>
  <c r="BH73" i="2"/>
  <c r="BG73" i="2"/>
  <c r="BG90" i="2" s="1"/>
  <c r="BF73" i="2"/>
  <c r="BE73" i="2"/>
  <c r="BD73" i="2"/>
  <c r="BC73" i="2"/>
  <c r="BC90" i="2" s="1"/>
  <c r="BB73" i="2"/>
  <c r="BA73" i="2"/>
  <c r="AZ73" i="2"/>
  <c r="AY73" i="2"/>
  <c r="AY90" i="2" s="1"/>
  <c r="AX73" i="2"/>
  <c r="AW73" i="2"/>
  <c r="AV73" i="2"/>
  <c r="AU73" i="2"/>
  <c r="AU90" i="2" s="1"/>
  <c r="AT73" i="2"/>
  <c r="AS73" i="2"/>
  <c r="AR73" i="2"/>
  <c r="AQ73" i="2"/>
  <c r="AQ90" i="2" s="1"/>
  <c r="AP73" i="2"/>
  <c r="AO73" i="2"/>
  <c r="AN73" i="2"/>
  <c r="AM73" i="2"/>
  <c r="AM90" i="2" s="1"/>
  <c r="AL73" i="2"/>
  <c r="AK73" i="2"/>
  <c r="AJ73" i="2"/>
  <c r="AI73" i="2"/>
  <c r="AI90" i="2" s="1"/>
  <c r="AH73" i="2"/>
  <c r="AG73" i="2"/>
  <c r="AF73" i="2"/>
  <c r="AE73" i="2"/>
  <c r="AE90" i="2" s="1"/>
  <c r="AD73" i="2"/>
  <c r="AC73" i="2"/>
  <c r="AB73" i="2"/>
  <c r="AA73" i="2"/>
  <c r="AA90" i="2" s="1"/>
  <c r="Z73" i="2"/>
  <c r="Y73" i="2"/>
  <c r="X73" i="2"/>
  <c r="W73" i="2"/>
  <c r="W90" i="2" s="1"/>
  <c r="V73" i="2"/>
  <c r="U73" i="2"/>
  <c r="T73" i="2"/>
  <c r="S73" i="2"/>
  <c r="S90" i="2" s="1"/>
  <c r="R73" i="2"/>
  <c r="Q73" i="2"/>
  <c r="P73" i="2"/>
  <c r="O73" i="2"/>
  <c r="O90" i="2" s="1"/>
  <c r="N73" i="2"/>
  <c r="M73" i="2"/>
  <c r="L73" i="2"/>
  <c r="K73" i="2"/>
  <c r="K90" i="2" s="1"/>
  <c r="J73" i="2"/>
  <c r="I73" i="2"/>
  <c r="H73" i="2"/>
  <c r="G73" i="2"/>
  <c r="G90" i="2" s="1"/>
  <c r="F73" i="2"/>
  <c r="E73" i="2"/>
  <c r="D73" i="2"/>
  <c r="CX72" i="2"/>
  <c r="CX89" i="2" s="1"/>
  <c r="CW72" i="2"/>
  <c r="CV72" i="2"/>
  <c r="CU72" i="2"/>
  <c r="CT72" i="2"/>
  <c r="CT89" i="2" s="1"/>
  <c r="CS72" i="2"/>
  <c r="CR72" i="2"/>
  <c r="CQ72" i="2"/>
  <c r="CP72" i="2"/>
  <c r="CP89" i="2" s="1"/>
  <c r="CO72" i="2"/>
  <c r="CN72" i="2"/>
  <c r="CM72" i="2"/>
  <c r="CL72" i="2"/>
  <c r="CL89" i="2" s="1"/>
  <c r="CK72" i="2"/>
  <c r="CJ72" i="2"/>
  <c r="CI72" i="2"/>
  <c r="CH72" i="2"/>
  <c r="CH89" i="2" s="1"/>
  <c r="CG72" i="2"/>
  <c r="CF72" i="2"/>
  <c r="CE72" i="2"/>
  <c r="CD72" i="2"/>
  <c r="CD89" i="2" s="1"/>
  <c r="CC72" i="2"/>
  <c r="CB72" i="2"/>
  <c r="CA72" i="2"/>
  <c r="BZ72" i="2"/>
  <c r="BZ89" i="2" s="1"/>
  <c r="BY72" i="2"/>
  <c r="BX72" i="2"/>
  <c r="BW72" i="2"/>
  <c r="BV72" i="2"/>
  <c r="BV89" i="2" s="1"/>
  <c r="BU72" i="2"/>
  <c r="BT72" i="2"/>
  <c r="BS72" i="2"/>
  <c r="BR72" i="2"/>
  <c r="BR89" i="2" s="1"/>
  <c r="BQ72" i="2"/>
  <c r="BP72" i="2"/>
  <c r="BO72" i="2"/>
  <c r="BN72" i="2"/>
  <c r="BN89" i="2" s="1"/>
  <c r="BM72" i="2"/>
  <c r="BL72" i="2"/>
  <c r="BK72" i="2"/>
  <c r="BJ72" i="2"/>
  <c r="BJ89" i="2" s="1"/>
  <c r="BI72" i="2"/>
  <c r="BH72" i="2"/>
  <c r="BG72" i="2"/>
  <c r="BF72" i="2"/>
  <c r="BF89" i="2" s="1"/>
  <c r="BE72" i="2"/>
  <c r="BD72" i="2"/>
  <c r="BC72" i="2"/>
  <c r="BB72" i="2"/>
  <c r="BB89" i="2" s="1"/>
  <c r="BA72" i="2"/>
  <c r="AZ72" i="2"/>
  <c r="AY72" i="2"/>
  <c r="AX72" i="2"/>
  <c r="AX89" i="2" s="1"/>
  <c r="AW72" i="2"/>
  <c r="AV72" i="2"/>
  <c r="AU72" i="2"/>
  <c r="AT72" i="2"/>
  <c r="AT89" i="2" s="1"/>
  <c r="AS72" i="2"/>
  <c r="AR72" i="2"/>
  <c r="AQ72" i="2"/>
  <c r="AP72" i="2"/>
  <c r="AP89" i="2" s="1"/>
  <c r="AO72" i="2"/>
  <c r="AN72" i="2"/>
  <c r="AM72" i="2"/>
  <c r="AL72" i="2"/>
  <c r="AL89" i="2" s="1"/>
  <c r="AK72" i="2"/>
  <c r="AJ72" i="2"/>
  <c r="AI72" i="2"/>
  <c r="AH72" i="2"/>
  <c r="AH89" i="2" s="1"/>
  <c r="AG72" i="2"/>
  <c r="AF72" i="2"/>
  <c r="AE72" i="2"/>
  <c r="AD72" i="2"/>
  <c r="AD89" i="2" s="1"/>
  <c r="AC72" i="2"/>
  <c r="AB72" i="2"/>
  <c r="AA72" i="2"/>
  <c r="Z72" i="2"/>
  <c r="Z89" i="2" s="1"/>
  <c r="Y72" i="2"/>
  <c r="X72" i="2"/>
  <c r="W72" i="2"/>
  <c r="V72" i="2"/>
  <c r="V89" i="2" s="1"/>
  <c r="U72" i="2"/>
  <c r="T72" i="2"/>
  <c r="S72" i="2"/>
  <c r="R72" i="2"/>
  <c r="R89" i="2" s="1"/>
  <c r="Q72" i="2"/>
  <c r="P72" i="2"/>
  <c r="O72" i="2"/>
  <c r="N72" i="2"/>
  <c r="N89" i="2" s="1"/>
  <c r="M72" i="2"/>
  <c r="L72" i="2"/>
  <c r="K72" i="2"/>
  <c r="J72" i="2"/>
  <c r="J89" i="2" s="1"/>
  <c r="I72" i="2"/>
  <c r="H72" i="2"/>
  <c r="G72" i="2"/>
  <c r="F72" i="2"/>
  <c r="F89" i="2" s="1"/>
  <c r="E72" i="2"/>
  <c r="D72" i="2"/>
  <c r="CX71" i="2"/>
  <c r="CW71" i="2"/>
  <c r="CW88" i="2" s="1"/>
  <c r="CV71" i="2"/>
  <c r="CU71" i="2"/>
  <c r="CT71" i="2"/>
  <c r="CS71" i="2"/>
  <c r="CS88" i="2" s="1"/>
  <c r="CR71" i="2"/>
  <c r="CQ71" i="2"/>
  <c r="CP71" i="2"/>
  <c r="CO71" i="2"/>
  <c r="CO88" i="2" s="1"/>
  <c r="CN71" i="2"/>
  <c r="CM71" i="2"/>
  <c r="CL71" i="2"/>
  <c r="CK71" i="2"/>
  <c r="CK88" i="2" s="1"/>
  <c r="CJ71" i="2"/>
  <c r="CI71" i="2"/>
  <c r="CH71" i="2"/>
  <c r="CG71" i="2"/>
  <c r="CG88" i="2" s="1"/>
  <c r="CF71" i="2"/>
  <c r="CE71" i="2"/>
  <c r="CD71" i="2"/>
  <c r="CC71" i="2"/>
  <c r="CC88" i="2" s="1"/>
  <c r="CB71" i="2"/>
  <c r="CA71" i="2"/>
  <c r="BZ71" i="2"/>
  <c r="BY71" i="2"/>
  <c r="BY88" i="2" s="1"/>
  <c r="BX71" i="2"/>
  <c r="BW71" i="2"/>
  <c r="BV71" i="2"/>
  <c r="BU71" i="2"/>
  <c r="BU88" i="2" s="1"/>
  <c r="BT71" i="2"/>
  <c r="BS71" i="2"/>
  <c r="BR71" i="2"/>
  <c r="BQ71" i="2"/>
  <c r="BQ88" i="2" s="1"/>
  <c r="BP71" i="2"/>
  <c r="BO71" i="2"/>
  <c r="BN71" i="2"/>
  <c r="BM71" i="2"/>
  <c r="BM88" i="2" s="1"/>
  <c r="BL71" i="2"/>
  <c r="BK71" i="2"/>
  <c r="BJ71" i="2"/>
  <c r="BI71" i="2"/>
  <c r="BI88" i="2" s="1"/>
  <c r="BH71" i="2"/>
  <c r="BG71" i="2"/>
  <c r="BF71" i="2"/>
  <c r="BE71" i="2"/>
  <c r="BE88" i="2" s="1"/>
  <c r="BD71" i="2"/>
  <c r="BC71" i="2"/>
  <c r="BB71" i="2"/>
  <c r="BA71" i="2"/>
  <c r="BA88" i="2" s="1"/>
  <c r="AZ71" i="2"/>
  <c r="AY71" i="2"/>
  <c r="AX71" i="2"/>
  <c r="AW71" i="2"/>
  <c r="AW88" i="2" s="1"/>
  <c r="AV71" i="2"/>
  <c r="AU71" i="2"/>
  <c r="AT71" i="2"/>
  <c r="AS71" i="2"/>
  <c r="AS88" i="2" s="1"/>
  <c r="AR71" i="2"/>
  <c r="AQ71" i="2"/>
  <c r="AP71" i="2"/>
  <c r="AO71" i="2"/>
  <c r="AO88" i="2" s="1"/>
  <c r="AN71" i="2"/>
  <c r="AM71" i="2"/>
  <c r="AL71" i="2"/>
  <c r="AK71" i="2"/>
  <c r="AK88" i="2" s="1"/>
  <c r="AJ71" i="2"/>
  <c r="AI71" i="2"/>
  <c r="AH71" i="2"/>
  <c r="AG71" i="2"/>
  <c r="AG88" i="2" s="1"/>
  <c r="AF71" i="2"/>
  <c r="AE71" i="2"/>
  <c r="AD71" i="2"/>
  <c r="AC71" i="2"/>
  <c r="AC88" i="2" s="1"/>
  <c r="AB71" i="2"/>
  <c r="AA71" i="2"/>
  <c r="Z71" i="2"/>
  <c r="Y71" i="2"/>
  <c r="Y88" i="2" s="1"/>
  <c r="X71" i="2"/>
  <c r="W71" i="2"/>
  <c r="V71" i="2"/>
  <c r="U71" i="2"/>
  <c r="U88" i="2" s="1"/>
  <c r="T71" i="2"/>
  <c r="S71" i="2"/>
  <c r="R71" i="2"/>
  <c r="Q71" i="2"/>
  <c r="Q88" i="2" s="1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X70" i="2"/>
  <c r="CW70" i="2"/>
  <c r="CV70" i="2"/>
  <c r="CU70" i="2"/>
  <c r="CT70" i="2"/>
  <c r="CS70" i="2"/>
  <c r="CR70" i="2"/>
  <c r="CQ70" i="2"/>
  <c r="CP70" i="2"/>
  <c r="CO70" i="2"/>
  <c r="CN70" i="2"/>
  <c r="CM70" i="2"/>
  <c r="CL70" i="2"/>
  <c r="CK70" i="2"/>
  <c r="CJ70" i="2"/>
  <c r="CI70" i="2"/>
  <c r="CH70" i="2"/>
  <c r="CG70" i="2"/>
  <c r="CF70" i="2"/>
  <c r="CE70" i="2"/>
  <c r="CD70" i="2"/>
  <c r="CC70" i="2"/>
  <c r="CB70" i="2"/>
  <c r="CA70" i="2"/>
  <c r="BZ70" i="2"/>
  <c r="BY70" i="2"/>
  <c r="BX70" i="2"/>
  <c r="BW70" i="2"/>
  <c r="BV70" i="2"/>
  <c r="BU70" i="2"/>
  <c r="BT70" i="2"/>
  <c r="BS70" i="2"/>
  <c r="BR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BB70" i="2"/>
  <c r="BA70" i="2"/>
  <c r="AZ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X69" i="2"/>
  <c r="CW69" i="2"/>
  <c r="CV69" i="2"/>
  <c r="CU69" i="2"/>
  <c r="CT69" i="2"/>
  <c r="CS69" i="2"/>
  <c r="CR69" i="2"/>
  <c r="CQ69" i="2"/>
  <c r="CP69" i="2"/>
  <c r="CO69" i="2"/>
  <c r="CN69" i="2"/>
  <c r="CM69" i="2"/>
  <c r="CL69" i="2"/>
  <c r="CK69" i="2"/>
  <c r="CJ69" i="2"/>
  <c r="CI69" i="2"/>
  <c r="CH69" i="2"/>
  <c r="CG69" i="2"/>
  <c r="CF69" i="2"/>
  <c r="CE69" i="2"/>
  <c r="CD69" i="2"/>
  <c r="CC69" i="2"/>
  <c r="CB69" i="2"/>
  <c r="CA69" i="2"/>
  <c r="BZ69" i="2"/>
  <c r="BY69" i="2"/>
  <c r="BX69" i="2"/>
  <c r="BW69" i="2"/>
  <c r="BV69" i="2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BB69" i="2"/>
  <c r="BA69" i="2"/>
  <c r="AZ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X68" i="2"/>
  <c r="CW68" i="2"/>
  <c r="CV68" i="2"/>
  <c r="CU68" i="2"/>
  <c r="CT68" i="2"/>
  <c r="CS68" i="2"/>
  <c r="CR68" i="2"/>
  <c r="CQ68" i="2"/>
  <c r="CP68" i="2"/>
  <c r="CO68" i="2"/>
  <c r="CN68" i="2"/>
  <c r="CM68" i="2"/>
  <c r="CL68" i="2"/>
  <c r="CK68" i="2"/>
  <c r="CJ68" i="2"/>
  <c r="CI68" i="2"/>
  <c r="CH68" i="2"/>
  <c r="CG68" i="2"/>
  <c r="CF68" i="2"/>
  <c r="CE68" i="2"/>
  <c r="CD68" i="2"/>
  <c r="CC68" i="2"/>
  <c r="CB68" i="2"/>
  <c r="CA68" i="2"/>
  <c r="BZ68" i="2"/>
  <c r="BY68" i="2"/>
  <c r="BX68" i="2"/>
  <c r="BW68" i="2"/>
  <c r="BV68" i="2"/>
  <c r="BU68" i="2"/>
  <c r="BT68" i="2"/>
  <c r="BS68" i="2"/>
  <c r="BR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BB68" i="2"/>
  <c r="BA68" i="2"/>
  <c r="AZ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X67" i="2"/>
  <c r="CW67" i="2"/>
  <c r="CV67" i="2"/>
  <c r="CU67" i="2"/>
  <c r="CT67" i="2"/>
  <c r="CS67" i="2"/>
  <c r="CR67" i="2"/>
  <c r="CQ67" i="2"/>
  <c r="CP67" i="2"/>
  <c r="CO67" i="2"/>
  <c r="CN67" i="2"/>
  <c r="CM67" i="2"/>
  <c r="CL67" i="2"/>
  <c r="CK67" i="2"/>
  <c r="CJ67" i="2"/>
  <c r="CI67" i="2"/>
  <c r="CH67" i="2"/>
  <c r="CG67" i="2"/>
  <c r="CF67" i="2"/>
  <c r="CE67" i="2"/>
  <c r="CD67" i="2"/>
  <c r="CC67" i="2"/>
  <c r="CB67" i="2"/>
  <c r="CA67" i="2"/>
  <c r="BZ67" i="2"/>
  <c r="BY67" i="2"/>
  <c r="BX67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X66" i="2"/>
  <c r="CW66" i="2"/>
  <c r="CV66" i="2"/>
  <c r="CU66" i="2"/>
  <c r="CT66" i="2"/>
  <c r="CS66" i="2"/>
  <c r="CR66" i="2"/>
  <c r="CQ66" i="2"/>
  <c r="CP66" i="2"/>
  <c r="CO66" i="2"/>
  <c r="CN66" i="2"/>
  <c r="CM66" i="2"/>
  <c r="CL66" i="2"/>
  <c r="CK66" i="2"/>
  <c r="CJ66" i="2"/>
  <c r="CI66" i="2"/>
  <c r="CH66" i="2"/>
  <c r="CG66" i="2"/>
  <c r="CF66" i="2"/>
  <c r="CE66" i="2"/>
  <c r="CD66" i="2"/>
  <c r="CC66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BB66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X65" i="2"/>
  <c r="CW65" i="2"/>
  <c r="CV65" i="2"/>
  <c r="CU65" i="2"/>
  <c r="CT65" i="2"/>
  <c r="CS65" i="2"/>
  <c r="CR65" i="2"/>
  <c r="CQ65" i="2"/>
  <c r="CP65" i="2"/>
  <c r="CO65" i="2"/>
  <c r="CN65" i="2"/>
  <c r="CM65" i="2"/>
  <c r="CL65" i="2"/>
  <c r="CK65" i="2"/>
  <c r="CJ65" i="2"/>
  <c r="CI65" i="2"/>
  <c r="CH65" i="2"/>
  <c r="CG65" i="2"/>
  <c r="CF65" i="2"/>
  <c r="CE65" i="2"/>
  <c r="CD65" i="2"/>
  <c r="CC65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BB65" i="2"/>
  <c r="BA65" i="2"/>
  <c r="AZ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X64" i="2"/>
  <c r="CW64" i="2"/>
  <c r="CV64" i="2"/>
  <c r="CU64" i="2"/>
  <c r="CT64" i="2"/>
  <c r="CS64" i="2"/>
  <c r="CR64" i="2"/>
  <c r="CQ64" i="2"/>
  <c r="CP64" i="2"/>
  <c r="CO64" i="2"/>
  <c r="CN64" i="2"/>
  <c r="CM64" i="2"/>
  <c r="CL64" i="2"/>
  <c r="CK64" i="2"/>
  <c r="CJ64" i="2"/>
  <c r="CI64" i="2"/>
  <c r="CH64" i="2"/>
  <c r="CG64" i="2"/>
  <c r="CF64" i="2"/>
  <c r="CE64" i="2"/>
  <c r="CD64" i="2"/>
  <c r="CC64" i="2"/>
  <c r="CB64" i="2"/>
  <c r="CA64" i="2"/>
  <c r="BZ64" i="2"/>
  <c r="BY64" i="2"/>
  <c r="BX64" i="2"/>
  <c r="BW64" i="2"/>
  <c r="BV64" i="2"/>
  <c r="BU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BB64" i="2"/>
  <c r="BA64" i="2"/>
  <c r="AZ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X54" i="2"/>
  <c r="CW54" i="2"/>
  <c r="CV54" i="2"/>
  <c r="CU54" i="2"/>
  <c r="CU63" i="2" s="1"/>
  <c r="CT54" i="2"/>
  <c r="CS54" i="2"/>
  <c r="CR54" i="2"/>
  <c r="CQ54" i="2"/>
  <c r="CQ63" i="2" s="1"/>
  <c r="CP54" i="2"/>
  <c r="CO54" i="2"/>
  <c r="CN54" i="2"/>
  <c r="CM54" i="2"/>
  <c r="CM63" i="2" s="1"/>
  <c r="CL54" i="2"/>
  <c r="CK54" i="2"/>
  <c r="CJ54" i="2"/>
  <c r="CI54" i="2"/>
  <c r="CI63" i="2" s="1"/>
  <c r="CH54" i="2"/>
  <c r="CG54" i="2"/>
  <c r="CF54" i="2"/>
  <c r="CE54" i="2"/>
  <c r="CE63" i="2" s="1"/>
  <c r="CD54" i="2"/>
  <c r="CC54" i="2"/>
  <c r="CB54" i="2"/>
  <c r="CA54" i="2"/>
  <c r="CA63" i="2" s="1"/>
  <c r="BZ54" i="2"/>
  <c r="BY54" i="2"/>
  <c r="BX54" i="2"/>
  <c r="BW54" i="2"/>
  <c r="BW63" i="2" s="1"/>
  <c r="BV54" i="2"/>
  <c r="BU54" i="2"/>
  <c r="BT54" i="2"/>
  <c r="BS54" i="2"/>
  <c r="BS63" i="2" s="1"/>
  <c r="BR54" i="2"/>
  <c r="BQ54" i="2"/>
  <c r="BP54" i="2"/>
  <c r="BO54" i="2"/>
  <c r="BO63" i="2" s="1"/>
  <c r="BN54" i="2"/>
  <c r="BM54" i="2"/>
  <c r="BL54" i="2"/>
  <c r="BK54" i="2"/>
  <c r="BK63" i="2" s="1"/>
  <c r="BJ54" i="2"/>
  <c r="BI54" i="2"/>
  <c r="BH54" i="2"/>
  <c r="BG54" i="2"/>
  <c r="BG63" i="2" s="1"/>
  <c r="BF54" i="2"/>
  <c r="BE54" i="2"/>
  <c r="BD54" i="2"/>
  <c r="BC54" i="2"/>
  <c r="BC63" i="2" s="1"/>
  <c r="BB54" i="2"/>
  <c r="BA54" i="2"/>
  <c r="AZ54" i="2"/>
  <c r="AY54" i="2"/>
  <c r="AY63" i="2" s="1"/>
  <c r="AX54" i="2"/>
  <c r="AW54" i="2"/>
  <c r="AV54" i="2"/>
  <c r="AU54" i="2"/>
  <c r="AU63" i="2" s="1"/>
  <c r="AT54" i="2"/>
  <c r="AS54" i="2"/>
  <c r="AR54" i="2"/>
  <c r="AQ54" i="2"/>
  <c r="AQ63" i="2" s="1"/>
  <c r="AP54" i="2"/>
  <c r="AO54" i="2"/>
  <c r="AN54" i="2"/>
  <c r="AM54" i="2"/>
  <c r="AM63" i="2" s="1"/>
  <c r="AL54" i="2"/>
  <c r="AK54" i="2"/>
  <c r="AJ54" i="2"/>
  <c r="AI54" i="2"/>
  <c r="AI63" i="2" s="1"/>
  <c r="AH54" i="2"/>
  <c r="AG54" i="2"/>
  <c r="AF54" i="2"/>
  <c r="AE54" i="2"/>
  <c r="AE63" i="2" s="1"/>
  <c r="AD54" i="2"/>
  <c r="AC54" i="2"/>
  <c r="AB54" i="2"/>
  <c r="AA54" i="2"/>
  <c r="AA63" i="2" s="1"/>
  <c r="Z54" i="2"/>
  <c r="Y54" i="2"/>
  <c r="X54" i="2"/>
  <c r="W54" i="2"/>
  <c r="W63" i="2" s="1"/>
  <c r="V54" i="2"/>
  <c r="U54" i="2"/>
  <c r="T54" i="2"/>
  <c r="S54" i="2"/>
  <c r="S63" i="2" s="1"/>
  <c r="R54" i="2"/>
  <c r="Q54" i="2"/>
  <c r="P54" i="2"/>
  <c r="O54" i="2"/>
  <c r="O63" i="2" s="1"/>
  <c r="N54" i="2"/>
  <c r="M54" i="2"/>
  <c r="L54" i="2"/>
  <c r="K54" i="2"/>
  <c r="K63" i="2" s="1"/>
  <c r="J54" i="2"/>
  <c r="I54" i="2"/>
  <c r="H54" i="2"/>
  <c r="G54" i="2"/>
  <c r="G63" i="2" s="1"/>
  <c r="F54" i="2"/>
  <c r="E54" i="2"/>
  <c r="D54" i="2"/>
  <c r="CX53" i="2"/>
  <c r="CW53" i="2"/>
  <c r="CV53" i="2"/>
  <c r="CU53" i="2"/>
  <c r="CT53" i="2"/>
  <c r="CS53" i="2"/>
  <c r="CR53" i="2"/>
  <c r="CQ53" i="2"/>
  <c r="CP53" i="2"/>
  <c r="CO53" i="2"/>
  <c r="CN53" i="2"/>
  <c r="CM53" i="2"/>
  <c r="CL53" i="2"/>
  <c r="CK53" i="2"/>
  <c r="CJ53" i="2"/>
  <c r="CI53" i="2"/>
  <c r="CH53" i="2"/>
  <c r="CG53" i="2"/>
  <c r="CF53" i="2"/>
  <c r="CE53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X52" i="2"/>
  <c r="CW52" i="2"/>
  <c r="CV52" i="2"/>
  <c r="CU52" i="2"/>
  <c r="CT52" i="2"/>
  <c r="CS52" i="2"/>
  <c r="CR52" i="2"/>
  <c r="CQ52" i="2"/>
  <c r="CP52" i="2"/>
  <c r="CO52" i="2"/>
  <c r="CN52" i="2"/>
  <c r="CM52" i="2"/>
  <c r="CL52" i="2"/>
  <c r="CK52" i="2"/>
  <c r="CJ52" i="2"/>
  <c r="CI52" i="2"/>
  <c r="CH52" i="2"/>
  <c r="CG52" i="2"/>
  <c r="CF52" i="2"/>
  <c r="CE52" i="2"/>
  <c r="CD52" i="2"/>
  <c r="CC52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X51" i="2"/>
  <c r="CW51" i="2"/>
  <c r="CV51" i="2"/>
  <c r="CU51" i="2"/>
  <c r="CT51" i="2"/>
  <c r="CS51" i="2"/>
  <c r="CR51" i="2"/>
  <c r="CQ51" i="2"/>
  <c r="CP51" i="2"/>
  <c r="CO51" i="2"/>
  <c r="CN51" i="2"/>
  <c r="CM51" i="2"/>
  <c r="CL51" i="2"/>
  <c r="CK51" i="2"/>
  <c r="CJ51" i="2"/>
  <c r="CI51" i="2"/>
  <c r="CH51" i="2"/>
  <c r="CG51" i="2"/>
  <c r="CF51" i="2"/>
  <c r="CE51" i="2"/>
  <c r="CD51" i="2"/>
  <c r="CC51" i="2"/>
  <c r="CB51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X50" i="2"/>
  <c r="CW50" i="2"/>
  <c r="CV50" i="2"/>
  <c r="CU50" i="2"/>
  <c r="CT50" i="2"/>
  <c r="CS50" i="2"/>
  <c r="CR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X49" i="2"/>
  <c r="CW49" i="2"/>
  <c r="CV49" i="2"/>
  <c r="CU49" i="2"/>
  <c r="CT49" i="2"/>
  <c r="CS49" i="2"/>
  <c r="CR49" i="2"/>
  <c r="CQ49" i="2"/>
  <c r="CP49" i="2"/>
  <c r="CO49" i="2"/>
  <c r="CN49" i="2"/>
  <c r="CM49" i="2"/>
  <c r="CL49" i="2"/>
  <c r="CK49" i="2"/>
  <c r="CJ49" i="2"/>
  <c r="CI49" i="2"/>
  <c r="CH49" i="2"/>
  <c r="CG49" i="2"/>
  <c r="CF49" i="2"/>
  <c r="CE49" i="2"/>
  <c r="CD49" i="2"/>
  <c r="CC49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X48" i="2"/>
  <c r="CW48" i="2"/>
  <c r="CV48" i="2"/>
  <c r="CU48" i="2"/>
  <c r="CT48" i="2"/>
  <c r="CS48" i="2"/>
  <c r="CR48" i="2"/>
  <c r="CQ48" i="2"/>
  <c r="CP48" i="2"/>
  <c r="CO48" i="2"/>
  <c r="CN48" i="2"/>
  <c r="CM48" i="2"/>
  <c r="CL48" i="2"/>
  <c r="CK48" i="2"/>
  <c r="CJ48" i="2"/>
  <c r="CI48" i="2"/>
  <c r="CH48" i="2"/>
  <c r="CG48" i="2"/>
  <c r="CF48" i="2"/>
  <c r="CE48" i="2"/>
  <c r="CD48" i="2"/>
  <c r="CC48" i="2"/>
  <c r="CB48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X46" i="2"/>
  <c r="CW46" i="2"/>
  <c r="CV46" i="2"/>
  <c r="CU46" i="2"/>
  <c r="CT46" i="2"/>
  <c r="CS46" i="2"/>
  <c r="CR46" i="2"/>
  <c r="CQ46" i="2"/>
  <c r="CP46" i="2"/>
  <c r="CO46" i="2"/>
  <c r="CN46" i="2"/>
  <c r="CM46" i="2"/>
  <c r="CL46" i="2"/>
  <c r="CK46" i="2"/>
  <c r="CJ46" i="2"/>
  <c r="CI46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X45" i="2"/>
  <c r="CX62" i="2" s="1"/>
  <c r="CW45" i="2"/>
  <c r="CV45" i="2"/>
  <c r="CU45" i="2"/>
  <c r="CT45" i="2"/>
  <c r="CT62" i="2" s="1"/>
  <c r="CS45" i="2"/>
  <c r="CR45" i="2"/>
  <c r="CQ45" i="2"/>
  <c r="CP45" i="2"/>
  <c r="CP62" i="2" s="1"/>
  <c r="CO45" i="2"/>
  <c r="CN45" i="2"/>
  <c r="CM45" i="2"/>
  <c r="CL45" i="2"/>
  <c r="CL62" i="2" s="1"/>
  <c r="CK45" i="2"/>
  <c r="CJ45" i="2"/>
  <c r="CI45" i="2"/>
  <c r="CH45" i="2"/>
  <c r="CH62" i="2" s="1"/>
  <c r="CG45" i="2"/>
  <c r="CF45" i="2"/>
  <c r="CE45" i="2"/>
  <c r="CD45" i="2"/>
  <c r="CD62" i="2" s="1"/>
  <c r="CC45" i="2"/>
  <c r="CB45" i="2"/>
  <c r="CA45" i="2"/>
  <c r="BZ45" i="2"/>
  <c r="BZ62" i="2" s="1"/>
  <c r="BY45" i="2"/>
  <c r="BX45" i="2"/>
  <c r="BW45" i="2"/>
  <c r="BV45" i="2"/>
  <c r="BV62" i="2" s="1"/>
  <c r="BU45" i="2"/>
  <c r="BT45" i="2"/>
  <c r="BS45" i="2"/>
  <c r="BR45" i="2"/>
  <c r="BR62" i="2" s="1"/>
  <c r="BQ45" i="2"/>
  <c r="BP45" i="2"/>
  <c r="BO45" i="2"/>
  <c r="BN45" i="2"/>
  <c r="BN62" i="2" s="1"/>
  <c r="BM45" i="2"/>
  <c r="BL45" i="2"/>
  <c r="BK45" i="2"/>
  <c r="BJ45" i="2"/>
  <c r="BJ62" i="2" s="1"/>
  <c r="BI45" i="2"/>
  <c r="BH45" i="2"/>
  <c r="BG45" i="2"/>
  <c r="BF45" i="2"/>
  <c r="BF62" i="2" s="1"/>
  <c r="BE45" i="2"/>
  <c r="BD45" i="2"/>
  <c r="BC45" i="2"/>
  <c r="BB45" i="2"/>
  <c r="BB62" i="2" s="1"/>
  <c r="BA45" i="2"/>
  <c r="AZ45" i="2"/>
  <c r="AY45" i="2"/>
  <c r="AX45" i="2"/>
  <c r="AX62" i="2" s="1"/>
  <c r="AW45" i="2"/>
  <c r="AV45" i="2"/>
  <c r="AU45" i="2"/>
  <c r="AT45" i="2"/>
  <c r="AT62" i="2" s="1"/>
  <c r="AS45" i="2"/>
  <c r="AR45" i="2"/>
  <c r="AQ45" i="2"/>
  <c r="AP45" i="2"/>
  <c r="AP62" i="2" s="1"/>
  <c r="AO45" i="2"/>
  <c r="AN45" i="2"/>
  <c r="AM45" i="2"/>
  <c r="AL45" i="2"/>
  <c r="AL62" i="2" s="1"/>
  <c r="AK45" i="2"/>
  <c r="AJ45" i="2"/>
  <c r="AI45" i="2"/>
  <c r="AH45" i="2"/>
  <c r="AH62" i="2" s="1"/>
  <c r="AG45" i="2"/>
  <c r="AF45" i="2"/>
  <c r="AE45" i="2"/>
  <c r="AD45" i="2"/>
  <c r="AD62" i="2" s="1"/>
  <c r="AC45" i="2"/>
  <c r="AB45" i="2"/>
  <c r="AA45" i="2"/>
  <c r="Z45" i="2"/>
  <c r="Z62" i="2" s="1"/>
  <c r="Y45" i="2"/>
  <c r="X45" i="2"/>
  <c r="W45" i="2"/>
  <c r="V45" i="2"/>
  <c r="V62" i="2" s="1"/>
  <c r="U45" i="2"/>
  <c r="T45" i="2"/>
  <c r="S45" i="2"/>
  <c r="R45" i="2"/>
  <c r="R62" i="2" s="1"/>
  <c r="Q45" i="2"/>
  <c r="P45" i="2"/>
  <c r="O45" i="2"/>
  <c r="N45" i="2"/>
  <c r="N62" i="2" s="1"/>
  <c r="M45" i="2"/>
  <c r="L45" i="2"/>
  <c r="K45" i="2"/>
  <c r="J45" i="2"/>
  <c r="J62" i="2" s="1"/>
  <c r="I45" i="2"/>
  <c r="H45" i="2"/>
  <c r="G45" i="2"/>
  <c r="F45" i="2"/>
  <c r="F62" i="2" s="1"/>
  <c r="E45" i="2"/>
  <c r="D45" i="2"/>
  <c r="CX44" i="2"/>
  <c r="CW44" i="2"/>
  <c r="CW61" i="2" s="1"/>
  <c r="CV44" i="2"/>
  <c r="CU44" i="2"/>
  <c r="CT44" i="2"/>
  <c r="CS44" i="2"/>
  <c r="CS61" i="2" s="1"/>
  <c r="CR44" i="2"/>
  <c r="CQ44" i="2"/>
  <c r="CP44" i="2"/>
  <c r="CO44" i="2"/>
  <c r="CO61" i="2" s="1"/>
  <c r="CN44" i="2"/>
  <c r="CM44" i="2"/>
  <c r="CL44" i="2"/>
  <c r="CK44" i="2"/>
  <c r="CK61" i="2" s="1"/>
  <c r="CJ44" i="2"/>
  <c r="CI44" i="2"/>
  <c r="CH44" i="2"/>
  <c r="CG44" i="2"/>
  <c r="CG61" i="2" s="1"/>
  <c r="CF44" i="2"/>
  <c r="CE44" i="2"/>
  <c r="CD44" i="2"/>
  <c r="CC44" i="2"/>
  <c r="CC61" i="2" s="1"/>
  <c r="CB44" i="2"/>
  <c r="CA44" i="2"/>
  <c r="BZ44" i="2"/>
  <c r="BY44" i="2"/>
  <c r="BY61" i="2" s="1"/>
  <c r="BX44" i="2"/>
  <c r="BW44" i="2"/>
  <c r="BV44" i="2"/>
  <c r="BU44" i="2"/>
  <c r="BU61" i="2" s="1"/>
  <c r="BT44" i="2"/>
  <c r="BS44" i="2"/>
  <c r="BR44" i="2"/>
  <c r="BQ44" i="2"/>
  <c r="BQ61" i="2" s="1"/>
  <c r="BP44" i="2"/>
  <c r="BO44" i="2"/>
  <c r="BN44" i="2"/>
  <c r="BM44" i="2"/>
  <c r="BM61" i="2" s="1"/>
  <c r="BL44" i="2"/>
  <c r="BK44" i="2"/>
  <c r="BJ44" i="2"/>
  <c r="BI44" i="2"/>
  <c r="BI61" i="2" s="1"/>
  <c r="BH44" i="2"/>
  <c r="BG44" i="2"/>
  <c r="BF44" i="2"/>
  <c r="BE44" i="2"/>
  <c r="BE61" i="2" s="1"/>
  <c r="BD44" i="2"/>
  <c r="BC44" i="2"/>
  <c r="BB44" i="2"/>
  <c r="BA44" i="2"/>
  <c r="BA61" i="2" s="1"/>
  <c r="AZ44" i="2"/>
  <c r="AY44" i="2"/>
  <c r="AX44" i="2"/>
  <c r="AW44" i="2"/>
  <c r="AW61" i="2" s="1"/>
  <c r="AV44" i="2"/>
  <c r="AU44" i="2"/>
  <c r="AT44" i="2"/>
  <c r="AS44" i="2"/>
  <c r="AS61" i="2" s="1"/>
  <c r="AR44" i="2"/>
  <c r="AQ44" i="2"/>
  <c r="AP44" i="2"/>
  <c r="AO44" i="2"/>
  <c r="AO61" i="2" s="1"/>
  <c r="AN44" i="2"/>
  <c r="AM44" i="2"/>
  <c r="AL44" i="2"/>
  <c r="AK44" i="2"/>
  <c r="AK61" i="2" s="1"/>
  <c r="AJ44" i="2"/>
  <c r="AI44" i="2"/>
  <c r="AH44" i="2"/>
  <c r="AG44" i="2"/>
  <c r="AG61" i="2" s="1"/>
  <c r="AF44" i="2"/>
  <c r="AE44" i="2"/>
  <c r="AD44" i="2"/>
  <c r="AC44" i="2"/>
  <c r="AC61" i="2" s="1"/>
  <c r="AB44" i="2"/>
  <c r="AA44" i="2"/>
  <c r="Z44" i="2"/>
  <c r="Y44" i="2"/>
  <c r="Y61" i="2" s="1"/>
  <c r="X44" i="2"/>
  <c r="W44" i="2"/>
  <c r="V44" i="2"/>
  <c r="U44" i="2"/>
  <c r="U61" i="2" s="1"/>
  <c r="T44" i="2"/>
  <c r="S44" i="2"/>
  <c r="R44" i="2"/>
  <c r="Q44" i="2"/>
  <c r="Q61" i="2" s="1"/>
  <c r="P44" i="2"/>
  <c r="O44" i="2"/>
  <c r="N44" i="2"/>
  <c r="M44" i="2"/>
  <c r="M61" i="2" s="1"/>
  <c r="L44" i="2"/>
  <c r="K44" i="2"/>
  <c r="J44" i="2"/>
  <c r="I44" i="2"/>
  <c r="I61" i="2" s="1"/>
  <c r="H44" i="2"/>
  <c r="G44" i="2"/>
  <c r="F44" i="2"/>
  <c r="E44" i="2"/>
  <c r="E61" i="2" s="1"/>
  <c r="D44" i="2"/>
  <c r="CX43" i="2"/>
  <c r="CW43" i="2"/>
  <c r="CV43" i="2"/>
  <c r="CV60" i="2" s="1"/>
  <c r="CU43" i="2"/>
  <c r="CT43" i="2"/>
  <c r="CS43" i="2"/>
  <c r="CR43" i="2"/>
  <c r="CR60" i="2" s="1"/>
  <c r="CQ43" i="2"/>
  <c r="CP43" i="2"/>
  <c r="CO43" i="2"/>
  <c r="CN43" i="2"/>
  <c r="CN60" i="2" s="1"/>
  <c r="CM43" i="2"/>
  <c r="CL43" i="2"/>
  <c r="CK43" i="2"/>
  <c r="CJ43" i="2"/>
  <c r="CJ60" i="2" s="1"/>
  <c r="CI43" i="2"/>
  <c r="CH43" i="2"/>
  <c r="CG43" i="2"/>
  <c r="CF43" i="2"/>
  <c r="CF60" i="2" s="1"/>
  <c r="CE43" i="2"/>
  <c r="CD43" i="2"/>
  <c r="CC43" i="2"/>
  <c r="CB43" i="2"/>
  <c r="CB60" i="2" s="1"/>
  <c r="CA43" i="2"/>
  <c r="BZ43" i="2"/>
  <c r="BY43" i="2"/>
  <c r="BX43" i="2"/>
  <c r="BX60" i="2" s="1"/>
  <c r="BW43" i="2"/>
  <c r="BV43" i="2"/>
  <c r="BU43" i="2"/>
  <c r="BT43" i="2"/>
  <c r="BT60" i="2" s="1"/>
  <c r="BS43" i="2"/>
  <c r="BR43" i="2"/>
  <c r="BQ43" i="2"/>
  <c r="BP43" i="2"/>
  <c r="BP60" i="2" s="1"/>
  <c r="BO43" i="2"/>
  <c r="BN43" i="2"/>
  <c r="BM43" i="2"/>
  <c r="BL43" i="2"/>
  <c r="BL60" i="2" s="1"/>
  <c r="BK43" i="2"/>
  <c r="BJ43" i="2"/>
  <c r="BI43" i="2"/>
  <c r="BH43" i="2"/>
  <c r="BH60" i="2" s="1"/>
  <c r="BG43" i="2"/>
  <c r="BF43" i="2"/>
  <c r="BE43" i="2"/>
  <c r="BD43" i="2"/>
  <c r="BD60" i="2" s="1"/>
  <c r="BC43" i="2"/>
  <c r="BB43" i="2"/>
  <c r="BA43" i="2"/>
  <c r="AZ43" i="2"/>
  <c r="AZ60" i="2" s="1"/>
  <c r="AY43" i="2"/>
  <c r="AX43" i="2"/>
  <c r="AW43" i="2"/>
  <c r="AV43" i="2"/>
  <c r="AV60" i="2" s="1"/>
  <c r="AU43" i="2"/>
  <c r="AT43" i="2"/>
  <c r="AS43" i="2"/>
  <c r="AR43" i="2"/>
  <c r="AR60" i="2" s="1"/>
  <c r="AQ43" i="2"/>
  <c r="AP43" i="2"/>
  <c r="AO43" i="2"/>
  <c r="AN43" i="2"/>
  <c r="AN60" i="2" s="1"/>
  <c r="AM43" i="2"/>
  <c r="AL43" i="2"/>
  <c r="AK43" i="2"/>
  <c r="AJ43" i="2"/>
  <c r="AJ60" i="2" s="1"/>
  <c r="AI43" i="2"/>
  <c r="AH43" i="2"/>
  <c r="AG43" i="2"/>
  <c r="AF43" i="2"/>
  <c r="AF60" i="2" s="1"/>
  <c r="AE43" i="2"/>
  <c r="AD43" i="2"/>
  <c r="AC43" i="2"/>
  <c r="AB43" i="2"/>
  <c r="AB60" i="2" s="1"/>
  <c r="AA43" i="2"/>
  <c r="Z43" i="2"/>
  <c r="Y43" i="2"/>
  <c r="X43" i="2"/>
  <c r="X60" i="2" s="1"/>
  <c r="W43" i="2"/>
  <c r="V43" i="2"/>
  <c r="U43" i="2"/>
  <c r="T43" i="2"/>
  <c r="T60" i="2" s="1"/>
  <c r="S43" i="2"/>
  <c r="R43" i="2"/>
  <c r="Q43" i="2"/>
  <c r="P43" i="2"/>
  <c r="P60" i="2" s="1"/>
  <c r="O43" i="2"/>
  <c r="N43" i="2"/>
  <c r="M43" i="2"/>
  <c r="L43" i="2"/>
  <c r="L60" i="2" s="1"/>
  <c r="K43" i="2"/>
  <c r="J43" i="2"/>
  <c r="I43" i="2"/>
  <c r="H43" i="2"/>
  <c r="H60" i="2" s="1"/>
  <c r="G43" i="2"/>
  <c r="F43" i="2"/>
  <c r="E43" i="2"/>
  <c r="D43" i="2"/>
  <c r="D60" i="2" s="1"/>
  <c r="CX42" i="2"/>
  <c r="CW42" i="2"/>
  <c r="CV42" i="2"/>
  <c r="CU42" i="2"/>
  <c r="CU59" i="2" s="1"/>
  <c r="CT42" i="2"/>
  <c r="CS42" i="2"/>
  <c r="CR42" i="2"/>
  <c r="CQ42" i="2"/>
  <c r="CQ59" i="2" s="1"/>
  <c r="CP42" i="2"/>
  <c r="CO42" i="2"/>
  <c r="CN42" i="2"/>
  <c r="CM42" i="2"/>
  <c r="CM59" i="2" s="1"/>
  <c r="CL42" i="2"/>
  <c r="CK42" i="2"/>
  <c r="CJ42" i="2"/>
  <c r="CI42" i="2"/>
  <c r="CI59" i="2" s="1"/>
  <c r="CH42" i="2"/>
  <c r="CG42" i="2"/>
  <c r="CF42" i="2"/>
  <c r="CE42" i="2"/>
  <c r="CE59" i="2" s="1"/>
  <c r="CD42" i="2"/>
  <c r="CC42" i="2"/>
  <c r="CB42" i="2"/>
  <c r="CA42" i="2"/>
  <c r="CA59" i="2" s="1"/>
  <c r="BZ42" i="2"/>
  <c r="BY42" i="2"/>
  <c r="BX42" i="2"/>
  <c r="BW42" i="2"/>
  <c r="BW59" i="2" s="1"/>
  <c r="BV42" i="2"/>
  <c r="BU42" i="2"/>
  <c r="BT42" i="2"/>
  <c r="BS42" i="2"/>
  <c r="BS59" i="2" s="1"/>
  <c r="BR42" i="2"/>
  <c r="BQ42" i="2"/>
  <c r="BP42" i="2"/>
  <c r="BO42" i="2"/>
  <c r="BO59" i="2" s="1"/>
  <c r="BN42" i="2"/>
  <c r="BM42" i="2"/>
  <c r="BL42" i="2"/>
  <c r="BK42" i="2"/>
  <c r="BK59" i="2" s="1"/>
  <c r="BJ42" i="2"/>
  <c r="BI42" i="2"/>
  <c r="BH42" i="2"/>
  <c r="BG42" i="2"/>
  <c r="BG59" i="2" s="1"/>
  <c r="BF42" i="2"/>
  <c r="BE42" i="2"/>
  <c r="BD42" i="2"/>
  <c r="BC42" i="2"/>
  <c r="BC59" i="2" s="1"/>
  <c r="BB42" i="2"/>
  <c r="BA42" i="2"/>
  <c r="AZ42" i="2"/>
  <c r="AY42" i="2"/>
  <c r="AY59" i="2" s="1"/>
  <c r="AX42" i="2"/>
  <c r="AW42" i="2"/>
  <c r="AV42" i="2"/>
  <c r="AU42" i="2"/>
  <c r="AU59" i="2" s="1"/>
  <c r="AT42" i="2"/>
  <c r="AS42" i="2"/>
  <c r="AR42" i="2"/>
  <c r="AQ42" i="2"/>
  <c r="AQ59" i="2" s="1"/>
  <c r="AP42" i="2"/>
  <c r="AO42" i="2"/>
  <c r="AN42" i="2"/>
  <c r="AM42" i="2"/>
  <c r="AM59" i="2" s="1"/>
  <c r="AL42" i="2"/>
  <c r="AK42" i="2"/>
  <c r="AJ42" i="2"/>
  <c r="AI42" i="2"/>
  <c r="AI59" i="2" s="1"/>
  <c r="AH42" i="2"/>
  <c r="AG42" i="2"/>
  <c r="AF42" i="2"/>
  <c r="AE42" i="2"/>
  <c r="AE59" i="2" s="1"/>
  <c r="AD42" i="2"/>
  <c r="AC42" i="2"/>
  <c r="AB42" i="2"/>
  <c r="AA42" i="2"/>
  <c r="AA59" i="2" s="1"/>
  <c r="Z42" i="2"/>
  <c r="Y42" i="2"/>
  <c r="X42" i="2"/>
  <c r="W42" i="2"/>
  <c r="W59" i="2" s="1"/>
  <c r="V42" i="2"/>
  <c r="U42" i="2"/>
  <c r="T42" i="2"/>
  <c r="S42" i="2"/>
  <c r="S59" i="2" s="1"/>
  <c r="R42" i="2"/>
  <c r="Q42" i="2"/>
  <c r="P42" i="2"/>
  <c r="O42" i="2"/>
  <c r="O59" i="2" s="1"/>
  <c r="N42" i="2"/>
  <c r="M42" i="2"/>
  <c r="L42" i="2"/>
  <c r="K42" i="2"/>
  <c r="K59" i="2" s="1"/>
  <c r="J42" i="2"/>
  <c r="I42" i="2"/>
  <c r="H42" i="2"/>
  <c r="G42" i="2"/>
  <c r="G59" i="2" s="1"/>
  <c r="F42" i="2"/>
  <c r="E42" i="2"/>
  <c r="D42" i="2"/>
  <c r="CX41" i="2"/>
  <c r="CX58" i="2" s="1"/>
  <c r="CW41" i="2"/>
  <c r="CV41" i="2"/>
  <c r="CU41" i="2"/>
  <c r="CT41" i="2"/>
  <c r="CT58" i="2" s="1"/>
  <c r="CS41" i="2"/>
  <c r="CR41" i="2"/>
  <c r="CQ41" i="2"/>
  <c r="CP41" i="2"/>
  <c r="CP58" i="2" s="1"/>
  <c r="CO41" i="2"/>
  <c r="CN41" i="2"/>
  <c r="CM41" i="2"/>
  <c r="CL41" i="2"/>
  <c r="CL58" i="2" s="1"/>
  <c r="CK41" i="2"/>
  <c r="CJ41" i="2"/>
  <c r="CI41" i="2"/>
  <c r="CH41" i="2"/>
  <c r="CH58" i="2" s="1"/>
  <c r="CG41" i="2"/>
  <c r="CF41" i="2"/>
  <c r="CE41" i="2"/>
  <c r="CD41" i="2"/>
  <c r="CD58" i="2" s="1"/>
  <c r="CC41" i="2"/>
  <c r="CB41" i="2"/>
  <c r="CA41" i="2"/>
  <c r="BZ41" i="2"/>
  <c r="BZ58" i="2" s="1"/>
  <c r="BY41" i="2"/>
  <c r="BX41" i="2"/>
  <c r="BW41" i="2"/>
  <c r="BV41" i="2"/>
  <c r="BV58" i="2" s="1"/>
  <c r="BU41" i="2"/>
  <c r="BT41" i="2"/>
  <c r="BS41" i="2"/>
  <c r="BR41" i="2"/>
  <c r="BR58" i="2" s="1"/>
  <c r="BQ41" i="2"/>
  <c r="BP41" i="2"/>
  <c r="BO41" i="2"/>
  <c r="BN41" i="2"/>
  <c r="BN58" i="2" s="1"/>
  <c r="BM41" i="2"/>
  <c r="BL41" i="2"/>
  <c r="BK41" i="2"/>
  <c r="BJ41" i="2"/>
  <c r="BJ58" i="2" s="1"/>
  <c r="BI41" i="2"/>
  <c r="BH41" i="2"/>
  <c r="BG41" i="2"/>
  <c r="BF41" i="2"/>
  <c r="BF58" i="2" s="1"/>
  <c r="BE41" i="2"/>
  <c r="BD41" i="2"/>
  <c r="BC41" i="2"/>
  <c r="BB41" i="2"/>
  <c r="BB58" i="2" s="1"/>
  <c r="BA41" i="2"/>
  <c r="AZ41" i="2"/>
  <c r="AY41" i="2"/>
  <c r="AX41" i="2"/>
  <c r="AX58" i="2" s="1"/>
  <c r="AW41" i="2"/>
  <c r="AV41" i="2"/>
  <c r="AU41" i="2"/>
  <c r="AT41" i="2"/>
  <c r="AT58" i="2" s="1"/>
  <c r="AS41" i="2"/>
  <c r="AR41" i="2"/>
  <c r="AQ41" i="2"/>
  <c r="AP41" i="2"/>
  <c r="AP58" i="2" s="1"/>
  <c r="AO41" i="2"/>
  <c r="AN41" i="2"/>
  <c r="AM41" i="2"/>
  <c r="AL41" i="2"/>
  <c r="AL58" i="2" s="1"/>
  <c r="AK41" i="2"/>
  <c r="AJ41" i="2"/>
  <c r="AI41" i="2"/>
  <c r="AH41" i="2"/>
  <c r="AH58" i="2" s="1"/>
  <c r="AG41" i="2"/>
  <c r="AF41" i="2"/>
  <c r="AE41" i="2"/>
  <c r="AD41" i="2"/>
  <c r="AD58" i="2" s="1"/>
  <c r="AC41" i="2"/>
  <c r="AB41" i="2"/>
  <c r="AA41" i="2"/>
  <c r="Z41" i="2"/>
  <c r="Z58" i="2" s="1"/>
  <c r="Y41" i="2"/>
  <c r="X41" i="2"/>
  <c r="W41" i="2"/>
  <c r="V41" i="2"/>
  <c r="V58" i="2" s="1"/>
  <c r="U41" i="2"/>
  <c r="T41" i="2"/>
  <c r="S41" i="2"/>
  <c r="R41" i="2"/>
  <c r="R58" i="2" s="1"/>
  <c r="Q41" i="2"/>
  <c r="P41" i="2"/>
  <c r="O41" i="2"/>
  <c r="N41" i="2"/>
  <c r="N58" i="2" s="1"/>
  <c r="M41" i="2"/>
  <c r="L41" i="2"/>
  <c r="K41" i="2"/>
  <c r="J41" i="2"/>
  <c r="J58" i="2" s="1"/>
  <c r="I41" i="2"/>
  <c r="H41" i="2"/>
  <c r="G41" i="2"/>
  <c r="F41" i="2"/>
  <c r="F58" i="2" s="1"/>
  <c r="E41" i="2"/>
  <c r="D41" i="2"/>
  <c r="CX40" i="2"/>
  <c r="CW40" i="2"/>
  <c r="CW57" i="2" s="1"/>
  <c r="CV40" i="2"/>
  <c r="CU40" i="2"/>
  <c r="CT40" i="2"/>
  <c r="CS40" i="2"/>
  <c r="CS57" i="2" s="1"/>
  <c r="CR40" i="2"/>
  <c r="CQ40" i="2"/>
  <c r="CP40" i="2"/>
  <c r="CO40" i="2"/>
  <c r="CO57" i="2" s="1"/>
  <c r="CN40" i="2"/>
  <c r="CM40" i="2"/>
  <c r="CL40" i="2"/>
  <c r="CK40" i="2"/>
  <c r="CK57" i="2" s="1"/>
  <c r="CJ40" i="2"/>
  <c r="CI40" i="2"/>
  <c r="CH40" i="2"/>
  <c r="CG40" i="2"/>
  <c r="CG57" i="2" s="1"/>
  <c r="CF40" i="2"/>
  <c r="CE40" i="2"/>
  <c r="CD40" i="2"/>
  <c r="CC40" i="2"/>
  <c r="CC57" i="2" s="1"/>
  <c r="CB40" i="2"/>
  <c r="CA40" i="2"/>
  <c r="BZ40" i="2"/>
  <c r="BY40" i="2"/>
  <c r="BY57" i="2" s="1"/>
  <c r="BX40" i="2"/>
  <c r="BW40" i="2"/>
  <c r="BV40" i="2"/>
  <c r="BU40" i="2"/>
  <c r="BU57" i="2" s="1"/>
  <c r="BT40" i="2"/>
  <c r="BS40" i="2"/>
  <c r="BR40" i="2"/>
  <c r="BQ40" i="2"/>
  <c r="BQ57" i="2" s="1"/>
  <c r="BP40" i="2"/>
  <c r="BO40" i="2"/>
  <c r="BN40" i="2"/>
  <c r="BM40" i="2"/>
  <c r="BM57" i="2" s="1"/>
  <c r="BL40" i="2"/>
  <c r="BK40" i="2"/>
  <c r="BJ40" i="2"/>
  <c r="BI40" i="2"/>
  <c r="BI57" i="2" s="1"/>
  <c r="BH40" i="2"/>
  <c r="BG40" i="2"/>
  <c r="BF40" i="2"/>
  <c r="BE40" i="2"/>
  <c r="BE57" i="2" s="1"/>
  <c r="BD40" i="2"/>
  <c r="BC40" i="2"/>
  <c r="BB40" i="2"/>
  <c r="BA40" i="2"/>
  <c r="BA57" i="2" s="1"/>
  <c r="AZ40" i="2"/>
  <c r="AY40" i="2"/>
  <c r="AX40" i="2"/>
  <c r="AW40" i="2"/>
  <c r="AW57" i="2" s="1"/>
  <c r="AV40" i="2"/>
  <c r="AU40" i="2"/>
  <c r="AT40" i="2"/>
  <c r="AS40" i="2"/>
  <c r="AS57" i="2" s="1"/>
  <c r="AR40" i="2"/>
  <c r="AQ40" i="2"/>
  <c r="AP40" i="2"/>
  <c r="AO40" i="2"/>
  <c r="AO57" i="2" s="1"/>
  <c r="AN40" i="2"/>
  <c r="AM40" i="2"/>
  <c r="AL40" i="2"/>
  <c r="AK40" i="2"/>
  <c r="AK57" i="2" s="1"/>
  <c r="AJ40" i="2"/>
  <c r="AI40" i="2"/>
  <c r="AH40" i="2"/>
  <c r="AG40" i="2"/>
  <c r="AG57" i="2" s="1"/>
  <c r="AF40" i="2"/>
  <c r="AE40" i="2"/>
  <c r="AD40" i="2"/>
  <c r="AC40" i="2"/>
  <c r="AC57" i="2" s="1"/>
  <c r="AB40" i="2"/>
  <c r="AA40" i="2"/>
  <c r="Z40" i="2"/>
  <c r="Y40" i="2"/>
  <c r="Y57" i="2" s="1"/>
  <c r="X40" i="2"/>
  <c r="W40" i="2"/>
  <c r="V40" i="2"/>
  <c r="U40" i="2"/>
  <c r="U57" i="2" s="1"/>
  <c r="T40" i="2"/>
  <c r="S40" i="2"/>
  <c r="R40" i="2"/>
  <c r="Q40" i="2"/>
  <c r="Q57" i="2" s="1"/>
  <c r="P40" i="2"/>
  <c r="O40" i="2"/>
  <c r="N40" i="2"/>
  <c r="M40" i="2"/>
  <c r="M57" i="2" s="1"/>
  <c r="L40" i="2"/>
  <c r="K40" i="2"/>
  <c r="J40" i="2"/>
  <c r="I40" i="2"/>
  <c r="I57" i="2" s="1"/>
  <c r="H40" i="2"/>
  <c r="G40" i="2"/>
  <c r="F40" i="2"/>
  <c r="E40" i="2"/>
  <c r="E57" i="2" s="1"/>
  <c r="D40" i="2"/>
  <c r="CX39" i="2"/>
  <c r="CW39" i="2"/>
  <c r="CV39" i="2"/>
  <c r="CV56" i="2" s="1"/>
  <c r="CU39" i="2"/>
  <c r="CT39" i="2"/>
  <c r="CS39" i="2"/>
  <c r="CR39" i="2"/>
  <c r="CR56" i="2" s="1"/>
  <c r="CQ39" i="2"/>
  <c r="CP39" i="2"/>
  <c r="CO39" i="2"/>
  <c r="CN39" i="2"/>
  <c r="CN56" i="2" s="1"/>
  <c r="CM39" i="2"/>
  <c r="CL39" i="2"/>
  <c r="CK39" i="2"/>
  <c r="CJ39" i="2"/>
  <c r="CJ56" i="2" s="1"/>
  <c r="CI39" i="2"/>
  <c r="CH39" i="2"/>
  <c r="CG39" i="2"/>
  <c r="CF39" i="2"/>
  <c r="CF56" i="2" s="1"/>
  <c r="CE39" i="2"/>
  <c r="CD39" i="2"/>
  <c r="CC39" i="2"/>
  <c r="CB39" i="2"/>
  <c r="CB56" i="2" s="1"/>
  <c r="CA39" i="2"/>
  <c r="BZ39" i="2"/>
  <c r="BY39" i="2"/>
  <c r="BX39" i="2"/>
  <c r="BX56" i="2" s="1"/>
  <c r="BW39" i="2"/>
  <c r="BV39" i="2"/>
  <c r="BU39" i="2"/>
  <c r="BT39" i="2"/>
  <c r="BT56" i="2" s="1"/>
  <c r="BS39" i="2"/>
  <c r="BR39" i="2"/>
  <c r="BQ39" i="2"/>
  <c r="BP39" i="2"/>
  <c r="BP56" i="2" s="1"/>
  <c r="BO39" i="2"/>
  <c r="BN39" i="2"/>
  <c r="BM39" i="2"/>
  <c r="BL39" i="2"/>
  <c r="BL56" i="2" s="1"/>
  <c r="BK39" i="2"/>
  <c r="BJ39" i="2"/>
  <c r="BI39" i="2"/>
  <c r="BH39" i="2"/>
  <c r="BH56" i="2" s="1"/>
  <c r="BG39" i="2"/>
  <c r="BF39" i="2"/>
  <c r="BE39" i="2"/>
  <c r="BD39" i="2"/>
  <c r="BD56" i="2" s="1"/>
  <c r="BC39" i="2"/>
  <c r="BB39" i="2"/>
  <c r="BA39" i="2"/>
  <c r="AZ39" i="2"/>
  <c r="AZ56" i="2" s="1"/>
  <c r="AY39" i="2"/>
  <c r="AX39" i="2"/>
  <c r="AW39" i="2"/>
  <c r="AV39" i="2"/>
  <c r="AV56" i="2" s="1"/>
  <c r="AU39" i="2"/>
  <c r="AT39" i="2"/>
  <c r="AS39" i="2"/>
  <c r="AR39" i="2"/>
  <c r="AR56" i="2" s="1"/>
  <c r="AQ39" i="2"/>
  <c r="AP39" i="2"/>
  <c r="AO39" i="2"/>
  <c r="AN39" i="2"/>
  <c r="AN56" i="2" s="1"/>
  <c r="AM39" i="2"/>
  <c r="AL39" i="2"/>
  <c r="AK39" i="2"/>
  <c r="AJ39" i="2"/>
  <c r="AJ56" i="2" s="1"/>
  <c r="AI39" i="2"/>
  <c r="AH39" i="2"/>
  <c r="AG39" i="2"/>
  <c r="AF39" i="2"/>
  <c r="AF56" i="2" s="1"/>
  <c r="AE39" i="2"/>
  <c r="AD39" i="2"/>
  <c r="AC39" i="2"/>
  <c r="AB39" i="2"/>
  <c r="AB56" i="2" s="1"/>
  <c r="AA39" i="2"/>
  <c r="Z39" i="2"/>
  <c r="Y39" i="2"/>
  <c r="X39" i="2"/>
  <c r="X56" i="2" s="1"/>
  <c r="W39" i="2"/>
  <c r="V39" i="2"/>
  <c r="U39" i="2"/>
  <c r="T39" i="2"/>
  <c r="T56" i="2" s="1"/>
  <c r="S39" i="2"/>
  <c r="R39" i="2"/>
  <c r="Q39" i="2"/>
  <c r="P39" i="2"/>
  <c r="P56" i="2" s="1"/>
  <c r="O39" i="2"/>
  <c r="N39" i="2"/>
  <c r="M39" i="2"/>
  <c r="L39" i="2"/>
  <c r="L56" i="2" s="1"/>
  <c r="K39" i="2"/>
  <c r="J39" i="2"/>
  <c r="I39" i="2"/>
  <c r="H39" i="2"/>
  <c r="H56" i="2" s="1"/>
  <c r="G39" i="2"/>
  <c r="F39" i="2"/>
  <c r="E39" i="2"/>
  <c r="D39" i="2"/>
  <c r="D56" i="2" s="1"/>
  <c r="CX38" i="2"/>
  <c r="CW38" i="2"/>
  <c r="CV38" i="2"/>
  <c r="CU38" i="2"/>
  <c r="CU55" i="2" s="1"/>
  <c r="CT38" i="2"/>
  <c r="CS38" i="2"/>
  <c r="CR38" i="2"/>
  <c r="CQ38" i="2"/>
  <c r="CQ55" i="2" s="1"/>
  <c r="CP38" i="2"/>
  <c r="CO38" i="2"/>
  <c r="CN38" i="2"/>
  <c r="CM38" i="2"/>
  <c r="CM55" i="2" s="1"/>
  <c r="CL38" i="2"/>
  <c r="CK38" i="2"/>
  <c r="CJ38" i="2"/>
  <c r="CI38" i="2"/>
  <c r="CI55" i="2" s="1"/>
  <c r="CH38" i="2"/>
  <c r="CG38" i="2"/>
  <c r="CF38" i="2"/>
  <c r="CE38" i="2"/>
  <c r="CE55" i="2" s="1"/>
  <c r="CD38" i="2"/>
  <c r="CC38" i="2"/>
  <c r="CB38" i="2"/>
  <c r="CA38" i="2"/>
  <c r="CA55" i="2" s="1"/>
  <c r="BZ38" i="2"/>
  <c r="BY38" i="2"/>
  <c r="BX38" i="2"/>
  <c r="BW38" i="2"/>
  <c r="BW55" i="2" s="1"/>
  <c r="BV38" i="2"/>
  <c r="BU38" i="2"/>
  <c r="BT38" i="2"/>
  <c r="BS38" i="2"/>
  <c r="BS55" i="2" s="1"/>
  <c r="BR38" i="2"/>
  <c r="BQ38" i="2"/>
  <c r="BP38" i="2"/>
  <c r="BO38" i="2"/>
  <c r="BO55" i="2" s="1"/>
  <c r="BN38" i="2"/>
  <c r="BM38" i="2"/>
  <c r="BL38" i="2"/>
  <c r="BK38" i="2"/>
  <c r="BK55" i="2" s="1"/>
  <c r="BJ38" i="2"/>
  <c r="BI38" i="2"/>
  <c r="BH38" i="2"/>
  <c r="BG38" i="2"/>
  <c r="BG55" i="2" s="1"/>
  <c r="BF38" i="2"/>
  <c r="BE38" i="2"/>
  <c r="BD38" i="2"/>
  <c r="BC38" i="2"/>
  <c r="BC55" i="2" s="1"/>
  <c r="BB38" i="2"/>
  <c r="BA38" i="2"/>
  <c r="AZ38" i="2"/>
  <c r="AY38" i="2"/>
  <c r="AY55" i="2" s="1"/>
  <c r="AX38" i="2"/>
  <c r="AW38" i="2"/>
  <c r="AV38" i="2"/>
  <c r="AU38" i="2"/>
  <c r="AU55" i="2" s="1"/>
  <c r="AT38" i="2"/>
  <c r="AS38" i="2"/>
  <c r="AR38" i="2"/>
  <c r="AQ38" i="2"/>
  <c r="AQ55" i="2" s="1"/>
  <c r="AP38" i="2"/>
  <c r="AO38" i="2"/>
  <c r="AN38" i="2"/>
  <c r="AM38" i="2"/>
  <c r="AM55" i="2" s="1"/>
  <c r="AL38" i="2"/>
  <c r="AK38" i="2"/>
  <c r="AJ38" i="2"/>
  <c r="AI38" i="2"/>
  <c r="AI55" i="2" s="1"/>
  <c r="AH38" i="2"/>
  <c r="AG38" i="2"/>
  <c r="AF38" i="2"/>
  <c r="AE38" i="2"/>
  <c r="AE55" i="2" s="1"/>
  <c r="AD38" i="2"/>
  <c r="AC38" i="2"/>
  <c r="AB38" i="2"/>
  <c r="AA38" i="2"/>
  <c r="AA55" i="2" s="1"/>
  <c r="Z38" i="2"/>
  <c r="Y38" i="2"/>
  <c r="X38" i="2"/>
  <c r="W38" i="2"/>
  <c r="W55" i="2" s="1"/>
  <c r="V38" i="2"/>
  <c r="U38" i="2"/>
  <c r="T38" i="2"/>
  <c r="S38" i="2"/>
  <c r="S55" i="2" s="1"/>
  <c r="R38" i="2"/>
  <c r="Q38" i="2"/>
  <c r="P38" i="2"/>
  <c r="O38" i="2"/>
  <c r="O55" i="2" s="1"/>
  <c r="N38" i="2"/>
  <c r="M38" i="2"/>
  <c r="L38" i="2"/>
  <c r="K38" i="2"/>
  <c r="K55" i="2" s="1"/>
  <c r="J38" i="2"/>
  <c r="I38" i="2"/>
  <c r="H38" i="2"/>
  <c r="G38" i="2"/>
  <c r="G55" i="2" s="1"/>
  <c r="F38" i="2"/>
  <c r="E38" i="2"/>
  <c r="D38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X36" i="2"/>
  <c r="CW36" i="2"/>
  <c r="CV36" i="2"/>
  <c r="CU36" i="2"/>
  <c r="CT36" i="2"/>
  <c r="CS36" i="2"/>
  <c r="CR36" i="2"/>
  <c r="CQ36" i="2"/>
  <c r="CP36" i="2"/>
  <c r="CO36" i="2"/>
  <c r="CN36" i="2"/>
  <c r="CM36" i="2"/>
  <c r="CL36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CX125" i="2"/>
  <c r="CW125" i="2"/>
  <c r="CV125" i="2"/>
  <c r="CT125" i="2"/>
  <c r="CS125" i="2"/>
  <c r="CR125" i="2"/>
  <c r="CP125" i="2"/>
  <c r="CO125" i="2"/>
  <c r="CN125" i="2"/>
  <c r="CL125" i="2"/>
  <c r="CK125" i="2"/>
  <c r="CJ125" i="2"/>
  <c r="CH125" i="2"/>
  <c r="CG125" i="2"/>
  <c r="CF125" i="2"/>
  <c r="CD125" i="2"/>
  <c r="CC125" i="2"/>
  <c r="CB125" i="2"/>
  <c r="BZ125" i="2"/>
  <c r="BY125" i="2"/>
  <c r="BX125" i="2"/>
  <c r="BV125" i="2"/>
  <c r="BU125" i="2"/>
  <c r="BT125" i="2"/>
  <c r="BR125" i="2"/>
  <c r="BQ125" i="2"/>
  <c r="BP125" i="2"/>
  <c r="BN125" i="2"/>
  <c r="BM125" i="2"/>
  <c r="BL125" i="2"/>
  <c r="BJ125" i="2"/>
  <c r="BI125" i="2"/>
  <c r="BH125" i="2"/>
  <c r="BF125" i="2"/>
  <c r="BE125" i="2"/>
  <c r="BD125" i="2"/>
  <c r="BB125" i="2"/>
  <c r="BA125" i="2"/>
  <c r="AZ125" i="2"/>
  <c r="AX125" i="2"/>
  <c r="AW125" i="2"/>
  <c r="AV125" i="2"/>
  <c r="AT125" i="2"/>
  <c r="AS125" i="2"/>
  <c r="AR125" i="2"/>
  <c r="AP125" i="2"/>
  <c r="AO125" i="2"/>
  <c r="AN125" i="2"/>
  <c r="AL125" i="2"/>
  <c r="AK125" i="2"/>
  <c r="AJ125" i="2"/>
  <c r="AH125" i="2"/>
  <c r="AG125" i="2"/>
  <c r="AF125" i="2"/>
  <c r="AD125" i="2"/>
  <c r="AC125" i="2"/>
  <c r="AB125" i="2"/>
  <c r="Z125" i="2"/>
  <c r="Y125" i="2"/>
  <c r="X125" i="2"/>
  <c r="V125" i="2"/>
  <c r="U125" i="2"/>
  <c r="T125" i="2"/>
  <c r="R125" i="2"/>
  <c r="Q125" i="2"/>
  <c r="P125" i="2"/>
  <c r="N125" i="2"/>
  <c r="M125" i="2"/>
  <c r="L125" i="2"/>
  <c r="J125" i="2"/>
  <c r="I125" i="2"/>
  <c r="H125" i="2"/>
  <c r="F125" i="2"/>
  <c r="E125" i="2"/>
  <c r="D125" i="2"/>
  <c r="CW124" i="2"/>
  <c r="CV124" i="2"/>
  <c r="CU124" i="2"/>
  <c r="CS124" i="2"/>
  <c r="CR124" i="2"/>
  <c r="CQ124" i="2"/>
  <c r="CO124" i="2"/>
  <c r="CN124" i="2"/>
  <c r="CM124" i="2"/>
  <c r="CK124" i="2"/>
  <c r="CJ124" i="2"/>
  <c r="CI124" i="2"/>
  <c r="CG124" i="2"/>
  <c r="CF124" i="2"/>
  <c r="CE124" i="2"/>
  <c r="CC124" i="2"/>
  <c r="CB124" i="2"/>
  <c r="CA124" i="2"/>
  <c r="BY124" i="2"/>
  <c r="BX124" i="2"/>
  <c r="BW124" i="2"/>
  <c r="BU124" i="2"/>
  <c r="BT124" i="2"/>
  <c r="BS124" i="2"/>
  <c r="BQ124" i="2"/>
  <c r="BP124" i="2"/>
  <c r="BO124" i="2"/>
  <c r="BM124" i="2"/>
  <c r="BL124" i="2"/>
  <c r="BK124" i="2"/>
  <c r="BI124" i="2"/>
  <c r="BH124" i="2"/>
  <c r="BG124" i="2"/>
  <c r="BE124" i="2"/>
  <c r="BD124" i="2"/>
  <c r="BC124" i="2"/>
  <c r="BA124" i="2"/>
  <c r="AZ124" i="2"/>
  <c r="AY124" i="2"/>
  <c r="AW124" i="2"/>
  <c r="AV124" i="2"/>
  <c r="AU124" i="2"/>
  <c r="AS124" i="2"/>
  <c r="AR124" i="2"/>
  <c r="AQ124" i="2"/>
  <c r="AO124" i="2"/>
  <c r="AN124" i="2"/>
  <c r="AM124" i="2"/>
  <c r="AK124" i="2"/>
  <c r="AJ124" i="2"/>
  <c r="AI124" i="2"/>
  <c r="AG124" i="2"/>
  <c r="AF124" i="2"/>
  <c r="AE124" i="2"/>
  <c r="AC124" i="2"/>
  <c r="AB124" i="2"/>
  <c r="AA124" i="2"/>
  <c r="Y124" i="2"/>
  <c r="X124" i="2"/>
  <c r="W124" i="2"/>
  <c r="U124" i="2"/>
  <c r="T124" i="2"/>
  <c r="S124" i="2"/>
  <c r="Q124" i="2"/>
  <c r="P124" i="2"/>
  <c r="O124" i="2"/>
  <c r="M124" i="2"/>
  <c r="L124" i="2"/>
  <c r="K124" i="2"/>
  <c r="I124" i="2"/>
  <c r="H124" i="2"/>
  <c r="G124" i="2"/>
  <c r="E124" i="2"/>
  <c r="D124" i="2"/>
  <c r="CX123" i="2"/>
  <c r="CV123" i="2"/>
  <c r="CU123" i="2"/>
  <c r="CT123" i="2"/>
  <c r="CR123" i="2"/>
  <c r="CQ123" i="2"/>
  <c r="CP123" i="2"/>
  <c r="CN123" i="2"/>
  <c r="CM123" i="2"/>
  <c r="CL123" i="2"/>
  <c r="CJ123" i="2"/>
  <c r="CI123" i="2"/>
  <c r="CH123" i="2"/>
  <c r="CF123" i="2"/>
  <c r="CE123" i="2"/>
  <c r="CD123" i="2"/>
  <c r="CB123" i="2"/>
  <c r="CA123" i="2"/>
  <c r="BZ123" i="2"/>
  <c r="BX123" i="2"/>
  <c r="BW123" i="2"/>
  <c r="BV123" i="2"/>
  <c r="BT123" i="2"/>
  <c r="BS123" i="2"/>
  <c r="BR123" i="2"/>
  <c r="BP123" i="2"/>
  <c r="BO123" i="2"/>
  <c r="BN123" i="2"/>
  <c r="BL123" i="2"/>
  <c r="BK123" i="2"/>
  <c r="BJ123" i="2"/>
  <c r="BH123" i="2"/>
  <c r="BG123" i="2"/>
  <c r="BF123" i="2"/>
  <c r="BD123" i="2"/>
  <c r="BC123" i="2"/>
  <c r="BB123" i="2"/>
  <c r="AZ123" i="2"/>
  <c r="AY123" i="2"/>
  <c r="AX123" i="2"/>
  <c r="AV123" i="2"/>
  <c r="AU123" i="2"/>
  <c r="AT123" i="2"/>
  <c r="AR123" i="2"/>
  <c r="AQ123" i="2"/>
  <c r="AP123" i="2"/>
  <c r="AN123" i="2"/>
  <c r="AM123" i="2"/>
  <c r="AL123" i="2"/>
  <c r="AJ123" i="2"/>
  <c r="AI123" i="2"/>
  <c r="AH123" i="2"/>
  <c r="AF123" i="2"/>
  <c r="AE123" i="2"/>
  <c r="AD123" i="2"/>
  <c r="AB123" i="2"/>
  <c r="AA123" i="2"/>
  <c r="Z123" i="2"/>
  <c r="X123" i="2"/>
  <c r="W123" i="2"/>
  <c r="V123" i="2"/>
  <c r="T123" i="2"/>
  <c r="S123" i="2"/>
  <c r="R123" i="2"/>
  <c r="P123" i="2"/>
  <c r="O123" i="2"/>
  <c r="N123" i="2"/>
  <c r="L123" i="2"/>
  <c r="K123" i="2"/>
  <c r="J123" i="2"/>
  <c r="H123" i="2"/>
  <c r="G123" i="2"/>
  <c r="F123" i="2"/>
  <c r="D123" i="2"/>
  <c r="CX122" i="2"/>
  <c r="CW122" i="2"/>
  <c r="CU122" i="2"/>
  <c r="CT122" i="2"/>
  <c r="CS122" i="2"/>
  <c r="CQ122" i="2"/>
  <c r="CP122" i="2"/>
  <c r="CO122" i="2"/>
  <c r="CM122" i="2"/>
  <c r="CL122" i="2"/>
  <c r="CK122" i="2"/>
  <c r="CI122" i="2"/>
  <c r="CH122" i="2"/>
  <c r="CG122" i="2"/>
  <c r="CE122" i="2"/>
  <c r="CD122" i="2"/>
  <c r="CC122" i="2"/>
  <c r="CA122" i="2"/>
  <c r="BZ122" i="2"/>
  <c r="BY122" i="2"/>
  <c r="BW122" i="2"/>
  <c r="BV122" i="2"/>
  <c r="BU122" i="2"/>
  <c r="BS122" i="2"/>
  <c r="BR122" i="2"/>
  <c r="BQ122" i="2"/>
  <c r="BO122" i="2"/>
  <c r="BN122" i="2"/>
  <c r="BM122" i="2"/>
  <c r="BK122" i="2"/>
  <c r="BJ122" i="2"/>
  <c r="BI122" i="2"/>
  <c r="BG122" i="2"/>
  <c r="BF122" i="2"/>
  <c r="BE122" i="2"/>
  <c r="BD122" i="2"/>
  <c r="BC122" i="2"/>
  <c r="BB122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X121" i="2"/>
  <c r="CW121" i="2"/>
  <c r="CV121" i="2"/>
  <c r="CU121" i="2"/>
  <c r="CT121" i="2"/>
  <c r="CS121" i="2"/>
  <c r="CR121" i="2"/>
  <c r="CQ121" i="2"/>
  <c r="CP121" i="2"/>
  <c r="CO121" i="2"/>
  <c r="CN121" i="2"/>
  <c r="CM121" i="2"/>
  <c r="CL121" i="2"/>
  <c r="CK121" i="2"/>
  <c r="CJ121" i="2"/>
  <c r="CI121" i="2"/>
  <c r="CH121" i="2"/>
  <c r="CG121" i="2"/>
  <c r="CF121" i="2"/>
  <c r="CE121" i="2"/>
  <c r="CD121" i="2"/>
  <c r="CC121" i="2"/>
  <c r="CB121" i="2"/>
  <c r="CA121" i="2"/>
  <c r="BZ121" i="2"/>
  <c r="BY121" i="2"/>
  <c r="BX121" i="2"/>
  <c r="BW121" i="2"/>
  <c r="BV121" i="2"/>
  <c r="BU121" i="2"/>
  <c r="BT121" i="2"/>
  <c r="BS121" i="2"/>
  <c r="BR121" i="2"/>
  <c r="BQ121" i="2"/>
  <c r="BP121" i="2"/>
  <c r="BO121" i="2"/>
  <c r="BN121" i="2"/>
  <c r="BM121" i="2"/>
  <c r="BL121" i="2"/>
  <c r="BK121" i="2"/>
  <c r="BJ121" i="2"/>
  <c r="BI121" i="2"/>
  <c r="BH121" i="2"/>
  <c r="BG121" i="2"/>
  <c r="BF121" i="2"/>
  <c r="BE121" i="2"/>
  <c r="BD121" i="2"/>
  <c r="BC121" i="2"/>
  <c r="BB121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X120" i="2"/>
  <c r="CW120" i="2"/>
  <c r="CV120" i="2"/>
  <c r="CU120" i="2"/>
  <c r="CT120" i="2"/>
  <c r="CS120" i="2"/>
  <c r="CR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E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G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X119" i="2"/>
  <c r="CW119" i="2"/>
  <c r="CV119" i="2"/>
  <c r="CU119" i="2"/>
  <c r="CT119" i="2"/>
  <c r="CS119" i="2"/>
  <c r="CR119" i="2"/>
  <c r="CQ119" i="2"/>
  <c r="CP119" i="2"/>
  <c r="CO119" i="2"/>
  <c r="CN119" i="2"/>
  <c r="CM119" i="2"/>
  <c r="CL119" i="2"/>
  <c r="CK119" i="2"/>
  <c r="CJ119" i="2"/>
  <c r="CI119" i="2"/>
  <c r="CH119" i="2"/>
  <c r="CG119" i="2"/>
  <c r="CF119" i="2"/>
  <c r="CE119" i="2"/>
  <c r="CD119" i="2"/>
  <c r="CC119" i="2"/>
  <c r="CB119" i="2"/>
  <c r="CA119" i="2"/>
  <c r="BZ119" i="2"/>
  <c r="BY119" i="2"/>
  <c r="BX119" i="2"/>
  <c r="BW119" i="2"/>
  <c r="BV119" i="2"/>
  <c r="BU119" i="2"/>
  <c r="BT119" i="2"/>
  <c r="BS119" i="2"/>
  <c r="BR119" i="2"/>
  <c r="BQ119" i="2"/>
  <c r="BP119" i="2"/>
  <c r="BO119" i="2"/>
  <c r="BN119" i="2"/>
  <c r="BM119" i="2"/>
  <c r="BL119" i="2"/>
  <c r="BK119" i="2"/>
  <c r="BJ119" i="2"/>
  <c r="BI119" i="2"/>
  <c r="BH119" i="2"/>
  <c r="BG119" i="2"/>
  <c r="BF119" i="2"/>
  <c r="BE119" i="2"/>
  <c r="BD119" i="2"/>
  <c r="BC119" i="2"/>
  <c r="BB119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X118" i="2"/>
  <c r="CW118" i="2"/>
  <c r="CV118" i="2"/>
  <c r="CU118" i="2"/>
  <c r="CT118" i="2"/>
  <c r="CS118" i="2"/>
  <c r="CR118" i="2"/>
  <c r="CQ118" i="2"/>
  <c r="CP118" i="2"/>
  <c r="CO118" i="2"/>
  <c r="CN118" i="2"/>
  <c r="CM118" i="2"/>
  <c r="CL118" i="2"/>
  <c r="CK118" i="2"/>
  <c r="CJ118" i="2"/>
  <c r="CI118" i="2"/>
  <c r="CH118" i="2"/>
  <c r="CG118" i="2"/>
  <c r="CF118" i="2"/>
  <c r="CE118" i="2"/>
  <c r="CD118" i="2"/>
  <c r="CC118" i="2"/>
  <c r="CB118" i="2"/>
  <c r="CA118" i="2"/>
  <c r="BZ118" i="2"/>
  <c r="BY118" i="2"/>
  <c r="BX118" i="2"/>
  <c r="BW118" i="2"/>
  <c r="BV118" i="2"/>
  <c r="BU118" i="2"/>
  <c r="BT118" i="2"/>
  <c r="BS118" i="2"/>
  <c r="BR118" i="2"/>
  <c r="BQ118" i="2"/>
  <c r="BP118" i="2"/>
  <c r="BO118" i="2"/>
  <c r="BN118" i="2"/>
  <c r="BM118" i="2"/>
  <c r="BL118" i="2"/>
  <c r="BK118" i="2"/>
  <c r="BJ118" i="2"/>
  <c r="BI118" i="2"/>
  <c r="BH118" i="2"/>
  <c r="BG118" i="2"/>
  <c r="BF118" i="2"/>
  <c r="BE118" i="2"/>
  <c r="BD118" i="2"/>
  <c r="BC118" i="2"/>
  <c r="BB118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X117" i="2"/>
  <c r="CW117" i="2"/>
  <c r="CV117" i="2"/>
  <c r="CU117" i="2"/>
  <c r="CT117" i="2"/>
  <c r="CS117" i="2"/>
  <c r="CR117" i="2"/>
  <c r="CQ117" i="2"/>
  <c r="CP117" i="2"/>
  <c r="CO117" i="2"/>
  <c r="CN117" i="2"/>
  <c r="CM117" i="2"/>
  <c r="CL117" i="2"/>
  <c r="CK117" i="2"/>
  <c r="CJ117" i="2"/>
  <c r="CI117" i="2"/>
  <c r="CH117" i="2"/>
  <c r="CG117" i="2"/>
  <c r="CF117" i="2"/>
  <c r="CE117" i="2"/>
  <c r="CD117" i="2"/>
  <c r="CC117" i="2"/>
  <c r="CB117" i="2"/>
  <c r="CA117" i="2"/>
  <c r="BZ117" i="2"/>
  <c r="BY117" i="2"/>
  <c r="BX117" i="2"/>
  <c r="BW117" i="2"/>
  <c r="BV117" i="2"/>
  <c r="BU117" i="2"/>
  <c r="BT117" i="2"/>
  <c r="BS117" i="2"/>
  <c r="BR117" i="2"/>
  <c r="BQ117" i="2"/>
  <c r="BP117" i="2"/>
  <c r="BO117" i="2"/>
  <c r="BN117" i="2"/>
  <c r="BM117" i="2"/>
  <c r="BL117" i="2"/>
  <c r="BK117" i="2"/>
  <c r="BJ117" i="2"/>
  <c r="BI117" i="2"/>
  <c r="BH117" i="2"/>
  <c r="BG117" i="2"/>
  <c r="BF117" i="2"/>
  <c r="BE117" i="2"/>
  <c r="BD117" i="2"/>
  <c r="BC117" i="2"/>
  <c r="BB117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X94" i="2"/>
  <c r="CW94" i="2"/>
  <c r="CV94" i="2"/>
  <c r="CT94" i="2"/>
  <c r="CS94" i="2"/>
  <c r="CR94" i="2"/>
  <c r="CP94" i="2"/>
  <c r="CO94" i="2"/>
  <c r="CN94" i="2"/>
  <c r="CL94" i="2"/>
  <c r="CK94" i="2"/>
  <c r="CJ94" i="2"/>
  <c r="CH94" i="2"/>
  <c r="CG94" i="2"/>
  <c r="CF94" i="2"/>
  <c r="CD94" i="2"/>
  <c r="CC94" i="2"/>
  <c r="CB94" i="2"/>
  <c r="BZ94" i="2"/>
  <c r="BY94" i="2"/>
  <c r="BX94" i="2"/>
  <c r="BV94" i="2"/>
  <c r="BU94" i="2"/>
  <c r="BT94" i="2"/>
  <c r="BR94" i="2"/>
  <c r="BQ94" i="2"/>
  <c r="BP94" i="2"/>
  <c r="BN94" i="2"/>
  <c r="BM94" i="2"/>
  <c r="BL94" i="2"/>
  <c r="BJ94" i="2"/>
  <c r="BI94" i="2"/>
  <c r="BH94" i="2"/>
  <c r="BF94" i="2"/>
  <c r="BE94" i="2"/>
  <c r="BD94" i="2"/>
  <c r="BB94" i="2"/>
  <c r="BA94" i="2"/>
  <c r="AZ94" i="2"/>
  <c r="AX94" i="2"/>
  <c r="AW94" i="2"/>
  <c r="AV94" i="2"/>
  <c r="AT94" i="2"/>
  <c r="AS94" i="2"/>
  <c r="AR94" i="2"/>
  <c r="AP94" i="2"/>
  <c r="AO94" i="2"/>
  <c r="AN94" i="2"/>
  <c r="AL94" i="2"/>
  <c r="AK94" i="2"/>
  <c r="AJ94" i="2"/>
  <c r="AH94" i="2"/>
  <c r="AG94" i="2"/>
  <c r="AF94" i="2"/>
  <c r="AD94" i="2"/>
  <c r="AC94" i="2"/>
  <c r="AB94" i="2"/>
  <c r="Z94" i="2"/>
  <c r="Y94" i="2"/>
  <c r="X94" i="2"/>
  <c r="V94" i="2"/>
  <c r="U94" i="2"/>
  <c r="T94" i="2"/>
  <c r="R94" i="2"/>
  <c r="Q94" i="2"/>
  <c r="P94" i="2"/>
  <c r="N94" i="2"/>
  <c r="M94" i="2"/>
  <c r="L94" i="2"/>
  <c r="J94" i="2"/>
  <c r="I94" i="2"/>
  <c r="H94" i="2"/>
  <c r="F94" i="2"/>
  <c r="E94" i="2"/>
  <c r="D94" i="2"/>
  <c r="CW93" i="2"/>
  <c r="CV93" i="2"/>
  <c r="CU93" i="2"/>
  <c r="CS93" i="2"/>
  <c r="CR93" i="2"/>
  <c r="CQ93" i="2"/>
  <c r="CO93" i="2"/>
  <c r="CN93" i="2"/>
  <c r="CM93" i="2"/>
  <c r="CK93" i="2"/>
  <c r="CJ93" i="2"/>
  <c r="CI93" i="2"/>
  <c r="CG93" i="2"/>
  <c r="CF93" i="2"/>
  <c r="CE93" i="2"/>
  <c r="CC93" i="2"/>
  <c r="CB93" i="2"/>
  <c r="CA93" i="2"/>
  <c r="BY93" i="2"/>
  <c r="BX93" i="2"/>
  <c r="BW93" i="2"/>
  <c r="BU93" i="2"/>
  <c r="BT93" i="2"/>
  <c r="BS93" i="2"/>
  <c r="BQ93" i="2"/>
  <c r="BP93" i="2"/>
  <c r="BO93" i="2"/>
  <c r="BM93" i="2"/>
  <c r="BL93" i="2"/>
  <c r="BK93" i="2"/>
  <c r="BI93" i="2"/>
  <c r="BH93" i="2"/>
  <c r="BG93" i="2"/>
  <c r="BE93" i="2"/>
  <c r="BD93" i="2"/>
  <c r="BC93" i="2"/>
  <c r="BA93" i="2"/>
  <c r="AZ93" i="2"/>
  <c r="AY93" i="2"/>
  <c r="AW93" i="2"/>
  <c r="AV93" i="2"/>
  <c r="AU93" i="2"/>
  <c r="AS93" i="2"/>
  <c r="AR93" i="2"/>
  <c r="AQ93" i="2"/>
  <c r="AO93" i="2"/>
  <c r="AN93" i="2"/>
  <c r="AM93" i="2"/>
  <c r="AK93" i="2"/>
  <c r="AJ93" i="2"/>
  <c r="AI93" i="2"/>
  <c r="AG93" i="2"/>
  <c r="AF93" i="2"/>
  <c r="AE93" i="2"/>
  <c r="AC93" i="2"/>
  <c r="AB93" i="2"/>
  <c r="AA93" i="2"/>
  <c r="Y93" i="2"/>
  <c r="X93" i="2"/>
  <c r="W93" i="2"/>
  <c r="U93" i="2"/>
  <c r="T93" i="2"/>
  <c r="S93" i="2"/>
  <c r="Q93" i="2"/>
  <c r="P93" i="2"/>
  <c r="O93" i="2"/>
  <c r="M93" i="2"/>
  <c r="L93" i="2"/>
  <c r="K93" i="2"/>
  <c r="I93" i="2"/>
  <c r="H93" i="2"/>
  <c r="G93" i="2"/>
  <c r="E93" i="2"/>
  <c r="D93" i="2"/>
  <c r="CX92" i="2"/>
  <c r="CV92" i="2"/>
  <c r="CU92" i="2"/>
  <c r="CT92" i="2"/>
  <c r="CR92" i="2"/>
  <c r="CQ92" i="2"/>
  <c r="CP92" i="2"/>
  <c r="CN92" i="2"/>
  <c r="CM92" i="2"/>
  <c r="CL92" i="2"/>
  <c r="CJ92" i="2"/>
  <c r="CI92" i="2"/>
  <c r="CH92" i="2"/>
  <c r="CF92" i="2"/>
  <c r="CE92" i="2"/>
  <c r="CD92" i="2"/>
  <c r="CB92" i="2"/>
  <c r="CA92" i="2"/>
  <c r="BZ92" i="2"/>
  <c r="BX92" i="2"/>
  <c r="BW92" i="2"/>
  <c r="BV92" i="2"/>
  <c r="BT92" i="2"/>
  <c r="BS92" i="2"/>
  <c r="BR92" i="2"/>
  <c r="BP92" i="2"/>
  <c r="BO92" i="2"/>
  <c r="BN92" i="2"/>
  <c r="BL92" i="2"/>
  <c r="BK92" i="2"/>
  <c r="BJ92" i="2"/>
  <c r="BH92" i="2"/>
  <c r="BG92" i="2"/>
  <c r="BF92" i="2"/>
  <c r="BD92" i="2"/>
  <c r="BC92" i="2"/>
  <c r="BB92" i="2"/>
  <c r="AZ92" i="2"/>
  <c r="AY92" i="2"/>
  <c r="AX92" i="2"/>
  <c r="AV92" i="2"/>
  <c r="AU92" i="2"/>
  <c r="AT92" i="2"/>
  <c r="AR92" i="2"/>
  <c r="AQ92" i="2"/>
  <c r="AP92" i="2"/>
  <c r="AN92" i="2"/>
  <c r="AM92" i="2"/>
  <c r="AL92" i="2"/>
  <c r="AJ92" i="2"/>
  <c r="AI92" i="2"/>
  <c r="AH92" i="2"/>
  <c r="AF92" i="2"/>
  <c r="AE92" i="2"/>
  <c r="AD92" i="2"/>
  <c r="AB92" i="2"/>
  <c r="AA92" i="2"/>
  <c r="Z92" i="2"/>
  <c r="X92" i="2"/>
  <c r="W92" i="2"/>
  <c r="V92" i="2"/>
  <c r="T92" i="2"/>
  <c r="S92" i="2"/>
  <c r="R92" i="2"/>
  <c r="P92" i="2"/>
  <c r="O92" i="2"/>
  <c r="N92" i="2"/>
  <c r="L92" i="2"/>
  <c r="K92" i="2"/>
  <c r="J92" i="2"/>
  <c r="H92" i="2"/>
  <c r="G92" i="2"/>
  <c r="F92" i="2"/>
  <c r="D92" i="2"/>
  <c r="CX91" i="2"/>
  <c r="CW91" i="2"/>
  <c r="CU91" i="2"/>
  <c r="CT91" i="2"/>
  <c r="CS91" i="2"/>
  <c r="CQ91" i="2"/>
  <c r="CP91" i="2"/>
  <c r="CO91" i="2"/>
  <c r="CM91" i="2"/>
  <c r="CL91" i="2"/>
  <c r="CK91" i="2"/>
  <c r="CI91" i="2"/>
  <c r="CH91" i="2"/>
  <c r="CG91" i="2"/>
  <c r="CE91" i="2"/>
  <c r="CD91" i="2"/>
  <c r="CC91" i="2"/>
  <c r="CA91" i="2"/>
  <c r="BZ91" i="2"/>
  <c r="BY91" i="2"/>
  <c r="BW91" i="2"/>
  <c r="BV91" i="2"/>
  <c r="BU91" i="2"/>
  <c r="BS91" i="2"/>
  <c r="BR91" i="2"/>
  <c r="BQ91" i="2"/>
  <c r="BO91" i="2"/>
  <c r="BN91" i="2"/>
  <c r="BM91" i="2"/>
  <c r="BK91" i="2"/>
  <c r="BJ91" i="2"/>
  <c r="BI91" i="2"/>
  <c r="BG91" i="2"/>
  <c r="BF91" i="2"/>
  <c r="BE91" i="2"/>
  <c r="BC91" i="2"/>
  <c r="BB91" i="2"/>
  <c r="BA91" i="2"/>
  <c r="AY91" i="2"/>
  <c r="AX91" i="2"/>
  <c r="AW91" i="2"/>
  <c r="AU91" i="2"/>
  <c r="AT91" i="2"/>
  <c r="AS91" i="2"/>
  <c r="AQ91" i="2"/>
  <c r="AP91" i="2"/>
  <c r="AO91" i="2"/>
  <c r="AM91" i="2"/>
  <c r="AL91" i="2"/>
  <c r="AK91" i="2"/>
  <c r="AI91" i="2"/>
  <c r="AH91" i="2"/>
  <c r="AG91" i="2"/>
  <c r="AE91" i="2"/>
  <c r="AD91" i="2"/>
  <c r="AC91" i="2"/>
  <c r="AA91" i="2"/>
  <c r="Z91" i="2"/>
  <c r="Y91" i="2"/>
  <c r="W91" i="2"/>
  <c r="V91" i="2"/>
  <c r="U91" i="2"/>
  <c r="S91" i="2"/>
  <c r="R91" i="2"/>
  <c r="Q91" i="2"/>
  <c r="O91" i="2"/>
  <c r="N91" i="2"/>
  <c r="M91" i="2"/>
  <c r="K91" i="2"/>
  <c r="J91" i="2"/>
  <c r="I91" i="2"/>
  <c r="G91" i="2"/>
  <c r="F91" i="2"/>
  <c r="E91" i="2"/>
  <c r="CX90" i="2"/>
  <c r="CW90" i="2"/>
  <c r="CV90" i="2"/>
  <c r="CT90" i="2"/>
  <c r="CS90" i="2"/>
  <c r="CR90" i="2"/>
  <c r="CP90" i="2"/>
  <c r="CO90" i="2"/>
  <c r="CN90" i="2"/>
  <c r="CL90" i="2"/>
  <c r="CK90" i="2"/>
  <c r="CJ90" i="2"/>
  <c r="CH90" i="2"/>
  <c r="CG90" i="2"/>
  <c r="CF90" i="2"/>
  <c r="CD90" i="2"/>
  <c r="CC90" i="2"/>
  <c r="CB90" i="2"/>
  <c r="BZ90" i="2"/>
  <c r="BY90" i="2"/>
  <c r="BX90" i="2"/>
  <c r="BV90" i="2"/>
  <c r="BU90" i="2"/>
  <c r="BT90" i="2"/>
  <c r="BR90" i="2"/>
  <c r="BQ90" i="2"/>
  <c r="BP90" i="2"/>
  <c r="BN90" i="2"/>
  <c r="BM90" i="2"/>
  <c r="BL90" i="2"/>
  <c r="BJ90" i="2"/>
  <c r="BI90" i="2"/>
  <c r="BH90" i="2"/>
  <c r="BF90" i="2"/>
  <c r="BE90" i="2"/>
  <c r="BD90" i="2"/>
  <c r="BB90" i="2"/>
  <c r="BA90" i="2"/>
  <c r="AZ90" i="2"/>
  <c r="AX90" i="2"/>
  <c r="AW90" i="2"/>
  <c r="AV90" i="2"/>
  <c r="AT90" i="2"/>
  <c r="AS90" i="2"/>
  <c r="AR90" i="2"/>
  <c r="AP90" i="2"/>
  <c r="AO90" i="2"/>
  <c r="AN90" i="2"/>
  <c r="AL90" i="2"/>
  <c r="AK90" i="2"/>
  <c r="AJ90" i="2"/>
  <c r="AH90" i="2"/>
  <c r="AG90" i="2"/>
  <c r="AF90" i="2"/>
  <c r="AD90" i="2"/>
  <c r="AC90" i="2"/>
  <c r="AB90" i="2"/>
  <c r="Z90" i="2"/>
  <c r="Y90" i="2"/>
  <c r="X90" i="2"/>
  <c r="V90" i="2"/>
  <c r="U90" i="2"/>
  <c r="T90" i="2"/>
  <c r="R90" i="2"/>
  <c r="Q90" i="2"/>
  <c r="P90" i="2"/>
  <c r="N90" i="2"/>
  <c r="M90" i="2"/>
  <c r="L90" i="2"/>
  <c r="J90" i="2"/>
  <c r="I90" i="2"/>
  <c r="H90" i="2"/>
  <c r="F90" i="2"/>
  <c r="E90" i="2"/>
  <c r="D90" i="2"/>
  <c r="CW89" i="2"/>
  <c r="CV89" i="2"/>
  <c r="CU89" i="2"/>
  <c r="CS89" i="2"/>
  <c r="CR89" i="2"/>
  <c r="CQ89" i="2"/>
  <c r="CO89" i="2"/>
  <c r="CN89" i="2"/>
  <c r="CM89" i="2"/>
  <c r="CK89" i="2"/>
  <c r="CJ89" i="2"/>
  <c r="CI89" i="2"/>
  <c r="CG89" i="2"/>
  <c r="CF89" i="2"/>
  <c r="CE89" i="2"/>
  <c r="CC89" i="2"/>
  <c r="CB89" i="2"/>
  <c r="CA89" i="2"/>
  <c r="BY89" i="2"/>
  <c r="BX89" i="2"/>
  <c r="BW89" i="2"/>
  <c r="BU89" i="2"/>
  <c r="BT89" i="2"/>
  <c r="BS89" i="2"/>
  <c r="BQ89" i="2"/>
  <c r="BP89" i="2"/>
  <c r="BO89" i="2"/>
  <c r="BM89" i="2"/>
  <c r="BL89" i="2"/>
  <c r="BK89" i="2"/>
  <c r="BI89" i="2"/>
  <c r="BH89" i="2"/>
  <c r="BG89" i="2"/>
  <c r="BE89" i="2"/>
  <c r="BD89" i="2"/>
  <c r="BC89" i="2"/>
  <c r="BA89" i="2"/>
  <c r="AZ89" i="2"/>
  <c r="AY89" i="2"/>
  <c r="AW89" i="2"/>
  <c r="AV89" i="2"/>
  <c r="AU89" i="2"/>
  <c r="AS89" i="2"/>
  <c r="AR89" i="2"/>
  <c r="AQ89" i="2"/>
  <c r="AO89" i="2"/>
  <c r="AN89" i="2"/>
  <c r="AM89" i="2"/>
  <c r="AK89" i="2"/>
  <c r="AJ89" i="2"/>
  <c r="AI89" i="2"/>
  <c r="AG89" i="2"/>
  <c r="AF89" i="2"/>
  <c r="AE89" i="2"/>
  <c r="AC89" i="2"/>
  <c r="AB89" i="2"/>
  <c r="AA89" i="2"/>
  <c r="Y89" i="2"/>
  <c r="X89" i="2"/>
  <c r="W89" i="2"/>
  <c r="U89" i="2"/>
  <c r="T89" i="2"/>
  <c r="S89" i="2"/>
  <c r="Q89" i="2"/>
  <c r="P89" i="2"/>
  <c r="O89" i="2"/>
  <c r="M89" i="2"/>
  <c r="L89" i="2"/>
  <c r="K89" i="2"/>
  <c r="I89" i="2"/>
  <c r="H89" i="2"/>
  <c r="G89" i="2"/>
  <c r="E89" i="2"/>
  <c r="D89" i="2"/>
  <c r="CX88" i="2"/>
  <c r="CV88" i="2"/>
  <c r="CU88" i="2"/>
  <c r="CT88" i="2"/>
  <c r="CR88" i="2"/>
  <c r="CQ88" i="2"/>
  <c r="CP88" i="2"/>
  <c r="CN88" i="2"/>
  <c r="CM88" i="2"/>
  <c r="CL88" i="2"/>
  <c r="CJ88" i="2"/>
  <c r="CI88" i="2"/>
  <c r="CH88" i="2"/>
  <c r="CF88" i="2"/>
  <c r="CE88" i="2"/>
  <c r="CD88" i="2"/>
  <c r="CB88" i="2"/>
  <c r="CA88" i="2"/>
  <c r="BZ88" i="2"/>
  <c r="BX88" i="2"/>
  <c r="BW88" i="2"/>
  <c r="BV88" i="2"/>
  <c r="BT88" i="2"/>
  <c r="BS88" i="2"/>
  <c r="BR88" i="2"/>
  <c r="BP88" i="2"/>
  <c r="BO88" i="2"/>
  <c r="BN88" i="2"/>
  <c r="BL88" i="2"/>
  <c r="BK88" i="2"/>
  <c r="BJ88" i="2"/>
  <c r="BH88" i="2"/>
  <c r="BG88" i="2"/>
  <c r="BF88" i="2"/>
  <c r="BD88" i="2"/>
  <c r="BC88" i="2"/>
  <c r="BB88" i="2"/>
  <c r="AZ88" i="2"/>
  <c r="AY88" i="2"/>
  <c r="AX88" i="2"/>
  <c r="AV88" i="2"/>
  <c r="AU88" i="2"/>
  <c r="AT88" i="2"/>
  <c r="AR88" i="2"/>
  <c r="AQ88" i="2"/>
  <c r="AP88" i="2"/>
  <c r="AN88" i="2"/>
  <c r="AM88" i="2"/>
  <c r="AL88" i="2"/>
  <c r="AJ88" i="2"/>
  <c r="AI88" i="2"/>
  <c r="AH88" i="2"/>
  <c r="AF88" i="2"/>
  <c r="AE88" i="2"/>
  <c r="AD88" i="2"/>
  <c r="AB88" i="2"/>
  <c r="AA88" i="2"/>
  <c r="Z88" i="2"/>
  <c r="X88" i="2"/>
  <c r="W88" i="2"/>
  <c r="V88" i="2"/>
  <c r="T88" i="2"/>
  <c r="S88" i="2"/>
  <c r="R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X87" i="2"/>
  <c r="CW87" i="2"/>
  <c r="CV87" i="2"/>
  <c r="CU87" i="2"/>
  <c r="CT87" i="2"/>
  <c r="CS87" i="2"/>
  <c r="CR87" i="2"/>
  <c r="CQ87" i="2"/>
  <c r="CP87" i="2"/>
  <c r="CO87" i="2"/>
  <c r="CN87" i="2"/>
  <c r="CM87" i="2"/>
  <c r="CL87" i="2"/>
  <c r="CK87" i="2"/>
  <c r="CJ87" i="2"/>
  <c r="CI87" i="2"/>
  <c r="CH87" i="2"/>
  <c r="CG87" i="2"/>
  <c r="CF87" i="2"/>
  <c r="CE87" i="2"/>
  <c r="CD87" i="2"/>
  <c r="CC87" i="2"/>
  <c r="CB87" i="2"/>
  <c r="CA87" i="2"/>
  <c r="BZ87" i="2"/>
  <c r="BY87" i="2"/>
  <c r="BX87" i="2"/>
  <c r="BW87" i="2"/>
  <c r="BV87" i="2"/>
  <c r="BU87" i="2"/>
  <c r="BT87" i="2"/>
  <c r="BS87" i="2"/>
  <c r="BR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BB87" i="2"/>
  <c r="BA87" i="2"/>
  <c r="AZ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X86" i="2"/>
  <c r="CW86" i="2"/>
  <c r="CV86" i="2"/>
  <c r="CU86" i="2"/>
  <c r="CT86" i="2"/>
  <c r="CS86" i="2"/>
  <c r="CR86" i="2"/>
  <c r="CQ86" i="2"/>
  <c r="CP86" i="2"/>
  <c r="CO86" i="2"/>
  <c r="CN86" i="2"/>
  <c r="CM86" i="2"/>
  <c r="CL86" i="2"/>
  <c r="CK86" i="2"/>
  <c r="CJ86" i="2"/>
  <c r="CI86" i="2"/>
  <c r="CH86" i="2"/>
  <c r="CG86" i="2"/>
  <c r="CF86" i="2"/>
  <c r="CE86" i="2"/>
  <c r="CD86" i="2"/>
  <c r="CC86" i="2"/>
  <c r="CB86" i="2"/>
  <c r="CA86" i="2"/>
  <c r="BZ86" i="2"/>
  <c r="BY86" i="2"/>
  <c r="BX86" i="2"/>
  <c r="BW86" i="2"/>
  <c r="BV86" i="2"/>
  <c r="BU86" i="2"/>
  <c r="BT86" i="2"/>
  <c r="BS86" i="2"/>
  <c r="BR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BB86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X63" i="2"/>
  <c r="CW63" i="2"/>
  <c r="CV63" i="2"/>
  <c r="CT63" i="2"/>
  <c r="CS63" i="2"/>
  <c r="CR63" i="2"/>
  <c r="CP63" i="2"/>
  <c r="CO63" i="2"/>
  <c r="CN63" i="2"/>
  <c r="CL63" i="2"/>
  <c r="CK63" i="2"/>
  <c r="CJ63" i="2"/>
  <c r="CH63" i="2"/>
  <c r="CG63" i="2"/>
  <c r="CF63" i="2"/>
  <c r="CD63" i="2"/>
  <c r="CC63" i="2"/>
  <c r="CB63" i="2"/>
  <c r="BZ63" i="2"/>
  <c r="BY63" i="2"/>
  <c r="BX63" i="2"/>
  <c r="BV63" i="2"/>
  <c r="BU63" i="2"/>
  <c r="BT63" i="2"/>
  <c r="BR63" i="2"/>
  <c r="BQ63" i="2"/>
  <c r="BP63" i="2"/>
  <c r="BN63" i="2"/>
  <c r="BM63" i="2"/>
  <c r="BL63" i="2"/>
  <c r="BJ63" i="2"/>
  <c r="BI63" i="2"/>
  <c r="BH63" i="2"/>
  <c r="BF63" i="2"/>
  <c r="BE63" i="2"/>
  <c r="BD63" i="2"/>
  <c r="BB63" i="2"/>
  <c r="BA63" i="2"/>
  <c r="AZ63" i="2"/>
  <c r="AX63" i="2"/>
  <c r="AW63" i="2"/>
  <c r="AV63" i="2"/>
  <c r="AT63" i="2"/>
  <c r="AS63" i="2"/>
  <c r="AR63" i="2"/>
  <c r="AP63" i="2"/>
  <c r="AO63" i="2"/>
  <c r="AN63" i="2"/>
  <c r="AL63" i="2"/>
  <c r="AK63" i="2"/>
  <c r="AJ63" i="2"/>
  <c r="AH63" i="2"/>
  <c r="AG63" i="2"/>
  <c r="AF63" i="2"/>
  <c r="AD63" i="2"/>
  <c r="AC63" i="2"/>
  <c r="AB63" i="2"/>
  <c r="Z63" i="2"/>
  <c r="Y63" i="2"/>
  <c r="X63" i="2"/>
  <c r="V63" i="2"/>
  <c r="U63" i="2"/>
  <c r="T63" i="2"/>
  <c r="R63" i="2"/>
  <c r="Q63" i="2"/>
  <c r="P63" i="2"/>
  <c r="N63" i="2"/>
  <c r="M63" i="2"/>
  <c r="L63" i="2"/>
  <c r="J63" i="2"/>
  <c r="I63" i="2"/>
  <c r="H63" i="2"/>
  <c r="F63" i="2"/>
  <c r="E63" i="2"/>
  <c r="D63" i="2"/>
  <c r="CW62" i="2"/>
  <c r="CV62" i="2"/>
  <c r="CU62" i="2"/>
  <c r="CS62" i="2"/>
  <c r="CR62" i="2"/>
  <c r="CQ62" i="2"/>
  <c r="CO62" i="2"/>
  <c r="CN62" i="2"/>
  <c r="CM62" i="2"/>
  <c r="CK62" i="2"/>
  <c r="CJ62" i="2"/>
  <c r="CI62" i="2"/>
  <c r="CG62" i="2"/>
  <c r="CF62" i="2"/>
  <c r="CE62" i="2"/>
  <c r="CC62" i="2"/>
  <c r="CB62" i="2"/>
  <c r="CA62" i="2"/>
  <c r="BY62" i="2"/>
  <c r="BX62" i="2"/>
  <c r="BW62" i="2"/>
  <c r="BU62" i="2"/>
  <c r="BT62" i="2"/>
  <c r="BS62" i="2"/>
  <c r="BQ62" i="2"/>
  <c r="BP62" i="2"/>
  <c r="BO62" i="2"/>
  <c r="BM62" i="2"/>
  <c r="BL62" i="2"/>
  <c r="BK62" i="2"/>
  <c r="BI62" i="2"/>
  <c r="BH62" i="2"/>
  <c r="BG62" i="2"/>
  <c r="BE62" i="2"/>
  <c r="BD62" i="2"/>
  <c r="BC62" i="2"/>
  <c r="BA62" i="2"/>
  <c r="AZ62" i="2"/>
  <c r="AY62" i="2"/>
  <c r="AW62" i="2"/>
  <c r="AV62" i="2"/>
  <c r="AU62" i="2"/>
  <c r="AS62" i="2"/>
  <c r="AR62" i="2"/>
  <c r="AQ62" i="2"/>
  <c r="AO62" i="2"/>
  <c r="AN62" i="2"/>
  <c r="AM62" i="2"/>
  <c r="AK62" i="2"/>
  <c r="AJ62" i="2"/>
  <c r="AI62" i="2"/>
  <c r="AG62" i="2"/>
  <c r="AF62" i="2"/>
  <c r="AE62" i="2"/>
  <c r="AC62" i="2"/>
  <c r="AB62" i="2"/>
  <c r="AA62" i="2"/>
  <c r="Y62" i="2"/>
  <c r="X62" i="2"/>
  <c r="W62" i="2"/>
  <c r="U62" i="2"/>
  <c r="T62" i="2"/>
  <c r="S62" i="2"/>
  <c r="Q62" i="2"/>
  <c r="P62" i="2"/>
  <c r="O62" i="2"/>
  <c r="M62" i="2"/>
  <c r="L62" i="2"/>
  <c r="K62" i="2"/>
  <c r="I62" i="2"/>
  <c r="H62" i="2"/>
  <c r="G62" i="2"/>
  <c r="E62" i="2"/>
  <c r="D62" i="2"/>
  <c r="CX61" i="2"/>
  <c r="CV61" i="2"/>
  <c r="CU61" i="2"/>
  <c r="CT61" i="2"/>
  <c r="CR61" i="2"/>
  <c r="CQ61" i="2"/>
  <c r="CP61" i="2"/>
  <c r="CN61" i="2"/>
  <c r="CM61" i="2"/>
  <c r="CL61" i="2"/>
  <c r="CJ61" i="2"/>
  <c r="CI61" i="2"/>
  <c r="CH61" i="2"/>
  <c r="CF61" i="2"/>
  <c r="CE61" i="2"/>
  <c r="CD61" i="2"/>
  <c r="CB61" i="2"/>
  <c r="CA61" i="2"/>
  <c r="BZ61" i="2"/>
  <c r="BX61" i="2"/>
  <c r="BW61" i="2"/>
  <c r="BV61" i="2"/>
  <c r="BT61" i="2"/>
  <c r="BS61" i="2"/>
  <c r="BR61" i="2"/>
  <c r="BP61" i="2"/>
  <c r="BO61" i="2"/>
  <c r="BN61" i="2"/>
  <c r="BL61" i="2"/>
  <c r="BK61" i="2"/>
  <c r="BJ61" i="2"/>
  <c r="BH61" i="2"/>
  <c r="BG61" i="2"/>
  <c r="BF61" i="2"/>
  <c r="BD61" i="2"/>
  <c r="BC61" i="2"/>
  <c r="BB61" i="2"/>
  <c r="AZ61" i="2"/>
  <c r="AY61" i="2"/>
  <c r="AX61" i="2"/>
  <c r="AV61" i="2"/>
  <c r="AU61" i="2"/>
  <c r="AT61" i="2"/>
  <c r="AR61" i="2"/>
  <c r="AQ61" i="2"/>
  <c r="AP61" i="2"/>
  <c r="AN61" i="2"/>
  <c r="AM61" i="2"/>
  <c r="AL61" i="2"/>
  <c r="AJ61" i="2"/>
  <c r="AI61" i="2"/>
  <c r="AH61" i="2"/>
  <c r="AF61" i="2"/>
  <c r="AE61" i="2"/>
  <c r="AD61" i="2"/>
  <c r="AB61" i="2"/>
  <c r="AA61" i="2"/>
  <c r="Z61" i="2"/>
  <c r="X61" i="2"/>
  <c r="W61" i="2"/>
  <c r="V61" i="2"/>
  <c r="T61" i="2"/>
  <c r="S61" i="2"/>
  <c r="R61" i="2"/>
  <c r="P61" i="2"/>
  <c r="O61" i="2"/>
  <c r="N61" i="2"/>
  <c r="L61" i="2"/>
  <c r="K61" i="2"/>
  <c r="J61" i="2"/>
  <c r="H61" i="2"/>
  <c r="G61" i="2"/>
  <c r="F61" i="2"/>
  <c r="D61" i="2"/>
  <c r="CX60" i="2"/>
  <c r="CW60" i="2"/>
  <c r="CU60" i="2"/>
  <c r="CT60" i="2"/>
  <c r="CS60" i="2"/>
  <c r="CQ60" i="2"/>
  <c r="CP60" i="2"/>
  <c r="CO60" i="2"/>
  <c r="CM60" i="2"/>
  <c r="CL60" i="2"/>
  <c r="CK60" i="2"/>
  <c r="CI60" i="2"/>
  <c r="CH60" i="2"/>
  <c r="CG60" i="2"/>
  <c r="CE60" i="2"/>
  <c r="CD60" i="2"/>
  <c r="CC60" i="2"/>
  <c r="CA60" i="2"/>
  <c r="BZ60" i="2"/>
  <c r="BY60" i="2"/>
  <c r="BW60" i="2"/>
  <c r="BV60" i="2"/>
  <c r="BU60" i="2"/>
  <c r="BS60" i="2"/>
  <c r="BR60" i="2"/>
  <c r="BQ60" i="2"/>
  <c r="BO60" i="2"/>
  <c r="BN60" i="2"/>
  <c r="BM60" i="2"/>
  <c r="BK60" i="2"/>
  <c r="BJ60" i="2"/>
  <c r="BI60" i="2"/>
  <c r="BG60" i="2"/>
  <c r="BF60" i="2"/>
  <c r="BE60" i="2"/>
  <c r="BC60" i="2"/>
  <c r="BB60" i="2"/>
  <c r="BA60" i="2"/>
  <c r="AY60" i="2"/>
  <c r="AX60" i="2"/>
  <c r="AW60" i="2"/>
  <c r="AU60" i="2"/>
  <c r="AT60" i="2"/>
  <c r="AS60" i="2"/>
  <c r="AQ60" i="2"/>
  <c r="AP60" i="2"/>
  <c r="AO60" i="2"/>
  <c r="AM60" i="2"/>
  <c r="AL60" i="2"/>
  <c r="AK60" i="2"/>
  <c r="AI60" i="2"/>
  <c r="AH60" i="2"/>
  <c r="AG60" i="2"/>
  <c r="AE60" i="2"/>
  <c r="AD60" i="2"/>
  <c r="AC60" i="2"/>
  <c r="AA60" i="2"/>
  <c r="Z60" i="2"/>
  <c r="Y60" i="2"/>
  <c r="W60" i="2"/>
  <c r="V60" i="2"/>
  <c r="U60" i="2"/>
  <c r="S60" i="2"/>
  <c r="R60" i="2"/>
  <c r="Q60" i="2"/>
  <c r="O60" i="2"/>
  <c r="N60" i="2"/>
  <c r="M60" i="2"/>
  <c r="K60" i="2"/>
  <c r="J60" i="2"/>
  <c r="I60" i="2"/>
  <c r="G60" i="2"/>
  <c r="F60" i="2"/>
  <c r="E60" i="2"/>
  <c r="CX59" i="2"/>
  <c r="CW59" i="2"/>
  <c r="CV59" i="2"/>
  <c r="CT59" i="2"/>
  <c r="CS59" i="2"/>
  <c r="CR59" i="2"/>
  <c r="CP59" i="2"/>
  <c r="CO59" i="2"/>
  <c r="CN59" i="2"/>
  <c r="CL59" i="2"/>
  <c r="CK59" i="2"/>
  <c r="CJ59" i="2"/>
  <c r="CH59" i="2"/>
  <c r="CG59" i="2"/>
  <c r="CF59" i="2"/>
  <c r="CD59" i="2"/>
  <c r="CC59" i="2"/>
  <c r="CB59" i="2"/>
  <c r="BZ59" i="2"/>
  <c r="BY59" i="2"/>
  <c r="BX59" i="2"/>
  <c r="BV59" i="2"/>
  <c r="BU59" i="2"/>
  <c r="BT59" i="2"/>
  <c r="BR59" i="2"/>
  <c r="BQ59" i="2"/>
  <c r="BP59" i="2"/>
  <c r="BN59" i="2"/>
  <c r="BM59" i="2"/>
  <c r="BL59" i="2"/>
  <c r="BJ59" i="2"/>
  <c r="BI59" i="2"/>
  <c r="BH59" i="2"/>
  <c r="BF59" i="2"/>
  <c r="BE59" i="2"/>
  <c r="BD59" i="2"/>
  <c r="BB59" i="2"/>
  <c r="BA59" i="2"/>
  <c r="AZ59" i="2"/>
  <c r="AX59" i="2"/>
  <c r="AW59" i="2"/>
  <c r="AV59" i="2"/>
  <c r="AT59" i="2"/>
  <c r="AS59" i="2"/>
  <c r="AR59" i="2"/>
  <c r="AP59" i="2"/>
  <c r="AO59" i="2"/>
  <c r="AN59" i="2"/>
  <c r="AL59" i="2"/>
  <c r="AK59" i="2"/>
  <c r="AJ59" i="2"/>
  <c r="AH59" i="2"/>
  <c r="AG59" i="2"/>
  <c r="AF59" i="2"/>
  <c r="AD59" i="2"/>
  <c r="AC59" i="2"/>
  <c r="AB59" i="2"/>
  <c r="Z59" i="2"/>
  <c r="Y59" i="2"/>
  <c r="X59" i="2"/>
  <c r="V59" i="2"/>
  <c r="U59" i="2"/>
  <c r="T59" i="2"/>
  <c r="R59" i="2"/>
  <c r="Q59" i="2"/>
  <c r="P59" i="2"/>
  <c r="N59" i="2"/>
  <c r="M59" i="2"/>
  <c r="L59" i="2"/>
  <c r="J59" i="2"/>
  <c r="I59" i="2"/>
  <c r="H59" i="2"/>
  <c r="F59" i="2"/>
  <c r="E59" i="2"/>
  <c r="D59" i="2"/>
  <c r="CW58" i="2"/>
  <c r="CV58" i="2"/>
  <c r="CU58" i="2"/>
  <c r="CS58" i="2"/>
  <c r="CR58" i="2"/>
  <c r="CQ58" i="2"/>
  <c r="CO58" i="2"/>
  <c r="CN58" i="2"/>
  <c r="CM58" i="2"/>
  <c r="CK58" i="2"/>
  <c r="CJ58" i="2"/>
  <c r="CI58" i="2"/>
  <c r="CG58" i="2"/>
  <c r="CF58" i="2"/>
  <c r="CE58" i="2"/>
  <c r="CC58" i="2"/>
  <c r="CB58" i="2"/>
  <c r="CA58" i="2"/>
  <c r="BY58" i="2"/>
  <c r="BX58" i="2"/>
  <c r="BW58" i="2"/>
  <c r="BU58" i="2"/>
  <c r="BT58" i="2"/>
  <c r="BS58" i="2"/>
  <c r="BQ58" i="2"/>
  <c r="BP58" i="2"/>
  <c r="BO58" i="2"/>
  <c r="BM58" i="2"/>
  <c r="BL58" i="2"/>
  <c r="BK58" i="2"/>
  <c r="BI58" i="2"/>
  <c r="BH58" i="2"/>
  <c r="BG58" i="2"/>
  <c r="BE58" i="2"/>
  <c r="BD58" i="2"/>
  <c r="BC58" i="2"/>
  <c r="BA58" i="2"/>
  <c r="AZ58" i="2"/>
  <c r="AY58" i="2"/>
  <c r="AW58" i="2"/>
  <c r="AV58" i="2"/>
  <c r="AU58" i="2"/>
  <c r="AS58" i="2"/>
  <c r="AR58" i="2"/>
  <c r="AQ58" i="2"/>
  <c r="AO58" i="2"/>
  <c r="AN58" i="2"/>
  <c r="AM58" i="2"/>
  <c r="AK58" i="2"/>
  <c r="AJ58" i="2"/>
  <c r="AI58" i="2"/>
  <c r="AG58" i="2"/>
  <c r="AF58" i="2"/>
  <c r="AE58" i="2"/>
  <c r="AC58" i="2"/>
  <c r="AB58" i="2"/>
  <c r="AA58" i="2"/>
  <c r="Y58" i="2"/>
  <c r="X58" i="2"/>
  <c r="W58" i="2"/>
  <c r="U58" i="2"/>
  <c r="T58" i="2"/>
  <c r="S58" i="2"/>
  <c r="Q58" i="2"/>
  <c r="P58" i="2"/>
  <c r="O58" i="2"/>
  <c r="M58" i="2"/>
  <c r="L58" i="2"/>
  <c r="K58" i="2"/>
  <c r="I58" i="2"/>
  <c r="H58" i="2"/>
  <c r="G58" i="2"/>
  <c r="E58" i="2"/>
  <c r="D58" i="2"/>
  <c r="CX57" i="2"/>
  <c r="CV57" i="2"/>
  <c r="CU57" i="2"/>
  <c r="CT57" i="2"/>
  <c r="CR57" i="2"/>
  <c r="CQ57" i="2"/>
  <c r="CP57" i="2"/>
  <c r="CN57" i="2"/>
  <c r="CM57" i="2"/>
  <c r="CL57" i="2"/>
  <c r="CJ57" i="2"/>
  <c r="CI57" i="2"/>
  <c r="CH57" i="2"/>
  <c r="CF57" i="2"/>
  <c r="CE57" i="2"/>
  <c r="CD57" i="2"/>
  <c r="CB57" i="2"/>
  <c r="CA57" i="2"/>
  <c r="BZ57" i="2"/>
  <c r="BX57" i="2"/>
  <c r="BW57" i="2"/>
  <c r="BV57" i="2"/>
  <c r="BT57" i="2"/>
  <c r="BS57" i="2"/>
  <c r="BR57" i="2"/>
  <c r="BP57" i="2"/>
  <c r="BO57" i="2"/>
  <c r="BN57" i="2"/>
  <c r="BL57" i="2"/>
  <c r="BK57" i="2"/>
  <c r="BJ57" i="2"/>
  <c r="BH57" i="2"/>
  <c r="BG57" i="2"/>
  <c r="BF57" i="2"/>
  <c r="BD57" i="2"/>
  <c r="BC57" i="2"/>
  <c r="BB57" i="2"/>
  <c r="AZ57" i="2"/>
  <c r="AY57" i="2"/>
  <c r="AX57" i="2"/>
  <c r="AV57" i="2"/>
  <c r="AU57" i="2"/>
  <c r="AT57" i="2"/>
  <c r="AR57" i="2"/>
  <c r="AQ57" i="2"/>
  <c r="AP57" i="2"/>
  <c r="AN57" i="2"/>
  <c r="AM57" i="2"/>
  <c r="AL57" i="2"/>
  <c r="AJ57" i="2"/>
  <c r="AI57" i="2"/>
  <c r="AH57" i="2"/>
  <c r="AF57" i="2"/>
  <c r="AE57" i="2"/>
  <c r="AD57" i="2"/>
  <c r="AB57" i="2"/>
  <c r="AA57" i="2"/>
  <c r="Z57" i="2"/>
  <c r="X57" i="2"/>
  <c r="W57" i="2"/>
  <c r="V57" i="2"/>
  <c r="T57" i="2"/>
  <c r="S57" i="2"/>
  <c r="R57" i="2"/>
  <c r="P57" i="2"/>
  <c r="O57" i="2"/>
  <c r="N57" i="2"/>
  <c r="L57" i="2"/>
  <c r="K57" i="2"/>
  <c r="J57" i="2"/>
  <c r="H57" i="2"/>
  <c r="G57" i="2"/>
  <c r="F57" i="2"/>
  <c r="D57" i="2"/>
  <c r="CX56" i="2"/>
  <c r="CW56" i="2"/>
  <c r="CU56" i="2"/>
  <c r="CT56" i="2"/>
  <c r="CS56" i="2"/>
  <c r="CQ56" i="2"/>
  <c r="CP56" i="2"/>
  <c r="CO56" i="2"/>
  <c r="CM56" i="2"/>
  <c r="CL56" i="2"/>
  <c r="CK56" i="2"/>
  <c r="CI56" i="2"/>
  <c r="CH56" i="2"/>
  <c r="CG56" i="2"/>
  <c r="CE56" i="2"/>
  <c r="CD56" i="2"/>
  <c r="CC56" i="2"/>
  <c r="CA56" i="2"/>
  <c r="BZ56" i="2"/>
  <c r="BY56" i="2"/>
  <c r="BW56" i="2"/>
  <c r="BV56" i="2"/>
  <c r="BU56" i="2"/>
  <c r="BS56" i="2"/>
  <c r="BR56" i="2"/>
  <c r="BQ56" i="2"/>
  <c r="BO56" i="2"/>
  <c r="BN56" i="2"/>
  <c r="BM56" i="2"/>
  <c r="BK56" i="2"/>
  <c r="BJ56" i="2"/>
  <c r="BI56" i="2"/>
  <c r="BG56" i="2"/>
  <c r="BF56" i="2"/>
  <c r="BE56" i="2"/>
  <c r="BC56" i="2"/>
  <c r="BB56" i="2"/>
  <c r="BA56" i="2"/>
  <c r="AY56" i="2"/>
  <c r="AX56" i="2"/>
  <c r="AW56" i="2"/>
  <c r="AU56" i="2"/>
  <c r="AT56" i="2"/>
  <c r="AS56" i="2"/>
  <c r="AQ56" i="2"/>
  <c r="AP56" i="2"/>
  <c r="AO56" i="2"/>
  <c r="AM56" i="2"/>
  <c r="AL56" i="2"/>
  <c r="AK56" i="2"/>
  <c r="AI56" i="2"/>
  <c r="AH56" i="2"/>
  <c r="AG56" i="2"/>
  <c r="AE56" i="2"/>
  <c r="AD56" i="2"/>
  <c r="AC56" i="2"/>
  <c r="AA56" i="2"/>
  <c r="Z56" i="2"/>
  <c r="Y56" i="2"/>
  <c r="W56" i="2"/>
  <c r="V56" i="2"/>
  <c r="U56" i="2"/>
  <c r="S56" i="2"/>
  <c r="R56" i="2"/>
  <c r="Q56" i="2"/>
  <c r="O56" i="2"/>
  <c r="N56" i="2"/>
  <c r="M56" i="2"/>
  <c r="K56" i="2"/>
  <c r="J56" i="2"/>
  <c r="I56" i="2"/>
  <c r="G56" i="2"/>
  <c r="F56" i="2"/>
  <c r="E56" i="2"/>
  <c r="CX55" i="2"/>
  <c r="CW55" i="2"/>
  <c r="CV55" i="2"/>
  <c r="CT55" i="2"/>
  <c r="CS55" i="2"/>
  <c r="CR55" i="2"/>
  <c r="CP55" i="2"/>
  <c r="CO55" i="2"/>
  <c r="CN55" i="2"/>
  <c r="CL55" i="2"/>
  <c r="CK55" i="2"/>
  <c r="CJ55" i="2"/>
  <c r="CH55" i="2"/>
  <c r="CG55" i="2"/>
  <c r="CF55" i="2"/>
  <c r="CD55" i="2"/>
  <c r="CC55" i="2"/>
  <c r="CB55" i="2"/>
  <c r="BZ55" i="2"/>
  <c r="BY55" i="2"/>
  <c r="BX55" i="2"/>
  <c r="BV55" i="2"/>
  <c r="BU55" i="2"/>
  <c r="BT55" i="2"/>
  <c r="BR55" i="2"/>
  <c r="BQ55" i="2"/>
  <c r="BP55" i="2"/>
  <c r="BN55" i="2"/>
  <c r="BM55" i="2"/>
  <c r="BL55" i="2"/>
  <c r="BJ55" i="2"/>
  <c r="BI55" i="2"/>
  <c r="BH55" i="2"/>
  <c r="BF55" i="2"/>
  <c r="BE55" i="2"/>
  <c r="BD55" i="2"/>
  <c r="BB55" i="2"/>
  <c r="BA55" i="2"/>
  <c r="AZ55" i="2"/>
  <c r="AX55" i="2"/>
  <c r="AW55" i="2"/>
  <c r="AV55" i="2"/>
  <c r="AT55" i="2"/>
  <c r="AS55" i="2"/>
  <c r="AR55" i="2"/>
  <c r="AP55" i="2"/>
  <c r="AO55" i="2"/>
  <c r="AN55" i="2"/>
  <c r="AL55" i="2"/>
  <c r="AK55" i="2"/>
  <c r="AJ55" i="2"/>
  <c r="AH55" i="2"/>
  <c r="AG55" i="2"/>
  <c r="AF55" i="2"/>
  <c r="AD55" i="2"/>
  <c r="AC55" i="2"/>
  <c r="AB55" i="2"/>
  <c r="Z55" i="2"/>
  <c r="Y55" i="2"/>
  <c r="X55" i="2"/>
  <c r="V55" i="2"/>
  <c r="U55" i="2"/>
  <c r="T55" i="2"/>
  <c r="R55" i="2"/>
  <c r="Q55" i="2"/>
  <c r="P55" i="2"/>
  <c r="N55" i="2"/>
  <c r="M55" i="2"/>
  <c r="L55" i="2"/>
  <c r="J55" i="2"/>
  <c r="I55" i="2"/>
  <c r="H55" i="2"/>
  <c r="F55" i="2"/>
  <c r="E55" i="2"/>
  <c r="D55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5" i="2"/>
  <c r="D32" i="2"/>
  <c r="D31" i="2"/>
  <c r="D30" i="2"/>
  <c r="D29" i="2"/>
  <c r="D28" i="2"/>
  <c r="D27" i="2"/>
  <c r="D26" i="2"/>
  <c r="D25" i="2"/>
  <c r="D24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AS159" i="12" l="1"/>
  <c r="CK159" i="12"/>
  <c r="CX71" i="12"/>
  <c r="BK242" i="12"/>
  <c r="BP242" i="12"/>
  <c r="BT159" i="12"/>
</calcChain>
</file>

<file path=xl/sharedStrings.xml><?xml version="1.0" encoding="utf-8"?>
<sst xmlns="http://schemas.openxmlformats.org/spreadsheetml/2006/main" count="20933" uniqueCount="5929">
  <si>
    <t>label</t>
  </si>
  <si>
    <t>effect</t>
  </si>
  <si>
    <t>years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</si>
  <si>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</si>
  <si>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</si>
  <si>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</si>
  <si>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</si>
  <si>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</si>
  <si>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</si>
  <si>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</si>
  <si>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</si>
  <si>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</si>
  <si>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</si>
  <si>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</si>
  <si>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</si>
  <si>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</si>
  <si>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</si>
  <si>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</si>
  <si>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</si>
  <si>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</si>
  <si>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</si>
  <si>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</si>
  <si>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</si>
  <si>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</si>
  <si>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</si>
  <si>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</si>
  <si>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</si>
  <si>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</si>
  <si>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</si>
  <si>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</si>
  <si>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</si>
  <si>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</si>
  <si>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</si>
  <si>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</si>
  <si>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</si>
  <si>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</si>
  <si>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</si>
  <si>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</si>
  <si>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</si>
  <si>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</si>
  <si>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</si>
  <si>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</si>
  <si>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</si>
  <si>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</si>
  <si>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</si>
  <si>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</si>
  <si>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</si>
  <si>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</si>
  <si>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</si>
  <si>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</si>
  <si>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</si>
  <si>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</si>
  <si>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</si>
  <si>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</si>
  <si>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</si>
  <si>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</si>
  <si>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</si>
  <si>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</si>
  <si>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</si>
  <si>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</si>
  <si>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</si>
  <si>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</si>
  <si>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</si>
  <si>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</si>
  <si>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</si>
  <si>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</si>
  <si>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</si>
  <si>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</si>
  <si>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</si>
  <si>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</si>
  <si>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</si>
  <si>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</si>
  <si>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</si>
  <si>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</si>
  <si>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</si>
  <si>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</si>
  <si>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</si>
  <si>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</si>
  <si>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</si>
  <si>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</si>
  <si>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</si>
  <si>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</si>
  <si>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</si>
  <si>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</si>
  <si>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</si>
  <si>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</si>
  <si>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</si>
  <si>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</si>
  <si>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</si>
  <si>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</si>
  <si>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</si>
  <si>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</si>
  <si>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</si>
  <si>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</si>
  <si>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</si>
  <si>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</si>
  <si>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</si>
  <si>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</si>
  <si>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</si>
  <si>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</si>
  <si>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</si>
  <si>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</si>
  <si>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2012_2015</t>
  </si>
  <si>
    <t/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</si>
  <si>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</si>
  <si>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</si>
  <si>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</si>
  <si>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</si>
  <si>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</si>
  <si>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</si>
  <si>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</si>
  <si>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</si>
  <si>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</si>
  <si>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</si>
  <si>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</si>
  <si>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</si>
  <si>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(13)</t>
  </si>
  <si>
    <t>(14)</t>
  </si>
  <si>
    <t>(15)</t>
  </si>
  <si>
    <t>(16)</t>
  </si>
  <si>
    <t>(17)</t>
  </si>
  <si>
    <t>(18)</t>
  </si>
  <si>
    <t>(19)</t>
  </si>
  <si>
    <t>(20)</t>
  </si>
  <si>
    <t>(21)</t>
  </si>
  <si>
    <t>(22)</t>
  </si>
  <si>
    <t>(23)</t>
  </si>
  <si>
    <t>(24)</t>
  </si>
  <si>
    <t>(25)</t>
  </si>
  <si>
    <t>(26)</t>
  </si>
  <si>
    <t>(27)</t>
  </si>
  <si>
    <t>(28)</t>
  </si>
  <si>
    <t>(29)</t>
  </si>
  <si>
    <t>(30)</t>
  </si>
  <si>
    <t>(31)</t>
  </si>
  <si>
    <t>(32)</t>
  </si>
  <si>
    <t>(33)</t>
  </si>
  <si>
    <t>(34)</t>
  </si>
  <si>
    <t>(35)</t>
  </si>
  <si>
    <t>(36)</t>
  </si>
  <si>
    <t>(37)</t>
  </si>
  <si>
    <t>(38)</t>
  </si>
  <si>
    <t>(39)</t>
  </si>
  <si>
    <t>(40)</t>
  </si>
  <si>
    <t>(41)</t>
  </si>
  <si>
    <t>(42)</t>
  </si>
  <si>
    <t>(43)</t>
  </si>
  <si>
    <t>(44)</t>
  </si>
  <si>
    <t>(45)</t>
  </si>
  <si>
    <t>(46)</t>
  </si>
  <si>
    <t>(47)</t>
  </si>
  <si>
    <t>(48)</t>
  </si>
  <si>
    <t>(49)</t>
  </si>
  <si>
    <t>(50)</t>
  </si>
  <si>
    <t>(51)</t>
  </si>
  <si>
    <t>(52)</t>
  </si>
  <si>
    <t>(53)</t>
  </si>
  <si>
    <t>(54)</t>
  </si>
  <si>
    <t>(55)</t>
  </si>
  <si>
    <t>(56)</t>
  </si>
  <si>
    <t>(57)</t>
  </si>
  <si>
    <t>(58)</t>
  </si>
  <si>
    <t>(59)</t>
  </si>
  <si>
    <t>(60)</t>
  </si>
  <si>
    <t>(61)</t>
  </si>
  <si>
    <t>(62)</t>
  </si>
  <si>
    <t>(63)</t>
  </si>
  <si>
    <t>(64)</t>
  </si>
  <si>
    <t>(65)</t>
  </si>
  <si>
    <t>(66)</t>
  </si>
  <si>
    <t>(67)</t>
  </si>
  <si>
    <t>(68)</t>
  </si>
  <si>
    <t>(69)</t>
  </si>
  <si>
    <t>(70)</t>
  </si>
  <si>
    <t>(71)</t>
  </si>
  <si>
    <t>(72)</t>
  </si>
  <si>
    <t>(73)</t>
  </si>
  <si>
    <t>(74)</t>
  </si>
  <si>
    <t>(75)</t>
  </si>
  <si>
    <t>(76)</t>
  </si>
  <si>
    <t>(77)</t>
  </si>
  <si>
    <t>(78)</t>
  </si>
  <si>
    <t>(79)</t>
  </si>
  <si>
    <t>(80)</t>
  </si>
  <si>
    <t>(81)</t>
  </si>
  <si>
    <t>(82)</t>
  </si>
  <si>
    <t>(83)</t>
  </si>
  <si>
    <t>(84)</t>
  </si>
  <si>
    <t>(85)</t>
  </si>
  <si>
    <t>(86)</t>
  </si>
  <si>
    <t>(87)</t>
  </si>
  <si>
    <t>(88)</t>
  </si>
  <si>
    <t>(89)</t>
  </si>
  <si>
    <t>(90)</t>
  </si>
  <si>
    <t>(91)</t>
  </si>
  <si>
    <t>(92)</t>
  </si>
  <si>
    <t>(93)</t>
  </si>
  <si>
    <t>(94)</t>
  </si>
  <si>
    <t>(95)</t>
  </si>
  <si>
    <t>(96)</t>
  </si>
  <si>
    <t>(97)</t>
  </si>
  <si>
    <t>(98)</t>
  </si>
  <si>
    <t>(99)</t>
  </si>
  <si>
    <t>group_1</t>
  </si>
  <si>
    <t>group_2</t>
  </si>
  <si>
    <t>difference</t>
  </si>
  <si>
    <t>explained</t>
  </si>
  <si>
    <t>unexplained</t>
  </si>
  <si>
    <t>educ_total</t>
  </si>
  <si>
    <t>exper_total</t>
  </si>
  <si>
    <t>feminino</t>
  </si>
  <si>
    <t>ppi</t>
  </si>
  <si>
    <t>rural</t>
  </si>
  <si>
    <t>formal</t>
  </si>
  <si>
    <t>regiao</t>
  </si>
  <si>
    <t>setor</t>
  </si>
  <si>
    <t>_cons</t>
  </si>
  <si>
    <t>Geral</t>
  </si>
  <si>
    <t>Composição</t>
  </si>
  <si>
    <t>Estrutural</t>
  </si>
  <si>
    <t>Total</t>
  </si>
  <si>
    <t>2015_2020</t>
  </si>
  <si>
    <t>2012_2020</t>
  </si>
  <si>
    <t>2020_2021</t>
  </si>
  <si>
    <t>Educa√ß√£o</t>
  </si>
  <si>
    <t>Experi√™ncia</t>
  </si>
  <si>
    <t>Regi√£o</t>
  </si>
  <si>
    <t>Setor</t>
  </si>
  <si>
    <t>difference_upper_ci</t>
  </si>
  <si>
    <t>difference_lower_ci</t>
  </si>
  <si>
    <t>explained_upper_ci</t>
  </si>
  <si>
    <t>explained_lower_ci</t>
  </si>
  <si>
    <t>unexplained_upper_ci</t>
  </si>
  <si>
    <t>unexplained_lower_ci</t>
  </si>
  <si>
    <t>Gerar os dados usando esttab no STATA (ew)</t>
  </si>
  <si>
    <t>Copiar o CSV para essa planilha</t>
  </si>
  <si>
    <t>DADOS SEM ERROS-PADRAO</t>
  </si>
  <si>
    <t>Separar os dados por vírgula (para ficar em colunas)</t>
  </si>
  <si>
    <t>Rodar a macro "Formatar R" na nova aba</t>
  </si>
  <si>
    <t>Converter em números</t>
  </si>
  <si>
    <t>Referenciar em uma das aba "R"</t>
  </si>
  <si>
    <t xml:space="preserve"> *** p&lt;0.001"</t>
  </si>
  <si>
    <t xml:space="preserve"> ** p&lt;0.01</t>
  </si>
  <si>
    <t>="* p&lt;0.05</t>
  </si>
  <si>
    <t>0.0571]"</t>
  </si>
  <si>
    <t>="[-0.2771</t>
  </si>
  <si>
    <t>0.0955]"</t>
  </si>
  <si>
    <t>="[-0.1838</t>
  </si>
  <si>
    <t>0.2140]"</t>
  </si>
  <si>
    <t>="[-0.0347</t>
  </si>
  <si>
    <t>-0.0479]"</t>
  </si>
  <si>
    <t>="[-0.2725</t>
  </si>
  <si>
    <t>0.1703]"</t>
  </si>
  <si>
    <t>="[-0.0590</t>
  </si>
  <si>
    <t>0.3491]"</t>
  </si>
  <si>
    <t>="[0.0762</t>
  </si>
  <si>
    <t>0.3793]"</t>
  </si>
  <si>
    <t>="[0.0200</t>
  </si>
  <si>
    <t>0.4322]"</t>
  </si>
  <si>
    <t>="[0.1746</t>
  </si>
  <si>
    <t>0.2993]"</t>
  </si>
  <si>
    <t>="[0.0632</t>
  </si>
  <si>
    <t>0.1273]"</t>
  </si>
  <si>
    <t>="[-0.1279</t>
  </si>
  <si>
    <t>0.1403]"</t>
  </si>
  <si>
    <t>="[-0.0959</t>
  </si>
  <si>
    <t>0.2387]"</t>
  </si>
  <si>
    <t>="[0.0412</t>
  </si>
  <si>
    <t>0.3364]"</t>
  </si>
  <si>
    <t>="[0.1482</t>
  </si>
  <si>
    <t>0.3877]"</t>
  </si>
  <si>
    <t>="[0.2020</t>
  </si>
  <si>
    <t>0.0709]"</t>
  </si>
  <si>
    <t>="[-0.0999</t>
  </si>
  <si>
    <t>0.0664]"</t>
  </si>
  <si>
    <t>="[-0.0947</t>
  </si>
  <si>
    <t>0.0260]"</t>
  </si>
  <si>
    <t>="[-0.1322</t>
  </si>
  <si>
    <t>0.0891]"</t>
  </si>
  <si>
    <t>="[-0.0728</t>
  </si>
  <si>
    <t>0.0776]"</t>
  </si>
  <si>
    <t>="[-0.0886</t>
  </si>
  <si>
    <t>0.1166]"</t>
  </si>
  <si>
    <t>="[-0.0370</t>
  </si>
  <si>
    <t>0.2775]"</t>
  </si>
  <si>
    <t>="[0.1493</t>
  </si>
  <si>
    <t>0.3005]"</t>
  </si>
  <si>
    <t>="[0.1736</t>
  </si>
  <si>
    <t>0.2842]"</t>
  </si>
  <si>
    <t>="[0.1602</t>
  </si>
  <si>
    <t>0.3091]"</t>
  </si>
  <si>
    <t>="[0.1856</t>
  </si>
  <si>
    <t>0.2752]"</t>
  </si>
  <si>
    <t>="[0.1501</t>
  </si>
  <si>
    <t>0.1763]"</t>
  </si>
  <si>
    <t>="[0.0439</t>
  </si>
  <si>
    <t>0.1397]"</t>
  </si>
  <si>
    <t>="[0.0080</t>
  </si>
  <si>
    <t>0.1043]"</t>
  </si>
  <si>
    <t>="[-0.0238</t>
  </si>
  <si>
    <t>0.1098]"</t>
  </si>
  <si>
    <t>="[-0.0100</t>
  </si>
  <si>
    <t>0.1063]"</t>
  </si>
  <si>
    <t>="[-0.0077</t>
  </si>
  <si>
    <t>0.1521]"</t>
  </si>
  <si>
    <t>="[0.0424</t>
  </si>
  <si>
    <t>0.1835]"</t>
  </si>
  <si>
    <t>="[0.0744</t>
  </si>
  <si>
    <t>0.2001]"</t>
  </si>
  <si>
    <t>="[0.0937</t>
  </si>
  <si>
    <t>0.2355]"</t>
  </si>
  <si>
    <t>="[0.1283</t>
  </si>
  <si>
    <t>0.2501]"</t>
  </si>
  <si>
    <t>="[0.1437</t>
  </si>
  <si>
    <t>0.2175]"</t>
  </si>
  <si>
    <t>="[0.1114</t>
  </si>
  <si>
    <t>0.1579]"</t>
  </si>
  <si>
    <t>="[0.0524</t>
  </si>
  <si>
    <t>0.1319]"</t>
  </si>
  <si>
    <t>="[0.0271</t>
  </si>
  <si>
    <t>0.1330]"</t>
  </si>
  <si>
    <t>="[0.0221</t>
  </si>
  <si>
    <t>0.1339]"</t>
  </si>
  <si>
    <t>="[0.0236</t>
  </si>
  <si>
    <t>0.1473]"</t>
  </si>
  <si>
    <t>="[0.0379</t>
  </si>
  <si>
    <t>0.1746]"</t>
  </si>
  <si>
    <t>="[0.0625</t>
  </si>
  <si>
    <t>0.2393]"</t>
  </si>
  <si>
    <t>="[0.1371</t>
  </si>
  <si>
    <t>0.2689]"</t>
  </si>
  <si>
    <t>="[0.1670</t>
  </si>
  <si>
    <t>0.2566]"</t>
  </si>
  <si>
    <t>="[0.1552</t>
  </si>
  <si>
    <t>0.2611]"</t>
  </si>
  <si>
    <t>="[0.1600</t>
  </si>
  <si>
    <t>0.2479]"</t>
  </si>
  <si>
    <t>="[0.1476</t>
  </si>
  <si>
    <t>0.2158]"</t>
  </si>
  <si>
    <t>="[0.1172</t>
  </si>
  <si>
    <t>0.1496]"</t>
  </si>
  <si>
    <t>="[0.0515</t>
  </si>
  <si>
    <t>0.1007]"</t>
  </si>
  <si>
    <t>="[0.0031</t>
  </si>
  <si>
    <t>0.0931]"</t>
  </si>
  <si>
    <t>="[-0.0034</t>
  </si>
  <si>
    <t>0.0950]"</t>
  </si>
  <si>
    <t>="[-0.0005</t>
  </si>
  <si>
    <t>0.0845]"</t>
  </si>
  <si>
    <t>="[-0.0096</t>
  </si>
  <si>
    <t>0.1113]"</t>
  </si>
  <si>
    <t>0.1529]"</t>
  </si>
  <si>
    <t>="[0.0634</t>
  </si>
  <si>
    <t>0.2032]"</t>
  </si>
  <si>
    <t>="[0.1138</t>
  </si>
  <si>
    <t>0.2114]"</t>
  </si>
  <si>
    <t>="[0.1217</t>
  </si>
  <si>
    <t>0.2308]"</t>
  </si>
  <si>
    <t>="[0.1412</t>
  </si>
  <si>
    <t>0.2226]"</t>
  </si>
  <si>
    <t>="[0.1340</t>
  </si>
  <si>
    <t>0.2214]"</t>
  </si>
  <si>
    <t>="[0.1333</t>
  </si>
  <si>
    <t>0.1688]"</t>
  </si>
  <si>
    <t>="[0.0795</t>
  </si>
  <si>
    <t>0.1188]"</t>
  </si>
  <si>
    <t>="[0.0301</t>
  </si>
  <si>
    <t>0.1048]"</t>
  </si>
  <si>
    <t>="[0.0167</t>
  </si>
  <si>
    <t>0.0923]"</t>
  </si>
  <si>
    <t>="[0.0050</t>
  </si>
  <si>
    <t>0.0939]"</t>
  </si>
  <si>
    <t>="[0.0079</t>
  </si>
  <si>
    <t>0.1026]"</t>
  </si>
  <si>
    <t>="[0.0184</t>
  </si>
  <si>
    <t>0.1280]"</t>
  </si>
  <si>
    <t>="[0.0473</t>
  </si>
  <si>
    <t>0.1506]"</t>
  </si>
  <si>
    <t>="[0.0743</t>
  </si>
  <si>
    <t>0.1582]"</t>
  </si>
  <si>
    <t>="[0.0841</t>
  </si>
  <si>
    <t>="[0.0803</t>
  </si>
  <si>
    <t>0.1694]"</t>
  </si>
  <si>
    <t>="[0.0976</t>
  </si>
  <si>
    <t>0.1881]"</t>
  </si>
  <si>
    <t>="[0.1169</t>
  </si>
  <si>
    <t>0.2043]"</t>
  </si>
  <si>
    <t>="[0.1331</t>
  </si>
  <si>
    <t>0.2379]"</t>
  </si>
  <si>
    <t>="[0.1662</t>
  </si>
  <si>
    <t>0.2779]"</t>
  </si>
  <si>
    <t>="[0.2052</t>
  </si>
  <si>
    <t>0.3094]"</t>
  </si>
  <si>
    <t>="[0.2363</t>
  </si>
  <si>
    <t>0.3119]"</t>
  </si>
  <si>
    <t>="[0.2376</t>
  </si>
  <si>
    <t>0.2960]"</t>
  </si>
  <si>
    <t>="[0.2203</t>
  </si>
  <si>
    <t>0.2679]"</t>
  </si>
  <si>
    <t>="[0.1898</t>
  </si>
  <si>
    <t>0.2717]"</t>
  </si>
  <si>
    <t>="[0.1910</t>
  </si>
  <si>
    <t>0.2931]"</t>
  </si>
  <si>
    <t>="[0.2100</t>
  </si>
  <si>
    <t>0.3470]"</t>
  </si>
  <si>
    <t>="[0.2601</t>
  </si>
  <si>
    <t>0.3548]"</t>
  </si>
  <si>
    <t>="[0.2652</t>
  </si>
  <si>
    <t>0.3411]"</t>
  </si>
  <si>
    <t>="[0.2449</t>
  </si>
  <si>
    <t>0.4132]"</t>
  </si>
  <si>
    <t>="[0.3071</t>
  </si>
  <si>
    <t>0.6269]"</t>
  </si>
  <si>
    <t>="[0.5046</t>
  </si>
  <si>
    <t>0.7472]"</t>
  </si>
  <si>
    <t>="[0.6113</t>
  </si>
  <si>
    <t>0.7953]"</t>
  </si>
  <si>
    <t>="[0.6409</t>
  </si>
  <si>
    <t>0.6601]"</t>
  </si>
  <si>
    <t>="[0.4747</t>
  </si>
  <si>
    <t>0.5385]"</t>
  </si>
  <si>
    <t>="[0.3213</t>
  </si>
  <si>
    <t>0.6491]"</t>
  </si>
  <si>
    <t>="[0.3666</t>
  </si>
  <si>
    <t>0.6426]"</t>
  </si>
  <si>
    <t>="[0.3446</t>
  </si>
  <si>
    <t>0.7652]"</t>
  </si>
  <si>
    <t>="[0.4312</t>
  </si>
  <si>
    <t>0.5637]"</t>
  </si>
  <si>
    <t>="[0.1868</t>
  </si>
  <si>
    <t>0.7219]"</t>
  </si>
  <si>
    <t>="[0.3438</t>
  </si>
  <si>
    <t>0.5743]"</t>
  </si>
  <si>
    <t>="[0.0888</t>
  </si>
  <si>
    <t>0.5395]"</t>
  </si>
  <si>
    <t>="[-0.0011</t>
  </si>
  <si>
    <t>0.1548]"</t>
  </si>
  <si>
    <t>="[-0.6130</t>
  </si>
  <si>
    <t>0.1100]"</t>
  </si>
  <si>
    <t>="[-0.5949</t>
  </si>
  <si>
    <t>0.1359]"</t>
  </si>
  <si>
    <t>="[0.0029</t>
  </si>
  <si>
    <t>0.1381]"</t>
  </si>
  <si>
    <t>="[0.0070</t>
  </si>
  <si>
    <t>0.1364]"</t>
  </si>
  <si>
    <t>="[0.0069</t>
  </si>
  <si>
    <t>0.1422]"</t>
  </si>
  <si>
    <t>="[0.0085</t>
  </si>
  <si>
    <t>0.1337]"</t>
  </si>
  <si>
    <t>="[0.0018</t>
  </si>
  <si>
    <t>0.0881]"</t>
  </si>
  <si>
    <t>="[-0.1387</t>
  </si>
  <si>
    <t>0.1295]"</t>
  </si>
  <si>
    <t>="[-0.1864</t>
  </si>
  <si>
    <t>0.1028]"</t>
  </si>
  <si>
    <t>="[-0.1163</t>
  </si>
  <si>
    <t>0.0928]"</t>
  </si>
  <si>
    <t>="[-0.1059</t>
  </si>
  <si>
    <t>0.0979]"</t>
  </si>
  <si>
    <t>="[-0.1133</t>
  </si>
  <si>
    <t>0.1008]"</t>
  </si>
  <si>
    <t>="[-0.0891</t>
  </si>
  <si>
    <t>0.0866]"</t>
  </si>
  <si>
    <t>="[-0.0676</t>
  </si>
  <si>
    <t>0.0915]"</t>
  </si>
  <si>
    <t>="[-0.0502</t>
  </si>
  <si>
    <t>0.0990]"</t>
  </si>
  <si>
    <t>="[-0.0379</t>
  </si>
  <si>
    <t>0.0935]"</t>
  </si>
  <si>
    <t>="[-0.0326</t>
  </si>
  <si>
    <t>0.0662]"</t>
  </si>
  <si>
    <t>="[-0.0533</t>
  </si>
  <si>
    <t>0.0646]"</t>
  </si>
  <si>
    <t>="[-0.0500</t>
  </si>
  <si>
    <t>0.0689]"</t>
  </si>
  <si>
    <t>="[-0.0460</t>
  </si>
  <si>
    <t>0.0714]"</t>
  </si>
  <si>
    <t>="[-0.0448</t>
  </si>
  <si>
    <t>0.0686]"</t>
  </si>
  <si>
    <t>="[-0.0372</t>
  </si>
  <si>
    <t>0.0582]"</t>
  </si>
  <si>
    <t>="[-0.0267</t>
  </si>
  <si>
    <t>0.0517]"</t>
  </si>
  <si>
    <t>="[-0.0344</t>
  </si>
  <si>
    <t>0.0486]"</t>
  </si>
  <si>
    <t>="[-0.0360</t>
  </si>
  <si>
    <t>0.0489]"</t>
  </si>
  <si>
    <t>="[-0.0340</t>
  </si>
  <si>
    <t>0.0510]"</t>
  </si>
  <si>
    <t>="[-0.0328</t>
  </si>
  <si>
    <t>0.0573]"</t>
  </si>
  <si>
    <t>="[-0.0318</t>
  </si>
  <si>
    <t>0.0589]"</t>
  </si>
  <si>
    <t>="[-0.0294</t>
  </si>
  <si>
    <t>0.0612]"</t>
  </si>
  <si>
    <t>="[-0.0237</t>
  </si>
  <si>
    <t>0.0556]"</t>
  </si>
  <si>
    <t>="[-0.0229</t>
  </si>
  <si>
    <t>0.0537]"</t>
  </si>
  <si>
    <t>="[-0.0212</t>
  </si>
  <si>
    <t>0.0528]"</t>
  </si>
  <si>
    <t>="[-0.0183</t>
  </si>
  <si>
    <t>0.0460]"</t>
  </si>
  <si>
    <t>0.0470]"</t>
  </si>
  <si>
    <t>="[-0.0202</t>
  </si>
  <si>
    <t>0.0481]"</t>
  </si>
  <si>
    <t>="[-0.0196</t>
  </si>
  <si>
    <t>0.0472]"</t>
  </si>
  <si>
    <t>="[-0.0198</t>
  </si>
  <si>
    <t>0.0503]"</t>
  </si>
  <si>
    <t>="[-0.0168</t>
  </si>
  <si>
    <t>0.0546]"</t>
  </si>
  <si>
    <t>="[-0.0124</t>
  </si>
  <si>
    <t>0.0539]"</t>
  </si>
  <si>
    <t>="[-0.0127</t>
  </si>
  <si>
    <t>0.0493]"</t>
  </si>
  <si>
    <t>="[-0.0280</t>
  </si>
  <si>
    <t>0.0506]"</t>
  </si>
  <si>
    <t>="[-0.0260</t>
  </si>
  <si>
    <t>="[-0.0266</t>
  </si>
  <si>
    <t>0.0454]"</t>
  </si>
  <si>
    <t>="[-0.0333</t>
  </si>
  <si>
    <t>0.0127]"</t>
  </si>
  <si>
    <t>="[-0.0514</t>
  </si>
  <si>
    <t>0.0145]"</t>
  </si>
  <si>
    <t>="[-0.0485</t>
  </si>
  <si>
    <t>0.0150]"</t>
  </si>
  <si>
    <t>="[-0.0473</t>
  </si>
  <si>
    <t>0.0173]"</t>
  </si>
  <si>
    <t>="[-0.0441</t>
  </si>
  <si>
    <t>0.0141]"</t>
  </si>
  <si>
    <t>="[-0.0468</t>
  </si>
  <si>
    <t>0.0162]"</t>
  </si>
  <si>
    <t>="[-0.0438</t>
  </si>
  <si>
    <t>0.0171]"</t>
  </si>
  <si>
    <t>="[-0.0429</t>
  </si>
  <si>
    <t>0.0178]"</t>
  </si>
  <si>
    <t>="[-0.0419</t>
  </si>
  <si>
    <t>0.0240]"</t>
  </si>
  <si>
    <t>="[-0.0351</t>
  </si>
  <si>
    <t>0.0282]"</t>
  </si>
  <si>
    <t>="[-0.0304</t>
  </si>
  <si>
    <t>0.0272]"</t>
  </si>
  <si>
    <t>="[-0.0300</t>
  </si>
  <si>
    <t>0.0287]"</t>
  </si>
  <si>
    <t>="[-0.0263</t>
  </si>
  <si>
    <t>0.0284]"</t>
  </si>
  <si>
    <t>="[-0.0251</t>
  </si>
  <si>
    <t>0.0291]"</t>
  </si>
  <si>
    <t>0.0279]"</t>
  </si>
  <si>
    <t>="[-0.0250</t>
  </si>
  <si>
    <t>0.0274]"</t>
  </si>
  <si>
    <t>="[-0.0254</t>
  </si>
  <si>
    <t>0.0330]"</t>
  </si>
  <si>
    <t>0.0318]"</t>
  </si>
  <si>
    <t>="[-0.0190</t>
  </si>
  <si>
    <t>0.0324]"</t>
  </si>
  <si>
    <t>="[-0.0195</t>
  </si>
  <si>
    <t>0.0237]"</t>
  </si>
  <si>
    <t>0.0238]"</t>
  </si>
  <si>
    <t>="[-0.0257</t>
  </si>
  <si>
    <t>0.0250]"</t>
  </si>
  <si>
    <t>="[-0.0242</t>
  </si>
  <si>
    <t>0.0256]"</t>
  </si>
  <si>
    <t>0.0278]"</t>
  </si>
  <si>
    <t>0.0126]"</t>
  </si>
  <si>
    <t>="[-0.0324</t>
  </si>
  <si>
    <t>0.0066]"</t>
  </si>
  <si>
    <t>0.0067]"</t>
  </si>
  <si>
    <t>="[-0.0335</t>
  </si>
  <si>
    <t>0.0085]"</t>
  </si>
  <si>
    <t>="[-0.0306</t>
  </si>
  <si>
    <t>0.0086]"</t>
  </si>
  <si>
    <t>0.0096]"</t>
  </si>
  <si>
    <t>="[-0.0286</t>
  </si>
  <si>
    <t>0.0081]"</t>
  </si>
  <si>
    <t>="[-0.0298</t>
  </si>
  <si>
    <t>0.0078]"</t>
  </si>
  <si>
    <t>="[-0.0305</t>
  </si>
  <si>
    <t>0.0077]"</t>
  </si>
  <si>
    <t>="[-0.0309</t>
  </si>
  <si>
    <t>0.0082]"</t>
  </si>
  <si>
    <t>0.0087]"</t>
  </si>
  <si>
    <t>="[-0.0308</t>
  </si>
  <si>
    <t>0.0042]"</t>
  </si>
  <si>
    <t>="[-0.0354</t>
  </si>
  <si>
    <t>0.0063]"</t>
  </si>
  <si>
    <t>="[-0.0349</t>
  </si>
  <si>
    <t>0.0017]"</t>
  </si>
  <si>
    <t>="[-0.0397</t>
  </si>
  <si>
    <t>0.0038]"</t>
  </si>
  <si>
    <t>="[-0.0389</t>
  </si>
  <si>
    <t>0.0058]"</t>
  </si>
  <si>
    <t>="[-0.0393</t>
  </si>
  <si>
    <t>0.0072]"</t>
  </si>
  <si>
    <t>="[-0.0394</t>
  </si>
  <si>
    <t>="[-0.0437</t>
  </si>
  <si>
    <t>0.0083]"</t>
  </si>
  <si>
    <t>="[-0.0477</t>
  </si>
  <si>
    <t>0.0069]"</t>
  </si>
  <si>
    <t>="[-0.0582</t>
  </si>
  <si>
    <t>0.0035]"</t>
  </si>
  <si>
    <t>="[-0.0691</t>
  </si>
  <si>
    <t>0.0036]"</t>
  </si>
  <si>
    <t>="[-0.0801</t>
  </si>
  <si>
    <t>0.0046]"</t>
  </si>
  <si>
    <t>="[-0.0969</t>
  </si>
  <si>
    <t>0.0158]"</t>
  </si>
  <si>
    <t>="[-0.1057</t>
  </si>
  <si>
    <t>0.0174]"</t>
  </si>
  <si>
    <t>="[-0.1432</t>
  </si>
  <si>
    <t>0.0266]"</t>
  </si>
  <si>
    <t>="[-0.1454</t>
  </si>
  <si>
    <t>0.0059]"</t>
  </si>
  <si>
    <t>="[-0.1855</t>
  </si>
  <si>
    <t>0.0335]"</t>
  </si>
  <si>
    <t>="[-0.1700</t>
  </si>
  <si>
    <t>0.0463]"</t>
  </si>
  <si>
    <t>="[-0.1649</t>
  </si>
  <si>
    <t>0.0764]"</t>
  </si>
  <si>
    <t>="[-0.2018</t>
  </si>
  <si>
    <t>0.1439]"</t>
  </si>
  <si>
    <t>="[-0.1222</t>
  </si>
  <si>
    <t>0.2630]"</t>
  </si>
  <si>
    <t>="[-0.1541</t>
  </si>
  <si>
    <t>0.0135]"</t>
  </si>
  <si>
    <t>="[-0.0768</t>
  </si>
  <si>
    <t>0.0378]"</t>
  </si>
  <si>
    <t>="[-0.0106</t>
  </si>
  <si>
    <t>0.0191]"</t>
  </si>
  <si>
    <t>="[-0.0174</t>
  </si>
  <si>
    <t>0.0228]"</t>
  </si>
  <si>
    <t>="[-0.0083</t>
  </si>
  <si>
    <t>0.0118]"</t>
  </si>
  <si>
    <t>="[-0.0144</t>
  </si>
  <si>
    <t>0.0255]"</t>
  </si>
  <si>
    <t>="[-0.0013</t>
  </si>
  <si>
    <t>0.0252]"</t>
  </si>
  <si>
    <t>="[0.0019</t>
  </si>
  <si>
    <t>="[-0.0023</t>
  </si>
  <si>
    <t>="[-0.0032</t>
  </si>
  <si>
    <t>="[-0.0097</t>
  </si>
  <si>
    <t>0.0143]"</t>
  </si>
  <si>
    <t>0.0064]"</t>
  </si>
  <si>
    <t>="[-0.0090</t>
  </si>
  <si>
    <t>0.0199]"</t>
  </si>
  <si>
    <t>="[0.0047</t>
  </si>
  <si>
    <t>="[-0.0010</t>
  </si>
  <si>
    <t>="[-0.0074</t>
  </si>
  <si>
    <t>0.0089]"</t>
  </si>
  <si>
    <t>="[-0.0039</t>
  </si>
  <si>
    <t>0.0109]"</t>
  </si>
  <si>
    <t>="[-0.0019</t>
  </si>
  <si>
    <t>0.0073]"</t>
  </si>
  <si>
    <t>="[-0.0060</t>
  </si>
  <si>
    <t>0.0055]"</t>
  </si>
  <si>
    <t>="[-0.0075</t>
  </si>
  <si>
    <t>0.0080]"</t>
  </si>
  <si>
    <t>0.0181]"</t>
  </si>
  <si>
    <t>="[0.0076</t>
  </si>
  <si>
    <t>="[0.0089</t>
  </si>
  <si>
    <t>0.0003]"</t>
  </si>
  <si>
    <t>0.0060]"</t>
  </si>
  <si>
    <t>="[-0.0043</t>
  </si>
  <si>
    <t>="[-0.0062</t>
  </si>
  <si>
    <t>0.0062]"</t>
  </si>
  <si>
    <t>="[-0.0045</t>
  </si>
  <si>
    <t>0.0026]"</t>
  </si>
  <si>
    <t>="[-0.0079</t>
  </si>
  <si>
    <t>0.0056]"</t>
  </si>
  <si>
    <t>="[-0.0042</t>
  </si>
  <si>
    <t>0.0041]"</t>
  </si>
  <si>
    <t>="[-0.0052</t>
  </si>
  <si>
    <t>0.0076]"</t>
  </si>
  <si>
    <t>="[-0.0014</t>
  </si>
  <si>
    <t>0.0013]"</t>
  </si>
  <si>
    <t>="[-0.0076</t>
  </si>
  <si>
    <t>="[-0.0031</t>
  </si>
  <si>
    <t>0.0103]"</t>
  </si>
  <si>
    <t>="[0.0016</t>
  </si>
  <si>
    <t>0.0068]"</t>
  </si>
  <si>
    <t>="[-0.0018</t>
  </si>
  <si>
    <t>0.0090]"</t>
  </si>
  <si>
    <t>="[0.0004</t>
  </si>
  <si>
    <t>="[-0.0006</t>
  </si>
  <si>
    <t>0.0022]"</t>
  </si>
  <si>
    <t>="[-0.0058</t>
  </si>
  <si>
    <t>0.0111]"</t>
  </si>
  <si>
    <t>-0.0046]"</t>
  </si>
  <si>
    <t>="[-0.0125</t>
  </si>
  <si>
    <t>0.0034]"</t>
  </si>
  <si>
    <t>0.0018]"</t>
  </si>
  <si>
    <t>0.0032]"</t>
  </si>
  <si>
    <t>="[-0.0046</t>
  </si>
  <si>
    <t>0.0092]"</t>
  </si>
  <si>
    <t>="[0.0014</t>
  </si>
  <si>
    <t>0.0040]"</t>
  </si>
  <si>
    <t>="[-0.0037</t>
  </si>
  <si>
    <t>0.0043]"</t>
  </si>
  <si>
    <t>0.0039]"</t>
  </si>
  <si>
    <t>="[-0.0035</t>
  </si>
  <si>
    <t>0.0028]"</t>
  </si>
  <si>
    <t>0.0052]"</t>
  </si>
  <si>
    <t>="[-0.0033</t>
  </si>
  <si>
    <t>-0.0007]"</t>
  </si>
  <si>
    <t>-0.0025]"</t>
  </si>
  <si>
    <t>="[-0.0091</t>
  </si>
  <si>
    <t>="[-0.0008</t>
  </si>
  <si>
    <t>="[0.0003</t>
  </si>
  <si>
    <t>0.0005]"</t>
  </si>
  <si>
    <t>0.0054]"</t>
  </si>
  <si>
    <t>="[-0.0028</t>
  </si>
  <si>
    <t>="[0.0032</t>
  </si>
  <si>
    <t>0.0049]"</t>
  </si>
  <si>
    <t>0.0106]"</t>
  </si>
  <si>
    <t>="[0.0054</t>
  </si>
  <si>
    <t>0.0029]"</t>
  </si>
  <si>
    <t>="[-0.0022</t>
  </si>
  <si>
    <t>="[0.0011</t>
  </si>
  <si>
    <t>="[0.0005</t>
  </si>
  <si>
    <t>="[-0.0017</t>
  </si>
  <si>
    <t>0.0053]"</t>
  </si>
  <si>
    <t>="[0.0002</t>
  </si>
  <si>
    <t>0.0065]"</t>
  </si>
  <si>
    <t>="[0.0038</t>
  </si>
  <si>
    <t>0.0084]"</t>
  </si>
  <si>
    <t>0.0101]"</t>
  </si>
  <si>
    <t>="[0.0048</t>
  </si>
  <si>
    <t>="[0.0034</t>
  </si>
  <si>
    <t>="[0.0026</t>
  </si>
  <si>
    <t>="[0.0007</t>
  </si>
  <si>
    <t>0.0123]"</t>
  </si>
  <si>
    <t>="[0.0060</t>
  </si>
  <si>
    <t>0.0079]"</t>
  </si>
  <si>
    <t>="[-0.0007</t>
  </si>
  <si>
    <t>0.0097]"</t>
  </si>
  <si>
    <t>="[0.0001</t>
  </si>
  <si>
    <t>0.0110]"</t>
  </si>
  <si>
    <t>="[-0.0001</t>
  </si>
  <si>
    <t>0.0121]"</t>
  </si>
  <si>
    <t>0.0152]"</t>
  </si>
  <si>
    <t>="[-0.0055</t>
  </si>
  <si>
    <t>0.0161]"</t>
  </si>
  <si>
    <t>0.0176]"</t>
  </si>
  <si>
    <t>0.0236]"</t>
  </si>
  <si>
    <t>="[0.0044</t>
  </si>
  <si>
    <t>0.0244]"</t>
  </si>
  <si>
    <t>0.0142]"</t>
  </si>
  <si>
    <t>="[-0.0194</t>
  </si>
  <si>
    <t>="[-0.0211</t>
  </si>
  <si>
    <t>0.1106]"</t>
  </si>
  <si>
    <t>0.0952]"</t>
  </si>
  <si>
    <t>="[0.0128</t>
  </si>
  <si>
    <t>0.0825]"</t>
  </si>
  <si>
    <t>="[0.0145</t>
  </si>
  <si>
    <t>0.0727]"</t>
  </si>
  <si>
    <t>="[0.0161</t>
  </si>
  <si>
    <t>0.0767]"</t>
  </si>
  <si>
    <t>="[0.0192</t>
  </si>
  <si>
    <t>0.0595]"</t>
  </si>
  <si>
    <t>="[0.0148</t>
  </si>
  <si>
    <t>0.0781]"</t>
  </si>
  <si>
    <t>="[0.0278</t>
  </si>
  <si>
    <t>0.0643]"</t>
  </si>
  <si>
    <t>="[0.0246</t>
  </si>
  <si>
    <t>0.0484]"</t>
  </si>
  <si>
    <t>="[0.0123</t>
  </si>
  <si>
    <t>0.0618]"</t>
  </si>
  <si>
    <t>="[0.0223</t>
  </si>
  <si>
    <t>0.0559]"</t>
  </si>
  <si>
    <t>="[0.0177</t>
  </si>
  <si>
    <t>0.0388]"</t>
  </si>
  <si>
    <t>="[0.0055</t>
  </si>
  <si>
    <t>0.0409]"</t>
  </si>
  <si>
    <t>0.0420]"</t>
  </si>
  <si>
    <t>="[0.0090</t>
  </si>
  <si>
    <t>0.0344]"</t>
  </si>
  <si>
    <t>0.0319]"</t>
  </si>
  <si>
    <t>0.0310]"</t>
  </si>
  <si>
    <t>="[0.0024</t>
  </si>
  <si>
    <t>0.0226]"</t>
  </si>
  <si>
    <t>="[-0.0069</t>
  </si>
  <si>
    <t>0.0249]"</t>
  </si>
  <si>
    <t>="[-0.0027</t>
  </si>
  <si>
    <t>0.0270]"</t>
  </si>
  <si>
    <t>0.0222]"</t>
  </si>
  <si>
    <t>="[-0.0003</t>
  </si>
  <si>
    <t>0.0215]"</t>
  </si>
  <si>
    <t>="[-0.0115</t>
  </si>
  <si>
    <t>0.0051]"</t>
  </si>
  <si>
    <t>="[-0.0169</t>
  </si>
  <si>
    <t>0.0061]"</t>
  </si>
  <si>
    <t>="[-0.0150</t>
  </si>
  <si>
    <t>="[-0.0087</t>
  </si>
  <si>
    <t>0.0117]"</t>
  </si>
  <si>
    <t>="[-0.0114</t>
  </si>
  <si>
    <t>="[-0.0105</t>
  </si>
  <si>
    <t>0.0027]"</t>
  </si>
  <si>
    <t>="[-0.0160</t>
  </si>
  <si>
    <t>0.0023]"</t>
  </si>
  <si>
    <t>0.0021]"</t>
  </si>
  <si>
    <t>="[-0.0163</t>
  </si>
  <si>
    <t>0.0004]"</t>
  </si>
  <si>
    <t>="[-0.0178</t>
  </si>
  <si>
    <t>-0.0055]"</t>
  </si>
  <si>
    <t>="[-0.0235</t>
  </si>
  <si>
    <t>-0.0062]"</t>
  </si>
  <si>
    <t>="[-0.0240</t>
  </si>
  <si>
    <t>-0.0043]"</t>
  </si>
  <si>
    <t>="[-0.0217</t>
  </si>
  <si>
    <t>-0.0008]"</t>
  </si>
  <si>
    <t>="[-0.0177</t>
  </si>
  <si>
    <t>-0.0013]"</t>
  </si>
  <si>
    <t>="[-0.0180</t>
  </si>
  <si>
    <t>-0.0045]"</t>
  </si>
  <si>
    <t>-0.0004]"</t>
  </si>
  <si>
    <t>="[-0.0141</t>
  </si>
  <si>
    <t>0.0006]"</t>
  </si>
  <si>
    <t>="[-0.0158</t>
  </si>
  <si>
    <t>-0.0044]"</t>
  </si>
  <si>
    <t>="[-0.0208</t>
  </si>
  <si>
    <t>-0.0048]"</t>
  </si>
  <si>
    <t>-0.0050]"</t>
  </si>
  <si>
    <t>-0.0057]"</t>
  </si>
  <si>
    <t>="[-0.0213</t>
  </si>
  <si>
    <t>-0.0035]"</t>
  </si>
  <si>
    <t>-0.0039]"</t>
  </si>
  <si>
    <t>="[-0.0192</t>
  </si>
  <si>
    <t>="[-0.0175</t>
  </si>
  <si>
    <t>0.0037]"</t>
  </si>
  <si>
    <t>="[-0.0111</t>
  </si>
  <si>
    <t>="[-0.0104</t>
  </si>
  <si>
    <t>="[-0.0132</t>
  </si>
  <si>
    <t>-0.0091]"</t>
  </si>
  <si>
    <t>="[-0.0230</t>
  </si>
  <si>
    <t>-0.0120]"</t>
  </si>
  <si>
    <t>="[-0.0258</t>
  </si>
  <si>
    <t>-0.0174]"</t>
  </si>
  <si>
    <t>="[-0.0311</t>
  </si>
  <si>
    <t>-0.0197]"</t>
  </si>
  <si>
    <t>-0.0204]"</t>
  </si>
  <si>
    <t>-0.0183]"</t>
  </si>
  <si>
    <t>="[-0.0320</t>
  </si>
  <si>
    <t>-0.0135]"</t>
  </si>
  <si>
    <t>="[-0.0270</t>
  </si>
  <si>
    <t>-0.0069]"</t>
  </si>
  <si>
    <t>="[-0.0176</t>
  </si>
  <si>
    <t>-0.0033]"</t>
  </si>
  <si>
    <t>="[-0.0191</t>
  </si>
  <si>
    <t>-0.0105]"</t>
  </si>
  <si>
    <t>="[-0.0221</t>
  </si>
  <si>
    <t>-0.0168]"</t>
  </si>
  <si>
    <t>="[-0.0281</t>
  </si>
  <si>
    <t>-0.0178]"</t>
  </si>
  <si>
    <t>="[-0.0289</t>
  </si>
  <si>
    <t>-0.0187]"</t>
  </si>
  <si>
    <t>="[-0.0296</t>
  </si>
  <si>
    <t>-0.0243]"</t>
  </si>
  <si>
    <t>="[-0.0350</t>
  </si>
  <si>
    <t>-0.0213]"</t>
  </si>
  <si>
    <t>-0.0281]"</t>
  </si>
  <si>
    <t>="[-0.0388</t>
  </si>
  <si>
    <t>-0.0360]"</t>
  </si>
  <si>
    <t>-0.0409]"</t>
  </si>
  <si>
    <t>="[-0.0517</t>
  </si>
  <si>
    <t>-0.0453]"</t>
  </si>
  <si>
    <t>="[-0.0563</t>
  </si>
  <si>
    <t>-0.0456]"</t>
  </si>
  <si>
    <t>="[-0.0568</t>
  </si>
  <si>
    <t>-0.0431]"</t>
  </si>
  <si>
    <t>="[-0.0545</t>
  </si>
  <si>
    <t>-0.0389]"</t>
  </si>
  <si>
    <t>="[-0.0506</t>
  </si>
  <si>
    <t>-0.0414]"</t>
  </si>
  <si>
    <t>-0.0505]"</t>
  </si>
  <si>
    <t>="[-0.0628</t>
  </si>
  <si>
    <t>-0.0492]"</t>
  </si>
  <si>
    <t>="[-0.0618</t>
  </si>
  <si>
    <t>-0.0482]"</t>
  </si>
  <si>
    <t>="[-0.0615</t>
  </si>
  <si>
    <t>-0.0648]"</t>
  </si>
  <si>
    <t>="[-0.0792</t>
  </si>
  <si>
    <t>-0.1060]"</t>
  </si>
  <si>
    <t>="[-0.1223</t>
  </si>
  <si>
    <t>-0.1312]"</t>
  </si>
  <si>
    <t>="[-0.1491</t>
  </si>
  <si>
    <t>-0.1278]"</t>
  </si>
  <si>
    <t>="[-0.1473</t>
  </si>
  <si>
    <t>-0.0687]"</t>
  </si>
  <si>
    <t>="[-0.0914</t>
  </si>
  <si>
    <t>="[-0.0359</t>
  </si>
  <si>
    <t>-0.0102]"</t>
  </si>
  <si>
    <t>="[-0.0418</t>
  </si>
  <si>
    <t>-0.0073]"</t>
  </si>
  <si>
    <t>="[-0.0392</t>
  </si>
  <si>
    <t>="[-0.0452</t>
  </si>
  <si>
    <t>0.0317]"</t>
  </si>
  <si>
    <t>="[-0.0066</t>
  </si>
  <si>
    <t>-0.0109]"</t>
  </si>
  <si>
    <t>="[-0.0472</t>
  </si>
  <si>
    <t>0.0627]"</t>
  </si>
  <si>
    <t>0.0496]"</t>
  </si>
  <si>
    <t>0.1415]"</t>
  </si>
  <si>
    <t>="[0.0805</t>
  </si>
  <si>
    <t>0.1073]"</t>
  </si>
  <si>
    <t>="[0.0457</t>
  </si>
  <si>
    <t>0.0025]"</t>
  </si>
  <si>
    <t>0.0033]"</t>
  </si>
  <si>
    <t>="[-0.0067</t>
  </si>
  <si>
    <t>="[-0.0051</t>
  </si>
  <si>
    <t>="[-0.0048</t>
  </si>
  <si>
    <t>="[-0.0026</t>
  </si>
  <si>
    <t>0.0020]"</t>
  </si>
  <si>
    <t>0.0019]"</t>
  </si>
  <si>
    <t>="[-0.0044</t>
  </si>
  <si>
    <t>0.0031]"</t>
  </si>
  <si>
    <t>="[-0.0016</t>
  </si>
  <si>
    <t>0.0030]"</t>
  </si>
  <si>
    <t>0.0016]"</t>
  </si>
  <si>
    <t>="[-0.0036</t>
  </si>
  <si>
    <t>="[-0.0029</t>
  </si>
  <si>
    <t>0.0024]"</t>
  </si>
  <si>
    <t>="[-0.0030</t>
  </si>
  <si>
    <t>="[0.0006</t>
  </si>
  <si>
    <t>="[0.0010</t>
  </si>
  <si>
    <t>0.0048]"</t>
  </si>
  <si>
    <t>="[0.0008</t>
  </si>
  <si>
    <t>="[0.0009</t>
  </si>
  <si>
    <t>0.0045]"</t>
  </si>
  <si>
    <t>="[-0.0004</t>
  </si>
  <si>
    <t>="[-0.0000</t>
  </si>
  <si>
    <t>="[-0.0009</t>
  </si>
  <si>
    <t>="[-0.0015</t>
  </si>
  <si>
    <t>="[-0.0021</t>
  </si>
  <si>
    <t>0.0011]"</t>
  </si>
  <si>
    <t>="[-0.0012</t>
  </si>
  <si>
    <t>0.0012]"</t>
  </si>
  <si>
    <t>0.0010]"</t>
  </si>
  <si>
    <t>0.0009]"</t>
  </si>
  <si>
    <t>0.0098]"</t>
  </si>
  <si>
    <t>="[0.0046</t>
  </si>
  <si>
    <t>0.0130]"</t>
  </si>
  <si>
    <t>="[0.0072</t>
  </si>
  <si>
    <t>0.0138]"</t>
  </si>
  <si>
    <t>="[0.0073</t>
  </si>
  <si>
    <t>="[-0.0025</t>
  </si>
  <si>
    <t>0.0113]"</t>
  </si>
  <si>
    <t>0.0156]"</t>
  </si>
  <si>
    <t>="[-0.0081</t>
  </si>
  <si>
    <t>-0.0027]"</t>
  </si>
  <si>
    <t>="[-0.0627</t>
  </si>
  <si>
    <t>0.0047]"</t>
  </si>
  <si>
    <t>="[-0.0467</t>
  </si>
  <si>
    <t>-0.0246]"</t>
  </si>
  <si>
    <t>="[-0.0686</t>
  </si>
  <si>
    <t>0.0172]"</t>
  </si>
  <si>
    <t>0.0209]"</t>
  </si>
  <si>
    <t>="[-0.0147</t>
  </si>
  <si>
    <t>0.0100]"</t>
  </si>
  <si>
    <t>0.0271]"</t>
  </si>
  <si>
    <t>-0.0036]"</t>
  </si>
  <si>
    <t>-0.0112]"</t>
  </si>
  <si>
    <t>-0.0019]"</t>
  </si>
  <si>
    <t>="[-0.0341</t>
  </si>
  <si>
    <t>0.0189]"</t>
  </si>
  <si>
    <t>="[-0.0092</t>
  </si>
  <si>
    <t>0.0212]"</t>
  </si>
  <si>
    <t>="[-0.0068</t>
  </si>
  <si>
    <t>0.0314]"</t>
  </si>
  <si>
    <t>="[-0.0247</t>
  </si>
  <si>
    <t>-0.0003]"</t>
  </si>
  <si>
    <t>0.0147]"</t>
  </si>
  <si>
    <t>0.0151]"</t>
  </si>
  <si>
    <t>="[-0.0110</t>
  </si>
  <si>
    <t>="[-0.0064</t>
  </si>
  <si>
    <t>0.0351]"</t>
  </si>
  <si>
    <t>="[0.0140</t>
  </si>
  <si>
    <t>0.0246]"</t>
  </si>
  <si>
    <t>0.0195]"</t>
  </si>
  <si>
    <t>="[0.0000</t>
  </si>
  <si>
    <t>="[0.0065</t>
  </si>
  <si>
    <t>0.0265]"</t>
  </si>
  <si>
    <t>="[0.0068</t>
  </si>
  <si>
    <t>0.0153]"</t>
  </si>
  <si>
    <t>0.0185]"</t>
  </si>
  <si>
    <t>0.0202]"</t>
  </si>
  <si>
    <t>="[0.0015</t>
  </si>
  <si>
    <t>0.0170]"</t>
  </si>
  <si>
    <t>0.0180]"</t>
  </si>
  <si>
    <t>0.0288]"</t>
  </si>
  <si>
    <t>0.0217]"</t>
  </si>
  <si>
    <t>="[0.0051</t>
  </si>
  <si>
    <t>0.0213]"</t>
  </si>
  <si>
    <t>="[0.0049</t>
  </si>
  <si>
    <t>0.0235]"</t>
  </si>
  <si>
    <t>0.0207]"</t>
  </si>
  <si>
    <t>0.0122]"</t>
  </si>
  <si>
    <t>="[0.0041</t>
  </si>
  <si>
    <t>="[0.0042</t>
  </si>
  <si>
    <t>0.0203]"</t>
  </si>
  <si>
    <t>="[0.0056</t>
  </si>
  <si>
    <t>0.0114]"</t>
  </si>
  <si>
    <t>="[-0.0054</t>
  </si>
  <si>
    <t>="[-0.0049</t>
  </si>
  <si>
    <t>0.0074]"</t>
  </si>
  <si>
    <t>0.0099]"</t>
  </si>
  <si>
    <t>0.0115]"</t>
  </si>
  <si>
    <t>0.0125]"</t>
  </si>
  <si>
    <t>0.0095]"</t>
  </si>
  <si>
    <t>0.0094]"</t>
  </si>
  <si>
    <t>="[-0.0063</t>
  </si>
  <si>
    <t>0.0105]"</t>
  </si>
  <si>
    <t>="[-0.0024</t>
  </si>
  <si>
    <t>0.0071]"</t>
  </si>
  <si>
    <t>="[-0.0020</t>
  </si>
  <si>
    <t>="[0.0040</t>
  </si>
  <si>
    <t>0.0136]"</t>
  </si>
  <si>
    <t>="[0.0045</t>
  </si>
  <si>
    <t>="[0.0043</t>
  </si>
  <si>
    <t>0.0133]"</t>
  </si>
  <si>
    <t>="[0.0017</t>
  </si>
  <si>
    <t>0.0175]"</t>
  </si>
  <si>
    <t>="[0.0066</t>
  </si>
  <si>
    <t>0.0166]"</t>
  </si>
  <si>
    <t>="[0.0108</t>
  </si>
  <si>
    <t>0.0296]"</t>
  </si>
  <si>
    <t>="[0.0134</t>
  </si>
  <si>
    <t>0.0241]"</t>
  </si>
  <si>
    <t>="[0.0052</t>
  </si>
  <si>
    <t>0.0188]"</t>
  </si>
  <si>
    <t>0.0225]"</t>
  </si>
  <si>
    <t>0.0280]"</t>
  </si>
  <si>
    <t>0.0267]"</t>
  </si>
  <si>
    <t>0.0331]"</t>
  </si>
  <si>
    <t>0.0369]"</t>
  </si>
  <si>
    <t>0.0376]"</t>
  </si>
  <si>
    <t>0.0477]"</t>
  </si>
  <si>
    <t>="[0.0033</t>
  </si>
  <si>
    <t>0.0395]"</t>
  </si>
  <si>
    <t>="[-0.0172</t>
  </si>
  <si>
    <t>0.0452]"</t>
  </si>
  <si>
    <t>="[-0.0123</t>
  </si>
  <si>
    <t>0.0641]"</t>
  </si>
  <si>
    <t>="[-0.0331</t>
  </si>
  <si>
    <t>0.0358]"</t>
  </si>
  <si>
    <t>="[-0.0457</t>
  </si>
  <si>
    <t>0.0567]"</t>
  </si>
  <si>
    <t>0.0459]"</t>
  </si>
  <si>
    <t>="[0.0082</t>
  </si>
  <si>
    <t>0.0450]"</t>
  </si>
  <si>
    <t>="[0.0027</t>
  </si>
  <si>
    <t>0.0685]"</t>
  </si>
  <si>
    <t>="[0.0355</t>
  </si>
  <si>
    <t>="[0.0053</t>
  </si>
  <si>
    <t>0.0124]"</t>
  </si>
  <si>
    <t>="[-0.0200</t>
  </si>
  <si>
    <t>0.0140]"</t>
  </si>
  <si>
    <t>0.0329]"</t>
  </si>
  <si>
    <t>="[0.0063</t>
  </si>
  <si>
    <t>0.0406]"</t>
  </si>
  <si>
    <t>="[0.0144</t>
  </si>
  <si>
    <t>0.0400]"</t>
  </si>
  <si>
    <t>="[0.0139</t>
  </si>
  <si>
    <t>-0.0029]"</t>
  </si>
  <si>
    <t>="[-0.0261</t>
  </si>
  <si>
    <t>="[-0.0204</t>
  </si>
  <si>
    <t>="[-0.0209</t>
  </si>
  <si>
    <t>0.0014]"</t>
  </si>
  <si>
    <t>0.0338]"</t>
  </si>
  <si>
    <t>="[0.0157</t>
  </si>
  <si>
    <t>0.0305]"</t>
  </si>
  <si>
    <t>="[0.0136</t>
  </si>
  <si>
    <t>0.0224]"</t>
  </si>
  <si>
    <t>="[0.0061</t>
  </si>
  <si>
    <t>="[0.0109</t>
  </si>
  <si>
    <t>0.0116]"</t>
  </si>
  <si>
    <t>="[-0.0139</t>
  </si>
  <si>
    <t>="[-0.0107</t>
  </si>
  <si>
    <t>="[-0.0152</t>
  </si>
  <si>
    <t>="[-0.0093</t>
  </si>
  <si>
    <t>0.0169]"</t>
  </si>
  <si>
    <t>="[0.0036</t>
  </si>
  <si>
    <t>0.0091]"</t>
  </si>
  <si>
    <t>0.0015]"</t>
  </si>
  <si>
    <t>-0.0009]"</t>
  </si>
  <si>
    <t>="[-0.0131</t>
  </si>
  <si>
    <t>-0.0010]"</t>
  </si>
  <si>
    <t>0.0044]"</t>
  </si>
  <si>
    <t>="[-0.0038</t>
  </si>
  <si>
    <t>-0.0014]"</t>
  </si>
  <si>
    <t>-0.0106]"</t>
  </si>
  <si>
    <t>-0.0123]"</t>
  </si>
  <si>
    <t>="[-0.0234</t>
  </si>
  <si>
    <t>-0.0131]"</t>
  </si>
  <si>
    <t>="[-0.0239</t>
  </si>
  <si>
    <t>="[-0.0227</t>
  </si>
  <si>
    <t>-0.0114]"</t>
  </si>
  <si>
    <t>="[-0.0219</t>
  </si>
  <si>
    <t>-0.0047]"</t>
  </si>
  <si>
    <t>="[-0.0149</t>
  </si>
  <si>
    <t>="[-0.0080</t>
  </si>
  <si>
    <t>-0.0059]"</t>
  </si>
  <si>
    <t>="[-0.0157</t>
  </si>
  <si>
    <t>-0.0110]"</t>
  </si>
  <si>
    <t>-0.0121]"</t>
  </si>
  <si>
    <t>="[-0.0218</t>
  </si>
  <si>
    <t>-0.0113]"</t>
  </si>
  <si>
    <t>-0.0116]"</t>
  </si>
  <si>
    <t>-0.0099]"</t>
  </si>
  <si>
    <t>-0.0087]"</t>
  </si>
  <si>
    <t>="[-0.0173</t>
  </si>
  <si>
    <t>-0.0034]"</t>
  </si>
  <si>
    <t>="[-0.0117</t>
  </si>
  <si>
    <t>="[-0.0094</t>
  </si>
  <si>
    <t>="[-0.0103</t>
  </si>
  <si>
    <t>-0.0024]"</t>
  </si>
  <si>
    <t>-0.0002]"</t>
  </si>
  <si>
    <t>="[-0.0072</t>
  </si>
  <si>
    <t>="[-0.0053</t>
  </si>
  <si>
    <t>-0.0006]"</t>
  </si>
  <si>
    <t>="[-0.0059</t>
  </si>
  <si>
    <t>="[0.0035</t>
  </si>
  <si>
    <t>="[0.0100</t>
  </si>
  <si>
    <t>0.0254]"</t>
  </si>
  <si>
    <t>="[0.0120</t>
  </si>
  <si>
    <t>0.0201]"</t>
  </si>
  <si>
    <t>0.0245]"</t>
  </si>
  <si>
    <t>0.0283]"</t>
  </si>
  <si>
    <t>0.0251]"</t>
  </si>
  <si>
    <t>="[0.0081</t>
  </si>
  <si>
    <t>0.0183]"</t>
  </si>
  <si>
    <t>="[-0.0376</t>
  </si>
  <si>
    <t>="[-0.1031</t>
  </si>
  <si>
    <t>-0.0158]"</t>
  </si>
  <si>
    <t>="[-0.1693</t>
  </si>
  <si>
    <t>-0.0768]"</t>
  </si>
  <si>
    <t>="[-0.2148</t>
  </si>
  <si>
    <t>0.0970]"</t>
  </si>
  <si>
    <t>="[-0.0225</t>
  </si>
  <si>
    <t>-0.0928]"</t>
  </si>
  <si>
    <t>="[-0.2173</t>
  </si>
  <si>
    <t>-0.1105]"</t>
  </si>
  <si>
    <t>="[-0.2100</t>
  </si>
  <si>
    <t>-0.0888]"</t>
  </si>
  <si>
    <t>="[-0.2036</t>
  </si>
  <si>
    <t>-0.1775]"</t>
  </si>
  <si>
    <t>="[-0.2696</t>
  </si>
  <si>
    <t>-0.0398]"</t>
  </si>
  <si>
    <t>="[-0.1259</t>
  </si>
  <si>
    <t>0.0447]"</t>
  </si>
  <si>
    <t>="[-0.0752</t>
  </si>
  <si>
    <t>-0.0708]"</t>
  </si>
  <si>
    <t>="[-0.1545</t>
  </si>
  <si>
    <t>-0.1274]"</t>
  </si>
  <si>
    <t>="[-0.2108</t>
  </si>
  <si>
    <t>-0.1402]"</t>
  </si>
  <si>
    <t>="[-0.2246</t>
  </si>
  <si>
    <t>0.0629]"</t>
  </si>
  <si>
    <t>0.0649]"</t>
  </si>
  <si>
    <t>="[-0.0057</t>
  </si>
  <si>
    <t>0.0719]"</t>
  </si>
  <si>
    <t>0.0494]"</t>
  </si>
  <si>
    <t>="[-0.0248</t>
  </si>
  <si>
    <t>0.0540]"</t>
  </si>
  <si>
    <t>0.0370]"</t>
  </si>
  <si>
    <t>="[-0.0352</t>
  </si>
  <si>
    <t>-0.1024]"</t>
  </si>
  <si>
    <t>-0.0985]"</t>
  </si>
  <si>
    <t>="[-0.1581</t>
  </si>
  <si>
    <t>-0.0729]"</t>
  </si>
  <si>
    <t>="[-0.1305</t>
  </si>
  <si>
    <t>-0.0784]"</t>
  </si>
  <si>
    <t>="[-0.1361</t>
  </si>
  <si>
    <t>-0.0618]"</t>
  </si>
  <si>
    <t>="[-0.1202</t>
  </si>
  <si>
    <t>0.0275]"</t>
  </si>
  <si>
    <t>="[-0.0271</t>
  </si>
  <si>
    <t>="[-0.0307</t>
  </si>
  <si>
    <t>="[-0.0129</t>
  </si>
  <si>
    <t>="[-0.0395</t>
  </si>
  <si>
    <t>-0.0081]"</t>
  </si>
  <si>
    <t>="[-0.0591</t>
  </si>
  <si>
    <t>-0.0325]"</t>
  </si>
  <si>
    <t>="[-0.0826</t>
  </si>
  <si>
    <t>-0.0376]"</t>
  </si>
  <si>
    <t>="[-0.0880</t>
  </si>
  <si>
    <t>-0.0324]"</t>
  </si>
  <si>
    <t>="[-0.0823</t>
  </si>
  <si>
    <t>-0.0088]"</t>
  </si>
  <si>
    <t>="[-0.0583</t>
  </si>
  <si>
    <t>0.0155]"</t>
  </si>
  <si>
    <t>0.0413]"</t>
  </si>
  <si>
    <t>="[-0.0070</t>
  </si>
  <si>
    <t>0.0417]"</t>
  </si>
  <si>
    <t>0.0386]"</t>
  </si>
  <si>
    <t>="[-0.0085</t>
  </si>
  <si>
    <t>0.0007]"</t>
  </si>
  <si>
    <t>="[-0.0461</t>
  </si>
  <si>
    <t>-0.0079]"</t>
  </si>
  <si>
    <t>="[-0.0554</t>
  </si>
  <si>
    <t>="[-0.0523</t>
  </si>
  <si>
    <t>-0.0026]"</t>
  </si>
  <si>
    <t>="[-0.0403</t>
  </si>
  <si>
    <t>0.0717]"</t>
  </si>
  <si>
    <t>="[0.0261</t>
  </si>
  <si>
    <t>0.0854]"</t>
  </si>
  <si>
    <t>="[0.0401</t>
  </si>
  <si>
    <t>0.0865]"</t>
  </si>
  <si>
    <t>="[0.0418</t>
  </si>
  <si>
    <t>0.0793]"</t>
  </si>
  <si>
    <t>="[0.0350</t>
  </si>
  <si>
    <t>0.0803]"</t>
  </si>
  <si>
    <t>="[0.0364</t>
  </si>
  <si>
    <t>0.0483]"</t>
  </si>
  <si>
    <t>0.0242]"</t>
  </si>
  <si>
    <t>="[-0.0182</t>
  </si>
  <si>
    <t>="[-0.0398</t>
  </si>
  <si>
    <t>="[-0.0253</t>
  </si>
  <si>
    <t>="[-0.0215</t>
  </si>
  <si>
    <t>0.0396]"</t>
  </si>
  <si>
    <t>0.0622]"</t>
  </si>
  <si>
    <t>="[0.0193</t>
  </si>
  <si>
    <t>0.0696]"</t>
  </si>
  <si>
    <t>0.0713]"</t>
  </si>
  <si>
    <t>="[0.0295</t>
  </si>
  <si>
    <t>0.0657]"</t>
  </si>
  <si>
    <t>="[0.0245</t>
  </si>
  <si>
    <t>="[0.0225</t>
  </si>
  <si>
    <t>0.0553]"</t>
  </si>
  <si>
    <t>="[0.0166</t>
  </si>
  <si>
    <t>0.0341]"</t>
  </si>
  <si>
    <t>0.0281]"</t>
  </si>
  <si>
    <t>0.0194]"</t>
  </si>
  <si>
    <t>="[-0.0153</t>
  </si>
  <si>
    <t>0.0070]"</t>
  </si>
  <si>
    <t>="[-0.0273</t>
  </si>
  <si>
    <t>="[-0.0313</t>
  </si>
  <si>
    <t>-0.0127]"</t>
  </si>
  <si>
    <t>-0.0228]"</t>
  </si>
  <si>
    <t>="[-0.0574</t>
  </si>
  <si>
    <t>-0.0185]"</t>
  </si>
  <si>
    <t>="[-0.0537</t>
  </si>
  <si>
    <t>-0.0126]"</t>
  </si>
  <si>
    <t>="[-0.0375</t>
  </si>
  <si>
    <t>="[-0.0363</t>
  </si>
  <si>
    <t>-0.0075]"</t>
  </si>
  <si>
    <t>="[-0.0465</t>
  </si>
  <si>
    <t>-0.0189]"</t>
  </si>
  <si>
    <t>="[-0.0592</t>
  </si>
  <si>
    <t>-0.0254]"</t>
  </si>
  <si>
    <t>="[-0.0668</t>
  </si>
  <si>
    <t>="[-0.0666</t>
  </si>
  <si>
    <t>-0.0399]"</t>
  </si>
  <si>
    <t>="[-0.0874</t>
  </si>
  <si>
    <t>-0.0894]"</t>
  </si>
  <si>
    <t>="[-0.1435</t>
  </si>
  <si>
    <t>-0.1168]"</t>
  </si>
  <si>
    <t>="[-0.1762</t>
  </si>
  <si>
    <t>-0.1259]"</t>
  </si>
  <si>
    <t>="[-0.1921</t>
  </si>
  <si>
    <t>-0.0842]"</t>
  </si>
  <si>
    <t>="[-0.1622</t>
  </si>
  <si>
    <t>-0.0580]"</t>
  </si>
  <si>
    <t>-0.0612]"</t>
  </si>
  <si>
    <t>="[-0.1744</t>
  </si>
  <si>
    <t>-0.0696]"</t>
  </si>
  <si>
    <t>="[-0.1867</t>
  </si>
  <si>
    <t>-0.0684]"</t>
  </si>
  <si>
    <t>="[-0.1982</t>
  </si>
  <si>
    <t>-0.0306]"</t>
  </si>
  <si>
    <t>="[-0.1787</t>
  </si>
  <si>
    <t>-0.0552]"</t>
  </si>
  <si>
    <t>="[-0.1997</t>
  </si>
  <si>
    <t>-0.0068]"</t>
  </si>
  <si>
    <t>="[-0.1891</t>
  </si>
  <si>
    <t>="[-0.2223</t>
  </si>
  <si>
    <t>0.1940]"</t>
  </si>
  <si>
    <t>="[-0.0958</t>
  </si>
  <si>
    <t>0.1513]"</t>
  </si>
  <si>
    <t>="[-0.1685</t>
  </si>
  <si>
    <t>0.0846]"</t>
  </si>
  <si>
    <t>="[-0.1418</t>
  </si>
  <si>
    <t>="[-0.1310</t>
  </si>
  <si>
    <t>-0.0329]"</t>
  </si>
  <si>
    <t>="[-0.1779</t>
  </si>
  <si>
    <t>0.0930]"</t>
  </si>
  <si>
    <t>-0.0862]"</t>
  </si>
  <si>
    <t>="[-0.2099</t>
  </si>
  <si>
    <t>-0.1251]"</t>
  </si>
  <si>
    <t>="[-0.2251</t>
  </si>
  <si>
    <t>-0.1020]"</t>
  </si>
  <si>
    <t>="[-0.2164</t>
  </si>
  <si>
    <t>-0.2097]"</t>
  </si>
  <si>
    <t>="[-0.2995</t>
  </si>
  <si>
    <t>-0.0810]"</t>
  </si>
  <si>
    <t>="[-0.1636</t>
  </si>
  <si>
    <t>="[-0.0933</t>
  </si>
  <si>
    <t>-0.1022]"</t>
  </si>
  <si>
    <t>="[-0.1807</t>
  </si>
  <si>
    <t>-0.1720]"</t>
  </si>
  <si>
    <t>="[-0.2519</t>
  </si>
  <si>
    <t>-0.1908]"</t>
  </si>
  <si>
    <t>="[-0.2715</t>
  </si>
  <si>
    <t>="[-0.0674</t>
  </si>
  <si>
    <t>="[-0.0527</t>
  </si>
  <si>
    <t>="[-0.0644</t>
  </si>
  <si>
    <t>="[-0.0855</t>
  </si>
  <si>
    <t>-0.0140]"</t>
  </si>
  <si>
    <t>="[-0.0924</t>
  </si>
  <si>
    <t>-0.0444]"</t>
  </si>
  <si>
    <t>="[-0.1182</t>
  </si>
  <si>
    <t>-0.1700]"</t>
  </si>
  <si>
    <t>="[-0.2338</t>
  </si>
  <si>
    <t>-0.1568]"</t>
  </si>
  <si>
    <t>="[-0.2195</t>
  </si>
  <si>
    <t>-0.1269]"</t>
  </si>
  <si>
    <t>="[-0.1883</t>
  </si>
  <si>
    <t>-0.1329]"</t>
  </si>
  <si>
    <t>="[-0.1954</t>
  </si>
  <si>
    <t>-0.1126]"</t>
  </si>
  <si>
    <t>="[-0.1761</t>
  </si>
  <si>
    <t>-0.0582]"</t>
  </si>
  <si>
    <t>="[-0.1256</t>
  </si>
  <si>
    <t>-0.0272]"</t>
  </si>
  <si>
    <t>="[-0.0945</t>
  </si>
  <si>
    <t>-0.0190]"</t>
  </si>
  <si>
    <t>="[-0.0849</t>
  </si>
  <si>
    <t>-0.0294]"</t>
  </si>
  <si>
    <t>="[-0.0916</t>
  </si>
  <si>
    <t>-0.0198]"</t>
  </si>
  <si>
    <t>="[-0.0790</t>
  </si>
  <si>
    <t>-0.0468]"</t>
  </si>
  <si>
    <t>="[-0.1047</t>
  </si>
  <si>
    <t>-0.0688]"</t>
  </si>
  <si>
    <t>="[-0.1277</t>
  </si>
  <si>
    <t>-0.0938]"</t>
  </si>
  <si>
    <t>="[-0.1516</t>
  </si>
  <si>
    <t>-0.0980]"</t>
  </si>
  <si>
    <t>="[-0.1565</t>
  </si>
  <si>
    <t>-0.0948]"</t>
  </si>
  <si>
    <t>="[-0.1532</t>
  </si>
  <si>
    <t>-0.0717]"</t>
  </si>
  <si>
    <t>="[-0.1300</t>
  </si>
  <si>
    <t>-0.0447]"</t>
  </si>
  <si>
    <t>="[-0.1025</t>
  </si>
  <si>
    <t>-0.0267]"</t>
  </si>
  <si>
    <t>="[-0.0845</t>
  </si>
  <si>
    <t>-0.0151]"</t>
  </si>
  <si>
    <t>="[-0.0719</t>
  </si>
  <si>
    <t>-0.0184]"</t>
  </si>
  <si>
    <t>="[-0.0753</t>
  </si>
  <si>
    <t>-0.0366]"</t>
  </si>
  <si>
    <t>="[-0.0936</t>
  </si>
  <si>
    <t>-0.0551]"</t>
  </si>
  <si>
    <t>="[-0.1124</t>
  </si>
  <si>
    <t>-0.0852]"</t>
  </si>
  <si>
    <t>="[-0.1426</t>
  </si>
  <si>
    <t>-0.0970]"</t>
  </si>
  <si>
    <t>="[-0.1546</t>
  </si>
  <si>
    <t>-0.0880]"</t>
  </si>
  <si>
    <t>="[-0.1455</t>
  </si>
  <si>
    <t>-0.0822]"</t>
  </si>
  <si>
    <t>="[-0.1400</t>
  </si>
  <si>
    <t>-0.0628]"</t>
  </si>
  <si>
    <t>-0.0349]"</t>
  </si>
  <si>
    <t>="[-0.0915</t>
  </si>
  <si>
    <t>="[-0.0361</t>
  </si>
  <si>
    <t>0.0206]"</t>
  </si>
  <si>
    <t>="[-0.0348</t>
  </si>
  <si>
    <t>="[-0.0427</t>
  </si>
  <si>
    <t>-0.0100]"</t>
  </si>
  <si>
    <t>="[-0.0909</t>
  </si>
  <si>
    <t>-0.0510]"</t>
  </si>
  <si>
    <t>="[-0.1034</t>
  </si>
  <si>
    <t>-0.0516]"</t>
  </si>
  <si>
    <t>="[-0.1041</t>
  </si>
  <si>
    <t>-0.0508]"</t>
  </si>
  <si>
    <t>="[-0.1033</t>
  </si>
  <si>
    <t>-0.0410]"</t>
  </si>
  <si>
    <t>="[-0.0934</t>
  </si>
  <si>
    <t>-0.0321]"</t>
  </si>
  <si>
    <t>="[-0.0844</t>
  </si>
  <si>
    <t>="[-0.0585</t>
  </si>
  <si>
    <t>="[-0.0334</t>
  </si>
  <si>
    <t>0.0372]"</t>
  </si>
  <si>
    <t>="[-0.0155</t>
  </si>
  <si>
    <t>0.0397]"</t>
  </si>
  <si>
    <t>="[-0.0122</t>
  </si>
  <si>
    <t>0.0304]"</t>
  </si>
  <si>
    <t>="[-0.0207</t>
  </si>
  <si>
    <t>="[-0.0274</t>
  </si>
  <si>
    <t>="[-0.0445</t>
  </si>
  <si>
    <t>-0.0056]"</t>
  </si>
  <si>
    <t>="[-0.0513</t>
  </si>
  <si>
    <t>="[-0.0519</t>
  </si>
  <si>
    <t>-0.0111]"</t>
  </si>
  <si>
    <t>="[-0.0556</t>
  </si>
  <si>
    <t>-0.0173]"</t>
  </si>
  <si>
    <t>-0.0205]"</t>
  </si>
  <si>
    <t>="[-0.0650</t>
  </si>
  <si>
    <t>-0.0303]"</t>
  </si>
  <si>
    <t>-0.0446]"</t>
  </si>
  <si>
    <t>="[-0.0904</t>
  </si>
  <si>
    <t>-0.0574]"</t>
  </si>
  <si>
    <t>-0.0560]"</t>
  </si>
  <si>
    <t>="[-0.1029</t>
  </si>
  <si>
    <t>-0.0495]"</t>
  </si>
  <si>
    <t>="[-0.0978</t>
  </si>
  <si>
    <t>-0.0388]"</t>
  </si>
  <si>
    <t>-0.0357]"</t>
  </si>
  <si>
    <t>="[-0.0877</t>
  </si>
  <si>
    <t>-0.0397]"</t>
  </si>
  <si>
    <t>-0.0631]"</t>
  </si>
  <si>
    <t>="[-0.1191</t>
  </si>
  <si>
    <t>-0.0622]"</t>
  </si>
  <si>
    <t>="[-0.1201</t>
  </si>
  <si>
    <t>-0.0623]"</t>
  </si>
  <si>
    <t>="[-0.1246</t>
  </si>
  <si>
    <t>="[-0.1571</t>
  </si>
  <si>
    <t>-0.1724]"</t>
  </si>
  <si>
    <t>="[-0.2522</t>
  </si>
  <si>
    <t>-0.2193]"</t>
  </si>
  <si>
    <t>="[-0.3082</t>
  </si>
  <si>
    <t>-0.2299]"</t>
  </si>
  <si>
    <t>="[-0.3308</t>
  </si>
  <si>
    <t>-0.1397]"</t>
  </si>
  <si>
    <t>="[-0.2609</t>
  </si>
  <si>
    <t>-0.0632]"</t>
  </si>
  <si>
    <t>="[-0.2051</t>
  </si>
  <si>
    <t>-0.0839]"</t>
  </si>
  <si>
    <t>="[-0.2693</t>
  </si>
  <si>
    <t>-0.0646]"</t>
  </si>
  <si>
    <t>="[-0.2603</t>
  </si>
  <si>
    <t>-0.0789]"</t>
  </si>
  <si>
    <t>="[-0.3011</t>
  </si>
  <si>
    <t>0.0375]"</t>
  </si>
  <si>
    <t>-0.0385]"</t>
  </si>
  <si>
    <t>="[-0.2976</t>
  </si>
  <si>
    <t>0.1244]"</t>
  </si>
  <si>
    <t>="[-0.2061</t>
  </si>
  <si>
    <t>0.1559]"</t>
  </si>
  <si>
    <t>="[-0.2347</t>
  </si>
  <si>
    <t>0.4767]"</t>
  </si>
  <si>
    <t>="[-0.0614</t>
  </si>
  <si>
    <t>0.7295]"</t>
  </si>
  <si>
    <t>="[0.1441</t>
  </si>
  <si>
    <t>-0.0053]"</t>
  </si>
  <si>
    <t>="[-0.0082</t>
  </si>
  <si>
    <t>-0.0038]"</t>
  </si>
  <si>
    <t>-0.0037]"</t>
  </si>
  <si>
    <t>="[-0.0071</t>
  </si>
  <si>
    <t>="[-0.0050</t>
  </si>
  <si>
    <t>-0.0020]"</t>
  </si>
  <si>
    <t>-0.0015]"</t>
  </si>
  <si>
    <t>-0.0005]"</t>
  </si>
  <si>
    <t>-0.0001]"</t>
  </si>
  <si>
    <t>0.0002]"</t>
  </si>
  <si>
    <t>0.0008]"</t>
  </si>
  <si>
    <t>="[-0.0002</t>
  </si>
  <si>
    <t>="[0.0013</t>
  </si>
  <si>
    <t>="[0.0020</t>
  </si>
  <si>
    <t>="[0.0021</t>
  </si>
  <si>
    <t>="[0.0022</t>
  </si>
  <si>
    <t>="[0.0023</t>
  </si>
  <si>
    <t>="[0.0025</t>
  </si>
  <si>
    <t>="[0.0028</t>
  </si>
  <si>
    <t>="[0.0030</t>
  </si>
  <si>
    <t>0.0050]"</t>
  </si>
  <si>
    <t>="[0.0037</t>
  </si>
  <si>
    <t>="[0.0039</t>
  </si>
  <si>
    <t>="[0.0057</t>
  </si>
  <si>
    <t>="[0.0083</t>
  </si>
  <si>
    <t>="[0.0093</t>
  </si>
  <si>
    <t>0.0144]"</t>
  </si>
  <si>
    <t>="[0.0106</t>
  </si>
  <si>
    <t>0.0182]"</t>
  </si>
  <si>
    <t>="[0.0135</t>
  </si>
  <si>
    <t>="[0.0149</t>
  </si>
  <si>
    <t>="[0.0156</t>
  </si>
  <si>
    <t>0.0204]"</t>
  </si>
  <si>
    <t>="[0.0153</t>
  </si>
  <si>
    <t>0.0229]"</t>
  </si>
  <si>
    <t>="[0.0172</t>
  </si>
  <si>
    <t>="[0.0173</t>
  </si>
  <si>
    <t>="[0.0133</t>
  </si>
  <si>
    <t>0.0001]"</t>
  </si>
  <si>
    <t>-0.0000]"</t>
  </si>
  <si>
    <t>0.0000]"</t>
  </si>
  <si>
    <t>="[0.0012</t>
  </si>
  <si>
    <t>="[0.0059</t>
  </si>
  <si>
    <t>0.0112]"</t>
  </si>
  <si>
    <t>="[0.0075</t>
  </si>
  <si>
    <t>0.0131]"</t>
  </si>
  <si>
    <t>="[0.0102</t>
  </si>
  <si>
    <t>0.0165]"</t>
  </si>
  <si>
    <t>="[0.0103</t>
  </si>
  <si>
    <t>="[0.0104</t>
  </si>
  <si>
    <t>="[0.0094</t>
  </si>
  <si>
    <t>="[0.0092</t>
  </si>
  <si>
    <t>="[0.0086</t>
  </si>
  <si>
    <t>-0.0032]"</t>
  </si>
  <si>
    <t>-0.0040]"</t>
  </si>
  <si>
    <t>-0.0030]"</t>
  </si>
  <si>
    <t>-0.0028]"</t>
  </si>
  <si>
    <t>-0.0031]"</t>
  </si>
  <si>
    <t>="[-0.0047</t>
  </si>
  <si>
    <t>-0.0023]"</t>
  </si>
  <si>
    <t>-0.0022]"</t>
  </si>
  <si>
    <t>-0.0021]"</t>
  </si>
  <si>
    <t>-0.0018]"</t>
  </si>
  <si>
    <t>-0.0017]"</t>
  </si>
  <si>
    <t>-0.0016]"</t>
  </si>
  <si>
    <t>-0.0012]"</t>
  </si>
  <si>
    <t>-0.0011]"</t>
  </si>
  <si>
    <t>="[-0.0056</t>
  </si>
  <si>
    <t>="[-0.0040</t>
  </si>
  <si>
    <t>0.0230]"</t>
  </si>
  <si>
    <t>="[0.0163</t>
  </si>
  <si>
    <t>="[0.0176</t>
  </si>
  <si>
    <t>="[0.0174</t>
  </si>
  <si>
    <t>0.0197]"</t>
  </si>
  <si>
    <t>="[0.0189</t>
  </si>
  <si>
    <t>="[0.0160</t>
  </si>
  <si>
    <t>0.0253]"</t>
  </si>
  <si>
    <t>="[0.0188</t>
  </si>
  <si>
    <t>="[0.0170</t>
  </si>
  <si>
    <t>="[0.0146</t>
  </si>
  <si>
    <t>="[0.0158</t>
  </si>
  <si>
    <t>="[0.0152</t>
  </si>
  <si>
    <t>0.0216]"</t>
  </si>
  <si>
    <t>="[0.0165</t>
  </si>
  <si>
    <t>="[0.0132</t>
  </si>
  <si>
    <t>0.0168]"</t>
  </si>
  <si>
    <t>="[0.0125</t>
  </si>
  <si>
    <t>="[0.0127</t>
  </si>
  <si>
    <t>0.0184]"</t>
  </si>
  <si>
    <t>="[0.0137</t>
  </si>
  <si>
    <t>0.0186]"</t>
  </si>
  <si>
    <t>="[0.0138</t>
  </si>
  <si>
    <t>="[0.0121</t>
  </si>
  <si>
    <t>0.0167]"</t>
  </si>
  <si>
    <t>="[0.0124</t>
  </si>
  <si>
    <t>="[0.0126</t>
  </si>
  <si>
    <t>0.0154]"</t>
  </si>
  <si>
    <t>="[0.0115</t>
  </si>
  <si>
    <t>="[0.0107</t>
  </si>
  <si>
    <t>0.0139]"</t>
  </si>
  <si>
    <t>0.0134]"</t>
  </si>
  <si>
    <t>0.0128]"</t>
  </si>
  <si>
    <t>="[0.0096</t>
  </si>
  <si>
    <t>="[0.0095</t>
  </si>
  <si>
    <t>0.0120]"</t>
  </si>
  <si>
    <t>="[0.0084</t>
  </si>
  <si>
    <t>0.0107]"</t>
  </si>
  <si>
    <t>="[0.0078</t>
  </si>
  <si>
    <t>="[0.0074</t>
  </si>
  <si>
    <t>="[0.0071</t>
  </si>
  <si>
    <t>="[0.0067</t>
  </si>
  <si>
    <t>0.0088]"</t>
  </si>
  <si>
    <t>="[0.0062</t>
  </si>
  <si>
    <t>0.0057]"</t>
  </si>
  <si>
    <t>0.0753]"</t>
  </si>
  <si>
    <t>="[0.0576</t>
  </si>
  <si>
    <t>0.0839]"</t>
  </si>
  <si>
    <t>="[0.0656</t>
  </si>
  <si>
    <t>0.0870]"</t>
  </si>
  <si>
    <t>="[0.0686</t>
  </si>
  <si>
    <t>0.0748]"</t>
  </si>
  <si>
    <t>="[0.0593</t>
  </si>
  <si>
    <t>="[0.0771</t>
  </si>
  <si>
    <t>0.0838]"</t>
  </si>
  <si>
    <t>="[0.0668</t>
  </si>
  <si>
    <t>0.0977]"</t>
  </si>
  <si>
    <t>="[0.0781</t>
  </si>
  <si>
    <t>0.0883]"</t>
  </si>
  <si>
    <t>="[0.0707</t>
  </si>
  <si>
    <t>0.0766]"</t>
  </si>
  <si>
    <t>="[0.0615</t>
  </si>
  <si>
    <t>0.0830]"</t>
  </si>
  <si>
    <t>="[0.0667</t>
  </si>
  <si>
    <t>="[0.0674</t>
  </si>
  <si>
    <t>0.0804]"</t>
  </si>
  <si>
    <t>="[0.0648</t>
  </si>
  <si>
    <t>0.0847]"</t>
  </si>
  <si>
    <t>="[0.0683</t>
  </si>
  <si>
    <t>0.0873]"</t>
  </si>
  <si>
    <t>="[0.0705</t>
  </si>
  <si>
    <t>="[0.0563</t>
  </si>
  <si>
    <t>0.0655]"</t>
  </si>
  <si>
    <t>="[0.0531</t>
  </si>
  <si>
    <t>0.0672]"</t>
  </si>
  <si>
    <t>="[0.0545</t>
  </si>
  <si>
    <t>0.0725]"</t>
  </si>
  <si>
    <t>="[0.0588</t>
  </si>
  <si>
    <t>0.0759]"</t>
  </si>
  <si>
    <t>="[0.0617</t>
  </si>
  <si>
    <t>0.0728]"</t>
  </si>
  <si>
    <t>="[0.0592</t>
  </si>
  <si>
    <t>0.0691]"</t>
  </si>
  <si>
    <t>="[0.0530</t>
  </si>
  <si>
    <t>0.0614]"</t>
  </si>
  <si>
    <t>="[0.0502</t>
  </si>
  <si>
    <t>="[0.0509</t>
  </si>
  <si>
    <t>0.0626]"</t>
  </si>
  <si>
    <t>="[0.0512</t>
  </si>
  <si>
    <t>0.0628]"</t>
  </si>
  <si>
    <t>0.0607]"</t>
  </si>
  <si>
    <t>="[0.0498</t>
  </si>
  <si>
    <t>0.0588]"</t>
  </si>
  <si>
    <t>="[0.0483</t>
  </si>
  <si>
    <t>0.0520]"</t>
  </si>
  <si>
    <t>="[0.0429</t>
  </si>
  <si>
    <t>0.0504]"</t>
  </si>
  <si>
    <t>="[0.0416</t>
  </si>
  <si>
    <t>0.0502]"</t>
  </si>
  <si>
    <t>="[0.0415</t>
  </si>
  <si>
    <t>0.0501]"</t>
  </si>
  <si>
    <t>="[0.0414</t>
  </si>
  <si>
    <t>0.0491]"</t>
  </si>
  <si>
    <t>="[0.0407</t>
  </si>
  <si>
    <t>0.0476]"</t>
  </si>
  <si>
    <t>="[0.0395</t>
  </si>
  <si>
    <t>0.0457]"</t>
  </si>
  <si>
    <t>0.0434]"</t>
  </si>
  <si>
    <t>="[0.0361</t>
  </si>
  <si>
    <t>0.0415]"</t>
  </si>
  <si>
    <t>="[0.0345</t>
  </si>
  <si>
    <t>0.0411]"</t>
  </si>
  <si>
    <t>="[0.0342</t>
  </si>
  <si>
    <t>="[0.0341</t>
  </si>
  <si>
    <t>0.0408]"</t>
  </si>
  <si>
    <t>="[0.0340</t>
  </si>
  <si>
    <t>0.0412]"</t>
  </si>
  <si>
    <t>="[0.0344</t>
  </si>
  <si>
    <t>="[0.0346</t>
  </si>
  <si>
    <t>0.0398]"</t>
  </si>
  <si>
    <t>="[0.0333</t>
  </si>
  <si>
    <t>0.0381]"</t>
  </si>
  <si>
    <t>="[0.0319</t>
  </si>
  <si>
    <t>="[0.0300</t>
  </si>
  <si>
    <t>0.0336]"</t>
  </si>
  <si>
    <t>="[0.0282</t>
  </si>
  <si>
    <t>0.0326]"</t>
  </si>
  <si>
    <t>="[0.0274</t>
  </si>
  <si>
    <t>="[0.0263</t>
  </si>
  <si>
    <t>0.0309]"</t>
  </si>
  <si>
    <t>="[0.0259</t>
  </si>
  <si>
    <t>0.0300]"</t>
  </si>
  <si>
    <t>="[0.0252</t>
  </si>
  <si>
    <t>0.0297]"</t>
  </si>
  <si>
    <t>="[0.0250</t>
  </si>
  <si>
    <t>0.0294]"</t>
  </si>
  <si>
    <t>="[0.0248</t>
  </si>
  <si>
    <t>0.0285]"</t>
  </si>
  <si>
    <t>="[0.0240</t>
  </si>
  <si>
    <t>="[0.0232</t>
  </si>
  <si>
    <t>="[0.0226</t>
  </si>
  <si>
    <t>="[0.0217</t>
  </si>
  <si>
    <t>0.0247]"</t>
  </si>
  <si>
    <t>="[0.0209</t>
  </si>
  <si>
    <t>0.0233]"</t>
  </si>
  <si>
    <t>="[0.0198</t>
  </si>
  <si>
    <t>="[0.0190</t>
  </si>
  <si>
    <t>="[0.0183</t>
  </si>
  <si>
    <t>="[0.0175</t>
  </si>
  <si>
    <t>0.0190]"</t>
  </si>
  <si>
    <t>="[0.0155</t>
  </si>
  <si>
    <t>="[0.0142</t>
  </si>
  <si>
    <t>0.0163]"</t>
  </si>
  <si>
    <t>0.0160]"</t>
  </si>
  <si>
    <t>0.0159]"</t>
  </si>
  <si>
    <t>0.0157]"</t>
  </si>
  <si>
    <t>="[0.0131</t>
  </si>
  <si>
    <t>="[0.0129</t>
  </si>
  <si>
    <t>0.0148]"</t>
  </si>
  <si>
    <t>0.0146]"</t>
  </si>
  <si>
    <t>0.0149]"</t>
  </si>
  <si>
    <t>="[0.0178</t>
  </si>
  <si>
    <t>0.0227]"</t>
  </si>
  <si>
    <t>0.0239]"</t>
  </si>
  <si>
    <t>="[0.0203</t>
  </si>
  <si>
    <t>="[0.0207</t>
  </si>
  <si>
    <t>="[0.0257</t>
  </si>
  <si>
    <t>0.0295]"</t>
  </si>
  <si>
    <t>="[0.0249</t>
  </si>
  <si>
    <t>0.0316]"</t>
  </si>
  <si>
    <t>="[0.0265</t>
  </si>
  <si>
    <t>="[0.0270</t>
  </si>
  <si>
    <t>0.0301]"</t>
  </si>
  <si>
    <t>0.0322]"</t>
  </si>
  <si>
    <t>0.0339]"</t>
  </si>
  <si>
    <t>="[0.0276</t>
  </si>
  <si>
    <t>0.0357]"</t>
  </si>
  <si>
    <t>="[0.0284</t>
  </si>
  <si>
    <t>="[0.0197</t>
  </si>
  <si>
    <t>-0.0443]"</t>
  </si>
  <si>
    <t>="[-0.1123</t>
  </si>
  <si>
    <t>-0.0225]"</t>
  </si>
  <si>
    <t>-0.0162]"</t>
  </si>
  <si>
    <t>="[-0.0629</t>
  </si>
  <si>
    <t>-0.0698]"</t>
  </si>
  <si>
    <t>="[-0.1174</t>
  </si>
  <si>
    <t>-0.0535]"</t>
  </si>
  <si>
    <t>="[-0.0901</t>
  </si>
  <si>
    <t>-0.0348]"</t>
  </si>
  <si>
    <t>="[-0.0757</t>
  </si>
  <si>
    <t>-0.0504]"</t>
  </si>
  <si>
    <t>="[-0.0829</t>
  </si>
  <si>
    <t>="[-0.0086</t>
  </si>
  <si>
    <t>-0.0342]"</t>
  </si>
  <si>
    <t>="[-0.0656</t>
  </si>
  <si>
    <t>-0.0200]"</t>
  </si>
  <si>
    <t>="[-0.0503</t>
  </si>
  <si>
    <t>-0.0458]"</t>
  </si>
  <si>
    <t>="[-0.0721</t>
  </si>
  <si>
    <t>="[-0.0586</t>
  </si>
  <si>
    <t>="[-0.0246</t>
  </si>
  <si>
    <t>="[-0.0084</t>
  </si>
  <si>
    <t>="[-0.0164</t>
  </si>
  <si>
    <t>-0.0196]"</t>
  </si>
  <si>
    <t>="[-0.0410</t>
  </si>
  <si>
    <t>-0.0192]"</t>
  </si>
  <si>
    <t>="[-0.0421</t>
  </si>
  <si>
    <t>-0.0276]"</t>
  </si>
  <si>
    <t>="[-0.0462</t>
  </si>
  <si>
    <t>="[-0.0159</t>
  </si>
  <si>
    <t>0.0290]"</t>
  </si>
  <si>
    <t>="[0.0122</t>
  </si>
  <si>
    <t>="[0.0077</t>
  </si>
  <si>
    <t>="[0.0087</t>
  </si>
  <si>
    <t>0.0311]"</t>
  </si>
  <si>
    <t>0.0223]"</t>
  </si>
  <si>
    <t>0.0360]"</t>
  </si>
  <si>
    <t>="[0.0212</t>
  </si>
  <si>
    <t>="[0.0277</t>
  </si>
  <si>
    <t>0.0373]"</t>
  </si>
  <si>
    <t>="[0.0235</t>
  </si>
  <si>
    <t>0.0543]"</t>
  </si>
  <si>
    <t>="[0.0406</t>
  </si>
  <si>
    <t>="[0.0520</t>
  </si>
  <si>
    <t>0.0548]"</t>
  </si>
  <si>
    <t>0.0602]"</t>
  </si>
  <si>
    <t>0.0611]"</t>
  </si>
  <si>
    <t>="[0.0486</t>
  </si>
  <si>
    <t>0.0637]"</t>
  </si>
  <si>
    <t>0.0435]"</t>
  </si>
  <si>
    <t>="[0.0311</t>
  </si>
  <si>
    <t>0.0461]"</t>
  </si>
  <si>
    <t>0.0599]"</t>
  </si>
  <si>
    <t>="[0.0477</t>
  </si>
  <si>
    <t>0.0533]"</t>
  </si>
  <si>
    <t>="[0.0569</t>
  </si>
  <si>
    <t>0.0701]"</t>
  </si>
  <si>
    <t>="[0.0582</t>
  </si>
  <si>
    <t>0.0925]"</t>
  </si>
  <si>
    <t>="[0.0810</t>
  </si>
  <si>
    <t>="[0.0815</t>
  </si>
  <si>
    <t>="[0.0597</t>
  </si>
  <si>
    <t>0.0751]"</t>
  </si>
  <si>
    <t>="[0.0642</t>
  </si>
  <si>
    <t>0.0720]"</t>
  </si>
  <si>
    <t>="[0.0612</t>
  </si>
  <si>
    <t>="[0.0513</t>
  </si>
  <si>
    <t>0.0549]"</t>
  </si>
  <si>
    <t>="[0.0446</t>
  </si>
  <si>
    <t>0.0451]"</t>
  </si>
  <si>
    <t>="[0.0351</t>
  </si>
  <si>
    <t>0.0715]"</t>
  </si>
  <si>
    <t>="[0.0614</t>
  </si>
  <si>
    <t>0.0742]"</t>
  </si>
  <si>
    <t>="[0.0641</t>
  </si>
  <si>
    <t>="[0.0766</t>
  </si>
  <si>
    <t>0.0967]"</t>
  </si>
  <si>
    <t>="[0.0869</t>
  </si>
  <si>
    <t>0.1085]"</t>
  </si>
  <si>
    <t>="[0.0987</t>
  </si>
  <si>
    <t>0.0896]"</t>
  </si>
  <si>
    <t>="[0.0798</t>
  </si>
  <si>
    <t>="[0.0669</t>
  </si>
  <si>
    <t>="[0.0697</t>
  </si>
  <si>
    <t>="[0.0789</t>
  </si>
  <si>
    <t>0.0876]"</t>
  </si>
  <si>
    <t>="[0.0784</t>
  </si>
  <si>
    <t>0.0901]"</t>
  </si>
  <si>
    <t>="[0.0811</t>
  </si>
  <si>
    <t>0.0926]"</t>
  </si>
  <si>
    <t>="[0.0840</t>
  </si>
  <si>
    <t>0.0771]"</t>
  </si>
  <si>
    <t>="[0.0690</t>
  </si>
  <si>
    <t>0.0721]"</t>
  </si>
  <si>
    <t>0.0747]"</t>
  </si>
  <si>
    <t>="[0.0671</t>
  </si>
  <si>
    <t>0.0697]"</t>
  </si>
  <si>
    <t>="[0.0622</t>
  </si>
  <si>
    <t>="[0.0623</t>
  </si>
  <si>
    <t>0.0807]"</t>
  </si>
  <si>
    <t>="[0.0733</t>
  </si>
  <si>
    <t>0.0910]"</t>
  </si>
  <si>
    <t>="[0.0836</t>
  </si>
  <si>
    <t>0.1003]"</t>
  </si>
  <si>
    <t>="[0.0929</t>
  </si>
  <si>
    <t>0.1142]"</t>
  </si>
  <si>
    <t>="[0.1068</t>
  </si>
  <si>
    <t>0.1197]"</t>
  </si>
  <si>
    <t>="[0.1122</t>
  </si>
  <si>
    <t>0.1076]"</t>
  </si>
  <si>
    <t>="[0.0999</t>
  </si>
  <si>
    <t>0.1032]"</t>
  </si>
  <si>
    <t>="[0.0955</t>
  </si>
  <si>
    <t>0.1025]"</t>
  </si>
  <si>
    <t>="[0.0946</t>
  </si>
  <si>
    <t>0.1066]"</t>
  </si>
  <si>
    <t>="[0.0984</t>
  </si>
  <si>
    <t>0.1176]"</t>
  </si>
  <si>
    <t>="[0.1092</t>
  </si>
  <si>
    <t>0.1162]"</t>
  </si>
  <si>
    <t>="[0.1076</t>
  </si>
  <si>
    <t>0.1080]"</t>
  </si>
  <si>
    <t>="[0.0989</t>
  </si>
  <si>
    <t>0.1109]"</t>
  </si>
  <si>
    <t>="[0.1010</t>
  </si>
  <si>
    <t>0.1370]"</t>
  </si>
  <si>
    <t>="[0.1257</t>
  </si>
  <si>
    <t>0.1501]"</t>
  </si>
  <si>
    <t>="[0.1377</t>
  </si>
  <si>
    <t>0.1655]"</t>
  </si>
  <si>
    <t>="[0.1518</t>
  </si>
  <si>
    <t>0.1652]"</t>
  </si>
  <si>
    <t>="[0.1494</t>
  </si>
  <si>
    <t>0.1563]"</t>
  </si>
  <si>
    <t>="[0.1384</t>
  </si>
  <si>
    <t>0.1651]"</t>
  </si>
  <si>
    <t>="[0.1426</t>
  </si>
  <si>
    <t>0.1668]"</t>
  </si>
  <si>
    <t>0.2088]"</t>
  </si>
  <si>
    <t>="[0.1834</t>
  </si>
  <si>
    <t>0.1717]"</t>
  </si>
  <si>
    <t>="[0.1431</t>
  </si>
  <si>
    <t>0.2243]"</t>
  </si>
  <si>
    <t>="[0.1967</t>
  </si>
  <si>
    <t>0.2189]"</t>
  </si>
  <si>
    <t>="[0.1850</t>
  </si>
  <si>
    <t>0.2199]"</t>
  </si>
  <si>
    <t>="[0.1813</t>
  </si>
  <si>
    <t>0.2006]"</t>
  </si>
  <si>
    <t>="[0.1498</t>
  </si>
  <si>
    <t>0.2542]"</t>
  </si>
  <si>
    <t>0.0795]"</t>
  </si>
  <si>
    <t>="[0.0602</t>
  </si>
  <si>
    <t>0.0894]"</t>
  </si>
  <si>
    <t>0.0802]"</t>
  </si>
  <si>
    <t>="[0.0637</t>
  </si>
  <si>
    <t>0.1050]"</t>
  </si>
  <si>
    <t>="[0.0839</t>
  </si>
  <si>
    <t>0.0907]"</t>
  </si>
  <si>
    <t>="[0.0726</t>
  </si>
  <si>
    <t>0.1056]"</t>
  </si>
  <si>
    <t>="[0.0848</t>
  </si>
  <si>
    <t>0.0957]"</t>
  </si>
  <si>
    <t>0.0835]"</t>
  </si>
  <si>
    <t>0.0904]"</t>
  </si>
  <si>
    <t>="[0.0731</t>
  </si>
  <si>
    <t>="[0.0741</t>
  </si>
  <si>
    <t>="[0.0716</t>
  </si>
  <si>
    <t>0.0936]"</t>
  </si>
  <si>
    <t>="[0.0760</t>
  </si>
  <si>
    <t>0.0968]"</t>
  </si>
  <si>
    <t>="[0.0788</t>
  </si>
  <si>
    <t>0.0775]"</t>
  </si>
  <si>
    <t>="[0.0633</t>
  </si>
  <si>
    <t>0.0733]"</t>
  </si>
  <si>
    <t>="[0.0599</t>
  </si>
  <si>
    <t>="[0.0611</t>
  </si>
  <si>
    <t>0.0810]"</t>
  </si>
  <si>
    <t>="[0.0663</t>
  </si>
  <si>
    <t>0.0853]"</t>
  </si>
  <si>
    <t>="[0.0698</t>
  </si>
  <si>
    <t>0.0819]"</t>
  </si>
  <si>
    <t>="[0.0672</t>
  </si>
  <si>
    <t>0.0783]"</t>
  </si>
  <si>
    <t>="[0.0643</t>
  </si>
  <si>
    <t>0.0738]"</t>
  </si>
  <si>
    <t>="[0.0607</t>
  </si>
  <si>
    <t>0.0702]"</t>
  </si>
  <si>
    <t>="[0.0578</t>
  </si>
  <si>
    <t>0.0712]"</t>
  </si>
  <si>
    <t>="[0.0586</t>
  </si>
  <si>
    <t>0.0726]"</t>
  </si>
  <si>
    <t>="[0.0600</t>
  </si>
  <si>
    <t>0.0705]"</t>
  </si>
  <si>
    <t>="[0.0584</t>
  </si>
  <si>
    <t>0.0683]"</t>
  </si>
  <si>
    <t>="[0.0565</t>
  </si>
  <si>
    <t>="[0.0538</t>
  </si>
  <si>
    <t>="[0.0508</t>
  </si>
  <si>
    <t>0.0597]"</t>
  </si>
  <si>
    <t>="[0.0496</t>
  </si>
  <si>
    <t>0.0598]"</t>
  </si>
  <si>
    <t>="[0.0497</t>
  </si>
  <si>
    <t>0.0603]"</t>
  </si>
  <si>
    <t>0.0593]"</t>
  </si>
  <si>
    <t>="[0.0494</t>
  </si>
  <si>
    <t>0.0579]"</t>
  </si>
  <si>
    <t>0.0558]"</t>
  </si>
  <si>
    <t>="[0.0465</t>
  </si>
  <si>
    <t>0.0532]"</t>
  </si>
  <si>
    <t>="[0.0444</t>
  </si>
  <si>
    <t>0.0512]"</t>
  </si>
  <si>
    <t>0.0509]"</t>
  </si>
  <si>
    <t>="[0.0427</t>
  </si>
  <si>
    <t>0.0507]"</t>
  </si>
  <si>
    <t>0.0508]"</t>
  </si>
  <si>
    <t>="[0.0425</t>
  </si>
  <si>
    <t>0.0516]"</t>
  </si>
  <si>
    <t>="[0.0432</t>
  </si>
  <si>
    <t>0.0522]"</t>
  </si>
  <si>
    <t>="[0.0438</t>
  </si>
  <si>
    <t>0.0518]"</t>
  </si>
  <si>
    <t>="[0.0434</t>
  </si>
  <si>
    <t>0.0490]"</t>
  </si>
  <si>
    <t>="[0.0410</t>
  </si>
  <si>
    <t>0.0462]"</t>
  </si>
  <si>
    <t>="[0.0387</t>
  </si>
  <si>
    <t>0.0437]"</t>
  </si>
  <si>
    <t>="[0.0366</t>
  </si>
  <si>
    <t>0.0426]"</t>
  </si>
  <si>
    <t>="[0.0358</t>
  </si>
  <si>
    <t>="[0.0343</t>
  </si>
  <si>
    <t>0.0399]"</t>
  </si>
  <si>
    <t>="[0.0334</t>
  </si>
  <si>
    <t>0.0401]"</t>
  </si>
  <si>
    <t>="[0.0335</t>
  </si>
  <si>
    <t>0.0394]"</t>
  </si>
  <si>
    <t>="[0.0329</t>
  </si>
  <si>
    <t>0.0384]"</t>
  </si>
  <si>
    <t>="[0.0320</t>
  </si>
  <si>
    <t>="[0.0314</t>
  </si>
  <si>
    <t>0.0364]"</t>
  </si>
  <si>
    <t>="[0.0304</t>
  </si>
  <si>
    <t>0.0354]"</t>
  </si>
  <si>
    <t>0.0340]"</t>
  </si>
  <si>
    <t>="[0.0283</t>
  </si>
  <si>
    <t>0.0321]"</t>
  </si>
  <si>
    <t>="[0.0267</t>
  </si>
  <si>
    <t>0.0299]"</t>
  </si>
  <si>
    <t>0.0293]"</t>
  </si>
  <si>
    <t>="[0.0243</t>
  </si>
  <si>
    <t>="[0.0238</t>
  </si>
  <si>
    <t>0.0273]"</t>
  </si>
  <si>
    <t>="[0.0224</t>
  </si>
  <si>
    <t>0.0276]"</t>
  </si>
  <si>
    <t>="[0.0227</t>
  </si>
  <si>
    <t>0.0277]"</t>
  </si>
  <si>
    <t>="[0.0230</t>
  </si>
  <si>
    <t>0.0303]"</t>
  </si>
  <si>
    <t>0.0308]"</t>
  </si>
  <si>
    <t>="[0.0251</t>
  </si>
  <si>
    <t>="[0.0262</t>
  </si>
  <si>
    <t>0.0356]"</t>
  </si>
  <si>
    <t>="[0.0288</t>
  </si>
  <si>
    <t>0.0427]"</t>
  </si>
  <si>
    <t>="[0.0381</t>
  </si>
  <si>
    <t>="[0.0441</t>
  </si>
  <si>
    <t>="[0.0455</t>
  </si>
  <si>
    <t>0.0707]"</t>
  </si>
  <si>
    <t>="[0.0568</t>
  </si>
  <si>
    <t>0.0690]"</t>
  </si>
  <si>
    <t>="[0.0553</t>
  </si>
  <si>
    <t>0.0737]"</t>
  </si>
  <si>
    <t>="[0.0591</t>
  </si>
  <si>
    <t>0.0757]"</t>
  </si>
  <si>
    <t>="[0.0606</t>
  </si>
  <si>
    <t>0.0756]"</t>
  </si>
  <si>
    <t>="[0.0596</t>
  </si>
  <si>
    <t>="[-0.0256</t>
  </si>
  <si>
    <t>="[-0.0315</t>
  </si>
  <si>
    <t>0.0560]"</t>
  </si>
  <si>
    <t>="[-0.0233</t>
  </si>
  <si>
    <t>0.0615]"</t>
  </si>
  <si>
    <t>="[0.0185</t>
  </si>
  <si>
    <t>0.0492]"</t>
  </si>
  <si>
    <t>0.0645]"</t>
  </si>
  <si>
    <t>="[0.0309</t>
  </si>
  <si>
    <t>0.0911]"</t>
  </si>
  <si>
    <t>0.0868]"</t>
  </si>
  <si>
    <t>="[0.0485</t>
  </si>
  <si>
    <t>0.0799]"</t>
  </si>
  <si>
    <t>="[0.0539</t>
  </si>
  <si>
    <t>="[0.0463</t>
  </si>
  <si>
    <t>0.0453]"</t>
  </si>
  <si>
    <t>0.0703]"</t>
  </si>
  <si>
    <t>="[0.0499</t>
  </si>
  <si>
    <t>0.0945]"</t>
  </si>
  <si>
    <t>="[0.0747</t>
  </si>
  <si>
    <t>0.0909]"</t>
  </si>
  <si>
    <t>="[0.0711</t>
  </si>
  <si>
    <t>0.0927]"</t>
  </si>
  <si>
    <t>0.0813]"</t>
  </si>
  <si>
    <t>="[0.0604</t>
  </si>
  <si>
    <t>0.0972]"</t>
  </si>
  <si>
    <t>0.0863]"</t>
  </si>
  <si>
    <t>0.0834]"</t>
  </si>
  <si>
    <t>="[0.0646</t>
  </si>
  <si>
    <t>0.0934]"</t>
  </si>
  <si>
    <t>="[0.0757</t>
  </si>
  <si>
    <t>0.0981]"</t>
  </si>
  <si>
    <t>0.0821]"</t>
  </si>
  <si>
    <t>="[0.0653</t>
  </si>
  <si>
    <t>="[0.0774</t>
  </si>
  <si>
    <t>0.1099]"</t>
  </si>
  <si>
    <t>="[0.0936</t>
  </si>
  <si>
    <t>0.1199]"</t>
  </si>
  <si>
    <t>="[0.1038</t>
  </si>
  <si>
    <t>0.1072]"</t>
  </si>
  <si>
    <t>="[0.0914</t>
  </si>
  <si>
    <t>0.1102]"</t>
  </si>
  <si>
    <t>="[0.0948</t>
  </si>
  <si>
    <t>0.1094]"</t>
  </si>
  <si>
    <t>="[0.0944</t>
  </si>
  <si>
    <t>0.1117]"</t>
  </si>
  <si>
    <t>="[0.0969</t>
  </si>
  <si>
    <t>0.0912]"</t>
  </si>
  <si>
    <t>="[0.0765</t>
  </si>
  <si>
    <t>0.0962]"</t>
  </si>
  <si>
    <t>="[0.0816</t>
  </si>
  <si>
    <t>0.0946]"</t>
  </si>
  <si>
    <t>="[0.0802</t>
  </si>
  <si>
    <t>0.1090]"</t>
  </si>
  <si>
    <t>0.1020]"</t>
  </si>
  <si>
    <t>="[0.0877</t>
  </si>
  <si>
    <t>="[0.1024</t>
  </si>
  <si>
    <t>0.1161]"</t>
  </si>
  <si>
    <t>="[0.1022</t>
  </si>
  <si>
    <t>0.1360]"</t>
  </si>
  <si>
    <t>="[0.1224</t>
  </si>
  <si>
    <t>0.1340]"</t>
  </si>
  <si>
    <t>="[0.1206</t>
  </si>
  <si>
    <t>0.1111]"</t>
  </si>
  <si>
    <t>="[0.0979</t>
  </si>
  <si>
    <t>0.1141]"</t>
  </si>
  <si>
    <t>="[0.1012</t>
  </si>
  <si>
    <t>0.0995]"</t>
  </si>
  <si>
    <t>="[0.0870</t>
  </si>
  <si>
    <t>0.0827]"</t>
  </si>
  <si>
    <t>="[0.0708</t>
  </si>
  <si>
    <t>0.1091]"</t>
  </si>
  <si>
    <t>="[0.0974</t>
  </si>
  <si>
    <t>0.1235]"</t>
  </si>
  <si>
    <t>="[0.1118</t>
  </si>
  <si>
    <t>0.1328]"</t>
  </si>
  <si>
    <t>="[0.1212</t>
  </si>
  <si>
    <t>0.1438]"</t>
  </si>
  <si>
    <t>="[0.1323</t>
  </si>
  <si>
    <t>0.1238]"</t>
  </si>
  <si>
    <t>="[0.1124</t>
  </si>
  <si>
    <t>="[0.0985</t>
  </si>
  <si>
    <t>="[0.1000</t>
  </si>
  <si>
    <t>0.1193]"</t>
  </si>
  <si>
    <t>="[0.1083</t>
  </si>
  <si>
    <t>0.1178]"</t>
  </si>
  <si>
    <t>="[0.1070</t>
  </si>
  <si>
    <t>="[0.1088</t>
  </si>
  <si>
    <t>0.1207]"</t>
  </si>
  <si>
    <t>="[0.1107</t>
  </si>
  <si>
    <t>0.1047]"</t>
  </si>
  <si>
    <t>="[0.0951</t>
  </si>
  <si>
    <t>="[0.0898</t>
  </si>
  <si>
    <t>0.1010]"</t>
  </si>
  <si>
    <t>="[0.0920</t>
  </si>
  <si>
    <t>0.0954]"</t>
  </si>
  <si>
    <t>="[0.0865</t>
  </si>
  <si>
    <t>0.0951]"</t>
  </si>
  <si>
    <t>="[0.0864</t>
  </si>
  <si>
    <t>0.1060]"</t>
  </si>
  <si>
    <t>="[0.0973</t>
  </si>
  <si>
    <t>0.1165]"</t>
  </si>
  <si>
    <t>="[0.1078</t>
  </si>
  <si>
    <t>0.1261]"</t>
  </si>
  <si>
    <t>="[0.1174</t>
  </si>
  <si>
    <t>0.1400]"</t>
  </si>
  <si>
    <t>="[0.1313</t>
  </si>
  <si>
    <t>0.1456]"</t>
  </si>
  <si>
    <t>="[0.1368</t>
  </si>
  <si>
    <t>0.1335]"</t>
  </si>
  <si>
    <t>="[0.1245</t>
  </si>
  <si>
    <t>0.1291]"</t>
  </si>
  <si>
    <t>="[0.1201</t>
  </si>
  <si>
    <t>0.1289]"</t>
  </si>
  <si>
    <t>="[0.1195</t>
  </si>
  <si>
    <t>0.1334]"</t>
  </si>
  <si>
    <t>="[0.1239</t>
  </si>
  <si>
    <t>0.1458]"</t>
  </si>
  <si>
    <t>="[0.1359</t>
  </si>
  <si>
    <t>0.1449]"</t>
  </si>
  <si>
    <t>="[0.1348</t>
  </si>
  <si>
    <t>="[0.1274</t>
  </si>
  <si>
    <t>0.1765]"</t>
  </si>
  <si>
    <t>="[0.1633</t>
  </si>
  <si>
    <t>0.1939]"</t>
  </si>
  <si>
    <t>="[0.1793</t>
  </si>
  <si>
    <t>0.2133]"</t>
  </si>
  <si>
    <t>="[0.1972</t>
  </si>
  <si>
    <t>0.2160]"</t>
  </si>
  <si>
    <t>="[0.1974</t>
  </si>
  <si>
    <t>0.2089]"</t>
  </si>
  <si>
    <t>="[0.1878</t>
  </si>
  <si>
    <t>0.2309]"</t>
  </si>
  <si>
    <t>="[0.2043</t>
  </si>
  <si>
    <t>="[0.2039</t>
  </si>
  <si>
    <t>0.2773]"</t>
  </si>
  <si>
    <t>="[0.2477</t>
  </si>
  <si>
    <t>0.2420]"</t>
  </si>
  <si>
    <t>="[0.2091</t>
  </si>
  <si>
    <t>0.2897]"</t>
  </si>
  <si>
    <t>="[0.2581</t>
  </si>
  <si>
    <t>0.2885]"</t>
  </si>
  <si>
    <t>="[0.2502</t>
  </si>
  <si>
    <t>0.2896]"</t>
  </si>
  <si>
    <t>="[0.2467</t>
  </si>
  <si>
    <t>0.2703]"</t>
  </si>
  <si>
    <t>="[0.2152</t>
  </si>
  <si>
    <t>0.3042]"</t>
  </si>
  <si>
    <t>="[0.2487</t>
  </si>
  <si>
    <t>4.6370]"</t>
  </si>
  <si>
    <t>="[4.5813</t>
  </si>
  <si>
    <t>4.3161]"</t>
  </si>
  <si>
    <t>="[4.2710</t>
  </si>
  <si>
    <t>4.0603]"</t>
  </si>
  <si>
    <t>="[4.0210</t>
  </si>
  <si>
    <t>3.8792]"</t>
  </si>
  <si>
    <t>="[3.8495</t>
  </si>
  <si>
    <t>3.7648]"</t>
  </si>
  <si>
    <t>="[3.7297</t>
  </si>
  <si>
    <t>3.6644]"</t>
  </si>
  <si>
    <t>="[3.6364</t>
  </si>
  <si>
    <t>3.5387]"</t>
  </si>
  <si>
    <t>="[3.5076</t>
  </si>
  <si>
    <t>3.4425]"</t>
  </si>
  <si>
    <t>="[3.4156</t>
  </si>
  <si>
    <t>3.3574]"</t>
  </si>
  <si>
    <t>="[3.3350</t>
  </si>
  <si>
    <t>3.3087]"</t>
  </si>
  <si>
    <t>="[3.2853</t>
  </si>
  <si>
    <t>3.2341]"</t>
  </si>
  <si>
    <t>="[3.2109</t>
  </si>
  <si>
    <t>3.1825]"</t>
  </si>
  <si>
    <t>="[3.1609</t>
  </si>
  <si>
    <t>3.1281]"</t>
  </si>
  <si>
    <t>="[3.1058</t>
  </si>
  <si>
    <t>3.0535]"</t>
  </si>
  <si>
    <t>="[3.0309</t>
  </si>
  <si>
    <t>2.9868]"</t>
  </si>
  <si>
    <t>="[2.9689</t>
  </si>
  <si>
    <t>2.9501]"</t>
  </si>
  <si>
    <t>="[2.9336</t>
  </si>
  <si>
    <t>2.9417]"</t>
  </si>
  <si>
    <t>="[2.9248</t>
  </si>
  <si>
    <t>2.8778]"</t>
  </si>
  <si>
    <t>="[2.8599</t>
  </si>
  <si>
    <t>2.8419]"</t>
  </si>
  <si>
    <t>="[2.8233</t>
  </si>
  <si>
    <t>2.7900]"</t>
  </si>
  <si>
    <t>="[2.7723</t>
  </si>
  <si>
    <t>2.7570]"</t>
  </si>
  <si>
    <t>="[2.7402</t>
  </si>
  <si>
    <t>2.7266]"</t>
  </si>
  <si>
    <t>="[2.7108</t>
  </si>
  <si>
    <t>2.6749]"</t>
  </si>
  <si>
    <t>="[2.6599</t>
  </si>
  <si>
    <t>2.6673]"</t>
  </si>
  <si>
    <t>="[2.6523</t>
  </si>
  <si>
    <t>2.6347]"</t>
  </si>
  <si>
    <t>="[2.6196</t>
  </si>
  <si>
    <t>2.5935]"</t>
  </si>
  <si>
    <t>="[2.5784</t>
  </si>
  <si>
    <t>2.5568]"</t>
  </si>
  <si>
    <t>="[2.5423</t>
  </si>
  <si>
    <t>2.5380]"</t>
  </si>
  <si>
    <t>="[2.5239</t>
  </si>
  <si>
    <t>2.5101]"</t>
  </si>
  <si>
    <t>="[2.4967</t>
  </si>
  <si>
    <t>2.4743]"</t>
  </si>
  <si>
    <t>="[2.4618</t>
  </si>
  <si>
    <t>2.4476]"</t>
  </si>
  <si>
    <t>="[2.4353</t>
  </si>
  <si>
    <t>2.4431]"</t>
  </si>
  <si>
    <t>="[2.4308</t>
  </si>
  <si>
    <t>2.4204]"</t>
  </si>
  <si>
    <t>="[2.4081</t>
  </si>
  <si>
    <t>2.3924]"</t>
  </si>
  <si>
    <t>="[2.3800</t>
  </si>
  <si>
    <t>2.3546]"</t>
  </si>
  <si>
    <t>="[2.3424</t>
  </si>
  <si>
    <t>2.3346]"</t>
  </si>
  <si>
    <t>="[2.3228</t>
  </si>
  <si>
    <t>2.3163]"</t>
  </si>
  <si>
    <t>="[2.3049</t>
  </si>
  <si>
    <t>2.2904]"</t>
  </si>
  <si>
    <t>="[2.2796</t>
  </si>
  <si>
    <t>2.2645]"</t>
  </si>
  <si>
    <t>="[2.2541</t>
  </si>
  <si>
    <t>2.2510]"</t>
  </si>
  <si>
    <t>="[2.2406</t>
  </si>
  <si>
    <t>2.2500]"</t>
  </si>
  <si>
    <t>="[2.2396</t>
  </si>
  <si>
    <t>2.2293]"</t>
  </si>
  <si>
    <t>="[2.2189</t>
  </si>
  <si>
    <t>2.2065]"</t>
  </si>
  <si>
    <t>="[2.1960</t>
  </si>
  <si>
    <t>2.1752]"</t>
  </si>
  <si>
    <t>="[2.1645</t>
  </si>
  <si>
    <t>2.1553]"</t>
  </si>
  <si>
    <t>="[2.1447</t>
  </si>
  <si>
    <t>2.1430]"</t>
  </si>
  <si>
    <t>="[2.1325</t>
  </si>
  <si>
    <t>2.1233]"</t>
  </si>
  <si>
    <t>="[2.1131</t>
  </si>
  <si>
    <t>2.0976]"</t>
  </si>
  <si>
    <t>="[2.0880</t>
  </si>
  <si>
    <t>2.0746]"</t>
  </si>
  <si>
    <t>="[2.0654</t>
  </si>
  <si>
    <t>2.0629]"</t>
  </si>
  <si>
    <t>="[2.0540</t>
  </si>
  <si>
    <t>2.0433]"</t>
  </si>
  <si>
    <t>="[2.0347</t>
  </si>
  <si>
    <t>2.0345]"</t>
  </si>
  <si>
    <t>="[2.0259</t>
  </si>
  <si>
    <t>2.0321]"</t>
  </si>
  <si>
    <t>="[2.0235</t>
  </si>
  <si>
    <t>2.0146]"</t>
  </si>
  <si>
    <t>="[2.0061</t>
  </si>
  <si>
    <t>1.9973]"</t>
  </si>
  <si>
    <t>="[1.9888</t>
  </si>
  <si>
    <t>1.9734]"</t>
  </si>
  <si>
    <t>="[1.9648</t>
  </si>
  <si>
    <t>1.9561]"</t>
  </si>
  <si>
    <t>="[1.9474</t>
  </si>
  <si>
    <t>1.9344]"</t>
  </si>
  <si>
    <t>="[1.9258</t>
  </si>
  <si>
    <t>1.9178]"</t>
  </si>
  <si>
    <t>="[1.9094</t>
  </si>
  <si>
    <t>1.9027]"</t>
  </si>
  <si>
    <t>="[1.8944</t>
  </si>
  <si>
    <t>1.8921]"</t>
  </si>
  <si>
    <t>="[1.8840</t>
  </si>
  <si>
    <t>1.8743]"</t>
  </si>
  <si>
    <t>="[1.8665</t>
  </si>
  <si>
    <t>1.8579]"</t>
  </si>
  <si>
    <t>="[1.8502</t>
  </si>
  <si>
    <t>1.8416]"</t>
  </si>
  <si>
    <t>="[1.8342</t>
  </si>
  <si>
    <t>1.8281]"</t>
  </si>
  <si>
    <t>="[1.8209</t>
  </si>
  <si>
    <t>1.8133]"</t>
  </si>
  <si>
    <t>="[1.8063</t>
  </si>
  <si>
    <t>1.7908]"</t>
  </si>
  <si>
    <t>="[1.7840</t>
  </si>
  <si>
    <t>1.7804]"</t>
  </si>
  <si>
    <t>="[1.7737</t>
  </si>
  <si>
    <t>1.7708]"</t>
  </si>
  <si>
    <t>="[1.7642</t>
  </si>
  <si>
    <t>1.7590]"</t>
  </si>
  <si>
    <t>="[1.7525</t>
  </si>
  <si>
    <t>1.7502]"</t>
  </si>
  <si>
    <t>="[1.7437</t>
  </si>
  <si>
    <t>1.7397]"</t>
  </si>
  <si>
    <t>="[1.7333</t>
  </si>
  <si>
    <t>1.7242]"</t>
  </si>
  <si>
    <t>="[1.7177</t>
  </si>
  <si>
    <t>1.7086]"</t>
  </si>
  <si>
    <t>="[1.7021</t>
  </si>
  <si>
    <t>1.6885]"</t>
  </si>
  <si>
    <t>="[1.6819</t>
  </si>
  <si>
    <t>1.6743]"</t>
  </si>
  <si>
    <t>="[1.6676</t>
  </si>
  <si>
    <t>1.6569]"</t>
  </si>
  <si>
    <t>="[1.6500</t>
  </si>
  <si>
    <t>1.6443]"</t>
  </si>
  <si>
    <t>="[1.6374</t>
  </si>
  <si>
    <t>1.6305]"</t>
  </si>
  <si>
    <t>="[1.6236</t>
  </si>
  <si>
    <t>1.6092]"</t>
  </si>
  <si>
    <t>="[1.6021</t>
  </si>
  <si>
    <t>1.5938]"</t>
  </si>
  <si>
    <t>="[1.5866</t>
  </si>
  <si>
    <t>1.5721]"</t>
  </si>
  <si>
    <t>="[1.5644</t>
  </si>
  <si>
    <t>1.5584]"</t>
  </si>
  <si>
    <t>="[1.5506</t>
  </si>
  <si>
    <t>1.5398]"</t>
  </si>
  <si>
    <t>="[1.5315</t>
  </si>
  <si>
    <t>1.5139]"</t>
  </si>
  <si>
    <t>="[1.5047</t>
  </si>
  <si>
    <t>1.4732]"</t>
  </si>
  <si>
    <t>="[1.4621</t>
  </si>
  <si>
    <t>1.4418]"</t>
  </si>
  <si>
    <t>="[1.4294</t>
  </si>
  <si>
    <t>1.3957]"</t>
  </si>
  <si>
    <t>="[1.3821</t>
  </si>
  <si>
    <t>1.3474]"</t>
  </si>
  <si>
    <t>="[1.3326</t>
  </si>
  <si>
    <t>1.3167]"</t>
  </si>
  <si>
    <t>="[1.3009</t>
  </si>
  <si>
    <t>1.2304]"</t>
  </si>
  <si>
    <t>="[1.2104</t>
  </si>
  <si>
    <t>1.1589]"</t>
  </si>
  <si>
    <t>="[1.1387</t>
  </si>
  <si>
    <t>1.0641]"</t>
  </si>
  <si>
    <t>="[1.0418</t>
  </si>
  <si>
    <t>0.9748]"</t>
  </si>
  <si>
    <t>="[0.9507</t>
  </si>
  <si>
    <t>0.8681]"</t>
  </si>
  <si>
    <t>="[0.8441</t>
  </si>
  <si>
    <t>0.7047]"</t>
  </si>
  <si>
    <t>="[0.6774</t>
  </si>
  <si>
    <t>0.5519]"</t>
  </si>
  <si>
    <t>="[0.5208</t>
  </si>
  <si>
    <t>0.3247]"</t>
  </si>
  <si>
    <t>="[0.2878</t>
  </si>
  <si>
    <t>4.6592]"</t>
  </si>
  <si>
    <t>="[4.5938</t>
  </si>
  <si>
    <t>4.3186]"</t>
  </si>
  <si>
    <t>4.0928]"</t>
  </si>
  <si>
    <t>="[4.0532</t>
  </si>
  <si>
    <t>3.9151]"</t>
  </si>
  <si>
    <t>="[3.8783</t>
  </si>
  <si>
    <t>3.7646]"</t>
  </si>
  <si>
    <t>="[3.7315</t>
  </si>
  <si>
    <t>3.6729]"</t>
  </si>
  <si>
    <t>="[3.6477</t>
  </si>
  <si>
    <t>3.5781]"</t>
  </si>
  <si>
    <t>="[3.5483</t>
  </si>
  <si>
    <t>3.4595]"</t>
  </si>
  <si>
    <t>="[3.4382</t>
  </si>
  <si>
    <t>3.4385]"</t>
  </si>
  <si>
    <t>="[3.4165</t>
  </si>
  <si>
    <t>3.3416]"</t>
  </si>
  <si>
    <t>="[3.3160</t>
  </si>
  <si>
    <t>3.2824]"</t>
  </si>
  <si>
    <t>="[3.2580</t>
  </si>
  <si>
    <t>3.2027]"</t>
  </si>
  <si>
    <t>="[3.1827</t>
  </si>
  <si>
    <t>3.1656]"</t>
  </si>
  <si>
    <t>="[3.1467</t>
  </si>
  <si>
    <t>3.1280]"</t>
  </si>
  <si>
    <t>="[3.1089</t>
  </si>
  <si>
    <t>3.0612]"</t>
  </si>
  <si>
    <t>="[3.0415</t>
  </si>
  <si>
    <t>3.0120]"</t>
  </si>
  <si>
    <t>="[2.9935</t>
  </si>
  <si>
    <t>2.9801]"</t>
  </si>
  <si>
    <t>="[2.9617</t>
  </si>
  <si>
    <t>2.9452]"</t>
  </si>
  <si>
    <t>="[2.9264</t>
  </si>
  <si>
    <t>2.8892]"</t>
  </si>
  <si>
    <t>="[2.8697</t>
  </si>
  <si>
    <t>2.8489]"</t>
  </si>
  <si>
    <t>="[2.8311</t>
  </si>
  <si>
    <t>2.7899]"</t>
  </si>
  <si>
    <t>="[2.7762</t>
  </si>
  <si>
    <t>2.7852]"</t>
  </si>
  <si>
    <t>2.7585]"</t>
  </si>
  <si>
    <t>="[2.7455</t>
  </si>
  <si>
    <t>2.7472]"</t>
  </si>
  <si>
    <t>="[2.7343</t>
  </si>
  <si>
    <t>2.7164]"</t>
  </si>
  <si>
    <t>="[2.7032</t>
  </si>
  <si>
    <t>2.6641]"</t>
  </si>
  <si>
    <t>="[2.6496</t>
  </si>
  <si>
    <t>2.6438]"</t>
  </si>
  <si>
    <t>="[2.6292</t>
  </si>
  <si>
    <t>2.6144]"</t>
  </si>
  <si>
    <t>="[2.6001</t>
  </si>
  <si>
    <t>2.5839]"</t>
  </si>
  <si>
    <t>="[2.5708</t>
  </si>
  <si>
    <t>2.5589]"</t>
  </si>
  <si>
    <t>="[2.5464</t>
  </si>
  <si>
    <t>2.5369]"</t>
  </si>
  <si>
    <t>="[2.5251</t>
  </si>
  <si>
    <t>2.5164]"</t>
  </si>
  <si>
    <t>="[2.5050</t>
  </si>
  <si>
    <t>2.4818]"</t>
  </si>
  <si>
    <t>="[2.4710</t>
  </si>
  <si>
    <t>2.4772]"</t>
  </si>
  <si>
    <t>="[2.4664</t>
  </si>
  <si>
    <t>2.4556]"</t>
  </si>
  <si>
    <t>="[2.4449</t>
  </si>
  <si>
    <t>2.4459]"</t>
  </si>
  <si>
    <t>="[2.4351</t>
  </si>
  <si>
    <t>2.4154]"</t>
  </si>
  <si>
    <t>="[2.4045</t>
  </si>
  <si>
    <t>2.3930]"</t>
  </si>
  <si>
    <t>="[2.3821</t>
  </si>
  <si>
    <t>2.3666]"</t>
  </si>
  <si>
    <t>="[2.3559</t>
  </si>
  <si>
    <t>2.3553]"</t>
  </si>
  <si>
    <t>="[2.3448</t>
  </si>
  <si>
    <t>2.3338]"</t>
  </si>
  <si>
    <t>="[2.3235</t>
  </si>
  <si>
    <t>2.3180]"</t>
  </si>
  <si>
    <t>="[2.3080</t>
  </si>
  <si>
    <t>2.2936]"</t>
  </si>
  <si>
    <t>="[2.2838</t>
  </si>
  <si>
    <t>2.2765]"</t>
  </si>
  <si>
    <t>="[2.2668</t>
  </si>
  <si>
    <t>2.2496]"</t>
  </si>
  <si>
    <t>="[2.2401</t>
  </si>
  <si>
    <t>2.2521]"</t>
  </si>
  <si>
    <t>="[2.2425</t>
  </si>
  <si>
    <t>2.2321]"</t>
  </si>
  <si>
    <t>="[2.2225</t>
  </si>
  <si>
    <t>2.2268]"</t>
  </si>
  <si>
    <t>="[2.2172</t>
  </si>
  <si>
    <t>2.2022]"</t>
  </si>
  <si>
    <t>="[2.1924</t>
  </si>
  <si>
    <t>2.1679]"</t>
  </si>
  <si>
    <t>="[2.1581</t>
  </si>
  <si>
    <t>2.1514]"</t>
  </si>
  <si>
    <t>="[2.1419</t>
  </si>
  <si>
    <t>2.1392]"</t>
  </si>
  <si>
    <t>="[2.1298</t>
  </si>
  <si>
    <t>2.1256]"</t>
  </si>
  <si>
    <t>="[2.1165</t>
  </si>
  <si>
    <t>2.1009]"</t>
  </si>
  <si>
    <t>="[2.0923</t>
  </si>
  <si>
    <t>2.0739]"</t>
  </si>
  <si>
    <t>="[2.0657</t>
  </si>
  <si>
    <t>2.0763]"</t>
  </si>
  <si>
    <t>="[2.0683</t>
  </si>
  <si>
    <t>2.0615]"</t>
  </si>
  <si>
    <t>="[2.0535</t>
  </si>
  <si>
    <t>2.0518]"</t>
  </si>
  <si>
    <t>="[2.0439</t>
  </si>
  <si>
    <t>2.0446]"</t>
  </si>
  <si>
    <t>="[2.0367</t>
  </si>
  <si>
    <t>2.0406]"</t>
  </si>
  <si>
    <t>="[2.0327</t>
  </si>
  <si>
    <t>2.0102]"</t>
  </si>
  <si>
    <t>="[2.0021</t>
  </si>
  <si>
    <t>1.9788]"</t>
  </si>
  <si>
    <t>="[1.9705</t>
  </si>
  <si>
    <t>1.9639]"</t>
  </si>
  <si>
    <t>="[1.9556</t>
  </si>
  <si>
    <t>1.9558]"</t>
  </si>
  <si>
    <t>="[1.9476</t>
  </si>
  <si>
    <t>1.9409]"</t>
  </si>
  <si>
    <t>="[1.9329</t>
  </si>
  <si>
    <t>1.9278]"</t>
  </si>
  <si>
    <t>="[1.9200</t>
  </si>
  <si>
    <t>1.9068]"</t>
  </si>
  <si>
    <t>="[1.8994</t>
  </si>
  <si>
    <t>1.8803]"</t>
  </si>
  <si>
    <t>="[1.8735</t>
  </si>
  <si>
    <t>1.8651]"</t>
  </si>
  <si>
    <t>="[1.8587</t>
  </si>
  <si>
    <t>1.8554]"</t>
  </si>
  <si>
    <t>="[1.8492</t>
  </si>
  <si>
    <t>1.8409]"</t>
  </si>
  <si>
    <t>="[1.8349</t>
  </si>
  <si>
    <t>1.8301]"</t>
  </si>
  <si>
    <t>="[1.8243</t>
  </si>
  <si>
    <t>1.8255]"</t>
  </si>
  <si>
    <t>="[1.8197</t>
  </si>
  <si>
    <t>1.8203]"</t>
  </si>
  <si>
    <t>="[1.8147</t>
  </si>
  <si>
    <t>1.8098]"</t>
  </si>
  <si>
    <t>="[1.8042</t>
  </si>
  <si>
    <t>1.8094]"</t>
  </si>
  <si>
    <t>="[1.8039</t>
  </si>
  <si>
    <t>1.7974]"</t>
  </si>
  <si>
    <t>="[1.7919</t>
  </si>
  <si>
    <t>1.7727]"</t>
  </si>
  <si>
    <t>="[1.7670</t>
  </si>
  <si>
    <t>1.7546]"</t>
  </si>
  <si>
    <t>="[1.7487</t>
  </si>
  <si>
    <t>1.7330]"</t>
  </si>
  <si>
    <t>="[1.7268</t>
  </si>
  <si>
    <t>1.7220]"</t>
  </si>
  <si>
    <t>="[1.7158</t>
  </si>
  <si>
    <t>1.7123]"</t>
  </si>
  <si>
    <t>="[1.7060</t>
  </si>
  <si>
    <t>1.6976]"</t>
  </si>
  <si>
    <t>="[1.6912</t>
  </si>
  <si>
    <t>1.6718]"</t>
  </si>
  <si>
    <t>="[1.6650</t>
  </si>
  <si>
    <t>1.6509]"</t>
  </si>
  <si>
    <t>="[1.6439</t>
  </si>
  <si>
    <t>1.6412]"</t>
  </si>
  <si>
    <t>="[1.6340</t>
  </si>
  <si>
    <t>1.6260]"</t>
  </si>
  <si>
    <t>="[1.6184</t>
  </si>
  <si>
    <t>1.5984]"</t>
  </si>
  <si>
    <t>="[1.5899</t>
  </si>
  <si>
    <t>1.5524]"</t>
  </si>
  <si>
    <t>="[1.5410</t>
  </si>
  <si>
    <t>1.5142]"</t>
  </si>
  <si>
    <t>="[1.5002</t>
  </si>
  <si>
    <t>1.4467]"</t>
  </si>
  <si>
    <t>="[1.4292</t>
  </si>
  <si>
    <t>1.3751]"</t>
  </si>
  <si>
    <t>="[1.3573</t>
  </si>
  <si>
    <t>1.3252]"</t>
  </si>
  <si>
    <t>="[1.3057</t>
  </si>
  <si>
    <t>1.1995]"</t>
  </si>
  <si>
    <t>="[1.1770</t>
  </si>
  <si>
    <t>1.1403]"</t>
  </si>
  <si>
    <t>="[1.1197</t>
  </si>
  <si>
    <t>0.9738]"</t>
  </si>
  <si>
    <t>="[0.9470</t>
  </si>
  <si>
    <t>0.8192]"</t>
  </si>
  <si>
    <t>="[0.7898</t>
  </si>
  <si>
    <t>0.5694]"</t>
  </si>
  <si>
    <t>="[0.5286</t>
  </si>
  <si>
    <t>0.2198]"</t>
  </si>
  <si>
    <t>="[0.1790</t>
  </si>
  <si>
    <t>DADOS COM ERROS-PADRAO</t>
  </si>
  <si>
    <t>Gerar os dados usando esttab no STATA (ew) com CI e wide</t>
  </si>
  <si>
    <t>Rodar a macro "Formatar Intervalos Confiança" na nova aba</t>
  </si>
  <si>
    <t>="[0.1744</t>
  </si>
  <si>
    <t>0.2058]"</t>
  </si>
  <si>
    <t>="[0.4650</t>
  </si>
  <si>
    <t>0.5038]"</t>
  </si>
  <si>
    <t>="[0.6852</t>
  </si>
  <si>
    <t>0.7248]"</t>
  </si>
  <si>
    <t>="[0.8758</t>
  </si>
  <si>
    <t>0.9005]"</t>
  </si>
  <si>
    <t>="[0.9788</t>
  </si>
  <si>
    <t>1.0146]"</t>
  </si>
  <si>
    <t>="[1.0981</t>
  </si>
  <si>
    <t>1.1248]"</t>
  </si>
  <si>
    <t>="[1.1831</t>
  </si>
  <si>
    <t>1.2119]"</t>
  </si>
  <si>
    <t>="[1.2787</t>
  </si>
  <si>
    <t>1.3056]"</t>
  </si>
  <si>
    <t>="[1.3755</t>
  </si>
  <si>
    <t>1.3995]"</t>
  </si>
  <si>
    <t>="[1.4097</t>
  </si>
  <si>
    <t>1.4341]"</t>
  </si>
  <si>
    <t>="[1.4810</t>
  </si>
  <si>
    <t>1.5034]"</t>
  </si>
  <si>
    <t>="[1.5681</t>
  </si>
  <si>
    <t>1.5826]"</t>
  </si>
  <si>
    <t>="[1.5761</t>
  </si>
  <si>
    <t>1.5907]"</t>
  </si>
  <si>
    <t>="[1.6069</t>
  </si>
  <si>
    <t>1.6200]"</t>
  </si>
  <si>
    <t>="[1.6406</t>
  </si>
  <si>
    <t>1.6525]"</t>
  </si>
  <si>
    <t>="[1.6662</t>
  </si>
  <si>
    <t>1.6770]"</t>
  </si>
  <si>
    <t>="[1.6994</t>
  </si>
  <si>
    <t>1.7088]"</t>
  </si>
  <si>
    <t>="[1.7134</t>
  </si>
  <si>
    <t>1.7222]"</t>
  </si>
  <si>
    <t>="[1.7401</t>
  </si>
  <si>
    <t>1.7479]"</t>
  </si>
  <si>
    <t>="[1.7476</t>
  </si>
  <si>
    <t>1.7553]"</t>
  </si>
  <si>
    <t>="[1.7545</t>
  </si>
  <si>
    <t>1.7622]"</t>
  </si>
  <si>
    <t>="[1.7918</t>
  </si>
  <si>
    <t>1.7987]"</t>
  </si>
  <si>
    <t>="[1.7987</t>
  </si>
  <si>
    <t>1.8056]"</t>
  </si>
  <si>
    <t>="[1.7979</t>
  </si>
  <si>
    <t>1.8050]"</t>
  </si>
  <si>
    <t>="[1.8026</t>
  </si>
  <si>
    <t>1.8097]"</t>
  </si>
  <si>
    <t>="[1.8073</t>
  </si>
  <si>
    <t>1.8144]"</t>
  </si>
  <si>
    <t>="[1.8353</t>
  </si>
  <si>
    <t>1.8426]"</t>
  </si>
  <si>
    <t>="[1.8404</t>
  </si>
  <si>
    <t>1.8478]"</t>
  </si>
  <si>
    <t>="[1.8481</t>
  </si>
  <si>
    <t>1.8556]"</t>
  </si>
  <si>
    <t>="[1.8558</t>
  </si>
  <si>
    <t>1.8635]"</t>
  </si>
  <si>
    <t>="[1.8769</t>
  </si>
  <si>
    <t>1.8851]"</t>
  </si>
  <si>
    <t>="[1.8846</t>
  </si>
  <si>
    <t>1.8930]"</t>
  </si>
  <si>
    <t>="[1.8907</t>
  </si>
  <si>
    <t>1.8993]"</t>
  </si>
  <si>
    <t>="[1.9073</t>
  </si>
  <si>
    <t>1.9163]"</t>
  </si>
  <si>
    <t>="[1.9447</t>
  </si>
  <si>
    <t>1.9544]"</t>
  </si>
  <si>
    <t>="[1.9639</t>
  </si>
  <si>
    <t>1.9739]"</t>
  </si>
  <si>
    <t>="[1.9760</t>
  </si>
  <si>
    <t>1.9861]"</t>
  </si>
  <si>
    <t>="[1.9782</t>
  </si>
  <si>
    <t>1.9884]"</t>
  </si>
  <si>
    <t>="[1.9844</t>
  </si>
  <si>
    <t>1.9946]"</t>
  </si>
  <si>
    <t>="[2.0033</t>
  </si>
  <si>
    <t>2.0136]"</t>
  </si>
  <si>
    <t>="[2.0231</t>
  </si>
  <si>
    <t>2.0335]"</t>
  </si>
  <si>
    <t>="[2.0414</t>
  </si>
  <si>
    <t>2.0520]"</t>
  </si>
  <si>
    <t>="[2.0592</t>
  </si>
  <si>
    <t>2.0699]"</t>
  </si>
  <si>
    <t>="[2.0836</t>
  </si>
  <si>
    <t>2.0943]"</t>
  </si>
  <si>
    <t>="[2.0892</t>
  </si>
  <si>
    <t>2.1000]"</t>
  </si>
  <si>
    <t>="[2.1089</t>
  </si>
  <si>
    <t>2.1197]"</t>
  </si>
  <si>
    <t>="[2.1106</t>
  </si>
  <si>
    <t>2.1215]"</t>
  </si>
  <si>
    <t>="[2.1313</t>
  </si>
  <si>
    <t>2.1423]"</t>
  </si>
  <si>
    <t>="[2.1418</t>
  </si>
  <si>
    <t>2.1529]"</t>
  </si>
  <si>
    <t>="[2.1700</t>
  </si>
  <si>
    <t>2.1813]"</t>
  </si>
  <si>
    <t>="[2.1973</t>
  </si>
  <si>
    <t>2.2090]"</t>
  </si>
  <si>
    <t>="[2.2108</t>
  </si>
  <si>
    <t>2.2225]"</t>
  </si>
  <si>
    <t>="[2.2034</t>
  </si>
  <si>
    <t>2.2152]"</t>
  </si>
  <si>
    <t>="[2.2233</t>
  </si>
  <si>
    <t>2.2353]"</t>
  </si>
  <si>
    <t>="[2.2619</t>
  </si>
  <si>
    <t>2.2746]"</t>
  </si>
  <si>
    <t>="[2.2656</t>
  </si>
  <si>
    <t>2.2783]"</t>
  </si>
  <si>
    <t>="[2.2853</t>
  </si>
  <si>
    <t>2.2985]"</t>
  </si>
  <si>
    <t>="[2.3039</t>
  </si>
  <si>
    <t>2.3174]"</t>
  </si>
  <si>
    <t>="[2.3116</t>
  </si>
  <si>
    <t>2.3253]"</t>
  </si>
  <si>
    <t>="[2.3416</t>
  </si>
  <si>
    <t>2.3557]"</t>
  </si>
  <si>
    <t>="[2.3824</t>
  </si>
  <si>
    <t>2.3967]"</t>
  </si>
  <si>
    <t>="[2.3933</t>
  </si>
  <si>
    <t>2.4075]"</t>
  </si>
  <si>
    <t>="[2.3946</t>
  </si>
  <si>
    <t>2.4087]"</t>
  </si>
  <si>
    <t>="[2.4296</t>
  </si>
  <si>
    <t>2.4432]"</t>
  </si>
  <si>
    <t>="[2.4861</t>
  </si>
  <si>
    <t>2.4994]"</t>
  </si>
  <si>
    <t>="[2.4974</t>
  </si>
  <si>
    <t>2.5107]"</t>
  </si>
  <si>
    <t>="[2.4890</t>
  </si>
  <si>
    <t>2.5021]"</t>
  </si>
  <si>
    <t>="[2.4932</t>
  </si>
  <si>
    <t>2.5063]"</t>
  </si>
  <si>
    <t>="[2.4962</t>
  </si>
  <si>
    <t>2.5094]"</t>
  </si>
  <si>
    <t>="[2.5305</t>
  </si>
  <si>
    <t>2.5453]"</t>
  </si>
  <si>
    <t>="[2.5745</t>
  </si>
  <si>
    <t>2.5926]"</t>
  </si>
  <si>
    <t>="[2.6115</t>
  </si>
  <si>
    <t>2.6313]"</t>
  </si>
  <si>
    <t>2.6490]"</t>
  </si>
  <si>
    <t>="[2.6697</t>
  </si>
  <si>
    <t>2.6889]"</t>
  </si>
  <si>
    <t>="[2.7081</t>
  </si>
  <si>
    <t>2.7268]"</t>
  </si>
  <si>
    <t>="[2.7116</t>
  </si>
  <si>
    <t>2.7301]"</t>
  </si>
  <si>
    <t>="[2.7666</t>
  </si>
  <si>
    <t>2.7858]"</t>
  </si>
  <si>
    <t>="[2.7946</t>
  </si>
  <si>
    <t>2.8142]"</t>
  </si>
  <si>
    <t>="[2.8191</t>
  </si>
  <si>
    <t>2.8387]"</t>
  </si>
  <si>
    <t>="[2.8857</t>
  </si>
  <si>
    <t>2.9055]"</t>
  </si>
  <si>
    <t>="[2.8897</t>
  </si>
  <si>
    <t>2.9092]"</t>
  </si>
  <si>
    <t>="[2.9004</t>
  </si>
  <si>
    <t>2.9200]"</t>
  </si>
  <si>
    <t>="[2.9535</t>
  </si>
  <si>
    <t>2.9758]"</t>
  </si>
  <si>
    <t>="[2.9997</t>
  </si>
  <si>
    <t>3.0250]"</t>
  </si>
  <si>
    <t>="[3.0502</t>
  </si>
  <si>
    <t>3.0776]"</t>
  </si>
  <si>
    <t>="[3.1213</t>
  </si>
  <si>
    <t>3.1466]"</t>
  </si>
  <si>
    <t>="[3.1920</t>
  </si>
  <si>
    <t>3.2154]"</t>
  </si>
  <si>
    <t>="[3.1869</t>
  </si>
  <si>
    <t>3.2095]"</t>
  </si>
  <si>
    <t>="[3.2575</t>
  </si>
  <si>
    <t>3.2858]"</t>
  </si>
  <si>
    <t>="[3.3208</t>
  </si>
  <si>
    <t>3.3500]"</t>
  </si>
  <si>
    <t>="[3.4010</t>
  </si>
  <si>
    <t>3.4276]"</t>
  </si>
  <si>
    <t>="[3.4265</t>
  </si>
  <si>
    <t>3.4541]"</t>
  </si>
  <si>
    <t>="[3.5396</t>
  </si>
  <si>
    <t>3.5785]"</t>
  </si>
  <si>
    <t>="[3.6314</t>
  </si>
  <si>
    <t>3.6727]"</t>
  </si>
  <si>
    <t>="[3.7374</t>
  </si>
  <si>
    <t>3.7834]"</t>
  </si>
  <si>
    <t>="[3.8635</t>
  </si>
  <si>
    <t>3.9102]"</t>
  </si>
  <si>
    <t>="[4.0820</t>
  </si>
  <si>
    <t>4.1258]"</t>
  </si>
  <si>
    <t>="[4.2550</t>
  </si>
  <si>
    <t>4.3219]"</t>
  </si>
  <si>
    <t>="[4.5783</t>
  </si>
  <si>
    <t>4.6395]"</t>
  </si>
  <si>
    <t>="[0.5289</t>
  </si>
  <si>
    <t>0.5690]"</t>
  </si>
  <si>
    <t>0.9739]"</t>
  </si>
  <si>
    <t>="[1.1196</t>
  </si>
  <si>
    <t>1.1405]"</t>
  </si>
  <si>
    <t>="[1.3572</t>
  </si>
  <si>
    <t>1.3752]"</t>
  </si>
  <si>
    <t>="[1.4293</t>
  </si>
  <si>
    <t>1.4466]"</t>
  </si>
  <si>
    <t>="[1.5003</t>
  </si>
  <si>
    <t>1.5141]"</t>
  </si>
  <si>
    <t>1.5523]"</t>
  </si>
  <si>
    <t>1.8095]"</t>
  </si>
  <si>
    <t>="[1.8146</t>
  </si>
  <si>
    <t>1.8204]"</t>
  </si>
  <si>
    <t>="[1.8198</t>
  </si>
  <si>
    <t>1.8302]"</t>
  </si>
  <si>
    <t>="[1.8348</t>
  </si>
  <si>
    <t>="[1.9477</t>
  </si>
  <si>
    <t>1.9638]"</t>
  </si>
  <si>
    <t>="[2.0326</t>
  </si>
  <si>
    <t>="[2.0366</t>
  </si>
  <si>
    <t>="[2.0438</t>
  </si>
  <si>
    <t>2.0616]"</t>
  </si>
  <si>
    <t>="[2.0684</t>
  </si>
  <si>
    <t>2.0765]"</t>
  </si>
  <si>
    <t>2.1255]"</t>
  </si>
  <si>
    <t>2.1391]"</t>
  </si>
  <si>
    <t>2.1678]"</t>
  </si>
  <si>
    <t>="[2.1925</t>
  </si>
  <si>
    <t>2.2322]"</t>
  </si>
  <si>
    <t>2.2497]"</t>
  </si>
  <si>
    <t>2.4557]"</t>
  </si>
  <si>
    <t>2.4773]"</t>
  </si>
  <si>
    <t>2.5838]"</t>
  </si>
  <si>
    <t>="[2.6002</t>
  </si>
  <si>
    <t>2.6143]"</t>
  </si>
  <si>
    <t>2.6437]"</t>
  </si>
  <si>
    <t>2.6640]"</t>
  </si>
  <si>
    <t>="[2.7031</t>
  </si>
  <si>
    <t>2.7474]"</t>
  </si>
  <si>
    <t>2.7586]"</t>
  </si>
  <si>
    <t>="[2.7726</t>
  </si>
  <si>
    <t>2.7857]"</t>
  </si>
  <si>
    <t>="[2.7761</t>
  </si>
  <si>
    <t>="[2.8312</t>
  </si>
  <si>
    <t>2.8488]"</t>
  </si>
  <si>
    <t>="[2.8698</t>
  </si>
  <si>
    <t>2.8890]"</t>
  </si>
  <si>
    <t>3.0121]"</t>
  </si>
  <si>
    <t>="[3.0416</t>
  </si>
  <si>
    <t>3.0611]"</t>
  </si>
  <si>
    <t>3.1657]"</t>
  </si>
  <si>
    <t>3.2028]"</t>
  </si>
  <si>
    <t>3.2822]"</t>
  </si>
  <si>
    <t>="[3.3161</t>
  </si>
  <si>
    <t>3.3415]"</t>
  </si>
  <si>
    <t>="[3.4163</t>
  </si>
  <si>
    <t>3.4386]"</t>
  </si>
  <si>
    <t>="[3.4381</t>
  </si>
  <si>
    <t>3.4597]"</t>
  </si>
  <si>
    <t>="[3.5485</t>
  </si>
  <si>
    <t>3.5778]"</t>
  </si>
  <si>
    <t>="[3.6475</t>
  </si>
  <si>
    <t>3.6731]"</t>
  </si>
  <si>
    <t>="[3.7317</t>
  </si>
  <si>
    <t>3.7644]"</t>
  </si>
  <si>
    <t>="[4.0533</t>
  </si>
  <si>
    <t>4.0927]"</t>
  </si>
  <si>
    <t>="[4.2711</t>
  </si>
  <si>
    <t>4.3185]"</t>
  </si>
  <si>
    <t>="[4.5940</t>
  </si>
  <si>
    <t>4.6590]"</t>
  </si>
  <si>
    <t>0.0164]"</t>
  </si>
  <si>
    <t>="[-0.0925</t>
  </si>
  <si>
    <t>-0.0367]"</t>
  </si>
  <si>
    <t>="[-0.1242</t>
  </si>
  <si>
    <t>-0.0749]"</t>
  </si>
  <si>
    <t>="[-0.0906</t>
  </si>
  <si>
    <t>-0.0540]"</t>
  </si>
  <si>
    <t>="[-0.1540</t>
  </si>
  <si>
    <t>="[-0.0943</t>
  </si>
  <si>
    <t>-0.0594]"</t>
  </si>
  <si>
    <t>="[-0.1353</t>
  </si>
  <si>
    <t>-0.1006]"</t>
  </si>
  <si>
    <t>="[-0.0902</t>
  </si>
  <si>
    <t>-0.0579]"</t>
  </si>
  <si>
    <t>="[-0.0652</t>
  </si>
  <si>
    <t>-0.0356]"</t>
  </si>
  <si>
    <t>="[-0.0993</t>
  </si>
  <si>
    <t>-0.0713]"</t>
  </si>
  <si>
    <t>="[-0.0670</t>
  </si>
  <si>
    <t>-0.0420]"</t>
  </si>
  <si>
    <t>="[-0.0272</t>
  </si>
  <si>
    <t>-0.0104]"</t>
  </si>
  <si>
    <t>="[-0.0470</t>
  </si>
  <si>
    <t>="[-0.0317</t>
  </si>
  <si>
    <t>-0.0167]"</t>
  </si>
  <si>
    <t>="[0.0201</t>
  </si>
  <si>
    <t>="[0.0210</t>
  </si>
  <si>
    <t>0.0119]"</t>
  </si>
  <si>
    <t>="[-0.0112</t>
  </si>
  <si>
    <t>="[0.0117</t>
  </si>
  <si>
    <t>0.0243]"</t>
  </si>
  <si>
    <t>="[-0.0137</t>
  </si>
  <si>
    <t>="[-0.0181</t>
  </si>
  <si>
    <t>-0.0061]"</t>
  </si>
  <si>
    <t>="[0.0064</t>
  </si>
  <si>
    <t>="[-0.0232</t>
  </si>
  <si>
    <t>-0.0101]"</t>
  </si>
  <si>
    <t>-0.0217]"</t>
  </si>
  <si>
    <t>="[-0.0189</t>
  </si>
  <si>
    <t>="[-0.0078</t>
  </si>
  <si>
    <t>0.0137]"</t>
  </si>
  <si>
    <t>="[0.0098</t>
  </si>
  <si>
    <t>0.0232]"</t>
  </si>
  <si>
    <t>="[0.0180</t>
  </si>
  <si>
    <t>="[-0.0121</t>
  </si>
  <si>
    <t>="[-0.0130</t>
  </si>
  <si>
    <t>-0.0103]"</t>
  </si>
  <si>
    <t>="[0.0154</t>
  </si>
  <si>
    <t>="[-0.0108</t>
  </si>
  <si>
    <t>="[-0.0188</t>
  </si>
  <si>
    <t>="[-0.0102</t>
  </si>
  <si>
    <t>="[0.0194</t>
  </si>
  <si>
    <t>0.0218]"</t>
  </si>
  <si>
    <t>="[-0.0128</t>
  </si>
  <si>
    <t>="[0.0339</t>
  </si>
  <si>
    <t>0.0407]"</t>
  </si>
  <si>
    <t>="[-0.0371</t>
  </si>
  <si>
    <t>-0.0193]"</t>
  </si>
  <si>
    <t>="[-0.0244</t>
  </si>
  <si>
    <t>-0.0051]"</t>
  </si>
  <si>
    <t>0.0263]"</t>
  </si>
  <si>
    <t>="[0.0105</t>
  </si>
  <si>
    <t>0.0345]"</t>
  </si>
  <si>
    <t>0.0192]"</t>
  </si>
  <si>
    <t>="[-0.0314</t>
  </si>
  <si>
    <t>="[0.0338</t>
  </si>
  <si>
    <t>="[0.0423</t>
  </si>
  <si>
    <t>0.0337]"</t>
  </si>
  <si>
    <t>="[-0.0391</t>
  </si>
  <si>
    <t>="[-0.0061</t>
  </si>
  <si>
    <t>="[0.0324</t>
  </si>
  <si>
    <t>="[-0.0171</t>
  </si>
  <si>
    <t>0.0259]"</t>
  </si>
  <si>
    <t>="[-0.0285</t>
  </si>
  <si>
    <t>0.0405]"</t>
  </si>
  <si>
    <t>="[-0.0396</t>
  </si>
  <si>
    <t>0.0346]"</t>
  </si>
  <si>
    <t>="[-0.0622</t>
  </si>
  <si>
    <t>="[0.0323</t>
  </si>
  <si>
    <t>0.0513]"</t>
  </si>
  <si>
    <t>="[0.0388</t>
  </si>
  <si>
    <t>0.0608]"</t>
  </si>
  <si>
    <t>0.0416]"</t>
  </si>
  <si>
    <t>0.0350]"</t>
  </si>
  <si>
    <t>0.0268]"</t>
  </si>
  <si>
    <t>="[0.0143</t>
  </si>
  <si>
    <t>0.0193]"</t>
  </si>
  <si>
    <t>0.0208]"</t>
  </si>
  <si>
    <t>="[0.0150</t>
  </si>
  <si>
    <t>0.0220]"</t>
  </si>
  <si>
    <t>="[0.0186</t>
  </si>
  <si>
    <t>="[0.0208</t>
  </si>
  <si>
    <t>0.0257]"</t>
  </si>
  <si>
    <t>="[0.0213</t>
  </si>
  <si>
    <t>="[0.0258</t>
  </si>
  <si>
    <t>0.0306]"</t>
  </si>
  <si>
    <t>0.0332]"</t>
  </si>
  <si>
    <t>="[0.0296</t>
  </si>
  <si>
    <t>0.0347]"</t>
  </si>
  <si>
    <t>="[0.0313</t>
  </si>
  <si>
    <t>0.0366]"</t>
  </si>
  <si>
    <t>0.0390]"</t>
  </si>
  <si>
    <t>="[0.0398</t>
  </si>
  <si>
    <t>="[0.0428</t>
  </si>
  <si>
    <t>0.0495]"</t>
  </si>
  <si>
    <t>0.0524]"</t>
  </si>
  <si>
    <t>="[0.0472</t>
  </si>
  <si>
    <t>0.0565]"</t>
  </si>
  <si>
    <t>0.0585]"</t>
  </si>
  <si>
    <t>="[0.0510</t>
  </si>
  <si>
    <t>0.0580]"</t>
  </si>
  <si>
    <t>="[0.0506</t>
  </si>
  <si>
    <t>0.0576]"</t>
  </si>
  <si>
    <t>0.0583]"</t>
  </si>
  <si>
    <t>="[0.0527</t>
  </si>
  <si>
    <t>="[0.0558</t>
  </si>
  <si>
    <t>0.0630]"</t>
  </si>
  <si>
    <t>="[0.0587</t>
  </si>
  <si>
    <t>0.0663]"</t>
  </si>
  <si>
    <t>0.0704]"</t>
  </si>
  <si>
    <t>="[0.0651</t>
  </si>
  <si>
    <t>0.0735]"</t>
  </si>
  <si>
    <t>="[0.0679</t>
  </si>
  <si>
    <t>="[0.0715</t>
  </si>
  <si>
    <t>="[0.0717</t>
  </si>
  <si>
    <t>0.0805]"</t>
  </si>
  <si>
    <t>="[0.0721</t>
  </si>
  <si>
    <t>0.0809]"</t>
  </si>
  <si>
    <t>0.0815]"</t>
  </si>
  <si>
    <t>="[0.0748</t>
  </si>
  <si>
    <t>0.0837]"</t>
  </si>
  <si>
    <t>="[0.0753</t>
  </si>
  <si>
    <t>0.0842]"</t>
  </si>
  <si>
    <t>0.0858]"</t>
  </si>
  <si>
    <t>="[0.0797</t>
  </si>
  <si>
    <t>="[0.0821</t>
  </si>
  <si>
    <t>0.0918]"</t>
  </si>
  <si>
    <t>0.0949]"</t>
  </si>
  <si>
    <t>="[0.0881</t>
  </si>
  <si>
    <t>0.0985]"</t>
  </si>
  <si>
    <t>="[0.0883</t>
  </si>
  <si>
    <t>0.0988]"</t>
  </si>
  <si>
    <t>="[0.0879</t>
  </si>
  <si>
    <t>0.0984]"</t>
  </si>
  <si>
    <t>="[0.0884</t>
  </si>
  <si>
    <t>0.0989]"</t>
  </si>
  <si>
    <t>="[0.0894</t>
  </si>
  <si>
    <t>0.1000]"</t>
  </si>
  <si>
    <t>="[0.0942</t>
  </si>
  <si>
    <t>0.1054]"</t>
  </si>
  <si>
    <t>0.1089]"</t>
  </si>
  <si>
    <t>="[0.1040</t>
  </si>
  <si>
    <t>0.1163]"</t>
  </si>
  <si>
    <t>="[0.1167</t>
  </si>
  <si>
    <t>0.1308]"</t>
  </si>
  <si>
    <t>="[0.1193</t>
  </si>
  <si>
    <t>0.1338]"</t>
  </si>
  <si>
    <t>="[0.1186</t>
  </si>
  <si>
    <t>="[0.1096</t>
  </si>
  <si>
    <t>0.1230]"</t>
  </si>
  <si>
    <t>="[0.1064</t>
  </si>
  <si>
    <t>0.1195]"</t>
  </si>
  <si>
    <t>="[0.1046</t>
  </si>
  <si>
    <t>0.1177]"</t>
  </si>
  <si>
    <t>="[0.1100</t>
  </si>
  <si>
    <t>="[0.1381</t>
  </si>
  <si>
    <t>0.1556]"</t>
  </si>
  <si>
    <t>="[0.1499</t>
  </si>
  <si>
    <t>0.1691]"</t>
  </si>
  <si>
    <t>="[0.1450</t>
  </si>
  <si>
    <t>0.1637]"</t>
  </si>
  <si>
    <t>="[0.1385</t>
  </si>
  <si>
    <t>0.1568]"</t>
  </si>
  <si>
    <t>="[0.1425</t>
  </si>
  <si>
    <t>0.1618]"</t>
  </si>
  <si>
    <t>="[0.1362</t>
  </si>
  <si>
    <t>0.1549]"</t>
  </si>
  <si>
    <t>="[0.1307</t>
  </si>
  <si>
    <t>0.1490]"</t>
  </si>
  <si>
    <t>="[0.1343</t>
  </si>
  <si>
    <t>0.1532]"</t>
  </si>
  <si>
    <t>="[0.1561</t>
  </si>
  <si>
    <t>0.1785]"</t>
  </si>
  <si>
    <t>="[0.1568</t>
  </si>
  <si>
    <t>0.1798]"</t>
  </si>
  <si>
    <t>="[0.1317</t>
  </si>
  <si>
    <t>0.1515]"</t>
  </si>
  <si>
    <t>="[0.1216</t>
  </si>
  <si>
    <t>="[0.1548</t>
  </si>
  <si>
    <t>0.1790]"</t>
  </si>
  <si>
    <t>="[0.1264</t>
  </si>
  <si>
    <t>0.1465]"</t>
  </si>
  <si>
    <t>="[0.1475</t>
  </si>
  <si>
    <t>0.1718]"</t>
  </si>
  <si>
    <t>="[0.1474</t>
  </si>
  <si>
    <t>0.1729]"</t>
  </si>
  <si>
    <t>="[0.1360</t>
  </si>
  <si>
    <t>0.1609]"</t>
  </si>
  <si>
    <t>="[0.1382</t>
  </si>
  <si>
    <t>="[0.1334</t>
  </si>
  <si>
    <t>="[-0.0755</t>
  </si>
  <si>
    <t>="[-0.1406</t>
  </si>
  <si>
    <t>-0.0881]"</t>
  </si>
  <si>
    <t>="[-0.1618</t>
  </si>
  <si>
    <t>-0.1154]"</t>
  </si>
  <si>
    <t>="[-0.1267</t>
  </si>
  <si>
    <t>-0.0925]"</t>
  </si>
  <si>
    <t>="[-0.1823</t>
  </si>
  <si>
    <t>-0.1440]"</t>
  </si>
  <si>
    <t>="[-0.1261</t>
  </si>
  <si>
    <t>-0.0941]"</t>
  </si>
  <si>
    <t>="[-0.1613</t>
  </si>
  <si>
    <t>-0.1297]"</t>
  </si>
  <si>
    <t>="[-0.1147</t>
  </si>
  <si>
    <t>-0.0854]"</t>
  </si>
  <si>
    <t>="[-0.0899</t>
  </si>
  <si>
    <t>-0.0633]"</t>
  </si>
  <si>
    <t>-0.0939]"</t>
  </si>
  <si>
    <t>="[-0.0847</t>
  </si>
  <si>
    <t>="[-0.0425</t>
  </si>
  <si>
    <t>="[-0.0621</t>
  </si>
  <si>
    <t>-0.0475]"</t>
  </si>
  <si>
    <t>="[-0.0471</t>
  </si>
  <si>
    <t>-0.0339]"</t>
  </si>
  <si>
    <t>-0.0090]"</t>
  </si>
  <si>
    <t>="[-0.0133</t>
  </si>
  <si>
    <t>="[-0.0338</t>
  </si>
  <si>
    <t>-0.0259]"</t>
  </si>
  <si>
    <t>="[-0.0312</t>
  </si>
  <si>
    <t>-0.0233]"</t>
  </si>
  <si>
    <t>="[-0.0382</t>
  </si>
  <si>
    <t>="[-0.0179</t>
  </si>
  <si>
    <t>-0.0098]"</t>
  </si>
  <si>
    <t>="[-0.0223</t>
  </si>
  <si>
    <t>-0.0224]"</t>
  </si>
  <si>
    <t>="[-0.0216</t>
  </si>
  <si>
    <t>-0.0222]"</t>
  </si>
  <si>
    <t>="[-0.0559</t>
  </si>
  <si>
    <t>-0.0462]"</t>
  </si>
  <si>
    <t>="[-0.0634</t>
  </si>
  <si>
    <t>-0.0531]"</t>
  </si>
  <si>
    <t>="[-0.0417</t>
  </si>
  <si>
    <t>-0.0309]"</t>
  </si>
  <si>
    <t>-0.0260]"</t>
  </si>
  <si>
    <t>-0.0406]"</t>
  </si>
  <si>
    <t>-0.0656]"</t>
  </si>
  <si>
    <t>="[-0.0879</t>
  </si>
  <si>
    <t>-0.0767]"</t>
  </si>
  <si>
    <t>="[-0.0726</t>
  </si>
  <si>
    <t>-0.0613]"</t>
  </si>
  <si>
    <t>="[-0.0616</t>
  </si>
  <si>
    <t>-0.0503]"</t>
  </si>
  <si>
    <t>="[-0.0550</t>
  </si>
  <si>
    <t>-0.0436]"</t>
  </si>
  <si>
    <t>="[-0.0456</t>
  </si>
  <si>
    <t>-0.0341]"</t>
  </si>
  <si>
    <t>="[-0.0404</t>
  </si>
  <si>
    <t>-0.0288]"</t>
  </si>
  <si>
    <t>="[-0.0507</t>
  </si>
  <si>
    <t>="[-0.0774</t>
  </si>
  <si>
    <t>-0.0653]"</t>
  </si>
  <si>
    <t>="[-0.0732</t>
  </si>
  <si>
    <t>-0.0608]"</t>
  </si>
  <si>
    <t>="[-0.0777</t>
  </si>
  <si>
    <t>-0.0652]"</t>
  </si>
  <si>
    <t>="[-0.0688</t>
  </si>
  <si>
    <t>-0.0561]"</t>
  </si>
  <si>
    <t>="[-0.0765</t>
  </si>
  <si>
    <t>-0.0636]"</t>
  </si>
  <si>
    <t>-0.0751]"</t>
  </si>
  <si>
    <t>="[-0.1010</t>
  </si>
  <si>
    <t>="[-0.1016</t>
  </si>
  <si>
    <t>-0.0885]"</t>
  </si>
  <si>
    <t>="[-0.0626</t>
  </si>
  <si>
    <t>-0.0491]"</t>
  </si>
  <si>
    <t>="[-0.0862</t>
  </si>
  <si>
    <t>-0.0727]"</t>
  </si>
  <si>
    <t>-0.0711]"</t>
  </si>
  <si>
    <t>="[-0.0938</t>
  </si>
  <si>
    <t>-0.0796]"</t>
  </si>
  <si>
    <t>="[-0.1044</t>
  </si>
  <si>
    <t>-0.0900]"</t>
  </si>
  <si>
    <t>="[-0.0974</t>
  </si>
  <si>
    <t>-0.0826]"</t>
  </si>
  <si>
    <t>="[-0.0868</t>
  </si>
  <si>
    <t>="[-0.1091</t>
  </si>
  <si>
    <t>="[-0.1050</t>
  </si>
  <si>
    <t>-0.0903]"</t>
  </si>
  <si>
    <t>="[-0.0579</t>
  </si>
  <si>
    <t>-0.0434]"</t>
  </si>
  <si>
    <t>-0.0542]"</t>
  </si>
  <si>
    <t>="[-0.0828</t>
  </si>
  <si>
    <t>-0.0683]"</t>
  </si>
  <si>
    <t>="[-0.1181</t>
  </si>
  <si>
    <t>-0.1033]"</t>
  </si>
  <si>
    <t>="[-0.1388</t>
  </si>
  <si>
    <t>-0.1237]"</t>
  </si>
  <si>
    <t>="[-0.1331</t>
  </si>
  <si>
    <t>-0.1166]"</t>
  </si>
  <si>
    <t>-0.0986]"</t>
  </si>
  <si>
    <t>="[-0.1198</t>
  </si>
  <si>
    <t>-0.0994]"</t>
  </si>
  <si>
    <t>="[-0.1343</t>
  </si>
  <si>
    <t>-0.1135]"</t>
  </si>
  <si>
    <t>="[-0.1135</t>
  </si>
  <si>
    <t>-0.0932]"</t>
  </si>
  <si>
    <t>="[-0.1184</t>
  </si>
  <si>
    <t>-0.0989]"</t>
  </si>
  <si>
    <t>-0.1234]"</t>
  </si>
  <si>
    <t>-0.0771]"</t>
  </si>
  <si>
    <t>-0.0759]"</t>
  </si>
  <si>
    <t>="[-0.0814</t>
  </si>
  <si>
    <t>-0.0607]"</t>
  </si>
  <si>
    <t>-0.0795]"</t>
  </si>
  <si>
    <t>="[-0.1518</t>
  </si>
  <si>
    <t>-0.1272]"</t>
  </si>
  <si>
    <t>="[-0.1922</t>
  </si>
  <si>
    <t>-0.1677]"</t>
  </si>
  <si>
    <t>="[-0.1668</t>
  </si>
  <si>
    <t>-0.1410]"</t>
  </si>
  <si>
    <t>="[-0.1520</t>
  </si>
  <si>
    <t>-0.1241]"</t>
  </si>
  <si>
    <t>-0.1245]"</t>
  </si>
  <si>
    <t>="[-0.1444</t>
  </si>
  <si>
    <t>-0.1156]"</t>
  </si>
  <si>
    <t>="[-0.1063</t>
  </si>
  <si>
    <t>="[-0.1526</t>
  </si>
  <si>
    <t>-0.1239]"</t>
  </si>
  <si>
    <t>="[-0.1835</t>
  </si>
  <si>
    <t>-0.1481]"</t>
  </si>
  <si>
    <t>="[-0.1805</t>
  </si>
  <si>
    <t>-0.1430]"</t>
  </si>
  <si>
    <t>="[-0.1717</t>
  </si>
  <si>
    <t>-0.1379]"</t>
  </si>
  <si>
    <t>="[-0.1566</t>
  </si>
  <si>
    <t>-0.1222]"</t>
  </si>
  <si>
    <t>="[-0.1951</t>
  </si>
  <si>
    <t>-0.1468]"</t>
  </si>
  <si>
    <t>="[-0.1688</t>
  </si>
  <si>
    <t>-0.1208]"</t>
  </si>
  <si>
    <t>-0.1186]"</t>
  </si>
  <si>
    <t>="[-0.2011</t>
  </si>
  <si>
    <t>-0.1389]"</t>
  </si>
  <si>
    <t>="[-0.1494</t>
  </si>
  <si>
    <t>-0.0857]"</t>
  </si>
  <si>
    <t>="[-0.2021</t>
  </si>
  <si>
    <t>-0.1139]"</t>
  </si>
  <si>
    <t>="[-0.2187</t>
  </si>
  <si>
    <t>-0.1151]"</t>
  </si>
  <si>
    <t>="[0.0356</t>
  </si>
  <si>
    <t>0.0478]"</t>
  </si>
  <si>
    <t>="[0.0462</t>
  </si>
  <si>
    <t>="[0.0397</t>
  </si>
  <si>
    <t>="[0.0413</t>
  </si>
  <si>
    <t>="[0.0348</t>
  </si>
  <si>
    <t>0.0410]"</t>
  </si>
  <si>
    <t>="[0.0411</t>
  </si>
  <si>
    <t>0.0479]"</t>
  </si>
  <si>
    <t>="[0.0372</t>
  </si>
  <si>
    <t>0.0431]"</t>
  </si>
  <si>
    <t>="[0.0370</t>
  </si>
  <si>
    <t>="[0.0376</t>
  </si>
  <si>
    <t>0.0430]"</t>
  </si>
  <si>
    <t>="[0.0316</t>
  </si>
  <si>
    <t>0.0312]"</t>
  </si>
  <si>
    <t>="[0.0220</t>
  </si>
  <si>
    <t>0.0248]"</t>
  </si>
  <si>
    <t>="[0.0205</t>
  </si>
  <si>
    <t>0.0231]"</t>
  </si>
  <si>
    <t>="[0.0204</t>
  </si>
  <si>
    <t>="[0.0211</t>
  </si>
  <si>
    <t>="[0.0206</t>
  </si>
  <si>
    <t>="[0.0216</t>
  </si>
  <si>
    <t>="[0.0218</t>
  </si>
  <si>
    <t>="[0.0219</t>
  </si>
  <si>
    <t>0.0286]"</t>
  </si>
  <si>
    <t>="[0.0273</t>
  </si>
  <si>
    <t>0.0302]"</t>
  </si>
  <si>
    <t>="[0.0287</t>
  </si>
  <si>
    <t>="[0.0318</t>
  </si>
  <si>
    <t>0.0352]"</t>
  </si>
  <si>
    <t>="[0.0405</t>
  </si>
  <si>
    <t>0.0448]"</t>
  </si>
  <si>
    <t>0.0473]"</t>
  </si>
  <si>
    <t>="[0.0442</t>
  </si>
  <si>
    <t>0.0505]"</t>
  </si>
  <si>
    <t>="[0.0469</t>
  </si>
  <si>
    <t>="[0.0466</t>
  </si>
  <si>
    <t>0.0515]"</t>
  </si>
  <si>
    <t>="[0.0468</t>
  </si>
  <si>
    <t>="[0.0474</t>
  </si>
  <si>
    <t>="[0.0507</t>
  </si>
  <si>
    <t>0.0561]"</t>
  </si>
  <si>
    <t>="[0.0537</t>
  </si>
  <si>
    <t>="[0.0571</t>
  </si>
  <si>
    <t>0.0633]"</t>
  </si>
  <si>
    <t>="[0.0594</t>
  </si>
  <si>
    <t>0.0658]"</t>
  </si>
  <si>
    <t>0.0682]"</t>
  </si>
  <si>
    <t>0.0706]"</t>
  </si>
  <si>
    <t>="[0.0647</t>
  </si>
  <si>
    <t>0.0718]"</t>
  </si>
  <si>
    <t>="[0.0650</t>
  </si>
  <si>
    <t>="[0.0665</t>
  </si>
  <si>
    <t>="[0.0685</t>
  </si>
  <si>
    <t>0.0762]"</t>
  </si>
  <si>
    <t>="[0.0710</t>
  </si>
  <si>
    <t>0.0789]"</t>
  </si>
  <si>
    <t>="[0.0751</t>
  </si>
  <si>
    <t>="[0.0764</t>
  </si>
  <si>
    <t>0.0851]"</t>
  </si>
  <si>
    <t>="[0.0780</t>
  </si>
  <si>
    <t>0.0869]"</t>
  </si>
  <si>
    <t>="[0.0790</t>
  </si>
  <si>
    <t>0.0880]"</t>
  </si>
  <si>
    <t>="[0.0793</t>
  </si>
  <si>
    <t>="[0.0791</t>
  </si>
  <si>
    <t>0.0882]"</t>
  </si>
  <si>
    <t>0.0887]"</t>
  </si>
  <si>
    <t>="[0.0843</t>
  </si>
  <si>
    <t>0.0942]"</t>
  </si>
  <si>
    <t>0.0980]"</t>
  </si>
  <si>
    <t>="[0.0934</t>
  </si>
  <si>
    <t>0.1044]"</t>
  </si>
  <si>
    <t>="[0.1062</t>
  </si>
  <si>
    <t>0.1189]"</t>
  </si>
  <si>
    <t>="[0.1084</t>
  </si>
  <si>
    <t>0.1214]"</t>
  </si>
  <si>
    <t>="[0.1072</t>
  </si>
  <si>
    <t>0.1202]"</t>
  </si>
  <si>
    <t>="[0.0992</t>
  </si>
  <si>
    <t>="[0.0966</t>
  </si>
  <si>
    <t>0.1084]"</t>
  </si>
  <si>
    <t>="[0.0959</t>
  </si>
  <si>
    <t>0.1077]"</t>
  </si>
  <si>
    <t>="[0.1008</t>
  </si>
  <si>
    <t>0.1133]"</t>
  </si>
  <si>
    <t>="[0.1271</t>
  </si>
  <si>
    <t>0.1430]"</t>
  </si>
  <si>
    <t>="[0.1344</t>
  </si>
  <si>
    <t>="[0.1293</t>
  </si>
  <si>
    <t>0.1459]"</t>
  </si>
  <si>
    <t>="[0.1295</t>
  </si>
  <si>
    <t>0.1463]"</t>
  </si>
  <si>
    <t>0.1524]"</t>
  </si>
  <si>
    <t>="[0.1297</t>
  </si>
  <si>
    <t>0.1468]"</t>
  </si>
  <si>
    <t>="[0.1254</t>
  </si>
  <si>
    <t>0.1421]"</t>
  </si>
  <si>
    <t>="[0.1285</t>
  </si>
  <si>
    <t>="[0.1513</t>
  </si>
  <si>
    <t>="[0.1531</t>
  </si>
  <si>
    <t>0.1742]"</t>
  </si>
  <si>
    <t>0.1476]"</t>
  </si>
  <si>
    <t>="[0.1210</t>
  </si>
  <si>
    <t>0.1380]"</t>
  </si>
  <si>
    <t>0.1775]"</t>
  </si>
  <si>
    <t>="[0.1273</t>
  </si>
  <si>
    <t>="[0.1496</t>
  </si>
  <si>
    <t>0.1719]"</t>
  </si>
  <si>
    <t>="[0.1522</t>
  </si>
  <si>
    <t>0.1757]"</t>
  </si>
  <si>
    <t>="[0.1411</t>
  </si>
  <si>
    <t>0.1640]"</t>
  </si>
  <si>
    <t>="[0.1409</t>
  </si>
  <si>
    <t>0.1657]"</t>
  </si>
  <si>
    <t>="[0.1342</t>
  </si>
  <si>
    <t>0.1634]"</t>
  </si>
  <si>
    <t>0.0075]"</t>
  </si>
  <si>
    <t>0.0102]"</t>
  </si>
  <si>
    <t>="[0.0088</t>
  </si>
  <si>
    <t>0.0129]"</t>
  </si>
  <si>
    <t>="[0.0101</t>
  </si>
  <si>
    <t>="[0.0111</t>
  </si>
  <si>
    <t>="[0.0113</t>
  </si>
  <si>
    <t>="[0.0099</t>
  </si>
  <si>
    <t>0.0179]"</t>
  </si>
  <si>
    <t>="[0.0118</t>
  </si>
  <si>
    <t>0.0214]"</t>
  </si>
  <si>
    <t>="[0.0147</t>
  </si>
  <si>
    <t>="[0.0151</t>
  </si>
  <si>
    <t>0.0219]"</t>
  </si>
  <si>
    <t>="[-0.0073</t>
  </si>
  <si>
    <t>-0.0041]"</t>
  </si>
  <si>
    <t>-0.0042]"</t>
  </si>
  <si>
    <t>="[-0.0292</t>
  </si>
  <si>
    <t>-0.0227]"</t>
  </si>
  <si>
    <t>-0.0296]"</t>
  </si>
  <si>
    <t>-0.0316]"</t>
  </si>
  <si>
    <t>-0.0273]"</t>
  </si>
  <si>
    <t>="[-0.0408</t>
  </si>
  <si>
    <t>-0.0327]"</t>
  </si>
  <si>
    <t>-0.0300]"</t>
  </si>
  <si>
    <t>="[-0.0368</t>
  </si>
  <si>
    <t>-0.0295]"</t>
  </si>
  <si>
    <t>-0.0235]"</t>
  </si>
  <si>
    <t>-0.0194]"</t>
  </si>
  <si>
    <t>-0.0146]"</t>
  </si>
  <si>
    <t>-0.0122]"</t>
  </si>
  <si>
    <t>="[-0.0138</t>
  </si>
  <si>
    <t>="[-0.0119</t>
  </si>
  <si>
    <t>-0.0095]"</t>
  </si>
  <si>
    <t>-0.0086]"</t>
  </si>
  <si>
    <t>="[-0.0101</t>
  </si>
  <si>
    <t>-0.0072]"</t>
  </si>
  <si>
    <t>-0.0066]"</t>
  </si>
  <si>
    <t>-0.0049]"</t>
  </si>
  <si>
    <t>="[-0.0041</t>
  </si>
  <si>
    <t>="[0.0110</t>
  </si>
  <si>
    <t>="[0.0058</t>
  </si>
  <si>
    <t>="[-0.0089</t>
  </si>
  <si>
    <t>="[-0.0098</t>
  </si>
  <si>
    <t>="[-0.0120</t>
  </si>
  <si>
    <t>="[-0.7509</t>
  </si>
  <si>
    <t>="[-0.1137</t>
  </si>
  <si>
    <t>0.5974]"</t>
  </si>
  <si>
    <t>="[0.4641</t>
  </si>
  <si>
    <t>1.0752]"</t>
  </si>
  <si>
    <t>="[-0.1403</t>
  </si>
  <si>
    <t>0.2595]"</t>
  </si>
  <si>
    <t>="[0.7913</t>
  </si>
  <si>
    <t>1.2598]"</t>
  </si>
  <si>
    <t>="[0.1780</t>
  </si>
  <si>
    <t>0.5333]"</t>
  </si>
  <si>
    <t>="[0.4833</t>
  </si>
  <si>
    <t>0.8276]"</t>
  </si>
  <si>
    <t>="[0.3660</t>
  </si>
  <si>
    <t>0.6637]"</t>
  </si>
  <si>
    <t>="[0.2451</t>
  </si>
  <si>
    <t>0.5023]"</t>
  </si>
  <si>
    <t>="[0.4743</t>
  </si>
  <si>
    <t>0.7145]"</t>
  </si>
  <si>
    <t>="[0.4701</t>
  </si>
  <si>
    <t>0.6790]"</t>
  </si>
  <si>
    <t>="[0.2416</t>
  </si>
  <si>
    <t>0.3785]"</t>
  </si>
  <si>
    <t>="[0.2914</t>
  </si>
  <si>
    <t>0.4216]"</t>
  </si>
  <si>
    <t>="[0.2414</t>
  </si>
  <si>
    <t>0.3559]"</t>
  </si>
  <si>
    <t>="[0.1858</t>
  </si>
  <si>
    <t>0.2878]"</t>
  </si>
  <si>
    <t>0.2493]"</t>
  </si>
  <si>
    <t>="[0.0998</t>
  </si>
  <si>
    <t>0.1794]"</t>
  </si>
  <si>
    <t>0.0798]"</t>
  </si>
  <si>
    <t>0.0867]"</t>
  </si>
  <si>
    <t>0.0529]"</t>
  </si>
  <si>
    <t>0.0694]"</t>
  </si>
  <si>
    <t>0.0456]"</t>
  </si>
  <si>
    <t>0.0439]"</t>
  </si>
  <si>
    <t>="[-0.0148</t>
  </si>
  <si>
    <t>="[-0.0197</t>
  </si>
  <si>
    <t>0.0392]"</t>
  </si>
  <si>
    <t>="[-0.0449</t>
  </si>
  <si>
    <t>="[-0.0367</t>
  </si>
  <si>
    <t>="[-0.0265</t>
  </si>
  <si>
    <t>0.0428]"</t>
  </si>
  <si>
    <t>0.0389]"</t>
  </si>
  <si>
    <t>="[-0.0343</t>
  </si>
  <si>
    <t>="[-0.0220</t>
  </si>
  <si>
    <t>0.0465]"</t>
  </si>
  <si>
    <t>0.0632]"</t>
  </si>
  <si>
    <t>0.0563]"</t>
  </si>
  <si>
    <t>="[-0.0109</t>
  </si>
  <si>
    <t>0.0568]"</t>
  </si>
  <si>
    <t>="[-0.0821</t>
  </si>
  <si>
    <t>="[-0.0939</t>
  </si>
  <si>
    <t>="[-0.0843</t>
  </si>
  <si>
    <t>="[-0.0401</t>
  </si>
  <si>
    <t>0.0334]"</t>
  </si>
  <si>
    <t>="[-0.0454</t>
  </si>
  <si>
    <t>0.0327]"</t>
  </si>
  <si>
    <t>="[-0.0430</t>
  </si>
  <si>
    <t>="[-0.0595</t>
  </si>
  <si>
    <t>="[-0.0778</t>
  </si>
  <si>
    <t>="[-0.0972</t>
  </si>
  <si>
    <t>-0.0238]"</t>
  </si>
  <si>
    <t>="[-0.1066</t>
  </si>
  <si>
    <t>-0.0347]"</t>
  </si>
  <si>
    <t>="[-0.1150</t>
  </si>
  <si>
    <t>="[-0.1126</t>
  </si>
  <si>
    <t>-0.0438]"</t>
  </si>
  <si>
    <t>="[-0.1515</t>
  </si>
  <si>
    <t>-0.0820]"</t>
  </si>
  <si>
    <t>="[-0.1827</t>
  </si>
  <si>
    <t>-0.1131]"</t>
  </si>
  <si>
    <t>="[-0.1771</t>
  </si>
  <si>
    <t>="[-0.0907</t>
  </si>
  <si>
    <t>="[-0.0766</t>
  </si>
  <si>
    <t>="[-0.1180</t>
  </si>
  <si>
    <t>-0.0270]"</t>
  </si>
  <si>
    <t>="[-0.0744</t>
  </si>
  <si>
    <t>="[-0.0564</t>
  </si>
  <si>
    <t>="[-0.0645</t>
  </si>
  <si>
    <t>="[-0.1038</t>
  </si>
  <si>
    <t>="[-0.2851</t>
  </si>
  <si>
    <t>-0.1885]"</t>
  </si>
  <si>
    <t>="[-0.3689</t>
  </si>
  <si>
    <t>-0.2697]"</t>
  </si>
  <si>
    <t>="[-0.3512</t>
  </si>
  <si>
    <t>-0.2539]"</t>
  </si>
  <si>
    <t>="[-0.2307</t>
  </si>
  <si>
    <t>-0.1352]"</t>
  </si>
  <si>
    <t>="[-0.1569</t>
  </si>
  <si>
    <t>-0.0559]"</t>
  </si>
  <si>
    <t>="[-0.1563</t>
  </si>
  <si>
    <t>-0.0476]"</t>
  </si>
  <si>
    <t>="[-0.2003</t>
  </si>
  <si>
    <t>-0.0992]"</t>
  </si>
  <si>
    <t>="[-0.2304</t>
  </si>
  <si>
    <t>-0.1349]"</t>
  </si>
  <si>
    <t>="[-0.2916</t>
  </si>
  <si>
    <t>-0.1978]"</t>
  </si>
  <si>
    <t>="[-0.3521</t>
  </si>
  <si>
    <t>-0.2361]"</t>
  </si>
  <si>
    <t>="[-0.3696</t>
  </si>
  <si>
    <t>-0.2475]"</t>
  </si>
  <si>
    <t>="[-0.2834</t>
  </si>
  <si>
    <t>-0.1722]"</t>
  </si>
  <si>
    <t>="[-0.2718</t>
  </si>
  <si>
    <t>-0.1585]"</t>
  </si>
  <si>
    <t>="[-0.3199</t>
  </si>
  <si>
    <t>-0.1604]"</t>
  </si>
  <si>
    <t>="[-0.1974</t>
  </si>
  <si>
    <t>-0.0340]"</t>
  </si>
  <si>
    <t>="[-0.3284</t>
  </si>
  <si>
    <t>-0.1493]"</t>
  </si>
  <si>
    <t>="[-0.3772</t>
  </si>
  <si>
    <t>-0.1893]"</t>
  </si>
  <si>
    <t>="[-0.4208</t>
  </si>
  <si>
    <t>-0.2176]"</t>
  </si>
  <si>
    <t>="[-0.3718</t>
  </si>
  <si>
    <t>="[-0.3896</t>
  </si>
  <si>
    <t>-0.1587]"</t>
  </si>
  <si>
    <t>="[-0.2562</t>
  </si>
  <si>
    <t>="[-0.2714</t>
  </si>
  <si>
    <t>="[-0.0890</t>
  </si>
  <si>
    <t>="[-0.2309</t>
  </si>
  <si>
    <t>-0.0494]"</t>
  </si>
  <si>
    <t>="[0.0322</t>
  </si>
  <si>
    <t>0.2284]"</t>
  </si>
  <si>
    <t>="[-0.1508</t>
  </si>
  <si>
    <t>0.1485]"</t>
  </si>
  <si>
    <t>0.1641]"</t>
  </si>
  <si>
    <t>="[-0.0412</t>
  </si>
  <si>
    <t>="[0.0746</t>
  </si>
  <si>
    <t>="[0.1280</t>
  </si>
  <si>
    <t>0.2516]"</t>
  </si>
  <si>
    <t>="[0.0552</t>
  </si>
  <si>
    <t>0.1355]"</t>
  </si>
  <si>
    <t>="[0.1035</t>
  </si>
  <si>
    <t>0.1812]"</t>
  </si>
  <si>
    <t>="[0.0828</t>
  </si>
  <si>
    <t>="[0.0467</t>
  </si>
  <si>
    <t>0.1095]"</t>
  </si>
  <si>
    <t>="[0.0308</t>
  </si>
  <si>
    <t>0.0569]"</t>
  </si>
  <si>
    <t>="[-0.0165</t>
  </si>
  <si>
    <t>="[-0.0231</t>
  </si>
  <si>
    <t>="[-0.0199</t>
  </si>
  <si>
    <t>0.0348]"</t>
  </si>
  <si>
    <t>0.0422]"</t>
  </si>
  <si>
    <t>0.0385]"</t>
  </si>
  <si>
    <t>0.0514]"</t>
  </si>
  <si>
    <t>0.0861]"</t>
  </si>
  <si>
    <t>="[0.0391</t>
  </si>
  <si>
    <t>0.0889]"</t>
  </si>
  <si>
    <t>0.0855]"</t>
  </si>
  <si>
    <t>0.0831]"</t>
  </si>
  <si>
    <t>="[-0.0414</t>
  </si>
  <si>
    <t>="[-0.0484</t>
  </si>
  <si>
    <t>="[-0.0279</t>
  </si>
  <si>
    <t>0.0636]"</t>
  </si>
  <si>
    <t>0.0761]"</t>
  </si>
  <si>
    <t>="[0.0331</t>
  </si>
  <si>
    <t>0.0872]"</t>
  </si>
  <si>
    <t>="[0.0228</t>
  </si>
  <si>
    <t>="[0.0337</t>
  </si>
  <si>
    <t>0.0929]"</t>
  </si>
  <si>
    <t>0.0890]"</t>
  </si>
  <si>
    <t>0.0669]"</t>
  </si>
  <si>
    <t>0.0444]"</t>
  </si>
  <si>
    <t>0.0393]"</t>
  </si>
  <si>
    <t>="[-0.0170</t>
  </si>
  <si>
    <t>0.0371]"</t>
  </si>
  <si>
    <t>="[-0.0496</t>
  </si>
  <si>
    <t>-0.0215]"</t>
  </si>
  <si>
    <t>="[-0.0548</t>
  </si>
  <si>
    <t>="[0.0616</t>
  </si>
  <si>
    <t>0.1287]"</t>
  </si>
  <si>
    <t>="[0.0915</t>
  </si>
  <si>
    <t>0.1648]"</t>
  </si>
  <si>
    <t>="[0.0709</t>
  </si>
  <si>
    <t>0.1450]"</t>
  </si>
  <si>
    <t>="[0.0631</t>
  </si>
  <si>
    <t>="[0.0967</t>
  </si>
  <si>
    <t>0.1642]"</t>
  </si>
  <si>
    <t>="[0.0919</t>
  </si>
  <si>
    <t>0.1583]"</t>
  </si>
  <si>
    <t>="[0.1189</t>
  </si>
  <si>
    <t>0.1871]"</t>
  </si>
  <si>
    <t>="[0.1147</t>
  </si>
  <si>
    <t>0.1838]"</t>
  </si>
  <si>
    <t>="[0.0670</t>
  </si>
  <si>
    <t>0.1371]"</t>
  </si>
  <si>
    <t>="[-0.0827</t>
  </si>
  <si>
    <t>="[-0.1370</t>
  </si>
  <si>
    <t>-0.0581]"</t>
  </si>
  <si>
    <t>="[-0.1169</t>
  </si>
  <si>
    <t>-0.0390]"</t>
  </si>
  <si>
    <t>="[-0.0145</t>
  </si>
  <si>
    <t>0.0680]"</t>
  </si>
  <si>
    <t>="[0.0737</t>
  </si>
  <si>
    <t>0.1633]"</t>
  </si>
  <si>
    <t>="[0.1058</t>
  </si>
  <si>
    <t>0.2016]"</t>
  </si>
  <si>
    <t>="[0.0662</t>
  </si>
  <si>
    <t>0.1560]"</t>
  </si>
  <si>
    <t>="[0.0199</t>
  </si>
  <si>
    <t>0.1053]"</t>
  </si>
  <si>
    <t>0.0497]"</t>
  </si>
  <si>
    <t>0.0659]"</t>
  </si>
  <si>
    <t>0.0848]"</t>
  </si>
  <si>
    <t>="[0.0660</t>
  </si>
  <si>
    <t>0.1922]"</t>
  </si>
  <si>
    <t>="[0.1642</t>
  </si>
  <si>
    <t>0.2861]"</t>
  </si>
  <si>
    <t>="[0.0713</t>
  </si>
  <si>
    <t>0.2093]"</t>
  </si>
  <si>
    <t>0.1064]"</t>
  </si>
  <si>
    <t>="[-0.0806</t>
  </si>
  <si>
    <t>="[0.0302</t>
  </si>
  <si>
    <t>0.2159]"</t>
  </si>
  <si>
    <t>="[-0.1467</t>
  </si>
  <si>
    <t>0.1139]"</t>
  </si>
  <si>
    <t>0.1124]"</t>
  </si>
  <si>
    <t>="[0.0436</t>
  </si>
  <si>
    <t>="[-0.0495</t>
  </si>
  <si>
    <t>0.0368]"</t>
  </si>
  <si>
    <t>="[-0.0226</t>
  </si>
  <si>
    <t>="[-0.0345</t>
  </si>
  <si>
    <t>-0.0159]"</t>
  </si>
  <si>
    <t>-0.0085]"</t>
  </si>
  <si>
    <t>0.0258]"</t>
  </si>
  <si>
    <t>0.0211]"</t>
  </si>
  <si>
    <t>0.0205]"</t>
  </si>
  <si>
    <t>0.0196]"</t>
  </si>
  <si>
    <t>0.0292]"</t>
  </si>
  <si>
    <t>="[0.0229</t>
  </si>
  <si>
    <t>="[0.0237</t>
  </si>
  <si>
    <t>="[0.0222</t>
  </si>
  <si>
    <t>="[0.0202</t>
  </si>
  <si>
    <t>="[0.0130</t>
  </si>
  <si>
    <t>0.0198]"</t>
  </si>
  <si>
    <t>0.0382]"</t>
  </si>
  <si>
    <t>="[-0.0154</t>
  </si>
  <si>
    <t>0.0418]"</t>
  </si>
  <si>
    <t>="[0.0298</t>
  </si>
  <si>
    <t>0.0359]"</t>
  </si>
  <si>
    <t>="[-0.0187</t>
  </si>
  <si>
    <t>="[-0.0488</t>
  </si>
  <si>
    <t>="[-0.0803</t>
  </si>
  <si>
    <t>-0.0305]"</t>
  </si>
  <si>
    <t>="[-0.0588</t>
  </si>
  <si>
    <t>="[-0.0848</t>
  </si>
  <si>
    <t>="[-0.0374</t>
  </si>
  <si>
    <t>="[-0.0186</t>
  </si>
  <si>
    <t>0.0104]"</t>
  </si>
  <si>
    <t>="[-0.0065</t>
  </si>
  <si>
    <t>="[-0.0116</t>
  </si>
  <si>
    <t>="[-0.0143</t>
  </si>
  <si>
    <t>="[-0.0095</t>
  </si>
  <si>
    <t>="[-0.0126</t>
  </si>
  <si>
    <t>-0.0052]"</t>
  </si>
  <si>
    <t>-0.0067]"</t>
  </si>
  <si>
    <t>-0.0064]"</t>
  </si>
  <si>
    <t>-0.0058]"</t>
  </si>
  <si>
    <t>-0.0084]"</t>
  </si>
  <si>
    <t>="[-0.0255</t>
  </si>
  <si>
    <t>="[-0.0201</t>
  </si>
  <si>
    <t>="[-0.0284</t>
  </si>
  <si>
    <t>-0.0108]"</t>
  </si>
  <si>
    <t>="[-0.0310</t>
  </si>
  <si>
    <t>-0.0060]"</t>
  </si>
  <si>
    <t>-0.0115]"</t>
  </si>
  <si>
    <t>-0.0107]"</t>
  </si>
  <si>
    <t>="[-0.0422</t>
  </si>
  <si>
    <t>-0.0181]"</t>
  </si>
  <si>
    <t>="[-0.0118</t>
  </si>
  <si>
    <t>="[-0.0479</t>
  </si>
  <si>
    <t>="[-0.0384</t>
  </si>
  <si>
    <t>-0.0071]"</t>
  </si>
  <si>
    <t>="[-0.0222</t>
  </si>
  <si>
    <t>="[-0.0681</t>
  </si>
  <si>
    <t>-0.0202]"</t>
  </si>
  <si>
    <t>="[-0.0453</t>
  </si>
  <si>
    <t>="[-0.0264</t>
  </si>
  <si>
    <t>="[-0.0704</t>
  </si>
  <si>
    <t>="[-0.0301</t>
  </si>
  <si>
    <t>0.0581]"</t>
  </si>
  <si>
    <t>0.0488]"</t>
  </si>
  <si>
    <t>0.0313]"</t>
  </si>
  <si>
    <t>="[-0.0268</t>
  </si>
  <si>
    <t>-0.0076]"</t>
  </si>
  <si>
    <t>="[-0.0135</t>
  </si>
  <si>
    <t>="[-0.1661</t>
  </si>
  <si>
    <t>-0.1124]"</t>
  </si>
  <si>
    <t>="[-0.1538</t>
  </si>
  <si>
    <t>-0.0975]"</t>
  </si>
  <si>
    <t>="[-0.0185</t>
  </si>
  <si>
    <t>="[-0.1671</t>
  </si>
  <si>
    <t>-0.1287]"</t>
  </si>
  <si>
    <t>="[0.1086</t>
  </si>
  <si>
    <t>0.1511]"</t>
  </si>
  <si>
    <t>-0.0448]"</t>
  </si>
  <si>
    <t>="[0.0336</t>
  </si>
  <si>
    <t>0.1562]"</t>
  </si>
  <si>
    <t>="[0.1676</t>
  </si>
  <si>
    <t>0.1952]"</t>
  </si>
  <si>
    <t>="[0.0838</t>
  </si>
  <si>
    <t>="[0.1347</t>
  </si>
  <si>
    <t>0.1530]"</t>
  </si>
  <si>
    <t>="[0.1296</t>
  </si>
  <si>
    <t>0.1278]"</t>
  </si>
  <si>
    <t>="[0.0806</t>
  </si>
  <si>
    <t>="[0.0598</t>
  </si>
  <si>
    <t>0.0442]"</t>
  </si>
  <si>
    <t>="[0.0292</t>
  </si>
  <si>
    <t>0.0402]"</t>
  </si>
  <si>
    <t>="[0.0378</t>
  </si>
  <si>
    <t>0.0482]"</t>
  </si>
  <si>
    <t>0.0468]"</t>
  </si>
  <si>
    <t>="[0.0312</t>
  </si>
  <si>
    <t>0.0421]"</t>
  </si>
  <si>
    <t>0.0374]"</t>
  </si>
  <si>
    <t>0.0455]"</t>
  </si>
  <si>
    <t>0.0323]"</t>
  </si>
  <si>
    <t>="[0.0182</t>
  </si>
  <si>
    <t>0.0320]"</t>
  </si>
  <si>
    <t>="[0.0191</t>
  </si>
  <si>
    <t>="[0.0234</t>
  </si>
  <si>
    <t>="[0.0293</t>
  </si>
  <si>
    <t>0.0436]"</t>
  </si>
  <si>
    <t>0.0379]"</t>
  </si>
  <si>
    <t>0.0298]"</t>
  </si>
  <si>
    <t>0.0355]"</t>
  </si>
  <si>
    <t>="[0.0179</t>
  </si>
  <si>
    <t>0.0353]"</t>
  </si>
  <si>
    <t>="[0.0112</t>
  </si>
  <si>
    <t>="[0.0159</t>
  </si>
  <si>
    <t>0.0466]"</t>
  </si>
  <si>
    <t>="[0.0244</t>
  </si>
  <si>
    <t>="[0.0290</t>
  </si>
  <si>
    <t>0.0521]"</t>
  </si>
  <si>
    <t>="[0.0119</t>
  </si>
  <si>
    <t>0.0349]"</t>
  </si>
  <si>
    <t>0.0315]"</t>
  </si>
  <si>
    <t>="[-0.0136</t>
  </si>
  <si>
    <t>0.0625]"</t>
  </si>
  <si>
    <t>0.0671]"</t>
  </si>
  <si>
    <t>0.0261]"</t>
  </si>
  <si>
    <t>-0.0065]"</t>
  </si>
  <si>
    <t>0.0108]"</t>
  </si>
  <si>
    <t>-0.0054]"</t>
  </si>
  <si>
    <t>0.0210]"</t>
  </si>
  <si>
    <t>0.0542]"</t>
  </si>
  <si>
    <t>0.0605]"</t>
  </si>
  <si>
    <t>="[-0.3171</t>
  </si>
  <si>
    <t>="[-0.2041</t>
  </si>
  <si>
    <t>="[-0.1371</t>
  </si>
  <si>
    <t>0.0849]"</t>
  </si>
  <si>
    <t>="[-0.0894</t>
  </si>
  <si>
    <t>0.1539]"</t>
  </si>
  <si>
    <t>="[-0.0572</t>
  </si>
  <si>
    <t>0.1406]"</t>
  </si>
  <si>
    <t>0.1318]"</t>
  </si>
  <si>
    <t>="[-0.0705</t>
  </si>
  <si>
    <t>="[-0.0598</t>
  </si>
  <si>
    <t>="[-0.0525</t>
  </si>
  <si>
    <t>0.0755]"</t>
  </si>
  <si>
    <t>="[-0.0142</t>
  </si>
  <si>
    <t>0.0535]"</t>
  </si>
  <si>
    <t>0.0445]"</t>
  </si>
  <si>
    <t>0.0362]"</t>
  </si>
  <si>
    <t>="[-0.0288</t>
  </si>
  <si>
    <t>="[-0.0249</t>
  </si>
  <si>
    <t>="[-0.0243</t>
  </si>
  <si>
    <t>="[-0.0236</t>
  </si>
  <si>
    <t>0.0449]"</t>
  </si>
  <si>
    <t>="[-0.0203</t>
  </si>
  <si>
    <t>0.0458]"</t>
  </si>
  <si>
    <t>0.0500]"</t>
  </si>
  <si>
    <t>0.0544]"</t>
  </si>
  <si>
    <t>="[-0.0543</t>
  </si>
  <si>
    <t>="[-0.0567</t>
  </si>
  <si>
    <t>="[-0.0612</t>
  </si>
  <si>
    <t>="[-0.0642</t>
  </si>
  <si>
    <t>="[-0.0636</t>
  </si>
  <si>
    <t>="[-0.0601</t>
  </si>
  <si>
    <t>="[-0.0603</t>
  </si>
  <si>
    <t>="[-0.0599</t>
  </si>
  <si>
    <t>="[-0.0593</t>
  </si>
  <si>
    <t>="[-0.0701</t>
  </si>
  <si>
    <t>="[-0.0772</t>
  </si>
  <si>
    <t>0.0361]"</t>
  </si>
  <si>
    <t>="[-0.0799</t>
  </si>
  <si>
    <t>="[-0.0783</t>
  </si>
  <si>
    <t>="[-0.0536</t>
  </si>
  <si>
    <t>0.0475]"</t>
  </si>
  <si>
    <t>="[-0.0526</t>
  </si>
  <si>
    <t>0.0550]"</t>
  </si>
  <si>
    <t>="[-0.0675</t>
  </si>
  <si>
    <t>0.0620]"</t>
  </si>
  <si>
    <t>="[-0.0694</t>
  </si>
  <si>
    <t>="[-0.0739</t>
  </si>
  <si>
    <t>0.0677]"</t>
  </si>
  <si>
    <t>="[-0.0893</t>
  </si>
  <si>
    <t>0.0731]"</t>
  </si>
  <si>
    <t>="[-0.0838</t>
  </si>
  <si>
    <t>0.0773]"</t>
  </si>
  <si>
    <t>="[-0.0882</t>
  </si>
  <si>
    <t>="[-0.1149</t>
  </si>
  <si>
    <t>0.1256]"</t>
  </si>
  <si>
    <t>="[-0.1080</t>
  </si>
  <si>
    <t>0.1213]"</t>
  </si>
  <si>
    <t>0.1321]"</t>
  </si>
  <si>
    <t>="[-0.1629</t>
  </si>
  <si>
    <t>0.1986]"</t>
  </si>
  <si>
    <t>="[-0.0965</t>
  </si>
  <si>
    <t>0.1331]"</t>
  </si>
  <si>
    <t>="[-0.1381</t>
  </si>
  <si>
    <t>-0.0094]"</t>
  </si>
  <si>
    <t>="[-0.1459</t>
  </si>
  <si>
    <t>="[-0.1297</t>
  </si>
  <si>
    <t>="[-0.1413</t>
  </si>
  <si>
    <t>0.8371]"</t>
  </si>
  <si>
    <t>="[-0.5910</t>
  </si>
  <si>
    <t>0.3072]"</t>
  </si>
  <si>
    <t>="[-1.2982</t>
  </si>
  <si>
    <t>-0.5578]"</t>
  </si>
  <si>
    <t>="[-0.2159</t>
  </si>
  <si>
    <t>0.2917]"</t>
  </si>
  <si>
    <t>="[-1.7484</t>
  </si>
  <si>
    <t>-1.1670]"</t>
  </si>
  <si>
    <t>="[-0.6626</t>
  </si>
  <si>
    <t>-0.2069]"</t>
  </si>
  <si>
    <t>="[-1.1892</t>
  </si>
  <si>
    <t>-0.7513]"</t>
  </si>
  <si>
    <t>="[-0.9582</t>
  </si>
  <si>
    <t>-0.5532]"</t>
  </si>
  <si>
    <t>="[-0.7104</t>
  </si>
  <si>
    <t>-0.3583]"</t>
  </si>
  <si>
    <t>="[-1.1405</t>
  </si>
  <si>
    <t>-0.8142]"</t>
  </si>
  <si>
    <t>="[-1.1575</t>
  </si>
  <si>
    <t>-0.8684]"</t>
  </si>
  <si>
    <t>="[-0.6260</t>
  </si>
  <si>
    <t>-0.4378]"</t>
  </si>
  <si>
    <t>="[-0.8020</t>
  </si>
  <si>
    <t>-0.6219]"</t>
  </si>
  <si>
    <t>="[-0.6815</t>
  </si>
  <si>
    <t>-0.5220]"</t>
  </si>
  <si>
    <t>="[-0.5373</t>
  </si>
  <si>
    <t>-0.3945]"</t>
  </si>
  <si>
    <t>="[-0.4430</t>
  </si>
  <si>
    <t>-0.3133]"</t>
  </si>
  <si>
    <t>="[-0.3217</t>
  </si>
  <si>
    <t>-0.2091]"</t>
  </si>
  <si>
    <t>="[-0.2752</t>
  </si>
  <si>
    <t>-0.1693]"</t>
  </si>
  <si>
    <t>="[-0.1725</t>
  </si>
  <si>
    <t>-0.0764]"</t>
  </si>
  <si>
    <t>="[-0.1625</t>
  </si>
  <si>
    <t>="[-0.1782</t>
  </si>
  <si>
    <t>-0.0866]"</t>
  </si>
  <si>
    <t>="[-0.1021</t>
  </si>
  <si>
    <t>="[-0.1340</t>
  </si>
  <si>
    <t>="[-0.1785</t>
  </si>
  <si>
    <t>-0.0958]"</t>
  </si>
  <si>
    <t>="[-0.1902</t>
  </si>
  <si>
    <t>-0.1075]"</t>
  </si>
  <si>
    <t>="[-0.1755</t>
  </si>
  <si>
    <t>-0.0935]"</t>
  </si>
  <si>
    <t>="[-0.1524</t>
  </si>
  <si>
    <t>-0.0701]"</t>
  </si>
  <si>
    <t>="[-0.1561</t>
  </si>
  <si>
    <t>-0.0731]"</t>
  </si>
  <si>
    <t>="[-0.1507</t>
  </si>
  <si>
    <t>-0.0666]"</t>
  </si>
  <si>
    <t>="[-0.1427</t>
  </si>
  <si>
    <t>-0.0569]"</t>
  </si>
  <si>
    <t>="[-0.1665</t>
  </si>
  <si>
    <t>-0.0773]"</t>
  </si>
  <si>
    <t>="[-0.1692</t>
  </si>
  <si>
    <t>-0.0774]"</t>
  </si>
  <si>
    <t>-0.0725]"</t>
  </si>
  <si>
    <t>="[-0.1616</t>
  </si>
  <si>
    <t>-0.0609]"</t>
  </si>
  <si>
    <t>="[-0.1681</t>
  </si>
  <si>
    <t>="[-0.1635</t>
  </si>
  <si>
    <t>-0.0577]"</t>
  </si>
  <si>
    <t>-0.0570]"</t>
  </si>
  <si>
    <t>="[-0.1775</t>
  </si>
  <si>
    <t>-0.0712]"</t>
  </si>
  <si>
    <t>="[-0.2382</t>
  </si>
  <si>
    <t>-0.1318]"</t>
  </si>
  <si>
    <t>-0.1641]"</t>
  </si>
  <si>
    <t>-0.1662]"</t>
  </si>
  <si>
    <t>="[-0.2372</t>
  </si>
  <si>
    <t>-0.1317]"</t>
  </si>
  <si>
    <t>="[-0.2189</t>
  </si>
  <si>
    <t>-0.1134]"</t>
  </si>
  <si>
    <t>="[-0.2075</t>
  </si>
  <si>
    <t>="[-0.1990</t>
  </si>
  <si>
    <t>-0.0934]"</t>
  </si>
  <si>
    <t>="[-0.1493</t>
  </si>
  <si>
    <t>-0.0396]"</t>
  </si>
  <si>
    <t>="[-0.1234</t>
  </si>
  <si>
    <t>="[-0.1268</t>
  </si>
  <si>
    <t>-0.0139]"</t>
  </si>
  <si>
    <t>="[-0.1037</t>
  </si>
  <si>
    <t>="[-0.1641</t>
  </si>
  <si>
    <t>-0.0486]"</t>
  </si>
  <si>
    <t>="[-0.1859</t>
  </si>
  <si>
    <t>-0.0700]"</t>
  </si>
  <si>
    <t>="[-0.1860</t>
  </si>
  <si>
    <t>-0.0691]"</t>
  </si>
  <si>
    <t>="[-0.1878</t>
  </si>
  <si>
    <t>-0.0674]"</t>
  </si>
  <si>
    <t>="[-0.2324</t>
  </si>
  <si>
    <t>-0.1125]"</t>
  </si>
  <si>
    <t>="[-0.2509</t>
  </si>
  <si>
    <t>="[-0.2244</t>
  </si>
  <si>
    <t>-0.0910]"</t>
  </si>
  <si>
    <t>="[-0.2235</t>
  </si>
  <si>
    <t>-0.0920]"</t>
  </si>
  <si>
    <t>="[-0.2208</t>
  </si>
  <si>
    <t>-0.0860]"</t>
  </si>
  <si>
    <t>="[-0.1956</t>
  </si>
  <si>
    <t>-0.0600]"</t>
  </si>
  <si>
    <t>="[-0.1812</t>
  </si>
  <si>
    <t>-0.0519]"</t>
  </si>
  <si>
    <t>-0.0337]"</t>
  </si>
  <si>
    <t>="[-0.1193</t>
  </si>
  <si>
    <t>="[-0.0664</t>
  </si>
  <si>
    <t>="[-0.0604</t>
  </si>
  <si>
    <t>0.0631]"</t>
  </si>
  <si>
    <t>="[-0.0722</t>
  </si>
  <si>
    <t>="[-0.0740</t>
  </si>
  <si>
    <t>="[-0.0490</t>
  </si>
  <si>
    <t>0.0768]"</t>
  </si>
  <si>
    <t>="[-0.0771</t>
  </si>
  <si>
    <t>0.0591]"</t>
  </si>
  <si>
    <t>="[-0.2419</t>
  </si>
  <si>
    <t>="[-0.2924</t>
  </si>
  <si>
    <t>-0.1232]"</t>
  </si>
  <si>
    <t>="[-0.2692</t>
  </si>
  <si>
    <t>-0.0968]"</t>
  </si>
  <si>
    <t>="[-0.2306</t>
  </si>
  <si>
    <t>-0.0627]"</t>
  </si>
  <si>
    <t>="[-0.2853</t>
  </si>
  <si>
    <t>="[-0.3274</t>
  </si>
  <si>
    <t>-0.1736]"</t>
  </si>
  <si>
    <t>="[-0.3001</t>
  </si>
  <si>
    <t>-0.1417]"</t>
  </si>
  <si>
    <t>="[-0.2938</t>
  </si>
  <si>
    <t>-0.1331]"</t>
  </si>
  <si>
    <t>="[-0.1861</t>
  </si>
  <si>
    <t>-0.0263]"</t>
  </si>
  <si>
    <t>="[0.0475</t>
  </si>
  <si>
    <t>0.2259]"</t>
  </si>
  <si>
    <t>0.3008]"</t>
  </si>
  <si>
    <t>0.2172]"</t>
  </si>
  <si>
    <t>="[-0.1232</t>
  </si>
  <si>
    <t>="[-0.2703</t>
  </si>
  <si>
    <t>-0.0606]"</t>
  </si>
  <si>
    <t>-0.0440]"</t>
  </si>
  <si>
    <t>="[-0.1845</t>
  </si>
  <si>
    <t>="[-0.0785</t>
  </si>
  <si>
    <t>0.1314]"</t>
  </si>
  <si>
    <t>="[-0.0524</t>
  </si>
  <si>
    <t>0.1645]"</t>
  </si>
  <si>
    <t>="[-0.0544</t>
  </si>
  <si>
    <t>0.2174]"</t>
  </si>
  <si>
    <t>="[-0.0373</t>
  </si>
  <si>
    <t>0.2564]"</t>
  </si>
  <si>
    <t>0.1402]"</t>
  </si>
  <si>
    <t>="[-0.1477</t>
  </si>
  <si>
    <t>0.1414]"</t>
  </si>
  <si>
    <t>="[-0.2756</t>
  </si>
  <si>
    <t>0.1446]"</t>
  </si>
  <si>
    <t>="[-0.3668</t>
  </si>
  <si>
    <t>="[-0.0961</t>
  </si>
  <si>
    <t>0.1782]"</t>
  </si>
  <si>
    <t>0.2818]"</t>
  </si>
  <si>
    <t>0.3861]"</t>
  </si>
  <si>
    <t>="[-0.1643</t>
  </si>
  <si>
    <t>0.2217]"</t>
  </si>
  <si>
    <t>0.3112]"</t>
  </si>
  <si>
    <t>0.3246]"</t>
  </si>
  <si>
    <t>="[0.5210</t>
  </si>
  <si>
    <t>0.5517]"</t>
  </si>
  <si>
    <t>="[0.9508</t>
  </si>
  <si>
    <t>0.9747]"</t>
  </si>
  <si>
    <t>="[1.1386</t>
  </si>
  <si>
    <t>1.1590]"</t>
  </si>
  <si>
    <t>="[1.2105</t>
  </si>
  <si>
    <t>1.2303]"</t>
  </si>
  <si>
    <t>="[1.3325</t>
  </si>
  <si>
    <t>1.4417]"</t>
  </si>
  <si>
    <t>="[1.7332</t>
  </si>
  <si>
    <t>="[1.7436</t>
  </si>
  <si>
    <t>="[1.7641</t>
  </si>
  <si>
    <t>1.8134]"</t>
  </si>
  <si>
    <t>1.8282]"</t>
  </si>
  <si>
    <t>1.8578]"</t>
  </si>
  <si>
    <t>="[1.9259</t>
  </si>
  <si>
    <t>="[1.9887</t>
  </si>
  <si>
    <t>2.0147]"</t>
  </si>
  <si>
    <t>="[2.0236</t>
  </si>
  <si>
    <t>="[2.0346</t>
  </si>
  <si>
    <t>2.0434]"</t>
  </si>
  <si>
    <t>2.1232]"</t>
  </si>
  <si>
    <t>="[2.1326</t>
  </si>
  <si>
    <t>2.1552]"</t>
  </si>
  <si>
    <t>2.1751]"</t>
  </si>
  <si>
    <t>2.2501]"</t>
  </si>
  <si>
    <t>="[2.2405</t>
  </si>
  <si>
    <t>2.2646]"</t>
  </si>
  <si>
    <t>2.2905]"</t>
  </si>
  <si>
    <t>2.3345]"</t>
  </si>
  <si>
    <t>="[2.3425</t>
  </si>
  <si>
    <t>2.3545]"</t>
  </si>
  <si>
    <t>2.4205]"</t>
  </si>
  <si>
    <t>="[2.4309</t>
  </si>
  <si>
    <t>="[2.4617</t>
  </si>
  <si>
    <t>="[2.5785</t>
  </si>
  <si>
    <t>2.6674]"</t>
  </si>
  <si>
    <t>2.8418]"</t>
  </si>
  <si>
    <t>="[2.9247</t>
  </si>
  <si>
    <t>2.9418]"</t>
  </si>
  <si>
    <t>="[2.9335</t>
  </si>
  <si>
    <t>2.9502]"</t>
  </si>
  <si>
    <t>="[3.0310</t>
  </si>
  <si>
    <t>3.0533]"</t>
  </si>
  <si>
    <t>="[3.1057</t>
  </si>
  <si>
    <t>3.1827]"</t>
  </si>
  <si>
    <t>="[3.3349</t>
  </si>
  <si>
    <t>3.3575]"</t>
  </si>
  <si>
    <t>="[3.4157</t>
  </si>
  <si>
    <t>3.4424]"</t>
  </si>
  <si>
    <t>="[3.5077</t>
  </si>
  <si>
    <t>3.5386]"</t>
  </si>
  <si>
    <t>="[3.6365</t>
  </si>
  <si>
    <t>3.6649]"</t>
  </si>
  <si>
    <t>="[3.7300</t>
  </si>
  <si>
    <t>="[3.8493</t>
  </si>
  <si>
    <t>3.8794]"</t>
  </si>
  <si>
    <t>="[4.0209</t>
  </si>
  <si>
    <t>="[4.2709</t>
  </si>
  <si>
    <t>4.3162]"</t>
  </si>
  <si>
    <t>4.6369]"</t>
  </si>
  <si>
    <t>="[0.2424</t>
  </si>
  <si>
    <t>0.2918]"</t>
  </si>
  <si>
    <t>="[0.1515</t>
  </si>
  <si>
    <t>0.2049]"</t>
  </si>
  <si>
    <t>="[0.1436</t>
  </si>
  <si>
    <t>0.1937]"</t>
  </si>
  <si>
    <t>="[0.1787</t>
  </si>
  <si>
    <t>0.2155]"</t>
  </si>
  <si>
    <t>="[0.1191</t>
  </si>
  <si>
    <t>0.1622]"</t>
  </si>
  <si>
    <t>="[0.1308</t>
  </si>
  <si>
    <t>0.1666]"</t>
  </si>
  <si>
    <t>="[0.1263</t>
  </si>
  <si>
    <t>0.1627]"</t>
  </si>
  <si>
    <t>="[0.1265</t>
  </si>
  <si>
    <t>0.1602]"</t>
  </si>
  <si>
    <t>="[0.1516</t>
  </si>
  <si>
    <t>0.1827]"</t>
  </si>
  <si>
    <t>0.1276]"</t>
  </si>
  <si>
    <t>="[0.1388</t>
  </si>
  <si>
    <t>0.1656]"</t>
  </si>
  <si>
    <t>="[0.1765</t>
  </si>
  <si>
    <t>0.1964]"</t>
  </si>
  <si>
    <t>="[0.1383</t>
  </si>
  <si>
    <t>0.1574]"</t>
  </si>
  <si>
    <t>="[0.1372</t>
  </si>
  <si>
    <t>0.1543]"</t>
  </si>
  <si>
    <t>="[0.1298</t>
  </si>
  <si>
    <t>0.1448]"</t>
  </si>
  <si>
    <t>="[0.1291</t>
  </si>
  <si>
    <t>0.1428]"</t>
  </si>
  <si>
    <t>="[0.1435</t>
  </si>
  <si>
    <t>0.1557]"</t>
  </si>
  <si>
    <t>0.1554]"</t>
  </si>
  <si>
    <t>="[0.1484</t>
  </si>
  <si>
    <t>0.1591]"</t>
  </si>
  <si>
    <t>="[0.1405</t>
  </si>
  <si>
    <t>0.1510]"</t>
  </si>
  <si>
    <t>="[0.1261</t>
  </si>
  <si>
    <t>0.1365]"</t>
  </si>
  <si>
    <t>0.1593]"</t>
  </si>
  <si>
    <t>="[0.1438</t>
  </si>
  <si>
    <t>0.1536]"</t>
  </si>
  <si>
    <t>="[0.1256</t>
  </si>
  <si>
    <t>0.1354]"</t>
  </si>
  <si>
    <t>="[0.1161</t>
  </si>
  <si>
    <t>0.1258]"</t>
  </si>
  <si>
    <t>="[0.1006</t>
  </si>
  <si>
    <t>0.1103]"</t>
  </si>
  <si>
    <t>="[0.1131</t>
  </si>
  <si>
    <t>0.1228]"</t>
  </si>
  <si>
    <t>="[0.1026</t>
  </si>
  <si>
    <t>0.1125]"</t>
  </si>
  <si>
    <t>="[0.0988</t>
  </si>
  <si>
    <t>0.1171]"</t>
  </si>
  <si>
    <t>="[0.1021</t>
  </si>
  <si>
    <t>0.1131]"</t>
  </si>
  <si>
    <t>="[0.0962</t>
  </si>
  <si>
    <t>="[0.1190</t>
  </si>
  <si>
    <t>0.1311]"</t>
  </si>
  <si>
    <t>="[0.1248</t>
  </si>
  <si>
    <t>="[0.1207</t>
  </si>
  <si>
    <t>0.1333]"</t>
  </si>
  <si>
    <t>="[0.0949</t>
  </si>
  <si>
    <t>="[0.1033</t>
  </si>
  <si>
    <t>="[0.1080</t>
  </si>
  <si>
    <t>="[0.1097</t>
  </si>
  <si>
    <t>0.1234]"</t>
  </si>
  <si>
    <t>="[0.1060</t>
  </si>
  <si>
    <t>="[0.1130</t>
  </si>
  <si>
    <t>0.1268]"</t>
  </si>
  <si>
    <t>="[0.0947</t>
  </si>
  <si>
    <t>="[0.0970</t>
  </si>
  <si>
    <t>0.1108]"</t>
  </si>
  <si>
    <t>="[0.0813</t>
  </si>
  <si>
    <t>="[0.0996</t>
  </si>
  <si>
    <t>0.1136]"</t>
  </si>
  <si>
    <t>="[0.1013</t>
  </si>
  <si>
    <t>0.1154]"</t>
  </si>
  <si>
    <t>="[0.1162</t>
  </si>
  <si>
    <t>="[0.0834</t>
  </si>
  <si>
    <t>0.1266]"</t>
  </si>
  <si>
    <t>="[0.0939</t>
  </si>
  <si>
    <t>0.1105]"</t>
  </si>
  <si>
    <t>="[0.0822</t>
  </si>
  <si>
    <t>0.0991]"</t>
  </si>
  <si>
    <t>0.0822]"</t>
  </si>
  <si>
    <t>="[0.0941</t>
  </si>
  <si>
    <t>="[0.1213</t>
  </si>
  <si>
    <t>0.1391]"</t>
  </si>
  <si>
    <t>0.1243]"</t>
  </si>
  <si>
    <t>="[0.0820</t>
  </si>
  <si>
    <t>0.1001]"</t>
  </si>
  <si>
    <t>0.1167]"</t>
  </si>
  <si>
    <t>="[0.1353</t>
  </si>
  <si>
    <t>0.1269]"</t>
  </si>
  <si>
    <t>="[0.0722</t>
  </si>
  <si>
    <t>0.0902]"</t>
  </si>
  <si>
    <t>="[0.0523</t>
  </si>
  <si>
    <t>="[0.0601</t>
  </si>
  <si>
    <t>0.0796]"</t>
  </si>
  <si>
    <t>="[0.0689</t>
  </si>
  <si>
    <t>="[0.0783</t>
  </si>
  <si>
    <t>="[0.0773</t>
  </si>
  <si>
    <t>0.1018]"</t>
  </si>
  <si>
    <t>0.1055]"</t>
  </si>
  <si>
    <t>0.1023]"</t>
  </si>
  <si>
    <t>="[0.0490</t>
  </si>
  <si>
    <t>0.0729]"</t>
  </si>
  <si>
    <t>0.1210]"</t>
  </si>
  <si>
    <t>0.0983]"</t>
  </si>
  <si>
    <t>0.0932]"</t>
  </si>
  <si>
    <t>="[0.0535</t>
  </si>
  <si>
    <t>="[0.0281</t>
  </si>
  <si>
    <t>0.0857]"</t>
  </si>
  <si>
    <t>="[0.0749</t>
  </si>
  <si>
    <t>0.1087]"</t>
  </si>
  <si>
    <t>="[0.0706</t>
  </si>
  <si>
    <t>0.1029]"</t>
  </si>
  <si>
    <t>0.0674]"</t>
  </si>
  <si>
    <t>0.0264]"</t>
  </si>
  <si>
    <t>="[-0.0156</t>
  </si>
  <si>
    <t>0.0419]"</t>
  </si>
  <si>
    <t>="[-0.0455</t>
  </si>
  <si>
    <t>="[-0.0415</t>
  </si>
  <si>
    <t>="[0.0975</t>
  </si>
  <si>
    <t>0.1201]"</t>
  </si>
  <si>
    <t>="[0.0961</t>
  </si>
  <si>
    <t>="[0.0950</t>
  </si>
  <si>
    <t>0.1145]"</t>
  </si>
  <si>
    <t>="[0.0885</t>
  </si>
  <si>
    <t>0.1123]"</t>
  </si>
  <si>
    <t>="[0.0903</t>
  </si>
  <si>
    <t>0.1082]"</t>
  </si>
  <si>
    <t>="[0.0833</t>
  </si>
  <si>
    <t>="[0.0855</t>
  </si>
  <si>
    <t>0.1022]"</t>
  </si>
  <si>
    <t>="[0.0694</t>
  </si>
  <si>
    <t>0.0829]"</t>
  </si>
  <si>
    <t>="[0.0677</t>
  </si>
  <si>
    <t>="[0.0595</t>
  </si>
  <si>
    <t>="[0.0556</t>
  </si>
  <si>
    <t>0.0654]"</t>
  </si>
  <si>
    <t>="[0.0481</t>
  </si>
  <si>
    <t>0.0562]"</t>
  </si>
  <si>
    <t>="[0.0450</t>
  </si>
  <si>
    <t>="[0.0437</t>
  </si>
  <si>
    <t>="[0.0440</t>
  </si>
  <si>
    <t>="[0.0435</t>
  </si>
  <si>
    <t>="[0.0443</t>
  </si>
  <si>
    <t>="[0.0445</t>
  </si>
  <si>
    <t>="[0.0458</t>
  </si>
  <si>
    <t>0.0519]"</t>
  </si>
  <si>
    <t>="[0.0500</t>
  </si>
  <si>
    <t>="[0.0505</t>
  </si>
  <si>
    <t>0.0564]"</t>
  </si>
  <si>
    <t>="[0.0511</t>
  </si>
  <si>
    <t>0.0570]"</t>
  </si>
  <si>
    <t>="[0.0559</t>
  </si>
  <si>
    <t>="[0.0580</t>
  </si>
  <si>
    <t>0.0668]"</t>
  </si>
  <si>
    <t>0.0693]"</t>
  </si>
  <si>
    <t>="[0.0695</t>
  </si>
  <si>
    <t>="[0.0718</t>
  </si>
  <si>
    <t>0.0786]"</t>
  </si>
  <si>
    <t>0.0814]"</t>
  </si>
  <si>
    <t>0.0856]"</t>
  </si>
  <si>
    <t>="[0.0814</t>
  </si>
  <si>
    <t>0.0888]"</t>
  </si>
  <si>
    <t>="[0.0851</t>
  </si>
  <si>
    <t>="[0.0876</t>
  </si>
  <si>
    <t>="[0.0906</t>
  </si>
  <si>
    <t>0.0986]"</t>
  </si>
  <si>
    <t>="[0.0931</t>
  </si>
  <si>
    <t>0.1011]"</t>
  </si>
  <si>
    <t>="[0.0943</t>
  </si>
  <si>
    <t>0.1024]"</t>
  </si>
  <si>
    <t>="[0.0953</t>
  </si>
  <si>
    <t>0.1033]"</t>
  </si>
  <si>
    <t>0.1040]"</t>
  </si>
  <si>
    <t>0.1093]"</t>
  </si>
  <si>
    <t>="[0.1050</t>
  </si>
  <si>
    <t>="[0.1079</t>
  </si>
  <si>
    <t>="[0.1145</t>
  </si>
  <si>
    <t>0.1237]"</t>
  </si>
  <si>
    <t>0.1313]"</t>
  </si>
  <si>
    <t>="[0.1266</t>
  </si>
  <si>
    <t>0.1366]"</t>
  </si>
  <si>
    <t>="[0.1303</t>
  </si>
  <si>
    <t>0.1405]"</t>
  </si>
  <si>
    <t>="[0.1325</t>
  </si>
  <si>
    <t>0.1429]"</t>
  </si>
  <si>
    <t>="[0.1321</t>
  </si>
  <si>
    <t>0.1424]"</t>
  </si>
  <si>
    <t>="[0.1311</t>
  </si>
  <si>
    <t>="[0.1314</t>
  </si>
  <si>
    <t>0.1417]"</t>
  </si>
  <si>
    <t>0.1426]"</t>
  </si>
  <si>
    <t>="[0.1335</t>
  </si>
  <si>
    <t>0.1440]"</t>
  </si>
  <si>
    <t>0.1494]"</t>
  </si>
  <si>
    <t>0.1564]"</t>
  </si>
  <si>
    <t>="[0.1505</t>
  </si>
  <si>
    <t>0.1623]"</t>
  </si>
  <si>
    <t>="[0.1550</t>
  </si>
  <si>
    <t>0.1672]"</t>
  </si>
  <si>
    <t>="[0.1587</t>
  </si>
  <si>
    <t>0.1711]"</t>
  </si>
  <si>
    <t>0.1712]"</t>
  </si>
  <si>
    <t>="[0.1590</t>
  </si>
  <si>
    <t>0.1715]"</t>
  </si>
  <si>
    <t>0.1728]"</t>
  </si>
  <si>
    <t>="[0.1646</t>
  </si>
  <si>
    <t>0.1776]"</t>
  </si>
  <si>
    <t>0.1885]"</t>
  </si>
  <si>
    <t>="[0.1837</t>
  </si>
  <si>
    <t>0.1983]"</t>
  </si>
  <si>
    <t>="[0.1884</t>
  </si>
  <si>
    <t>0.2035]"</t>
  </si>
  <si>
    <t>="[0.1951</t>
  </si>
  <si>
    <t>0.2107]"</t>
  </si>
  <si>
    <t>="[0.1945</t>
  </si>
  <si>
    <t>0.2104]"</t>
  </si>
  <si>
    <t>="[0.1935</t>
  </si>
  <si>
    <t>="[0.1920</t>
  </si>
  <si>
    <t>0.2076]"</t>
  </si>
  <si>
    <t>="[0.2016</t>
  </si>
  <si>
    <t>0.2182]"</t>
  </si>
  <si>
    <t>="[0.2129</t>
  </si>
  <si>
    <t>0.2305]"</t>
  </si>
  <si>
    <t>="[0.2218</t>
  </si>
  <si>
    <t>0.2404]"</t>
  </si>
  <si>
    <t>="[0.2300</t>
  </si>
  <si>
    <t>0.2494]"</t>
  </si>
  <si>
    <t>="[0.2205</t>
  </si>
  <si>
    <t>="[0.2067</t>
  </si>
  <si>
    <t>0.2245]"</t>
  </si>
  <si>
    <t>0.2193]"</t>
  </si>
  <si>
    <t>="[0.2121</t>
  </si>
  <si>
    <t>="[0.2597</t>
  </si>
  <si>
    <t>0.2825]"</t>
  </si>
  <si>
    <t>="[0.2542</t>
  </si>
  <si>
    <t>0.2770]"</t>
  </si>
  <si>
    <t>="[0.2410</t>
  </si>
  <si>
    <t>0.2629]"</t>
  </si>
  <si>
    <t>="[0.2478</t>
  </si>
  <si>
    <t>0.2707]"</t>
  </si>
  <si>
    <t>="[0.2454</t>
  </si>
  <si>
    <t>0.2683]"</t>
  </si>
  <si>
    <t>="[0.2273</t>
  </si>
  <si>
    <t>0.2490]"</t>
  </si>
  <si>
    <t>="[0.2574</t>
  </si>
  <si>
    <t>="[0.2821</t>
  </si>
  <si>
    <t>0.3104]"</t>
  </si>
  <si>
    <t>="[0.2447</t>
  </si>
  <si>
    <t>0.2702]"</t>
  </si>
  <si>
    <t>="[0.2748</t>
  </si>
  <si>
    <t>0.3046]"</t>
  </si>
  <si>
    <t>="[0.2145</t>
  </si>
  <si>
    <t>="[0.2455</t>
  </si>
  <si>
    <t>0.2765]"</t>
  </si>
  <si>
    <t>="[0.2328</t>
  </si>
  <si>
    <t>0.2667]"</t>
  </si>
  <si>
    <t>="[0.2002</t>
  </si>
  <si>
    <t>0.2391]"</t>
  </si>
  <si>
    <t>="[0.1634</t>
  </si>
  <si>
    <t>0.2103]"</t>
  </si>
  <si>
    <t>0.0944]"</t>
  </si>
  <si>
    <t>="[0.0390</t>
  </si>
  <si>
    <t>="[0.0754</t>
  </si>
  <si>
    <t>0.1092]"</t>
  </si>
  <si>
    <t>="[0.0289</t>
  </si>
  <si>
    <t>0.0616]"</t>
  </si>
  <si>
    <t>="[0.0365</t>
  </si>
  <si>
    <t>="[0.0239</t>
  </si>
  <si>
    <t>0.0499]"</t>
  </si>
  <si>
    <t>="[0.0661</t>
  </si>
  <si>
    <t>0.0899]"</t>
  </si>
  <si>
    <t>="[0.1073</t>
  </si>
  <si>
    <t>0.1249]"</t>
  </si>
  <si>
    <t>="[0.0745</t>
  </si>
  <si>
    <t>0.0913]"</t>
  </si>
  <si>
    <t>="[0.0778</t>
  </si>
  <si>
    <t>="[0.0786</t>
  </si>
  <si>
    <t>0.0917]"</t>
  </si>
  <si>
    <t>0.0933]"</t>
  </si>
  <si>
    <t>="[0.0971</t>
  </si>
  <si>
    <t>="[0.1023</t>
  </si>
  <si>
    <t>="[0.0792</t>
  </si>
  <si>
    <t>="[0.1014</t>
  </si>
  <si>
    <t>0.1027]"</t>
  </si>
  <si>
    <t>0.0832]"</t>
  </si>
  <si>
    <t>0.0722]"</t>
  </si>
  <si>
    <t>="[0.0479</t>
  </si>
  <si>
    <t>="[0.0484</t>
  </si>
  <si>
    <t>0.0525]"</t>
  </si>
  <si>
    <t>="[0.0480</t>
  </si>
  <si>
    <t>0.0527]"</t>
  </si>
  <si>
    <t>="[0.0367</t>
  </si>
  <si>
    <t>="[0.0470</t>
  </si>
  <si>
    <t>0.0574]"</t>
  </si>
  <si>
    <t>="[0.0504</t>
  </si>
  <si>
    <t>0.0545]"</t>
  </si>
  <si>
    <t>="[0.0253</t>
  </si>
  <si>
    <t>0.0365]"</t>
  </si>
  <si>
    <t>0.0093]"</t>
  </si>
  <si>
    <t>-0.0287]"</t>
  </si>
  <si>
    <t>="[-0.0469</t>
  </si>
  <si>
    <t>-0.0331]"</t>
  </si>
  <si>
    <t>-0.0284]"</t>
  </si>
  <si>
    <t>="[-0.0538</t>
  </si>
  <si>
    <t>-0.0393]"</t>
  </si>
  <si>
    <t>="[-0.0570</t>
  </si>
  <si>
    <t>-0.0423]"</t>
  </si>
  <si>
    <t>="[-0.0703</t>
  </si>
  <si>
    <t>-0.0555]"</t>
  </si>
  <si>
    <t>="[-0.0162</t>
  </si>
  <si>
    <t>-0.0209]"</t>
  </si>
  <si>
    <t>-0.0518]"</t>
  </si>
  <si>
    <t>="[-0.0565</t>
  </si>
  <si>
    <t>="[-0.0551</t>
  </si>
  <si>
    <t>-0.0391]"</t>
  </si>
  <si>
    <t>="[-0.0917</t>
  </si>
  <si>
    <t>-0.0758]"</t>
  </si>
  <si>
    <t>="[-0.1105</t>
  </si>
  <si>
    <t>-0.0946]"</t>
  </si>
  <si>
    <t>="[-0.1132</t>
  </si>
  <si>
    <t>-0.0972]"</t>
  </si>
  <si>
    <t>="[-0.1098</t>
  </si>
  <si>
    <t>-0.0927]"</t>
  </si>
  <si>
    <t>="[-0.1111</t>
  </si>
  <si>
    <t>-0.0916]"</t>
  </si>
  <si>
    <t>="[-0.1110</t>
  </si>
  <si>
    <t>="[-0.1171</t>
  </si>
  <si>
    <t>-0.0957]"</t>
  </si>
  <si>
    <t>="[-0.1203</t>
  </si>
  <si>
    <t>="[-0.1227</t>
  </si>
  <si>
    <t>-0.1015]"</t>
  </si>
  <si>
    <t>="[-0.1510</t>
  </si>
  <si>
    <t>-0.1299]"</t>
  </si>
  <si>
    <t>="[-0.1019</t>
  </si>
  <si>
    <t>-0.0802]"</t>
  </si>
  <si>
    <t>="[-0.1355</t>
  </si>
  <si>
    <t>-0.1129]"</t>
  </si>
  <si>
    <t>="[-0.1288</t>
  </si>
  <si>
    <t>-0.1044]"</t>
  </si>
  <si>
    <t>="[-0.1853</t>
  </si>
  <si>
    <t>-0.1602]"</t>
  </si>
  <si>
    <t>="[-0.2010</t>
  </si>
  <si>
    <t>-0.1761]"</t>
  </si>
  <si>
    <t>="[-0.1972</t>
  </si>
  <si>
    <t>-0.1712]"</t>
  </si>
  <si>
    <t>-0.1263]"</t>
  </si>
  <si>
    <t>="[-0.1504</t>
  </si>
  <si>
    <t>-0.1200]"</t>
  </si>
  <si>
    <t>="[-0.1958</t>
  </si>
  <si>
    <t>-0.1628]"</t>
  </si>
  <si>
    <t>-0.1626]"</t>
  </si>
  <si>
    <t>="[-0.2414</t>
  </si>
  <si>
    <t>-0.2096]"</t>
  </si>
  <si>
    <t>="[-0.2284</t>
  </si>
  <si>
    <t>-0.1918]"</t>
  </si>
  <si>
    <t>="[-0.2375</t>
  </si>
  <si>
    <t>-0.1995]"</t>
  </si>
  <si>
    <t>="[-0.1882</t>
  </si>
  <si>
    <t>-0.1520]"</t>
  </si>
  <si>
    <t>="[-0.2795</t>
  </si>
  <si>
    <t>-0.2379]"</t>
  </si>
  <si>
    <t>="[-0.2867</t>
  </si>
  <si>
    <t>-0.2340]"</t>
  </si>
  <si>
    <t>="[-0.2824</t>
  </si>
  <si>
    <t>-0.2297]"</t>
  </si>
  <si>
    <t>="[-0.3080</t>
  </si>
  <si>
    <t>-0.2450]"</t>
  </si>
  <si>
    <t>="[-0.2345</t>
  </si>
  <si>
    <t>-0.1743]"</t>
  </si>
  <si>
    <t>="[-0.2325</t>
  </si>
  <si>
    <t>-0.1630]"</t>
  </si>
  <si>
    <t>="[-0.3012</t>
  </si>
  <si>
    <t>-0.2085]"</t>
  </si>
  <si>
    <t>-0.1680]"</t>
  </si>
  <si>
    <t>="[0.0657</t>
  </si>
  <si>
    <t>="[0.0645</t>
  </si>
  <si>
    <t>="[0.0638</t>
  </si>
  <si>
    <t>0.0741]"</t>
  </si>
  <si>
    <t>="[0.0619</t>
  </si>
  <si>
    <t>0.0710]"</t>
  </si>
  <si>
    <t>="[0.0673</t>
  </si>
  <si>
    <t>0.0765]"</t>
  </si>
  <si>
    <t>0.0716]"</t>
  </si>
  <si>
    <t>="[0.0664</t>
  </si>
  <si>
    <t>="[0.0548</t>
  </si>
  <si>
    <t>0.0610]"</t>
  </si>
  <si>
    <t>="[0.0544</t>
  </si>
  <si>
    <t>="[0.0482</t>
  </si>
  <si>
    <t>0.0531]"</t>
  </si>
  <si>
    <t>="[0.0396</t>
  </si>
  <si>
    <t>="[0.0362</t>
  </si>
  <si>
    <t>="[0.0382</t>
  </si>
  <si>
    <t>="[0.0402</t>
  </si>
  <si>
    <t>="[0.0409</t>
  </si>
  <si>
    <t>0.0446]"</t>
  </si>
  <si>
    <t>="[0.0461</t>
  </si>
  <si>
    <t>="[0.0525</t>
  </si>
  <si>
    <t>0.0621]"</t>
  </si>
  <si>
    <t>0.0711]"</t>
  </si>
  <si>
    <t>0.0740]"</t>
  </si>
  <si>
    <t>0.0772]"</t>
  </si>
  <si>
    <t>="[0.0740</t>
  </si>
  <si>
    <t>="[0.0767</t>
  </si>
  <si>
    <t>0.0823]"</t>
  </si>
  <si>
    <t>0.0844]"</t>
  </si>
  <si>
    <t>="[0.0808</t>
  </si>
  <si>
    <t>0.0874]"</t>
  </si>
  <si>
    <t>="[0.0847</t>
  </si>
  <si>
    <t>="[0.0862</t>
  </si>
  <si>
    <t>="[0.0896</t>
  </si>
  <si>
    <t>="[0.0923</t>
  </si>
  <si>
    <t>0.0992]"</t>
  </si>
  <si>
    <t>0.1052]"</t>
  </si>
  <si>
    <t>="[0.1041</t>
  </si>
  <si>
    <t>0.1118]"</t>
  </si>
  <si>
    <t>="[0.1085</t>
  </si>
  <si>
    <t>="[0.1113</t>
  </si>
  <si>
    <t>0.1196]"</t>
  </si>
  <si>
    <t>="[0.1133</t>
  </si>
  <si>
    <t>0.1217]"</t>
  </si>
  <si>
    <t>="[0.1132</t>
  </si>
  <si>
    <t>="[0.1127</t>
  </si>
  <si>
    <t>0.1212]"</t>
  </si>
  <si>
    <t>0.1218]"</t>
  </si>
  <si>
    <t>="[0.1139</t>
  </si>
  <si>
    <t>0.1226]"</t>
  </si>
  <si>
    <t>="[0.1152</t>
  </si>
  <si>
    <t>0.1240]"</t>
  </si>
  <si>
    <t>="[0.1202</t>
  </si>
  <si>
    <t>0.1294]"</t>
  </si>
  <si>
    <t>="[0.1260</t>
  </si>
  <si>
    <t>0.1356]"</t>
  </si>
  <si>
    <t>="[0.1310</t>
  </si>
  <si>
    <t>0.1411]"</t>
  </si>
  <si>
    <t>="[0.1351</t>
  </si>
  <si>
    <t>0.1455]"</t>
  </si>
  <si>
    <t>0.1495]"</t>
  </si>
  <si>
    <t>="[0.1392</t>
  </si>
  <si>
    <t>="[0.1396</t>
  </si>
  <si>
    <t>0.1505]"</t>
  </si>
  <si>
    <t>="[0.1449</t>
  </si>
  <si>
    <t>="[0.1544</t>
  </si>
  <si>
    <t>0.1667]"</t>
  </si>
  <si>
    <t>="[0.1628</t>
  </si>
  <si>
    <t>="[0.1677</t>
  </si>
  <si>
    <t>0.1876]"</t>
  </si>
  <si>
    <t>="[0.1739</t>
  </si>
  <si>
    <t>="[0.1733</t>
  </si>
  <si>
    <t>0.1875]"</t>
  </si>
  <si>
    <t>="[0.1714</t>
  </si>
  <si>
    <t>0.1855]"</t>
  </si>
  <si>
    <t>="[0.1809</t>
  </si>
  <si>
    <t>0.1959]"</t>
  </si>
  <si>
    <t>="[0.1917</t>
  </si>
  <si>
    <t>0.2077]"</t>
  </si>
  <si>
    <t>="[0.2015</t>
  </si>
  <si>
    <t>0.2185]"</t>
  </si>
  <si>
    <t>="[0.2094</t>
  </si>
  <si>
    <t>0.2272]"</t>
  </si>
  <si>
    <t>="[0.2007</t>
  </si>
  <si>
    <t>0.2178]"</t>
  </si>
  <si>
    <t>="[0.1888</t>
  </si>
  <si>
    <t>0.2051]"</t>
  </si>
  <si>
    <t>="[0.1839</t>
  </si>
  <si>
    <t>0.1999]"</t>
  </si>
  <si>
    <t>="[0.1941</t>
  </si>
  <si>
    <t>0.2112]"</t>
  </si>
  <si>
    <t>="[0.2388</t>
  </si>
  <si>
    <t>0.2601]"</t>
  </si>
  <si>
    <t>="[0.2352</t>
  </si>
  <si>
    <t>="[0.2245</t>
  </si>
  <si>
    <t>0.2449]"</t>
  </si>
  <si>
    <t>="[0.2314</t>
  </si>
  <si>
    <t>0.2528]"</t>
  </si>
  <si>
    <t>="[0.2299</t>
  </si>
  <si>
    <t>0.2514]"</t>
  </si>
  <si>
    <t>="[0.2135</t>
  </si>
  <si>
    <t>0.2338]"</t>
  </si>
  <si>
    <t>="[0.2423</t>
  </si>
  <si>
    <t>0.2657]"</t>
  </si>
  <si>
    <t>="[0.2667</t>
  </si>
  <si>
    <t>0.2933]"</t>
  </si>
  <si>
    <t>="[0.2327</t>
  </si>
  <si>
    <t>0.2565]"</t>
  </si>
  <si>
    <t>="[0.2618</t>
  </si>
  <si>
    <t>0.2898]"</t>
  </si>
  <si>
    <t>="[0.2063</t>
  </si>
  <si>
    <t>0.2296]"</t>
  </si>
  <si>
    <t>0.2651]"</t>
  </si>
  <si>
    <t>="[0.2256</t>
  </si>
  <si>
    <t>0.2572]"</t>
  </si>
  <si>
    <t>0.2307]"</t>
  </si>
  <si>
    <t>="[0.0091</t>
  </si>
  <si>
    <t>="[0.0097</t>
  </si>
  <si>
    <t>="[0.0116</t>
  </si>
  <si>
    <t>="[0.0141</t>
  </si>
  <si>
    <t>0.0187]"</t>
  </si>
  <si>
    <t>="[0.0164</t>
  </si>
  <si>
    <t>0.0221]"</t>
  </si>
  <si>
    <t>0.0234]"</t>
  </si>
  <si>
    <t>="[0.0196</t>
  </si>
  <si>
    <t>0.0269]"</t>
  </si>
  <si>
    <t>="[0.0254</t>
  </si>
  <si>
    <t>="[0.0279</t>
  </si>
  <si>
    <t>0.0342]"</t>
  </si>
  <si>
    <t>="[0.0299</t>
  </si>
  <si>
    <t>="[0.0285</t>
  </si>
  <si>
    <t>="[0.0268</t>
  </si>
  <si>
    <t>="[0.0264</t>
  </si>
  <si>
    <t>0.0404]"</t>
  </si>
  <si>
    <t>="[0.0317</t>
  </si>
  <si>
    <t>="[0.0327</t>
  </si>
  <si>
    <t>0.0391]"</t>
  </si>
  <si>
    <t>="[0.0305</t>
  </si>
  <si>
    <t>="[0.0349</t>
  </si>
  <si>
    <t>="[0.0385</t>
  </si>
  <si>
    <t>="[0.0330</t>
  </si>
  <si>
    <t>="[-0.0099</t>
  </si>
  <si>
    <t>-0.0063]"</t>
  </si>
  <si>
    <t>-0.0077]"</t>
  </si>
  <si>
    <t>-0.0070]"</t>
  </si>
  <si>
    <t>-0.0080]"</t>
  </si>
  <si>
    <t>-0.0082]"</t>
  </si>
  <si>
    <t>-0.0074]"</t>
  </si>
  <si>
    <t>-0.0083]"</t>
  </si>
  <si>
    <t>-0.0149]"</t>
  </si>
  <si>
    <t>-0.0165]"</t>
  </si>
  <si>
    <t>-0.0175]"</t>
  </si>
  <si>
    <t>="[-0.0206</t>
  </si>
  <si>
    <t>-0.0144]"</t>
  </si>
  <si>
    <t>-0.0117]"</t>
  </si>
  <si>
    <t>="[-0.0146</t>
  </si>
  <si>
    <t>="[0.0269</t>
  </si>
  <si>
    <t>="[0.0187</t>
  </si>
  <si>
    <t>-0.0097]"</t>
  </si>
  <si>
    <t>="[-0.2870</t>
  </si>
  <si>
    <t>0.3328]"</t>
  </si>
  <si>
    <t>="[0.1007</t>
  </si>
  <si>
    <t>0.7692]"</t>
  </si>
  <si>
    <t>="[0.4499</t>
  </si>
  <si>
    <t>1.0487]"</t>
  </si>
  <si>
    <t>="[-0.1615</t>
  </si>
  <si>
    <t>0.2209]"</t>
  </si>
  <si>
    <t>="[0.6250</t>
  </si>
  <si>
    <t>1.0943]"</t>
  </si>
  <si>
    <t>0.4476]"</t>
  </si>
  <si>
    <t>="[0.2921</t>
  </si>
  <si>
    <t>0.6378]"</t>
  </si>
  <si>
    <t>0.5054]"</t>
  </si>
  <si>
    <t>0.3240]"</t>
  </si>
  <si>
    <t>="[0.3292</t>
  </si>
  <si>
    <t>0.5709]"</t>
  </si>
  <si>
    <t>="[0.2534</t>
  </si>
  <si>
    <t>0.4682]"</t>
  </si>
  <si>
    <t>="[-0.0539</t>
  </si>
  <si>
    <t>0.0958]"</t>
  </si>
  <si>
    <t>0.1594]"</t>
  </si>
  <si>
    <t>0.1664]"</t>
  </si>
  <si>
    <t>="[0.0609</t>
  </si>
  <si>
    <t>="[-0.0501</t>
  </si>
  <si>
    <t>="[-0.0805</t>
  </si>
  <si>
    <t>-0.0221]"</t>
  </si>
  <si>
    <t>="[-0.0745</t>
  </si>
  <si>
    <t>-0.0163]"</t>
  </si>
  <si>
    <t>="[-0.0687</t>
  </si>
  <si>
    <t>="[-0.0639</t>
  </si>
  <si>
    <t>="[-0.0532</t>
  </si>
  <si>
    <t>="[-0.0464</t>
  </si>
  <si>
    <t>="[-0.0423</t>
  </si>
  <si>
    <t>="[-0.0205</t>
  </si>
  <si>
    <t>="[-0.0378</t>
  </si>
  <si>
    <t>="[-0.0835</t>
  </si>
  <si>
    <t>-0.0169]"</t>
  </si>
  <si>
    <t>="[-0.0867</t>
  </si>
  <si>
    <t>-0.0203]"</t>
  </si>
  <si>
    <t>="[-0.0872</t>
  </si>
  <si>
    <t>="[-0.0795</t>
  </si>
  <si>
    <t>-0.0142]"</t>
  </si>
  <si>
    <t>="[-0.0910</t>
  </si>
  <si>
    <t>-0.0256]"</t>
  </si>
  <si>
    <t>="[-0.0888</t>
  </si>
  <si>
    <t>-0.0231]"</t>
  </si>
  <si>
    <t>="[-0.1014</t>
  </si>
  <si>
    <t>-0.0346]"</t>
  </si>
  <si>
    <t>="[-0.1042</t>
  </si>
  <si>
    <t>-0.0359]"</t>
  </si>
  <si>
    <t>="[-0.1328</t>
  </si>
  <si>
    <t>-0.0943]"</t>
  </si>
  <si>
    <t>="[-0.1847</t>
  </si>
  <si>
    <t>-0.1132]"</t>
  </si>
  <si>
    <t>="[-0.1651</t>
  </si>
  <si>
    <t>-0.0912]"</t>
  </si>
  <si>
    <t>="[-0.1687</t>
  </si>
  <si>
    <t>-0.0963]"</t>
  </si>
  <si>
    <t>="[-0.1519</t>
  </si>
  <si>
    <t>-0.0787]"</t>
  </si>
  <si>
    <t>="[-0.1282</t>
  </si>
  <si>
    <t>="[-0.1179</t>
  </si>
  <si>
    <t>-0.0439]"</t>
  </si>
  <si>
    <t>="[-0.0968</t>
  </si>
  <si>
    <t>="[-0.0912</t>
  </si>
  <si>
    <t>-0.0164]"</t>
  </si>
  <si>
    <t>-0.0454]"</t>
  </si>
  <si>
    <t>="[-0.1564</t>
  </si>
  <si>
    <t>-0.0816]"</t>
  </si>
  <si>
    <t>="[-0.2023</t>
  </si>
  <si>
    <t>-0.1295]"</t>
  </si>
  <si>
    <t>="[-0.2369</t>
  </si>
  <si>
    <t>-0.1647]"</t>
  </si>
  <si>
    <t>="[-0.2526</t>
  </si>
  <si>
    <t>-0.1800]"</t>
  </si>
  <si>
    <t>="[-0.2487</t>
  </si>
  <si>
    <t>-0.1791]"</t>
  </si>
  <si>
    <t>="[-0.2596</t>
  </si>
  <si>
    <t>-0.1904]"</t>
  </si>
  <si>
    <t>="[-0.2664</t>
  </si>
  <si>
    <t>-0.1986]"</t>
  </si>
  <si>
    <t>="[-0.2329</t>
  </si>
  <si>
    <t>-0.1598]"</t>
  </si>
  <si>
    <t>="[-0.1589</t>
  </si>
  <si>
    <t>-0.0735]"</t>
  </si>
  <si>
    <t>="[-0.1332</t>
  </si>
  <si>
    <t>-0.0426]"</t>
  </si>
  <si>
    <t>="[-0.1624</t>
  </si>
  <si>
    <t>-0.0709]"</t>
  </si>
  <si>
    <t>="[-0.2212</t>
  </si>
  <si>
    <t>-0.1320]"</t>
  </si>
  <si>
    <t>="[-0.2394</t>
  </si>
  <si>
    <t>-0.1523]"</t>
  </si>
  <si>
    <t>="[-0.2552</t>
  </si>
  <si>
    <t>-0.1684]"</t>
  </si>
  <si>
    <t>="[-0.2297</t>
  </si>
  <si>
    <t>="[-0.2744</t>
  </si>
  <si>
    <t>-0.1846]"</t>
  </si>
  <si>
    <t>="[-0.3316</t>
  </si>
  <si>
    <t>-0.2407]"</t>
  </si>
  <si>
    <t>="[-0.3803</t>
  </si>
  <si>
    <t>-0.2874]"</t>
  </si>
  <si>
    <t>="[-0.4263</t>
  </si>
  <si>
    <t>-0.3325]"</t>
  </si>
  <si>
    <t>="[-0.3931</t>
  </si>
  <si>
    <t>-0.3011]"</t>
  </si>
  <si>
    <t>="[-0.2576</t>
  </si>
  <si>
    <t>="[-0.1711</t>
  </si>
  <si>
    <t>-0.0762]"</t>
  </si>
  <si>
    <t>="[-0.1876</t>
  </si>
  <si>
    <t>-0.0846]"</t>
  </si>
  <si>
    <t>="[-0.4519</t>
  </si>
  <si>
    <t>-0.3481]"</t>
  </si>
  <si>
    <t>="[-0.4753</t>
  </si>
  <si>
    <t>-0.3755]"</t>
  </si>
  <si>
    <t>="[-0.4630</t>
  </si>
  <si>
    <t>-0.3663]"</t>
  </si>
  <si>
    <t>="[-0.4162</t>
  </si>
  <si>
    <t>-0.3012]"</t>
  </si>
  <si>
    <t>="[-0.4223</t>
  </si>
  <si>
    <t>-0.3037]"</t>
  </si>
  <si>
    <t>="[-0.4196</t>
  </si>
  <si>
    <t>-0.3081]"</t>
  </si>
  <si>
    <t>="[-0.5641</t>
  </si>
  <si>
    <t>-0.4429]"</t>
  </si>
  <si>
    <t>="[-0.5111</t>
  </si>
  <si>
    <t>-0.3494]"</t>
  </si>
  <si>
    <t>="[-0.4067</t>
  </si>
  <si>
    <t>-0.2396]"</t>
  </si>
  <si>
    <t>="[-0.5081</t>
  </si>
  <si>
    <t>-0.3187]"</t>
  </si>
  <si>
    <t>="[-0.3369</t>
  </si>
  <si>
    <t>-0.1521]"</t>
  </si>
  <si>
    <t>="[-0.5559</t>
  </si>
  <si>
    <t>-0.3456]"</t>
  </si>
  <si>
    <t>="[-0.4373</t>
  </si>
  <si>
    <t>-0.1198]"</t>
  </si>
  <si>
    <t>="[-0.4117</t>
  </si>
  <si>
    <t>-0.1926]"</t>
  </si>
  <si>
    <t>="[-0.2352</t>
  </si>
  <si>
    <t>="[-0.2084</t>
  </si>
  <si>
    <t>="[-0.1953</t>
  </si>
  <si>
    <t>="[-0.3239</t>
  </si>
  <si>
    <t>-0.1501]"</t>
  </si>
  <si>
    <t>="[-0.0975</t>
  </si>
  <si>
    <t>0.1016]"</t>
  </si>
  <si>
    <t>="[-0.2533</t>
  </si>
  <si>
    <t>-0.0863]"</t>
  </si>
  <si>
    <t>="[-0.1338</t>
  </si>
  <si>
    <t>0.0380]"</t>
  </si>
  <si>
    <t>0.1253]"</t>
  </si>
  <si>
    <t>="[-0.1106</t>
  </si>
  <si>
    <t>="[-0.0358</t>
  </si>
  <si>
    <t>="[-0.0428</t>
  </si>
  <si>
    <t>="[-0.0547</t>
  </si>
  <si>
    <t>-0.0134]"</t>
  </si>
  <si>
    <t>-0.0148]"</t>
  </si>
  <si>
    <t>="[-0.0283</t>
  </si>
  <si>
    <t>="[-0.0224</t>
  </si>
  <si>
    <t>0.0665]"</t>
  </si>
  <si>
    <t>="[0.0454</t>
  </si>
  <si>
    <t>="[0.0452</t>
  </si>
  <si>
    <t>0.0943]"</t>
  </si>
  <si>
    <t>="[0.0399</t>
  </si>
  <si>
    <t>="[0.0404</t>
  </si>
  <si>
    <t>0.0893]"</t>
  </si>
  <si>
    <t>="[0.0384</t>
  </si>
  <si>
    <t>="[0.0215</t>
  </si>
  <si>
    <t>0.0769]"</t>
  </si>
  <si>
    <t>0.0750]"</t>
  </si>
  <si>
    <t>0.0617]"</t>
  </si>
  <si>
    <t>0.0676]"</t>
  </si>
  <si>
    <t>="[0.0326</t>
  </si>
  <si>
    <t>0.1114]"</t>
  </si>
  <si>
    <t>="[0.0448</t>
  </si>
  <si>
    <t>="[-0.0695</t>
  </si>
  <si>
    <t>-0.0125]"</t>
  </si>
  <si>
    <t>-0.0214]"</t>
  </si>
  <si>
    <t>="[-0.0784</t>
  </si>
  <si>
    <t>-0.0220]"</t>
  </si>
  <si>
    <t>="[-0.0854</t>
  </si>
  <si>
    <t>-0.0292]"</t>
  </si>
  <si>
    <t>="[-0.0926</t>
  </si>
  <si>
    <t>0.1246]"</t>
  </si>
  <si>
    <t>="[0.0910</t>
  </si>
  <si>
    <t>0.1394]"</t>
  </si>
  <si>
    <t>="[0.0266</t>
  </si>
  <si>
    <t>0.0994]"</t>
  </si>
  <si>
    <t>0.0908]"</t>
  </si>
  <si>
    <t>0.0623]"</t>
  </si>
  <si>
    <t>="[-0.0897</t>
  </si>
  <si>
    <t>="[-0.1253</t>
  </si>
  <si>
    <t>-0.0464]"</t>
  </si>
  <si>
    <t>="[-0.0996</t>
  </si>
  <si>
    <t>="[0.0997</t>
  </si>
  <si>
    <t>="[0.1241</t>
  </si>
  <si>
    <t>0.2186]"</t>
  </si>
  <si>
    <t>-0.0128]"</t>
  </si>
  <si>
    <t>-0.0589]"</t>
  </si>
  <si>
    <t>="[-0.1543</t>
  </si>
  <si>
    <t>-0.0664]"</t>
  </si>
  <si>
    <t>0.0367]"</t>
  </si>
  <si>
    <t>="[-0.0663</t>
  </si>
  <si>
    <t>="[-0.0919</t>
  </si>
  <si>
    <t>="[-0.2093</t>
  </si>
  <si>
    <t>-0.1065]"</t>
  </si>
  <si>
    <t>0.0414]"</t>
  </si>
  <si>
    <t>0.1257]"</t>
  </si>
  <si>
    <t>="[-0.0864</t>
  </si>
  <si>
    <t>0.1332]"</t>
  </si>
  <si>
    <t>="[-0.2343</t>
  </si>
  <si>
    <t>-0.0908]"</t>
  </si>
  <si>
    <t>0.1192]"</t>
  </si>
  <si>
    <t>="[0.0533</t>
  </si>
  <si>
    <t>="[0.0421</t>
  </si>
  <si>
    <t>0.0480]"</t>
  </si>
  <si>
    <t>="[-0.0287</t>
  </si>
  <si>
    <t>="[0.0114</t>
  </si>
  <si>
    <t>0.0132]"</t>
  </si>
  <si>
    <t>="[0.0171</t>
  </si>
  <si>
    <t>0.0441]"</t>
  </si>
  <si>
    <t>-0.0096]"</t>
  </si>
  <si>
    <t>="[-0.0269</t>
  </si>
  <si>
    <t>="[-0.0723</t>
  </si>
  <si>
    <t>="[-0.0151</t>
  </si>
  <si>
    <t>0.0343]"</t>
  </si>
  <si>
    <t>="[-0.0277</t>
  </si>
  <si>
    <t>="[-0.0584</t>
  </si>
  <si>
    <t>-0.0261]"</t>
  </si>
  <si>
    <t>-0.0119]"</t>
  </si>
  <si>
    <t>="[-0.0491</t>
  </si>
  <si>
    <t>="[-0.0377</t>
  </si>
  <si>
    <t>="[-0.0657</t>
  </si>
  <si>
    <t>-0.0211]"</t>
  </si>
  <si>
    <t>="[-0.0184</t>
  </si>
  <si>
    <t>="[-0.0964</t>
  </si>
  <si>
    <t>-0.0466]"</t>
  </si>
  <si>
    <t>0.0596]"</t>
  </si>
  <si>
    <t>0.1265]"</t>
  </si>
  <si>
    <t>-0.0297]"</t>
  </si>
  <si>
    <t>0.1304]"</t>
  </si>
  <si>
    <t>="[0.0294</t>
  </si>
  <si>
    <t>0.0200]"</t>
  </si>
  <si>
    <t>="[0.0162</t>
  </si>
  <si>
    <t>0.0471]"</t>
  </si>
  <si>
    <t>="[0.0321</t>
  </si>
  <si>
    <t>0.0577]"</t>
  </si>
  <si>
    <t>="[0.0280</t>
  </si>
  <si>
    <t>0.0538]"</t>
  </si>
  <si>
    <t>0.0651]"</t>
  </si>
  <si>
    <t>="[0.0310</t>
  </si>
  <si>
    <t>0.0879]"</t>
  </si>
  <si>
    <t>0.0947]"</t>
  </si>
  <si>
    <t>0.1128]"</t>
  </si>
  <si>
    <t>0.0667]"</t>
  </si>
  <si>
    <t>0.0432]"</t>
  </si>
  <si>
    <t>="[0.0181</t>
  </si>
  <si>
    <t>0.0647]"</t>
  </si>
  <si>
    <t>="[-0.1127</t>
  </si>
  <si>
    <t>="[-0.2039</t>
  </si>
  <si>
    <t>="[-0.1587</t>
  </si>
  <si>
    <t>0.0973]"</t>
  </si>
  <si>
    <t>="[-0.1307</t>
  </si>
  <si>
    <t>="[-0.1559</t>
  </si>
  <si>
    <t>="[-0.1373</t>
  </si>
  <si>
    <t>="[-0.1281</t>
  </si>
  <si>
    <t>="[-0.1018</t>
  </si>
  <si>
    <t>="[-0.0861</t>
  </si>
  <si>
    <t>="[-0.0716</t>
  </si>
  <si>
    <t>="[-0.0541</t>
  </si>
  <si>
    <t>="[-0.0303</t>
  </si>
  <si>
    <t>="[-0.0210</t>
  </si>
  <si>
    <t>="[-0.0262</t>
  </si>
  <si>
    <t>="[-0.0342</t>
  </si>
  <si>
    <t>="[-0.0319</t>
  </si>
  <si>
    <t>="[-0.0381</t>
  </si>
  <si>
    <t>="[-0.0362</t>
  </si>
  <si>
    <t>="[-0.0366</t>
  </si>
  <si>
    <t>="[-0.0492</t>
  </si>
  <si>
    <t>="[-0.0557</t>
  </si>
  <si>
    <t>="[-0.0407</t>
  </si>
  <si>
    <t>="[-0.0474</t>
  </si>
  <si>
    <t>="[-0.0528</t>
  </si>
  <si>
    <t>0.0824]"</t>
  </si>
  <si>
    <t>0.0905]"</t>
  </si>
  <si>
    <t>="[-0.0596</t>
  </si>
  <si>
    <t>0.0743]"</t>
  </si>
  <si>
    <t>="[-0.0773</t>
  </si>
  <si>
    <t>0.0877]"</t>
  </si>
  <si>
    <t>="[-0.0875</t>
  </si>
  <si>
    <t>0.0843]"</t>
  </si>
  <si>
    <t>="[-0.1479</t>
  </si>
  <si>
    <t>0.1239]"</t>
  </si>
  <si>
    <t>0.5693]"</t>
  </si>
  <si>
    <t>="[-0.7069</t>
  </si>
  <si>
    <t>="[-1.0263</t>
  </si>
  <si>
    <t>-0.3346]"</t>
  </si>
  <si>
    <t>="[0.1170</t>
  </si>
  <si>
    <t>0.6056]"</t>
  </si>
  <si>
    <t>="[-1.2232</t>
  </si>
  <si>
    <t>-0.6362]"</t>
  </si>
  <si>
    <t>="[-0.2981</t>
  </si>
  <si>
    <t>0.1537]"</t>
  </si>
  <si>
    <t>="[-0.6010</t>
  </si>
  <si>
    <t>-0.1489]"</t>
  </si>
  <si>
    <t>="[-0.4755</t>
  </si>
  <si>
    <t>-0.0639]"</t>
  </si>
  <si>
    <t>="[-0.2044</t>
  </si>
  <si>
    <t>0.1547]"</t>
  </si>
  <si>
    <t>="[-0.6969</t>
  </si>
  <si>
    <t>-0.3657]"</t>
  </si>
  <si>
    <t>="[-0.5810</t>
  </si>
  <si>
    <t>-0.2810]"</t>
  </si>
  <si>
    <t>0.2881]"</t>
  </si>
  <si>
    <t>="[-0.1425</t>
  </si>
  <si>
    <t>="[-0.1334</t>
  </si>
  <si>
    <t>="[-0.1857</t>
  </si>
  <si>
    <t>-0.0374]"</t>
  </si>
  <si>
    <t>="[-0.1527</t>
  </si>
  <si>
    <t>0.1045]"</t>
  </si>
  <si>
    <t>0.1387]"</t>
  </si>
  <si>
    <t>="[0.0826</t>
  </si>
  <si>
    <t>0.1432]"</t>
  </si>
  <si>
    <t>="[0.1546</t>
  </si>
  <si>
    <t>0.2385]"</t>
  </si>
  <si>
    <t>="[0.1363</t>
  </si>
  <si>
    <t>="[0.0893</t>
  </si>
  <si>
    <t>0.1284]"</t>
  </si>
  <si>
    <t>="[-0.0699</t>
  </si>
  <si>
    <t>="[-0.0887</t>
  </si>
  <si>
    <t>="[-0.1052</t>
  </si>
  <si>
    <t>="[-0.0922</t>
  </si>
  <si>
    <t>="[-0.0946</t>
  </si>
  <si>
    <t>="[-0.1108</t>
  </si>
  <si>
    <t>="[-0.0970</t>
  </si>
  <si>
    <t>="[-0.0569</t>
  </si>
  <si>
    <t>="[-0.0534</t>
  </si>
  <si>
    <t>="[-0.1002</t>
  </si>
  <si>
    <t>="[-0.0608</t>
  </si>
  <si>
    <t>0.0383]"</t>
  </si>
  <si>
    <t>0.0652]"</t>
  </si>
  <si>
    <t>0.1282]"</t>
  </si>
  <si>
    <t>0.1248]"</t>
  </si>
  <si>
    <t>="[-0.0927</t>
  </si>
  <si>
    <t>="[-0.1154</t>
  </si>
  <si>
    <t>="[-0.0992</t>
  </si>
  <si>
    <t>="[-0.0885</t>
  </si>
  <si>
    <t>0.1578]"</t>
  </si>
  <si>
    <t>="[0.1268</t>
  </si>
  <si>
    <t>0.2398]"</t>
  </si>
  <si>
    <t>="[0.1197</t>
  </si>
  <si>
    <t>0.2336]"</t>
  </si>
  <si>
    <t>="[0.0770</t>
  </si>
  <si>
    <t>0.1886]"</t>
  </si>
  <si>
    <t>="[0.0610</t>
  </si>
  <si>
    <t>0.1733]"</t>
  </si>
  <si>
    <t>0.1698]"</t>
  </si>
  <si>
    <t>0.1057]"</t>
  </si>
  <si>
    <t>="[-0.2400</t>
  </si>
  <si>
    <t>-0.0265]"</t>
  </si>
  <si>
    <t>="[-0.1089</t>
  </si>
  <si>
    <t>0.0438]"</t>
  </si>
  <si>
    <t>="[-0.0807</t>
  </si>
  <si>
    <t>0.0670]"</t>
  </si>
  <si>
    <t>="[-0.0623</t>
  </si>
  <si>
    <t>0.1772]"</t>
  </si>
  <si>
    <t>="[0.1077</t>
  </si>
  <si>
    <t>0.2676]"</t>
  </si>
  <si>
    <t>="[0.1275</t>
  </si>
  <si>
    <t>0.2901]"</t>
  </si>
  <si>
    <t>0.2065]"</t>
  </si>
  <si>
    <t>="[-0.1594</t>
  </si>
  <si>
    <t>="[-0.2628</t>
  </si>
  <si>
    <t>-0.0800]"</t>
  </si>
  <si>
    <t>="[-0.2580</t>
  </si>
  <si>
    <t>="[0.1640</t>
  </si>
  <si>
    <t>0.3590]"</t>
  </si>
  <si>
    <t>0.2965]"</t>
  </si>
  <si>
    <t>0.2204]"</t>
  </si>
  <si>
    <t>0.2362]"</t>
  </si>
  <si>
    <t>0.2951]"</t>
  </si>
  <si>
    <t>="[0.1573</t>
  </si>
  <si>
    <t>0.4109]"</t>
  </si>
  <si>
    <t>="[-0.0322</t>
  </si>
  <si>
    <t>0.3137]"</t>
  </si>
  <si>
    <t>="[-0.1092</t>
  </si>
  <si>
    <t>0.1175]"</t>
  </si>
  <si>
    <t>0.2224]"</t>
  </si>
  <si>
    <t>="[-0.1299</t>
  </si>
  <si>
    <t>0.1138]"</t>
  </si>
  <si>
    <t>="[0.2119</t>
  </si>
  <si>
    <t>0.4721]"</t>
  </si>
  <si>
    <t>="[-0.1952</t>
  </si>
  <si>
    <t>0.1793]"</t>
  </si>
  <si>
    <t>0.1862]"</t>
  </si>
  <si>
    <t>="[0.0904</t>
  </si>
  <si>
    <t>="[0.1617</t>
  </si>
  <si>
    <t>0.1707]"</t>
  </si>
  <si>
    <t>="[0.3124</t>
  </si>
  <si>
    <t>0.4305]"</t>
  </si>
  <si>
    <t>="[0.6157</t>
  </si>
  <si>
    <t>0.7037]"</t>
  </si>
  <si>
    <t>="[0.8114</t>
  </si>
  <si>
    <t>0.8708]"</t>
  </si>
  <si>
    <t>="[0.9427</t>
  </si>
  <si>
    <t>1.0036]"</t>
  </si>
  <si>
    <t>="[1.0414</t>
  </si>
  <si>
    <t>1.0921]"</t>
  </si>
  <si>
    <t>="[1.1536</t>
  </si>
  <si>
    <t>1.2020]"</t>
  </si>
  <si>
    <t>="[1.2248</t>
  </si>
  <si>
    <t>1.2704]"</t>
  </si>
  <si>
    <t>="[1.3330</t>
  </si>
  <si>
    <t>1.3747]"</t>
  </si>
  <si>
    <t>="[1.3806</t>
  </si>
  <si>
    <t>1.4206]"</t>
  </si>
  <si>
    <t>="[1.4557</t>
  </si>
  <si>
    <t>1.4897]"</t>
  </si>
  <si>
    <t>="[1.5265</t>
  </si>
  <si>
    <t>1.5555]"</t>
  </si>
  <si>
    <t>="[1.5243</t>
  </si>
  <si>
    <t>1.5539]"</t>
  </si>
  <si>
    <t>="[1.6076</t>
  </si>
  <si>
    <t>1.6300]"</t>
  </si>
  <si>
    <t>="[1.6517</t>
  </si>
  <si>
    <t>1.6700]"</t>
  </si>
  <si>
    <t>="[1.6629</t>
  </si>
  <si>
    <t>1.6804]"</t>
  </si>
  <si>
    <t>1.7143]"</t>
  </si>
  <si>
    <t>="[1.7486</t>
  </si>
  <si>
    <t>1.7612]"</t>
  </si>
  <si>
    <t>="[1.7615</t>
  </si>
  <si>
    <t>1.7742]"</t>
  </si>
  <si>
    <t>="[1.7502</t>
  </si>
  <si>
    <t>1.7637]"</t>
  </si>
  <si>
    <t>="[1.7517</t>
  </si>
  <si>
    <t>1.7653]"</t>
  </si>
  <si>
    <t>="[1.7514</t>
  </si>
  <si>
    <t>1.7651]"</t>
  </si>
  <si>
    <t>="[1.7920</t>
  </si>
  <si>
    <t>1.8049]"</t>
  </si>
  <si>
    <t>="[1.7961</t>
  </si>
  <si>
    <t>1.8091]"</t>
  </si>
  <si>
    <t>="[1.8301</t>
  </si>
  <si>
    <t>1.8433]"</t>
  </si>
  <si>
    <t>="[1.8381</t>
  </si>
  <si>
    <t>1.8515]"</t>
  </si>
  <si>
    <t>="[1.8524</t>
  </si>
  <si>
    <t>1.8660]"</t>
  </si>
  <si>
    <t>="[1.8457</t>
  </si>
  <si>
    <t>1.8599]"</t>
  </si>
  <si>
    <t>="[1.8480</t>
  </si>
  <si>
    <t>1.8623]"</t>
  </si>
  <si>
    <t>="[1.8947</t>
  </si>
  <si>
    <t>1.9102]"</t>
  </si>
  <si>
    <t>="[1.9172</t>
  </si>
  <si>
    <t>1.9335]"</t>
  </si>
  <si>
    <t>="[1.9388</t>
  </si>
  <si>
    <t>1.9554]"</t>
  </si>
  <si>
    <t>="[1.9326</t>
  </si>
  <si>
    <t>1.9495]"</t>
  </si>
  <si>
    <t>="[1.9525</t>
  </si>
  <si>
    <t>1.9700]"</t>
  </si>
  <si>
    <t>1.9961]"</t>
  </si>
  <si>
    <t>="[2.0114</t>
  </si>
  <si>
    <t>2.0295]"</t>
  </si>
  <si>
    <t>="[2.0370</t>
  </si>
  <si>
    <t>2.0551]"</t>
  </si>
  <si>
    <t>="[2.0368</t>
  </si>
  <si>
    <t>2.0550]"</t>
  </si>
  <si>
    <t>="[2.0588</t>
  </si>
  <si>
    <t>2.0769]"</t>
  </si>
  <si>
    <t>="[2.0718</t>
  </si>
  <si>
    <t>2.0898]"</t>
  </si>
  <si>
    <t>="[2.0864</t>
  </si>
  <si>
    <t>2.1044]"</t>
  </si>
  <si>
    <t>="[2.1235</t>
  </si>
  <si>
    <t>2.1414]"</t>
  </si>
  <si>
    <t>="[2.1311</t>
  </si>
  <si>
    <t>2.1491]"</t>
  </si>
  <si>
    <t>="[2.1561</t>
  </si>
  <si>
    <t>2.1743]"</t>
  </si>
  <si>
    <t>="[2.1534</t>
  </si>
  <si>
    <t>2.1717]"</t>
  </si>
  <si>
    <t>="[2.1584</t>
  </si>
  <si>
    <t>2.1767]"</t>
  </si>
  <si>
    <t>="[2.2067</t>
  </si>
  <si>
    <t>2.2260]"</t>
  </si>
  <si>
    <t>="[2.2169</t>
  </si>
  <si>
    <t>2.2365]"</t>
  </si>
  <si>
    <t>="[2.2217</t>
  </si>
  <si>
    <t>2.2414]"</t>
  </si>
  <si>
    <t>="[2.2549</t>
  </si>
  <si>
    <t>2.2754]"</t>
  </si>
  <si>
    <t>="[2.2657</t>
  </si>
  <si>
    <t>2.2864]"</t>
  </si>
  <si>
    <t>="[2.3015</t>
  </si>
  <si>
    <t>2.3227]"</t>
  </si>
  <si>
    <t>="[2.3384</t>
  </si>
  <si>
    <t>2.3595]"</t>
  </si>
  <si>
    <t>="[2.3479</t>
  </si>
  <si>
    <t>2.3688]"</t>
  </si>
  <si>
    <t>="[2.3474</t>
  </si>
  <si>
    <t>2.3683]"</t>
  </si>
  <si>
    <t>="[2.3885</t>
  </si>
  <si>
    <t>2.4089]"</t>
  </si>
  <si>
    <t>="[2.4380</t>
  </si>
  <si>
    <t>2.4585]"</t>
  </si>
  <si>
    <t>="[2.4522</t>
  </si>
  <si>
    <t>2.4727]"</t>
  </si>
  <si>
    <t>="[2.4430</t>
  </si>
  <si>
    <t>2.4634]"</t>
  </si>
  <si>
    <t>="[2.4462</t>
  </si>
  <si>
    <t>2.4665]"</t>
  </si>
  <si>
    <t>="[2.4439</t>
  </si>
  <si>
    <t>2.4643]"</t>
  </si>
  <si>
    <t>="[2.4841</t>
  </si>
  <si>
    <t>2.5057]"</t>
  </si>
  <si>
    <t>="[2.5252</t>
  </si>
  <si>
    <t>2.5486]"</t>
  </si>
  <si>
    <t>="[2.5438</t>
  </si>
  <si>
    <t>2.5680]"</t>
  </si>
  <si>
    <t>="[2.5660</t>
  </si>
  <si>
    <t>2.5911]"</t>
  </si>
  <si>
    <t>="[2.5921</t>
  </si>
  <si>
    <t>2.6179]"</t>
  </si>
  <si>
    <t>="[2.6197</t>
  </si>
  <si>
    <t>2.6461]"</t>
  </si>
  <si>
    <t>="[2.6671</t>
  </si>
  <si>
    <t>2.6944]"</t>
  </si>
  <si>
    <t>="[2.6624</t>
  </si>
  <si>
    <t>2.6894]"</t>
  </si>
  <si>
    <t>="[2.7240</t>
  </si>
  <si>
    <t>2.7519]"</t>
  </si>
  <si>
    <t>="[2.7486</t>
  </si>
  <si>
    <t>2.7766]"</t>
  </si>
  <si>
    <t>="[2.7645</t>
  </si>
  <si>
    <t>2.7925]"</t>
  </si>
  <si>
    <t>="[2.8099</t>
  </si>
  <si>
    <t>2.8383]"</t>
  </si>
  <si>
    <t>="[2.8516</t>
  </si>
  <si>
    <t>2.8807]"</t>
  </si>
  <si>
    <t>="[2.8418</t>
  </si>
  <si>
    <t>2.8703]"</t>
  </si>
  <si>
    <t>="[2.8842</t>
  </si>
  <si>
    <t>2.9148]"</t>
  </si>
  <si>
    <t>="[2.9184</t>
  </si>
  <si>
    <t>2.9513]"</t>
  </si>
  <si>
    <t>="[2.9542</t>
  </si>
  <si>
    <t>2.9897]"</t>
  </si>
  <si>
    <t>="[3.0068</t>
  </si>
  <si>
    <t>3.0446]"</t>
  </si>
  <si>
    <t>="[3.0551</t>
  </si>
  <si>
    <t>3.0920]"</t>
  </si>
  <si>
    <t>="[3.1328</t>
  </si>
  <si>
    <t>3.1682]"</t>
  </si>
  <si>
    <t>="[3.1271</t>
  </si>
  <si>
    <t>3.1611]"</t>
  </si>
  <si>
    <t>="[3.1640</t>
  </si>
  <si>
    <t>3.1989]"</t>
  </si>
  <si>
    <t>="[3.2305</t>
  </si>
  <si>
    <t>3.2692]"</t>
  </si>
  <si>
    <t>="[3.2796</t>
  </si>
  <si>
    <t>3.3202]"</t>
  </si>
  <si>
    <t>="[3.3570</t>
  </si>
  <si>
    <t>3.3984]"</t>
  </si>
  <si>
    <t>="[3.3749</t>
  </si>
  <si>
    <t>3.4168]"</t>
  </si>
  <si>
    <t>="[3.4421</t>
  </si>
  <si>
    <t>3.4864]"</t>
  </si>
  <si>
    <t>="[3.5260</t>
  </si>
  <si>
    <t>3.5718]"</t>
  </si>
  <si>
    <t>="[3.6035</t>
  </si>
  <si>
    <t>3.6532]"</t>
  </si>
  <si>
    <t>="[3.6773</t>
  </si>
  <si>
    <t>3.7310]"</t>
  </si>
  <si>
    <t>="[3.8261</t>
  </si>
  <si>
    <t>3.8860]"</t>
  </si>
  <si>
    <t>="[3.9215</t>
  </si>
  <si>
    <t>3.9876]"</t>
  </si>
  <si>
    <t>="[4.0311</t>
  </si>
  <si>
    <t>4.0934]"</t>
  </si>
  <si>
    <t>="[4.2362</t>
  </si>
  <si>
    <t>4.3293]"</t>
  </si>
  <si>
    <t>="[4.4822</t>
  </si>
  <si>
    <t>4.5779]"</t>
  </si>
  <si>
    <t>="[4.7912</t>
  </si>
  <si>
    <t>4.9361]"</t>
  </si>
  <si>
    <t>="[0.0853</t>
  </si>
  <si>
    <t>0.0914]"</t>
  </si>
  <si>
    <t>="[0.1532</t>
  </si>
  <si>
    <t>="[0.2331</t>
  </si>
  <si>
    <t>0.3377]"</t>
  </si>
  <si>
    <t>="[0.5736</t>
  </si>
  <si>
    <t>0.6318]"</t>
  </si>
  <si>
    <t>="[0.7987</t>
  </si>
  <si>
    <t>0.8452]"</t>
  </si>
  <si>
    <t>="[0.8876</t>
  </si>
  <si>
    <t>0.9282]"</t>
  </si>
  <si>
    <t>="[1.0893</t>
  </si>
  <si>
    <t>1.1257]"</t>
  </si>
  <si>
    <t>="[1.1551</t>
  </si>
  <si>
    <t>1.1911]"</t>
  </si>
  <si>
    <t>="[1.2733</t>
  </si>
  <si>
    <t>1.3068]"</t>
  </si>
  <si>
    <t>="[1.3388</t>
  </si>
  <si>
    <t>1.3700]"</t>
  </si>
  <si>
    <t>="[1.3962</t>
  </si>
  <si>
    <t>1.4262]"</t>
  </si>
  <si>
    <t>="[1.4742</t>
  </si>
  <si>
    <t>1.5002]"</t>
  </si>
  <si>
    <t>="[1.5685</t>
  </si>
  <si>
    <t>1.5870]"</t>
  </si>
  <si>
    <t>="[1.5785</t>
  </si>
  <si>
    <t>1.5971]"</t>
  </si>
  <si>
    <t>="[1.6102</t>
  </si>
  <si>
    <t>1.6268]"</t>
  </si>
  <si>
    <t>="[1.6549</t>
  </si>
  <si>
    <t>1.6692]"</t>
  </si>
  <si>
    <t>="[1.6933</t>
  </si>
  <si>
    <t>1.7056]"</t>
  </si>
  <si>
    <t>="[1.7107</t>
  </si>
  <si>
    <t>1.7223]"</t>
  </si>
  <si>
    <t>="[1.7424</t>
  </si>
  <si>
    <t>1.7529]"</t>
  </si>
  <si>
    <t>="[1.7516</t>
  </si>
  <si>
    <t>1.7621]"</t>
  </si>
  <si>
    <t>="[1.7915</t>
  </si>
  <si>
    <t>1.8011]"</t>
  </si>
  <si>
    <t>="[1.7975</t>
  </si>
  <si>
    <t>1.8072]"</t>
  </si>
  <si>
    <t>="[1.7991</t>
  </si>
  <si>
    <t>1.8090]"</t>
  </si>
  <si>
    <t>="[1.8043</t>
  </si>
  <si>
    <t>1.8143]"</t>
  </si>
  <si>
    <t>="[1.8295</t>
  </si>
  <si>
    <t>1.8394]"</t>
  </si>
  <si>
    <t>="[1.8401</t>
  </si>
  <si>
    <t>1.8503]"</t>
  </si>
  <si>
    <t>="[1.8505</t>
  </si>
  <si>
    <t>1.8608]"</t>
  </si>
  <si>
    <t>="[1.8720</t>
  </si>
  <si>
    <t>1.8826]"</t>
  </si>
  <si>
    <t>="[1.8833</t>
  </si>
  <si>
    <t>1.8943]"</t>
  </si>
  <si>
    <t>="[1.8973</t>
  </si>
  <si>
    <t>1.9086]"</t>
  </si>
  <si>
    <t>="[1.9359</t>
  </si>
  <si>
    <t>1.9477]"</t>
  </si>
  <si>
    <t>="[1.9631</t>
  </si>
  <si>
    <t>1.9752]"</t>
  </si>
  <si>
    <t>="[1.9795</t>
  </si>
  <si>
    <t>1.9917]"</t>
  </si>
  <si>
    <t>="[1.9804</t>
  </si>
  <si>
    <t>1.9929]"</t>
  </si>
  <si>
    <t>="[1.9949</t>
  </si>
  <si>
    <t>2.0075]"</t>
  </si>
  <si>
    <t>="[2.0207</t>
  </si>
  <si>
    <t>2.0334]"</t>
  </si>
  <si>
    <t>="[2.0433</t>
  </si>
  <si>
    <t>2.0561]"</t>
  </si>
  <si>
    <t>="[2.0643</t>
  </si>
  <si>
    <t>2.0771]"</t>
  </si>
  <si>
    <t>="[2.0824</t>
  </si>
  <si>
    <t>2.0953]"</t>
  </si>
  <si>
    <t>="[2.1008</t>
  </si>
  <si>
    <t>2.1138]"</t>
  </si>
  <si>
    <t>="[2.1075</t>
  </si>
  <si>
    <t>2.1205]"</t>
  </si>
  <si>
    <t>="[2.1296</t>
  </si>
  <si>
    <t>2.1427]"</t>
  </si>
  <si>
    <t>="[2.1493</t>
  </si>
  <si>
    <t>2.1625]"</t>
  </si>
  <si>
    <t>="[2.1718</t>
  </si>
  <si>
    <t>2.1851]"</t>
  </si>
  <si>
    <t>="[2.1991</t>
  </si>
  <si>
    <t>2.2126]"</t>
  </si>
  <si>
    <t>="[2.2024</t>
  </si>
  <si>
    <t>2.2159]"</t>
  </si>
  <si>
    <t>="[2.2126</t>
  </si>
  <si>
    <t>2.2262]"</t>
  </si>
  <si>
    <t>="[2.2571</t>
  </si>
  <si>
    <t>2.2712]"</t>
  </si>
  <si>
    <t>="[2.2655</t>
  </si>
  <si>
    <t>2.2796]"</t>
  </si>
  <si>
    <t>="[2.2806</t>
  </si>
  <si>
    <t>2.2949]"</t>
  </si>
  <si>
    <t>="[2.3030</t>
  </si>
  <si>
    <t>2.3175]"</t>
  </si>
  <si>
    <t>="[2.3130</t>
  </si>
  <si>
    <t>2.3276]"</t>
  </si>
  <si>
    <t>="[2.3433</t>
  </si>
  <si>
    <t>2.3581]"</t>
  </si>
  <si>
    <t>="[2.3801</t>
  </si>
  <si>
    <t>2.3949]"</t>
  </si>
  <si>
    <t>="[2.3917</t>
  </si>
  <si>
    <t>2.4063]"</t>
  </si>
  <si>
    <t>="[2.3965</t>
  </si>
  <si>
    <t>2.4112]"</t>
  </si>
  <si>
    <t>="[2.4253</t>
  </si>
  <si>
    <t>2.4397]"</t>
  </si>
  <si>
    <t>="[2.4839</t>
  </si>
  <si>
    <t>2.4984]"</t>
  </si>
  <si>
    <t>="[2.4903</t>
  </si>
  <si>
    <t>2.5048]"</t>
  </si>
  <si>
    <t>="[2.4897</t>
  </si>
  <si>
    <t>2.5041]"</t>
  </si>
  <si>
    <t>="[2.4898</t>
  </si>
  <si>
    <t>2.5043]"</t>
  </si>
  <si>
    <t>="[2.5000</t>
  </si>
  <si>
    <t>2.5145]"</t>
  </si>
  <si>
    <t>="[2.5306</t>
  </si>
  <si>
    <t>2.5460]"</t>
  </si>
  <si>
    <t>="[2.5679</t>
  </si>
  <si>
    <t>2.5846]"</t>
  </si>
  <si>
    <t>="[2.5949</t>
  </si>
  <si>
    <t>2.6125]"</t>
  </si>
  <si>
    <t>="[2.6185</t>
  </si>
  <si>
    <t>2.6366]"</t>
  </si>
  <si>
    <t>="[2.6640</t>
  </si>
  <si>
    <t>2.6826]"</t>
  </si>
  <si>
    <t>="[2.6876</t>
  </si>
  <si>
    <t>2.7061]"</t>
  </si>
  <si>
    <t>="[2.7190</t>
  </si>
  <si>
    <t>2.7374]"</t>
  </si>
  <si>
    <t>="[2.7168</t>
  </si>
  <si>
    <t>2.7350]"</t>
  </si>
  <si>
    <t>="[2.7678</t>
  </si>
  <si>
    <t>2.7863]"</t>
  </si>
  <si>
    <t>="[2.7901</t>
  </si>
  <si>
    <t>2.8087]"</t>
  </si>
  <si>
    <t>="[2.8030</t>
  </si>
  <si>
    <t>2.8216]"</t>
  </si>
  <si>
    <t>="[2.8493</t>
  </si>
  <si>
    <t>2.8685]"</t>
  </si>
  <si>
    <t>="[2.8900</t>
  </si>
  <si>
    <t>2.9100]"</t>
  </si>
  <si>
    <t>="[2.8926</t>
  </si>
  <si>
    <t>2.9123]"</t>
  </si>
  <si>
    <t>="[2.9256</t>
  </si>
  <si>
    <t>2.9462]"</t>
  </si>
  <si>
    <t>="[2.9640</t>
  </si>
  <si>
    <t>2.9862]"</t>
  </si>
  <si>
    <t>="[3.0018</t>
  </si>
  <si>
    <t>3.0257]"</t>
  </si>
  <si>
    <t>="[3.0483</t>
  </si>
  <si>
    <t>3.0737]"</t>
  </si>
  <si>
    <t>="[3.0939</t>
  </si>
  <si>
    <t>3.1193]"</t>
  </si>
  <si>
    <t>="[3.1787</t>
  </si>
  <si>
    <t>3.2035]"</t>
  </si>
  <si>
    <t>="[3.1781</t>
  </si>
  <si>
    <t>3.2023]"</t>
  </si>
  <si>
    <t>="[3.2046</t>
  </si>
  <si>
    <t>3.2292]"</t>
  </si>
  <si>
    <t>="[3.2862</t>
  </si>
  <si>
    <t>3.3142]"</t>
  </si>
  <si>
    <t>="[3.3281</t>
  </si>
  <si>
    <t>3.3565]"</t>
  </si>
  <si>
    <t>="[3.4005</t>
  </si>
  <si>
    <t>3.4292]"</t>
  </si>
  <si>
    <t>="[3.4124</t>
  </si>
  <si>
    <t>3.4408]"</t>
  </si>
  <si>
    <t>="[3.5007</t>
  </si>
  <si>
    <t>3.5348]"</t>
  </si>
  <si>
    <t>="[3.5774</t>
  </si>
  <si>
    <t>3.6144]"</t>
  </si>
  <si>
    <t>="[3.6790</t>
  </si>
  <si>
    <t>3.7202]"</t>
  </si>
  <si>
    <t>="[3.7652</t>
  </si>
  <si>
    <t>3.8086]"</t>
  </si>
  <si>
    <t>="[3.8631</t>
  </si>
  <si>
    <t>3.9068]"</t>
  </si>
  <si>
    <t>="[3.9896</t>
  </si>
  <si>
    <t>4.0389]"</t>
  </si>
  <si>
    <t>="[4.0957</t>
  </si>
  <si>
    <t>4.1417]"</t>
  </si>
  <si>
    <t>="[4.3110</t>
  </si>
  <si>
    <t>4.3793]"</t>
  </si>
  <si>
    <t>="[4.5500</t>
  </si>
  <si>
    <t>4.6120]"</t>
  </si>
  <si>
    <t>="[4.9639</t>
  </si>
  <si>
    <t>5.0775]"</t>
  </si>
  <si>
    <t>0.1649]"</t>
  </si>
  <si>
    <t>0.1097]"</t>
  </si>
  <si>
    <t>="[-0.0708</t>
  </si>
  <si>
    <t>="[-0.0355</t>
  </si>
  <si>
    <t>-0.0195]"</t>
  </si>
  <si>
    <t>="[-0.0662</t>
  </si>
  <si>
    <t>-0.0312]"</t>
  </si>
  <si>
    <t>="[-0.0385</t>
  </si>
  <si>
    <t>-0.0171]"</t>
  </si>
  <si>
    <t>="[-0.0476</t>
  </si>
  <si>
    <t>-0.0311]"</t>
  </si>
  <si>
    <t>="[-0.0522</t>
  </si>
  <si>
    <t>-0.0355]"</t>
  </si>
  <si>
    <t>="[-0.0400</t>
  </si>
  <si>
    <t>-0.0236]"</t>
  </si>
  <si>
    <t>="[-0.0193</t>
  </si>
  <si>
    <t>="[-0.0450</t>
  </si>
  <si>
    <t>-0.0271]"</t>
  </si>
  <si>
    <t>-0.0387]"</t>
  </si>
  <si>
    <t>-0.0336]"</t>
  </si>
  <si>
    <t>="[-0.0489</t>
  </si>
  <si>
    <t>-0.0282]"</t>
  </si>
  <si>
    <t>="[-0.0561</t>
  </si>
  <si>
    <t>-0.0351]"</t>
  </si>
  <si>
    <t>-0.0291]"</t>
  </si>
  <si>
    <t>="[-0.0508</t>
  </si>
  <si>
    <t>-0.0289]"</t>
  </si>
  <si>
    <t>="[-0.0357</t>
  </si>
  <si>
    <t>="[-0.0540</t>
  </si>
  <si>
    <t>-0.0318]"</t>
  </si>
  <si>
    <t>-0.0283]"</t>
  </si>
  <si>
    <t>="[-0.0443</t>
  </si>
  <si>
    <t>="[-0.0346</t>
  </si>
  <si>
    <t>-0.0124]"</t>
  </si>
  <si>
    <t>-0.0293]"</t>
  </si>
  <si>
    <t>="[-0.0580</t>
  </si>
  <si>
    <t>-0.0352]"</t>
  </si>
  <si>
    <t>="[-0.0633</t>
  </si>
  <si>
    <t>-0.0405]"</t>
  </si>
  <si>
    <t>-0.0338]"</t>
  </si>
  <si>
    <t>="[-0.0684</t>
  </si>
  <si>
    <t>-0.0441]"</t>
  </si>
  <si>
    <t>="[-0.0576</t>
  </si>
  <si>
    <t>="[-0.0515</t>
  </si>
  <si>
    <t>-0.0257]"</t>
  </si>
  <si>
    <t>-0.0279]"</t>
  </si>
  <si>
    <t>="[-0.0587</t>
  </si>
  <si>
    <t>-0.0332]"</t>
  </si>
  <si>
    <t>="[-0.0463</t>
  </si>
  <si>
    <t>-0.0304]"</t>
  </si>
  <si>
    <t>-0.0226]"</t>
  </si>
  <si>
    <t>-0.0302]"</t>
  </si>
  <si>
    <t>-0.0250]"</t>
  </si>
  <si>
    <t>="[-0.0842</t>
  </si>
  <si>
    <t>-0.0524]"</t>
  </si>
  <si>
    <t>="[-0.0638</t>
  </si>
  <si>
    <t>-0.0310]"</t>
  </si>
  <si>
    <t>="[-0.0558</t>
  </si>
  <si>
    <t>-0.0223]"</t>
  </si>
  <si>
    <t>-0.0177]"</t>
  </si>
  <si>
    <t>="[-0.0637</t>
  </si>
  <si>
    <t>-0.0180]"</t>
  </si>
  <si>
    <t>="[-0.0632</t>
  </si>
  <si>
    <t>-0.0253]"</t>
  </si>
  <si>
    <t>-0.0141]"</t>
  </si>
  <si>
    <t>="[-0.0742</t>
  </si>
  <si>
    <t>-0.0264]"</t>
  </si>
  <si>
    <t>="[-0.0671</t>
  </si>
  <si>
    <t>-0.0176]"</t>
  </si>
  <si>
    <t>="[-0.1035</t>
  </si>
  <si>
    <t>="[-0.1173</t>
  </si>
  <si>
    <t>="[-0.0660</t>
  </si>
  <si>
    <t>="[-0.1009</t>
  </si>
  <si>
    <t>="[-0.0952</t>
  </si>
  <si>
    <t>="[-0.1079</t>
  </si>
  <si>
    <t>="[-0.2491</t>
  </si>
  <si>
    <t>-0.0650]"</t>
  </si>
  <si>
    <t>="[0.0260</t>
  </si>
  <si>
    <t>0.0387]"</t>
  </si>
  <si>
    <t>="[0.0275</t>
  </si>
  <si>
    <t>="[0.0328</t>
  </si>
  <si>
    <t>="[0.0357</t>
  </si>
  <si>
    <t>="[0.0394</t>
  </si>
  <si>
    <t>="[0.0403</t>
  </si>
  <si>
    <t>="[0.0431</t>
  </si>
  <si>
    <t>0.0698]"</t>
  </si>
  <si>
    <t>="[0.0542</t>
  </si>
  <si>
    <t>="[0.0543</t>
  </si>
  <si>
    <t>="[0.0549</t>
  </si>
  <si>
    <t>="[0.0550</t>
  </si>
  <si>
    <t>0.0774]"</t>
  </si>
  <si>
    <t>0.0787]"</t>
  </si>
  <si>
    <t>="[0.0639</t>
  </si>
  <si>
    <t>="[0.0682</t>
  </si>
  <si>
    <t>0.0937]"</t>
  </si>
  <si>
    <t>="[0.0658</t>
  </si>
  <si>
    <t>0.0871]"</t>
  </si>
  <si>
    <t>0.0959]"</t>
  </si>
  <si>
    <t>="[0.0680</t>
  </si>
  <si>
    <t>0.0906]"</t>
  </si>
  <si>
    <t>0.1101]"</t>
  </si>
  <si>
    <t>="[0.0860</t>
  </si>
  <si>
    <t>0.1151]"</t>
  </si>
  <si>
    <t>="[0.0852</t>
  </si>
  <si>
    <t>0.1070]"</t>
  </si>
  <si>
    <t>="[0.0807</t>
  </si>
  <si>
    <t>="[0.0696</t>
  </si>
  <si>
    <t>0.1224]"</t>
  </si>
  <si>
    <t>0.0964]"</t>
  </si>
  <si>
    <t>0.0836]"</t>
  </si>
  <si>
    <t>="[-0.0869</t>
  </si>
  <si>
    <t>="[-0.0433</t>
  </si>
  <si>
    <t>-0.0383]"</t>
  </si>
  <si>
    <t>-0.0118]"</t>
  </si>
  <si>
    <t>="[-0.0549</t>
  </si>
  <si>
    <t>-0.0384]"</t>
  </si>
  <si>
    <t>="[-0.0330</t>
  </si>
  <si>
    <t>-0.0170]"</t>
  </si>
  <si>
    <t>-0.0480]"</t>
  </si>
  <si>
    <t>="[-0.0673</t>
  </si>
  <si>
    <t>-0.0558]"</t>
  </si>
  <si>
    <t>-0.0216]"</t>
  </si>
  <si>
    <t>-0.0430]"</t>
  </si>
  <si>
    <t>-0.0319]"</t>
  </si>
  <si>
    <t>="[-0.0665</t>
  </si>
  <si>
    <t>-0.0512]"</t>
  </si>
  <si>
    <t>="[-0.0798</t>
  </si>
  <si>
    <t>-0.0643]"</t>
  </si>
  <si>
    <t>="[-0.0738</t>
  </si>
  <si>
    <t>-0.0573]"</t>
  </si>
  <si>
    <t>="[-0.0804</t>
  </si>
  <si>
    <t>-0.0630]"</t>
  </si>
  <si>
    <t>="[-0.0762</t>
  </si>
  <si>
    <t>-0.0585]"</t>
  </si>
  <si>
    <t>="[-0.0839</t>
  </si>
  <si>
    <t>-0.0660]"</t>
  </si>
  <si>
    <t>="[-0.0791</t>
  </si>
  <si>
    <t>="[-0.0802</t>
  </si>
  <si>
    <t>-0.0615]"</t>
  </si>
  <si>
    <t>-0.0513]"</t>
  </si>
  <si>
    <t>="[-0.0769</t>
  </si>
  <si>
    <t>="[-0.0853</t>
  </si>
  <si>
    <t>-0.0663]"</t>
  </si>
  <si>
    <t>="[-0.0689</t>
  </si>
  <si>
    <t>-0.0498]"</t>
  </si>
  <si>
    <t>-0.0752]"</t>
  </si>
  <si>
    <t>="[-0.1006</t>
  </si>
  <si>
    <t>-0.0811]"</t>
  </si>
  <si>
    <t>="[-0.0988</t>
  </si>
  <si>
    <t>-0.0785]"</t>
  </si>
  <si>
    <t>="[-0.0976</t>
  </si>
  <si>
    <t>="[-0.1088</t>
  </si>
  <si>
    <t>="[-0.0994</t>
  </si>
  <si>
    <t>-0.0781]"</t>
  </si>
  <si>
    <t>="[-0.0995</t>
  </si>
  <si>
    <t>-0.0780]"</t>
  </si>
  <si>
    <t>-0.0733]"</t>
  </si>
  <si>
    <t>-0.0740]"</t>
  </si>
  <si>
    <t>-0.0815]"</t>
  </si>
  <si>
    <t>-0.0794]"</t>
  </si>
  <si>
    <t>="[-0.0928</t>
  </si>
  <si>
    <t>-0.0715]"</t>
  </si>
  <si>
    <t>="[-0.0982</t>
  </si>
  <si>
    <t>-0.0770]"</t>
  </si>
  <si>
    <t>="[-0.1112</t>
  </si>
  <si>
    <t>="[-0.1049</t>
  </si>
  <si>
    <t>-0.0825]"</t>
  </si>
  <si>
    <t>="[-0.1067</t>
  </si>
  <si>
    <t>-0.0824]"</t>
  </si>
  <si>
    <t>="[-0.1195</t>
  </si>
  <si>
    <t>-0.0942]"</t>
  </si>
  <si>
    <t>="[-0.1233</t>
  </si>
  <si>
    <t>-0.0971]"</t>
  </si>
  <si>
    <t>="[-0.1448</t>
  </si>
  <si>
    <t>-0.1179]"</t>
  </si>
  <si>
    <t>="[-0.1244</t>
  </si>
  <si>
    <t>-0.0967]"</t>
  </si>
  <si>
    <t>="[-0.1263</t>
  </si>
  <si>
    <t>="[-0.1170</t>
  </si>
  <si>
    <t>-0.0886]"</t>
  </si>
  <si>
    <t>-0.0864]"</t>
  </si>
  <si>
    <t>="[-0.1121</t>
  </si>
  <si>
    <t>-0.0835]"</t>
  </si>
  <si>
    <t>-0.0861]"</t>
  </si>
  <si>
    <t>-0.0868]"</t>
  </si>
  <si>
    <t>-0.0983]"</t>
  </si>
  <si>
    <t>="[-0.1215</t>
  </si>
  <si>
    <t>-0.0895]"</t>
  </si>
  <si>
    <t>="[-0.1317</t>
  </si>
  <si>
    <t>="[-0.1398</t>
  </si>
  <si>
    <t>-0.1023]"</t>
  </si>
  <si>
    <t>="[-0.1385</t>
  </si>
  <si>
    <t>="[-0.1352</t>
  </si>
  <si>
    <t>-0.0955]"</t>
  </si>
  <si>
    <t>="[-0.1395</t>
  </si>
  <si>
    <t>-0.1010]"</t>
  </si>
  <si>
    <t>-0.1039]"</t>
  </si>
  <si>
    <t>="[-0.1294</t>
  </si>
  <si>
    <t>="[-0.1484</t>
  </si>
  <si>
    <t>-0.1030]"</t>
  </si>
  <si>
    <t>="[-0.1431</t>
  </si>
  <si>
    <t>="[-0.1336</t>
  </si>
  <si>
    <t>-0.0865]"</t>
  </si>
  <si>
    <t>="[-0.1714</t>
  </si>
  <si>
    <t>-0.1188]"</t>
  </si>
  <si>
    <t>="[-0.1713</t>
  </si>
  <si>
    <t>="[-0.2028</t>
  </si>
  <si>
    <t>-0.1408]"</t>
  </si>
  <si>
    <t>="[-0.2160</t>
  </si>
  <si>
    <t>-0.1490]"</t>
  </si>
  <si>
    <t>="[-0.1583</t>
  </si>
  <si>
    <t>-0.1137]"</t>
  </si>
  <si>
    <t>="[-0.1772</t>
  </si>
  <si>
    <t>-0.0997]"</t>
  </si>
  <si>
    <t>="[-0.2255</t>
  </si>
  <si>
    <t>-0.1082]"</t>
  </si>
  <si>
    <t>="[-0.1915</t>
  </si>
  <si>
    <t>-0.0757]"</t>
  </si>
  <si>
    <t>="[-0.3570</t>
  </si>
  <si>
    <t>0.0262]"</t>
  </si>
  <si>
    <t>="[0.0214</t>
  </si>
  <si>
    <t>0.0325]"</t>
  </si>
  <si>
    <t>="[0.0256</t>
  </si>
  <si>
    <t>="[0.0297</t>
  </si>
  <si>
    <t>="[0.0363</t>
  </si>
  <si>
    <t>="[0.0374</t>
  </si>
  <si>
    <t>="[0.0375</t>
  </si>
  <si>
    <t>="[0.0371</t>
  </si>
  <si>
    <t>0.0511]"</t>
  </si>
  <si>
    <t>0.0526]"</t>
  </si>
  <si>
    <t>0.0554]"</t>
  </si>
  <si>
    <t>="[0.0459</t>
  </si>
  <si>
    <t>="[0.0517</t>
  </si>
  <si>
    <t>0.0708]"</t>
  </si>
  <si>
    <t>="[0.0488</t>
  </si>
  <si>
    <t>0.0679]"</t>
  </si>
  <si>
    <t>="[0.0564</t>
  </si>
  <si>
    <t>0.0862]"</t>
  </si>
  <si>
    <t>="[0.0613</t>
  </si>
  <si>
    <t>="[0.0575</t>
  </si>
  <si>
    <t>0.0806]"</t>
  </si>
  <si>
    <t>0.0817]"</t>
  </si>
  <si>
    <t>0.0898]"</t>
  </si>
  <si>
    <t>="[0.0492</t>
  </si>
  <si>
    <t>="[0.0583</t>
  </si>
  <si>
    <t>0.0177]"</t>
  </si>
  <si>
    <t>="[-0.0134</t>
  </si>
  <si>
    <t>="[-0.1131</t>
  </si>
  <si>
    <t>="[-1.8223</t>
  </si>
  <si>
    <t>-0.2622]"</t>
  </si>
  <si>
    <t>="[-0.6628</t>
  </si>
  <si>
    <t>0.3736]"</t>
  </si>
  <si>
    <t>="[-0.8214</t>
  </si>
  <si>
    <t>="[-0.6810</t>
  </si>
  <si>
    <t>="[-0.5972</t>
  </si>
  <si>
    <t>-0.0422]"</t>
  </si>
  <si>
    <t>="[-0.6226</t>
  </si>
  <si>
    <t>-0.0833]"</t>
  </si>
  <si>
    <t>="[-0.5797</t>
  </si>
  <si>
    <t>-0.0949]"</t>
  </si>
  <si>
    <t>="[-0.5664</t>
  </si>
  <si>
    <t>-0.1380]"</t>
  </si>
  <si>
    <t>="[-0.6183</t>
  </si>
  <si>
    <t>-0.2189]"</t>
  </si>
  <si>
    <t>="[-0.5907</t>
  </si>
  <si>
    <t>-0.2575]"</t>
  </si>
  <si>
    <t>="[-0.3221</t>
  </si>
  <si>
    <t>-0.0620]"</t>
  </si>
  <si>
    <t>="[-0.3158</t>
  </si>
  <si>
    <t>-0.0588]"</t>
  </si>
  <si>
    <t>="[-0.3939</t>
  </si>
  <si>
    <t>-0.1938]"</t>
  </si>
  <si>
    <t>="[-0.3528</t>
  </si>
  <si>
    <t>-0.1903]"</t>
  </si>
  <si>
    <t>="[-0.2695</t>
  </si>
  <si>
    <t>="[-0.2826</t>
  </si>
  <si>
    <t>-0.1543]"</t>
  </si>
  <si>
    <t>="[-0.2583</t>
  </si>
  <si>
    <t>="[-0.2540</t>
  </si>
  <si>
    <t>-0.1460]"</t>
  </si>
  <si>
    <t>="[-0.1885</t>
  </si>
  <si>
    <t>-0.0845]"</t>
  </si>
  <si>
    <t>="[-0.1741</t>
  </si>
  <si>
    <t>="[-0.1706</t>
  </si>
  <si>
    <t>="[-0.1703</t>
  </si>
  <si>
    <t>-0.0707]"</t>
  </si>
  <si>
    <t>="[-0.1575</t>
  </si>
  <si>
    <t>-0.0590]"</t>
  </si>
  <si>
    <t>="[-0.1652</t>
  </si>
  <si>
    <t>="[-0.1689</t>
  </si>
  <si>
    <t>="[-0.1675</t>
  </si>
  <si>
    <t>="[-0.1740</t>
  </si>
  <si>
    <t>-0.0726]"</t>
  </si>
  <si>
    <t>-0.0753]"</t>
  </si>
  <si>
    <t>="[-0.1640</t>
  </si>
  <si>
    <t>="[-0.1710</t>
  </si>
  <si>
    <t>-0.0591]"</t>
  </si>
  <si>
    <t>="[-0.1605</t>
  </si>
  <si>
    <t>="[-0.1633</t>
  </si>
  <si>
    <t>-0.0500]"</t>
  </si>
  <si>
    <t>="[-0.1465</t>
  </si>
  <si>
    <t>-0.0320]"</t>
  </si>
  <si>
    <t>="[-0.1409</t>
  </si>
  <si>
    <t>-0.0252]"</t>
  </si>
  <si>
    <t>="[-0.1368</t>
  </si>
  <si>
    <t>-0.0206]"</t>
  </si>
  <si>
    <t>="[-0.1380</t>
  </si>
  <si>
    <t>="[-0.1441</t>
  </si>
  <si>
    <t>="[-0.1356</t>
  </si>
  <si>
    <t>="[-0.1442</t>
  </si>
  <si>
    <t>-0.0315]"</t>
  </si>
  <si>
    <t>="[-0.1489</t>
  </si>
  <si>
    <t>-0.0372]"</t>
  </si>
  <si>
    <t>="[-0.1324</t>
  </si>
  <si>
    <t>="[-0.1265</t>
  </si>
  <si>
    <t>="[-0.1335</t>
  </si>
  <si>
    <t>-0.0240]"</t>
  </si>
  <si>
    <t>="[-0.1229</t>
  </si>
  <si>
    <t>="[-0.1274</t>
  </si>
  <si>
    <t>="[-0.1350</t>
  </si>
  <si>
    <t>="[-0.1183</t>
  </si>
  <si>
    <t>="[-0.1118</t>
  </si>
  <si>
    <t>="[-0.1140</t>
  </si>
  <si>
    <t>="[-0.1273</t>
  </si>
  <si>
    <t>-0.0145]"</t>
  </si>
  <si>
    <t>="[-0.1208</t>
  </si>
  <si>
    <t>="[-0.1231</t>
  </si>
  <si>
    <t>="[-0.1211</t>
  </si>
  <si>
    <t>="[-0.1258</t>
  </si>
  <si>
    <t>="[-0.1312</t>
  </si>
  <si>
    <t>="[-0.1326</t>
  </si>
  <si>
    <t>="[-0.1466</t>
  </si>
  <si>
    <t>="[-0.1679</t>
  </si>
  <si>
    <t>-0.0472]"</t>
  </si>
  <si>
    <t>="[-0.1536</t>
  </si>
  <si>
    <t>="[-0.1023</t>
  </si>
  <si>
    <t>="[-0.0876</t>
  </si>
  <si>
    <t>="[-0.0776</t>
  </si>
  <si>
    <t>="[-0.1040</t>
  </si>
  <si>
    <t>="[-0.0858</t>
  </si>
  <si>
    <t>="[-0.1164</t>
  </si>
  <si>
    <t>="[-0.1359</t>
  </si>
  <si>
    <t>="[-0.1468</t>
  </si>
  <si>
    <t>="[-0.1523</t>
  </si>
  <si>
    <t>="[-0.1582</t>
  </si>
  <si>
    <t>-0.0382]"</t>
  </si>
  <si>
    <t>="[-0.1327</t>
  </si>
  <si>
    <t>="[-0.1399</t>
  </si>
  <si>
    <t>-0.0089]"</t>
  </si>
  <si>
    <t>="[-0.0979</t>
  </si>
  <si>
    <t>="[-0.0997</t>
  </si>
  <si>
    <t>="[-0.1770</t>
  </si>
  <si>
    <t>="[-0.1950</t>
  </si>
  <si>
    <t>-0.0262]"</t>
  </si>
  <si>
    <t>="[-0.2158</t>
  </si>
  <si>
    <t>="[-0.2156</t>
  </si>
  <si>
    <t>="[-0.1417</t>
  </si>
  <si>
    <t>0.0572]"</t>
  </si>
  <si>
    <t>="[-0.1766</t>
  </si>
  <si>
    <t>="[-0.4099</t>
  </si>
  <si>
    <t>-0.0640]"</t>
  </si>
  <si>
    <t>="[-0.8024</t>
  </si>
  <si>
    <t>="[-0.3970</t>
  </si>
  <si>
    <t>0.1241]"</t>
  </si>
  <si>
    <t>="[-0.3574</t>
  </si>
  <si>
    <t>="[-0.2409</t>
  </si>
  <si>
    <t>0.1071]"</t>
  </si>
  <si>
    <t>="[-0.2500</t>
  </si>
  <si>
    <t>="[-0.2469</t>
  </si>
  <si>
    <t>="[-0.2676</t>
  </si>
  <si>
    <t>="[-0.2654</t>
  </si>
  <si>
    <t>-0.0219]"</t>
  </si>
  <si>
    <t>="[-0.2427</t>
  </si>
  <si>
    <t>="[-0.1228</t>
  </si>
  <si>
    <t>="[-0.1060</t>
  </si>
  <si>
    <t>-0.0411]"</t>
  </si>
  <si>
    <t>-0.0478]"</t>
  </si>
  <si>
    <t>="[-0.1078</t>
  </si>
  <si>
    <t>-0.0614]"</t>
  </si>
  <si>
    <t>="[-0.1470</t>
  </si>
  <si>
    <t>="[-0.1048</t>
  </si>
  <si>
    <t>-0.0290]"</t>
  </si>
  <si>
    <t>="[-0.0980</t>
  </si>
  <si>
    <t>="[-0.1185</t>
  </si>
  <si>
    <t>-0.0451]"</t>
  </si>
  <si>
    <t>="[-0.1101</t>
  </si>
  <si>
    <t>="[-0.1138</t>
  </si>
  <si>
    <t>-0.0400]"</t>
  </si>
  <si>
    <t>="[-0.1287</t>
  </si>
  <si>
    <t>-0.0465]"</t>
  </si>
  <si>
    <t>-0.0483]"</t>
  </si>
  <si>
    <t>="[-0.1344</t>
  </si>
  <si>
    <t>-0.0459]"</t>
  </si>
  <si>
    <t>="[-0.1122</t>
  </si>
  <si>
    <t>="[-0.1114</t>
  </si>
  <si>
    <t>="[-0.0956</t>
  </si>
  <si>
    <t>="[-0.0983</t>
  </si>
  <si>
    <t>="[-0.0846</t>
  </si>
  <si>
    <t>="[-0.0954</t>
  </si>
  <si>
    <t>="[-0.1053</t>
  </si>
  <si>
    <t>="[-0.0819</t>
  </si>
  <si>
    <t>="[-0.0658</t>
  </si>
  <si>
    <t>="[-0.0737</t>
  </si>
  <si>
    <t>="[-0.0786</t>
  </si>
  <si>
    <t>="[-0.0837</t>
  </si>
  <si>
    <t>="[-0.0984</t>
  </si>
  <si>
    <t>="[-0.1230</t>
  </si>
  <si>
    <t>="[-0.1200</t>
  </si>
  <si>
    <t>="[-0.0763</t>
  </si>
  <si>
    <t>0.0429]"</t>
  </si>
  <si>
    <t>="[-0.0648</t>
  </si>
  <si>
    <t>="[-0.0678</t>
  </si>
  <si>
    <t>0.0433]"</t>
  </si>
  <si>
    <t>="[-0.0857</t>
  </si>
  <si>
    <t>="[-0.1012</t>
  </si>
  <si>
    <t>="[-0.1145</t>
  </si>
  <si>
    <t>="[-0.1217</t>
  </si>
  <si>
    <t>="[-0.1533</t>
  </si>
  <si>
    <t>="[-0.1879</t>
  </si>
  <si>
    <t>="[-0.1852</t>
  </si>
  <si>
    <t>="[-0.1554</t>
  </si>
  <si>
    <t>="[-0.1905</t>
  </si>
  <si>
    <t>-0.0354]"</t>
  </si>
  <si>
    <t>="[-0.1588</t>
  </si>
  <si>
    <t>="[-0.1396</t>
  </si>
  <si>
    <t>="[-0.2336</t>
  </si>
  <si>
    <t>-0.0470]"</t>
  </si>
  <si>
    <t>="[-0.2406</t>
  </si>
  <si>
    <t>="[-0.2260</t>
  </si>
  <si>
    <t>-0.0361]"</t>
  </si>
  <si>
    <t>="[-0.1674</t>
  </si>
  <si>
    <t>="[-0.2272</t>
  </si>
  <si>
    <t>="[-0.2833</t>
  </si>
  <si>
    <t>="[-0.2498</t>
  </si>
  <si>
    <t>="[-0.5311</t>
  </si>
  <si>
    <t>="[-0.0696</t>
  </si>
  <si>
    <t>="[-0.0327</t>
  </si>
  <si>
    <t>="[-0.0088</t>
  </si>
  <si>
    <t>0.0333]"</t>
  </si>
  <si>
    <t>0.0440]"</t>
  </si>
  <si>
    <t>="[-0.0631</t>
  </si>
  <si>
    <t>0.0678]"</t>
  </si>
  <si>
    <t>="[-0.0624</t>
  </si>
  <si>
    <t>0.1600]"</t>
  </si>
  <si>
    <t>0.2300]"</t>
  </si>
  <si>
    <t>0.0555]"</t>
  </si>
  <si>
    <t>0.0547]"</t>
  </si>
  <si>
    <t>="[-0.0214</t>
  </si>
  <si>
    <t>="[-0.0295</t>
  </si>
  <si>
    <t>0.0485]"</t>
  </si>
  <si>
    <t>="[-0.0480</t>
  </si>
  <si>
    <t>="[-0.0896</t>
  </si>
  <si>
    <t>0.0590]"</t>
  </si>
  <si>
    <t>="[-0.3245</t>
  </si>
  <si>
    <t>-0.1415]"</t>
  </si>
  <si>
    <t>0.0897]"</t>
  </si>
  <si>
    <t>="[-0.1065</t>
  </si>
  <si>
    <t>0.0604]"</t>
  </si>
  <si>
    <t>="[-0.0494</t>
  </si>
  <si>
    <t>="[-0.0475</t>
  </si>
  <si>
    <t>="[0.0456</t>
  </si>
  <si>
    <t>="[-0.0337</t>
  </si>
  <si>
    <t>-0.0133]"</t>
  </si>
  <si>
    <t>="[-0.0228</t>
  </si>
  <si>
    <t>="[-0.0140</t>
  </si>
  <si>
    <t>="[-0.0166</t>
  </si>
  <si>
    <t>0.0425]"</t>
  </si>
  <si>
    <t>0.0423]"</t>
  </si>
  <si>
    <t>="[-0.0458</t>
  </si>
  <si>
    <t>="[-0.0531</t>
  </si>
  <si>
    <t>0.0530]"</t>
  </si>
  <si>
    <t>="[-0.0647</t>
  </si>
  <si>
    <t>0.0307]"</t>
  </si>
  <si>
    <t>="[-0.1280</t>
  </si>
  <si>
    <t>="[-0.1819</t>
  </si>
  <si>
    <t>="[-0.0796</t>
  </si>
  <si>
    <t>-0.0255]"</t>
  </si>
  <si>
    <t>="[-0.0493</t>
  </si>
  <si>
    <t>-0.0143]"</t>
  </si>
  <si>
    <t>-0.0166]"</t>
  </si>
  <si>
    <t>="[-0.0323</t>
  </si>
  <si>
    <t>="[-0.0329</t>
  </si>
  <si>
    <t>="[-0.0411</t>
  </si>
  <si>
    <t>="[-0.0521</t>
  </si>
  <si>
    <t>="[-0.0516</t>
  </si>
  <si>
    <t>0.2590]"</t>
  </si>
  <si>
    <t>0.2740]"</t>
  </si>
  <si>
    <t>0.1933]"</t>
  </si>
  <si>
    <t>="[-0.1257</t>
  </si>
  <si>
    <t>0.0801]"</t>
  </si>
  <si>
    <t>="[-0.1670</t>
  </si>
  <si>
    <t>="[-0.1362</t>
  </si>
  <si>
    <t>="[-0.1197</t>
  </si>
  <si>
    <t>="[-0.1069</t>
  </si>
  <si>
    <t>="[-0.0860</t>
  </si>
  <si>
    <t>="[-0.0607</t>
  </si>
  <si>
    <t>="[-0.0529</t>
  </si>
  <si>
    <t>="[-0.0241</t>
  </si>
  <si>
    <t>0.0469]"</t>
  </si>
  <si>
    <t>0.0443]"</t>
  </si>
  <si>
    <t>0.0474]"</t>
  </si>
  <si>
    <t>0.0467]"</t>
  </si>
  <si>
    <t>0.0601]"</t>
  </si>
  <si>
    <t>="[-0.0161</t>
  </si>
  <si>
    <t>0.0675]"</t>
  </si>
  <si>
    <t>0.0692]"</t>
  </si>
  <si>
    <t>="[-0.0276</t>
  </si>
  <si>
    <t>="[-0.0321</t>
  </si>
  <si>
    <t>="[-0.0364</t>
  </si>
  <si>
    <t>="[-0.0380</t>
  </si>
  <si>
    <t>="[-0.0356</t>
  </si>
  <si>
    <t>="[-0.0447</t>
  </si>
  <si>
    <t>="[-0.0487</t>
  </si>
  <si>
    <t>="[-0.0553</t>
  </si>
  <si>
    <t>="[-0.0646</t>
  </si>
  <si>
    <t>="[-0.0409</t>
  </si>
  <si>
    <t>0.0575]"</t>
  </si>
  <si>
    <t>="[-0.0299</t>
  </si>
  <si>
    <t>0.1021]"</t>
  </si>
  <si>
    <t>="[0.4699</t>
  </si>
  <si>
    <t>2.2965]"</t>
  </si>
  <si>
    <t>="[-0.5130</t>
  </si>
  <si>
    <t>0.7260]"</t>
  </si>
  <si>
    <t>="[0.1428</t>
  </si>
  <si>
    <t>1.0173]"</t>
  </si>
  <si>
    <t>="[0.0307</t>
  </si>
  <si>
    <t>0.8474]"</t>
  </si>
  <si>
    <t>0.7473]"</t>
  </si>
  <si>
    <t>="[0.1953</t>
  </si>
  <si>
    <t>0.8618]"</t>
  </si>
  <si>
    <t>0.7642]"</t>
  </si>
  <si>
    <t>="[0.2595</t>
  </si>
  <si>
    <t>0.8078]"</t>
  </si>
  <si>
    <t>="[0.2904</t>
  </si>
  <si>
    <t>0.8033]"</t>
  </si>
  <si>
    <t>="[0.3664</t>
  </si>
  <si>
    <t>0.7975]"</t>
  </si>
  <si>
    <t>0.3294]"</t>
  </si>
  <si>
    <t>0.2836]"</t>
  </si>
  <si>
    <t>="[0.2673</t>
  </si>
  <si>
    <t>0.5309]"</t>
  </si>
  <si>
    <t>="[0.2731</t>
  </si>
  <si>
    <t>0.4885]"</t>
  </si>
  <si>
    <t>="[0.1175</t>
  </si>
  <si>
    <t>0.3131]"</t>
  </si>
  <si>
    <t>="[0.2095</t>
  </si>
  <si>
    <t>0.3809]"</t>
  </si>
  <si>
    <t>="[0.2514</t>
  </si>
  <si>
    <t>0.3985]"</t>
  </si>
  <si>
    <t>="[0.2409</t>
  </si>
  <si>
    <t>0.3864]"</t>
  </si>
  <si>
    <t>="[0.0712</t>
  </si>
  <si>
    <t>0.2156]"</t>
  </si>
  <si>
    <t>0.1758]"</t>
  </si>
  <si>
    <t>="[0.1094</t>
  </si>
  <si>
    <t>0.2483]"</t>
  </si>
  <si>
    <t>="[0.0968</t>
  </si>
  <si>
    <t>0.2356]"</t>
  </si>
  <si>
    <t>0.2378]"</t>
  </si>
  <si>
    <t>="[0.1043</t>
  </si>
  <si>
    <t>0.2467]"</t>
  </si>
  <si>
    <t>="[0.0824</t>
  </si>
  <si>
    <t>0.2274]"</t>
  </si>
  <si>
    <t>="[0.0540</t>
  </si>
  <si>
    <t>0.2131]"</t>
  </si>
  <si>
    <t>="[0.0255</t>
  </si>
  <si>
    <t>0.1872]"</t>
  </si>
  <si>
    <t>0.1575]"</t>
  </si>
  <si>
    <t>0.1474]"</t>
  </si>
  <si>
    <t>0.1251]"</t>
  </si>
  <si>
    <t>0.1383]"</t>
  </si>
  <si>
    <t>="[-0.0290</t>
  </si>
  <si>
    <t>0.1346]"</t>
  </si>
  <si>
    <t>0.1497]"</t>
  </si>
  <si>
    <t>="[-0.0440</t>
  </si>
  <si>
    <t>0.1174]"</t>
  </si>
  <si>
    <t>="[-0.0442</t>
  </si>
  <si>
    <t>0.1187]"</t>
  </si>
  <si>
    <t>="[-0.0571</t>
  </si>
  <si>
    <t>0.0770]"</t>
  </si>
  <si>
    <t>="[-0.1155</t>
  </si>
  <si>
    <t>="[-0.1206</t>
  </si>
  <si>
    <t>="[-0.1165</t>
  </si>
  <si>
    <t>0.0592]"</t>
  </si>
  <si>
    <t>="[-0.1298</t>
  </si>
  <si>
    <t>="[-0.0900</t>
  </si>
  <si>
    <t>0.0732]"</t>
  </si>
  <si>
    <t>0.0797]"</t>
  </si>
  <si>
    <t>0.0875]"</t>
  </si>
  <si>
    <t>="[-0.0682</t>
  </si>
  <si>
    <t>0.0841]"</t>
  </si>
  <si>
    <t>="[-0.0717</t>
  </si>
  <si>
    <t>0.0960]"</t>
  </si>
  <si>
    <t>0.1211]"</t>
  </si>
  <si>
    <t>="[-0.0439</t>
  </si>
  <si>
    <t>0.1435]"</t>
  </si>
  <si>
    <t>="[-0.0990</t>
  </si>
  <si>
    <t>0.0998]"</t>
  </si>
  <si>
    <t>="[-0.1276</t>
  </si>
  <si>
    <t>0.0723]"</t>
  </si>
  <si>
    <t>="[-0.1593</t>
  </si>
  <si>
    <t>="[-0.1628</t>
  </si>
  <si>
    <t>="[-0.1778</t>
  </si>
  <si>
    <t>="[-0.1829</t>
  </si>
  <si>
    <t>="[-0.1712</t>
  </si>
  <si>
    <t>="[-0.1097</t>
  </si>
  <si>
    <t>="[-0.1219</t>
  </si>
  <si>
    <t>="[-0.1061</t>
  </si>
  <si>
    <t>0.0978]"</t>
  </si>
  <si>
    <t>="[-0.0611</t>
  </si>
  <si>
    <t>0.1590]"</t>
  </si>
  <si>
    <t>0.1676]"</t>
  </si>
  <si>
    <t>0.1734]"</t>
  </si>
  <si>
    <t>0.1345]"</t>
  </si>
  <si>
    <t>0.1081]"</t>
  </si>
  <si>
    <t>="[-0.1849</t>
  </si>
  <si>
    <t>0.2029]"</t>
  </si>
  <si>
    <t>="[-0.0431</t>
  </si>
  <si>
    <t>0.2211]"</t>
  </si>
  <si>
    <t>0.2275]"</t>
  </si>
  <si>
    <t>="[-0.0834</t>
  </si>
  <si>
    <t>0.2148]"</t>
  </si>
  <si>
    <t>0.1613]"</t>
  </si>
  <si>
    <t>="[-0.1996</t>
  </si>
  <si>
    <t>0.1420]"</t>
  </si>
  <si>
    <t>="[-0.1247</t>
  </si>
  <si>
    <t>0.1813]"</t>
  </si>
  <si>
    <t>="[-0.1673</t>
  </si>
  <si>
    <t>0.2795]"</t>
  </si>
  <si>
    <t>="[-0.0482</t>
  </si>
  <si>
    <t>0.3393]"</t>
  </si>
  <si>
    <t>0.5818]"</t>
  </si>
  <si>
    <t>educ_total_lower_ci</t>
  </si>
  <si>
    <t>educ_total_upper_ci</t>
  </si>
  <si>
    <t>exper_total_lower_ci</t>
  </si>
  <si>
    <t>exper_total_upper_ci</t>
  </si>
  <si>
    <t>feminino_lower_ci</t>
  </si>
  <si>
    <t>feminino_upper_ci</t>
  </si>
  <si>
    <t>ppi_lower_ci</t>
  </si>
  <si>
    <t>ppi_upper_ci</t>
  </si>
  <si>
    <t>rural_lower_ci</t>
  </si>
  <si>
    <t>rural_upper_ci</t>
  </si>
  <si>
    <t>formal_lower_ci</t>
  </si>
  <si>
    <t>formal_upper_ci</t>
  </si>
  <si>
    <t>regiao_lower_ci</t>
  </si>
  <si>
    <t>regiao_upper_ci</t>
  </si>
  <si>
    <t>setor_lower_ci</t>
  </si>
  <si>
    <t>setor_upper_ci</t>
  </si>
  <si>
    <t>cons_lower_ci</t>
  </si>
  <si>
    <t>cons_upper_ci</t>
  </si>
  <si>
    <t>_cons_lower_ci</t>
  </si>
  <si>
    <t>_cons_upper_ci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</si>
</sst>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33" borderId="0" xfId="0" applyFill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B2C88-3677-8748-A9D2-3D10995D09A2}">
  <sheetPr codeName="Planilha11">
    <tabColor theme="4"/>
  </sheetPr>
  <dimension ref="A1:I8"/>
  <sheetViews>
    <sheetView showGridLines="0" workbookViewId="0">
      <selection activeCell="C5" sqref="C5"/>
    </sheetView>
  </sheetViews>
  <sheetFormatPr baseColWidth="10" defaultColWidth="0" defaultRowHeight="16" zeroHeight="1" x14ac:dyDescent="0.2"/>
  <cols>
    <col min="1" max="9" width="10.83203125" customWidth="1"/>
    <col min="10" max="16384" width="10.83203125" hidden="1"/>
  </cols>
  <sheetData>
    <row r="1" spans="1:6" x14ac:dyDescent="0.2">
      <c r="B1" t="s">
        <v>236</v>
      </c>
      <c r="F1" t="s">
        <v>2515</v>
      </c>
    </row>
    <row r="2" spans="1:6" x14ac:dyDescent="0.2">
      <c r="A2">
        <v>1</v>
      </c>
      <c r="B2" t="s">
        <v>234</v>
      </c>
      <c r="E2">
        <v>1</v>
      </c>
      <c r="F2" t="s">
        <v>2516</v>
      </c>
    </row>
    <row r="3" spans="1:6" x14ac:dyDescent="0.2">
      <c r="A3">
        <v>2</v>
      </c>
      <c r="B3" t="s">
        <v>235</v>
      </c>
      <c r="E3">
        <v>2</v>
      </c>
      <c r="F3" t="s">
        <v>235</v>
      </c>
    </row>
    <row r="4" spans="1:6" x14ac:dyDescent="0.2">
      <c r="A4">
        <v>3</v>
      </c>
      <c r="B4" t="s">
        <v>237</v>
      </c>
      <c r="E4">
        <v>3</v>
      </c>
      <c r="F4" t="s">
        <v>237</v>
      </c>
    </row>
    <row r="5" spans="1:6" x14ac:dyDescent="0.2">
      <c r="A5">
        <v>4</v>
      </c>
      <c r="B5" t="s">
        <v>238</v>
      </c>
      <c r="E5">
        <v>4</v>
      </c>
      <c r="F5" t="s">
        <v>2517</v>
      </c>
    </row>
    <row r="6" spans="1:6" x14ac:dyDescent="0.2">
      <c r="A6">
        <v>5</v>
      </c>
      <c r="B6" t="s">
        <v>239</v>
      </c>
      <c r="E6">
        <v>5</v>
      </c>
      <c r="F6" t="s">
        <v>240</v>
      </c>
    </row>
    <row r="7" spans="1:6" x14ac:dyDescent="0.2">
      <c r="A7">
        <v>6</v>
      </c>
      <c r="B7" t="s">
        <v>240</v>
      </c>
    </row>
    <row r="8" spans="1:6" x14ac:dyDescent="0.2"/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2282F-9DEB-7747-8B4C-38D4EAAA2B84}">
  <sheetPr codeName="Planilha10">
    <tabColor theme="5"/>
  </sheetPr>
  <dimension ref="A1:CX357"/>
  <sheetViews>
    <sheetView tabSelected="1" topLeftCell="A310" zoomScale="85" zoomScaleNormal="130" workbookViewId="0">
      <selection activeCell="C347" sqref="C347"/>
    </sheetView>
  </sheetViews>
  <sheetFormatPr baseColWidth="10" defaultRowHeight="16" x14ac:dyDescent="0.2"/>
  <cols>
    <col min="1" max="1" width="17.33203125" customWidth="1"/>
  </cols>
  <sheetData>
    <row r="1" spans="1:10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</row>
    <row r="2" spans="1:102" x14ac:dyDescent="0.2">
      <c r="A2" t="s">
        <v>203</v>
      </c>
      <c r="B2" t="s">
        <v>217</v>
      </c>
      <c r="C2" t="s">
        <v>102</v>
      </c>
      <c r="D2">
        <f>'2012_2015'!B2</f>
        <v>0.19900000000000001</v>
      </c>
      <c r="E2">
        <f>'2012_2015'!C2</f>
        <v>0.54900000000000004</v>
      </c>
      <c r="F2">
        <f>'2012_2015'!D2</f>
        <v>0.80400000000000005</v>
      </c>
      <c r="G2">
        <f>'2012_2015'!E2</f>
        <v>0.96</v>
      </c>
      <c r="H2">
        <f>'2012_2015'!F2</f>
        <v>1.1299999999999999</v>
      </c>
      <c r="I2">
        <f>'2012_2015'!G2</f>
        <v>1.1879999999999999</v>
      </c>
      <c r="J2">
        <f>'2012_2015'!H2</f>
        <v>1.3149999999999999</v>
      </c>
      <c r="K2">
        <f>'2012_2015'!I2</f>
        <v>1.3660000000000001</v>
      </c>
      <c r="L2">
        <f>'2012_2015'!J2</f>
        <v>1.4379999999999999</v>
      </c>
      <c r="M2">
        <f>'2012_2015'!K2</f>
        <v>1.5069999999999999</v>
      </c>
      <c r="N2">
        <f>'2012_2015'!L2</f>
        <v>1.5469999999999999</v>
      </c>
      <c r="O2">
        <f>'2012_2015'!M2</f>
        <v>1.5940000000000001</v>
      </c>
      <c r="P2">
        <f>'2012_2015'!N2</f>
        <v>1.6220000000000001</v>
      </c>
      <c r="Q2">
        <f>'2012_2015'!O2</f>
        <v>1.6379999999999999</v>
      </c>
      <c r="R2">
        <f>'2012_2015'!P2</f>
        <v>1.647</v>
      </c>
      <c r="S2">
        <f>'2012_2015'!Q2</f>
        <v>1.6679999999999999</v>
      </c>
      <c r="T2">
        <f>'2012_2015'!R2</f>
        <v>1.694</v>
      </c>
      <c r="U2">
        <f>'2012_2015'!S2</f>
        <v>1.7090000000000001</v>
      </c>
      <c r="V2">
        <f>'2012_2015'!T2</f>
        <v>1.7190000000000001</v>
      </c>
      <c r="W2">
        <f>'2012_2015'!U2</f>
        <v>1.73</v>
      </c>
      <c r="X2">
        <f>'2012_2015'!V2</f>
        <v>1.752</v>
      </c>
      <c r="Y2">
        <f>'2012_2015'!W2</f>
        <v>1.77</v>
      </c>
      <c r="Z2">
        <f>'2012_2015'!X2</f>
        <v>1.7949999999999999</v>
      </c>
      <c r="AA2">
        <f>'2012_2015'!Y2</f>
        <v>1.8069999999999999</v>
      </c>
      <c r="AB2">
        <f>'2012_2015'!Z2</f>
        <v>1.8069999999999999</v>
      </c>
      <c r="AC2">
        <f>'2012_2015'!AA2</f>
        <v>1.8169999999999999</v>
      </c>
      <c r="AD2">
        <f>'2012_2015'!AB2</f>
        <v>1.823</v>
      </c>
      <c r="AE2">
        <f>'2012_2015'!AC2</f>
        <v>1.827</v>
      </c>
      <c r="AF2">
        <f>'2012_2015'!AD2</f>
        <v>1.8380000000000001</v>
      </c>
      <c r="AG2">
        <f>'2012_2015'!AE2</f>
        <v>1.8520000000000001</v>
      </c>
      <c r="AH2">
        <f>'2012_2015'!AF2</f>
        <v>1.8620000000000001</v>
      </c>
      <c r="AI2">
        <f>'2012_2015'!AG2</f>
        <v>1.877</v>
      </c>
      <c r="AJ2">
        <f>'2012_2015'!AH2</f>
        <v>1.903</v>
      </c>
      <c r="AK2">
        <f>'2012_2015'!AI2</f>
        <v>1.9239999999999999</v>
      </c>
      <c r="AL2">
        <f>'2012_2015'!AJ2</f>
        <v>1.9370000000000001</v>
      </c>
      <c r="AM2">
        <f>'2012_2015'!AK2</f>
        <v>1.952</v>
      </c>
      <c r="AN2">
        <f>'2012_2015'!AL2</f>
        <v>1.96</v>
      </c>
      <c r="AO2">
        <f>'2012_2015'!AM2</f>
        <v>1.9750000000000001</v>
      </c>
      <c r="AP2">
        <f>'2012_2015'!AN2</f>
        <v>2.0059999999999998</v>
      </c>
      <c r="AQ2">
        <f>'2012_2015'!AO2</f>
        <v>2.0369999999999999</v>
      </c>
      <c r="AR2">
        <f>'2012_2015'!AP2</f>
        <v>2.0409999999999999</v>
      </c>
      <c r="AS2">
        <f>'2012_2015'!AQ2</f>
        <v>2.048</v>
      </c>
      <c r="AT2">
        <f>'2012_2015'!AR2</f>
        <v>2.0579999999999998</v>
      </c>
      <c r="AU2">
        <f>'2012_2015'!AS2</f>
        <v>2.0720000000000001</v>
      </c>
      <c r="AV2">
        <f>'2012_2015'!AT2</f>
        <v>2.0699999999999998</v>
      </c>
      <c r="AW2">
        <f>'2012_2015'!AU2</f>
        <v>2.097</v>
      </c>
      <c r="AX2">
        <f>'2012_2015'!AV2</f>
        <v>2.121</v>
      </c>
      <c r="AY2">
        <f>'2012_2015'!AW2</f>
        <v>2.1339999999999999</v>
      </c>
      <c r="AZ2">
        <f>'2012_2015'!AX2</f>
        <v>2.1469999999999998</v>
      </c>
      <c r="BA2">
        <f>'2012_2015'!AY2</f>
        <v>2.1629999999999998</v>
      </c>
      <c r="BB2">
        <f>'2012_2015'!AZ2</f>
        <v>2.1970000000000001</v>
      </c>
      <c r="BC2">
        <f>'2012_2015'!BA2</f>
        <v>2.222</v>
      </c>
      <c r="BD2">
        <f>'2012_2015'!BB2</f>
        <v>2.2269999999999999</v>
      </c>
      <c r="BE2">
        <f>'2012_2015'!BC2</f>
        <v>2.2469999999999999</v>
      </c>
      <c r="BF2">
        <f>'2012_2015'!BD2</f>
        <v>2.2450000000000001</v>
      </c>
      <c r="BG2">
        <f>'2012_2015'!BE2</f>
        <v>2.2719999999999998</v>
      </c>
      <c r="BH2">
        <f>'2012_2015'!BF2</f>
        <v>2.2890000000000001</v>
      </c>
      <c r="BI2">
        <f>'2012_2015'!BG2</f>
        <v>2.3130000000000002</v>
      </c>
      <c r="BJ2">
        <f>'2012_2015'!BH2</f>
        <v>2.3290000000000002</v>
      </c>
      <c r="BK2">
        <f>'2012_2015'!BI2</f>
        <v>2.35</v>
      </c>
      <c r="BL2">
        <f>'2012_2015'!BJ2</f>
        <v>2.3610000000000002</v>
      </c>
      <c r="BM2">
        <f>'2012_2015'!BK2</f>
        <v>2.3879999999999999</v>
      </c>
      <c r="BN2">
        <f>'2012_2015'!BL2</f>
        <v>2.41</v>
      </c>
      <c r="BO2">
        <f>'2012_2015'!BM2</f>
        <v>2.4409999999999998</v>
      </c>
      <c r="BP2">
        <f>'2012_2015'!BN2</f>
        <v>2.4500000000000002</v>
      </c>
      <c r="BQ2">
        <f>'2012_2015'!BO2</f>
        <v>2.472</v>
      </c>
      <c r="BR2">
        <f>'2012_2015'!BP2</f>
        <v>2.476</v>
      </c>
      <c r="BS2">
        <f>'2012_2015'!BQ2</f>
        <v>2.5110000000000001</v>
      </c>
      <c r="BT2">
        <f>'2012_2015'!BR2</f>
        <v>2.5310000000000001</v>
      </c>
      <c r="BU2">
        <f>'2012_2015'!BS2</f>
        <v>2.5529999999999999</v>
      </c>
      <c r="BV2">
        <f>'2012_2015'!BT2</f>
        <v>2.577</v>
      </c>
      <c r="BW2">
        <f>'2012_2015'!BU2</f>
        <v>2.6070000000000002</v>
      </c>
      <c r="BX2">
        <f>'2012_2015'!BV2</f>
        <v>2.6360000000000001</v>
      </c>
      <c r="BY2">
        <f>'2012_2015'!BW2</f>
        <v>2.657</v>
      </c>
      <c r="BZ2">
        <f>'2012_2015'!BX2</f>
        <v>2.71</v>
      </c>
      <c r="CA2">
        <f>'2012_2015'!BY2</f>
        <v>2.7410000000000001</v>
      </c>
      <c r="CB2">
        <f>'2012_2015'!BZ2</f>
        <v>2.7519999999999998</v>
      </c>
      <c r="CC2">
        <f>'2012_2015'!CA2</f>
        <v>2.7789999999999999</v>
      </c>
      <c r="CD2">
        <f>'2012_2015'!CB2</f>
        <v>2.7829999999999999</v>
      </c>
      <c r="CE2">
        <f>'2012_2015'!CC2</f>
        <v>2.84</v>
      </c>
      <c r="CF2">
        <f>'2012_2015'!CD2</f>
        <v>2.879</v>
      </c>
      <c r="CG2">
        <f>'2012_2015'!CE2</f>
        <v>2.9359999999999999</v>
      </c>
      <c r="CH2">
        <f>'2012_2015'!CF2</f>
        <v>2.9710000000000001</v>
      </c>
      <c r="CI2">
        <f>'2012_2015'!CG2</f>
        <v>3.0030000000000001</v>
      </c>
      <c r="CJ2">
        <f>'2012_2015'!CH2</f>
        <v>3.0510000000000002</v>
      </c>
      <c r="CK2">
        <f>'2012_2015'!CI2</f>
        <v>3.1179999999999999</v>
      </c>
      <c r="CL2">
        <f>'2012_2015'!CJ2</f>
        <v>3.1560000000000001</v>
      </c>
      <c r="CM2">
        <f>'2012_2015'!CK2</f>
        <v>3.1930000000000001</v>
      </c>
      <c r="CN2">
        <f>'2012_2015'!CL2</f>
        <v>3.27</v>
      </c>
      <c r="CO2">
        <f>'2012_2015'!CM2</f>
        <v>3.3290000000000002</v>
      </c>
      <c r="CP2">
        <f>'2012_2015'!CN2</f>
        <v>3.427</v>
      </c>
      <c r="CQ2">
        <f>'2012_2015'!CO2</f>
        <v>3.4489999999999998</v>
      </c>
      <c r="CR2">
        <f>'2012_2015'!CP2</f>
        <v>3.5630000000000002</v>
      </c>
      <c r="CS2">
        <f>'2012_2015'!CQ2</f>
        <v>3.66</v>
      </c>
      <c r="CT2">
        <f>'2012_2015'!CR2</f>
        <v>3.7480000000000002</v>
      </c>
      <c r="CU2">
        <f>'2012_2015'!CS2</f>
        <v>3.8969999999999998</v>
      </c>
      <c r="CV2">
        <f>'2012_2015'!CT2</f>
        <v>4.0730000000000004</v>
      </c>
      <c r="CW2">
        <f>'2012_2015'!CU2</f>
        <v>4.2949999999999999</v>
      </c>
      <c r="CX2">
        <f>'2012_2015'!CV2</f>
        <v>4.6260000000000003</v>
      </c>
    </row>
    <row r="3" spans="1:102" x14ac:dyDescent="0.2">
      <c r="A3" t="s">
        <v>204</v>
      </c>
      <c r="B3" t="s">
        <v>217</v>
      </c>
      <c r="C3" t="s">
        <v>102</v>
      </c>
      <c r="D3">
        <f>'2012_2015'!B3</f>
        <v>-7.6999999999999999E-2</v>
      </c>
      <c r="E3">
        <f>'2012_2015'!C3</f>
        <v>0.30599999999999999</v>
      </c>
      <c r="F3">
        <f>'2012_2015'!D3</f>
        <v>0.53600000000000003</v>
      </c>
      <c r="G3">
        <f>'2012_2015'!E3</f>
        <v>0.69099999999999995</v>
      </c>
      <c r="H3">
        <f>'2012_2015'!F3</f>
        <v>0.85599999999999998</v>
      </c>
      <c r="I3">
        <f>'2012_2015'!G3</f>
        <v>0.96299999999999997</v>
      </c>
      <c r="J3">
        <f>'2012_2015'!H3</f>
        <v>1.0529999999999999</v>
      </c>
      <c r="K3">
        <f>'2012_2015'!I3</f>
        <v>1.149</v>
      </c>
      <c r="L3">
        <f>'2012_2015'!J3</f>
        <v>1.22</v>
      </c>
      <c r="M3">
        <f>'2012_2015'!K3</f>
        <v>1.3089999999999999</v>
      </c>
      <c r="N3">
        <f>'2012_2015'!L3</f>
        <v>1.34</v>
      </c>
      <c r="O3">
        <f>'2012_2015'!M3</f>
        <v>1.389</v>
      </c>
      <c r="P3">
        <f>'2012_2015'!N3</f>
        <v>1.4359999999999999</v>
      </c>
      <c r="Q3">
        <f>'2012_2015'!O3</f>
        <v>1.468</v>
      </c>
      <c r="R3">
        <f>'2012_2015'!P3</f>
        <v>1.5089999999999999</v>
      </c>
      <c r="S3">
        <f>'2012_2015'!Q3</f>
        <v>1.536</v>
      </c>
      <c r="T3">
        <f>'2012_2015'!R3</f>
        <v>1.5549999999999999</v>
      </c>
      <c r="U3">
        <f>'2012_2015'!S3</f>
        <v>1.5680000000000001</v>
      </c>
      <c r="V3">
        <f>'2012_2015'!T3</f>
        <v>1.59</v>
      </c>
      <c r="W3">
        <f>'2012_2015'!U3</f>
        <v>1.6060000000000001</v>
      </c>
      <c r="X3">
        <f>'2012_2015'!V3</f>
        <v>1.627</v>
      </c>
      <c r="Y3">
        <f>'2012_2015'!W3</f>
        <v>1.641</v>
      </c>
      <c r="Z3">
        <f>'2012_2015'!X3</f>
        <v>1.653</v>
      </c>
      <c r="AA3">
        <f>'2012_2015'!Y3</f>
        <v>1.671</v>
      </c>
      <c r="AB3">
        <f>'2012_2015'!Z3</f>
        <v>1.6850000000000001</v>
      </c>
      <c r="AC3">
        <f>'2012_2015'!AA3</f>
        <v>1.7050000000000001</v>
      </c>
      <c r="AD3">
        <f>'2012_2015'!AB3</f>
        <v>1.7210000000000001</v>
      </c>
      <c r="AE3">
        <f>'2012_2015'!AC3</f>
        <v>1.736</v>
      </c>
      <c r="AF3">
        <f>'2012_2015'!AD3</f>
        <v>1.7470000000000001</v>
      </c>
      <c r="AG3">
        <f>'2012_2015'!AE3</f>
        <v>1.756</v>
      </c>
      <c r="AH3">
        <f>'2012_2015'!AF3</f>
        <v>1.7669999999999999</v>
      </c>
      <c r="AI3">
        <f>'2012_2015'!AG3</f>
        <v>1.7769999999999999</v>
      </c>
      <c r="AJ3">
        <f>'2012_2015'!AH3</f>
        <v>1.7869999999999999</v>
      </c>
      <c r="AK3">
        <f>'2012_2015'!AI3</f>
        <v>1.81</v>
      </c>
      <c r="AL3">
        <f>'2012_2015'!AJ3</f>
        <v>1.825</v>
      </c>
      <c r="AM3">
        <f>'2012_2015'!AK3</f>
        <v>1.8380000000000001</v>
      </c>
      <c r="AN3">
        <f>'2012_2015'!AL3</f>
        <v>1.8540000000000001</v>
      </c>
      <c r="AO3">
        <f>'2012_2015'!AM3</f>
        <v>1.87</v>
      </c>
      <c r="AP3">
        <f>'2012_2015'!AN3</f>
        <v>1.8879999999999999</v>
      </c>
      <c r="AQ3">
        <f>'2012_2015'!AO3</f>
        <v>1.899</v>
      </c>
      <c r="AR3">
        <f>'2012_2015'!AP3</f>
        <v>1.9139999999999999</v>
      </c>
      <c r="AS3">
        <f>'2012_2015'!AQ3</f>
        <v>1.93</v>
      </c>
      <c r="AT3">
        <f>'2012_2015'!AR3</f>
        <v>1.952</v>
      </c>
      <c r="AU3">
        <f>'2012_2015'!AS3</f>
        <v>1.9690000000000001</v>
      </c>
      <c r="AV3">
        <f>'2012_2015'!AT3</f>
        <v>1.9930000000000001</v>
      </c>
      <c r="AW3">
        <f>'2012_2015'!AU3</f>
        <v>2.0099999999999998</v>
      </c>
      <c r="AX3">
        <f>'2012_2015'!AV3</f>
        <v>2.028</v>
      </c>
      <c r="AY3">
        <f>'2012_2015'!AW3</f>
        <v>2.0299999999999998</v>
      </c>
      <c r="AZ3">
        <f>'2012_2015'!AX3</f>
        <v>2.0390000000000001</v>
      </c>
      <c r="BA3">
        <f>'2012_2015'!AY3</f>
        <v>2.0579999999999998</v>
      </c>
      <c r="BB3">
        <f>'2012_2015'!AZ3</f>
        <v>2.0699999999999998</v>
      </c>
      <c r="BC3">
        <f>'2012_2015'!BA3</f>
        <v>2.093</v>
      </c>
      <c r="BD3">
        <f>'2012_2015'!BB3</f>
        <v>2.1179999999999999</v>
      </c>
      <c r="BE3">
        <f>'2012_2015'!BC3</f>
        <v>2.1379999999999999</v>
      </c>
      <c r="BF3">
        <f>'2012_2015'!BD3</f>
        <v>2.15</v>
      </c>
      <c r="BG3">
        <f>'2012_2015'!BE3</f>
        <v>2.17</v>
      </c>
      <c r="BH3">
        <f>'2012_2015'!BF3</f>
        <v>2.2010000000000001</v>
      </c>
      <c r="BI3">
        <f>'2012_2015'!BG3</f>
        <v>2.2240000000000002</v>
      </c>
      <c r="BJ3">
        <f>'2012_2015'!BH3</f>
        <v>2.2450000000000001</v>
      </c>
      <c r="BK3">
        <f>'2012_2015'!BI3</f>
        <v>2.246</v>
      </c>
      <c r="BL3">
        <f>'2012_2015'!BJ3</f>
        <v>2.2589999999999999</v>
      </c>
      <c r="BM3">
        <f>'2012_2015'!BK3</f>
        <v>2.2850000000000001</v>
      </c>
      <c r="BN3">
        <f>'2012_2015'!BL3</f>
        <v>2.3109999999999999</v>
      </c>
      <c r="BO3">
        <f>'2012_2015'!BM3</f>
        <v>2.3290000000000002</v>
      </c>
      <c r="BP3">
        <f>'2012_2015'!BN3</f>
        <v>2.3479999999999999</v>
      </c>
      <c r="BQ3">
        <f>'2012_2015'!BO3</f>
        <v>2.3860000000000001</v>
      </c>
      <c r="BR3">
        <f>'2012_2015'!BP3</f>
        <v>2.4140000000000001</v>
      </c>
      <c r="BS3">
        <f>'2012_2015'!BQ3</f>
        <v>2.4369999999999998</v>
      </c>
      <c r="BT3">
        <f>'2012_2015'!BR3</f>
        <v>2.4409999999999998</v>
      </c>
      <c r="BU3">
        <f>'2012_2015'!BS3</f>
        <v>2.468</v>
      </c>
      <c r="BV3">
        <f>'2012_2015'!BT3</f>
        <v>2.5030000000000001</v>
      </c>
      <c r="BW3">
        <f>'2012_2015'!BU3</f>
        <v>2.5310000000000001</v>
      </c>
      <c r="BX3">
        <f>'2012_2015'!BV3</f>
        <v>2.5499999999999998</v>
      </c>
      <c r="BY3">
        <f>'2012_2015'!BW3</f>
        <v>2.5859999999999999</v>
      </c>
      <c r="BZ3">
        <f>'2012_2015'!BX3</f>
        <v>2.6269999999999998</v>
      </c>
      <c r="CA3">
        <f>'2012_2015'!BY3</f>
        <v>2.66</v>
      </c>
      <c r="CB3">
        <f>'2012_2015'!BZ3</f>
        <v>2.6669999999999998</v>
      </c>
      <c r="CC3">
        <f>'2012_2015'!CA3</f>
        <v>2.7189999999999999</v>
      </c>
      <c r="CD3">
        <f>'2012_2015'!CB3</f>
        <v>2.7490000000000001</v>
      </c>
      <c r="CE3">
        <f>'2012_2015'!CC3</f>
        <v>2.7810000000000001</v>
      </c>
      <c r="CF3">
        <f>'2012_2015'!CD3</f>
        <v>2.8330000000000002</v>
      </c>
      <c r="CG3">
        <f>'2012_2015'!CE3</f>
        <v>2.8690000000000002</v>
      </c>
      <c r="CH3">
        <f>'2012_2015'!CF3</f>
        <v>2.9329999999999998</v>
      </c>
      <c r="CI3">
        <f>'2012_2015'!CG3</f>
        <v>2.9420000000000002</v>
      </c>
      <c r="CJ3">
        <f>'2012_2015'!CH3</f>
        <v>2.9780000000000002</v>
      </c>
      <c r="CK3">
        <f>'2012_2015'!CI3</f>
        <v>3.0419999999999998</v>
      </c>
      <c r="CL3">
        <f>'2012_2015'!CJ3</f>
        <v>3.117</v>
      </c>
      <c r="CM3">
        <f>'2012_2015'!CK3</f>
        <v>3.1720000000000002</v>
      </c>
      <c r="CN3">
        <f>'2012_2015'!CL3</f>
        <v>3.222</v>
      </c>
      <c r="CO3">
        <f>'2012_2015'!CM3</f>
        <v>3.2970000000000002</v>
      </c>
      <c r="CP3">
        <f>'2012_2015'!CN3</f>
        <v>3.3460000000000001</v>
      </c>
      <c r="CQ3">
        <f>'2012_2015'!CO3</f>
        <v>3.4289999999999998</v>
      </c>
      <c r="CR3">
        <f>'2012_2015'!CP3</f>
        <v>3.5230000000000001</v>
      </c>
      <c r="CS3">
        <f>'2012_2015'!CQ3</f>
        <v>3.65</v>
      </c>
      <c r="CT3">
        <f>'2012_2015'!CR3</f>
        <v>3.7469999999999999</v>
      </c>
      <c r="CU3">
        <f>'2012_2015'!CS3</f>
        <v>3.8639999999999999</v>
      </c>
      <c r="CV3">
        <f>'2012_2015'!CT3</f>
        <v>4.0410000000000004</v>
      </c>
      <c r="CW3">
        <f>'2012_2015'!CU3</f>
        <v>4.2939999999999996</v>
      </c>
      <c r="CX3">
        <f>'2012_2015'!CV3</f>
        <v>4.609</v>
      </c>
    </row>
    <row r="4" spans="1:102" x14ac:dyDescent="0.2">
      <c r="A4" t="s">
        <v>205</v>
      </c>
      <c r="B4" t="s">
        <v>217</v>
      </c>
      <c r="C4" t="s">
        <v>102</v>
      </c>
      <c r="D4">
        <f>'2012_2015'!B4</f>
        <v>0.27600000000000002</v>
      </c>
      <c r="E4">
        <f>'2012_2015'!C4</f>
        <v>0.24299999999999999</v>
      </c>
      <c r="F4">
        <f>'2012_2015'!D4</f>
        <v>0.26800000000000002</v>
      </c>
      <c r="G4">
        <f>'2012_2015'!E4</f>
        <v>0.26900000000000002</v>
      </c>
      <c r="H4">
        <f>'2012_2015'!F4</f>
        <v>0.27400000000000002</v>
      </c>
      <c r="I4">
        <f>'2012_2015'!G4</f>
        <v>0.22600000000000001</v>
      </c>
      <c r="J4">
        <f>'2012_2015'!H4</f>
        <v>0.26200000000000001</v>
      </c>
      <c r="K4">
        <f>'2012_2015'!I4</f>
        <v>0.217</v>
      </c>
      <c r="L4">
        <f>'2012_2015'!J4</f>
        <v>0.218</v>
      </c>
      <c r="M4">
        <f>'2012_2015'!K4</f>
        <v>0.19800000000000001</v>
      </c>
      <c r="N4">
        <f>'2012_2015'!L4</f>
        <v>0.20699999999999999</v>
      </c>
      <c r="O4">
        <f>'2012_2015'!M4</f>
        <v>0.20499999999999999</v>
      </c>
      <c r="P4">
        <f>'2012_2015'!N4</f>
        <v>0.187</v>
      </c>
      <c r="Q4">
        <f>'2012_2015'!O4</f>
        <v>0.17</v>
      </c>
      <c r="R4">
        <f>'2012_2015'!P4</f>
        <v>0.13800000000000001</v>
      </c>
      <c r="S4">
        <f>'2012_2015'!Q4</f>
        <v>0.13300000000000001</v>
      </c>
      <c r="T4">
        <f>'2012_2015'!R4</f>
        <v>0.14000000000000001</v>
      </c>
      <c r="U4">
        <f>'2012_2015'!S4</f>
        <v>0.14099999999999999</v>
      </c>
      <c r="V4">
        <f>'2012_2015'!T4</f>
        <v>0.129</v>
      </c>
      <c r="W4">
        <f>'2012_2015'!U4</f>
        <v>0.124</v>
      </c>
      <c r="X4">
        <f>'2012_2015'!V4</f>
        <v>0.125</v>
      </c>
      <c r="Y4">
        <f>'2012_2015'!W4</f>
        <v>0.129</v>
      </c>
      <c r="Z4">
        <f>'2012_2015'!X4</f>
        <v>0.14099999999999999</v>
      </c>
      <c r="AA4">
        <f>'2012_2015'!Y4</f>
        <v>0.13600000000000001</v>
      </c>
      <c r="AB4">
        <f>'2012_2015'!Z4</f>
        <v>0.122</v>
      </c>
      <c r="AC4">
        <f>'2012_2015'!AA4</f>
        <v>0.112</v>
      </c>
      <c r="AD4">
        <f>'2012_2015'!AB4</f>
        <v>0.10199999999999999</v>
      </c>
      <c r="AE4">
        <f>'2012_2015'!AC4</f>
        <v>9.0700000000000003E-2</v>
      </c>
      <c r="AF4">
        <f>'2012_2015'!AD4</f>
        <v>9.0999999999999998E-2</v>
      </c>
      <c r="AG4">
        <f>'2012_2015'!AE4</f>
        <v>9.6500000000000002E-2</v>
      </c>
      <c r="AH4">
        <f>'2012_2015'!AF4</f>
        <v>9.4399999999999998E-2</v>
      </c>
      <c r="AI4">
        <f>'2012_2015'!AG4</f>
        <v>9.9900000000000003E-2</v>
      </c>
      <c r="AJ4">
        <f>'2012_2015'!AH4</f>
        <v>0.11600000000000001</v>
      </c>
      <c r="AK4">
        <f>'2012_2015'!AI4</f>
        <v>0.114</v>
      </c>
      <c r="AL4">
        <f>'2012_2015'!AJ4</f>
        <v>0.112</v>
      </c>
      <c r="AM4">
        <f>'2012_2015'!AK4</f>
        <v>0.114</v>
      </c>
      <c r="AN4">
        <f>'2012_2015'!AL4</f>
        <v>0.106</v>
      </c>
      <c r="AO4">
        <f>'2012_2015'!AM4</f>
        <v>0.104</v>
      </c>
      <c r="AP4">
        <f>'2012_2015'!AN4</f>
        <v>0.11799999999999999</v>
      </c>
      <c r="AQ4">
        <f>'2012_2015'!AO4</f>
        <v>0.13800000000000001</v>
      </c>
      <c r="AR4">
        <f>'2012_2015'!AP4</f>
        <v>0.127</v>
      </c>
      <c r="AS4">
        <f>'2012_2015'!AQ4</f>
        <v>0.11799999999999999</v>
      </c>
      <c r="AT4">
        <f>'2012_2015'!AR4</f>
        <v>0.106</v>
      </c>
      <c r="AU4">
        <f>'2012_2015'!AS4</f>
        <v>0.10299999999999999</v>
      </c>
      <c r="AV4">
        <f>'2012_2015'!AT4</f>
        <v>7.6799999999999993E-2</v>
      </c>
      <c r="AW4">
        <f>'2012_2015'!AU4</f>
        <v>8.6300000000000002E-2</v>
      </c>
      <c r="AX4">
        <f>'2012_2015'!AV4</f>
        <v>9.3200000000000005E-2</v>
      </c>
      <c r="AY4">
        <f>'2012_2015'!AW4</f>
        <v>0.104</v>
      </c>
      <c r="AZ4">
        <f>'2012_2015'!AX4</f>
        <v>0.108</v>
      </c>
      <c r="BA4">
        <f>'2012_2015'!AY4</f>
        <v>0.105</v>
      </c>
      <c r="BB4">
        <f>'2012_2015'!AZ4</f>
        <v>0.127</v>
      </c>
      <c r="BC4">
        <f>'2012_2015'!BA4</f>
        <v>0.129</v>
      </c>
      <c r="BD4">
        <f>'2012_2015'!BB4</f>
        <v>0.109</v>
      </c>
      <c r="BE4">
        <f>'2012_2015'!BC4</f>
        <v>0.11</v>
      </c>
      <c r="BF4">
        <f>'2012_2015'!BD4</f>
        <v>9.4899999999999998E-2</v>
      </c>
      <c r="BG4">
        <f>'2012_2015'!BE4</f>
        <v>0.10199999999999999</v>
      </c>
      <c r="BH4">
        <f>'2012_2015'!BF4</f>
        <v>8.7400000000000005E-2</v>
      </c>
      <c r="BI4">
        <f>'2012_2015'!BG4</f>
        <v>8.8900000000000007E-2</v>
      </c>
      <c r="BJ4">
        <f>'2012_2015'!BH4</f>
        <v>8.3900000000000002E-2</v>
      </c>
      <c r="BK4">
        <f>'2012_2015'!BI4</f>
        <v>0.104</v>
      </c>
      <c r="BL4">
        <f>'2012_2015'!BJ4</f>
        <v>0.10199999999999999</v>
      </c>
      <c r="BM4">
        <f>'2012_2015'!BK4</f>
        <v>0.10299999999999999</v>
      </c>
      <c r="BN4">
        <f>'2012_2015'!BL4</f>
        <v>9.9299999999999999E-2</v>
      </c>
      <c r="BO4">
        <f>'2012_2015'!BM4</f>
        <v>0.112</v>
      </c>
      <c r="BP4">
        <f>'2012_2015'!BN4</f>
        <v>0.10199999999999999</v>
      </c>
      <c r="BQ4">
        <f>'2012_2015'!BO4</f>
        <v>8.5599999999999996E-2</v>
      </c>
      <c r="BR4">
        <f>'2012_2015'!BP4</f>
        <v>6.2100000000000002E-2</v>
      </c>
      <c r="BS4">
        <f>'2012_2015'!BQ4</f>
        <v>7.3700000000000002E-2</v>
      </c>
      <c r="BT4">
        <f>'2012_2015'!BR4</f>
        <v>8.9599999999999999E-2</v>
      </c>
      <c r="BU4">
        <f>'2012_2015'!BS4</f>
        <v>8.4599999999999995E-2</v>
      </c>
      <c r="BV4">
        <f>'2012_2015'!BT4</f>
        <v>7.3999999999999996E-2</v>
      </c>
      <c r="BW4">
        <f>'2012_2015'!BU4</f>
        <v>7.6300000000000007E-2</v>
      </c>
      <c r="BX4">
        <f>'2012_2015'!BV4</f>
        <v>8.6900000000000005E-2</v>
      </c>
      <c r="BY4">
        <f>'2012_2015'!BW4</f>
        <v>7.0900000000000005E-2</v>
      </c>
      <c r="BZ4">
        <f>'2012_2015'!BX4</f>
        <v>8.2600000000000007E-2</v>
      </c>
      <c r="CA4">
        <f>'2012_2015'!BY4</f>
        <v>8.1000000000000003E-2</v>
      </c>
      <c r="CB4">
        <f>'2012_2015'!BZ4</f>
        <v>8.4599999999999995E-2</v>
      </c>
      <c r="CC4">
        <f>'2012_2015'!CA4</f>
        <v>6.0100000000000001E-2</v>
      </c>
      <c r="CD4">
        <f>'2012_2015'!CB4</f>
        <v>3.44E-2</v>
      </c>
      <c r="CE4">
        <f>'2012_2015'!CC4</f>
        <v>5.8900000000000001E-2</v>
      </c>
      <c r="CF4">
        <f>'2012_2015'!CD4</f>
        <v>4.6899999999999997E-2</v>
      </c>
      <c r="CG4">
        <f>'2012_2015'!CE4</f>
        <v>6.6900000000000001E-2</v>
      </c>
      <c r="CH4">
        <f>'2012_2015'!CF4</f>
        <v>3.7699999999999997E-2</v>
      </c>
      <c r="CI4">
        <f>'2012_2015'!CG4</f>
        <v>6.0900000000000003E-2</v>
      </c>
      <c r="CJ4">
        <f>'2012_2015'!CH4</f>
        <v>7.3499999999999996E-2</v>
      </c>
      <c r="CK4">
        <f>'2012_2015'!CI4</f>
        <v>7.6300000000000007E-2</v>
      </c>
      <c r="CL4">
        <f>'2012_2015'!CJ4</f>
        <v>3.9300000000000002E-2</v>
      </c>
      <c r="CM4">
        <f>'2012_2015'!CK4</f>
        <v>2.1000000000000001E-2</v>
      </c>
      <c r="CN4">
        <f>'2012_2015'!CL4</f>
        <v>4.7699999999999999E-2</v>
      </c>
      <c r="CO4">
        <f>'2012_2015'!CM4</f>
        <v>3.1800000000000002E-2</v>
      </c>
      <c r="CP4">
        <f>'2012_2015'!CN4</f>
        <v>8.1299999999999997E-2</v>
      </c>
      <c r="CQ4">
        <f>'2012_2015'!CO4</f>
        <v>1.9800000000000002E-2</v>
      </c>
      <c r="CR4">
        <f>'2012_2015'!CP4</f>
        <v>0.04</v>
      </c>
      <c r="CS4">
        <f>'2012_2015'!CQ4</f>
        <v>9.8600000000000007E-3</v>
      </c>
      <c r="CT4">
        <f>'2012_2015'!CR4</f>
        <v>8.1499999999999997E-4</v>
      </c>
      <c r="CU4">
        <f>'2012_2015'!CS4</f>
        <v>3.2399999999999998E-2</v>
      </c>
      <c r="CV4">
        <f>'2012_2015'!CT4</f>
        <v>3.2399999999999998E-2</v>
      </c>
      <c r="CW4">
        <f>'2012_2015'!CU4</f>
        <v>1.24E-3</v>
      </c>
      <c r="CX4">
        <f>'2012_2015'!CV4</f>
        <v>1.7299999999999999E-2</v>
      </c>
    </row>
    <row r="5" spans="1:102" x14ac:dyDescent="0.2">
      <c r="A5" t="s">
        <v>206</v>
      </c>
      <c r="B5" t="s">
        <v>217</v>
      </c>
      <c r="C5" t="s">
        <v>102</v>
      </c>
      <c r="D5">
        <f>'2012_2015'!B5</f>
        <v>4.8300000000000003E-2</v>
      </c>
      <c r="E5">
        <f>'2012_2015'!C5</f>
        <v>6.7599999999999993E-2</v>
      </c>
      <c r="F5">
        <f>'2012_2015'!D5</f>
        <v>6.7599999999999993E-2</v>
      </c>
      <c r="G5">
        <f>'2012_2015'!E5</f>
        <v>6.7400000000000002E-2</v>
      </c>
      <c r="H5">
        <f>'2012_2015'!F5</f>
        <v>6.3399999999999998E-2</v>
      </c>
      <c r="I5">
        <f>'2012_2015'!G5</f>
        <v>6.8099999999999994E-2</v>
      </c>
      <c r="J5">
        <f>'2012_2015'!H5</f>
        <v>6.6400000000000001E-2</v>
      </c>
      <c r="K5">
        <f>'2012_2015'!I5</f>
        <v>6.2100000000000002E-2</v>
      </c>
      <c r="L5">
        <f>'2012_2015'!J5</f>
        <v>6.3700000000000007E-2</v>
      </c>
      <c r="M5">
        <f>'2012_2015'!K5</f>
        <v>5.11E-2</v>
      </c>
      <c r="N5">
        <f>'2012_2015'!L5</f>
        <v>4.9399999999999999E-2</v>
      </c>
      <c r="O5">
        <f>'2012_2015'!M5</f>
        <v>4.6699999999999998E-2</v>
      </c>
      <c r="P5">
        <f>'2012_2015'!N5</f>
        <v>4.2700000000000002E-2</v>
      </c>
      <c r="Q5">
        <f>'2012_2015'!O5</f>
        <v>3.8600000000000002E-2</v>
      </c>
      <c r="R5">
        <f>'2012_2015'!P5</f>
        <v>3.2199999999999999E-2</v>
      </c>
      <c r="S5">
        <f>'2012_2015'!Q5</f>
        <v>2.93E-2</v>
      </c>
      <c r="T5">
        <f>'2012_2015'!R5</f>
        <v>2.8000000000000001E-2</v>
      </c>
      <c r="U5">
        <f>'2012_2015'!S5</f>
        <v>2.75E-2</v>
      </c>
      <c r="V5">
        <f>'2012_2015'!T5</f>
        <v>2.6200000000000001E-2</v>
      </c>
      <c r="W5">
        <f>'2012_2015'!U5</f>
        <v>2.5700000000000001E-2</v>
      </c>
      <c r="X5">
        <f>'2012_2015'!V5</f>
        <v>2.52E-2</v>
      </c>
      <c r="Y5">
        <f>'2012_2015'!W5</f>
        <v>2.53E-2</v>
      </c>
      <c r="Z5">
        <f>'2012_2015'!X5</f>
        <v>2.52E-2</v>
      </c>
      <c r="AA5">
        <f>'2012_2015'!Y5</f>
        <v>2.52E-2</v>
      </c>
      <c r="AB5">
        <f>'2012_2015'!Z5</f>
        <v>2.52E-2</v>
      </c>
      <c r="AC5">
        <f>'2012_2015'!AA5</f>
        <v>2.4799999999999999E-2</v>
      </c>
      <c r="AD5">
        <f>'2012_2015'!AB5</f>
        <v>2.47E-2</v>
      </c>
      <c r="AE5">
        <f>'2012_2015'!AC5</f>
        <v>2.47E-2</v>
      </c>
      <c r="AF5">
        <f>'2012_2015'!AD5</f>
        <v>2.5000000000000001E-2</v>
      </c>
      <c r="AG5">
        <f>'2012_2015'!AE5</f>
        <v>2.5600000000000001E-2</v>
      </c>
      <c r="AH5">
        <f>'2012_2015'!AF5</f>
        <v>2.63E-2</v>
      </c>
      <c r="AI5">
        <f>'2012_2015'!AG5</f>
        <v>2.6800000000000001E-2</v>
      </c>
      <c r="AJ5">
        <f>'2012_2015'!AH5</f>
        <v>2.7400000000000001E-2</v>
      </c>
      <c r="AK5">
        <f>'2012_2015'!AI5</f>
        <v>2.8500000000000001E-2</v>
      </c>
      <c r="AL5">
        <f>'2012_2015'!AJ5</f>
        <v>2.9399999999999999E-2</v>
      </c>
      <c r="AM5">
        <f>'2012_2015'!AK5</f>
        <v>3.0200000000000001E-2</v>
      </c>
      <c r="AN5">
        <f>'2012_2015'!AL5</f>
        <v>3.1199999999999999E-2</v>
      </c>
      <c r="AO5">
        <f>'2012_2015'!AM5</f>
        <v>3.2500000000000001E-2</v>
      </c>
      <c r="AP5">
        <f>'2012_2015'!AN5</f>
        <v>3.3399999999999999E-2</v>
      </c>
      <c r="AQ5">
        <f>'2012_2015'!AO5</f>
        <v>3.4500000000000003E-2</v>
      </c>
      <c r="AR5">
        <f>'2012_2015'!AP5</f>
        <v>3.5200000000000002E-2</v>
      </c>
      <c r="AS5">
        <f>'2012_2015'!AQ5</f>
        <v>3.61E-2</v>
      </c>
      <c r="AT5">
        <f>'2012_2015'!AR5</f>
        <v>3.6700000000000003E-2</v>
      </c>
      <c r="AU5">
        <f>'2012_2015'!AS5</f>
        <v>3.6799999999999999E-2</v>
      </c>
      <c r="AV5">
        <f>'2012_2015'!AT5</f>
        <v>3.6700000000000003E-2</v>
      </c>
      <c r="AW5">
        <f>'2012_2015'!AU5</f>
        <v>3.6499999999999998E-2</v>
      </c>
      <c r="AX5">
        <f>'2012_2015'!AV5</f>
        <v>3.6700000000000003E-2</v>
      </c>
      <c r="AY5">
        <f>'2012_2015'!AW5</f>
        <v>3.7600000000000001E-2</v>
      </c>
      <c r="AZ5">
        <f>'2012_2015'!AX5</f>
        <v>3.7999999999999999E-2</v>
      </c>
      <c r="BA5">
        <f>'2012_2015'!AY5</f>
        <v>3.9199999999999999E-2</v>
      </c>
      <c r="BB5">
        <f>'2012_2015'!AZ5</f>
        <v>4.02E-2</v>
      </c>
      <c r="BC5">
        <f>'2012_2015'!BA5</f>
        <v>4.2500000000000003E-2</v>
      </c>
      <c r="BD5">
        <f>'2012_2015'!BB5</f>
        <v>4.4999999999999998E-2</v>
      </c>
      <c r="BE5">
        <f>'2012_2015'!BC5</f>
        <v>4.6600000000000003E-2</v>
      </c>
      <c r="BF5">
        <f>'2012_2015'!BD5</f>
        <v>4.7600000000000003E-2</v>
      </c>
      <c r="BG5">
        <f>'2012_2015'!BE5</f>
        <v>4.8000000000000001E-2</v>
      </c>
      <c r="BH5">
        <f>'2012_2015'!BF5</f>
        <v>4.7399999999999998E-2</v>
      </c>
      <c r="BI5">
        <f>'2012_2015'!BG5</f>
        <v>4.6699999999999998E-2</v>
      </c>
      <c r="BJ5">
        <f>'2012_2015'!BH5</f>
        <v>4.6600000000000003E-2</v>
      </c>
      <c r="BK5">
        <f>'2012_2015'!BI5</f>
        <v>4.6800000000000001E-2</v>
      </c>
      <c r="BL5">
        <f>'2012_2015'!BJ5</f>
        <v>4.7E-2</v>
      </c>
      <c r="BM5">
        <f>'2012_2015'!BK5</f>
        <v>4.8800000000000003E-2</v>
      </c>
      <c r="BN5">
        <f>'2012_2015'!BL5</f>
        <v>5.11E-2</v>
      </c>
      <c r="BO5">
        <f>'2012_2015'!BM5</f>
        <v>5.3100000000000001E-2</v>
      </c>
      <c r="BP5">
        <f>'2012_2015'!BN5</f>
        <v>5.4300000000000001E-2</v>
      </c>
      <c r="BQ5">
        <f>'2012_2015'!BO5</f>
        <v>5.5199999999999999E-2</v>
      </c>
      <c r="BR5">
        <f>'2012_2015'!BP5</f>
        <v>5.4699999999999999E-2</v>
      </c>
      <c r="BS5">
        <f>'2012_2015'!BQ5</f>
        <v>5.4699999999999999E-2</v>
      </c>
      <c r="BT5">
        <f>'2012_2015'!BR5</f>
        <v>5.4699999999999999E-2</v>
      </c>
      <c r="BU5">
        <f>'2012_2015'!BS5</f>
        <v>5.6000000000000001E-2</v>
      </c>
      <c r="BV5">
        <f>'2012_2015'!BT5</f>
        <v>5.9400000000000001E-2</v>
      </c>
      <c r="BW5">
        <f>'2012_2015'!BU5</f>
        <v>6.2399999999999997E-2</v>
      </c>
      <c r="BX5">
        <f>'2012_2015'!BV5</f>
        <v>6.4399999999999999E-2</v>
      </c>
      <c r="BY5">
        <f>'2012_2015'!BW5</f>
        <v>6.6299999999999998E-2</v>
      </c>
      <c r="BZ5">
        <f>'2012_2015'!BX5</f>
        <v>6.5500000000000003E-2</v>
      </c>
      <c r="CA5">
        <f>'2012_2015'!BY5</f>
        <v>6.4899999999999999E-2</v>
      </c>
      <c r="CB5">
        <f>'2012_2015'!BZ5</f>
        <v>6.4000000000000001E-2</v>
      </c>
      <c r="CC5">
        <f>'2012_2015'!CA5</f>
        <v>6.7199999999999996E-2</v>
      </c>
      <c r="CD5">
        <f>'2012_2015'!CB5</f>
        <v>7.1300000000000002E-2</v>
      </c>
      <c r="CE5">
        <f>'2012_2015'!CC5</f>
        <v>7.46E-2</v>
      </c>
      <c r="CF5">
        <f>'2012_2015'!CD5</f>
        <v>7.7600000000000002E-2</v>
      </c>
      <c r="CG5">
        <f>'2012_2015'!CE5</f>
        <v>7.3700000000000002E-2</v>
      </c>
      <c r="CH5">
        <f>'2012_2015'!CF5</f>
        <v>6.8000000000000005E-2</v>
      </c>
      <c r="CI5">
        <f>'2012_2015'!CG5</f>
        <v>6.6600000000000006E-2</v>
      </c>
      <c r="CJ5">
        <f>'2012_2015'!CH5</f>
        <v>7.0400000000000004E-2</v>
      </c>
      <c r="CK5">
        <f>'2012_2015'!CI5</f>
        <v>8.7800000000000003E-2</v>
      </c>
      <c r="CL5">
        <f>'2012_2015'!CJ5</f>
        <v>8.48E-2</v>
      </c>
      <c r="CM5">
        <f>'2012_2015'!CK5</f>
        <v>0.08</v>
      </c>
      <c r="CN5">
        <f>'2012_2015'!CL5</f>
        <v>8.2799999999999999E-2</v>
      </c>
      <c r="CO5">
        <f>'2012_2015'!CM5</f>
        <v>8.1799999999999998E-2</v>
      </c>
      <c r="CP5">
        <f>'2012_2015'!CN5</f>
        <v>7.5399999999999995E-2</v>
      </c>
      <c r="CQ5">
        <f>'2012_2015'!CO5</f>
        <v>8.6400000000000005E-2</v>
      </c>
      <c r="CR5">
        <f>'2012_2015'!CP5</f>
        <v>9.5200000000000007E-2</v>
      </c>
      <c r="CS5">
        <f>'2012_2015'!CQ5</f>
        <v>8.1600000000000006E-2</v>
      </c>
      <c r="CT5">
        <f>'2012_2015'!CR5</f>
        <v>9.4399999999999998E-2</v>
      </c>
      <c r="CU5">
        <f>'2012_2015'!CS5</f>
        <v>7.1900000000000006E-2</v>
      </c>
      <c r="CV5">
        <f>'2012_2015'!CT5</f>
        <v>8.3199999999999996E-2</v>
      </c>
      <c r="CW5">
        <f>'2012_2015'!CU5</f>
        <v>7.9500000000000001E-2</v>
      </c>
      <c r="CX5">
        <f>'2012_2015'!CV5</f>
        <v>6.9900000000000004E-2</v>
      </c>
    </row>
    <row r="6" spans="1:102" x14ac:dyDescent="0.2">
      <c r="A6" t="s">
        <v>207</v>
      </c>
      <c r="B6" t="s">
        <v>217</v>
      </c>
      <c r="C6" t="s">
        <v>102</v>
      </c>
      <c r="D6">
        <f>'2012_2015'!B6</f>
        <v>0.22800000000000001</v>
      </c>
      <c r="E6">
        <f>'2012_2015'!C6</f>
        <v>0.17499999999999999</v>
      </c>
      <c r="F6">
        <f>'2012_2015'!D6</f>
        <v>0.20100000000000001</v>
      </c>
      <c r="G6">
        <f>'2012_2015'!E6</f>
        <v>0.20200000000000001</v>
      </c>
      <c r="H6">
        <f>'2012_2015'!F6</f>
        <v>0.21099999999999999</v>
      </c>
      <c r="I6">
        <f>'2012_2015'!G6</f>
        <v>0.157</v>
      </c>
      <c r="J6">
        <f>'2012_2015'!H6</f>
        <v>0.19600000000000001</v>
      </c>
      <c r="K6">
        <f>'2012_2015'!I6</f>
        <v>0.155</v>
      </c>
      <c r="L6">
        <f>'2012_2015'!J6</f>
        <v>0.154</v>
      </c>
      <c r="M6">
        <f>'2012_2015'!K6</f>
        <v>0.14699999999999999</v>
      </c>
      <c r="N6">
        <f>'2012_2015'!L6</f>
        <v>0.157</v>
      </c>
      <c r="O6">
        <f>'2012_2015'!M6</f>
        <v>0.159</v>
      </c>
      <c r="P6">
        <f>'2012_2015'!N6</f>
        <v>0.14399999999999999</v>
      </c>
      <c r="Q6">
        <f>'2012_2015'!O6</f>
        <v>0.13100000000000001</v>
      </c>
      <c r="R6">
        <f>'2012_2015'!P6</f>
        <v>0.106</v>
      </c>
      <c r="S6">
        <f>'2012_2015'!Q6</f>
        <v>0.10299999999999999</v>
      </c>
      <c r="T6">
        <f>'2012_2015'!R6</f>
        <v>0.112</v>
      </c>
      <c r="U6">
        <f>'2012_2015'!S6</f>
        <v>0.113</v>
      </c>
      <c r="V6">
        <f>'2012_2015'!T6</f>
        <v>0.10199999999999999</v>
      </c>
      <c r="W6">
        <f>'2012_2015'!U6</f>
        <v>9.8599999999999993E-2</v>
      </c>
      <c r="X6">
        <f>'2012_2015'!V6</f>
        <v>9.9400000000000002E-2</v>
      </c>
      <c r="Y6">
        <f>'2012_2015'!W6</f>
        <v>0.104</v>
      </c>
      <c r="Z6">
        <f>'2012_2015'!X6</f>
        <v>0.11600000000000001</v>
      </c>
      <c r="AA6">
        <f>'2012_2015'!Y6</f>
        <v>0.111</v>
      </c>
      <c r="AB6">
        <f>'2012_2015'!Z6</f>
        <v>9.6600000000000005E-2</v>
      </c>
      <c r="AC6">
        <f>'2012_2015'!AA6</f>
        <v>8.7300000000000003E-2</v>
      </c>
      <c r="AD6">
        <f>'2012_2015'!AB6</f>
        <v>7.6999999999999999E-2</v>
      </c>
      <c r="AE6">
        <f>'2012_2015'!AC6</f>
        <v>6.6000000000000003E-2</v>
      </c>
      <c r="AF6">
        <f>'2012_2015'!AD6</f>
        <v>6.59E-2</v>
      </c>
      <c r="AG6">
        <f>'2012_2015'!AE6</f>
        <v>7.0900000000000005E-2</v>
      </c>
      <c r="AH6">
        <f>'2012_2015'!AF6</f>
        <v>6.8199999999999997E-2</v>
      </c>
      <c r="AI6">
        <f>'2012_2015'!AG6</f>
        <v>7.2999999999999995E-2</v>
      </c>
      <c r="AJ6">
        <f>'2012_2015'!AH6</f>
        <v>8.8300000000000003E-2</v>
      </c>
      <c r="AK6">
        <f>'2012_2015'!AI6</f>
        <v>8.5599999999999996E-2</v>
      </c>
      <c r="AL6">
        <f>'2012_2015'!AJ6</f>
        <v>8.3000000000000004E-2</v>
      </c>
      <c r="AM6">
        <f>'2012_2015'!AK6</f>
        <v>8.3599999999999994E-2</v>
      </c>
      <c r="AN6">
        <f>'2012_2015'!AL6</f>
        <v>7.4499999999999997E-2</v>
      </c>
      <c r="AO6">
        <f>'2012_2015'!AM6</f>
        <v>7.1800000000000003E-2</v>
      </c>
      <c r="AP6">
        <f>'2012_2015'!AN6</f>
        <v>8.4699999999999998E-2</v>
      </c>
      <c r="AQ6">
        <f>'2012_2015'!AO6</f>
        <v>0.104</v>
      </c>
      <c r="AR6">
        <f>'2012_2015'!AP6</f>
        <v>9.1800000000000007E-2</v>
      </c>
      <c r="AS6">
        <f>'2012_2015'!AQ6</f>
        <v>8.1500000000000003E-2</v>
      </c>
      <c r="AT6">
        <f>'2012_2015'!AR6</f>
        <v>6.9099999999999995E-2</v>
      </c>
      <c r="AU6">
        <f>'2012_2015'!AS6</f>
        <v>6.6500000000000004E-2</v>
      </c>
      <c r="AV6">
        <f>'2012_2015'!AT6</f>
        <v>4.0099999999999997E-2</v>
      </c>
      <c r="AW6">
        <f>'2012_2015'!AU6</f>
        <v>4.9700000000000001E-2</v>
      </c>
      <c r="AX6">
        <f>'2012_2015'!AV6</f>
        <v>5.6599999999999998E-2</v>
      </c>
      <c r="AY6">
        <f>'2012_2015'!AW6</f>
        <v>6.6600000000000006E-2</v>
      </c>
      <c r="AZ6">
        <f>'2012_2015'!AX6</f>
        <v>6.9699999999999998E-2</v>
      </c>
      <c r="BA6">
        <f>'2012_2015'!AY6</f>
        <v>6.5299999999999997E-2</v>
      </c>
      <c r="BB6">
        <f>'2012_2015'!AZ6</f>
        <v>8.72E-2</v>
      </c>
      <c r="BC6">
        <f>'2012_2015'!BA6</f>
        <v>8.6699999999999999E-2</v>
      </c>
      <c r="BD6">
        <f>'2012_2015'!BB6</f>
        <v>6.4100000000000004E-2</v>
      </c>
      <c r="BE6">
        <f>'2012_2015'!BC6</f>
        <v>6.2899999999999998E-2</v>
      </c>
      <c r="BF6">
        <f>'2012_2015'!BD6</f>
        <v>4.7300000000000002E-2</v>
      </c>
      <c r="BG6">
        <f>'2012_2015'!BE6</f>
        <v>5.3800000000000001E-2</v>
      </c>
      <c r="BH6">
        <f>'2012_2015'!BF6</f>
        <v>0.04</v>
      </c>
      <c r="BI6">
        <f>'2012_2015'!BG6</f>
        <v>4.2200000000000001E-2</v>
      </c>
      <c r="BJ6">
        <f>'2012_2015'!BH6</f>
        <v>3.73E-2</v>
      </c>
      <c r="BK6">
        <f>'2012_2015'!BI6</f>
        <v>5.7500000000000002E-2</v>
      </c>
      <c r="BL6">
        <f>'2012_2015'!BJ6</f>
        <v>5.4899999999999997E-2</v>
      </c>
      <c r="BM6">
        <f>'2012_2015'!BK6</f>
        <v>5.3699999999999998E-2</v>
      </c>
      <c r="BN6">
        <f>'2012_2015'!BL6</f>
        <v>4.82E-2</v>
      </c>
      <c r="BO6">
        <f>'2012_2015'!BM6</f>
        <v>5.8799999999999998E-2</v>
      </c>
      <c r="BP6">
        <f>'2012_2015'!BN6</f>
        <v>4.7399999999999998E-2</v>
      </c>
      <c r="BQ6">
        <f>'2012_2015'!BO6</f>
        <v>3.04E-2</v>
      </c>
      <c r="BR6">
        <f>'2012_2015'!BP6</f>
        <v>7.3600000000000002E-3</v>
      </c>
      <c r="BS6">
        <f>'2012_2015'!BQ6</f>
        <v>1.9E-2</v>
      </c>
      <c r="BT6">
        <f>'2012_2015'!BR6</f>
        <v>3.49E-2</v>
      </c>
      <c r="BU6">
        <f>'2012_2015'!BS6</f>
        <v>2.86E-2</v>
      </c>
      <c r="BV6">
        <f>'2012_2015'!BT6</f>
        <v>1.46E-2</v>
      </c>
      <c r="BW6">
        <f>'2012_2015'!BU6</f>
        <v>1.3899999999999999E-2</v>
      </c>
      <c r="BX6">
        <f>'2012_2015'!BV6</f>
        <v>2.2499999999999999E-2</v>
      </c>
      <c r="BY6">
        <f>'2012_2015'!BW6</f>
        <v>4.5799999999999999E-3</v>
      </c>
      <c r="BZ6">
        <f>'2012_2015'!BX6</f>
        <v>1.7100000000000001E-2</v>
      </c>
      <c r="CA6">
        <f>'2012_2015'!BY6</f>
        <v>1.61E-2</v>
      </c>
      <c r="CB6">
        <f>'2012_2015'!BZ6</f>
        <v>2.06E-2</v>
      </c>
      <c r="CC6">
        <f>'2012_2015'!CA6</f>
        <v>-7.1599999999999997E-3</v>
      </c>
      <c r="CD6">
        <f>'2012_2015'!CB6</f>
        <v>-3.6900000000000002E-2</v>
      </c>
      <c r="CE6">
        <f>'2012_2015'!CC6</f>
        <v>-1.5699999999999999E-2</v>
      </c>
      <c r="CF6">
        <f>'2012_2015'!CD6</f>
        <v>-3.0700000000000002E-2</v>
      </c>
      <c r="CG6">
        <f>'2012_2015'!CE6</f>
        <v>-6.7299999999999999E-3</v>
      </c>
      <c r="CH6">
        <f>'2012_2015'!CF6</f>
        <v>-3.0300000000000001E-2</v>
      </c>
      <c r="CI6">
        <f>'2012_2015'!CG6</f>
        <v>-5.6899999999999997E-3</v>
      </c>
      <c r="CJ6">
        <f>'2012_2015'!CH6</f>
        <v>3.1099999999999999E-3</v>
      </c>
      <c r="CK6">
        <f>'2012_2015'!CI6</f>
        <v>-1.15E-2</v>
      </c>
      <c r="CL6">
        <f>'2012_2015'!CJ6</f>
        <v>-4.5600000000000002E-2</v>
      </c>
      <c r="CM6">
        <f>'2012_2015'!CK6</f>
        <v>-5.8999999999999997E-2</v>
      </c>
      <c r="CN6">
        <f>'2012_2015'!CL6</f>
        <v>-3.5099999999999999E-2</v>
      </c>
      <c r="CO6">
        <f>'2012_2015'!CM6</f>
        <v>-4.99E-2</v>
      </c>
      <c r="CP6">
        <f>'2012_2015'!CN6</f>
        <v>5.8500000000000002E-3</v>
      </c>
      <c r="CQ6">
        <f>'2012_2015'!CO6</f>
        <v>-6.6600000000000006E-2</v>
      </c>
      <c r="CR6">
        <f>'2012_2015'!CP6</f>
        <v>-5.5199999999999999E-2</v>
      </c>
      <c r="CS6">
        <f>'2012_2015'!CQ6</f>
        <v>-7.1800000000000003E-2</v>
      </c>
      <c r="CT6">
        <f>'2012_2015'!CR6</f>
        <v>-9.3600000000000003E-2</v>
      </c>
      <c r="CU6">
        <f>'2012_2015'!CS6</f>
        <v>-3.9600000000000003E-2</v>
      </c>
      <c r="CV6">
        <f>'2012_2015'!CT6</f>
        <v>-5.0799999999999998E-2</v>
      </c>
      <c r="CW6">
        <f>'2012_2015'!CU6</f>
        <v>-7.8299999999999995E-2</v>
      </c>
      <c r="CX6">
        <f>'2012_2015'!CV6</f>
        <v>-5.2499999999999998E-2</v>
      </c>
    </row>
    <row r="7" spans="1:102" x14ac:dyDescent="0.2">
      <c r="A7" t="s">
        <v>229</v>
      </c>
      <c r="B7" t="s">
        <v>217</v>
      </c>
      <c r="C7" t="s">
        <v>102</v>
      </c>
      <c r="D7">
        <f>'2012_2015 Int Confianca'!B35</f>
        <v>0.2487</v>
      </c>
      <c r="E7">
        <f>'2012_2015 Int Confianca'!C35</f>
        <v>0.2152</v>
      </c>
      <c r="F7">
        <f>'2012_2015 Int Confianca'!D35</f>
        <v>0.2467</v>
      </c>
      <c r="G7">
        <f>'2012_2015 Int Confianca'!E35</f>
        <v>0.25019999999999998</v>
      </c>
      <c r="H7">
        <f>'2012_2015 Int Confianca'!F35</f>
        <v>0.2581</v>
      </c>
      <c r="I7">
        <f>'2012_2015 Int Confianca'!G35</f>
        <v>0.20910000000000001</v>
      </c>
      <c r="J7">
        <f>'2012_2015 Int Confianca'!H35</f>
        <v>0.2477</v>
      </c>
      <c r="K7">
        <f>'2012_2015 Int Confianca'!I35</f>
        <v>0.2039</v>
      </c>
      <c r="L7">
        <f>'2012_2015 Int Confianca'!J35</f>
        <v>0.20430000000000001</v>
      </c>
      <c r="M7">
        <f>'2012_2015 Int Confianca'!K35</f>
        <v>0.18779999999999999</v>
      </c>
      <c r="N7">
        <f>'2012_2015 Int Confianca'!L35</f>
        <v>0.19739999999999999</v>
      </c>
      <c r="O7">
        <f>'2012_2015 Int Confianca'!M35</f>
        <v>0.19719999999999999</v>
      </c>
      <c r="P7">
        <f>'2012_2015 Int Confianca'!N35</f>
        <v>0.17929999999999999</v>
      </c>
      <c r="Q7">
        <f>'2012_2015 Int Confianca'!O35</f>
        <v>0.1633</v>
      </c>
      <c r="R7">
        <f>'2012_2015 Int Confianca'!P35</f>
        <v>0.1323</v>
      </c>
      <c r="S7">
        <f>'2012_2015 Int Confianca'!Q35</f>
        <v>0.12740000000000001</v>
      </c>
      <c r="T7">
        <f>'2012_2015 Int Confianca'!R35</f>
        <v>0.1348</v>
      </c>
      <c r="U7">
        <f>'2012_2015 Int Confianca'!S35</f>
        <v>0.13589999999999999</v>
      </c>
      <c r="V7">
        <f>'2012_2015 Int Confianca'!T35</f>
        <v>0.1239</v>
      </c>
      <c r="W7">
        <f>'2012_2015 Int Confianca'!U35</f>
        <v>0.1195</v>
      </c>
      <c r="X7">
        <f>'2012_2015 Int Confianca'!V35</f>
        <v>0.1201</v>
      </c>
      <c r="Y7">
        <f>'2012_2015 Int Confianca'!W35</f>
        <v>0.1245</v>
      </c>
      <c r="Z7">
        <f>'2012_2015 Int Confianca'!X35</f>
        <v>0.1368</v>
      </c>
      <c r="AA7">
        <f>'2012_2015 Int Confianca'!Y35</f>
        <v>0.1313</v>
      </c>
      <c r="AB7">
        <f>'2012_2015 Int Confianca'!Z35</f>
        <v>0.1174</v>
      </c>
      <c r="AC7">
        <f>'2012_2015 Int Confianca'!AA35</f>
        <v>0.10780000000000001</v>
      </c>
      <c r="AD7">
        <f>'2012_2015 Int Confianca'!AB35</f>
        <v>9.7299999999999998E-2</v>
      </c>
      <c r="AE7">
        <f>'2012_2015 Int Confianca'!AC35</f>
        <v>8.6400000000000005E-2</v>
      </c>
      <c r="AF7">
        <f>'2012_2015 Int Confianca'!AD35</f>
        <v>8.6499999999999994E-2</v>
      </c>
      <c r="AG7">
        <f>'2012_2015 Int Confianca'!AE35</f>
        <v>9.1999999999999998E-2</v>
      </c>
      <c r="AH7">
        <f>'2012_2015 Int Confianca'!AF35</f>
        <v>8.9800000000000005E-2</v>
      </c>
      <c r="AI7">
        <f>'2012_2015 Int Confianca'!AG35</f>
        <v>9.5100000000000004E-2</v>
      </c>
      <c r="AJ7">
        <f>'2012_2015 Int Confianca'!AH35</f>
        <v>0.11070000000000001</v>
      </c>
      <c r="AK7">
        <f>'2012_2015 Int Confianca'!AI35</f>
        <v>0.10879999999999999</v>
      </c>
      <c r="AL7">
        <f>'2012_2015 Int Confianca'!AJ35</f>
        <v>0.107</v>
      </c>
      <c r="AM7">
        <f>'2012_2015 Int Confianca'!AK35</f>
        <v>0.10829999999999999</v>
      </c>
      <c r="AN7">
        <f>'2012_2015 Int Confianca'!AL35</f>
        <v>0.1</v>
      </c>
      <c r="AO7">
        <f>'2012_2015 Int Confianca'!AM35</f>
        <v>9.8500000000000004E-2</v>
      </c>
      <c r="AP7">
        <f>'2012_2015 Int Confianca'!AN35</f>
        <v>0.1124</v>
      </c>
      <c r="AQ7">
        <f>'2012_2015 Int Confianca'!AO35</f>
        <v>0.1323</v>
      </c>
      <c r="AR7">
        <f>'2012_2015 Int Confianca'!AP35</f>
        <v>0.1212</v>
      </c>
      <c r="AS7">
        <f>'2012_2015 Int Confianca'!AQ35</f>
        <v>0.1118</v>
      </c>
      <c r="AT7">
        <f>'2012_2015 Int Confianca'!AR35</f>
        <v>9.9900000000000003E-2</v>
      </c>
      <c r="AU7">
        <f>'2012_2015 Int Confianca'!AS35</f>
        <v>9.74E-2</v>
      </c>
      <c r="AV7">
        <f>'2012_2015 Int Confianca'!AT35</f>
        <v>7.0800000000000002E-2</v>
      </c>
      <c r="AW7">
        <f>'2012_2015 Int Confianca'!AU35</f>
        <v>8.0199999999999994E-2</v>
      </c>
      <c r="AX7">
        <f>'2012_2015 Int Confianca'!AV35</f>
        <v>8.6999999999999994E-2</v>
      </c>
      <c r="AY7">
        <f>'2012_2015 Int Confianca'!AW35</f>
        <v>9.7900000000000001E-2</v>
      </c>
      <c r="AZ7">
        <f>'2012_2015 Int Confianca'!AX35</f>
        <v>0.1012</v>
      </c>
      <c r="BA7">
        <f>'2012_2015 Int Confianca'!AY35</f>
        <v>9.7900000000000001E-2</v>
      </c>
      <c r="BB7">
        <f>'2012_2015 Int Confianca'!AZ35</f>
        <v>0.1206</v>
      </c>
      <c r="BC7">
        <f>'2012_2015 Int Confianca'!BA35</f>
        <v>0.12239999999999999</v>
      </c>
      <c r="BD7">
        <f>'2012_2015 Int Confianca'!BB35</f>
        <v>0.1022</v>
      </c>
      <c r="BE7">
        <f>'2012_2015 Int Confianca'!BC35</f>
        <v>0.1024</v>
      </c>
      <c r="BF7">
        <f>'2012_2015 Int Confianca'!BD35</f>
        <v>8.77E-2</v>
      </c>
      <c r="BG7">
        <f>'2012_2015 Int Confianca'!BE35</f>
        <v>9.4600000000000004E-2</v>
      </c>
      <c r="BH7">
        <f>'2012_2015 Int Confianca'!BF35</f>
        <v>8.0199999999999994E-2</v>
      </c>
      <c r="BI7">
        <f>'2012_2015 Int Confianca'!BG35</f>
        <v>8.1600000000000006E-2</v>
      </c>
      <c r="BJ7">
        <f>'2012_2015 Int Confianca'!BH35</f>
        <v>7.6499999999999999E-2</v>
      </c>
      <c r="BK7">
        <f>'2012_2015 Int Confianca'!BI35</f>
        <v>9.69E-2</v>
      </c>
      <c r="BL7">
        <f>'2012_2015 Int Confianca'!BJ35</f>
        <v>9.4399999999999998E-2</v>
      </c>
      <c r="BM7">
        <f>'2012_2015 Int Confianca'!BK35</f>
        <v>9.4799999999999995E-2</v>
      </c>
      <c r="BN7">
        <f>'2012_2015 Int Confianca'!BL35</f>
        <v>9.1399999999999995E-2</v>
      </c>
      <c r="BO7">
        <f>'2012_2015 Int Confianca'!BM35</f>
        <v>0.1038</v>
      </c>
      <c r="BP7">
        <f>'2012_2015 Int Confianca'!BN35</f>
        <v>9.3600000000000003E-2</v>
      </c>
      <c r="BQ7">
        <f>'2012_2015 Int Confianca'!BO35</f>
        <v>7.7399999999999997E-2</v>
      </c>
      <c r="BR7">
        <f>'2012_2015 Int Confianca'!BP35</f>
        <v>5.3900000000000003E-2</v>
      </c>
      <c r="BS7">
        <f>'2012_2015 Int Confianca'!BQ35</f>
        <v>6.5299999999999997E-2</v>
      </c>
      <c r="BT7">
        <f>'2012_2015 Int Confianca'!BR35</f>
        <v>8.1100000000000005E-2</v>
      </c>
      <c r="BU7">
        <f>'2012_2015 Int Confianca'!BS35</f>
        <v>7.5700000000000003E-2</v>
      </c>
      <c r="BV7">
        <f>'2012_2015 Int Confianca'!BT35</f>
        <v>6.4600000000000005E-2</v>
      </c>
      <c r="BW7">
        <f>'2012_2015 Int Confianca'!BU35</f>
        <v>6.6299999999999998E-2</v>
      </c>
      <c r="BX7">
        <f>'2012_2015 Int Confianca'!BV35</f>
        <v>7.6600000000000001E-2</v>
      </c>
      <c r="BY7">
        <f>'2012_2015 Int Confianca'!BW35</f>
        <v>6.0400000000000002E-2</v>
      </c>
      <c r="BZ7">
        <f>'2012_2015 Int Confianca'!BX35</f>
        <v>7.2599999999999998E-2</v>
      </c>
      <c r="CA7">
        <f>'2012_2015 Int Confianca'!BY35</f>
        <v>7.1099999999999997E-2</v>
      </c>
      <c r="CB7">
        <f>'2012_2015 Int Confianca'!BZ35</f>
        <v>7.4700000000000003E-2</v>
      </c>
      <c r="CC7">
        <f>'2012_2015 Int Confianca'!CA35</f>
        <v>4.99E-2</v>
      </c>
      <c r="CD7">
        <f>'2012_2015 Int Confianca'!CB35</f>
        <v>2.3599999999999999E-2</v>
      </c>
      <c r="CE7">
        <f>'2012_2015 Int Confianca'!CC35</f>
        <v>4.6300000000000001E-2</v>
      </c>
      <c r="CF7">
        <f>'2012_2015 Int Confianca'!CD35</f>
        <v>3.3399999999999999E-2</v>
      </c>
      <c r="CG7">
        <f>'2012_2015 Int Confianca'!CE35</f>
        <v>5.3900000000000003E-2</v>
      </c>
      <c r="CH7">
        <f>'2012_2015 Int Confianca'!CF35</f>
        <v>2.52E-2</v>
      </c>
      <c r="CI7">
        <f>'2012_2015 Int Confianca'!CG35</f>
        <v>4.8500000000000001E-2</v>
      </c>
      <c r="CJ7">
        <f>'2012_2015 Int Confianca'!CH35</f>
        <v>6.0199999999999997E-2</v>
      </c>
      <c r="CK7">
        <f>'2012_2015 Int Confianca'!CI35</f>
        <v>6.1499999999999999E-2</v>
      </c>
      <c r="CL7">
        <f>'2012_2015 Int Confianca'!CJ35</f>
        <v>2.46E-2</v>
      </c>
      <c r="CM7">
        <f>'2012_2015 Int Confianca'!CK35</f>
        <v>6.3E-3</v>
      </c>
      <c r="CN7">
        <f>'2012_2015 Int Confianca'!CL35</f>
        <v>3.09E-2</v>
      </c>
      <c r="CO7">
        <f>'2012_2015 Int Confianca'!CM35</f>
        <v>1.4500000000000001E-2</v>
      </c>
      <c r="CP7">
        <f>'2012_2015 Int Confianca'!CN35</f>
        <v>6.5600000000000006E-2</v>
      </c>
      <c r="CQ7">
        <f>'2012_2015 Int Confianca'!CO35</f>
        <v>2.5999999999999999E-3</v>
      </c>
      <c r="CR7">
        <f>'2012_2015 Int Confianca'!CP35</f>
        <v>1.8499999999999999E-2</v>
      </c>
      <c r="CS7">
        <f>'2012_2015 Int Confianca'!CQ35</f>
        <v>-8.9999999999999993E-3</v>
      </c>
      <c r="CT7">
        <f>'2012_2015 Int Confianca'!CR35</f>
        <v>-2.3300000000000001E-2</v>
      </c>
      <c r="CU7">
        <f>'2012_2015 Int Confianca'!CS35</f>
        <v>8.6999999999999994E-3</v>
      </c>
      <c r="CV7">
        <f>'2012_2015 Int Confianca'!CT35</f>
        <v>4.4999999999999997E-3</v>
      </c>
      <c r="CW7">
        <f>'2012_2015 Int Confianca'!CU35</f>
        <v>-3.15E-2</v>
      </c>
      <c r="CX7">
        <f>'2012_2015 Int Confianca'!CV35</f>
        <v>-2.5600000000000001E-2</v>
      </c>
    </row>
    <row r="8" spans="1:102" x14ac:dyDescent="0.2">
      <c r="A8" t="s">
        <v>228</v>
      </c>
      <c r="B8" t="s">
        <v>217</v>
      </c>
      <c r="C8" t="s">
        <v>102</v>
      </c>
      <c r="D8">
        <f>'2012_2015 Int Confianca'!B36</f>
        <v>0.30420000000000003</v>
      </c>
      <c r="E8">
        <f>'2012_2015 Int Confianca'!C36</f>
        <v>0.27029999999999998</v>
      </c>
      <c r="F8">
        <f>'2012_2015 Int Confianca'!D36</f>
        <v>0.28960000000000002</v>
      </c>
      <c r="G8">
        <f>'2012_2015 Int Confianca'!E36</f>
        <v>0.28849999999999998</v>
      </c>
      <c r="H8">
        <f>'2012_2015 Int Confianca'!F36</f>
        <v>0.28970000000000001</v>
      </c>
      <c r="I8">
        <f>'2012_2015 Int Confianca'!G36</f>
        <v>0.24199999999999999</v>
      </c>
      <c r="J8">
        <f>'2012_2015 Int Confianca'!H36</f>
        <v>0.27729999999999999</v>
      </c>
      <c r="K8">
        <f>'2012_2015 Int Confianca'!I36</f>
        <v>0.23089999999999999</v>
      </c>
      <c r="L8">
        <f>'2012_2015 Int Confianca'!J36</f>
        <v>0.23089999999999999</v>
      </c>
      <c r="M8">
        <f>'2012_2015 Int Confianca'!K36</f>
        <v>0.2089</v>
      </c>
      <c r="N8">
        <f>'2012_2015 Int Confianca'!L36</f>
        <v>0.216</v>
      </c>
      <c r="O8">
        <f>'2012_2015 Int Confianca'!M36</f>
        <v>0.21329999999999999</v>
      </c>
      <c r="P8">
        <f>'2012_2015 Int Confianca'!N36</f>
        <v>0.19389999999999999</v>
      </c>
      <c r="Q8">
        <f>'2012_2015 Int Confianca'!O36</f>
        <v>0.17649999999999999</v>
      </c>
      <c r="R8">
        <f>'2012_2015 Int Confianca'!P36</f>
        <v>0.1439</v>
      </c>
      <c r="S8">
        <f>'2012_2015 Int Confianca'!Q36</f>
        <v>0.1381</v>
      </c>
      <c r="T8">
        <f>'2012_2015 Int Confianca'!R36</f>
        <v>0.1449</v>
      </c>
      <c r="U8">
        <f>'2012_2015 Int Confianca'!S36</f>
        <v>0.14580000000000001</v>
      </c>
      <c r="V8">
        <f>'2012_2015 Int Confianca'!T36</f>
        <v>0.13339999999999999</v>
      </c>
      <c r="W8">
        <f>'2012_2015 Int Confianca'!U36</f>
        <v>0.12889999999999999</v>
      </c>
      <c r="X8">
        <f>'2012_2015 Int Confianca'!V36</f>
        <v>0.12909999999999999</v>
      </c>
      <c r="Y8">
        <f>'2012_2015 Int Confianca'!W36</f>
        <v>0.13350000000000001</v>
      </c>
      <c r="Z8">
        <f>'2012_2015 Int Confianca'!X36</f>
        <v>0.14560000000000001</v>
      </c>
      <c r="AA8">
        <f>'2012_2015 Int Confianca'!Y36</f>
        <v>0.14000000000000001</v>
      </c>
      <c r="AB8">
        <f>'2012_2015 Int Confianca'!Z36</f>
        <v>0.12609999999999999</v>
      </c>
      <c r="AC8">
        <f>'2012_2015 Int Confianca'!AA36</f>
        <v>0.11650000000000001</v>
      </c>
      <c r="AD8">
        <f>'2012_2015 Int Confianca'!AB36</f>
        <v>0.106</v>
      </c>
      <c r="AE8">
        <f>'2012_2015 Int Confianca'!AC36</f>
        <v>9.5100000000000004E-2</v>
      </c>
      <c r="AF8">
        <f>'2012_2015 Int Confianca'!AD36</f>
        <v>9.5399999999999999E-2</v>
      </c>
      <c r="AG8">
        <f>'2012_2015 Int Confianca'!AE36</f>
        <v>0.10100000000000001</v>
      </c>
      <c r="AH8">
        <f>'2012_2015 Int Confianca'!AF36</f>
        <v>9.9000000000000005E-2</v>
      </c>
      <c r="AI8">
        <f>'2012_2015 Int Confianca'!AG36</f>
        <v>0.1047</v>
      </c>
      <c r="AJ8">
        <f>'2012_2015 Int Confianca'!AH36</f>
        <v>0.1207</v>
      </c>
      <c r="AK8">
        <f>'2012_2015 Int Confianca'!AI36</f>
        <v>0.1193</v>
      </c>
      <c r="AL8">
        <f>'2012_2015 Int Confianca'!AJ36</f>
        <v>0.1178</v>
      </c>
      <c r="AM8">
        <f>'2012_2015 Int Confianca'!AK36</f>
        <v>0.1193</v>
      </c>
      <c r="AN8">
        <f>'2012_2015 Int Confianca'!AL36</f>
        <v>0.1113</v>
      </c>
      <c r="AO8">
        <f>'2012_2015 Int Confianca'!AM36</f>
        <v>0.11</v>
      </c>
      <c r="AP8">
        <f>'2012_2015 Int Confianca'!AN36</f>
        <v>0.12379999999999999</v>
      </c>
      <c r="AQ8">
        <f>'2012_2015 Int Confianca'!AO36</f>
        <v>0.14380000000000001</v>
      </c>
      <c r="AR8">
        <f>'2012_2015 Int Confianca'!AP36</f>
        <v>0.1328</v>
      </c>
      <c r="AS8">
        <f>'2012_2015 Int Confianca'!AQ36</f>
        <v>0.1235</v>
      </c>
      <c r="AT8">
        <f>'2012_2015 Int Confianca'!AR36</f>
        <v>0.11169999999999999</v>
      </c>
      <c r="AU8">
        <f>'2012_2015 Int Confianca'!AS36</f>
        <v>0.1091</v>
      </c>
      <c r="AV8">
        <f>'2012_2015 Int Confianca'!AT36</f>
        <v>8.2699999999999996E-2</v>
      </c>
      <c r="AW8">
        <f>'2012_2015 Int Confianca'!AU36</f>
        <v>9.2299999999999993E-2</v>
      </c>
      <c r="AX8">
        <f>'2012_2015 Int Confianca'!AV36</f>
        <v>9.9500000000000005E-2</v>
      </c>
      <c r="AY8">
        <f>'2012_2015 Int Confianca'!AW36</f>
        <v>0.1106</v>
      </c>
      <c r="AZ8">
        <f>'2012_2015 Int Confianca'!AX36</f>
        <v>0.11409999999999999</v>
      </c>
      <c r="BA8">
        <f>'2012_2015 Int Confianca'!AY36</f>
        <v>0.1111</v>
      </c>
      <c r="BB8">
        <f>'2012_2015 Int Confianca'!AZ36</f>
        <v>0.13400000000000001</v>
      </c>
      <c r="BC8">
        <f>'2012_2015 Int Confianca'!BA36</f>
        <v>0.13600000000000001</v>
      </c>
      <c r="BD8">
        <f>'2012_2015 Int Confianca'!BB36</f>
        <v>0.11609999999999999</v>
      </c>
      <c r="BE8">
        <f>'2012_2015 Int Confianca'!BC36</f>
        <v>0.1166</v>
      </c>
      <c r="BF8">
        <f>'2012_2015 Int Confianca'!BD36</f>
        <v>0.10199999999999999</v>
      </c>
      <c r="BG8">
        <f>'2012_2015 Int Confianca'!BE36</f>
        <v>0.109</v>
      </c>
      <c r="BH8">
        <f>'2012_2015 Int Confianca'!BF36</f>
        <v>9.4600000000000004E-2</v>
      </c>
      <c r="BI8">
        <f>'2012_2015 Int Confianca'!BG36</f>
        <v>9.6199999999999994E-2</v>
      </c>
      <c r="BJ8">
        <f>'2012_2015 Int Confianca'!BH36</f>
        <v>9.1200000000000003E-2</v>
      </c>
      <c r="BK8">
        <f>'2012_2015 Int Confianca'!BI36</f>
        <v>0.11169999999999999</v>
      </c>
      <c r="BL8">
        <f>'2012_2015 Int Confianca'!BJ36</f>
        <v>0.1094</v>
      </c>
      <c r="BM8">
        <f>'2012_2015 Int Confianca'!BK36</f>
        <v>0.11020000000000001</v>
      </c>
      <c r="BN8">
        <f>'2012_2015 Int Confianca'!BL36</f>
        <v>0.1072</v>
      </c>
      <c r="BO8">
        <f>'2012_2015 Int Confianca'!BM36</f>
        <v>0.11990000000000001</v>
      </c>
      <c r="BP8">
        <f>'2012_2015 Int Confianca'!BN36</f>
        <v>0.1099</v>
      </c>
      <c r="BQ8">
        <f>'2012_2015 Int Confianca'!BO36</f>
        <v>9.3899999999999997E-2</v>
      </c>
      <c r="BR8">
        <f>'2012_2015 Int Confianca'!BP36</f>
        <v>7.0300000000000001E-2</v>
      </c>
      <c r="BS8">
        <f>'2012_2015 Int Confianca'!BQ36</f>
        <v>8.2100000000000006E-2</v>
      </c>
      <c r="BT8">
        <f>'2012_2015 Int Confianca'!BR36</f>
        <v>9.8100000000000007E-2</v>
      </c>
      <c r="BU8">
        <f>'2012_2015 Int Confianca'!BS36</f>
        <v>9.3399999999999997E-2</v>
      </c>
      <c r="BV8">
        <f>'2012_2015 Int Confianca'!BT36</f>
        <v>8.3400000000000002E-2</v>
      </c>
      <c r="BW8">
        <f>'2012_2015 Int Confianca'!BU36</f>
        <v>8.6300000000000002E-2</v>
      </c>
      <c r="BX8">
        <f>'2012_2015 Int Confianca'!BV36</f>
        <v>9.7199999999999995E-2</v>
      </c>
      <c r="BY8">
        <f>'2012_2015 Int Confianca'!BW36</f>
        <v>8.1299999999999997E-2</v>
      </c>
      <c r="BZ8">
        <f>'2012_2015 Int Confianca'!BX36</f>
        <v>9.2700000000000005E-2</v>
      </c>
      <c r="CA8">
        <f>'2012_2015 Int Confianca'!BY36</f>
        <v>9.0899999999999995E-2</v>
      </c>
      <c r="CB8">
        <f>'2012_2015 Int Confianca'!BZ36</f>
        <v>9.4500000000000001E-2</v>
      </c>
      <c r="CC8">
        <f>'2012_2015 Int Confianca'!CA36</f>
        <v>7.0300000000000001E-2</v>
      </c>
      <c r="CD8">
        <f>'2012_2015 Int Confianca'!CB36</f>
        <v>4.53E-2</v>
      </c>
      <c r="CE8">
        <f>'2012_2015 Int Confianca'!CC36</f>
        <v>7.1499999999999994E-2</v>
      </c>
      <c r="CF8">
        <f>'2012_2015 Int Confianca'!CD36</f>
        <v>6.0299999999999999E-2</v>
      </c>
      <c r="CG8">
        <f>'2012_2015 Int Confianca'!CE36</f>
        <v>7.9899999999999999E-2</v>
      </c>
      <c r="CH8">
        <f>'2012_2015 Int Confianca'!CF36</f>
        <v>5.0099999999999999E-2</v>
      </c>
      <c r="CI8">
        <f>'2012_2015 Int Confianca'!CG36</f>
        <v>7.3300000000000004E-2</v>
      </c>
      <c r="CJ8">
        <f>'2012_2015 Int Confianca'!CH36</f>
        <v>8.6800000000000002E-2</v>
      </c>
      <c r="CK8">
        <f>'2012_2015 Int Confianca'!CI36</f>
        <v>9.11E-2</v>
      </c>
      <c r="CL8">
        <f>'2012_2015 Int Confianca'!CJ36</f>
        <v>5.3900000000000003E-2</v>
      </c>
      <c r="CM8">
        <f>'2012_2015 Int Confianca'!CK36</f>
        <v>3.5799999999999998E-2</v>
      </c>
      <c r="CN8">
        <f>'2012_2015 Int Confianca'!CL36</f>
        <v>6.4500000000000002E-2</v>
      </c>
      <c r="CO8">
        <f>'2012_2015 Int Confianca'!CM36</f>
        <v>4.9200000000000001E-2</v>
      </c>
      <c r="CP8">
        <f>'2012_2015 Int Confianca'!CN36</f>
        <v>9.7000000000000003E-2</v>
      </c>
      <c r="CQ8">
        <f>'2012_2015 Int Confianca'!CO36</f>
        <v>3.6900000000000002E-2</v>
      </c>
      <c r="CR8">
        <f>'2012_2015 Int Confianca'!CP36</f>
        <v>6.1499999999999999E-2</v>
      </c>
      <c r="CS8">
        <f>'2012_2015 Int Confianca'!CQ36</f>
        <v>2.87E-2</v>
      </c>
      <c r="CT8">
        <f>'2012_2015 Int Confianca'!CR36</f>
        <v>2.4899999999999999E-2</v>
      </c>
      <c r="CU8">
        <f>'2012_2015 Int Confianca'!CS36</f>
        <v>5.6000000000000001E-2</v>
      </c>
      <c r="CV8">
        <f>'2012_2015 Int Confianca'!CT36</f>
        <v>6.0199999999999997E-2</v>
      </c>
      <c r="CW8">
        <f>'2012_2015 Int Confianca'!CU36</f>
        <v>3.4000000000000002E-2</v>
      </c>
      <c r="CX8">
        <f>'2012_2015 Int Confianca'!CV36</f>
        <v>6.0299999999999999E-2</v>
      </c>
    </row>
    <row r="9" spans="1:102" x14ac:dyDescent="0.2">
      <c r="A9" t="s">
        <v>231</v>
      </c>
      <c r="B9" t="s">
        <v>217</v>
      </c>
      <c r="C9" t="s">
        <v>102</v>
      </c>
      <c r="D9">
        <f>'2012_2015 Int Confianca'!B37</f>
        <v>4.1399999999999999E-2</v>
      </c>
      <c r="E9">
        <f>'2012_2015 Int Confianca'!C37</f>
        <v>5.9299999999999999E-2</v>
      </c>
      <c r="F9">
        <f>'2012_2015 Int Confianca'!D37</f>
        <v>5.96E-2</v>
      </c>
      <c r="G9">
        <f>'2012_2015 Int Confianca'!E37</f>
        <v>5.9700000000000003E-2</v>
      </c>
      <c r="H9">
        <f>'2012_2015 Int Confianca'!F37</f>
        <v>5.6300000000000003E-2</v>
      </c>
      <c r="I9">
        <f>'2012_2015 Int Confianca'!G37</f>
        <v>6.0600000000000001E-2</v>
      </c>
      <c r="J9">
        <f>'2012_2015 Int Confianca'!H37</f>
        <v>5.91E-2</v>
      </c>
      <c r="K9">
        <f>'2012_2015 Int Confianca'!I37</f>
        <v>5.5300000000000002E-2</v>
      </c>
      <c r="L9">
        <f>'2012_2015 Int Confianca'!J37</f>
        <v>5.6800000000000003E-2</v>
      </c>
      <c r="M9">
        <f>'2012_2015 Int Confianca'!K37</f>
        <v>4.5499999999999999E-2</v>
      </c>
      <c r="N9">
        <f>'2012_2015 Int Confianca'!L37</f>
        <v>4.41E-2</v>
      </c>
      <c r="O9">
        <f>'2012_2015 Int Confianca'!M37</f>
        <v>4.1599999999999998E-2</v>
      </c>
      <c r="P9">
        <f>'2012_2015 Int Confianca'!N37</f>
        <v>3.8100000000000002E-2</v>
      </c>
      <c r="Q9">
        <f>'2012_2015 Int Confianca'!O37</f>
        <v>3.4500000000000003E-2</v>
      </c>
      <c r="R9">
        <f>'2012_2015 Int Confianca'!P37</f>
        <v>2.8799999999999999E-2</v>
      </c>
      <c r="S9">
        <f>'2012_2015 Int Confianca'!Q37</f>
        <v>2.6200000000000001E-2</v>
      </c>
      <c r="T9">
        <f>'2012_2015 Int Confianca'!R37</f>
        <v>2.5100000000000001E-2</v>
      </c>
      <c r="U9">
        <f>'2012_2015 Int Confianca'!S37</f>
        <v>2.46E-2</v>
      </c>
      <c r="V9">
        <f>'2012_2015 Int Confianca'!T37</f>
        <v>2.35E-2</v>
      </c>
      <c r="W9">
        <f>'2012_2015 Int Confianca'!U37</f>
        <v>2.3E-2</v>
      </c>
      <c r="X9">
        <f>'2012_2015 Int Confianca'!V37</f>
        <v>2.2700000000000001E-2</v>
      </c>
      <c r="Y9">
        <f>'2012_2015 Int Confianca'!W37</f>
        <v>2.2700000000000001E-2</v>
      </c>
      <c r="Z9">
        <f>'2012_2015 Int Confianca'!X37</f>
        <v>2.2700000000000001E-2</v>
      </c>
      <c r="AA9">
        <f>'2012_2015 Int Confianca'!Y37</f>
        <v>2.2700000000000001E-2</v>
      </c>
      <c r="AB9">
        <f>'2012_2015 Int Confianca'!Z37</f>
        <v>2.2700000000000001E-2</v>
      </c>
      <c r="AC9">
        <f>'2012_2015 Int Confianca'!AA37</f>
        <v>2.24E-2</v>
      </c>
      <c r="AD9">
        <f>'2012_2015 Int Confianca'!AB37</f>
        <v>2.23E-2</v>
      </c>
      <c r="AE9">
        <f>'2012_2015 Int Confianca'!AC37</f>
        <v>2.23E-2</v>
      </c>
      <c r="AF9">
        <f>'2012_2015 Int Confianca'!AD37</f>
        <v>2.2599999999999999E-2</v>
      </c>
      <c r="AG9">
        <f>'2012_2015 Int Confianca'!AE37</f>
        <v>2.3199999999999998E-2</v>
      </c>
      <c r="AH9">
        <f>'2012_2015 Int Confianca'!AF37</f>
        <v>2.3800000000000002E-2</v>
      </c>
      <c r="AI9">
        <f>'2012_2015 Int Confianca'!AG37</f>
        <v>2.4299999999999999E-2</v>
      </c>
      <c r="AJ9">
        <f>'2012_2015 Int Confianca'!AH37</f>
        <v>2.4899999999999999E-2</v>
      </c>
      <c r="AK9">
        <f>'2012_2015 Int Confianca'!AI37</f>
        <v>2.5899999999999999E-2</v>
      </c>
      <c r="AL9">
        <f>'2012_2015 Int Confianca'!AJ37</f>
        <v>2.6700000000000002E-2</v>
      </c>
      <c r="AM9">
        <f>'2012_2015 Int Confianca'!AK37</f>
        <v>2.7400000000000001E-2</v>
      </c>
      <c r="AN9">
        <f>'2012_2015 Int Confianca'!AL37</f>
        <v>2.8299999999999999E-2</v>
      </c>
      <c r="AO9">
        <f>'2012_2015 Int Confianca'!AM37</f>
        <v>2.9499999999999998E-2</v>
      </c>
      <c r="AP9">
        <f>'2012_2015 Int Confianca'!AN37</f>
        <v>3.04E-2</v>
      </c>
      <c r="AQ9">
        <f>'2012_2015 Int Confianca'!AO37</f>
        <v>3.1399999999999997E-2</v>
      </c>
      <c r="AR9">
        <f>'2012_2015 Int Confianca'!AP37</f>
        <v>3.2000000000000001E-2</v>
      </c>
      <c r="AS9">
        <f>'2012_2015 Int Confianca'!AQ37</f>
        <v>3.2899999999999999E-2</v>
      </c>
      <c r="AT9">
        <f>'2012_2015 Int Confianca'!AR37</f>
        <v>3.3399999999999999E-2</v>
      </c>
      <c r="AU9">
        <f>'2012_2015 Int Confianca'!AS37</f>
        <v>3.3500000000000002E-2</v>
      </c>
      <c r="AV9">
        <f>'2012_2015 Int Confianca'!AT37</f>
        <v>3.3399999999999999E-2</v>
      </c>
      <c r="AW9">
        <f>'2012_2015 Int Confianca'!AU37</f>
        <v>3.3300000000000003E-2</v>
      </c>
      <c r="AX9">
        <f>'2012_2015 Int Confianca'!AV37</f>
        <v>3.3399999999999999E-2</v>
      </c>
      <c r="AY9">
        <f>'2012_2015 Int Confianca'!AW37</f>
        <v>3.4299999999999997E-2</v>
      </c>
      <c r="AZ9">
        <f>'2012_2015 Int Confianca'!AX37</f>
        <v>3.4599999999999999E-2</v>
      </c>
      <c r="BA9">
        <f>'2012_2015 Int Confianca'!AY37</f>
        <v>3.5799999999999998E-2</v>
      </c>
      <c r="BB9">
        <f>'2012_2015 Int Confianca'!AZ37</f>
        <v>3.6600000000000001E-2</v>
      </c>
      <c r="BC9">
        <f>'2012_2015 Int Confianca'!BA37</f>
        <v>3.8699999999999998E-2</v>
      </c>
      <c r="BD9">
        <f>'2012_2015 Int Confianca'!BB37</f>
        <v>4.1000000000000002E-2</v>
      </c>
      <c r="BE9">
        <f>'2012_2015 Int Confianca'!BC37</f>
        <v>4.2500000000000003E-2</v>
      </c>
      <c r="BF9">
        <f>'2012_2015 Int Confianca'!BD37</f>
        <v>4.3400000000000001E-2</v>
      </c>
      <c r="BG9">
        <f>'2012_2015 Int Confianca'!BE37</f>
        <v>4.3799999999999999E-2</v>
      </c>
      <c r="BH9">
        <f>'2012_2015 Int Confianca'!BF37</f>
        <v>4.3200000000000002E-2</v>
      </c>
      <c r="BI9">
        <f>'2012_2015 Int Confianca'!BG37</f>
        <v>4.2500000000000003E-2</v>
      </c>
      <c r="BJ9">
        <f>'2012_2015 Int Confianca'!BH37</f>
        <v>4.24E-2</v>
      </c>
      <c r="BK9">
        <f>'2012_2015 Int Confianca'!BI37</f>
        <v>4.2700000000000002E-2</v>
      </c>
      <c r="BL9">
        <f>'2012_2015 Int Confianca'!BJ37</f>
        <v>4.2900000000000001E-2</v>
      </c>
      <c r="BM9">
        <f>'2012_2015 Int Confianca'!BK37</f>
        <v>4.4400000000000002E-2</v>
      </c>
      <c r="BN9">
        <f>'2012_2015 Int Confianca'!BL37</f>
        <v>4.65E-2</v>
      </c>
      <c r="BO9">
        <f>'2012_2015 Int Confianca'!BM37</f>
        <v>4.8300000000000003E-2</v>
      </c>
      <c r="BP9">
        <f>'2012_2015 Int Confianca'!BN37</f>
        <v>4.9399999999999999E-2</v>
      </c>
      <c r="BQ9">
        <f>'2012_2015 Int Confianca'!BO37</f>
        <v>5.0200000000000002E-2</v>
      </c>
      <c r="BR9">
        <f>'2012_2015 Int Confianca'!BP37</f>
        <v>4.9700000000000001E-2</v>
      </c>
      <c r="BS9">
        <f>'2012_2015 Int Confianca'!BQ37</f>
        <v>4.9599999999999998E-2</v>
      </c>
      <c r="BT9">
        <f>'2012_2015 Int Confianca'!BR37</f>
        <v>4.9599999999999998E-2</v>
      </c>
      <c r="BU9">
        <f>'2012_2015 Int Confianca'!BS37</f>
        <v>5.0799999999999998E-2</v>
      </c>
      <c r="BV9">
        <f>'2012_2015 Int Confianca'!BT37</f>
        <v>5.3800000000000001E-2</v>
      </c>
      <c r="BW9">
        <f>'2012_2015 Int Confianca'!BU37</f>
        <v>5.6500000000000002E-2</v>
      </c>
      <c r="BX9">
        <f>'2012_2015 Int Confianca'!BV37</f>
        <v>5.8400000000000001E-2</v>
      </c>
      <c r="BY9">
        <f>'2012_2015 Int Confianca'!BW37</f>
        <v>0.06</v>
      </c>
      <c r="BZ9">
        <f>'2012_2015 Int Confianca'!BX37</f>
        <v>5.9200000000000003E-2</v>
      </c>
      <c r="CA9">
        <f>'2012_2015 Int Confianca'!BY37</f>
        <v>5.8599999999999999E-2</v>
      </c>
      <c r="CB9">
        <f>'2012_2015 Int Confianca'!BZ37</f>
        <v>5.7799999999999997E-2</v>
      </c>
      <c r="CC9">
        <f>'2012_2015 Int Confianca'!CA37</f>
        <v>6.0699999999999997E-2</v>
      </c>
      <c r="CD9">
        <f>'2012_2015 Int Confianca'!CB37</f>
        <v>6.4299999999999996E-2</v>
      </c>
      <c r="CE9">
        <f>'2012_2015 Int Confianca'!CC37</f>
        <v>6.7199999999999996E-2</v>
      </c>
      <c r="CF9">
        <f>'2012_2015 Int Confianca'!CD37</f>
        <v>6.9800000000000001E-2</v>
      </c>
      <c r="CG9">
        <f>'2012_2015 Int Confianca'!CE37</f>
        <v>6.6299999999999998E-2</v>
      </c>
      <c r="CH9">
        <f>'2012_2015 Int Confianca'!CF37</f>
        <v>6.1100000000000002E-2</v>
      </c>
      <c r="CI9">
        <f>'2012_2015 Int Confianca'!CG37</f>
        <v>5.9900000000000002E-2</v>
      </c>
      <c r="CJ9">
        <f>'2012_2015 Int Confianca'!CH37</f>
        <v>6.3299999999999995E-2</v>
      </c>
      <c r="CK9">
        <f>'2012_2015 Int Confianca'!CI37</f>
        <v>7.8799999999999995E-2</v>
      </c>
      <c r="CL9">
        <f>'2012_2015 Int Confianca'!CJ37</f>
        <v>7.5999999999999998E-2</v>
      </c>
      <c r="CM9">
        <f>'2012_2015 Int Confianca'!CK37</f>
        <v>7.1599999999999997E-2</v>
      </c>
      <c r="CN9">
        <f>'2012_2015 Int Confianca'!CL37</f>
        <v>7.4099999999999999E-2</v>
      </c>
      <c r="CO9">
        <f>'2012_2015 Int Confianca'!CM37</f>
        <v>7.3099999999999998E-2</v>
      </c>
      <c r="CP9">
        <f>'2012_2015 Int Confianca'!CN37</f>
        <v>6.7400000000000002E-2</v>
      </c>
      <c r="CQ9">
        <f>'2012_2015 Int Confianca'!CO37</f>
        <v>7.7100000000000002E-2</v>
      </c>
      <c r="CR9">
        <f>'2012_2015 Int Confianca'!CP37</f>
        <v>8.48E-2</v>
      </c>
      <c r="CS9">
        <f>'2012_2015 Int Confianca'!CQ37</f>
        <v>7.2599999999999998E-2</v>
      </c>
      <c r="CT9">
        <f>'2012_2015 Int Confianca'!CR37</f>
        <v>8.3900000000000002E-2</v>
      </c>
      <c r="CU9">
        <f>'2012_2015 Int Confianca'!CS37</f>
        <v>6.3700000000000007E-2</v>
      </c>
      <c r="CV9">
        <f>'2012_2015 Int Confianca'!CT37</f>
        <v>7.3300000000000004E-2</v>
      </c>
      <c r="CW9">
        <f>'2012_2015 Int Confianca'!CU37</f>
        <v>6.9699999999999998E-2</v>
      </c>
      <c r="CX9">
        <f>'2012_2015 Int Confianca'!CV37</f>
        <v>6.0199999999999997E-2</v>
      </c>
    </row>
    <row r="10" spans="1:102" x14ac:dyDescent="0.2">
      <c r="A10" t="s">
        <v>230</v>
      </c>
      <c r="B10" t="s">
        <v>217</v>
      </c>
      <c r="C10" t="s">
        <v>102</v>
      </c>
      <c r="D10">
        <f>'2012_2015 Int Confianca'!B38</f>
        <v>5.5300000000000002E-2</v>
      </c>
      <c r="E10">
        <f>'2012_2015 Int Confianca'!C38</f>
        <v>7.5899999999999995E-2</v>
      </c>
      <c r="F10">
        <f>'2012_2015 Int Confianca'!D38</f>
        <v>7.5600000000000001E-2</v>
      </c>
      <c r="G10">
        <f>'2012_2015 Int Confianca'!E38</f>
        <v>7.51E-2</v>
      </c>
      <c r="H10">
        <f>'2012_2015 Int Confianca'!F38</f>
        <v>7.0499999999999993E-2</v>
      </c>
      <c r="I10">
        <f>'2012_2015 Int Confianca'!G38</f>
        <v>7.5700000000000003E-2</v>
      </c>
      <c r="J10">
        <f>'2012_2015 Int Confianca'!H38</f>
        <v>7.3700000000000002E-2</v>
      </c>
      <c r="K10">
        <f>'2012_2015 Int Confianca'!I38</f>
        <v>6.9000000000000006E-2</v>
      </c>
      <c r="L10">
        <f>'2012_2015 Int Confianca'!J38</f>
        <v>7.0699999999999999E-2</v>
      </c>
      <c r="M10">
        <f>'2012_2015 Int Confianca'!K38</f>
        <v>5.67E-2</v>
      </c>
      <c r="N10">
        <f>'2012_2015 Int Confianca'!L38</f>
        <v>5.4800000000000001E-2</v>
      </c>
      <c r="O10">
        <f>'2012_2015 Int Confianca'!M38</f>
        <v>5.1700000000000003E-2</v>
      </c>
      <c r="P10">
        <f>'2012_2015 Int Confianca'!N38</f>
        <v>4.7199999999999999E-2</v>
      </c>
      <c r="Q10">
        <f>'2012_2015 Int Confianca'!O38</f>
        <v>4.2700000000000002E-2</v>
      </c>
      <c r="R10">
        <f>'2012_2015 Int Confianca'!P38</f>
        <v>3.56E-2</v>
      </c>
      <c r="S10">
        <f>'2012_2015 Int Confianca'!Q38</f>
        <v>3.2399999999999998E-2</v>
      </c>
      <c r="T10">
        <f>'2012_2015 Int Confianca'!R38</f>
        <v>3.0800000000000001E-2</v>
      </c>
      <c r="U10">
        <f>'2012_2015 Int Confianca'!S38</f>
        <v>3.0300000000000001E-2</v>
      </c>
      <c r="V10">
        <f>'2012_2015 Int Confianca'!T38</f>
        <v>2.8799999999999999E-2</v>
      </c>
      <c r="W10">
        <f>'2012_2015 Int Confianca'!U38</f>
        <v>2.8299999999999999E-2</v>
      </c>
      <c r="X10">
        <f>'2012_2015 Int Confianca'!V38</f>
        <v>2.7799999999999998E-2</v>
      </c>
      <c r="Y10">
        <f>'2012_2015 Int Confianca'!W38</f>
        <v>2.7799999999999998E-2</v>
      </c>
      <c r="Z10">
        <f>'2012_2015 Int Confianca'!X38</f>
        <v>2.7699999999999999E-2</v>
      </c>
      <c r="AA10">
        <f>'2012_2015 Int Confianca'!Y38</f>
        <v>2.7699999999999999E-2</v>
      </c>
      <c r="AB10">
        <f>'2012_2015 Int Confianca'!Z38</f>
        <v>2.76E-2</v>
      </c>
      <c r="AC10">
        <f>'2012_2015 Int Confianca'!AA38</f>
        <v>2.7300000000000001E-2</v>
      </c>
      <c r="AD10">
        <f>'2012_2015 Int Confianca'!AB38</f>
        <v>2.7099999999999999E-2</v>
      </c>
      <c r="AE10">
        <f>'2012_2015 Int Confianca'!AC38</f>
        <v>2.7099999999999999E-2</v>
      </c>
      <c r="AF10">
        <f>'2012_2015 Int Confianca'!AD38</f>
        <v>2.7400000000000001E-2</v>
      </c>
      <c r="AG10">
        <f>'2012_2015 Int Confianca'!AE38</f>
        <v>2.81E-2</v>
      </c>
      <c r="AH10">
        <f>'2012_2015 Int Confianca'!AF38</f>
        <v>2.87E-2</v>
      </c>
      <c r="AI10">
        <f>'2012_2015 Int Confianca'!AG38</f>
        <v>2.93E-2</v>
      </c>
      <c r="AJ10">
        <f>'2012_2015 Int Confianca'!AH38</f>
        <v>2.9899999999999999E-2</v>
      </c>
      <c r="AK10">
        <f>'2012_2015 Int Confianca'!AI38</f>
        <v>3.1099999999999999E-2</v>
      </c>
      <c r="AL10">
        <f>'2012_2015 Int Confianca'!AJ38</f>
        <v>3.2099999999999997E-2</v>
      </c>
      <c r="AM10">
        <f>'2012_2015 Int Confianca'!AK38</f>
        <v>3.3000000000000002E-2</v>
      </c>
      <c r="AN10">
        <f>'2012_2015 Int Confianca'!AL38</f>
        <v>3.4000000000000002E-2</v>
      </c>
      <c r="AO10">
        <f>'2012_2015 Int Confianca'!AM38</f>
        <v>3.5400000000000001E-2</v>
      </c>
      <c r="AP10">
        <f>'2012_2015 Int Confianca'!AN38</f>
        <v>3.6400000000000002E-2</v>
      </c>
      <c r="AQ10">
        <f>'2012_2015 Int Confianca'!AO38</f>
        <v>3.7600000000000001E-2</v>
      </c>
      <c r="AR10">
        <f>'2012_2015 Int Confianca'!AP38</f>
        <v>3.8399999999999997E-2</v>
      </c>
      <c r="AS10">
        <f>'2012_2015 Int Confianca'!AQ38</f>
        <v>3.9399999999999998E-2</v>
      </c>
      <c r="AT10">
        <f>'2012_2015 Int Confianca'!AR38</f>
        <v>0.04</v>
      </c>
      <c r="AU10">
        <f>'2012_2015 Int Confianca'!AS38</f>
        <v>4.0099999999999997E-2</v>
      </c>
      <c r="AV10">
        <f>'2012_2015 Int Confianca'!AT38</f>
        <v>3.9899999999999998E-2</v>
      </c>
      <c r="AW10">
        <f>'2012_2015 Int Confianca'!AU38</f>
        <v>3.9800000000000002E-2</v>
      </c>
      <c r="AX10">
        <f>'2012_2015 Int Confianca'!AV38</f>
        <v>3.9899999999999998E-2</v>
      </c>
      <c r="AY10">
        <f>'2012_2015 Int Confianca'!AW38</f>
        <v>4.0899999999999999E-2</v>
      </c>
      <c r="AZ10">
        <f>'2012_2015 Int Confianca'!AX38</f>
        <v>4.1300000000000003E-2</v>
      </c>
      <c r="BA10">
        <f>'2012_2015 Int Confianca'!AY38</f>
        <v>4.2599999999999999E-2</v>
      </c>
      <c r="BB10">
        <f>'2012_2015 Int Confianca'!AZ38</f>
        <v>4.3700000000000003E-2</v>
      </c>
      <c r="BC10">
        <f>'2012_2015 Int Confianca'!BA38</f>
        <v>4.6199999999999998E-2</v>
      </c>
      <c r="BD10">
        <f>'2012_2015 Int Confianca'!BB38</f>
        <v>4.9000000000000002E-2</v>
      </c>
      <c r="BE10">
        <f>'2012_2015 Int Confianca'!BC38</f>
        <v>5.0700000000000002E-2</v>
      </c>
      <c r="BF10">
        <f>'2012_2015 Int Confianca'!BD38</f>
        <v>5.1799999999999999E-2</v>
      </c>
      <c r="BG10">
        <f>'2012_2015 Int Confianca'!BE38</f>
        <v>5.2200000000000003E-2</v>
      </c>
      <c r="BH10">
        <f>'2012_2015 Int Confianca'!BF38</f>
        <v>5.16E-2</v>
      </c>
      <c r="BI10">
        <f>'2012_2015 Int Confianca'!BG38</f>
        <v>5.0799999999999998E-2</v>
      </c>
      <c r="BJ10">
        <f>'2012_2015 Int Confianca'!BH38</f>
        <v>5.0700000000000002E-2</v>
      </c>
      <c r="BK10">
        <f>'2012_2015 Int Confianca'!BI38</f>
        <v>5.0900000000000001E-2</v>
      </c>
      <c r="BL10">
        <f>'2012_2015 Int Confianca'!BJ38</f>
        <v>5.1200000000000002E-2</v>
      </c>
      <c r="BM10">
        <f>'2012_2015 Int Confianca'!BK38</f>
        <v>5.3199999999999997E-2</v>
      </c>
      <c r="BN10">
        <f>'2012_2015 Int Confianca'!BL38</f>
        <v>5.5800000000000002E-2</v>
      </c>
      <c r="BO10">
        <f>'2012_2015 Int Confianca'!BM38</f>
        <v>5.79E-2</v>
      </c>
      <c r="BP10">
        <f>'2012_2015 Int Confianca'!BN38</f>
        <v>5.9299999999999999E-2</v>
      </c>
      <c r="BQ10">
        <f>'2012_2015 Int Confianca'!BO38</f>
        <v>6.0299999999999999E-2</v>
      </c>
      <c r="BR10">
        <f>'2012_2015 Int Confianca'!BP38</f>
        <v>5.9799999999999999E-2</v>
      </c>
      <c r="BS10">
        <f>'2012_2015 Int Confianca'!BQ38</f>
        <v>5.9700000000000003E-2</v>
      </c>
      <c r="BT10">
        <f>'2012_2015 Int Confianca'!BR38</f>
        <v>5.9700000000000003E-2</v>
      </c>
      <c r="BU10">
        <f>'2012_2015 Int Confianca'!BS38</f>
        <v>6.1199999999999997E-2</v>
      </c>
      <c r="BV10">
        <f>'2012_2015 Int Confianca'!BT38</f>
        <v>6.4899999999999999E-2</v>
      </c>
      <c r="BW10">
        <f>'2012_2015 Int Confianca'!BU38</f>
        <v>6.83E-2</v>
      </c>
      <c r="BX10">
        <f>'2012_2015 Int Confianca'!BV38</f>
        <v>7.0499999999999993E-2</v>
      </c>
      <c r="BY10">
        <f>'2012_2015 Int Confianca'!BW38</f>
        <v>7.2599999999999998E-2</v>
      </c>
      <c r="BZ10">
        <f>'2012_2015 Int Confianca'!BX38</f>
        <v>7.1900000000000006E-2</v>
      </c>
      <c r="CA10">
        <f>'2012_2015 Int Confianca'!BY38</f>
        <v>7.1199999999999999E-2</v>
      </c>
      <c r="CB10">
        <f>'2012_2015 Int Confianca'!BZ38</f>
        <v>7.0199999999999999E-2</v>
      </c>
      <c r="CC10">
        <f>'2012_2015 Int Confianca'!CA38</f>
        <v>7.3800000000000004E-2</v>
      </c>
      <c r="CD10">
        <f>'2012_2015 Int Confianca'!CB38</f>
        <v>7.8299999999999995E-2</v>
      </c>
      <c r="CE10">
        <f>'2012_2015 Int Confianca'!CC38</f>
        <v>8.1900000000000001E-2</v>
      </c>
      <c r="CF10">
        <f>'2012_2015 Int Confianca'!CD38</f>
        <v>8.5300000000000001E-2</v>
      </c>
      <c r="CG10">
        <f>'2012_2015 Int Confianca'!CE38</f>
        <v>8.1000000000000003E-2</v>
      </c>
      <c r="CH10">
        <f>'2012_2015 Int Confianca'!CF38</f>
        <v>7.4800000000000005E-2</v>
      </c>
      <c r="CI10">
        <f>'2012_2015 Int Confianca'!CG38</f>
        <v>7.3300000000000004E-2</v>
      </c>
      <c r="CJ10">
        <f>'2012_2015 Int Confianca'!CH38</f>
        <v>7.7499999999999999E-2</v>
      </c>
      <c r="CK10">
        <f>'2012_2015 Int Confianca'!CI38</f>
        <v>9.6799999999999997E-2</v>
      </c>
      <c r="CL10">
        <f>'2012_2015 Int Confianca'!CJ38</f>
        <v>9.3600000000000003E-2</v>
      </c>
      <c r="CM10">
        <f>'2012_2015 Int Confianca'!CK38</f>
        <v>8.8300000000000003E-2</v>
      </c>
      <c r="CN10">
        <f>'2012_2015 Int Confianca'!CL38</f>
        <v>9.1499999999999998E-2</v>
      </c>
      <c r="CO10">
        <f>'2012_2015 Int Confianca'!CM38</f>
        <v>9.0399999999999994E-2</v>
      </c>
      <c r="CP10">
        <f>'2012_2015 Int Confianca'!CN38</f>
        <v>8.3500000000000005E-2</v>
      </c>
      <c r="CQ10">
        <f>'2012_2015 Int Confianca'!CO38</f>
        <v>9.5699999999999993E-2</v>
      </c>
      <c r="CR10">
        <f>'2012_2015 Int Confianca'!CP38</f>
        <v>0.1056</v>
      </c>
      <c r="CS10">
        <f>'2012_2015 Int Confianca'!CQ38</f>
        <v>9.0700000000000003E-2</v>
      </c>
      <c r="CT10">
        <f>'2012_2015 Int Confianca'!CR38</f>
        <v>0.105</v>
      </c>
      <c r="CU10">
        <f>'2012_2015 Int Confianca'!CS38</f>
        <v>8.0199999999999994E-2</v>
      </c>
      <c r="CV10">
        <f>'2012_2015 Int Confianca'!CT38</f>
        <v>9.2999999999999999E-2</v>
      </c>
      <c r="CW10">
        <f>'2012_2015 Int Confianca'!CU38</f>
        <v>8.9399999999999993E-2</v>
      </c>
      <c r="CX10">
        <f>'2012_2015 Int Confianca'!CV38</f>
        <v>7.9500000000000001E-2</v>
      </c>
    </row>
    <row r="11" spans="1:102" x14ac:dyDescent="0.2">
      <c r="A11" t="s">
        <v>233</v>
      </c>
      <c r="B11" t="s">
        <v>217</v>
      </c>
      <c r="C11" t="s">
        <v>102</v>
      </c>
      <c r="D11">
        <f>'2012_2015 Int Confianca'!B39</f>
        <v>0.20200000000000001</v>
      </c>
      <c r="E11">
        <f>'2012_2015 Int Confianca'!C39</f>
        <v>0.14979999999999999</v>
      </c>
      <c r="F11">
        <f>'2012_2015 Int Confianca'!D39</f>
        <v>0.18129999999999999</v>
      </c>
      <c r="G11">
        <f>'2012_2015 Int Confianca'!E39</f>
        <v>0.185</v>
      </c>
      <c r="H11">
        <f>'2012_2015 Int Confianca'!F39</f>
        <v>0.19670000000000001</v>
      </c>
      <c r="I11">
        <f>'2012_2015 Int Confianca'!G39</f>
        <v>0.1431</v>
      </c>
      <c r="J11">
        <f>'2012_2015 Int Confianca'!H39</f>
        <v>0.18340000000000001</v>
      </c>
      <c r="K11">
        <f>'2012_2015 Int Confianca'!I39</f>
        <v>0.14369999999999999</v>
      </c>
      <c r="L11">
        <f>'2012_2015 Int Confianca'!J39</f>
        <v>0.1426</v>
      </c>
      <c r="M11">
        <f>'2012_2015 Int Confianca'!K39</f>
        <v>0.1384</v>
      </c>
      <c r="N11">
        <f>'2012_2015 Int Confianca'!L39</f>
        <v>0.14940000000000001</v>
      </c>
      <c r="O11">
        <f>'2012_2015 Int Confianca'!M39</f>
        <v>0.15179999999999999</v>
      </c>
      <c r="P11">
        <f>'2012_2015 Int Confianca'!N39</f>
        <v>0.13769999999999999</v>
      </c>
      <c r="Q11">
        <f>'2012_2015 Int Confianca'!O39</f>
        <v>0.12570000000000001</v>
      </c>
      <c r="R11">
        <f>'2012_2015 Int Confianca'!P39</f>
        <v>0.10100000000000001</v>
      </c>
      <c r="S11">
        <f>'2012_2015 Int Confianca'!Q39</f>
        <v>9.8900000000000002E-2</v>
      </c>
      <c r="T11">
        <f>'2012_2015 Int Confianca'!R39</f>
        <v>0.1076</v>
      </c>
      <c r="U11">
        <f>'2012_2015 Int Confianca'!S39</f>
        <v>0.10920000000000001</v>
      </c>
      <c r="V11">
        <f>'2012_2015 Int Confianca'!T39</f>
        <v>9.8400000000000001E-2</v>
      </c>
      <c r="W11">
        <f>'2012_2015 Int Confianca'!U39</f>
        <v>9.4600000000000004E-2</v>
      </c>
      <c r="X11">
        <f>'2012_2015 Int Confianca'!V39</f>
        <v>9.5500000000000002E-2</v>
      </c>
      <c r="Y11">
        <f>'2012_2015 Int Confianca'!W39</f>
        <v>9.9900000000000003E-2</v>
      </c>
      <c r="Z11">
        <f>'2012_2015 Int Confianca'!X39</f>
        <v>0.11219999999999999</v>
      </c>
      <c r="AA11">
        <f>'2012_2015 Int Confianca'!Y39</f>
        <v>0.10680000000000001</v>
      </c>
      <c r="AB11">
        <f>'2012_2015 Int Confianca'!Z39</f>
        <v>9.2899999999999996E-2</v>
      </c>
      <c r="AC11">
        <f>'2012_2015 Int Confianca'!AA39</f>
        <v>8.3599999999999994E-2</v>
      </c>
      <c r="AD11">
        <f>'2012_2015 Int Confianca'!AB39</f>
        <v>7.3300000000000004E-2</v>
      </c>
      <c r="AE11">
        <f>'2012_2015 Int Confianca'!AC39</f>
        <v>6.2300000000000001E-2</v>
      </c>
      <c r="AF11">
        <f>'2012_2015 Int Confianca'!AD39</f>
        <v>6.2199999999999998E-2</v>
      </c>
      <c r="AG11">
        <f>'2012_2015 Int Confianca'!AE39</f>
        <v>6.7100000000000007E-2</v>
      </c>
      <c r="AH11">
        <f>'2012_2015 Int Confianca'!AF39</f>
        <v>6.4199999999999993E-2</v>
      </c>
      <c r="AI11">
        <f>'2012_2015 Int Confianca'!AG39</f>
        <v>6.9000000000000006E-2</v>
      </c>
      <c r="AJ11">
        <f>'2012_2015 Int Confianca'!AH39</f>
        <v>8.4000000000000005E-2</v>
      </c>
      <c r="AK11">
        <f>'2012_2015 Int Confianca'!AI39</f>
        <v>8.1100000000000005E-2</v>
      </c>
      <c r="AL11">
        <f>'2012_2015 Int Confianca'!AJ39</f>
        <v>7.8399999999999997E-2</v>
      </c>
      <c r="AM11">
        <f>'2012_2015 Int Confianca'!AK39</f>
        <v>7.8899999999999998E-2</v>
      </c>
      <c r="AN11">
        <f>'2012_2015 Int Confianca'!AL39</f>
        <v>6.9699999999999998E-2</v>
      </c>
      <c r="AO11">
        <f>'2012_2015 Int Confianca'!AM39</f>
        <v>6.6900000000000001E-2</v>
      </c>
      <c r="AP11">
        <f>'2012_2015 Int Confianca'!AN39</f>
        <v>7.9799999999999996E-2</v>
      </c>
      <c r="AQ11">
        <f>'2012_2015 Int Confianca'!AO39</f>
        <v>9.8699999999999996E-2</v>
      </c>
      <c r="AR11">
        <f>'2012_2015 Int Confianca'!AP39</f>
        <v>8.6900000000000005E-2</v>
      </c>
      <c r="AS11">
        <f>'2012_2015 Int Confianca'!AQ39</f>
        <v>7.6600000000000001E-2</v>
      </c>
      <c r="AT11">
        <f>'2012_2015 Int Confianca'!AR39</f>
        <v>6.4100000000000004E-2</v>
      </c>
      <c r="AU11">
        <f>'2012_2015 Int Confianca'!AS39</f>
        <v>6.1400000000000003E-2</v>
      </c>
      <c r="AV11">
        <f>'2012_2015 Int Confianca'!AT39</f>
        <v>3.5099999999999999E-2</v>
      </c>
      <c r="AW11">
        <f>'2012_2015 Int Confianca'!AU39</f>
        <v>4.4600000000000001E-2</v>
      </c>
      <c r="AX11">
        <f>'2012_2015 Int Confianca'!AV39</f>
        <v>5.1299999999999998E-2</v>
      </c>
      <c r="AY11">
        <f>'2012_2015 Int Confianca'!AW39</f>
        <v>6.1199999999999997E-2</v>
      </c>
      <c r="AZ11">
        <f>'2012_2015 Int Confianca'!AX39</f>
        <v>6.4199999999999993E-2</v>
      </c>
      <c r="BA11">
        <f>'2012_2015 Int Confianca'!AY39</f>
        <v>5.9700000000000003E-2</v>
      </c>
      <c r="BB11">
        <f>'2012_2015 Int Confianca'!AZ39</f>
        <v>8.1500000000000003E-2</v>
      </c>
      <c r="BC11">
        <f>'2012_2015 Int Confianca'!BA39</f>
        <v>8.1000000000000003E-2</v>
      </c>
      <c r="BD11">
        <f>'2012_2015 Int Confianca'!BB39</f>
        <v>5.8200000000000002E-2</v>
      </c>
      <c r="BE11">
        <f>'2012_2015 Int Confianca'!BC39</f>
        <v>5.6899999999999999E-2</v>
      </c>
      <c r="BF11">
        <f>'2012_2015 Int Confianca'!BD39</f>
        <v>4.1200000000000001E-2</v>
      </c>
      <c r="BG11">
        <f>'2012_2015 Int Confianca'!BE39</f>
        <v>4.7699999999999999E-2</v>
      </c>
      <c r="BH11">
        <f>'2012_2015 Int Confianca'!BF39</f>
        <v>3.4000000000000002E-2</v>
      </c>
      <c r="BI11">
        <f>'2012_2015 Int Confianca'!BG39</f>
        <v>3.61E-2</v>
      </c>
      <c r="BJ11">
        <f>'2012_2015 Int Confianca'!BH39</f>
        <v>3.1099999999999999E-2</v>
      </c>
      <c r="BK11">
        <f>'2012_2015 Int Confianca'!BI39</f>
        <v>5.1200000000000002E-2</v>
      </c>
      <c r="BL11">
        <f>'2012_2015 Int Confianca'!BJ39</f>
        <v>4.8599999999999997E-2</v>
      </c>
      <c r="BM11">
        <f>'2012_2015 Int Confianca'!BK39</f>
        <v>4.7300000000000002E-2</v>
      </c>
      <c r="BN11">
        <f>'2012_2015 Int Confianca'!BL39</f>
        <v>4.1599999999999998E-2</v>
      </c>
      <c r="BO11">
        <f>'2012_2015 Int Confianca'!BM39</f>
        <v>5.1999999999999998E-2</v>
      </c>
      <c r="BP11">
        <f>'2012_2015 Int Confianca'!BN39</f>
        <v>4.0599999999999997E-2</v>
      </c>
      <c r="BQ11">
        <f>'2012_2015 Int Confianca'!BO39</f>
        <v>2.35E-2</v>
      </c>
      <c r="BR11">
        <f>'2012_2015 Int Confianca'!BP39</f>
        <v>5.0000000000000001E-4</v>
      </c>
      <c r="BS11">
        <f>'2012_2015 Int Confianca'!BQ39</f>
        <v>1.2E-2</v>
      </c>
      <c r="BT11">
        <f>'2012_2015 Int Confianca'!BR39</f>
        <v>2.7699999999999999E-2</v>
      </c>
      <c r="BU11">
        <f>'2012_2015 Int Confianca'!BS39</f>
        <v>2.12E-2</v>
      </c>
      <c r="BV11">
        <f>'2012_2015 Int Confianca'!BT39</f>
        <v>6.7999999999999996E-3</v>
      </c>
      <c r="BW11">
        <f>'2012_2015 Int Confianca'!BU39</f>
        <v>5.4999999999999997E-3</v>
      </c>
      <c r="BX11">
        <f>'2012_2015 Int Confianca'!BV39</f>
        <v>1.3899999999999999E-2</v>
      </c>
      <c r="BY11">
        <f>'2012_2015 Int Confianca'!BW39</f>
        <v>-4.1999999999999997E-3</v>
      </c>
      <c r="BZ11">
        <f>'2012_2015 Int Confianca'!BX39</f>
        <v>8.6999999999999994E-3</v>
      </c>
      <c r="CA11">
        <f>'2012_2015 Int Confianca'!BY39</f>
        <v>7.7000000000000002E-3</v>
      </c>
      <c r="CB11">
        <f>'2012_2015 Int Confianca'!BZ39</f>
        <v>1.2200000000000001E-2</v>
      </c>
      <c r="CC11">
        <f>'2012_2015 Int Confianca'!CA39</f>
        <v>-1.5900000000000001E-2</v>
      </c>
      <c r="CD11">
        <f>'2012_2015 Int Confianca'!CB39</f>
        <v>-4.6199999999999998E-2</v>
      </c>
      <c r="CE11">
        <f>'2012_2015 Int Confianca'!CC39</f>
        <v>-2.63E-2</v>
      </c>
      <c r="CF11">
        <f>'2012_2015 Int Confianca'!CD39</f>
        <v>-4.2099999999999999E-2</v>
      </c>
      <c r="CG11">
        <f>'2012_2015 Int Confianca'!CE39</f>
        <v>-1.78E-2</v>
      </c>
      <c r="CH11">
        <f>'2012_2015 Int Confianca'!CF39</f>
        <v>-4.1000000000000002E-2</v>
      </c>
      <c r="CI11">
        <f>'2012_2015 Int Confianca'!CG39</f>
        <v>-1.6400000000000001E-2</v>
      </c>
      <c r="CJ11">
        <f>'2012_2015 Int Confianca'!CH39</f>
        <v>-8.3999999999999995E-3</v>
      </c>
      <c r="CK11">
        <f>'2012_2015 Int Confianca'!CI39</f>
        <v>-2.46E-2</v>
      </c>
      <c r="CL11">
        <f>'2012_2015 Int Confianca'!CJ39</f>
        <v>-5.8599999999999999E-2</v>
      </c>
      <c r="CM11">
        <f>'2012_2015 Int Confianca'!CK39</f>
        <v>-7.2099999999999997E-2</v>
      </c>
      <c r="CN11">
        <f>'2012_2015 Int Confianca'!CL39</f>
        <v>-5.0299999999999997E-2</v>
      </c>
      <c r="CO11">
        <f>'2012_2015 Int Confianca'!CM39</f>
        <v>-6.5600000000000006E-2</v>
      </c>
      <c r="CP11">
        <f>'2012_2015 Int Confianca'!CN39</f>
        <v>-8.6E-3</v>
      </c>
      <c r="CQ11">
        <f>'2012_2015 Int Confianca'!CO39</f>
        <v>-8.2900000000000001E-2</v>
      </c>
      <c r="CR11">
        <f>'2012_2015 Int Confianca'!CP39</f>
        <v>-7.5700000000000003E-2</v>
      </c>
      <c r="CS11">
        <f>'2012_2015 Int Confianca'!CQ39</f>
        <v>-9.01E-2</v>
      </c>
      <c r="CT11">
        <f>'2012_2015 Int Confianca'!CR39</f>
        <v>-0.1174</v>
      </c>
      <c r="CU11">
        <f>'2012_2015 Int Confianca'!CS39</f>
        <v>-6.2899999999999998E-2</v>
      </c>
      <c r="CV11">
        <f>'2012_2015 Int Confianca'!CT39</f>
        <v>-7.9200000000000007E-2</v>
      </c>
      <c r="CW11">
        <f>'2012_2015 Int Confianca'!CU39</f>
        <v>-0.1123</v>
      </c>
      <c r="CX11">
        <f>'2012_2015 Int Confianca'!CV39</f>
        <v>-9.7799999999999998E-2</v>
      </c>
    </row>
    <row r="12" spans="1:102" x14ac:dyDescent="0.2">
      <c r="A12" t="s">
        <v>232</v>
      </c>
      <c r="B12" t="s">
        <v>217</v>
      </c>
      <c r="C12" t="s">
        <v>102</v>
      </c>
      <c r="D12">
        <f>'2012_2015 Int Confianca'!B40</f>
        <v>0.25419999999999998</v>
      </c>
      <c r="E12">
        <f>'2012_2015 Int Confianca'!C40</f>
        <v>0.2006</v>
      </c>
      <c r="F12">
        <f>'2012_2015 Int Confianca'!D40</f>
        <v>0.21990000000000001</v>
      </c>
      <c r="G12">
        <f>'2012_2015 Int Confianca'!E40</f>
        <v>0.21890000000000001</v>
      </c>
      <c r="H12">
        <f>'2012_2015 Int Confianca'!F40</f>
        <v>0.2243</v>
      </c>
      <c r="I12">
        <f>'2012_2015 Int Confianca'!G40</f>
        <v>0.17169999999999999</v>
      </c>
      <c r="J12">
        <f>'2012_2015 Int Confianca'!H40</f>
        <v>0.20880000000000001</v>
      </c>
      <c r="K12">
        <f>'2012_2015 Int Confianca'!I40</f>
        <v>0.1668</v>
      </c>
      <c r="L12">
        <f>'2012_2015 Int Confianca'!J40</f>
        <v>0.1651</v>
      </c>
      <c r="M12">
        <f>'2012_2015 Int Confianca'!K40</f>
        <v>0.15629999999999999</v>
      </c>
      <c r="N12">
        <f>'2012_2015 Int Confianca'!L40</f>
        <v>0.16520000000000001</v>
      </c>
      <c r="O12">
        <f>'2012_2015 Int Confianca'!M40</f>
        <v>0.16550000000000001</v>
      </c>
      <c r="P12">
        <f>'2012_2015 Int Confianca'!N40</f>
        <v>0.15010000000000001</v>
      </c>
      <c r="Q12">
        <f>'2012_2015 Int Confianca'!O40</f>
        <v>0.13700000000000001</v>
      </c>
      <c r="R12">
        <f>'2012_2015 Int Confianca'!P40</f>
        <v>0.1109</v>
      </c>
      <c r="S12">
        <f>'2012_2015 Int Confianca'!Q40</f>
        <v>0.108</v>
      </c>
      <c r="T12">
        <f>'2012_2015 Int Confianca'!R40</f>
        <v>0.1162</v>
      </c>
      <c r="U12">
        <f>'2012_2015 Int Confianca'!S40</f>
        <v>0.1176</v>
      </c>
      <c r="V12">
        <f>'2012_2015 Int Confianca'!T40</f>
        <v>0.1066</v>
      </c>
      <c r="W12">
        <f>'2012_2015 Int Confianca'!U40</f>
        <v>0.10249999999999999</v>
      </c>
      <c r="X12">
        <f>'2012_2015 Int Confianca'!V40</f>
        <v>0.1032</v>
      </c>
      <c r="Y12">
        <f>'2012_2015 Int Confianca'!W40</f>
        <v>0.1076</v>
      </c>
      <c r="Z12">
        <f>'2012_2015 Int Confianca'!X40</f>
        <v>0.1197</v>
      </c>
      <c r="AA12">
        <f>'2012_2015 Int Confianca'!Y40</f>
        <v>0.1142</v>
      </c>
      <c r="AB12">
        <f>'2012_2015 Int Confianca'!Z40</f>
        <v>0.1003</v>
      </c>
      <c r="AC12">
        <f>'2012_2015 Int Confianca'!AA40</f>
        <v>9.0999999999999998E-2</v>
      </c>
      <c r="AD12">
        <f>'2012_2015 Int Confianca'!AB40</f>
        <v>8.0699999999999994E-2</v>
      </c>
      <c r="AE12">
        <f>'2012_2015 Int Confianca'!AC40</f>
        <v>6.9699999999999998E-2</v>
      </c>
      <c r="AF12">
        <f>'2012_2015 Int Confianca'!AD40</f>
        <v>6.9699999999999998E-2</v>
      </c>
      <c r="AG12">
        <f>'2012_2015 Int Confianca'!AE40</f>
        <v>7.4700000000000003E-2</v>
      </c>
      <c r="AH12">
        <f>'2012_2015 Int Confianca'!AF40</f>
        <v>7.2099999999999997E-2</v>
      </c>
      <c r="AI12">
        <f>'2012_2015 Int Confianca'!AG40</f>
        <v>7.7100000000000002E-2</v>
      </c>
      <c r="AJ12">
        <f>'2012_2015 Int Confianca'!AH40</f>
        <v>9.2600000000000002E-2</v>
      </c>
      <c r="AK12">
        <f>'2012_2015 Int Confianca'!AI40</f>
        <v>9.01E-2</v>
      </c>
      <c r="AL12">
        <f>'2012_2015 Int Confianca'!AJ40</f>
        <v>8.7599999999999997E-2</v>
      </c>
      <c r="AM12">
        <f>'2012_2015 Int Confianca'!AK40</f>
        <v>8.8300000000000003E-2</v>
      </c>
      <c r="AN12">
        <f>'2012_2015 Int Confianca'!AL40</f>
        <v>7.9299999999999995E-2</v>
      </c>
      <c r="AO12">
        <f>'2012_2015 Int Confianca'!AM40</f>
        <v>7.6700000000000004E-2</v>
      </c>
      <c r="AP12">
        <f>'2012_2015 Int Confianca'!AN40</f>
        <v>8.9599999999999999E-2</v>
      </c>
      <c r="AQ12">
        <f>'2012_2015 Int Confianca'!AO40</f>
        <v>0.1085</v>
      </c>
      <c r="AR12">
        <f>'2012_2015 Int Confianca'!AP40</f>
        <v>9.6699999999999994E-2</v>
      </c>
      <c r="AS12">
        <f>'2012_2015 Int Confianca'!AQ40</f>
        <v>8.6499999999999994E-2</v>
      </c>
      <c r="AT12">
        <f>'2012_2015 Int Confianca'!AR40</f>
        <v>7.4200000000000002E-2</v>
      </c>
      <c r="AU12">
        <f>'2012_2015 Int Confianca'!AS40</f>
        <v>7.1499999999999994E-2</v>
      </c>
      <c r="AV12">
        <f>'2012_2015 Int Confianca'!AT40</f>
        <v>4.5100000000000001E-2</v>
      </c>
      <c r="AW12">
        <f>'2012_2015 Int Confianca'!AU40</f>
        <v>5.4899999999999997E-2</v>
      </c>
      <c r="AX12">
        <f>'2012_2015 Int Confianca'!AV40</f>
        <v>6.1800000000000001E-2</v>
      </c>
      <c r="AY12">
        <f>'2012_2015 Int Confianca'!AW40</f>
        <v>7.1999999999999995E-2</v>
      </c>
      <c r="AZ12">
        <f>'2012_2015 Int Confianca'!AX40</f>
        <v>7.51E-2</v>
      </c>
      <c r="BA12">
        <f>'2012_2015 Int Confianca'!AY40</f>
        <v>7.0900000000000005E-2</v>
      </c>
      <c r="BB12">
        <f>'2012_2015 Int Confianca'!AZ40</f>
        <v>9.2799999999999994E-2</v>
      </c>
      <c r="BC12">
        <f>'2012_2015 Int Confianca'!BA40</f>
        <v>9.2499999999999999E-2</v>
      </c>
      <c r="BD12">
        <f>'2012_2015 Int Confianca'!BB40</f>
        <v>7.0099999999999996E-2</v>
      </c>
      <c r="BE12">
        <f>'2012_2015 Int Confianca'!BC40</f>
        <v>6.8900000000000003E-2</v>
      </c>
      <c r="BF12">
        <f>'2012_2015 Int Confianca'!BD40</f>
        <v>5.33E-2</v>
      </c>
      <c r="BG12">
        <f>'2012_2015 Int Confianca'!BE40</f>
        <v>5.9900000000000002E-2</v>
      </c>
      <c r="BH12">
        <f>'2012_2015 Int Confianca'!BF40</f>
        <v>4.6100000000000002E-2</v>
      </c>
      <c r="BI12">
        <f>'2012_2015 Int Confianca'!BG40</f>
        <v>4.8399999999999999E-2</v>
      </c>
      <c r="BJ12">
        <f>'2012_2015 Int Confianca'!BH40</f>
        <v>4.3499999999999997E-2</v>
      </c>
      <c r="BK12">
        <f>'2012_2015 Int Confianca'!BI40</f>
        <v>6.3700000000000007E-2</v>
      </c>
      <c r="BL12">
        <f>'2012_2015 Int Confianca'!BJ40</f>
        <v>6.1100000000000002E-2</v>
      </c>
      <c r="BM12">
        <f>'2012_2015 Int Confianca'!BK40</f>
        <v>6.0199999999999997E-2</v>
      </c>
      <c r="BN12">
        <f>'2012_2015 Int Confianca'!BL40</f>
        <v>5.4800000000000001E-2</v>
      </c>
      <c r="BO12">
        <f>'2012_2015 Int Confianca'!BM40</f>
        <v>6.5500000000000003E-2</v>
      </c>
      <c r="BP12">
        <f>'2012_2015 Int Confianca'!BN40</f>
        <v>5.4300000000000001E-2</v>
      </c>
      <c r="BQ12">
        <f>'2012_2015 Int Confianca'!BO40</f>
        <v>3.73E-2</v>
      </c>
      <c r="BR12">
        <f>'2012_2015 Int Confianca'!BP40</f>
        <v>1.43E-2</v>
      </c>
      <c r="BS12">
        <f>'2012_2015 Int Confianca'!BQ40</f>
        <v>2.5999999999999999E-2</v>
      </c>
      <c r="BT12">
        <f>'2012_2015 Int Confianca'!BR40</f>
        <v>4.2000000000000003E-2</v>
      </c>
      <c r="BU12">
        <f>'2012_2015 Int Confianca'!BS40</f>
        <v>3.5999999999999997E-2</v>
      </c>
      <c r="BV12">
        <f>'2012_2015 Int Confianca'!BT40</f>
        <v>2.2499999999999999E-2</v>
      </c>
      <c r="BW12">
        <f>'2012_2015 Int Confianca'!BU40</f>
        <v>2.23E-2</v>
      </c>
      <c r="BX12">
        <f>'2012_2015 Int Confianca'!BV40</f>
        <v>3.1099999999999999E-2</v>
      </c>
      <c r="BY12">
        <f>'2012_2015 Int Confianca'!BW40</f>
        <v>1.3299999999999999E-2</v>
      </c>
      <c r="BZ12">
        <f>'2012_2015 Int Confianca'!BX40</f>
        <v>2.5499999999999998E-2</v>
      </c>
      <c r="CA12">
        <f>'2012_2015 Int Confianca'!BY40</f>
        <v>2.4500000000000001E-2</v>
      </c>
      <c r="CB12">
        <f>'2012_2015 Int Confianca'!BZ40</f>
        <v>2.9000000000000001E-2</v>
      </c>
      <c r="CC12">
        <f>'2012_2015 Int Confianca'!CA40</f>
        <v>1.6000000000000001E-3</v>
      </c>
      <c r="CD12">
        <f>'2012_2015 Int Confianca'!CB40</f>
        <v>-2.76E-2</v>
      </c>
      <c r="CE12">
        <f>'2012_2015 Int Confianca'!CC40</f>
        <v>-5.0000000000000001E-3</v>
      </c>
      <c r="CF12">
        <f>'2012_2015 Int Confianca'!CD40</f>
        <v>-1.9199999999999998E-2</v>
      </c>
      <c r="CG12">
        <f>'2012_2015 Int Confianca'!CE40</f>
        <v>4.4000000000000003E-3</v>
      </c>
      <c r="CH12">
        <f>'2012_2015 Int Confianca'!CF40</f>
        <v>-1.9599999999999999E-2</v>
      </c>
      <c r="CI12">
        <f>'2012_2015 Int Confianca'!CG40</f>
        <v>5.0000000000000001E-3</v>
      </c>
      <c r="CJ12">
        <f>'2012_2015 Int Confianca'!CH40</f>
        <v>1.46E-2</v>
      </c>
      <c r="CK12">
        <f>'2012_2015 Int Confianca'!CI40</f>
        <v>1.5E-3</v>
      </c>
      <c r="CL12">
        <f>'2012_2015 Int Confianca'!CJ40</f>
        <v>-3.2500000000000001E-2</v>
      </c>
      <c r="CM12">
        <f>'2012_2015 Int Confianca'!CK40</f>
        <v>-4.58E-2</v>
      </c>
      <c r="CN12">
        <f>'2012_2015 Int Confianca'!CL40</f>
        <v>-0.02</v>
      </c>
      <c r="CO12">
        <f>'2012_2015 Int Confianca'!CM40</f>
        <v>-3.4200000000000001E-2</v>
      </c>
      <c r="CP12">
        <f>'2012_2015 Int Confianca'!CN40</f>
        <v>2.0299999999999999E-2</v>
      </c>
      <c r="CQ12">
        <f>'2012_2015 Int Confianca'!CO40</f>
        <v>-5.04E-2</v>
      </c>
      <c r="CR12">
        <f>'2012_2015 Int Confianca'!CP40</f>
        <v>-3.4799999999999998E-2</v>
      </c>
      <c r="CS12">
        <f>'2012_2015 Int Confianca'!CQ40</f>
        <v>-5.3499999999999999E-2</v>
      </c>
      <c r="CT12">
        <f>'2012_2015 Int Confianca'!CR40</f>
        <v>-6.9800000000000001E-2</v>
      </c>
      <c r="CU12">
        <f>'2012_2015 Int Confianca'!CS40</f>
        <v>-1.6199999999999999E-2</v>
      </c>
      <c r="CV12">
        <f>'2012_2015 Int Confianca'!CT40</f>
        <v>-2.2499999999999999E-2</v>
      </c>
      <c r="CW12">
        <f>'2012_2015 Int Confianca'!CU40</f>
        <v>-4.4299999999999999E-2</v>
      </c>
      <c r="CX12">
        <f>'2012_2015 Int Confianca'!CV40</f>
        <v>-7.3000000000000001E-3</v>
      </c>
    </row>
    <row r="13" spans="1:102" x14ac:dyDescent="0.2">
      <c r="A13" t="s">
        <v>208</v>
      </c>
      <c r="B13" t="s">
        <v>218</v>
      </c>
      <c r="C13" t="s">
        <v>102</v>
      </c>
      <c r="D13">
        <f>'2012_2015'!B7</f>
        <v>2.3199999999999998E-2</v>
      </c>
      <c r="E13">
        <f>'2012_2015'!C7</f>
        <v>3.2099999999999997E-2</v>
      </c>
      <c r="F13">
        <f>'2012_2015'!D7</f>
        <v>3.0700000000000002E-2</v>
      </c>
      <c r="G13">
        <f>'2012_2015'!E7</f>
        <v>2.9399999999999999E-2</v>
      </c>
      <c r="H13">
        <f>'2012_2015'!F7</f>
        <v>2.75E-2</v>
      </c>
      <c r="I13">
        <f>'2012_2015'!G7</f>
        <v>2.9700000000000001E-2</v>
      </c>
      <c r="J13">
        <f>'2012_2015'!H7</f>
        <v>2.9000000000000001E-2</v>
      </c>
      <c r="K13">
        <f>'2012_2015'!I7</f>
        <v>2.7199999999999998E-2</v>
      </c>
      <c r="L13">
        <f>'2012_2015'!J7</f>
        <v>2.81E-2</v>
      </c>
      <c r="M13">
        <f>'2012_2015'!K7</f>
        <v>2.2499999999999999E-2</v>
      </c>
      <c r="N13">
        <f>'2012_2015'!L7</f>
        <v>2.2100000000000002E-2</v>
      </c>
      <c r="O13">
        <f>'2012_2015'!M7</f>
        <v>2.1000000000000001E-2</v>
      </c>
      <c r="P13">
        <f>'2012_2015'!N7</f>
        <v>1.9400000000000001E-2</v>
      </c>
      <c r="Q13">
        <f>'2012_2015'!O7</f>
        <v>1.7999999999999999E-2</v>
      </c>
      <c r="R13">
        <f>'2012_2015'!P7</f>
        <v>1.54E-2</v>
      </c>
      <c r="S13">
        <f>'2012_2015'!Q7</f>
        <v>1.4200000000000001E-2</v>
      </c>
      <c r="T13">
        <f>'2012_2015'!R7</f>
        <v>1.38E-2</v>
      </c>
      <c r="U13">
        <f>'2012_2015'!S7</f>
        <v>1.38E-2</v>
      </c>
      <c r="V13">
        <f>'2012_2015'!T7</f>
        <v>1.3599999999999999E-2</v>
      </c>
      <c r="W13">
        <f>'2012_2015'!U7</f>
        <v>1.3599999999999999E-2</v>
      </c>
      <c r="X13">
        <f>'2012_2015'!V7</f>
        <v>1.37E-2</v>
      </c>
      <c r="Y13">
        <f>'2012_2015'!W7</f>
        <v>1.4E-2</v>
      </c>
      <c r="Z13">
        <f>'2012_2015'!X7</f>
        <v>1.4200000000000001E-2</v>
      </c>
      <c r="AA13">
        <f>'2012_2015'!Y7</f>
        <v>1.46E-2</v>
      </c>
      <c r="AB13">
        <f>'2012_2015'!Z7</f>
        <v>1.47E-2</v>
      </c>
      <c r="AC13">
        <f>'2012_2015'!AA7</f>
        <v>1.4800000000000001E-2</v>
      </c>
      <c r="AD13">
        <f>'2012_2015'!AB7</f>
        <v>1.49E-2</v>
      </c>
      <c r="AE13">
        <f>'2012_2015'!AC7</f>
        <v>1.5100000000000001E-2</v>
      </c>
      <c r="AF13">
        <f>'2012_2015'!AD7</f>
        <v>1.55E-2</v>
      </c>
      <c r="AG13">
        <f>'2012_2015'!AE7</f>
        <v>1.61E-2</v>
      </c>
      <c r="AH13">
        <f>'2012_2015'!AF7</f>
        <v>1.6799999999999999E-2</v>
      </c>
      <c r="AI13">
        <f>'2012_2015'!AG7</f>
        <v>1.7500000000000002E-2</v>
      </c>
      <c r="AJ13">
        <f>'2012_2015'!AH7</f>
        <v>1.8200000000000001E-2</v>
      </c>
      <c r="AK13">
        <f>'2012_2015'!AI7</f>
        <v>1.9099999999999999E-2</v>
      </c>
      <c r="AL13">
        <f>'2012_2015'!AJ7</f>
        <v>0.02</v>
      </c>
      <c r="AM13">
        <f>'2012_2015'!AK7</f>
        <v>2.07E-2</v>
      </c>
      <c r="AN13">
        <f>'2012_2015'!AL7</f>
        <v>2.1499999999999998E-2</v>
      </c>
      <c r="AO13">
        <f>'2012_2015'!AM7</f>
        <v>2.2800000000000001E-2</v>
      </c>
      <c r="AP13">
        <f>'2012_2015'!AN7</f>
        <v>2.3699999999999999E-2</v>
      </c>
      <c r="AQ13">
        <f>'2012_2015'!AO7</f>
        <v>2.46E-2</v>
      </c>
      <c r="AR13">
        <f>'2012_2015'!AP7</f>
        <v>2.5399999999999999E-2</v>
      </c>
      <c r="AS13">
        <f>'2012_2015'!AQ7</f>
        <v>2.63E-2</v>
      </c>
      <c r="AT13">
        <f>'2012_2015'!AR7</f>
        <v>2.69E-2</v>
      </c>
      <c r="AU13">
        <f>'2012_2015'!AS7</f>
        <v>2.7099999999999999E-2</v>
      </c>
      <c r="AV13">
        <f>'2012_2015'!AT7</f>
        <v>2.7300000000000001E-2</v>
      </c>
      <c r="AW13">
        <f>'2012_2015'!AU7</f>
        <v>2.7400000000000001E-2</v>
      </c>
      <c r="AX13">
        <f>'2012_2015'!AV7</f>
        <v>2.76E-2</v>
      </c>
      <c r="AY13">
        <f>'2012_2015'!AW7</f>
        <v>2.8400000000000002E-2</v>
      </c>
      <c r="AZ13">
        <f>'2012_2015'!AX7</f>
        <v>2.8899999999999999E-2</v>
      </c>
      <c r="BA13">
        <f>'2012_2015'!AY7</f>
        <v>0.03</v>
      </c>
      <c r="BB13">
        <f>'2012_2015'!AZ7</f>
        <v>3.09E-2</v>
      </c>
      <c r="BC13">
        <f>'2012_2015'!BA7</f>
        <v>3.2899999999999999E-2</v>
      </c>
      <c r="BD13">
        <f>'2012_2015'!BB7</f>
        <v>3.5000000000000003E-2</v>
      </c>
      <c r="BE13">
        <f>'2012_2015'!BC7</f>
        <v>3.6499999999999998E-2</v>
      </c>
      <c r="BF13">
        <f>'2012_2015'!BD7</f>
        <v>3.7499999999999999E-2</v>
      </c>
      <c r="BG13">
        <f>'2012_2015'!BE7</f>
        <v>3.7999999999999999E-2</v>
      </c>
      <c r="BH13">
        <f>'2012_2015'!BF7</f>
        <v>3.78E-2</v>
      </c>
      <c r="BI13">
        <f>'2012_2015'!BG7</f>
        <v>3.7400000000000003E-2</v>
      </c>
      <c r="BJ13">
        <f>'2012_2015'!BH7</f>
        <v>3.7499999999999999E-2</v>
      </c>
      <c r="BK13">
        <f>'2012_2015'!BI7</f>
        <v>3.7600000000000001E-2</v>
      </c>
      <c r="BL13">
        <f>'2012_2015'!BJ7</f>
        <v>3.7999999999999999E-2</v>
      </c>
      <c r="BM13">
        <f>'2012_2015'!BK7</f>
        <v>3.9699999999999999E-2</v>
      </c>
      <c r="BN13">
        <f>'2012_2015'!BL7</f>
        <v>4.1799999999999997E-2</v>
      </c>
      <c r="BO13">
        <f>'2012_2015'!BM7</f>
        <v>4.3499999999999997E-2</v>
      </c>
      <c r="BP13">
        <f>'2012_2015'!BN7</f>
        <v>4.4900000000000002E-2</v>
      </c>
      <c r="BQ13">
        <f>'2012_2015'!BO7</f>
        <v>4.5900000000000003E-2</v>
      </c>
      <c r="BR13">
        <f>'2012_2015'!BP7</f>
        <v>4.58E-2</v>
      </c>
      <c r="BS13">
        <f>'2012_2015'!BQ7</f>
        <v>4.58E-2</v>
      </c>
      <c r="BT13">
        <f>'2012_2015'!BR7</f>
        <v>4.5999999999999999E-2</v>
      </c>
      <c r="BU13">
        <f>'2012_2015'!BS7</f>
        <v>4.7399999999999998E-2</v>
      </c>
      <c r="BV13">
        <f>'2012_2015'!BT7</f>
        <v>5.0700000000000002E-2</v>
      </c>
      <c r="BW13">
        <f>'2012_2015'!BU7</f>
        <v>5.3499999999999999E-2</v>
      </c>
      <c r="BX13">
        <f>'2012_2015'!BV7</f>
        <v>5.5300000000000002E-2</v>
      </c>
      <c r="BY13">
        <f>'2012_2015'!BW7</f>
        <v>5.7099999999999998E-2</v>
      </c>
      <c r="BZ13">
        <f>'2012_2015'!BX7</f>
        <v>5.6899999999999999E-2</v>
      </c>
      <c r="CA13">
        <f>'2012_2015'!BY7</f>
        <v>5.6500000000000002E-2</v>
      </c>
      <c r="CB13">
        <f>'2012_2015'!BZ7</f>
        <v>5.5800000000000002E-2</v>
      </c>
      <c r="CC13">
        <f>'2012_2015'!CA7</f>
        <v>5.8999999999999997E-2</v>
      </c>
      <c r="CD13">
        <f>'2012_2015'!CB7</f>
        <v>6.2700000000000006E-2</v>
      </c>
      <c r="CE13">
        <f>'2012_2015'!CC7</f>
        <v>6.6000000000000003E-2</v>
      </c>
      <c r="CF13">
        <f>'2012_2015'!CD7</f>
        <v>6.88E-2</v>
      </c>
      <c r="CG13">
        <f>'2012_2015'!CE7</f>
        <v>6.5699999999999995E-2</v>
      </c>
      <c r="CH13">
        <f>'2012_2015'!CF7</f>
        <v>6.08E-2</v>
      </c>
      <c r="CI13">
        <f>'2012_2015'!CG7</f>
        <v>5.9299999999999999E-2</v>
      </c>
      <c r="CJ13">
        <f>'2012_2015'!CH7</f>
        <v>6.2899999999999998E-2</v>
      </c>
      <c r="CK13">
        <f>'2012_2015'!CI7</f>
        <v>7.8899999999999998E-2</v>
      </c>
      <c r="CL13">
        <f>'2012_2015'!CJ7</f>
        <v>7.6499999999999999E-2</v>
      </c>
      <c r="CM13">
        <f>'2012_2015'!CK7</f>
        <v>7.2599999999999998E-2</v>
      </c>
      <c r="CN13">
        <f>'2012_2015'!CL7</f>
        <v>7.5700000000000003E-2</v>
      </c>
      <c r="CO13">
        <f>'2012_2015'!CM7</f>
        <v>7.4899999999999994E-2</v>
      </c>
      <c r="CP13">
        <f>'2012_2015'!CN7</f>
        <v>6.9099999999999995E-2</v>
      </c>
      <c r="CQ13">
        <f>'2012_2015'!CO7</f>
        <v>7.9500000000000001E-2</v>
      </c>
      <c r="CR13">
        <f>'2012_2015'!CP7</f>
        <v>8.7900000000000006E-2</v>
      </c>
      <c r="CS13">
        <f>'2012_2015'!CQ7</f>
        <v>7.5300000000000006E-2</v>
      </c>
      <c r="CT13">
        <f>'2012_2015'!CR7</f>
        <v>8.7099999999999997E-2</v>
      </c>
      <c r="CU13">
        <f>'2012_2015'!CS7</f>
        <v>6.7100000000000007E-2</v>
      </c>
      <c r="CV13">
        <f>'2012_2015'!CT7</f>
        <v>7.7799999999999994E-2</v>
      </c>
      <c r="CW13">
        <f>'2012_2015'!CU7</f>
        <v>7.4800000000000005E-2</v>
      </c>
      <c r="CX13">
        <f>'2012_2015'!CV7</f>
        <v>6.6500000000000004E-2</v>
      </c>
    </row>
    <row r="14" spans="1:102" x14ac:dyDescent="0.2">
      <c r="A14" t="s">
        <v>209</v>
      </c>
      <c r="B14" t="s">
        <v>218</v>
      </c>
      <c r="C14" t="s">
        <v>102</v>
      </c>
      <c r="D14">
        <f>'2012_2015'!B8</f>
        <v>3.1900000000000001E-3</v>
      </c>
      <c r="E14">
        <f>'2012_2015'!C8</f>
        <v>6.1999999999999998E-3</v>
      </c>
      <c r="F14">
        <f>'2012_2015'!D8</f>
        <v>7.5300000000000002E-3</v>
      </c>
      <c r="G14">
        <f>'2012_2015'!E8</f>
        <v>7.8300000000000002E-3</v>
      </c>
      <c r="H14">
        <f>'2012_2015'!F8</f>
        <v>7.7200000000000003E-3</v>
      </c>
      <c r="I14">
        <f>'2012_2015'!G8</f>
        <v>8.7200000000000003E-3</v>
      </c>
      <c r="J14">
        <f>'2012_2015'!H8</f>
        <v>8.4499999999999992E-3</v>
      </c>
      <c r="K14">
        <f>'2012_2015'!I8</f>
        <v>8.0199999999999994E-3</v>
      </c>
      <c r="L14">
        <f>'2012_2015'!J8</f>
        <v>8.26E-3</v>
      </c>
      <c r="M14">
        <f>'2012_2015'!K8</f>
        <v>6.79E-3</v>
      </c>
      <c r="N14">
        <f>'2012_2015'!L8</f>
        <v>6.6699999999999997E-3</v>
      </c>
      <c r="O14">
        <f>'2012_2015'!M8</f>
        <v>6.3699999999999998E-3</v>
      </c>
      <c r="P14">
        <f>'2012_2015'!N8</f>
        <v>5.9699999999999996E-3</v>
      </c>
      <c r="Q14">
        <f>'2012_2015'!O8</f>
        <v>5.5799999999999999E-3</v>
      </c>
      <c r="R14">
        <f>'2012_2015'!P8</f>
        <v>4.8199999999999996E-3</v>
      </c>
      <c r="S14">
        <f>'2012_2015'!Q8</f>
        <v>4.5500000000000002E-3</v>
      </c>
      <c r="T14">
        <f>'2012_2015'!R8</f>
        <v>4.47E-3</v>
      </c>
      <c r="U14">
        <f>'2012_2015'!S8</f>
        <v>4.45E-3</v>
      </c>
      <c r="V14">
        <f>'2012_2015'!T8</f>
        <v>4.4000000000000003E-3</v>
      </c>
      <c r="W14">
        <f>'2012_2015'!U8</f>
        <v>4.4200000000000003E-3</v>
      </c>
      <c r="X14">
        <f>'2012_2015'!V8</f>
        <v>4.3899999999999998E-3</v>
      </c>
      <c r="Y14">
        <f>'2012_2015'!W8</f>
        <v>4.4999999999999997E-3</v>
      </c>
      <c r="Z14">
        <f>'2012_2015'!X8</f>
        <v>4.5599999999999998E-3</v>
      </c>
      <c r="AA14">
        <f>'2012_2015'!Y8</f>
        <v>4.6600000000000001E-3</v>
      </c>
      <c r="AB14">
        <f>'2012_2015'!Z8</f>
        <v>4.7800000000000004E-3</v>
      </c>
      <c r="AC14">
        <f>'2012_2015'!AA8</f>
        <v>4.7999999999999996E-3</v>
      </c>
      <c r="AD14">
        <f>'2012_2015'!AB8</f>
        <v>4.8799999999999998E-3</v>
      </c>
      <c r="AE14">
        <f>'2012_2015'!AC8</f>
        <v>4.96E-3</v>
      </c>
      <c r="AF14">
        <f>'2012_2015'!AD8</f>
        <v>5.0499999999999998E-3</v>
      </c>
      <c r="AG14">
        <f>'2012_2015'!AE8</f>
        <v>5.2199999999999998E-3</v>
      </c>
      <c r="AH14">
        <f>'2012_2015'!AF8</f>
        <v>5.3699999999999998E-3</v>
      </c>
      <c r="AI14">
        <f>'2012_2015'!AG8</f>
        <v>5.5500000000000002E-3</v>
      </c>
      <c r="AJ14">
        <f>'2012_2015'!AH8</f>
        <v>5.7200000000000003E-3</v>
      </c>
      <c r="AK14">
        <f>'2012_2015'!AI8</f>
        <v>6.0499999999999998E-3</v>
      </c>
      <c r="AL14">
        <f>'2012_2015'!AJ8</f>
        <v>6.2899999999999996E-3</v>
      </c>
      <c r="AM14">
        <f>'2012_2015'!AK8</f>
        <v>6.4700000000000001E-3</v>
      </c>
      <c r="AN14">
        <f>'2012_2015'!AL8</f>
        <v>6.7200000000000003E-3</v>
      </c>
      <c r="AO14">
        <f>'2012_2015'!AM8</f>
        <v>7.0499999999999998E-3</v>
      </c>
      <c r="AP14">
        <f>'2012_2015'!AN8</f>
        <v>7.3299999999999997E-3</v>
      </c>
      <c r="AQ14">
        <f>'2012_2015'!AO8</f>
        <v>7.6699999999999997E-3</v>
      </c>
      <c r="AR14">
        <f>'2012_2015'!AP8</f>
        <v>7.8799999999999999E-3</v>
      </c>
      <c r="AS14">
        <f>'2012_2015'!AQ8</f>
        <v>8.1899999999999994E-3</v>
      </c>
      <c r="AT14">
        <f>'2012_2015'!AR8</f>
        <v>8.3599999999999994E-3</v>
      </c>
      <c r="AU14">
        <f>'2012_2015'!AS8</f>
        <v>8.4399999999999996E-3</v>
      </c>
      <c r="AV14">
        <f>'2012_2015'!AT8</f>
        <v>8.43E-3</v>
      </c>
      <c r="AW14">
        <f>'2012_2015'!AU8</f>
        <v>8.4399999999999996E-3</v>
      </c>
      <c r="AX14">
        <f>'2012_2015'!AV8</f>
        <v>8.4899999999999993E-3</v>
      </c>
      <c r="AY14">
        <f>'2012_2015'!AW8</f>
        <v>8.7299999999999999E-3</v>
      </c>
      <c r="AZ14">
        <f>'2012_2015'!AX8</f>
        <v>8.8199999999999997E-3</v>
      </c>
      <c r="BA14">
        <f>'2012_2015'!AY8</f>
        <v>9.1299999999999992E-3</v>
      </c>
      <c r="BB14">
        <f>'2012_2015'!AZ8</f>
        <v>9.3399999999999993E-3</v>
      </c>
      <c r="BC14">
        <f>'2012_2015'!BA8</f>
        <v>9.8799999999999999E-3</v>
      </c>
      <c r="BD14">
        <f>'2012_2015'!BB8</f>
        <v>1.04E-2</v>
      </c>
      <c r="BE14">
        <f>'2012_2015'!BC8</f>
        <v>1.0800000000000001E-2</v>
      </c>
      <c r="BF14">
        <f>'2012_2015'!BD8</f>
        <v>1.11E-2</v>
      </c>
      <c r="BG14">
        <f>'2012_2015'!BE8</f>
        <v>1.12E-2</v>
      </c>
      <c r="BH14">
        <f>'2012_2015'!BF8</f>
        <v>1.11E-2</v>
      </c>
      <c r="BI14">
        <f>'2012_2015'!BG8</f>
        <v>1.09E-2</v>
      </c>
      <c r="BJ14">
        <f>'2012_2015'!BH8</f>
        <v>1.09E-2</v>
      </c>
      <c r="BK14">
        <f>'2012_2015'!BI8</f>
        <v>1.09E-2</v>
      </c>
      <c r="BL14">
        <f>'2012_2015'!BJ8</f>
        <v>1.09E-2</v>
      </c>
      <c r="BM14">
        <f>'2012_2015'!BK8</f>
        <v>1.12E-2</v>
      </c>
      <c r="BN14">
        <f>'2012_2015'!BL8</f>
        <v>1.17E-2</v>
      </c>
      <c r="BO14">
        <f>'2012_2015'!BM8</f>
        <v>1.2200000000000001E-2</v>
      </c>
      <c r="BP14">
        <f>'2012_2015'!BN8</f>
        <v>1.24E-2</v>
      </c>
      <c r="BQ14">
        <f>'2012_2015'!BO8</f>
        <v>1.26E-2</v>
      </c>
      <c r="BR14">
        <f>'2012_2015'!BP8</f>
        <v>1.24E-2</v>
      </c>
      <c r="BS14">
        <f>'2012_2015'!BQ8</f>
        <v>1.24E-2</v>
      </c>
      <c r="BT14">
        <f>'2012_2015'!BR8</f>
        <v>1.2500000000000001E-2</v>
      </c>
      <c r="BU14">
        <f>'2012_2015'!BS8</f>
        <v>1.26E-2</v>
      </c>
      <c r="BV14">
        <f>'2012_2015'!BT8</f>
        <v>1.34E-2</v>
      </c>
      <c r="BW14">
        <f>'2012_2015'!BU8</f>
        <v>1.41E-2</v>
      </c>
      <c r="BX14">
        <f>'2012_2015'!BV8</f>
        <v>1.44E-2</v>
      </c>
      <c r="BY14">
        <f>'2012_2015'!BW8</f>
        <v>1.4800000000000001E-2</v>
      </c>
      <c r="BZ14">
        <f>'2012_2015'!BX8</f>
        <v>1.46E-2</v>
      </c>
      <c r="CA14">
        <f>'2012_2015'!BY8</f>
        <v>1.44E-2</v>
      </c>
      <c r="CB14">
        <f>'2012_2015'!BZ8</f>
        <v>1.4200000000000001E-2</v>
      </c>
      <c r="CC14">
        <f>'2012_2015'!CA8</f>
        <v>1.4800000000000001E-2</v>
      </c>
      <c r="CD14">
        <f>'2012_2015'!CB8</f>
        <v>1.5699999999999999E-2</v>
      </c>
      <c r="CE14">
        <f>'2012_2015'!CC8</f>
        <v>1.6199999999999999E-2</v>
      </c>
      <c r="CF14">
        <f>'2012_2015'!CD8</f>
        <v>1.6899999999999998E-2</v>
      </c>
      <c r="CG14">
        <f>'2012_2015'!CE8</f>
        <v>1.61E-2</v>
      </c>
      <c r="CH14">
        <f>'2012_2015'!CF8</f>
        <v>1.49E-2</v>
      </c>
      <c r="CI14">
        <f>'2012_2015'!CG8</f>
        <v>1.47E-2</v>
      </c>
      <c r="CJ14">
        <f>'2012_2015'!CH8</f>
        <v>1.55E-2</v>
      </c>
      <c r="CK14">
        <f>'2012_2015'!CI8</f>
        <v>1.9400000000000001E-2</v>
      </c>
      <c r="CL14">
        <f>'2012_2015'!CJ8</f>
        <v>1.8800000000000001E-2</v>
      </c>
      <c r="CM14">
        <f>'2012_2015'!CK8</f>
        <v>1.78E-2</v>
      </c>
      <c r="CN14">
        <f>'2012_2015'!CL8</f>
        <v>1.8599999999999998E-2</v>
      </c>
      <c r="CO14">
        <f>'2012_2015'!CM8</f>
        <v>1.8200000000000001E-2</v>
      </c>
      <c r="CP14">
        <f>'2012_2015'!CN8</f>
        <v>1.72E-2</v>
      </c>
      <c r="CQ14">
        <f>'2012_2015'!CO8</f>
        <v>1.9900000000000001E-2</v>
      </c>
      <c r="CR14">
        <f>'2012_2015'!CP8</f>
        <v>2.1999999999999999E-2</v>
      </c>
      <c r="CS14">
        <f>'2012_2015'!CQ8</f>
        <v>1.8800000000000001E-2</v>
      </c>
      <c r="CT14">
        <f>'2012_2015'!CR8</f>
        <v>2.2200000000000001E-2</v>
      </c>
      <c r="CU14">
        <f>'2012_2015'!CS8</f>
        <v>1.7100000000000001E-2</v>
      </c>
      <c r="CV14">
        <f>'2012_2015'!CT8</f>
        <v>2.06E-2</v>
      </c>
      <c r="CW14">
        <f>'2012_2015'!CU8</f>
        <v>2.0899999999999998E-2</v>
      </c>
      <c r="CX14">
        <f>'2012_2015'!CV8</f>
        <v>1.9599999999999999E-2</v>
      </c>
    </row>
    <row r="15" spans="1:102" x14ac:dyDescent="0.2">
      <c r="A15" t="s">
        <v>210</v>
      </c>
      <c r="B15" t="s">
        <v>218</v>
      </c>
      <c r="C15" t="s">
        <v>102</v>
      </c>
      <c r="D15">
        <f>'2012_2015'!B9</f>
        <v>-2.4599999999999999E-3</v>
      </c>
      <c r="E15">
        <f>'2012_2015'!C9</f>
        <v>-2.96E-3</v>
      </c>
      <c r="F15">
        <f>'2012_2015'!D9</f>
        <v>-2.7299999999999998E-3</v>
      </c>
      <c r="G15">
        <f>'2012_2015'!E9</f>
        <v>-2.4099999999999998E-3</v>
      </c>
      <c r="H15">
        <f>'2012_2015'!F9</f>
        <v>-2.16E-3</v>
      </c>
      <c r="I15">
        <f>'2012_2015'!G9</f>
        <v>-2.1900000000000001E-3</v>
      </c>
      <c r="J15">
        <f>'2012_2015'!H9</f>
        <v>-1.92E-3</v>
      </c>
      <c r="K15">
        <f>'2012_2015'!I9</f>
        <v>-1.6999999999999999E-3</v>
      </c>
      <c r="L15">
        <f>'2012_2015'!J9</f>
        <v>-1.6299999999999999E-3</v>
      </c>
      <c r="M15">
        <f>'2012_2015'!K9</f>
        <v>-1.23E-3</v>
      </c>
      <c r="N15">
        <f>'2012_2015'!L9</f>
        <v>-1.1299999999999999E-3</v>
      </c>
      <c r="O15">
        <f>'2012_2015'!M9</f>
        <v>-1E-3</v>
      </c>
      <c r="P15">
        <f>'2012_2015'!N9</f>
        <v>-8.8500000000000004E-4</v>
      </c>
      <c r="Q15">
        <f>'2012_2015'!O9</f>
        <v>-7.6900000000000004E-4</v>
      </c>
      <c r="R15">
        <f>'2012_2015'!P9</f>
        <v>-6.3599999999999996E-4</v>
      </c>
      <c r="S15">
        <f>'2012_2015'!Q9</f>
        <v>-5.8699999999999996E-4</v>
      </c>
      <c r="T15">
        <f>'2012_2015'!R9</f>
        <v>-5.7399999999999997E-4</v>
      </c>
      <c r="U15">
        <f>'2012_2015'!S9</f>
        <v>-5.62E-4</v>
      </c>
      <c r="V15">
        <f>'2012_2015'!T9</f>
        <v>-5.6599999999999999E-4</v>
      </c>
      <c r="W15">
        <f>'2012_2015'!U9</f>
        <v>-5.6800000000000004E-4</v>
      </c>
      <c r="X15">
        <f>'2012_2015'!V9</f>
        <v>-6.0499999999999996E-4</v>
      </c>
      <c r="Y15">
        <f>'2012_2015'!W9</f>
        <v>-6.3599999999999996E-4</v>
      </c>
      <c r="Z15">
        <f>'2012_2015'!X9</f>
        <v>-6.5499999999999998E-4</v>
      </c>
      <c r="AA15">
        <f>'2012_2015'!Y9</f>
        <v>-6.8499999999999995E-4</v>
      </c>
      <c r="AB15">
        <f>'2012_2015'!Z9</f>
        <v>-6.96E-4</v>
      </c>
      <c r="AC15">
        <f>'2012_2015'!AA9</f>
        <v>-7.1599999999999995E-4</v>
      </c>
      <c r="AD15">
        <f>'2012_2015'!AB9</f>
        <v>-7.4100000000000001E-4</v>
      </c>
      <c r="AE15">
        <f>'2012_2015'!AC9</f>
        <v>-7.7700000000000002E-4</v>
      </c>
      <c r="AF15">
        <f>'2012_2015'!AD9</f>
        <v>-8.0599999999999997E-4</v>
      </c>
      <c r="AG15">
        <f>'2012_2015'!AE9</f>
        <v>-8.4999999999999995E-4</v>
      </c>
      <c r="AH15">
        <f>'2012_2015'!AF9</f>
        <v>-9.1100000000000003E-4</v>
      </c>
      <c r="AI15">
        <f>'2012_2015'!AG9</f>
        <v>-9.5399999999999999E-4</v>
      </c>
      <c r="AJ15">
        <f>'2012_2015'!AH9</f>
        <v>-9.9099999999999991E-4</v>
      </c>
      <c r="AK15">
        <f>'2012_2015'!AI9</f>
        <v>-1.0499999999999999E-3</v>
      </c>
      <c r="AL15">
        <f>'2012_2015'!AJ9</f>
        <v>-1.1100000000000001E-3</v>
      </c>
      <c r="AM15">
        <f>'2012_2015'!AK9</f>
        <v>-1.16E-3</v>
      </c>
      <c r="AN15">
        <f>'2012_2015'!AL9</f>
        <v>-1.1999999999999999E-3</v>
      </c>
      <c r="AO15">
        <f>'2012_2015'!AM9</f>
        <v>-1.2800000000000001E-3</v>
      </c>
      <c r="AP15">
        <f>'2012_2015'!AN9</f>
        <v>-1.34E-3</v>
      </c>
      <c r="AQ15">
        <f>'2012_2015'!AO9</f>
        <v>-1.4300000000000001E-3</v>
      </c>
      <c r="AR15">
        <f>'2012_2015'!AP9</f>
        <v>-1.48E-3</v>
      </c>
      <c r="AS15">
        <f>'2012_2015'!AQ9</f>
        <v>-1.5200000000000001E-3</v>
      </c>
      <c r="AT15">
        <f>'2012_2015'!AR9</f>
        <v>-1.5399999999999999E-3</v>
      </c>
      <c r="AU15">
        <f>'2012_2015'!AS9</f>
        <v>-1.5499999999999999E-3</v>
      </c>
      <c r="AV15">
        <f>'2012_2015'!AT9</f>
        <v>-1.5399999999999999E-3</v>
      </c>
      <c r="AW15">
        <f>'2012_2015'!AU9</f>
        <v>-1.5499999999999999E-3</v>
      </c>
      <c r="AX15">
        <f>'2012_2015'!AV9</f>
        <v>-1.5499999999999999E-3</v>
      </c>
      <c r="AY15">
        <f>'2012_2015'!AW9</f>
        <v>-1.6000000000000001E-3</v>
      </c>
      <c r="AZ15">
        <f>'2012_2015'!AX9</f>
        <v>-1.6199999999999999E-3</v>
      </c>
      <c r="BA15">
        <f>'2012_2015'!AY9</f>
        <v>-1.6900000000000001E-3</v>
      </c>
      <c r="BB15">
        <f>'2012_2015'!AZ9</f>
        <v>-1.72E-3</v>
      </c>
      <c r="BC15">
        <f>'2012_2015'!BA9</f>
        <v>-1.82E-3</v>
      </c>
      <c r="BD15">
        <f>'2012_2015'!BB9</f>
        <v>-1.92E-3</v>
      </c>
      <c r="BE15">
        <f>'2012_2015'!BC9</f>
        <v>-1.9599999999999999E-3</v>
      </c>
      <c r="BF15">
        <f>'2012_2015'!BD9</f>
        <v>-1.98E-3</v>
      </c>
      <c r="BG15">
        <f>'2012_2015'!BE9</f>
        <v>-1.99E-3</v>
      </c>
      <c r="BH15">
        <f>'2012_2015'!BF9</f>
        <v>-1.97E-3</v>
      </c>
      <c r="BI15">
        <f>'2012_2015'!BG9</f>
        <v>-1.92E-3</v>
      </c>
      <c r="BJ15">
        <f>'2012_2015'!BH9</f>
        <v>-1.91E-3</v>
      </c>
      <c r="BK15">
        <f>'2012_2015'!BI9</f>
        <v>-1.9E-3</v>
      </c>
      <c r="BL15">
        <f>'2012_2015'!BJ9</f>
        <v>-1.9E-3</v>
      </c>
      <c r="BM15">
        <f>'2012_2015'!BK9</f>
        <v>-1.9499999999999999E-3</v>
      </c>
      <c r="BN15">
        <f>'2012_2015'!BL9</f>
        <v>-2.0500000000000002E-3</v>
      </c>
      <c r="BO15">
        <f>'2012_2015'!BM9</f>
        <v>-2.0600000000000002E-3</v>
      </c>
      <c r="BP15">
        <f>'2012_2015'!BN9</f>
        <v>-2.1099999999999999E-3</v>
      </c>
      <c r="BQ15">
        <f>'2012_2015'!BO9</f>
        <v>-2.1099999999999999E-3</v>
      </c>
      <c r="BR15">
        <f>'2012_2015'!BP9</f>
        <v>-2.0799999999999998E-3</v>
      </c>
      <c r="BS15">
        <f>'2012_2015'!BQ9</f>
        <v>-2.0699999999999998E-3</v>
      </c>
      <c r="BT15">
        <f>'2012_2015'!BR9</f>
        <v>-2.0500000000000002E-3</v>
      </c>
      <c r="BU15">
        <f>'2012_2015'!BS9</f>
        <v>-2.0600000000000002E-3</v>
      </c>
      <c r="BV15">
        <f>'2012_2015'!BT9</f>
        <v>-2.1900000000000001E-3</v>
      </c>
      <c r="BW15">
        <f>'2012_2015'!BU9</f>
        <v>-2.2799999999999999E-3</v>
      </c>
      <c r="BX15">
        <f>'2012_2015'!BV9</f>
        <v>-2.31E-3</v>
      </c>
      <c r="BY15">
        <f>'2012_2015'!BW9</f>
        <v>-2.3800000000000002E-3</v>
      </c>
      <c r="BZ15">
        <f>'2012_2015'!BX9</f>
        <v>-2.3500000000000001E-3</v>
      </c>
      <c r="CA15">
        <f>'2012_2015'!BY9</f>
        <v>-2.32E-3</v>
      </c>
      <c r="CB15">
        <f>'2012_2015'!BZ9</f>
        <v>-2.2300000000000002E-3</v>
      </c>
      <c r="CC15">
        <f>'2012_2015'!CA9</f>
        <v>-2.3600000000000001E-3</v>
      </c>
      <c r="CD15">
        <f>'2012_2015'!CB9</f>
        <v>-2.49E-3</v>
      </c>
      <c r="CE15">
        <f>'2012_2015'!CC9</f>
        <v>-2.5100000000000001E-3</v>
      </c>
      <c r="CF15">
        <f>'2012_2015'!CD9</f>
        <v>-2.6099999999999999E-3</v>
      </c>
      <c r="CG15">
        <f>'2012_2015'!CE9</f>
        <v>-2.48E-3</v>
      </c>
      <c r="CH15">
        <f>'2012_2015'!CF9</f>
        <v>-2.32E-3</v>
      </c>
      <c r="CI15">
        <f>'2012_2015'!CG9</f>
        <v>-2.2499999999999998E-3</v>
      </c>
      <c r="CJ15">
        <f>'2012_2015'!CH9</f>
        <v>-2.3900000000000002E-3</v>
      </c>
      <c r="CK15">
        <f>'2012_2015'!CI9</f>
        <v>-2.8999999999999998E-3</v>
      </c>
      <c r="CL15">
        <f>'2012_2015'!CJ9</f>
        <v>-2.82E-3</v>
      </c>
      <c r="CM15">
        <f>'2012_2015'!CK9</f>
        <v>-2.7599999999999999E-3</v>
      </c>
      <c r="CN15">
        <f>'2012_2015'!CL9</f>
        <v>-2.8700000000000002E-3</v>
      </c>
      <c r="CO15">
        <f>'2012_2015'!CM9</f>
        <v>-2.8600000000000001E-3</v>
      </c>
      <c r="CP15">
        <f>'2012_2015'!CN9</f>
        <v>-2.7499999999999998E-3</v>
      </c>
      <c r="CQ15">
        <f>'2012_2015'!CO9</f>
        <v>-3.2499999999999999E-3</v>
      </c>
      <c r="CR15">
        <f>'2012_2015'!CP9</f>
        <v>-3.5699999999999998E-3</v>
      </c>
      <c r="CS15">
        <f>'2012_2015'!CQ9</f>
        <v>-3.0699999999999998E-3</v>
      </c>
      <c r="CT15">
        <f>'2012_2015'!CR9</f>
        <v>-3.8500000000000001E-3</v>
      </c>
      <c r="CU15">
        <f>'2012_2015'!CS9</f>
        <v>-3.0400000000000002E-3</v>
      </c>
      <c r="CV15">
        <f>'2012_2015'!CT9</f>
        <v>-3.48E-3</v>
      </c>
      <c r="CW15">
        <f>'2012_2015'!CU9</f>
        <v>-3.63E-3</v>
      </c>
      <c r="CX15">
        <f>'2012_2015'!CV9</f>
        <v>-3.5200000000000001E-3</v>
      </c>
    </row>
    <row r="16" spans="1:102" x14ac:dyDescent="0.2">
      <c r="A16" t="s">
        <v>211</v>
      </c>
      <c r="B16" t="s">
        <v>218</v>
      </c>
      <c r="C16" t="s">
        <v>102</v>
      </c>
      <c r="D16">
        <f>'2012_2015'!B10</f>
        <v>-2.15E-3</v>
      </c>
      <c r="E16">
        <f>'2012_2015'!C10</f>
        <v>-2.47E-3</v>
      </c>
      <c r="F16">
        <f>'2012_2015'!D10</f>
        <v>-2.31E-3</v>
      </c>
      <c r="G16">
        <f>'2012_2015'!E10</f>
        <v>-2.15E-3</v>
      </c>
      <c r="H16">
        <f>'2012_2015'!F10</f>
        <v>-1.92E-3</v>
      </c>
      <c r="I16">
        <f>'2012_2015'!G10</f>
        <v>-1.9400000000000001E-3</v>
      </c>
      <c r="J16">
        <f>'2012_2015'!H10</f>
        <v>-1.8500000000000001E-3</v>
      </c>
      <c r="K16">
        <f>'2012_2015'!I10</f>
        <v>-1.89E-3</v>
      </c>
      <c r="L16">
        <f>'2012_2015'!J10</f>
        <v>-1.7600000000000001E-3</v>
      </c>
      <c r="M16">
        <f>'2012_2015'!K10</f>
        <v>-1.48E-3</v>
      </c>
      <c r="N16">
        <f>'2012_2015'!L10</f>
        <v>-1.5200000000000001E-3</v>
      </c>
      <c r="O16">
        <f>'2012_2015'!M10</f>
        <v>-1.5E-3</v>
      </c>
      <c r="P16">
        <f>'2012_2015'!N10</f>
        <v>-1.42E-3</v>
      </c>
      <c r="Q16">
        <f>'2012_2015'!O10</f>
        <v>-1.3699999999999999E-3</v>
      </c>
      <c r="R16">
        <f>'2012_2015'!P10</f>
        <v>-1.15E-3</v>
      </c>
      <c r="S16">
        <f>'2012_2015'!Q10</f>
        <v>-1.1199999999999999E-3</v>
      </c>
      <c r="T16">
        <f>'2012_2015'!R10</f>
        <v>-1.0300000000000001E-3</v>
      </c>
      <c r="U16">
        <f>'2012_2015'!S10</f>
        <v>-1.08E-3</v>
      </c>
      <c r="V16">
        <f>'2012_2015'!T10</f>
        <v>-1.0499999999999999E-3</v>
      </c>
      <c r="W16">
        <f>'2012_2015'!U10</f>
        <v>-1.0399999999999999E-3</v>
      </c>
      <c r="X16">
        <f>'2012_2015'!V10</f>
        <v>-1.0499999999999999E-3</v>
      </c>
      <c r="Y16">
        <f>'2012_2015'!W10</f>
        <v>-1.1000000000000001E-3</v>
      </c>
      <c r="Z16">
        <f>'2012_2015'!X10</f>
        <v>-1.09E-3</v>
      </c>
      <c r="AA16">
        <f>'2012_2015'!Y10</f>
        <v>-1.1299999999999999E-3</v>
      </c>
      <c r="AB16">
        <f>'2012_2015'!Z10</f>
        <v>-1.1000000000000001E-3</v>
      </c>
      <c r="AC16">
        <f>'2012_2015'!AA10</f>
        <v>-1.1000000000000001E-3</v>
      </c>
      <c r="AD16">
        <f>'2012_2015'!AB10</f>
        <v>-1.14E-3</v>
      </c>
      <c r="AE16">
        <f>'2012_2015'!AC10</f>
        <v>-1.1299999999999999E-3</v>
      </c>
      <c r="AF16">
        <f>'2012_2015'!AD10</f>
        <v>-1.16E-3</v>
      </c>
      <c r="AG16">
        <f>'2012_2015'!AE10</f>
        <v>-1.2999999999999999E-3</v>
      </c>
      <c r="AH16">
        <f>'2012_2015'!AF10</f>
        <v>-1.32E-3</v>
      </c>
      <c r="AI16">
        <f>'2012_2015'!AG10</f>
        <v>-1.3699999999999999E-3</v>
      </c>
      <c r="AJ16">
        <f>'2012_2015'!AH10</f>
        <v>-1.4400000000000001E-3</v>
      </c>
      <c r="AK16">
        <f>'2012_2015'!AI10</f>
        <v>-1.49E-3</v>
      </c>
      <c r="AL16">
        <f>'2012_2015'!AJ10</f>
        <v>-1.56E-3</v>
      </c>
      <c r="AM16">
        <f>'2012_2015'!AK10</f>
        <v>-1.6000000000000001E-3</v>
      </c>
      <c r="AN16">
        <f>'2012_2015'!AL10</f>
        <v>-1.6100000000000001E-3</v>
      </c>
      <c r="AO16">
        <f>'2012_2015'!AM10</f>
        <v>-1.7600000000000001E-3</v>
      </c>
      <c r="AP16">
        <f>'2012_2015'!AN10</f>
        <v>-1.83E-3</v>
      </c>
      <c r="AQ16">
        <f>'2012_2015'!AO10</f>
        <v>-1.8500000000000001E-3</v>
      </c>
      <c r="AR16">
        <f>'2012_2015'!AP10</f>
        <v>-1.9300000000000001E-3</v>
      </c>
      <c r="AS16">
        <f>'2012_2015'!AQ10</f>
        <v>-1.9599999999999999E-3</v>
      </c>
      <c r="AT16">
        <f>'2012_2015'!AR10</f>
        <v>-1.98E-3</v>
      </c>
      <c r="AU16">
        <f>'2012_2015'!AS10</f>
        <v>-1.98E-3</v>
      </c>
      <c r="AV16">
        <f>'2012_2015'!AT10</f>
        <v>-1.9599999999999999E-3</v>
      </c>
      <c r="AW16">
        <f>'2012_2015'!AU10</f>
        <v>-2.0100000000000001E-3</v>
      </c>
      <c r="AX16">
        <f>'2012_2015'!AV10</f>
        <v>-2.0500000000000002E-3</v>
      </c>
      <c r="AY16">
        <f>'2012_2015'!AW10</f>
        <v>-2.0200000000000001E-3</v>
      </c>
      <c r="AZ16">
        <f>'2012_2015'!AX10</f>
        <v>-2.0899999999999998E-3</v>
      </c>
      <c r="BA16">
        <f>'2012_2015'!AY10</f>
        <v>-2.14E-3</v>
      </c>
      <c r="BB16">
        <f>'2012_2015'!AZ10</f>
        <v>-2.1700000000000001E-3</v>
      </c>
      <c r="BC16">
        <f>'2012_2015'!BA10</f>
        <v>-2.2699999999999999E-3</v>
      </c>
      <c r="BD16">
        <f>'2012_2015'!BB10</f>
        <v>-2.4099999999999998E-3</v>
      </c>
      <c r="BE16">
        <f>'2012_2015'!BC10</f>
        <v>-2.5600000000000002E-3</v>
      </c>
      <c r="BF16">
        <f>'2012_2015'!BD10</f>
        <v>-2.5699999999999998E-3</v>
      </c>
      <c r="BG16">
        <f>'2012_2015'!BE10</f>
        <v>-2.5999999999999999E-3</v>
      </c>
      <c r="BH16">
        <f>'2012_2015'!BF10</f>
        <v>-2.5999999999999999E-3</v>
      </c>
      <c r="BI16">
        <f>'2012_2015'!BG10</f>
        <v>-2.6099999999999999E-3</v>
      </c>
      <c r="BJ16">
        <f>'2012_2015'!BH10</f>
        <v>-2.6800000000000001E-3</v>
      </c>
      <c r="BK16">
        <f>'2012_2015'!BI10</f>
        <v>-2.5999999999999999E-3</v>
      </c>
      <c r="BL16">
        <f>'2012_2015'!BJ10</f>
        <v>-2.5699999999999998E-3</v>
      </c>
      <c r="BM16">
        <f>'2012_2015'!BK10</f>
        <v>-2.7299999999999998E-3</v>
      </c>
      <c r="BN16">
        <f>'2012_2015'!BL10</f>
        <v>-2.9099999999999998E-3</v>
      </c>
      <c r="BO16">
        <f>'2012_2015'!BM10</f>
        <v>-3.0200000000000001E-3</v>
      </c>
      <c r="BP16">
        <f>'2012_2015'!BN10</f>
        <v>-3.0999999999999999E-3</v>
      </c>
      <c r="BQ16">
        <f>'2012_2015'!BO10</f>
        <v>-3.13E-3</v>
      </c>
      <c r="BR16">
        <f>'2012_2015'!BP10</f>
        <v>-3.2399999999999998E-3</v>
      </c>
      <c r="BS16">
        <f>'2012_2015'!BQ10</f>
        <v>-3.2399999999999998E-3</v>
      </c>
      <c r="BT16">
        <f>'2012_2015'!BR10</f>
        <v>-3.1700000000000001E-3</v>
      </c>
      <c r="BU16">
        <f>'2012_2015'!BS10</f>
        <v>-3.2100000000000002E-3</v>
      </c>
      <c r="BV16">
        <f>'2012_2015'!BT10</f>
        <v>-3.49E-3</v>
      </c>
      <c r="BW16">
        <f>'2012_2015'!BU10</f>
        <v>-3.6600000000000001E-3</v>
      </c>
      <c r="BX16">
        <f>'2012_2015'!BV10</f>
        <v>-3.7100000000000002E-3</v>
      </c>
      <c r="BY16">
        <f>'2012_2015'!BW10</f>
        <v>-3.7699999999999999E-3</v>
      </c>
      <c r="BZ16">
        <f>'2012_2015'!BX10</f>
        <v>-3.7599999999999999E-3</v>
      </c>
      <c r="CA16">
        <f>'2012_2015'!BY10</f>
        <v>-3.8300000000000001E-3</v>
      </c>
      <c r="CB16">
        <f>'2012_2015'!BZ10</f>
        <v>-3.62E-3</v>
      </c>
      <c r="CC16">
        <f>'2012_2015'!CA10</f>
        <v>-3.81E-3</v>
      </c>
      <c r="CD16">
        <f>'2012_2015'!CB10</f>
        <v>-3.96E-3</v>
      </c>
      <c r="CE16">
        <f>'2012_2015'!CC10</f>
        <v>-4.1200000000000004E-3</v>
      </c>
      <c r="CF16">
        <f>'2012_2015'!CD10</f>
        <v>-4.28E-3</v>
      </c>
      <c r="CG16">
        <f>'2012_2015'!CE10</f>
        <v>-4.1099999999999999E-3</v>
      </c>
      <c r="CH16">
        <f>'2012_2015'!CF10</f>
        <v>-3.8999999999999998E-3</v>
      </c>
      <c r="CI16">
        <f>'2012_2015'!CG10</f>
        <v>-3.5899999999999999E-3</v>
      </c>
      <c r="CJ16">
        <f>'2012_2015'!CH10</f>
        <v>-3.79E-3</v>
      </c>
      <c r="CK16">
        <f>'2012_2015'!CI10</f>
        <v>-4.7400000000000003E-3</v>
      </c>
      <c r="CL16">
        <f>'2012_2015'!CJ10</f>
        <v>-4.5700000000000003E-3</v>
      </c>
      <c r="CM16">
        <f>'2012_2015'!CK10</f>
        <v>-4.4799999999999996E-3</v>
      </c>
      <c r="CN16">
        <f>'2012_2015'!CL10</f>
        <v>-4.5799999999999999E-3</v>
      </c>
      <c r="CO16">
        <f>'2012_2015'!CM10</f>
        <v>-4.4000000000000003E-3</v>
      </c>
      <c r="CP16">
        <f>'2012_2015'!CN10</f>
        <v>-4.1900000000000001E-3</v>
      </c>
      <c r="CQ16">
        <f>'2012_2015'!CO10</f>
        <v>-4.8999999999999998E-3</v>
      </c>
      <c r="CR16">
        <f>'2012_2015'!CP10</f>
        <v>-5.5999999999999999E-3</v>
      </c>
      <c r="CS16">
        <f>'2012_2015'!CQ10</f>
        <v>-4.96E-3</v>
      </c>
      <c r="CT16">
        <f>'2012_2015'!CR10</f>
        <v>-5.6600000000000001E-3</v>
      </c>
      <c r="CU16">
        <f>'2012_2015'!CS10</f>
        <v>-4.5199999999999997E-3</v>
      </c>
      <c r="CV16">
        <f>'2012_2015'!CT10</f>
        <v>-5.6100000000000004E-3</v>
      </c>
      <c r="CW16">
        <f>'2012_2015'!CU10</f>
        <v>-5.3099999999999996E-3</v>
      </c>
      <c r="CX16">
        <f>'2012_2015'!CV10</f>
        <v>-4.5399999999999998E-3</v>
      </c>
    </row>
    <row r="17" spans="1:102" x14ac:dyDescent="0.2">
      <c r="A17" t="s">
        <v>212</v>
      </c>
      <c r="B17" t="s">
        <v>218</v>
      </c>
      <c r="C17" t="s">
        <v>102</v>
      </c>
      <c r="D17">
        <f>'2012_2015'!B11</f>
        <v>2.0400000000000001E-3</v>
      </c>
      <c r="E17">
        <f>'2012_2015'!C11</f>
        <v>2.4199999999999998E-3</v>
      </c>
      <c r="F17">
        <f>'2012_2015'!D11</f>
        <v>2.2100000000000002E-3</v>
      </c>
      <c r="G17">
        <f>'2012_2015'!E11</f>
        <v>1.9599999999999999E-3</v>
      </c>
      <c r="H17">
        <f>'2012_2015'!F11</f>
        <v>1.74E-3</v>
      </c>
      <c r="I17">
        <f>'2012_2015'!G11</f>
        <v>1.67E-3</v>
      </c>
      <c r="J17">
        <f>'2012_2015'!H11</f>
        <v>1.57E-3</v>
      </c>
      <c r="K17">
        <f>'2012_2015'!I11</f>
        <v>1.4599999999999999E-3</v>
      </c>
      <c r="L17">
        <f>'2012_2015'!J11</f>
        <v>1.3799999999999999E-3</v>
      </c>
      <c r="M17">
        <f>'2012_2015'!K11</f>
        <v>1.08E-3</v>
      </c>
      <c r="N17">
        <f>'2012_2015'!L11</f>
        <v>9.859999999999999E-4</v>
      </c>
      <c r="O17">
        <f>'2012_2015'!M11</f>
        <v>8.6799999999999996E-4</v>
      </c>
      <c r="P17">
        <f>'2012_2015'!N11</f>
        <v>7.7800000000000005E-4</v>
      </c>
      <c r="Q17">
        <f>'2012_2015'!O11</f>
        <v>6.6100000000000002E-4</v>
      </c>
      <c r="R17">
        <f>'2012_2015'!P11</f>
        <v>5.2400000000000005E-4</v>
      </c>
      <c r="S17">
        <f>'2012_2015'!Q11</f>
        <v>4.6900000000000002E-4</v>
      </c>
      <c r="T17">
        <f>'2012_2015'!R11</f>
        <v>4.28E-4</v>
      </c>
      <c r="U17">
        <f>'2012_2015'!S11</f>
        <v>4.0700000000000003E-4</v>
      </c>
      <c r="V17">
        <f>'2012_2015'!T11</f>
        <v>3.7500000000000001E-4</v>
      </c>
      <c r="W17">
        <f>'2012_2015'!U11</f>
        <v>3.5500000000000001E-4</v>
      </c>
      <c r="X17">
        <f>'2012_2015'!V11</f>
        <v>3.4499999999999998E-4</v>
      </c>
      <c r="Y17">
        <f>'2012_2015'!W11</f>
        <v>3.3E-4</v>
      </c>
      <c r="Z17">
        <f>'2012_2015'!X11</f>
        <v>3.21E-4</v>
      </c>
      <c r="AA17">
        <f>'2012_2015'!Y11</f>
        <v>3.1599999999999998E-4</v>
      </c>
      <c r="AB17">
        <f>'2012_2015'!Z11</f>
        <v>3.0200000000000002E-4</v>
      </c>
      <c r="AC17">
        <f>'2012_2015'!AA11</f>
        <v>2.9999999999999997E-4</v>
      </c>
      <c r="AD17">
        <f>'2012_2015'!AB11</f>
        <v>2.8800000000000001E-4</v>
      </c>
      <c r="AE17">
        <f>'2012_2015'!AC11</f>
        <v>2.7599999999999999E-4</v>
      </c>
      <c r="AF17">
        <f>'2012_2015'!AD11</f>
        <v>2.7799999999999998E-4</v>
      </c>
      <c r="AG17">
        <f>'2012_2015'!AE11</f>
        <v>2.6899999999999998E-4</v>
      </c>
      <c r="AH17">
        <f>'2012_2015'!AF11</f>
        <v>2.6699999999999998E-4</v>
      </c>
      <c r="AI17">
        <f>'2012_2015'!AG11</f>
        <v>2.6400000000000002E-4</v>
      </c>
      <c r="AJ17">
        <f>'2012_2015'!AH11</f>
        <v>2.7099999999999997E-4</v>
      </c>
      <c r="AK17">
        <f>'2012_2015'!AI11</f>
        <v>2.7500000000000002E-4</v>
      </c>
      <c r="AL17">
        <f>'2012_2015'!AJ11</f>
        <v>2.8699999999999998E-4</v>
      </c>
      <c r="AM17">
        <f>'2012_2015'!AK11</f>
        <v>2.8499999999999999E-4</v>
      </c>
      <c r="AN17">
        <f>'2012_2015'!AL11</f>
        <v>2.8400000000000002E-4</v>
      </c>
      <c r="AO17">
        <f>'2012_2015'!AM11</f>
        <v>2.9100000000000003E-4</v>
      </c>
      <c r="AP17">
        <f>'2012_2015'!AN11</f>
        <v>2.8899999999999998E-4</v>
      </c>
      <c r="AQ17">
        <f>'2012_2015'!AO11</f>
        <v>2.9E-4</v>
      </c>
      <c r="AR17">
        <f>'2012_2015'!AP11</f>
        <v>2.92E-4</v>
      </c>
      <c r="AS17">
        <f>'2012_2015'!AQ11</f>
        <v>2.9399999999999999E-4</v>
      </c>
      <c r="AT17">
        <f>'2012_2015'!AR11</f>
        <v>2.9E-4</v>
      </c>
      <c r="AU17">
        <f>'2012_2015'!AS11</f>
        <v>2.8499999999999999E-4</v>
      </c>
      <c r="AV17">
        <f>'2012_2015'!AT11</f>
        <v>2.7599999999999999E-4</v>
      </c>
      <c r="AW17">
        <f>'2012_2015'!AU11</f>
        <v>2.7900000000000001E-4</v>
      </c>
      <c r="AX17">
        <f>'2012_2015'!AV11</f>
        <v>2.7399999999999999E-4</v>
      </c>
      <c r="AY17">
        <f>'2012_2015'!AW11</f>
        <v>2.61E-4</v>
      </c>
      <c r="AZ17">
        <f>'2012_2015'!AX11</f>
        <v>2.5700000000000001E-4</v>
      </c>
      <c r="BA17">
        <f>'2012_2015'!AY11</f>
        <v>2.52E-4</v>
      </c>
      <c r="BB17">
        <f>'2012_2015'!AZ11</f>
        <v>2.52E-4</v>
      </c>
      <c r="BC17">
        <f>'2012_2015'!BA11</f>
        <v>2.6400000000000002E-4</v>
      </c>
      <c r="BD17">
        <f>'2012_2015'!BB11</f>
        <v>2.7399999999999999E-4</v>
      </c>
      <c r="BE17">
        <f>'2012_2015'!BC11</f>
        <v>2.7599999999999999E-4</v>
      </c>
      <c r="BF17">
        <f>'2012_2015'!BD11</f>
        <v>2.7599999999999999E-4</v>
      </c>
      <c r="BG17">
        <f>'2012_2015'!BE11</f>
        <v>2.7E-4</v>
      </c>
      <c r="BH17">
        <f>'2012_2015'!BF11</f>
        <v>2.5500000000000002E-4</v>
      </c>
      <c r="BI17">
        <f>'2012_2015'!BG11</f>
        <v>2.5099999999999998E-4</v>
      </c>
      <c r="BJ17">
        <f>'2012_2015'!BH11</f>
        <v>2.5700000000000001E-4</v>
      </c>
      <c r="BK17">
        <f>'2012_2015'!BI11</f>
        <v>2.4600000000000002E-4</v>
      </c>
      <c r="BL17">
        <f>'2012_2015'!BJ11</f>
        <v>2.4399999999999999E-4</v>
      </c>
      <c r="BM17">
        <f>'2012_2015'!BK11</f>
        <v>2.4600000000000002E-4</v>
      </c>
      <c r="BN17">
        <f>'2012_2015'!BL11</f>
        <v>2.4800000000000001E-4</v>
      </c>
      <c r="BO17">
        <f>'2012_2015'!BM11</f>
        <v>2.4600000000000002E-4</v>
      </c>
      <c r="BP17">
        <f>'2012_2015'!BN11</f>
        <v>2.5599999999999999E-4</v>
      </c>
      <c r="BQ17">
        <f>'2012_2015'!BO11</f>
        <v>2.63E-4</v>
      </c>
      <c r="BR17">
        <f>'2012_2015'!BP11</f>
        <v>2.52E-4</v>
      </c>
      <c r="BS17">
        <f>'2012_2015'!BQ11</f>
        <v>2.4499999999999999E-4</v>
      </c>
      <c r="BT17">
        <f>'2012_2015'!BR11</f>
        <v>2.4800000000000001E-4</v>
      </c>
      <c r="BU17">
        <f>'2012_2015'!BS11</f>
        <v>2.5700000000000001E-4</v>
      </c>
      <c r="BV17">
        <f>'2012_2015'!BT11</f>
        <v>2.8400000000000002E-4</v>
      </c>
      <c r="BW17">
        <f>'2012_2015'!BU11</f>
        <v>2.9999999999999997E-4</v>
      </c>
      <c r="BX17">
        <f>'2012_2015'!BV11</f>
        <v>2.8400000000000002E-4</v>
      </c>
      <c r="BY17">
        <f>'2012_2015'!BW11</f>
        <v>2.9300000000000002E-4</v>
      </c>
      <c r="BZ17">
        <f>'2012_2015'!BX11</f>
        <v>2.9100000000000003E-4</v>
      </c>
      <c r="CA17">
        <f>'2012_2015'!BY11</f>
        <v>2.8800000000000001E-4</v>
      </c>
      <c r="CB17">
        <f>'2012_2015'!BZ11</f>
        <v>2.72E-4</v>
      </c>
      <c r="CC17">
        <f>'2012_2015'!CA11</f>
        <v>2.81E-4</v>
      </c>
      <c r="CD17">
        <f>'2012_2015'!CB11</f>
        <v>2.6699999999999998E-4</v>
      </c>
      <c r="CE17">
        <f>'2012_2015'!CC11</f>
        <v>2.61E-4</v>
      </c>
      <c r="CF17">
        <f>'2012_2015'!CD11</f>
        <v>2.5399999999999999E-4</v>
      </c>
      <c r="CG17">
        <f>'2012_2015'!CE11</f>
        <v>2.4000000000000001E-4</v>
      </c>
      <c r="CH17">
        <f>'2012_2015'!CF11</f>
        <v>2.1499999999999999E-4</v>
      </c>
      <c r="CI17">
        <f>'2012_2015'!CG11</f>
        <v>2.0000000000000001E-4</v>
      </c>
      <c r="CJ17">
        <f>'2012_2015'!CH11</f>
        <v>1.75E-4</v>
      </c>
      <c r="CK17">
        <f>'2012_2015'!CI11</f>
        <v>2.13E-4</v>
      </c>
      <c r="CL17">
        <f>'2012_2015'!CJ11</f>
        <v>2.12E-4</v>
      </c>
      <c r="CM17">
        <f>'2012_2015'!CK11</f>
        <v>1.9799999999999999E-4</v>
      </c>
      <c r="CN17">
        <f>'2012_2015'!CL11</f>
        <v>2.0599999999999999E-4</v>
      </c>
      <c r="CO17">
        <f>'2012_2015'!CM11</f>
        <v>1.8699999999999999E-4</v>
      </c>
      <c r="CP17">
        <f>'2012_2015'!CN11</f>
        <v>1.75E-4</v>
      </c>
      <c r="CQ17">
        <f>'2012_2015'!CO11</f>
        <v>1.8599999999999999E-4</v>
      </c>
      <c r="CR17">
        <f>'2012_2015'!CP11</f>
        <v>2.0000000000000001E-4</v>
      </c>
      <c r="CS17">
        <f>'2012_2015'!CQ11</f>
        <v>1.64E-4</v>
      </c>
      <c r="CT17">
        <f>'2012_2015'!CR11</f>
        <v>1.7100000000000001E-4</v>
      </c>
      <c r="CU17">
        <f>'2012_2015'!CS11</f>
        <v>1.25E-4</v>
      </c>
      <c r="CV17">
        <f>'2012_2015'!CT11</f>
        <v>1.6699999999999999E-4</v>
      </c>
      <c r="CW17">
        <f>'2012_2015'!CU11</f>
        <v>1.16E-4</v>
      </c>
      <c r="CX17">
        <f>'2012_2015'!CV11</f>
        <v>1.5699999999999999E-4</v>
      </c>
    </row>
    <row r="18" spans="1:102" x14ac:dyDescent="0.2">
      <c r="A18" t="s">
        <v>213</v>
      </c>
      <c r="B18" t="s">
        <v>218</v>
      </c>
      <c r="C18" t="s">
        <v>102</v>
      </c>
      <c r="D18">
        <f>'2012_2015'!B12</f>
        <v>7.9299999999999995E-3</v>
      </c>
      <c r="E18">
        <f>'2012_2015'!C12</f>
        <v>1.14E-2</v>
      </c>
      <c r="F18">
        <f>'2012_2015'!D12</f>
        <v>1.2200000000000001E-2</v>
      </c>
      <c r="G18">
        <f>'2012_2015'!E12</f>
        <v>1.2500000000000001E-2</v>
      </c>
      <c r="H18">
        <f>'2012_2015'!F12</f>
        <v>1.24E-2</v>
      </c>
      <c r="I18">
        <f>'2012_2015'!G12</f>
        <v>1.37E-2</v>
      </c>
      <c r="J18">
        <f>'2012_2015'!H12</f>
        <v>1.37E-2</v>
      </c>
      <c r="K18">
        <f>'2012_2015'!I12</f>
        <v>1.32E-2</v>
      </c>
      <c r="L18">
        <f>'2012_2015'!J12</f>
        <v>1.35E-2</v>
      </c>
      <c r="M18">
        <f>'2012_2015'!K12</f>
        <v>1.09E-2</v>
      </c>
      <c r="N18">
        <f>'2012_2015'!L12</f>
        <v>1.06E-2</v>
      </c>
      <c r="O18">
        <f>'2012_2015'!M12</f>
        <v>9.9399999999999992E-3</v>
      </c>
      <c r="P18">
        <f>'2012_2015'!N12</f>
        <v>8.9700000000000005E-3</v>
      </c>
      <c r="Q18">
        <f>'2012_2015'!O12</f>
        <v>7.79E-3</v>
      </c>
      <c r="R18">
        <f>'2012_2015'!P12</f>
        <v>6.2599999999999999E-3</v>
      </c>
      <c r="S18">
        <f>'2012_2015'!Q12</f>
        <v>5.5500000000000002E-3</v>
      </c>
      <c r="T18">
        <f>'2012_2015'!R12</f>
        <v>5.1900000000000002E-3</v>
      </c>
      <c r="U18">
        <f>'2012_2015'!S12</f>
        <v>5.0000000000000001E-3</v>
      </c>
      <c r="V18">
        <f>'2012_2015'!T12</f>
        <v>4.3800000000000002E-3</v>
      </c>
      <c r="W18">
        <f>'2012_2015'!U12</f>
        <v>4.0400000000000002E-3</v>
      </c>
      <c r="X18">
        <f>'2012_2015'!V12</f>
        <v>3.8400000000000001E-3</v>
      </c>
      <c r="Y18">
        <f>'2012_2015'!W12</f>
        <v>3.6700000000000001E-3</v>
      </c>
      <c r="Z18">
        <f>'2012_2015'!X12</f>
        <v>3.4499999999999999E-3</v>
      </c>
      <c r="AA18">
        <f>'2012_2015'!Y12</f>
        <v>3.1900000000000001E-3</v>
      </c>
      <c r="AB18">
        <f>'2012_2015'!Z12</f>
        <v>2.9499999999999999E-3</v>
      </c>
      <c r="AC18">
        <f>'2012_2015'!AA12</f>
        <v>2.7399999999999998E-3</v>
      </c>
      <c r="AD18">
        <f>'2012_2015'!AB12</f>
        <v>2.5999999999999999E-3</v>
      </c>
      <c r="AE18">
        <f>'2012_2015'!AC12</f>
        <v>2.5200000000000001E-3</v>
      </c>
      <c r="AF18">
        <f>'2012_2015'!AD12</f>
        <v>2.4199999999999998E-3</v>
      </c>
      <c r="AG18">
        <f>'2012_2015'!AE12</f>
        <v>2.3800000000000002E-3</v>
      </c>
      <c r="AH18">
        <f>'2012_2015'!AF12</f>
        <v>2.2799999999999999E-3</v>
      </c>
      <c r="AI18">
        <f>'2012_2015'!AG12</f>
        <v>2.14E-3</v>
      </c>
      <c r="AJ18">
        <f>'2012_2015'!AH12</f>
        <v>2.0500000000000002E-3</v>
      </c>
      <c r="AK18">
        <f>'2012_2015'!AI12</f>
        <v>1.97E-3</v>
      </c>
      <c r="AL18">
        <f>'2012_2015'!AJ12</f>
        <v>1.92E-3</v>
      </c>
      <c r="AM18">
        <f>'2012_2015'!AK12</f>
        <v>1.8799999999999999E-3</v>
      </c>
      <c r="AN18">
        <f>'2012_2015'!AL12</f>
        <v>1.8799999999999999E-3</v>
      </c>
      <c r="AO18">
        <f>'2012_2015'!AM12</f>
        <v>1.8400000000000001E-3</v>
      </c>
      <c r="AP18">
        <f>'2012_2015'!AN12</f>
        <v>1.7600000000000001E-3</v>
      </c>
      <c r="AQ18">
        <f>'2012_2015'!AO12</f>
        <v>1.64E-3</v>
      </c>
      <c r="AR18">
        <f>'2012_2015'!AP12</f>
        <v>1.57E-3</v>
      </c>
      <c r="AS18">
        <f>'2012_2015'!AQ12</f>
        <v>1.4300000000000001E-3</v>
      </c>
      <c r="AT18">
        <f>'2012_2015'!AR12</f>
        <v>1.2700000000000001E-3</v>
      </c>
      <c r="AU18">
        <f>'2012_2015'!AS12</f>
        <v>1.1199999999999999E-3</v>
      </c>
      <c r="AV18">
        <f>'2012_2015'!AT12</f>
        <v>9.5E-4</v>
      </c>
      <c r="AW18">
        <f>'2012_2015'!AU12</f>
        <v>8.9499999999999996E-4</v>
      </c>
      <c r="AX18">
        <f>'2012_2015'!AV12</f>
        <v>8.8500000000000004E-4</v>
      </c>
      <c r="AY18">
        <f>'2012_2015'!AW12</f>
        <v>8.4800000000000001E-4</v>
      </c>
      <c r="AZ18">
        <f>'2012_2015'!AX12</f>
        <v>8.5099999999999998E-4</v>
      </c>
      <c r="BA18">
        <f>'2012_2015'!AY12</f>
        <v>7.4299999999999995E-4</v>
      </c>
      <c r="BB18">
        <f>'2012_2015'!AZ12</f>
        <v>7.0100000000000002E-4</v>
      </c>
      <c r="BC18">
        <f>'2012_2015'!BA12</f>
        <v>6.1799999999999995E-4</v>
      </c>
      <c r="BD18">
        <f>'2012_2015'!BB12</f>
        <v>5.6599999999999999E-4</v>
      </c>
      <c r="BE18">
        <f>'2012_2015'!BC12</f>
        <v>4.8799999999999999E-4</v>
      </c>
      <c r="BF18">
        <f>'2012_2015'!BD12</f>
        <v>3.21E-4</v>
      </c>
      <c r="BG18">
        <f>'2012_2015'!BE12</f>
        <v>1.8100000000000001E-4</v>
      </c>
      <c r="BH18">
        <f>'2012_2015'!BF12</f>
        <v>1.12E-4</v>
      </c>
      <c r="BI18">
        <f>'2012_2015'!BG12</f>
        <v>8.2000000000000001E-5</v>
      </c>
      <c r="BJ18">
        <f>'2012_2015'!BH12</f>
        <v>1.13E-4</v>
      </c>
      <c r="BK18">
        <f>'2012_2015'!BI12</f>
        <v>6.4800000000000003E-5</v>
      </c>
      <c r="BL18">
        <f>'2012_2015'!BJ12</f>
        <v>6.8899999999999994E-5</v>
      </c>
      <c r="BM18">
        <f>'2012_2015'!BK12</f>
        <v>7.8999999999999996E-5</v>
      </c>
      <c r="BN18">
        <f>'2012_2015'!BL12</f>
        <v>6.7999999999999999E-5</v>
      </c>
      <c r="BO18">
        <f>'2012_2015'!BM12</f>
        <v>-5.99E-7</v>
      </c>
      <c r="BP18">
        <f>'2012_2015'!BN12</f>
        <v>-1.44E-4</v>
      </c>
      <c r="BQ18">
        <f>'2012_2015'!BO12</f>
        <v>-2.03E-4</v>
      </c>
      <c r="BR18">
        <f>'2012_2015'!BP12</f>
        <v>-2.2699999999999999E-4</v>
      </c>
      <c r="BS18">
        <f>'2012_2015'!BQ12</f>
        <v>-2.5700000000000001E-4</v>
      </c>
      <c r="BT18">
        <f>'2012_2015'!BR12</f>
        <v>-3.5199999999999999E-4</v>
      </c>
      <c r="BU18">
        <f>'2012_2015'!BS12</f>
        <v>-4.0900000000000002E-4</v>
      </c>
      <c r="BV18">
        <f>'2012_2015'!BT12</f>
        <v>-4.6500000000000003E-4</v>
      </c>
      <c r="BW18">
        <f>'2012_2015'!BU12</f>
        <v>-5.62E-4</v>
      </c>
      <c r="BX18">
        <f>'2012_2015'!BV12</f>
        <v>-4.4900000000000002E-4</v>
      </c>
      <c r="BY18">
        <f>'2012_2015'!BW12</f>
        <v>-5.8E-4</v>
      </c>
      <c r="BZ18">
        <f>'2012_2015'!BX12</f>
        <v>-5.8699999999999996E-4</v>
      </c>
      <c r="CA18">
        <f>'2012_2015'!BY12</f>
        <v>-5.9100000000000005E-4</v>
      </c>
      <c r="CB18">
        <f>'2012_2015'!BZ12</f>
        <v>-6.8800000000000003E-4</v>
      </c>
      <c r="CC18">
        <f>'2012_2015'!CA12</f>
        <v>-6.9800000000000005E-4</v>
      </c>
      <c r="CD18">
        <f>'2012_2015'!CB12</f>
        <v>-6.5899999999999997E-4</v>
      </c>
      <c r="CE18">
        <f>'2012_2015'!CC12</f>
        <v>-6.2200000000000005E-4</v>
      </c>
      <c r="CF18">
        <f>'2012_2015'!CD12</f>
        <v>-6.1499999999999999E-4</v>
      </c>
      <c r="CG18">
        <f>'2012_2015'!CE12</f>
        <v>-7.5900000000000002E-4</v>
      </c>
      <c r="CH18">
        <f>'2012_2015'!CF12</f>
        <v>-7.0200000000000004E-4</v>
      </c>
      <c r="CI18">
        <f>'2012_2015'!CG12</f>
        <v>-5.6999999999999998E-4</v>
      </c>
      <c r="CJ18">
        <f>'2012_2015'!CH12</f>
        <v>-4.9299999999999995E-4</v>
      </c>
      <c r="CK18">
        <f>'2012_2015'!CI12</f>
        <v>-6.4199999999999999E-4</v>
      </c>
      <c r="CL18">
        <f>'2012_2015'!CJ12</f>
        <v>-5.6899999999999995E-4</v>
      </c>
      <c r="CM18">
        <f>'2012_2015'!CK12</f>
        <v>-4.7600000000000002E-4</v>
      </c>
      <c r="CN18">
        <f>'2012_2015'!CL12</f>
        <v>-7.0299999999999996E-4</v>
      </c>
      <c r="CO18">
        <f>'2012_2015'!CM12</f>
        <v>-6.6500000000000001E-4</v>
      </c>
      <c r="CP18">
        <f>'2012_2015'!CN12</f>
        <v>-5.0100000000000003E-4</v>
      </c>
      <c r="CQ18">
        <f>'2012_2015'!CO12</f>
        <v>-6.5899999999999997E-4</v>
      </c>
      <c r="CR18">
        <f>'2012_2015'!CP12</f>
        <v>-7.6999999999999996E-4</v>
      </c>
      <c r="CS18">
        <f>'2012_2015'!CQ12</f>
        <v>-5.7399999999999997E-4</v>
      </c>
      <c r="CT18">
        <f>'2012_2015'!CR12</f>
        <v>-4.6799999999999999E-4</v>
      </c>
      <c r="CU18">
        <f>'2012_2015'!CS12</f>
        <v>-2.24E-4</v>
      </c>
      <c r="CV18">
        <f>'2012_2015'!CT12</f>
        <v>-3.19E-4</v>
      </c>
      <c r="CW18">
        <f>'2012_2015'!CU12</f>
        <v>-5.7600000000000001E-4</v>
      </c>
      <c r="CX18">
        <f>'2012_2015'!CV12</f>
        <v>-5.8600000000000004E-4</v>
      </c>
    </row>
    <row r="19" spans="1:102" x14ac:dyDescent="0.2">
      <c r="A19" t="s">
        <v>214</v>
      </c>
      <c r="B19" t="s">
        <v>218</v>
      </c>
      <c r="C19" t="s">
        <v>102</v>
      </c>
      <c r="D19">
        <f>'2012_2015'!B13</f>
        <v>5.3899999999999998E-4</v>
      </c>
      <c r="E19">
        <f>'2012_2015'!C13</f>
        <v>4.1100000000000002E-4</v>
      </c>
      <c r="F19">
        <f>'2012_2015'!D13</f>
        <v>3.2899999999999997E-4</v>
      </c>
      <c r="G19">
        <f>'2012_2015'!E13</f>
        <v>2.63E-4</v>
      </c>
      <c r="H19">
        <f>'2012_2015'!F13</f>
        <v>2.0900000000000001E-4</v>
      </c>
      <c r="I19">
        <f>'2012_2015'!G13</f>
        <v>1.2400000000000001E-4</v>
      </c>
      <c r="J19">
        <f>'2012_2015'!H13</f>
        <v>3.2199999999999997E-5</v>
      </c>
      <c r="K19">
        <f>'2012_2015'!I13</f>
        <v>-3.4999999999999997E-5</v>
      </c>
      <c r="L19">
        <f>'2012_2015'!J13</f>
        <v>1.04E-5</v>
      </c>
      <c r="M19">
        <f>'2012_2015'!K13</f>
        <v>-2.6999999999999999E-5</v>
      </c>
      <c r="N19">
        <f>'2012_2015'!L13</f>
        <v>-4.18E-5</v>
      </c>
      <c r="O19">
        <f>'2012_2015'!M13</f>
        <v>-3.1099999999999997E-5</v>
      </c>
      <c r="P19">
        <f>'2012_2015'!N13</f>
        <v>1.8399999999999999E-8</v>
      </c>
      <c r="Q19">
        <f>'2012_2015'!O13</f>
        <v>-6.0800000000000001E-5</v>
      </c>
      <c r="R19">
        <f>'2012_2015'!P13</f>
        <v>-3.8899999999999997E-5</v>
      </c>
      <c r="S19">
        <f>'2012_2015'!Q13</f>
        <v>1.81E-6</v>
      </c>
      <c r="T19">
        <f>'2012_2015'!R13</f>
        <v>-7.5599999999999994E-5</v>
      </c>
      <c r="U19">
        <f>'2012_2015'!S13</f>
        <v>-3.6600000000000002E-5</v>
      </c>
      <c r="V19">
        <f>'2012_2015'!T13</f>
        <v>-4.6400000000000003E-5</v>
      </c>
      <c r="W19">
        <f>'2012_2015'!U13</f>
        <v>-5.5399999999999998E-5</v>
      </c>
      <c r="X19">
        <f>'2012_2015'!V13</f>
        <v>-3.6000000000000001E-5</v>
      </c>
      <c r="Y19">
        <f>'2012_2015'!W13</f>
        <v>-5.5800000000000001E-5</v>
      </c>
      <c r="Z19">
        <f>'2012_2015'!X13</f>
        <v>-4.1300000000000001E-5</v>
      </c>
      <c r="AA19">
        <f>'2012_2015'!Y13</f>
        <v>-5.3600000000000002E-5</v>
      </c>
      <c r="AB19">
        <f>'2012_2015'!Z13</f>
        <v>-5.5800000000000001E-5</v>
      </c>
      <c r="AC19">
        <f>'2012_2015'!AA13</f>
        <v>-8.2200000000000006E-5</v>
      </c>
      <c r="AD19">
        <f>'2012_2015'!AB13</f>
        <v>-4.9299999999999999E-5</v>
      </c>
      <c r="AE19">
        <f>'2012_2015'!AC13</f>
        <v>-6.5099999999999997E-5</v>
      </c>
      <c r="AF19">
        <f>'2012_2015'!AD13</f>
        <v>-6.8499999999999998E-5</v>
      </c>
      <c r="AG19">
        <f>'2012_2015'!AE13</f>
        <v>3.6399999999999999E-6</v>
      </c>
      <c r="AH19">
        <f>'2012_2015'!AF13</f>
        <v>-2.2399999999999999E-5</v>
      </c>
      <c r="AI19">
        <f>'2012_2015'!AG13</f>
        <v>-4.9799999999999998E-5</v>
      </c>
      <c r="AJ19">
        <f>'2012_2015'!AH13</f>
        <v>-4.1600000000000002E-5</v>
      </c>
      <c r="AK19">
        <f>'2012_2015'!AI13</f>
        <v>-7.8499999999999997E-5</v>
      </c>
      <c r="AL19">
        <f>'2012_2015'!AJ13</f>
        <v>-4.7599999999999998E-5</v>
      </c>
      <c r="AM19">
        <f>'2012_2015'!AK13</f>
        <v>-3.1000000000000001E-5</v>
      </c>
      <c r="AN19">
        <f>'2012_2015'!AL13</f>
        <v>-6.7899999999999997E-5</v>
      </c>
      <c r="AO19">
        <f>'2012_2015'!AM13</f>
        <v>-3.65E-5</v>
      </c>
      <c r="AP19">
        <f>'2012_2015'!AN13</f>
        <v>-5.8400000000000003E-5</v>
      </c>
      <c r="AQ19">
        <f>'2012_2015'!AO13</f>
        <v>-3.93E-5</v>
      </c>
      <c r="AR19">
        <f>'2012_2015'!AP13</f>
        <v>-1.6099999999999998E-5</v>
      </c>
      <c r="AS19">
        <f>'2012_2015'!AQ13</f>
        <v>-5.3000000000000001E-5</v>
      </c>
      <c r="AT19">
        <f>'2012_2015'!AR13</f>
        <v>-5.1100000000000002E-5</v>
      </c>
      <c r="AU19">
        <f>'2012_2015'!AS13</f>
        <v>-4.8999999999999998E-5</v>
      </c>
      <c r="AV19">
        <f>'2012_2015'!AT13</f>
        <v>-5.1700000000000003E-5</v>
      </c>
      <c r="AW19">
        <f>'2012_2015'!AU13</f>
        <v>-1.3900000000000001E-5</v>
      </c>
      <c r="AX19">
        <f>'2012_2015'!AV13</f>
        <v>-6.6199999999999996E-5</v>
      </c>
      <c r="AY19">
        <f>'2012_2015'!AW13</f>
        <v>-2.5599999999999999E-5</v>
      </c>
      <c r="AZ19">
        <f>'2012_2015'!AX13</f>
        <v>1.84E-5</v>
      </c>
      <c r="BA19">
        <f>'2012_2015'!AY13</f>
        <v>-1.3200000000000001E-5</v>
      </c>
      <c r="BB19">
        <f>'2012_2015'!AZ13</f>
        <v>-8.1300000000000001E-6</v>
      </c>
      <c r="BC19">
        <f>'2012_2015'!BA13</f>
        <v>-5.31E-6</v>
      </c>
      <c r="BD19">
        <f>'2012_2015'!BB13</f>
        <v>-3.41E-6</v>
      </c>
      <c r="BE19">
        <f>'2012_2015'!BC13</f>
        <v>2.7300000000000001E-6</v>
      </c>
      <c r="BF19">
        <f>'2012_2015'!BD13</f>
        <v>2.4300000000000001E-5</v>
      </c>
      <c r="BG19">
        <f>'2012_2015'!BE13</f>
        <v>1.47E-5</v>
      </c>
      <c r="BH19">
        <f>'2012_2015'!BF13</f>
        <v>7.8099999999999998E-6</v>
      </c>
      <c r="BI19">
        <f>'2012_2015'!BG13</f>
        <v>1.5500000000000001E-5</v>
      </c>
      <c r="BJ19">
        <f>'2012_2015'!BH13</f>
        <v>-3.96E-5</v>
      </c>
      <c r="BK19">
        <f>'2012_2015'!BI13</f>
        <v>1.01E-4</v>
      </c>
      <c r="BL19">
        <f>'2012_2015'!BJ13</f>
        <v>2.1299999999999999E-5</v>
      </c>
      <c r="BM19">
        <f>'2012_2015'!BK13</f>
        <v>6.8200000000000004E-5</v>
      </c>
      <c r="BN19">
        <f>'2012_2015'!BL13</f>
        <v>8.9400000000000005E-5</v>
      </c>
      <c r="BO19">
        <f>'2012_2015'!BM13</f>
        <v>9.6500000000000001E-5</v>
      </c>
      <c r="BP19">
        <f>'2012_2015'!BN13</f>
        <v>8.1600000000000005E-5</v>
      </c>
      <c r="BQ19">
        <f>'2012_2015'!BO13</f>
        <v>7.1000000000000005E-5</v>
      </c>
      <c r="BR19">
        <f>'2012_2015'!BP13</f>
        <v>1.05E-4</v>
      </c>
      <c r="BS19">
        <f>'2012_2015'!BQ13</f>
        <v>5.1799999999999999E-5</v>
      </c>
      <c r="BT19">
        <f>'2012_2015'!BR13</f>
        <v>1.1400000000000001E-4</v>
      </c>
      <c r="BU19">
        <f>'2012_2015'!BS13</f>
        <v>1.15E-4</v>
      </c>
      <c r="BV19">
        <f>'2012_2015'!BT13</f>
        <v>7.8499999999999997E-5</v>
      </c>
      <c r="BW19">
        <f>'2012_2015'!BU13</f>
        <v>9.2E-5</v>
      </c>
      <c r="BX19">
        <f>'2012_2015'!BV13</f>
        <v>1.47E-4</v>
      </c>
      <c r="BY19">
        <f>'2012_2015'!BW13</f>
        <v>1.2300000000000001E-4</v>
      </c>
      <c r="BZ19">
        <f>'2012_2015'!BX13</f>
        <v>1.06E-4</v>
      </c>
      <c r="CA19">
        <f>'2012_2015'!BY13</f>
        <v>7.7100000000000004E-5</v>
      </c>
      <c r="CB19">
        <f>'2012_2015'!BZ13</f>
        <v>1.66E-4</v>
      </c>
      <c r="CC19">
        <f>'2012_2015'!CA13</f>
        <v>1.4799999999999999E-4</v>
      </c>
      <c r="CD19">
        <f>'2012_2015'!CB13</f>
        <v>1.95E-4</v>
      </c>
      <c r="CE19">
        <f>'2012_2015'!CC13</f>
        <v>2.0000000000000001E-4</v>
      </c>
      <c r="CF19">
        <f>'2012_2015'!CD13</f>
        <v>2.0799999999999999E-4</v>
      </c>
      <c r="CG19">
        <f>'2012_2015'!CE13</f>
        <v>2.1000000000000001E-4</v>
      </c>
      <c r="CH19">
        <f>'2012_2015'!CF13</f>
        <v>1.93E-4</v>
      </c>
      <c r="CI19">
        <f>'2012_2015'!CG13</f>
        <v>2.5799999999999998E-4</v>
      </c>
      <c r="CJ19">
        <f>'2012_2015'!CH13</f>
        <v>2.2900000000000001E-4</v>
      </c>
      <c r="CK19">
        <f>'2012_2015'!CI13</f>
        <v>3.19E-4</v>
      </c>
      <c r="CL19">
        <f>'2012_2015'!CJ13</f>
        <v>2.9799999999999998E-4</v>
      </c>
      <c r="CM19">
        <f>'2012_2015'!CK13</f>
        <v>2.3800000000000001E-4</v>
      </c>
      <c r="CN19">
        <f>'2012_2015'!CL13</f>
        <v>3.1500000000000001E-4</v>
      </c>
      <c r="CO19">
        <f>'2012_2015'!CM13</f>
        <v>3.19E-4</v>
      </c>
      <c r="CP19">
        <f>'2012_2015'!CN13</f>
        <v>3.5799999999999997E-4</v>
      </c>
      <c r="CQ19">
        <f>'2012_2015'!CO13</f>
        <v>4.26E-4</v>
      </c>
      <c r="CR19">
        <f>'2012_2015'!CP13</f>
        <v>4.75E-4</v>
      </c>
      <c r="CS19">
        <f>'2012_2015'!CQ13</f>
        <v>2.9700000000000001E-4</v>
      </c>
      <c r="CT19">
        <f>'2012_2015'!CR13</f>
        <v>5.0299999999999997E-4</v>
      </c>
      <c r="CU19">
        <f>'2012_2015'!CS13</f>
        <v>3.39E-4</v>
      </c>
      <c r="CV19">
        <f>'2012_2015'!CT13</f>
        <v>3.4699999999999998E-4</v>
      </c>
      <c r="CW19">
        <f>'2012_2015'!CU13</f>
        <v>2.34E-4</v>
      </c>
      <c r="CX19">
        <f>'2012_2015'!CV13</f>
        <v>2.1599999999999999E-4</v>
      </c>
    </row>
    <row r="20" spans="1:102" x14ac:dyDescent="0.2">
      <c r="A20" t="s">
        <v>215</v>
      </c>
      <c r="B20" t="s">
        <v>218</v>
      </c>
      <c r="C20" t="s">
        <v>102</v>
      </c>
      <c r="D20">
        <f>'2012_2015'!B14</f>
        <v>1.61E-2</v>
      </c>
      <c r="E20">
        <f>'2012_2015'!C14</f>
        <v>2.0500000000000001E-2</v>
      </c>
      <c r="F20">
        <f>'2012_2015'!D14</f>
        <v>1.9699999999999999E-2</v>
      </c>
      <c r="G20">
        <f>'2012_2015'!E14</f>
        <v>0.02</v>
      </c>
      <c r="H20">
        <f>'2012_2015'!F14</f>
        <v>1.7899999999999999E-2</v>
      </c>
      <c r="I20">
        <f>'2012_2015'!G14</f>
        <v>1.83E-2</v>
      </c>
      <c r="J20">
        <f>'2012_2015'!H14</f>
        <v>1.7399999999999999E-2</v>
      </c>
      <c r="K20">
        <f>'2012_2015'!I14</f>
        <v>1.5900000000000001E-2</v>
      </c>
      <c r="L20">
        <f>'2012_2015'!J14</f>
        <v>1.5900000000000001E-2</v>
      </c>
      <c r="M20">
        <f>'2012_2015'!K14</f>
        <v>1.2500000000000001E-2</v>
      </c>
      <c r="N20">
        <f>'2012_2015'!L14</f>
        <v>1.18E-2</v>
      </c>
      <c r="O20">
        <f>'2012_2015'!M14</f>
        <v>1.0999999999999999E-2</v>
      </c>
      <c r="P20">
        <f>'2012_2015'!N14</f>
        <v>9.8899999999999995E-3</v>
      </c>
      <c r="Q20">
        <f>'2012_2015'!O14</f>
        <v>8.6999999999999994E-3</v>
      </c>
      <c r="R20">
        <f>'2012_2015'!P14</f>
        <v>6.9300000000000004E-3</v>
      </c>
      <c r="S20">
        <f>'2012_2015'!Q14</f>
        <v>6.2599999999999999E-3</v>
      </c>
      <c r="T20">
        <f>'2012_2015'!R14</f>
        <v>5.7200000000000003E-3</v>
      </c>
      <c r="U20">
        <f>'2012_2015'!S14</f>
        <v>5.4999999999999997E-3</v>
      </c>
      <c r="V20">
        <f>'2012_2015'!T14</f>
        <v>5.1000000000000004E-3</v>
      </c>
      <c r="W20">
        <f>'2012_2015'!U14</f>
        <v>4.8700000000000002E-3</v>
      </c>
      <c r="X20">
        <f>'2012_2015'!V14</f>
        <v>4.6699999999999997E-3</v>
      </c>
      <c r="Y20">
        <f>'2012_2015'!W14</f>
        <v>4.5599999999999998E-3</v>
      </c>
      <c r="Z20">
        <f>'2012_2015'!X14</f>
        <v>4.4600000000000004E-3</v>
      </c>
      <c r="AA20">
        <f>'2012_2015'!Y14</f>
        <v>4.3499999999999997E-3</v>
      </c>
      <c r="AB20">
        <f>'2012_2015'!Z14</f>
        <v>4.2599999999999999E-3</v>
      </c>
      <c r="AC20">
        <f>'2012_2015'!AA14</f>
        <v>4.1099999999999999E-3</v>
      </c>
      <c r="AD20">
        <f>'2012_2015'!AB14</f>
        <v>3.9699999999999996E-3</v>
      </c>
      <c r="AE20">
        <f>'2012_2015'!AC14</f>
        <v>3.8600000000000001E-3</v>
      </c>
      <c r="AF20">
        <f>'2012_2015'!AD14</f>
        <v>3.79E-3</v>
      </c>
      <c r="AG20">
        <f>'2012_2015'!AE14</f>
        <v>3.79E-3</v>
      </c>
      <c r="AH20">
        <f>'2012_2015'!AF14</f>
        <v>3.7699999999999999E-3</v>
      </c>
      <c r="AI20">
        <f>'2012_2015'!AG14</f>
        <v>3.7100000000000002E-3</v>
      </c>
      <c r="AJ20">
        <f>'2012_2015'!AH14</f>
        <v>3.65E-3</v>
      </c>
      <c r="AK20">
        <f>'2012_2015'!AI14</f>
        <v>3.6800000000000001E-3</v>
      </c>
      <c r="AL20">
        <f>'2012_2015'!AJ14</f>
        <v>3.65E-3</v>
      </c>
      <c r="AM20">
        <f>'2012_2015'!AK14</f>
        <v>3.5999999999999999E-3</v>
      </c>
      <c r="AN20">
        <f>'2012_2015'!AL14</f>
        <v>3.5999999999999999E-3</v>
      </c>
      <c r="AO20">
        <f>'2012_2015'!AM14</f>
        <v>3.5599999999999998E-3</v>
      </c>
      <c r="AP20">
        <f>'2012_2015'!AN14</f>
        <v>3.5799999999999998E-3</v>
      </c>
      <c r="AQ20">
        <f>'2012_2015'!AO14</f>
        <v>3.5599999999999998E-3</v>
      </c>
      <c r="AR20">
        <f>'2012_2015'!AP14</f>
        <v>3.5500000000000002E-3</v>
      </c>
      <c r="AS20">
        <f>'2012_2015'!AQ14</f>
        <v>3.5000000000000001E-3</v>
      </c>
      <c r="AT20">
        <f>'2012_2015'!AR14</f>
        <v>3.47E-3</v>
      </c>
      <c r="AU20">
        <f>'2012_2015'!AS14</f>
        <v>3.3899999999999998E-3</v>
      </c>
      <c r="AV20">
        <f>'2012_2015'!AT14</f>
        <v>3.2299999999999998E-3</v>
      </c>
      <c r="AW20">
        <f>'2012_2015'!AU14</f>
        <v>3.1099999999999999E-3</v>
      </c>
      <c r="AX20">
        <f>'2012_2015'!AV14</f>
        <v>3.0999999999999999E-3</v>
      </c>
      <c r="AY20">
        <f>'2012_2015'!AW14</f>
        <v>3.0500000000000002E-3</v>
      </c>
      <c r="AZ20">
        <f>'2012_2015'!AX14</f>
        <v>2.8800000000000002E-3</v>
      </c>
      <c r="BA20">
        <f>'2012_2015'!AY14</f>
        <v>2.9099999999999998E-3</v>
      </c>
      <c r="BB20">
        <f>'2012_2015'!AZ14</f>
        <v>2.8500000000000001E-3</v>
      </c>
      <c r="BC20">
        <f>'2012_2015'!BA14</f>
        <v>2.9299999999999999E-3</v>
      </c>
      <c r="BD20">
        <f>'2012_2015'!BB14</f>
        <v>3.0000000000000001E-3</v>
      </c>
      <c r="BE20">
        <f>'2012_2015'!BC14</f>
        <v>2.9499999999999999E-3</v>
      </c>
      <c r="BF20">
        <f>'2012_2015'!BD14</f>
        <v>2.9399999999999999E-3</v>
      </c>
      <c r="BG20">
        <f>'2012_2015'!BE14</f>
        <v>2.8600000000000001E-3</v>
      </c>
      <c r="BH20">
        <f>'2012_2015'!BF14</f>
        <v>2.7200000000000002E-3</v>
      </c>
      <c r="BI20">
        <f>'2012_2015'!BG14</f>
        <v>2.5400000000000002E-3</v>
      </c>
      <c r="BJ20">
        <f>'2012_2015'!BH14</f>
        <v>2.4099999999999998E-3</v>
      </c>
      <c r="BK20">
        <f>'2012_2015'!BI14</f>
        <v>2.3700000000000001E-3</v>
      </c>
      <c r="BL20">
        <f>'2012_2015'!BJ14</f>
        <v>2.2200000000000002E-3</v>
      </c>
      <c r="BM20">
        <f>'2012_2015'!BK14</f>
        <v>2.1199999999999999E-3</v>
      </c>
      <c r="BN20">
        <f>'2012_2015'!BL14</f>
        <v>2.1800000000000001E-3</v>
      </c>
      <c r="BO20">
        <f>'2012_2015'!BM14</f>
        <v>2.1099999999999999E-3</v>
      </c>
      <c r="BP20">
        <f>'2012_2015'!BN14</f>
        <v>1.98E-3</v>
      </c>
      <c r="BQ20">
        <f>'2012_2015'!BO14</f>
        <v>1.8400000000000001E-3</v>
      </c>
      <c r="BR20">
        <f>'2012_2015'!BP14</f>
        <v>1.7700000000000001E-3</v>
      </c>
      <c r="BS20">
        <f>'2012_2015'!BQ14</f>
        <v>1.6900000000000001E-3</v>
      </c>
      <c r="BT20">
        <f>'2012_2015'!BR14</f>
        <v>1.4E-3</v>
      </c>
      <c r="BU20">
        <f>'2012_2015'!BS14</f>
        <v>1.2099999999999999E-3</v>
      </c>
      <c r="BV20">
        <f>'2012_2015'!BT14</f>
        <v>1.0300000000000001E-3</v>
      </c>
      <c r="BW20">
        <f>'2012_2015'!BU14</f>
        <v>8.7900000000000001E-4</v>
      </c>
      <c r="BX20">
        <f>'2012_2015'!BV14</f>
        <v>7.67E-4</v>
      </c>
      <c r="BY20">
        <f>'2012_2015'!BW14</f>
        <v>6.7299999999999999E-4</v>
      </c>
      <c r="BZ20">
        <f>'2012_2015'!BX14</f>
        <v>4.1300000000000001E-4</v>
      </c>
      <c r="CA20">
        <f>'2012_2015'!BY14</f>
        <v>3.1500000000000001E-4</v>
      </c>
      <c r="CB20">
        <f>'2012_2015'!BZ14</f>
        <v>1.2999999999999999E-4</v>
      </c>
      <c r="CC20">
        <f>'2012_2015'!CA14</f>
        <v>-1.1900000000000001E-4</v>
      </c>
      <c r="CD20">
        <f>'2012_2015'!CB14</f>
        <v>-3.9399999999999998E-4</v>
      </c>
      <c r="CE20">
        <f>'2012_2015'!CC14</f>
        <v>-8.1300000000000003E-4</v>
      </c>
      <c r="CF20">
        <f>'2012_2015'!CD14</f>
        <v>-1.07E-3</v>
      </c>
      <c r="CG20">
        <f>'2012_2015'!CE14</f>
        <v>-1.2099999999999999E-3</v>
      </c>
      <c r="CH20">
        <f>'2012_2015'!CF14</f>
        <v>-1.25E-3</v>
      </c>
      <c r="CI20">
        <f>'2012_2015'!CG14</f>
        <v>-1.4300000000000001E-3</v>
      </c>
      <c r="CJ20">
        <f>'2012_2015'!CH14</f>
        <v>-1.7600000000000001E-3</v>
      </c>
      <c r="CK20">
        <f>'2012_2015'!CI14</f>
        <v>-2.6800000000000001E-3</v>
      </c>
      <c r="CL20">
        <f>'2012_2015'!CJ14</f>
        <v>-3.0799999999999998E-3</v>
      </c>
      <c r="CM20">
        <f>'2012_2015'!CK14</f>
        <v>-3.16E-3</v>
      </c>
      <c r="CN20">
        <f>'2012_2015'!CL14</f>
        <v>-3.79E-3</v>
      </c>
      <c r="CO20">
        <f>'2012_2015'!CM14</f>
        <v>-3.9199999999999999E-3</v>
      </c>
      <c r="CP20">
        <f>'2012_2015'!CN14</f>
        <v>-3.8999999999999998E-3</v>
      </c>
      <c r="CQ20">
        <f>'2012_2015'!CO14</f>
        <v>-4.7999999999999996E-3</v>
      </c>
      <c r="CR20">
        <f>'2012_2015'!CP14</f>
        <v>-5.4200000000000003E-3</v>
      </c>
      <c r="CS20">
        <f>'2012_2015'!CQ14</f>
        <v>-4.4000000000000003E-3</v>
      </c>
      <c r="CT20">
        <f>'2012_2015'!CR14</f>
        <v>-5.5900000000000004E-3</v>
      </c>
      <c r="CU20">
        <f>'2012_2015'!CS14</f>
        <v>-4.9500000000000004E-3</v>
      </c>
      <c r="CV20">
        <f>'2012_2015'!CT14</f>
        <v>-6.3099999999999996E-3</v>
      </c>
      <c r="CW20">
        <f>'2012_2015'!CU14</f>
        <v>-6.9499999999999996E-3</v>
      </c>
      <c r="CX20">
        <f>'2012_2015'!CV14</f>
        <v>-7.9600000000000001E-3</v>
      </c>
    </row>
    <row r="21" spans="1:102" x14ac:dyDescent="0.2">
      <c r="A21" t="s">
        <v>5909</v>
      </c>
      <c r="B21" t="s">
        <v>218</v>
      </c>
      <c r="C21" t="s">
        <v>102</v>
      </c>
      <c r="D21">
        <f>'2012_2015 Int Confianca'!B43</f>
        <v>1.9699999999999999E-2</v>
      </c>
      <c r="E21">
        <f>'2012_2015 Int Confianca'!C43</f>
        <v>2.8400000000000002E-2</v>
      </c>
      <c r="F21">
        <f>'2012_2015 Int Confianca'!D43</f>
        <v>2.76E-2</v>
      </c>
      <c r="G21">
        <f>'2012_2015 Int Confianca'!E43</f>
        <v>2.6499999999999999E-2</v>
      </c>
      <c r="H21">
        <f>'2012_2015 Int Confianca'!F43</f>
        <v>2.4899999999999999E-2</v>
      </c>
      <c r="I21">
        <f>'2012_2015 Int Confianca'!G43</f>
        <v>2.7E-2</v>
      </c>
      <c r="J21">
        <f>'2012_2015 Int Confianca'!H43</f>
        <v>2.6499999999999999E-2</v>
      </c>
      <c r="K21">
        <f>'2012_2015 Int Confianca'!I43</f>
        <v>2.4899999999999999E-2</v>
      </c>
      <c r="L21">
        <f>'2012_2015 Int Confianca'!J43</f>
        <v>2.5700000000000001E-2</v>
      </c>
      <c r="M21">
        <f>'2012_2015 Int Confianca'!K43</f>
        <v>2.07E-2</v>
      </c>
      <c r="N21">
        <f>'2012_2015 Int Confianca'!L43</f>
        <v>2.0299999999999999E-2</v>
      </c>
      <c r="O21">
        <f>'2012_2015 Int Confianca'!M43</f>
        <v>1.9300000000000001E-2</v>
      </c>
      <c r="P21">
        <f>'2012_2015 Int Confianca'!N43</f>
        <v>1.78E-2</v>
      </c>
      <c r="Q21">
        <f>'2012_2015 Int Confianca'!O43</f>
        <v>1.66E-2</v>
      </c>
      <c r="R21">
        <f>'2012_2015 Int Confianca'!P43</f>
        <v>1.4200000000000001E-2</v>
      </c>
      <c r="S21">
        <f>'2012_2015 Int Confianca'!Q43</f>
        <v>1.3100000000000001E-2</v>
      </c>
      <c r="T21">
        <f>'2012_2015 Int Confianca'!R43</f>
        <v>1.2699999999999999E-2</v>
      </c>
      <c r="U21">
        <f>'2012_2015 Int Confianca'!S43</f>
        <v>1.2699999999999999E-2</v>
      </c>
      <c r="V21">
        <f>'2012_2015 Int Confianca'!T43</f>
        <v>1.2500000000000001E-2</v>
      </c>
      <c r="W21">
        <f>'2012_2015 Int Confianca'!U43</f>
        <v>1.26E-2</v>
      </c>
      <c r="X21">
        <f>'2012_2015 Int Confianca'!V43</f>
        <v>1.26E-2</v>
      </c>
      <c r="Y21">
        <f>'2012_2015 Int Confianca'!W43</f>
        <v>1.29E-2</v>
      </c>
      <c r="Z21">
        <f>'2012_2015 Int Confianca'!X43</f>
        <v>1.3100000000000001E-2</v>
      </c>
      <c r="AA21">
        <f>'2012_2015 Int Confianca'!Y43</f>
        <v>1.34E-2</v>
      </c>
      <c r="AB21">
        <f>'2012_2015 Int Confianca'!Z43</f>
        <v>1.3599999999999999E-2</v>
      </c>
      <c r="AC21">
        <f>'2012_2015 Int Confianca'!AA43</f>
        <v>1.3599999999999999E-2</v>
      </c>
      <c r="AD21">
        <f>'2012_2015 Int Confianca'!AB43</f>
        <v>1.37E-2</v>
      </c>
      <c r="AE21">
        <f>'2012_2015 Int Confianca'!AC43</f>
        <v>1.3899999999999999E-2</v>
      </c>
      <c r="AF21">
        <f>'2012_2015 Int Confianca'!AD43</f>
        <v>1.4200000000000001E-2</v>
      </c>
      <c r="AG21">
        <f>'2012_2015 Int Confianca'!AE43</f>
        <v>1.4800000000000001E-2</v>
      </c>
      <c r="AH21">
        <f>'2012_2015 Int Confianca'!AF43</f>
        <v>1.55E-2</v>
      </c>
      <c r="AI21">
        <f>'2012_2015 Int Confianca'!AG43</f>
        <v>1.61E-2</v>
      </c>
      <c r="AJ21">
        <f>'2012_2015 Int Confianca'!AH43</f>
        <v>1.67E-2</v>
      </c>
      <c r="AK21">
        <f>'2012_2015 Int Confianca'!AI43</f>
        <v>1.7500000000000002E-2</v>
      </c>
      <c r="AL21">
        <f>'2012_2015 Int Confianca'!AJ43</f>
        <v>1.83E-2</v>
      </c>
      <c r="AM21">
        <f>'2012_2015 Int Confianca'!AK43</f>
        <v>1.9E-2</v>
      </c>
      <c r="AN21">
        <f>'2012_2015 Int Confianca'!AL43</f>
        <v>1.9800000000000002E-2</v>
      </c>
      <c r="AO21">
        <f>'2012_2015 Int Confianca'!AM43</f>
        <v>2.0899999999999998E-2</v>
      </c>
      <c r="AP21">
        <f>'2012_2015 Int Confianca'!AN43</f>
        <v>2.1700000000000001E-2</v>
      </c>
      <c r="AQ21">
        <f>'2012_2015 Int Confianca'!AO43</f>
        <v>2.2599999999999999E-2</v>
      </c>
      <c r="AR21">
        <f>'2012_2015 Int Confianca'!AP43</f>
        <v>2.3199999999999998E-2</v>
      </c>
      <c r="AS21">
        <f>'2012_2015 Int Confianca'!AQ43</f>
        <v>2.4E-2</v>
      </c>
      <c r="AT21">
        <f>'2012_2015 Int Confianca'!AR43</f>
        <v>2.46E-2</v>
      </c>
      <c r="AU21">
        <f>'2012_2015 Int Confianca'!AS43</f>
        <v>2.4799999999999999E-2</v>
      </c>
      <c r="AV21">
        <f>'2012_2015 Int Confianca'!AT43</f>
        <v>2.5000000000000001E-2</v>
      </c>
      <c r="AW21">
        <f>'2012_2015 Int Confianca'!AU43</f>
        <v>2.5000000000000001E-2</v>
      </c>
      <c r="AX21">
        <f>'2012_2015 Int Confianca'!AV43</f>
        <v>2.52E-2</v>
      </c>
      <c r="AY21">
        <f>'2012_2015 Int Confianca'!AW43</f>
        <v>2.5899999999999999E-2</v>
      </c>
      <c r="AZ21">
        <f>'2012_2015 Int Confianca'!AX43</f>
        <v>2.63E-2</v>
      </c>
      <c r="BA21">
        <f>'2012_2015 Int Confianca'!AY43</f>
        <v>2.7400000000000001E-2</v>
      </c>
      <c r="BB21">
        <f>'2012_2015 Int Confianca'!AZ43</f>
        <v>2.8199999999999999E-2</v>
      </c>
      <c r="BC21">
        <f>'2012_2015 Int Confianca'!BA43</f>
        <v>0.03</v>
      </c>
      <c r="BD21">
        <f>'2012_2015 Int Confianca'!BB43</f>
        <v>3.1899999999999998E-2</v>
      </c>
      <c r="BE21">
        <f>'2012_2015 Int Confianca'!BC43</f>
        <v>3.3300000000000003E-2</v>
      </c>
      <c r="BF21">
        <f>'2012_2015 Int Confianca'!BD43</f>
        <v>3.4099999999999998E-2</v>
      </c>
      <c r="BG21">
        <f>'2012_2015 Int Confianca'!BE43</f>
        <v>3.4599999999999999E-2</v>
      </c>
      <c r="BH21">
        <f>'2012_2015 Int Confianca'!BF43</f>
        <v>3.44E-2</v>
      </c>
      <c r="BI21">
        <f>'2012_2015 Int Confianca'!BG43</f>
        <v>3.4000000000000002E-2</v>
      </c>
      <c r="BJ21">
        <f>'2012_2015 Int Confianca'!BH43</f>
        <v>3.4099999999999998E-2</v>
      </c>
      <c r="BK21">
        <f>'2012_2015 Int Confianca'!BI43</f>
        <v>3.4200000000000001E-2</v>
      </c>
      <c r="BL21">
        <f>'2012_2015 Int Confianca'!BJ43</f>
        <v>3.4500000000000003E-2</v>
      </c>
      <c r="BM21">
        <f>'2012_2015 Int Confianca'!BK43</f>
        <v>3.61E-2</v>
      </c>
      <c r="BN21">
        <f>'2012_2015 Int Confianca'!BL43</f>
        <v>3.7900000000000003E-2</v>
      </c>
      <c r="BO21">
        <f>'2012_2015 Int Confianca'!BM43</f>
        <v>3.95E-2</v>
      </c>
      <c r="BP21">
        <f>'2012_2015 Int Confianca'!BN43</f>
        <v>4.07E-2</v>
      </c>
      <c r="BQ21">
        <f>'2012_2015 Int Confianca'!BO43</f>
        <v>4.1599999999999998E-2</v>
      </c>
      <c r="BR21">
        <f>'2012_2015 Int Confianca'!BP43</f>
        <v>4.1399999999999999E-2</v>
      </c>
      <c r="BS21">
        <f>'2012_2015 Int Confianca'!BQ43</f>
        <v>4.1500000000000002E-2</v>
      </c>
      <c r="BT21">
        <f>'2012_2015 Int Confianca'!BR43</f>
        <v>4.1599999999999998E-2</v>
      </c>
      <c r="BU21">
        <f>'2012_2015 Int Confianca'!BS43</f>
        <v>4.2900000000000001E-2</v>
      </c>
      <c r="BV21">
        <f>'2012_2015 Int Confianca'!BT43</f>
        <v>4.5699999999999998E-2</v>
      </c>
      <c r="BW21">
        <f>'2012_2015 Int Confianca'!BU43</f>
        <v>4.8300000000000003E-2</v>
      </c>
      <c r="BX21">
        <f>'2012_2015 Int Confianca'!BV43</f>
        <v>4.9799999999999997E-2</v>
      </c>
      <c r="BY21">
        <f>'2012_2015 Int Confianca'!BW43</f>
        <v>5.1499999999999997E-2</v>
      </c>
      <c r="BZ21">
        <f>'2012_2015 Int Confianca'!BX43</f>
        <v>5.1200000000000002E-2</v>
      </c>
      <c r="CA21">
        <f>'2012_2015 Int Confianca'!BY43</f>
        <v>5.0900000000000001E-2</v>
      </c>
      <c r="CB21">
        <f>'2012_2015 Int Confianca'!BZ43</f>
        <v>5.0200000000000002E-2</v>
      </c>
      <c r="CC21">
        <f>'2012_2015 Int Confianca'!CA43</f>
        <v>5.2999999999999999E-2</v>
      </c>
      <c r="CD21">
        <f>'2012_2015 Int Confianca'!CB43</f>
        <v>5.6300000000000003E-2</v>
      </c>
      <c r="CE21">
        <f>'2012_2015 Int Confianca'!CC43</f>
        <v>5.9200000000000003E-2</v>
      </c>
      <c r="CF21">
        <f>'2012_2015 Int Confianca'!CD43</f>
        <v>6.1699999999999998E-2</v>
      </c>
      <c r="CG21">
        <f>'2012_2015 Int Confianca'!CE43</f>
        <v>5.8799999999999998E-2</v>
      </c>
      <c r="CH21">
        <f>'2012_2015 Int Confianca'!CF43</f>
        <v>5.45E-2</v>
      </c>
      <c r="CI21">
        <f>'2012_2015 Int Confianca'!CG43</f>
        <v>5.3100000000000001E-2</v>
      </c>
      <c r="CJ21">
        <f>'2012_2015 Int Confianca'!CH43</f>
        <v>5.6300000000000003E-2</v>
      </c>
      <c r="CK21">
        <f>'2012_2015 Int Confianca'!CI43</f>
        <v>7.0499999999999993E-2</v>
      </c>
      <c r="CL21">
        <f>'2012_2015 Int Confianca'!CJ43</f>
        <v>6.83E-2</v>
      </c>
      <c r="CM21">
        <f>'2012_2015 Int Confianca'!CK43</f>
        <v>6.4799999999999996E-2</v>
      </c>
      <c r="CN21">
        <f>'2012_2015 Int Confianca'!CL43</f>
        <v>6.7400000000000002E-2</v>
      </c>
      <c r="CO21">
        <f>'2012_2015 Int Confianca'!CM43</f>
        <v>6.6699999999999995E-2</v>
      </c>
      <c r="CP21">
        <f>'2012_2015 Int Confianca'!CN43</f>
        <v>6.1499999999999999E-2</v>
      </c>
      <c r="CQ21">
        <f>'2012_2015 Int Confianca'!CO43</f>
        <v>7.0699999999999999E-2</v>
      </c>
      <c r="CR21">
        <f>'2012_2015 Int Confianca'!CP43</f>
        <v>7.8100000000000003E-2</v>
      </c>
      <c r="CS21">
        <f>'2012_2015 Int Confianca'!CQ43</f>
        <v>6.6799999999999998E-2</v>
      </c>
      <c r="CT21">
        <f>'2012_2015 Int Confianca'!CR43</f>
        <v>7.7100000000000002E-2</v>
      </c>
      <c r="CU21">
        <f>'2012_2015 Int Confianca'!CS43</f>
        <v>5.9299999999999999E-2</v>
      </c>
      <c r="CV21">
        <f>'2012_2015 Int Confianca'!CT43</f>
        <v>6.8599999999999994E-2</v>
      </c>
      <c r="CW21">
        <f>'2012_2015 Int Confianca'!CU43</f>
        <v>6.5600000000000006E-2</v>
      </c>
      <c r="CX21">
        <f>'2012_2015 Int Confianca'!CV43</f>
        <v>5.7599999999999998E-2</v>
      </c>
    </row>
    <row r="22" spans="1:102" x14ac:dyDescent="0.2">
      <c r="A22" t="s">
        <v>5910</v>
      </c>
      <c r="B22" t="s">
        <v>218</v>
      </c>
      <c r="C22" t="s">
        <v>102</v>
      </c>
      <c r="D22">
        <f>'2012_2015 Int Confianca'!B44</f>
        <v>2.6599999999999999E-2</v>
      </c>
      <c r="E22">
        <f>'2012_2015 Int Confianca'!C44</f>
        <v>3.5700000000000003E-2</v>
      </c>
      <c r="F22">
        <f>'2012_2015 Int Confianca'!D44</f>
        <v>3.39E-2</v>
      </c>
      <c r="G22">
        <f>'2012_2015 Int Confianca'!E44</f>
        <v>3.2199999999999999E-2</v>
      </c>
      <c r="H22">
        <f>'2012_2015 Int Confianca'!F44</f>
        <v>3.0099999999999998E-2</v>
      </c>
      <c r="I22">
        <f>'2012_2015 Int Confianca'!G44</f>
        <v>3.2399999999999998E-2</v>
      </c>
      <c r="J22">
        <f>'2012_2015 Int Confianca'!H44</f>
        <v>3.1600000000000003E-2</v>
      </c>
      <c r="K22">
        <f>'2012_2015 Int Confianca'!I44</f>
        <v>2.9499999999999998E-2</v>
      </c>
      <c r="L22">
        <f>'2012_2015 Int Confianca'!J44</f>
        <v>3.04E-2</v>
      </c>
      <c r="M22">
        <f>'2012_2015 Int Confianca'!K44</f>
        <v>2.4400000000000002E-2</v>
      </c>
      <c r="N22">
        <f>'2012_2015 Int Confianca'!L44</f>
        <v>2.3900000000000001E-2</v>
      </c>
      <c r="O22">
        <f>'2012_2015 Int Confianca'!M44</f>
        <v>2.2700000000000001E-2</v>
      </c>
      <c r="P22">
        <f>'2012_2015 Int Confianca'!N44</f>
        <v>2.0899999999999998E-2</v>
      </c>
      <c r="Q22">
        <f>'2012_2015 Int Confianca'!O44</f>
        <v>1.95E-2</v>
      </c>
      <c r="R22">
        <f>'2012_2015 Int Confianca'!P44</f>
        <v>1.67E-2</v>
      </c>
      <c r="S22">
        <f>'2012_2015 Int Confianca'!Q44</f>
        <v>1.5299999999999999E-2</v>
      </c>
      <c r="T22">
        <f>'2012_2015 Int Confianca'!R44</f>
        <v>1.49E-2</v>
      </c>
      <c r="U22">
        <f>'2012_2015 Int Confianca'!S44</f>
        <v>1.49E-2</v>
      </c>
      <c r="V22">
        <f>'2012_2015 Int Confianca'!T44</f>
        <v>1.46E-2</v>
      </c>
      <c r="W22">
        <f>'2012_2015 Int Confianca'!U44</f>
        <v>1.47E-2</v>
      </c>
      <c r="X22">
        <f>'2012_2015 Int Confianca'!V44</f>
        <v>1.4800000000000001E-2</v>
      </c>
      <c r="Y22">
        <f>'2012_2015 Int Confianca'!W44</f>
        <v>1.5100000000000001E-2</v>
      </c>
      <c r="Z22">
        <f>'2012_2015 Int Confianca'!X44</f>
        <v>1.5299999999999999E-2</v>
      </c>
      <c r="AA22">
        <f>'2012_2015 Int Confianca'!Y44</f>
        <v>1.5699999999999999E-2</v>
      </c>
      <c r="AB22">
        <f>'2012_2015 Int Confianca'!Z44</f>
        <v>1.5900000000000001E-2</v>
      </c>
      <c r="AC22">
        <f>'2012_2015 Int Confianca'!AA44</f>
        <v>1.6E-2</v>
      </c>
      <c r="AD22">
        <f>'2012_2015 Int Confianca'!AB44</f>
        <v>1.6E-2</v>
      </c>
      <c r="AE22">
        <f>'2012_2015 Int Confianca'!AC44</f>
        <v>1.6299999999999999E-2</v>
      </c>
      <c r="AF22">
        <f>'2012_2015 Int Confianca'!AD44</f>
        <v>1.67E-2</v>
      </c>
      <c r="AG22">
        <f>'2012_2015 Int Confianca'!AE44</f>
        <v>1.7399999999999999E-2</v>
      </c>
      <c r="AH22">
        <f>'2012_2015 Int Confianca'!AF44</f>
        <v>1.8200000000000001E-2</v>
      </c>
      <c r="AI22">
        <f>'2012_2015 Int Confianca'!AG44</f>
        <v>1.9E-2</v>
      </c>
      <c r="AJ22">
        <f>'2012_2015 Int Confianca'!AH44</f>
        <v>1.9699999999999999E-2</v>
      </c>
      <c r="AK22">
        <f>'2012_2015 Int Confianca'!AI44</f>
        <v>2.07E-2</v>
      </c>
      <c r="AL22">
        <f>'2012_2015 Int Confianca'!AJ44</f>
        <v>2.1600000000000001E-2</v>
      </c>
      <c r="AM22">
        <f>'2012_2015 Int Confianca'!AK44</f>
        <v>2.2499999999999999E-2</v>
      </c>
      <c r="AN22">
        <f>'2012_2015 Int Confianca'!AL44</f>
        <v>2.3300000000000001E-2</v>
      </c>
      <c r="AO22">
        <f>'2012_2015 Int Confianca'!AM44</f>
        <v>2.47E-2</v>
      </c>
      <c r="AP22">
        <f>'2012_2015 Int Confianca'!AN44</f>
        <v>2.5600000000000001E-2</v>
      </c>
      <c r="AQ22">
        <f>'2012_2015 Int Confianca'!AO44</f>
        <v>2.6700000000000002E-2</v>
      </c>
      <c r="AR22">
        <f>'2012_2015 Int Confianca'!AP44</f>
        <v>2.75E-2</v>
      </c>
      <c r="AS22">
        <f>'2012_2015 Int Confianca'!AQ44</f>
        <v>2.8500000000000001E-2</v>
      </c>
      <c r="AT22">
        <f>'2012_2015 Int Confianca'!AR44</f>
        <v>2.9100000000000001E-2</v>
      </c>
      <c r="AU22">
        <f>'2012_2015 Int Confianca'!AS44</f>
        <v>2.9399999999999999E-2</v>
      </c>
      <c r="AV22">
        <f>'2012_2015 Int Confianca'!AT44</f>
        <v>2.9700000000000001E-2</v>
      </c>
      <c r="AW22">
        <f>'2012_2015 Int Confianca'!AU44</f>
        <v>2.9700000000000001E-2</v>
      </c>
      <c r="AX22">
        <f>'2012_2015 Int Confianca'!AV44</f>
        <v>0.03</v>
      </c>
      <c r="AY22">
        <f>'2012_2015 Int Confianca'!AW44</f>
        <v>3.09E-2</v>
      </c>
      <c r="AZ22">
        <f>'2012_2015 Int Confianca'!AX44</f>
        <v>3.1399999999999997E-2</v>
      </c>
      <c r="BA22">
        <f>'2012_2015 Int Confianca'!AY44</f>
        <v>3.2599999999999997E-2</v>
      </c>
      <c r="BB22">
        <f>'2012_2015 Int Confianca'!AZ44</f>
        <v>3.3599999999999998E-2</v>
      </c>
      <c r="BC22">
        <f>'2012_2015 Int Confianca'!BA44</f>
        <v>3.5799999999999998E-2</v>
      </c>
      <c r="BD22">
        <f>'2012_2015 Int Confianca'!BB44</f>
        <v>3.8100000000000002E-2</v>
      </c>
      <c r="BE22">
        <f>'2012_2015 Int Confianca'!BC44</f>
        <v>3.9800000000000002E-2</v>
      </c>
      <c r="BF22">
        <f>'2012_2015 Int Confianca'!BD44</f>
        <v>4.0800000000000003E-2</v>
      </c>
      <c r="BG22">
        <f>'2012_2015 Int Confianca'!BE44</f>
        <v>4.1500000000000002E-2</v>
      </c>
      <c r="BH22">
        <f>'2012_2015 Int Confianca'!BF44</f>
        <v>4.1200000000000001E-2</v>
      </c>
      <c r="BI22">
        <f>'2012_2015 Int Confianca'!BG44</f>
        <v>4.0800000000000003E-2</v>
      </c>
      <c r="BJ22">
        <f>'2012_2015 Int Confianca'!BH44</f>
        <v>4.0899999999999999E-2</v>
      </c>
      <c r="BK22">
        <f>'2012_2015 Int Confianca'!BI44</f>
        <v>4.1099999999999998E-2</v>
      </c>
      <c r="BL22">
        <f>'2012_2015 Int Confianca'!BJ44</f>
        <v>4.1500000000000002E-2</v>
      </c>
      <c r="BM22">
        <f>'2012_2015 Int Confianca'!BK44</f>
        <v>4.3400000000000001E-2</v>
      </c>
      <c r="BN22">
        <f>'2012_2015 Int Confianca'!BL44</f>
        <v>4.5699999999999998E-2</v>
      </c>
      <c r="BO22">
        <f>'2012_2015 Int Confianca'!BM44</f>
        <v>4.7600000000000003E-2</v>
      </c>
      <c r="BP22">
        <f>'2012_2015 Int Confianca'!BN44</f>
        <v>4.9099999999999998E-2</v>
      </c>
      <c r="BQ22">
        <f>'2012_2015 Int Confianca'!BO44</f>
        <v>5.0299999999999997E-2</v>
      </c>
      <c r="BR22">
        <f>'2012_2015 Int Confianca'!BP44</f>
        <v>5.0099999999999999E-2</v>
      </c>
      <c r="BS22">
        <f>'2012_2015 Int Confianca'!BQ44</f>
        <v>5.0200000000000002E-2</v>
      </c>
      <c r="BT22">
        <f>'2012_2015 Int Confianca'!BR44</f>
        <v>5.04E-2</v>
      </c>
      <c r="BU22">
        <f>'2012_2015 Int Confianca'!BS44</f>
        <v>5.1999999999999998E-2</v>
      </c>
      <c r="BV22">
        <f>'2012_2015 Int Confianca'!BT44</f>
        <v>5.5599999999999997E-2</v>
      </c>
      <c r="BW22">
        <f>'2012_2015 Int Confianca'!BU44</f>
        <v>5.8799999999999998E-2</v>
      </c>
      <c r="BX22">
        <f>'2012_2015 Int Confianca'!BV44</f>
        <v>6.0699999999999997E-2</v>
      </c>
      <c r="BY22">
        <f>'2012_2015 Int Confianca'!BW44</f>
        <v>6.2799999999999995E-2</v>
      </c>
      <c r="BZ22">
        <f>'2012_2015 Int Confianca'!BX44</f>
        <v>6.2600000000000003E-2</v>
      </c>
      <c r="CA22">
        <f>'2012_2015 Int Confianca'!BY44</f>
        <v>6.2199999999999998E-2</v>
      </c>
      <c r="CB22">
        <f>'2012_2015 Int Confianca'!BZ44</f>
        <v>6.1400000000000003E-2</v>
      </c>
      <c r="CC22">
        <f>'2012_2015 Int Confianca'!CA44</f>
        <v>6.4899999999999999E-2</v>
      </c>
      <c r="CD22">
        <f>'2012_2015 Int Confianca'!CB44</f>
        <v>6.9099999999999995E-2</v>
      </c>
      <c r="CE22">
        <f>'2012_2015 Int Confianca'!CC44</f>
        <v>7.2800000000000004E-2</v>
      </c>
      <c r="CF22">
        <f>'2012_2015 Int Confianca'!CD44</f>
        <v>7.5899999999999995E-2</v>
      </c>
      <c r="CG22">
        <f>'2012_2015 Int Confianca'!CE44</f>
        <v>7.2499999999999995E-2</v>
      </c>
      <c r="CH22">
        <f>'2012_2015 Int Confianca'!CF44</f>
        <v>6.7199999999999996E-2</v>
      </c>
      <c r="CI22">
        <f>'2012_2015 Int Confianca'!CG44</f>
        <v>6.5500000000000003E-2</v>
      </c>
      <c r="CJ22">
        <f>'2012_2015 Int Confianca'!CH44</f>
        <v>6.9599999999999995E-2</v>
      </c>
      <c r="CK22">
        <f>'2012_2015 Int Confianca'!CI44</f>
        <v>8.7300000000000003E-2</v>
      </c>
      <c r="CL22">
        <f>'2012_2015 Int Confianca'!CJ44</f>
        <v>8.4699999999999998E-2</v>
      </c>
      <c r="CM22">
        <f>'2012_2015 Int Confianca'!CK44</f>
        <v>8.0399999999999999E-2</v>
      </c>
      <c r="CN22">
        <f>'2012_2015 Int Confianca'!CL44</f>
        <v>8.3900000000000002E-2</v>
      </c>
      <c r="CO22">
        <f>'2012_2015 Int Confianca'!CM44</f>
        <v>8.3000000000000004E-2</v>
      </c>
      <c r="CP22">
        <f>'2012_2015 Int Confianca'!CN44</f>
        <v>7.6600000000000001E-2</v>
      </c>
      <c r="CQ22">
        <f>'2012_2015 Int Confianca'!CO44</f>
        <v>8.8300000000000003E-2</v>
      </c>
      <c r="CR22">
        <f>'2012_2015 Int Confianca'!CP44</f>
        <v>9.7699999999999995E-2</v>
      </c>
      <c r="CS22">
        <f>'2012_2015 Int Confianca'!CQ44</f>
        <v>8.3799999999999999E-2</v>
      </c>
      <c r="CT22">
        <f>'2012_2015 Int Confianca'!CR44</f>
        <v>9.7000000000000003E-2</v>
      </c>
      <c r="CU22">
        <f>'2012_2015 Int Confianca'!CS44</f>
        <v>7.4800000000000005E-2</v>
      </c>
      <c r="CV22">
        <f>'2012_2015 Int Confianca'!CT44</f>
        <v>8.6999999999999994E-2</v>
      </c>
      <c r="CW22">
        <f>'2012_2015 Int Confianca'!CU44</f>
        <v>8.3900000000000002E-2</v>
      </c>
      <c r="CX22">
        <f>'2012_2015 Int Confianca'!CV44</f>
        <v>7.5300000000000006E-2</v>
      </c>
    </row>
    <row r="23" spans="1:102" x14ac:dyDescent="0.2">
      <c r="A23" t="s">
        <v>5911</v>
      </c>
      <c r="B23" t="s">
        <v>218</v>
      </c>
      <c r="C23" t="s">
        <v>102</v>
      </c>
      <c r="D23">
        <f>'2012_2015 Int Confianca'!B45</f>
        <v>1.6000000000000001E-3</v>
      </c>
      <c r="E23">
        <f>'2012_2015 Int Confianca'!C45</f>
        <v>4.4999999999999997E-3</v>
      </c>
      <c r="F23">
        <f>'2012_2015 Int Confianca'!D45</f>
        <v>5.8999999999999999E-3</v>
      </c>
      <c r="G23">
        <f>'2012_2015 Int Confianca'!E45</f>
        <v>6.1999999999999998E-3</v>
      </c>
      <c r="H23">
        <f>'2012_2015 Int Confianca'!F45</f>
        <v>6.3E-3</v>
      </c>
      <c r="I23">
        <f>'2012_2015 Int Confianca'!G45</f>
        <v>7.1999999999999998E-3</v>
      </c>
      <c r="J23">
        <f>'2012_2015 Int Confianca'!H45</f>
        <v>7.0000000000000001E-3</v>
      </c>
      <c r="K23">
        <f>'2012_2015 Int Confianca'!I45</f>
        <v>6.6E-3</v>
      </c>
      <c r="L23">
        <f>'2012_2015 Int Confianca'!J45</f>
        <v>6.7999999999999996E-3</v>
      </c>
      <c r="M23">
        <f>'2012_2015 Int Confianca'!K45</f>
        <v>5.5999999999999999E-3</v>
      </c>
      <c r="N23">
        <f>'2012_2015 Int Confianca'!L45</f>
        <v>5.5999999999999999E-3</v>
      </c>
      <c r="O23">
        <f>'2012_2015 Int Confianca'!M45</f>
        <v>5.3E-3</v>
      </c>
      <c r="P23">
        <f>'2012_2015 Int Confianca'!N45</f>
        <v>5.0000000000000001E-3</v>
      </c>
      <c r="Q23">
        <f>'2012_2015 Int Confianca'!O45</f>
        <v>4.7000000000000002E-3</v>
      </c>
      <c r="R23">
        <f>'2012_2015 Int Confianca'!P45</f>
        <v>4.1000000000000003E-3</v>
      </c>
      <c r="S23">
        <f>'2012_2015 Int Confianca'!Q45</f>
        <v>3.8E-3</v>
      </c>
      <c r="T23">
        <f>'2012_2015 Int Confianca'!R45</f>
        <v>3.8E-3</v>
      </c>
      <c r="U23">
        <f>'2012_2015 Int Confianca'!S45</f>
        <v>3.8E-3</v>
      </c>
      <c r="V23">
        <f>'2012_2015 Int Confianca'!T45</f>
        <v>3.7000000000000002E-3</v>
      </c>
      <c r="W23">
        <f>'2012_2015 Int Confianca'!U45</f>
        <v>3.7000000000000002E-3</v>
      </c>
      <c r="X23">
        <f>'2012_2015 Int Confianca'!V45</f>
        <v>3.7000000000000002E-3</v>
      </c>
      <c r="Y23">
        <f>'2012_2015 Int Confianca'!W45</f>
        <v>3.8E-3</v>
      </c>
      <c r="Z23">
        <f>'2012_2015 Int Confianca'!X45</f>
        <v>3.8999999999999998E-3</v>
      </c>
      <c r="AA23">
        <f>'2012_2015 Int Confianca'!Y45</f>
        <v>3.8999999999999998E-3</v>
      </c>
      <c r="AB23">
        <f>'2012_2015 Int Confianca'!Z45</f>
        <v>4.1000000000000003E-3</v>
      </c>
      <c r="AC23">
        <f>'2012_2015 Int Confianca'!AA45</f>
        <v>4.1000000000000003E-3</v>
      </c>
      <c r="AD23">
        <f>'2012_2015 Int Confianca'!AB45</f>
        <v>4.1000000000000003E-3</v>
      </c>
      <c r="AE23">
        <f>'2012_2015 Int Confianca'!AC45</f>
        <v>4.1999999999999997E-3</v>
      </c>
      <c r="AF23">
        <f>'2012_2015 Int Confianca'!AD45</f>
        <v>4.3E-3</v>
      </c>
      <c r="AG23">
        <f>'2012_2015 Int Confianca'!AE45</f>
        <v>4.4000000000000003E-3</v>
      </c>
      <c r="AH23">
        <f>'2012_2015 Int Confianca'!AF45</f>
        <v>4.5999999999999999E-3</v>
      </c>
      <c r="AI23">
        <f>'2012_2015 Int Confianca'!AG45</f>
        <v>4.7000000000000002E-3</v>
      </c>
      <c r="AJ23">
        <f>'2012_2015 Int Confianca'!AH45</f>
        <v>4.8999999999999998E-3</v>
      </c>
      <c r="AK23">
        <f>'2012_2015 Int Confianca'!AI45</f>
        <v>5.1000000000000004E-3</v>
      </c>
      <c r="AL23">
        <f>'2012_2015 Int Confianca'!AJ45</f>
        <v>5.3E-3</v>
      </c>
      <c r="AM23">
        <f>'2012_2015 Int Confianca'!AK45</f>
        <v>5.4999999999999997E-3</v>
      </c>
      <c r="AN23">
        <f>'2012_2015 Int Confianca'!AL45</f>
        <v>5.7000000000000002E-3</v>
      </c>
      <c r="AO23">
        <f>'2012_2015 Int Confianca'!AM45</f>
        <v>6.0000000000000001E-3</v>
      </c>
      <c r="AP23">
        <f>'2012_2015 Int Confianca'!AN45</f>
        <v>6.1999999999999998E-3</v>
      </c>
      <c r="AQ23">
        <f>'2012_2015 Int Confianca'!AO45</f>
        <v>6.4999999999999997E-3</v>
      </c>
      <c r="AR23">
        <f>'2012_2015 Int Confianca'!AP45</f>
        <v>6.7000000000000002E-3</v>
      </c>
      <c r="AS23">
        <f>'2012_2015 Int Confianca'!AQ45</f>
        <v>7.0000000000000001E-3</v>
      </c>
      <c r="AT23">
        <f>'2012_2015 Int Confianca'!AR45</f>
        <v>7.1000000000000004E-3</v>
      </c>
      <c r="AU23">
        <f>'2012_2015 Int Confianca'!AS45</f>
        <v>7.1999999999999998E-3</v>
      </c>
      <c r="AV23">
        <f>'2012_2015 Int Confianca'!AT45</f>
        <v>7.1999999999999998E-3</v>
      </c>
      <c r="AW23">
        <f>'2012_2015 Int Confianca'!AU45</f>
        <v>7.1999999999999998E-3</v>
      </c>
      <c r="AX23">
        <f>'2012_2015 Int Confianca'!AV45</f>
        <v>7.1999999999999998E-3</v>
      </c>
      <c r="AY23">
        <f>'2012_2015 Int Confianca'!AW45</f>
        <v>7.4000000000000003E-3</v>
      </c>
      <c r="AZ23">
        <f>'2012_2015 Int Confianca'!AX45</f>
        <v>7.4999999999999997E-3</v>
      </c>
      <c r="BA23">
        <f>'2012_2015 Int Confianca'!AY45</f>
        <v>7.7999999999999996E-3</v>
      </c>
      <c r="BB23">
        <f>'2012_2015 Int Confianca'!AZ45</f>
        <v>8.0000000000000002E-3</v>
      </c>
      <c r="BC23">
        <f>'2012_2015 Int Confianca'!BA45</f>
        <v>8.3999999999999995E-3</v>
      </c>
      <c r="BD23">
        <f>'2012_2015 Int Confianca'!BB45</f>
        <v>8.8999999999999999E-3</v>
      </c>
      <c r="BE23">
        <f>'2012_2015 Int Confianca'!BC45</f>
        <v>9.2999999999999992E-3</v>
      </c>
      <c r="BF23">
        <f>'2012_2015 Int Confianca'!BD45</f>
        <v>9.4999999999999998E-3</v>
      </c>
      <c r="BG23">
        <f>'2012_2015 Int Confianca'!BE45</f>
        <v>9.5999999999999992E-3</v>
      </c>
      <c r="BH23">
        <f>'2012_2015 Int Confianca'!BF45</f>
        <v>9.4999999999999998E-3</v>
      </c>
      <c r="BI23">
        <f>'2012_2015 Int Confianca'!BG45</f>
        <v>9.2999999999999992E-3</v>
      </c>
      <c r="BJ23">
        <f>'2012_2015 Int Confianca'!BH45</f>
        <v>9.2999999999999992E-3</v>
      </c>
      <c r="BK23">
        <f>'2012_2015 Int Confianca'!BI45</f>
        <v>9.2999999999999992E-3</v>
      </c>
      <c r="BL23">
        <f>'2012_2015 Int Confianca'!BJ45</f>
        <v>9.2999999999999992E-3</v>
      </c>
      <c r="BM23">
        <f>'2012_2015 Int Confianca'!BK45</f>
        <v>9.5999999999999992E-3</v>
      </c>
      <c r="BN23">
        <f>'2012_2015 Int Confianca'!BL45</f>
        <v>0.01</v>
      </c>
      <c r="BO23">
        <f>'2012_2015 Int Confianca'!BM45</f>
        <v>1.04E-2</v>
      </c>
      <c r="BP23">
        <f>'2012_2015 Int Confianca'!BN45</f>
        <v>1.06E-2</v>
      </c>
      <c r="BQ23">
        <f>'2012_2015 Int Confianca'!BO45</f>
        <v>1.0699999999999999E-2</v>
      </c>
      <c r="BR23">
        <f>'2012_2015 Int Confianca'!BP45</f>
        <v>1.06E-2</v>
      </c>
      <c r="BS23">
        <f>'2012_2015 Int Confianca'!BQ45</f>
        <v>1.06E-2</v>
      </c>
      <c r="BT23">
        <f>'2012_2015 Int Confianca'!BR45</f>
        <v>1.06E-2</v>
      </c>
      <c r="BU23">
        <f>'2012_2015 Int Confianca'!BS45</f>
        <v>1.0800000000000001E-2</v>
      </c>
      <c r="BV23">
        <f>'2012_2015 Int Confianca'!BT45</f>
        <v>1.15E-2</v>
      </c>
      <c r="BW23">
        <f>'2012_2015 Int Confianca'!BU45</f>
        <v>1.2E-2</v>
      </c>
      <c r="BX23">
        <f>'2012_2015 Int Confianca'!BV45</f>
        <v>1.23E-2</v>
      </c>
      <c r="BY23">
        <f>'2012_2015 Int Confianca'!BW45</f>
        <v>1.26E-2</v>
      </c>
      <c r="BZ23">
        <f>'2012_2015 Int Confianca'!BX45</f>
        <v>1.24E-2</v>
      </c>
      <c r="CA23">
        <f>'2012_2015 Int Confianca'!BY45</f>
        <v>1.23E-2</v>
      </c>
      <c r="CB23">
        <f>'2012_2015 Int Confianca'!BZ45</f>
        <v>1.21E-2</v>
      </c>
      <c r="CC23">
        <f>'2012_2015 Int Confianca'!CA45</f>
        <v>1.2699999999999999E-2</v>
      </c>
      <c r="CD23">
        <f>'2012_2015 Int Confianca'!CB45</f>
        <v>1.34E-2</v>
      </c>
      <c r="CE23">
        <f>'2012_2015 Int Confianca'!CC45</f>
        <v>1.38E-2</v>
      </c>
      <c r="CF23">
        <f>'2012_2015 Int Confianca'!CD45</f>
        <v>1.44E-2</v>
      </c>
      <c r="CG23">
        <f>'2012_2015 Int Confianca'!CE45</f>
        <v>1.37E-2</v>
      </c>
      <c r="CH23">
        <f>'2012_2015 Int Confianca'!CF45</f>
        <v>1.2699999999999999E-2</v>
      </c>
      <c r="CI23">
        <f>'2012_2015 Int Confianca'!CG45</f>
        <v>1.2500000000000001E-2</v>
      </c>
      <c r="CJ23">
        <f>'2012_2015 Int Confianca'!CH45</f>
        <v>1.32E-2</v>
      </c>
      <c r="CK23">
        <f>'2012_2015 Int Confianca'!CI45</f>
        <v>1.6500000000000001E-2</v>
      </c>
      <c r="CL23">
        <f>'2012_2015 Int Confianca'!CJ45</f>
        <v>1.61E-2</v>
      </c>
      <c r="CM23">
        <f>'2012_2015 Int Confianca'!CK45</f>
        <v>1.52E-2</v>
      </c>
      <c r="CN23">
        <f>'2012_2015 Int Confianca'!CL45</f>
        <v>1.5800000000000002E-2</v>
      </c>
      <c r="CO23">
        <f>'2012_2015 Int Confianca'!CM45</f>
        <v>1.5599999999999999E-2</v>
      </c>
      <c r="CP23">
        <f>'2012_2015 Int Confianca'!CN45</f>
        <v>1.46E-2</v>
      </c>
      <c r="CQ23">
        <f>'2012_2015 Int Confianca'!CO45</f>
        <v>1.7000000000000001E-2</v>
      </c>
      <c r="CR23">
        <f>'2012_2015 Int Confianca'!CP45</f>
        <v>1.8800000000000001E-2</v>
      </c>
      <c r="CS23">
        <f>'2012_2015 Int Confianca'!CQ45</f>
        <v>1.6E-2</v>
      </c>
      <c r="CT23">
        <f>'2012_2015 Int Confianca'!CR45</f>
        <v>1.89E-2</v>
      </c>
      <c r="CU23">
        <f>'2012_2015 Int Confianca'!CS45</f>
        <v>1.4500000000000001E-2</v>
      </c>
      <c r="CV23">
        <f>'2012_2015 Int Confianca'!CT45</f>
        <v>1.7399999999999999E-2</v>
      </c>
      <c r="CW23">
        <f>'2012_2015 Int Confianca'!CU45</f>
        <v>1.7600000000000001E-2</v>
      </c>
      <c r="CX23">
        <f>'2012_2015 Int Confianca'!CV45</f>
        <v>1.6299999999999999E-2</v>
      </c>
    </row>
    <row r="24" spans="1:102" x14ac:dyDescent="0.2">
      <c r="A24" t="s">
        <v>5912</v>
      </c>
      <c r="B24" t="s">
        <v>218</v>
      </c>
      <c r="C24" t="s">
        <v>102</v>
      </c>
      <c r="D24">
        <f>'2012_2015 Int Confianca'!B46</f>
        <v>4.7999999999999996E-3</v>
      </c>
      <c r="E24">
        <f>'2012_2015 Int Confianca'!C46</f>
        <v>7.9000000000000008E-3</v>
      </c>
      <c r="F24">
        <f>'2012_2015 Int Confianca'!D46</f>
        <v>9.1999999999999998E-3</v>
      </c>
      <c r="G24">
        <f>'2012_2015 Int Confianca'!E46</f>
        <v>9.4000000000000004E-3</v>
      </c>
      <c r="H24">
        <f>'2012_2015 Int Confianca'!F46</f>
        <v>9.1999999999999998E-3</v>
      </c>
      <c r="I24">
        <f>'2012_2015 Int Confianca'!G46</f>
        <v>1.03E-2</v>
      </c>
      <c r="J24">
        <f>'2012_2015 Int Confianca'!H46</f>
        <v>9.9000000000000008E-3</v>
      </c>
      <c r="K24">
        <f>'2012_2015 Int Confianca'!I46</f>
        <v>9.4000000000000004E-3</v>
      </c>
      <c r="L24">
        <f>'2012_2015 Int Confianca'!J46</f>
        <v>9.7000000000000003E-3</v>
      </c>
      <c r="M24">
        <f>'2012_2015 Int Confianca'!K46</f>
        <v>7.9000000000000008E-3</v>
      </c>
      <c r="N24">
        <f>'2012_2015 Int Confianca'!L46</f>
        <v>7.7999999999999996E-3</v>
      </c>
      <c r="O24">
        <f>'2012_2015 Int Confianca'!M46</f>
        <v>7.4000000000000003E-3</v>
      </c>
      <c r="P24">
        <f>'2012_2015 Int Confianca'!N46</f>
        <v>6.8999999999999999E-3</v>
      </c>
      <c r="Q24">
        <f>'2012_2015 Int Confianca'!O46</f>
        <v>6.4999999999999997E-3</v>
      </c>
      <c r="R24">
        <f>'2012_2015 Int Confianca'!P46</f>
        <v>5.5999999999999999E-3</v>
      </c>
      <c r="S24">
        <f>'2012_2015 Int Confianca'!Q46</f>
        <v>5.3E-3</v>
      </c>
      <c r="T24">
        <f>'2012_2015 Int Confianca'!R46</f>
        <v>5.1999999999999998E-3</v>
      </c>
      <c r="U24">
        <f>'2012_2015 Int Confianca'!S46</f>
        <v>5.1000000000000004E-3</v>
      </c>
      <c r="V24">
        <f>'2012_2015 Int Confianca'!T46</f>
        <v>5.1000000000000004E-3</v>
      </c>
      <c r="W24">
        <f>'2012_2015 Int Confianca'!U46</f>
        <v>5.1000000000000004E-3</v>
      </c>
      <c r="X24">
        <f>'2012_2015 Int Confianca'!V46</f>
        <v>5.1000000000000004E-3</v>
      </c>
      <c r="Y24">
        <f>'2012_2015 Int Confianca'!W46</f>
        <v>5.1999999999999998E-3</v>
      </c>
      <c r="Z24">
        <f>'2012_2015 Int Confianca'!X46</f>
        <v>5.3E-3</v>
      </c>
      <c r="AA24">
        <f>'2012_2015 Int Confianca'!Y46</f>
        <v>5.4000000000000003E-3</v>
      </c>
      <c r="AB24">
        <f>'2012_2015 Int Confianca'!Z46</f>
        <v>5.4999999999999997E-3</v>
      </c>
      <c r="AC24">
        <f>'2012_2015 Int Confianca'!AA46</f>
        <v>5.4999999999999997E-3</v>
      </c>
      <c r="AD24">
        <f>'2012_2015 Int Confianca'!AB46</f>
        <v>5.5999999999999999E-3</v>
      </c>
      <c r="AE24">
        <f>'2012_2015 Int Confianca'!AC46</f>
        <v>5.7000000000000002E-3</v>
      </c>
      <c r="AF24">
        <f>'2012_2015 Int Confianca'!AD46</f>
        <v>5.7999999999999996E-3</v>
      </c>
      <c r="AG24">
        <f>'2012_2015 Int Confianca'!AE46</f>
        <v>6.0000000000000001E-3</v>
      </c>
      <c r="AH24">
        <f>'2012_2015 Int Confianca'!AF46</f>
        <v>6.1999999999999998E-3</v>
      </c>
      <c r="AI24">
        <f>'2012_2015 Int Confianca'!AG46</f>
        <v>6.4000000000000003E-3</v>
      </c>
      <c r="AJ24">
        <f>'2012_2015 Int Confianca'!AH46</f>
        <v>6.6E-3</v>
      </c>
      <c r="AK24">
        <f>'2012_2015 Int Confianca'!AI46</f>
        <v>7.0000000000000001E-3</v>
      </c>
      <c r="AL24">
        <f>'2012_2015 Int Confianca'!AJ46</f>
        <v>7.1999999999999998E-3</v>
      </c>
      <c r="AM24">
        <f>'2012_2015 Int Confianca'!AK46</f>
        <v>7.4000000000000003E-3</v>
      </c>
      <c r="AN24">
        <f>'2012_2015 Int Confianca'!AL46</f>
        <v>7.7000000000000002E-3</v>
      </c>
      <c r="AO24">
        <f>'2012_2015 Int Confianca'!AM46</f>
        <v>8.0999999999999996E-3</v>
      </c>
      <c r="AP24">
        <f>'2012_2015 Int Confianca'!AN46</f>
        <v>8.3999999999999995E-3</v>
      </c>
      <c r="AQ24">
        <f>'2012_2015 Int Confianca'!AO46</f>
        <v>8.8000000000000005E-3</v>
      </c>
      <c r="AR24">
        <f>'2012_2015 Int Confianca'!AP46</f>
        <v>8.9999999999999993E-3</v>
      </c>
      <c r="AS24">
        <f>'2012_2015 Int Confianca'!AQ46</f>
        <v>9.4000000000000004E-3</v>
      </c>
      <c r="AT24">
        <f>'2012_2015 Int Confianca'!AR46</f>
        <v>9.5999999999999992E-3</v>
      </c>
      <c r="AU24">
        <f>'2012_2015 Int Confianca'!AS46</f>
        <v>9.7000000000000003E-3</v>
      </c>
      <c r="AV24">
        <f>'2012_2015 Int Confianca'!AT46</f>
        <v>9.7000000000000003E-3</v>
      </c>
      <c r="AW24">
        <f>'2012_2015 Int Confianca'!AU46</f>
        <v>9.7000000000000003E-3</v>
      </c>
      <c r="AX24">
        <f>'2012_2015 Int Confianca'!AV46</f>
        <v>9.7000000000000003E-3</v>
      </c>
      <c r="AY24">
        <f>'2012_2015 Int Confianca'!AW46</f>
        <v>0.01</v>
      </c>
      <c r="AZ24">
        <f>'2012_2015 Int Confianca'!AX46</f>
        <v>1.01E-2</v>
      </c>
      <c r="BA24">
        <f>'2012_2015 Int Confianca'!AY46</f>
        <v>1.0500000000000001E-2</v>
      </c>
      <c r="BB24">
        <f>'2012_2015 Int Confianca'!AZ46</f>
        <v>1.0699999999999999E-2</v>
      </c>
      <c r="BC24">
        <f>'2012_2015 Int Confianca'!BA46</f>
        <v>1.1299999999999999E-2</v>
      </c>
      <c r="BD24">
        <f>'2012_2015 Int Confianca'!BB46</f>
        <v>1.2E-2</v>
      </c>
      <c r="BE24">
        <f>'2012_2015 Int Confianca'!BC46</f>
        <v>1.24E-2</v>
      </c>
      <c r="BF24">
        <f>'2012_2015 Int Confianca'!BD46</f>
        <v>1.2699999999999999E-2</v>
      </c>
      <c r="BG24">
        <f>'2012_2015 Int Confianca'!BE46</f>
        <v>1.2800000000000001E-2</v>
      </c>
      <c r="BH24">
        <f>'2012_2015 Int Confianca'!BF46</f>
        <v>1.2699999999999999E-2</v>
      </c>
      <c r="BI24">
        <f>'2012_2015 Int Confianca'!BG46</f>
        <v>1.2500000000000001E-2</v>
      </c>
      <c r="BJ24">
        <f>'2012_2015 Int Confianca'!BH46</f>
        <v>1.2500000000000001E-2</v>
      </c>
      <c r="BK24">
        <f>'2012_2015 Int Confianca'!BI46</f>
        <v>1.2500000000000001E-2</v>
      </c>
      <c r="BL24">
        <f>'2012_2015 Int Confianca'!BJ46</f>
        <v>1.2500000000000001E-2</v>
      </c>
      <c r="BM24">
        <f>'2012_2015 Int Confianca'!BK46</f>
        <v>1.2800000000000001E-2</v>
      </c>
      <c r="BN24">
        <f>'2012_2015 Int Confianca'!BL46</f>
        <v>1.34E-2</v>
      </c>
      <c r="BO24">
        <f>'2012_2015 Int Confianca'!BM46</f>
        <v>1.3899999999999999E-2</v>
      </c>
      <c r="BP24">
        <f>'2012_2015 Int Confianca'!BN46</f>
        <v>1.43E-2</v>
      </c>
      <c r="BQ24">
        <f>'2012_2015 Int Confianca'!BO46</f>
        <v>1.44E-2</v>
      </c>
      <c r="BR24">
        <f>'2012_2015 Int Confianca'!BP46</f>
        <v>1.4200000000000001E-2</v>
      </c>
      <c r="BS24">
        <f>'2012_2015 Int Confianca'!BQ46</f>
        <v>1.4200000000000001E-2</v>
      </c>
      <c r="BT24">
        <f>'2012_2015 Int Confianca'!BR46</f>
        <v>1.43E-2</v>
      </c>
      <c r="BU24">
        <f>'2012_2015 Int Confianca'!BS46</f>
        <v>1.4500000000000001E-2</v>
      </c>
      <c r="BV24">
        <f>'2012_2015 Int Confianca'!BT46</f>
        <v>1.54E-2</v>
      </c>
      <c r="BW24">
        <f>'2012_2015 Int Confianca'!BU46</f>
        <v>1.61E-2</v>
      </c>
      <c r="BX24">
        <f>'2012_2015 Int Confianca'!BV46</f>
        <v>1.66E-2</v>
      </c>
      <c r="BY24">
        <f>'2012_2015 Int Confianca'!BW46</f>
        <v>1.7000000000000001E-2</v>
      </c>
      <c r="BZ24">
        <f>'2012_2015 Int Confianca'!BX46</f>
        <v>1.67E-2</v>
      </c>
      <c r="CA24">
        <f>'2012_2015 Int Confianca'!BY46</f>
        <v>1.6500000000000001E-2</v>
      </c>
      <c r="CB24">
        <f>'2012_2015 Int Confianca'!BZ46</f>
        <v>1.6199999999999999E-2</v>
      </c>
      <c r="CC24">
        <f>'2012_2015 Int Confianca'!CA46</f>
        <v>1.7000000000000001E-2</v>
      </c>
      <c r="CD24">
        <f>'2012_2015 Int Confianca'!CB46</f>
        <v>1.7999999999999999E-2</v>
      </c>
      <c r="CE24">
        <f>'2012_2015 Int Confianca'!CC46</f>
        <v>1.8599999999999998E-2</v>
      </c>
      <c r="CF24">
        <f>'2012_2015 Int Confianca'!CD46</f>
        <v>1.9400000000000001E-2</v>
      </c>
      <c r="CG24">
        <f>'2012_2015 Int Confianca'!CE46</f>
        <v>1.84E-2</v>
      </c>
      <c r="CH24">
        <f>'2012_2015 Int Confianca'!CF46</f>
        <v>1.7100000000000001E-2</v>
      </c>
      <c r="CI24">
        <f>'2012_2015 Int Confianca'!CG46</f>
        <v>1.6799999999999999E-2</v>
      </c>
      <c r="CJ24">
        <f>'2012_2015 Int Confianca'!CH46</f>
        <v>1.78E-2</v>
      </c>
      <c r="CK24">
        <f>'2012_2015 Int Confianca'!CI46</f>
        <v>2.2200000000000001E-2</v>
      </c>
      <c r="CL24">
        <f>'2012_2015 Int Confianca'!CJ46</f>
        <v>2.1600000000000001E-2</v>
      </c>
      <c r="CM24">
        <f>'2012_2015 Int Confianca'!CK46</f>
        <v>2.0400000000000001E-2</v>
      </c>
      <c r="CN24">
        <f>'2012_2015 Int Confianca'!CL46</f>
        <v>2.1299999999999999E-2</v>
      </c>
      <c r="CO24">
        <f>'2012_2015 Int Confianca'!CM46</f>
        <v>2.0899999999999998E-2</v>
      </c>
      <c r="CP24">
        <f>'2012_2015 Int Confianca'!CN46</f>
        <v>1.9699999999999999E-2</v>
      </c>
      <c r="CQ24">
        <f>'2012_2015 Int Confianca'!CO46</f>
        <v>2.29E-2</v>
      </c>
      <c r="CR24">
        <f>'2012_2015 Int Confianca'!CP46</f>
        <v>2.53E-2</v>
      </c>
      <c r="CS24">
        <f>'2012_2015 Int Confianca'!CQ46</f>
        <v>2.1700000000000001E-2</v>
      </c>
      <c r="CT24">
        <f>'2012_2015 Int Confianca'!CR46</f>
        <v>2.5600000000000001E-2</v>
      </c>
      <c r="CU24">
        <f>'2012_2015 Int Confianca'!CS46</f>
        <v>1.9699999999999999E-2</v>
      </c>
      <c r="CV24">
        <f>'2012_2015 Int Confianca'!CT46</f>
        <v>2.3699999999999999E-2</v>
      </c>
      <c r="CW24">
        <f>'2012_2015 Int Confianca'!CU46</f>
        <v>2.4199999999999999E-2</v>
      </c>
      <c r="CX24">
        <f>'2012_2015 Int Confianca'!CV46</f>
        <v>2.3E-2</v>
      </c>
    </row>
    <row r="25" spans="1:102" x14ac:dyDescent="0.2">
      <c r="A25" t="s">
        <v>5913</v>
      </c>
      <c r="B25" t="s">
        <v>218</v>
      </c>
      <c r="C25" t="s">
        <v>102</v>
      </c>
      <c r="D25">
        <f>'2012_2015 Int Confianca'!B47</f>
        <v>-3.8E-3</v>
      </c>
      <c r="E25">
        <f>'2012_2015 Int Confianca'!C47</f>
        <v>-4.5999999999999999E-3</v>
      </c>
      <c r="F25">
        <f>'2012_2015 Int Confianca'!D47</f>
        <v>-4.1999999999999997E-3</v>
      </c>
      <c r="G25">
        <f>'2012_2015 Int Confianca'!E47</f>
        <v>-3.7000000000000002E-3</v>
      </c>
      <c r="H25">
        <f>'2012_2015 Int Confianca'!F47</f>
        <v>-3.3999999999999998E-3</v>
      </c>
      <c r="I25">
        <f>'2012_2015 Int Confianca'!G47</f>
        <v>-3.3999999999999998E-3</v>
      </c>
      <c r="J25">
        <f>'2012_2015 Int Confianca'!H47</f>
        <v>-3.0000000000000001E-3</v>
      </c>
      <c r="K25">
        <f>'2012_2015 Int Confianca'!I47</f>
        <v>-2.5999999999999999E-3</v>
      </c>
      <c r="L25">
        <f>'2012_2015 Int Confianca'!J47</f>
        <v>-2.5000000000000001E-3</v>
      </c>
      <c r="M25">
        <f>'2012_2015 Int Confianca'!K47</f>
        <v>-1.9E-3</v>
      </c>
      <c r="N25">
        <f>'2012_2015 Int Confianca'!L47</f>
        <v>-1.8E-3</v>
      </c>
      <c r="O25">
        <f>'2012_2015 Int Confianca'!M47</f>
        <v>-1.6000000000000001E-3</v>
      </c>
      <c r="P25">
        <f>'2012_2015 Int Confianca'!N47</f>
        <v>-1.4E-3</v>
      </c>
      <c r="Q25">
        <f>'2012_2015 Int Confianca'!O47</f>
        <v>-1.1999999999999999E-3</v>
      </c>
      <c r="R25">
        <f>'2012_2015 Int Confianca'!P47</f>
        <v>-1E-3</v>
      </c>
      <c r="S25">
        <f>'2012_2015 Int Confianca'!Q47</f>
        <v>-8.9999999999999998E-4</v>
      </c>
      <c r="T25">
        <f>'2012_2015 Int Confianca'!R47</f>
        <v>-8.9999999999999998E-4</v>
      </c>
      <c r="U25">
        <f>'2012_2015 Int Confianca'!S47</f>
        <v>-8.9999999999999998E-4</v>
      </c>
      <c r="V25">
        <f>'2012_2015 Int Confianca'!T47</f>
        <v>-8.9999999999999998E-4</v>
      </c>
      <c r="W25">
        <f>'2012_2015 Int Confianca'!U47</f>
        <v>-8.9999999999999998E-4</v>
      </c>
      <c r="X25">
        <f>'2012_2015 Int Confianca'!V47</f>
        <v>-8.9999999999999998E-4</v>
      </c>
      <c r="Y25">
        <f>'2012_2015 Int Confianca'!W47</f>
        <v>-1E-3</v>
      </c>
      <c r="Z25">
        <f>'2012_2015 Int Confianca'!X47</f>
        <v>-1E-3</v>
      </c>
      <c r="AA25">
        <f>'2012_2015 Int Confianca'!Y47</f>
        <v>-1.1000000000000001E-3</v>
      </c>
      <c r="AB25">
        <f>'2012_2015 Int Confianca'!Z47</f>
        <v>-1.1000000000000001E-3</v>
      </c>
      <c r="AC25">
        <f>'2012_2015 Int Confianca'!AA47</f>
        <v>-1.1000000000000001E-3</v>
      </c>
      <c r="AD25">
        <f>'2012_2015 Int Confianca'!AB47</f>
        <v>-1.1000000000000001E-3</v>
      </c>
      <c r="AE25">
        <f>'2012_2015 Int Confianca'!AC47</f>
        <v>-1.1999999999999999E-3</v>
      </c>
      <c r="AF25">
        <f>'2012_2015 Int Confianca'!AD47</f>
        <v>-1.1999999999999999E-3</v>
      </c>
      <c r="AG25">
        <f>'2012_2015 Int Confianca'!AE47</f>
        <v>-1.2999999999999999E-3</v>
      </c>
      <c r="AH25">
        <f>'2012_2015 Int Confianca'!AF47</f>
        <v>-1.4E-3</v>
      </c>
      <c r="AI25">
        <f>'2012_2015 Int Confianca'!AG47</f>
        <v>-1.5E-3</v>
      </c>
      <c r="AJ25">
        <f>'2012_2015 Int Confianca'!AH47</f>
        <v>-1.5E-3</v>
      </c>
      <c r="AK25">
        <f>'2012_2015 Int Confianca'!AI47</f>
        <v>-1.6000000000000001E-3</v>
      </c>
      <c r="AL25">
        <f>'2012_2015 Int Confianca'!AJ47</f>
        <v>-1.6999999999999999E-3</v>
      </c>
      <c r="AM25">
        <f>'2012_2015 Int Confianca'!AK47</f>
        <v>-1.8E-3</v>
      </c>
      <c r="AN25">
        <f>'2012_2015 Int Confianca'!AL47</f>
        <v>-1.9E-3</v>
      </c>
      <c r="AO25">
        <f>'2012_2015 Int Confianca'!AM47</f>
        <v>-2E-3</v>
      </c>
      <c r="AP25">
        <f>'2012_2015 Int Confianca'!AN47</f>
        <v>-2.0999999999999999E-3</v>
      </c>
      <c r="AQ25">
        <f>'2012_2015 Int Confianca'!AO47</f>
        <v>-2.2000000000000001E-3</v>
      </c>
      <c r="AR25">
        <f>'2012_2015 Int Confianca'!AP47</f>
        <v>-2.3E-3</v>
      </c>
      <c r="AS25">
        <f>'2012_2015 Int Confianca'!AQ47</f>
        <v>-2.3E-3</v>
      </c>
      <c r="AT25">
        <f>'2012_2015 Int Confianca'!AR47</f>
        <v>-2.3999999999999998E-3</v>
      </c>
      <c r="AU25">
        <f>'2012_2015 Int Confianca'!AS47</f>
        <v>-2.3999999999999998E-3</v>
      </c>
      <c r="AV25">
        <f>'2012_2015 Int Confianca'!AT47</f>
        <v>-2.3999999999999998E-3</v>
      </c>
      <c r="AW25">
        <f>'2012_2015 Int Confianca'!AU47</f>
        <v>-2.3999999999999998E-3</v>
      </c>
      <c r="AX25">
        <f>'2012_2015 Int Confianca'!AV47</f>
        <v>-2.3999999999999998E-3</v>
      </c>
      <c r="AY25">
        <f>'2012_2015 Int Confianca'!AW47</f>
        <v>-2.5000000000000001E-3</v>
      </c>
      <c r="AZ25">
        <f>'2012_2015 Int Confianca'!AX47</f>
        <v>-2.5000000000000001E-3</v>
      </c>
      <c r="BA25">
        <f>'2012_2015 Int Confianca'!AY47</f>
        <v>-2.5999999999999999E-3</v>
      </c>
      <c r="BB25">
        <f>'2012_2015 Int Confianca'!AZ47</f>
        <v>-2.7000000000000001E-3</v>
      </c>
      <c r="BC25">
        <f>'2012_2015 Int Confianca'!BA47</f>
        <v>-2.8E-3</v>
      </c>
      <c r="BD25">
        <f>'2012_2015 Int Confianca'!BB47</f>
        <v>-3.0000000000000001E-3</v>
      </c>
      <c r="BE25">
        <f>'2012_2015 Int Confianca'!BC47</f>
        <v>-3.0000000000000001E-3</v>
      </c>
      <c r="BF25">
        <f>'2012_2015 Int Confianca'!BD47</f>
        <v>-3.0999999999999999E-3</v>
      </c>
      <c r="BG25">
        <f>'2012_2015 Int Confianca'!BE47</f>
        <v>-3.0999999999999999E-3</v>
      </c>
      <c r="BH25">
        <f>'2012_2015 Int Confianca'!BF47</f>
        <v>-3.0000000000000001E-3</v>
      </c>
      <c r="BI25">
        <f>'2012_2015 Int Confianca'!BG47</f>
        <v>-3.0000000000000001E-3</v>
      </c>
      <c r="BJ25">
        <f>'2012_2015 Int Confianca'!BH47</f>
        <v>-2.8999999999999998E-3</v>
      </c>
      <c r="BK25">
        <f>'2012_2015 Int Confianca'!BI47</f>
        <v>-2.8999999999999998E-3</v>
      </c>
      <c r="BL25">
        <f>'2012_2015 Int Confianca'!BJ47</f>
        <v>-2.8999999999999998E-3</v>
      </c>
      <c r="BM25">
        <f>'2012_2015 Int Confianca'!BK47</f>
        <v>-3.0000000000000001E-3</v>
      </c>
      <c r="BN25">
        <f>'2012_2015 Int Confianca'!BL47</f>
        <v>-3.2000000000000002E-3</v>
      </c>
      <c r="BO25">
        <f>'2012_2015 Int Confianca'!BM47</f>
        <v>-3.2000000000000002E-3</v>
      </c>
      <c r="BP25">
        <f>'2012_2015 Int Confianca'!BN47</f>
        <v>-3.3E-3</v>
      </c>
      <c r="BQ25">
        <f>'2012_2015 Int Confianca'!BO47</f>
        <v>-3.3E-3</v>
      </c>
      <c r="BR25">
        <f>'2012_2015 Int Confianca'!BP47</f>
        <v>-3.2000000000000002E-3</v>
      </c>
      <c r="BS25">
        <f>'2012_2015 Int Confianca'!BQ47</f>
        <v>-3.2000000000000002E-3</v>
      </c>
      <c r="BT25">
        <f>'2012_2015 Int Confianca'!BR47</f>
        <v>-3.2000000000000002E-3</v>
      </c>
      <c r="BU25">
        <f>'2012_2015 Int Confianca'!BS47</f>
        <v>-3.2000000000000002E-3</v>
      </c>
      <c r="BV25">
        <f>'2012_2015 Int Confianca'!BT47</f>
        <v>-3.3999999999999998E-3</v>
      </c>
      <c r="BW25">
        <f>'2012_2015 Int Confianca'!BU47</f>
        <v>-3.5000000000000001E-3</v>
      </c>
      <c r="BX25">
        <f>'2012_2015 Int Confianca'!BV47</f>
        <v>-3.5999999999999999E-3</v>
      </c>
      <c r="BY25">
        <f>'2012_2015 Int Confianca'!BW47</f>
        <v>-3.7000000000000002E-3</v>
      </c>
      <c r="BZ25">
        <f>'2012_2015 Int Confianca'!BX47</f>
        <v>-3.5999999999999999E-3</v>
      </c>
      <c r="CA25">
        <f>'2012_2015 Int Confianca'!BY47</f>
        <v>-3.5999999999999999E-3</v>
      </c>
      <c r="CB25">
        <f>'2012_2015 Int Confianca'!BZ47</f>
        <v>-3.3999999999999998E-3</v>
      </c>
      <c r="CC25">
        <f>'2012_2015 Int Confianca'!CA47</f>
        <v>-3.5999999999999999E-3</v>
      </c>
      <c r="CD25">
        <f>'2012_2015 Int Confianca'!CB47</f>
        <v>-3.8E-3</v>
      </c>
      <c r="CE25">
        <f>'2012_2015 Int Confianca'!CC47</f>
        <v>-3.8999999999999998E-3</v>
      </c>
      <c r="CF25">
        <f>'2012_2015 Int Confianca'!CD47</f>
        <v>-4.0000000000000001E-3</v>
      </c>
      <c r="CG25">
        <f>'2012_2015 Int Confianca'!CE47</f>
        <v>-3.8E-3</v>
      </c>
      <c r="CH25">
        <f>'2012_2015 Int Confianca'!CF47</f>
        <v>-3.5999999999999999E-3</v>
      </c>
      <c r="CI25">
        <f>'2012_2015 Int Confianca'!CG47</f>
        <v>-3.5000000000000001E-3</v>
      </c>
      <c r="CJ25">
        <f>'2012_2015 Int Confianca'!CH47</f>
        <v>-3.7000000000000002E-3</v>
      </c>
      <c r="CK25">
        <f>'2012_2015 Int Confianca'!CI47</f>
        <v>-4.4999999999999997E-3</v>
      </c>
      <c r="CL25">
        <f>'2012_2015 Int Confianca'!CJ47</f>
        <v>-4.4000000000000003E-3</v>
      </c>
      <c r="CM25">
        <f>'2012_2015 Int Confianca'!CK47</f>
        <v>-4.3E-3</v>
      </c>
      <c r="CN25">
        <f>'2012_2015 Int Confianca'!CL47</f>
        <v>-4.4000000000000003E-3</v>
      </c>
      <c r="CO25">
        <f>'2012_2015 Int Confianca'!CM47</f>
        <v>-4.4000000000000003E-3</v>
      </c>
      <c r="CP25">
        <f>'2012_2015 Int Confianca'!CN47</f>
        <v>-4.3E-3</v>
      </c>
      <c r="CQ25">
        <f>'2012_2015 Int Confianca'!CO47</f>
        <v>-5.0000000000000001E-3</v>
      </c>
      <c r="CR25">
        <f>'2012_2015 Int Confianca'!CP47</f>
        <v>-5.4999999999999997E-3</v>
      </c>
      <c r="CS25">
        <f>'2012_2015 Int Confianca'!CQ47</f>
        <v>-4.7999999999999996E-3</v>
      </c>
      <c r="CT25">
        <f>'2012_2015 Int Confianca'!CR47</f>
        <v>-6.0000000000000001E-3</v>
      </c>
      <c r="CU25">
        <f>'2012_2015 Int Confianca'!CS47</f>
        <v>-4.7000000000000002E-3</v>
      </c>
      <c r="CV25">
        <f>'2012_2015 Int Confianca'!CT47</f>
        <v>-5.4000000000000003E-3</v>
      </c>
      <c r="CW25">
        <f>'2012_2015 Int Confianca'!CU47</f>
        <v>-5.5999999999999999E-3</v>
      </c>
      <c r="CX25">
        <f>'2012_2015 Int Confianca'!CV47</f>
        <v>-5.4999999999999997E-3</v>
      </c>
    </row>
    <row r="26" spans="1:102" x14ac:dyDescent="0.2">
      <c r="A26" t="s">
        <v>5914</v>
      </c>
      <c r="B26" t="s">
        <v>218</v>
      </c>
      <c r="C26" t="s">
        <v>102</v>
      </c>
      <c r="D26">
        <f>'2012_2015 Int Confianca'!B48</f>
        <v>-1.1000000000000001E-3</v>
      </c>
      <c r="E26">
        <f>'2012_2015 Int Confianca'!C48</f>
        <v>-1.2999999999999999E-3</v>
      </c>
      <c r="F26">
        <f>'2012_2015 Int Confianca'!D48</f>
        <v>-1.1999999999999999E-3</v>
      </c>
      <c r="G26">
        <f>'2012_2015 Int Confianca'!E48</f>
        <v>-1.1000000000000001E-3</v>
      </c>
      <c r="H26">
        <f>'2012_2015 Int Confianca'!F48</f>
        <v>-1E-3</v>
      </c>
      <c r="I26">
        <f>'2012_2015 Int Confianca'!G48</f>
        <v>-1E-3</v>
      </c>
      <c r="J26">
        <f>'2012_2015 Int Confianca'!H48</f>
        <v>-8.9999999999999998E-4</v>
      </c>
      <c r="K26">
        <f>'2012_2015 Int Confianca'!I48</f>
        <v>-8.0000000000000004E-4</v>
      </c>
      <c r="L26">
        <f>'2012_2015 Int Confianca'!J48</f>
        <v>-6.9999999999999999E-4</v>
      </c>
      <c r="M26">
        <f>'2012_2015 Int Confianca'!K48</f>
        <v>-5.9999999999999995E-4</v>
      </c>
      <c r="N26">
        <f>'2012_2015 Int Confianca'!L48</f>
        <v>-5.0000000000000001E-4</v>
      </c>
      <c r="O26">
        <f>'2012_2015 Int Confianca'!M48</f>
        <v>-5.0000000000000001E-4</v>
      </c>
      <c r="P26">
        <f>'2012_2015 Int Confianca'!N48</f>
        <v>-4.0000000000000002E-4</v>
      </c>
      <c r="Q26">
        <f>'2012_2015 Int Confianca'!O48</f>
        <v>-2.9999999999999997E-4</v>
      </c>
      <c r="R26">
        <f>'2012_2015 Int Confianca'!P48</f>
        <v>-2.9999999999999997E-4</v>
      </c>
      <c r="S26">
        <f>'2012_2015 Int Confianca'!Q48</f>
        <v>-2.9999999999999997E-4</v>
      </c>
      <c r="T26">
        <f>'2012_2015 Int Confianca'!R48</f>
        <v>-2.9999999999999997E-4</v>
      </c>
      <c r="U26">
        <f>'2012_2015 Int Confianca'!S48</f>
        <v>-2.9999999999999997E-4</v>
      </c>
      <c r="V26">
        <f>'2012_2015 Int Confianca'!T48</f>
        <v>-2.9999999999999997E-4</v>
      </c>
      <c r="W26">
        <f>'2012_2015 Int Confianca'!U48</f>
        <v>-2.9999999999999997E-4</v>
      </c>
      <c r="X26">
        <f>'2012_2015 Int Confianca'!V48</f>
        <v>-2.9999999999999997E-4</v>
      </c>
      <c r="Y26">
        <f>'2012_2015 Int Confianca'!W48</f>
        <v>-2.9999999999999997E-4</v>
      </c>
      <c r="Z26">
        <f>'2012_2015 Int Confianca'!X48</f>
        <v>-2.9999999999999997E-4</v>
      </c>
      <c r="AA26">
        <f>'2012_2015 Int Confianca'!Y48</f>
        <v>-2.9999999999999997E-4</v>
      </c>
      <c r="AB26">
        <f>'2012_2015 Int Confianca'!Z48</f>
        <v>-2.9999999999999997E-4</v>
      </c>
      <c r="AC26">
        <f>'2012_2015 Int Confianca'!AA48</f>
        <v>-2.9999999999999997E-4</v>
      </c>
      <c r="AD26">
        <f>'2012_2015 Int Confianca'!AB48</f>
        <v>-2.9999999999999997E-4</v>
      </c>
      <c r="AE26">
        <f>'2012_2015 Int Confianca'!AC48</f>
        <v>-4.0000000000000002E-4</v>
      </c>
      <c r="AF26">
        <f>'2012_2015 Int Confianca'!AD48</f>
        <v>-4.0000000000000002E-4</v>
      </c>
      <c r="AG26">
        <f>'2012_2015 Int Confianca'!AE48</f>
        <v>-4.0000000000000002E-4</v>
      </c>
      <c r="AH26">
        <f>'2012_2015 Int Confianca'!AF48</f>
        <v>-4.0000000000000002E-4</v>
      </c>
      <c r="AI26">
        <f>'2012_2015 Int Confianca'!AG48</f>
        <v>-4.0000000000000002E-4</v>
      </c>
      <c r="AJ26">
        <f>'2012_2015 Int Confianca'!AH48</f>
        <v>-5.0000000000000001E-4</v>
      </c>
      <c r="AK26">
        <f>'2012_2015 Int Confianca'!AI48</f>
        <v>-5.0000000000000001E-4</v>
      </c>
      <c r="AL26">
        <f>'2012_2015 Int Confianca'!AJ48</f>
        <v>-5.0000000000000001E-4</v>
      </c>
      <c r="AM26">
        <f>'2012_2015 Int Confianca'!AK48</f>
        <v>-5.0000000000000001E-4</v>
      </c>
      <c r="AN26">
        <f>'2012_2015 Int Confianca'!AL48</f>
        <v>-5.0000000000000001E-4</v>
      </c>
      <c r="AO26">
        <f>'2012_2015 Int Confianca'!AM48</f>
        <v>-5.9999999999999995E-4</v>
      </c>
      <c r="AP26">
        <f>'2012_2015 Int Confianca'!AN48</f>
        <v>-5.9999999999999995E-4</v>
      </c>
      <c r="AQ26">
        <f>'2012_2015 Int Confianca'!AO48</f>
        <v>-6.9999999999999999E-4</v>
      </c>
      <c r="AR26">
        <f>'2012_2015 Int Confianca'!AP48</f>
        <v>-6.9999999999999999E-4</v>
      </c>
      <c r="AS26">
        <f>'2012_2015 Int Confianca'!AQ48</f>
        <v>-6.9999999999999999E-4</v>
      </c>
      <c r="AT26">
        <f>'2012_2015 Int Confianca'!AR48</f>
        <v>-6.9999999999999999E-4</v>
      </c>
      <c r="AU26">
        <f>'2012_2015 Int Confianca'!AS48</f>
        <v>-6.9999999999999999E-4</v>
      </c>
      <c r="AV26">
        <f>'2012_2015 Int Confianca'!AT48</f>
        <v>-6.9999999999999999E-4</v>
      </c>
      <c r="AW26">
        <f>'2012_2015 Int Confianca'!AU48</f>
        <v>-6.9999999999999999E-4</v>
      </c>
      <c r="AX26">
        <f>'2012_2015 Int Confianca'!AV48</f>
        <v>-6.9999999999999999E-4</v>
      </c>
      <c r="AY26">
        <f>'2012_2015 Int Confianca'!AW48</f>
        <v>-6.9999999999999999E-4</v>
      </c>
      <c r="AZ26">
        <f>'2012_2015 Int Confianca'!AX48</f>
        <v>-6.9999999999999999E-4</v>
      </c>
      <c r="BA26">
        <f>'2012_2015 Int Confianca'!AY48</f>
        <v>-8.0000000000000004E-4</v>
      </c>
      <c r="BB26">
        <f>'2012_2015 Int Confianca'!AZ48</f>
        <v>-8.0000000000000004E-4</v>
      </c>
      <c r="BC26">
        <f>'2012_2015 Int Confianca'!BA48</f>
        <v>-8.0000000000000004E-4</v>
      </c>
      <c r="BD26">
        <f>'2012_2015 Int Confianca'!BB48</f>
        <v>-8.9999999999999998E-4</v>
      </c>
      <c r="BE26">
        <f>'2012_2015 Int Confianca'!BC48</f>
        <v>-8.9999999999999998E-4</v>
      </c>
      <c r="BF26">
        <f>'2012_2015 Int Confianca'!BD48</f>
        <v>-8.9999999999999998E-4</v>
      </c>
      <c r="BG26">
        <f>'2012_2015 Int Confianca'!BE48</f>
        <v>-8.9999999999999998E-4</v>
      </c>
      <c r="BH26">
        <f>'2012_2015 Int Confianca'!BF48</f>
        <v>-8.9999999999999998E-4</v>
      </c>
      <c r="BI26">
        <f>'2012_2015 Int Confianca'!BG48</f>
        <v>-8.9999999999999998E-4</v>
      </c>
      <c r="BJ26">
        <f>'2012_2015 Int Confianca'!BH48</f>
        <v>-8.9999999999999998E-4</v>
      </c>
      <c r="BK26">
        <f>'2012_2015 Int Confianca'!BI48</f>
        <v>-8.9999999999999998E-4</v>
      </c>
      <c r="BL26">
        <f>'2012_2015 Int Confianca'!BJ48</f>
        <v>-8.9999999999999998E-4</v>
      </c>
      <c r="BM26">
        <f>'2012_2015 Int Confianca'!BK48</f>
        <v>-8.9999999999999998E-4</v>
      </c>
      <c r="BN26">
        <f>'2012_2015 Int Confianca'!BL48</f>
        <v>-8.9999999999999998E-4</v>
      </c>
      <c r="BO26">
        <f>'2012_2015 Int Confianca'!BM48</f>
        <v>-8.9999999999999998E-4</v>
      </c>
      <c r="BP26">
        <f>'2012_2015 Int Confianca'!BN48</f>
        <v>-1E-3</v>
      </c>
      <c r="BQ26">
        <f>'2012_2015 Int Confianca'!BO48</f>
        <v>-1E-3</v>
      </c>
      <c r="BR26">
        <f>'2012_2015 Int Confianca'!BP48</f>
        <v>-8.9999999999999998E-4</v>
      </c>
      <c r="BS26">
        <f>'2012_2015 Int Confianca'!BQ48</f>
        <v>-8.9999999999999998E-4</v>
      </c>
      <c r="BT26">
        <f>'2012_2015 Int Confianca'!BR48</f>
        <v>-8.9999999999999998E-4</v>
      </c>
      <c r="BU26">
        <f>'2012_2015 Int Confianca'!BS48</f>
        <v>-8.9999999999999998E-4</v>
      </c>
      <c r="BV26">
        <f>'2012_2015 Int Confianca'!BT48</f>
        <v>-1E-3</v>
      </c>
      <c r="BW26">
        <f>'2012_2015 Int Confianca'!BU48</f>
        <v>-1E-3</v>
      </c>
      <c r="BX26">
        <f>'2012_2015 Int Confianca'!BV48</f>
        <v>-1.1000000000000001E-3</v>
      </c>
      <c r="BY26">
        <f>'2012_2015 Int Confianca'!BW48</f>
        <v>-1.1000000000000001E-3</v>
      </c>
      <c r="BZ26">
        <f>'2012_2015 Int Confianca'!BX48</f>
        <v>-1.1000000000000001E-3</v>
      </c>
      <c r="CA26">
        <f>'2012_2015 Int Confianca'!BY48</f>
        <v>-1.1000000000000001E-3</v>
      </c>
      <c r="CB26">
        <f>'2012_2015 Int Confianca'!BZ48</f>
        <v>-1E-3</v>
      </c>
      <c r="CC26">
        <f>'2012_2015 Int Confianca'!CA48</f>
        <v>-1.1000000000000001E-3</v>
      </c>
      <c r="CD26">
        <f>'2012_2015 Int Confianca'!CB48</f>
        <v>-1.1000000000000001E-3</v>
      </c>
      <c r="CE26">
        <f>'2012_2015 Int Confianca'!CC48</f>
        <v>-1.1000000000000001E-3</v>
      </c>
      <c r="CF26">
        <f>'2012_2015 Int Confianca'!CD48</f>
        <v>-1.1999999999999999E-3</v>
      </c>
      <c r="CG26">
        <f>'2012_2015 Int Confianca'!CE48</f>
        <v>-1.1000000000000001E-3</v>
      </c>
      <c r="CH26">
        <f>'2012_2015 Int Confianca'!CF48</f>
        <v>-1.1000000000000001E-3</v>
      </c>
      <c r="CI26">
        <f>'2012_2015 Int Confianca'!CG48</f>
        <v>-1E-3</v>
      </c>
      <c r="CJ26">
        <f>'2012_2015 Int Confianca'!CH48</f>
        <v>-1.1000000000000001E-3</v>
      </c>
      <c r="CK26">
        <f>'2012_2015 Int Confianca'!CI48</f>
        <v>-1.2999999999999999E-3</v>
      </c>
      <c r="CL26">
        <f>'2012_2015 Int Confianca'!CJ48</f>
        <v>-1.2999999999999999E-3</v>
      </c>
      <c r="CM26">
        <f>'2012_2015 Int Confianca'!CK48</f>
        <v>-1.2999999999999999E-3</v>
      </c>
      <c r="CN26">
        <f>'2012_2015 Int Confianca'!CL48</f>
        <v>-1.2999999999999999E-3</v>
      </c>
      <c r="CO26">
        <f>'2012_2015 Int Confianca'!CM48</f>
        <v>-1.2999999999999999E-3</v>
      </c>
      <c r="CP26">
        <f>'2012_2015 Int Confianca'!CN48</f>
        <v>-1.1999999999999999E-3</v>
      </c>
      <c r="CQ26">
        <f>'2012_2015 Int Confianca'!CO48</f>
        <v>-1.5E-3</v>
      </c>
      <c r="CR26">
        <f>'2012_2015 Int Confianca'!CP48</f>
        <v>-1.6000000000000001E-3</v>
      </c>
      <c r="CS26">
        <f>'2012_2015 Int Confianca'!CQ48</f>
        <v>-1.4E-3</v>
      </c>
      <c r="CT26">
        <f>'2012_2015 Int Confianca'!CR48</f>
        <v>-1.6999999999999999E-3</v>
      </c>
      <c r="CU26">
        <f>'2012_2015 Int Confianca'!CS48</f>
        <v>-1.4E-3</v>
      </c>
      <c r="CV26">
        <f>'2012_2015 Int Confianca'!CT48</f>
        <v>-1.6000000000000001E-3</v>
      </c>
      <c r="CW26">
        <f>'2012_2015 Int Confianca'!CU48</f>
        <v>-1.6000000000000001E-3</v>
      </c>
      <c r="CX26">
        <f>'2012_2015 Int Confianca'!CV48</f>
        <v>-1.5E-3</v>
      </c>
    </row>
    <row r="27" spans="1:102" x14ac:dyDescent="0.2">
      <c r="A27" t="s">
        <v>5915</v>
      </c>
      <c r="B27" t="s">
        <v>218</v>
      </c>
      <c r="C27" t="s">
        <v>102</v>
      </c>
      <c r="D27">
        <f>'2012_2015 Int Confianca'!B49</f>
        <v>-3.0000000000000001E-3</v>
      </c>
      <c r="E27">
        <f>'2012_2015 Int Confianca'!C49</f>
        <v>-3.3999999999999998E-3</v>
      </c>
      <c r="F27">
        <f>'2012_2015 Int Confianca'!D49</f>
        <v>-3.0999999999999999E-3</v>
      </c>
      <c r="G27">
        <f>'2012_2015 Int Confianca'!E49</f>
        <v>-2.8E-3</v>
      </c>
      <c r="H27">
        <f>'2012_2015 Int Confianca'!F49</f>
        <v>-2.5000000000000001E-3</v>
      </c>
      <c r="I27">
        <f>'2012_2015 Int Confianca'!G49</f>
        <v>-2.5000000000000001E-3</v>
      </c>
      <c r="J27">
        <f>'2012_2015 Int Confianca'!H49</f>
        <v>-2.3999999999999998E-3</v>
      </c>
      <c r="K27">
        <f>'2012_2015 Int Confianca'!I49</f>
        <v>-2.3999999999999998E-3</v>
      </c>
      <c r="L27">
        <f>'2012_2015 Int Confianca'!J49</f>
        <v>-2.3E-3</v>
      </c>
      <c r="M27">
        <f>'2012_2015 Int Confianca'!K49</f>
        <v>-1.9E-3</v>
      </c>
      <c r="N27">
        <f>'2012_2015 Int Confianca'!L49</f>
        <v>-1.9E-3</v>
      </c>
      <c r="O27">
        <f>'2012_2015 Int Confianca'!M49</f>
        <v>-1.9E-3</v>
      </c>
      <c r="P27">
        <f>'2012_2015 Int Confianca'!N49</f>
        <v>-1.8E-3</v>
      </c>
      <c r="Q27">
        <f>'2012_2015 Int Confianca'!O49</f>
        <v>-1.6999999999999999E-3</v>
      </c>
      <c r="R27">
        <f>'2012_2015 Int Confianca'!P49</f>
        <v>-1.4E-3</v>
      </c>
      <c r="S27">
        <f>'2012_2015 Int Confianca'!Q49</f>
        <v>-1.4E-3</v>
      </c>
      <c r="T27">
        <f>'2012_2015 Int Confianca'!R49</f>
        <v>-1.2999999999999999E-3</v>
      </c>
      <c r="U27">
        <f>'2012_2015 Int Confianca'!S49</f>
        <v>-1.2999999999999999E-3</v>
      </c>
      <c r="V27">
        <f>'2012_2015 Int Confianca'!T49</f>
        <v>-1.2999999999999999E-3</v>
      </c>
      <c r="W27">
        <f>'2012_2015 Int Confianca'!U49</f>
        <v>-1.2999999999999999E-3</v>
      </c>
      <c r="X27">
        <f>'2012_2015 Int Confianca'!V49</f>
        <v>-1.2999999999999999E-3</v>
      </c>
      <c r="Y27">
        <f>'2012_2015 Int Confianca'!W49</f>
        <v>-1.2999999999999999E-3</v>
      </c>
      <c r="Z27">
        <f>'2012_2015 Int Confianca'!X49</f>
        <v>-1.2999999999999999E-3</v>
      </c>
      <c r="AA27">
        <f>'2012_2015 Int Confianca'!Y49</f>
        <v>-1.4E-3</v>
      </c>
      <c r="AB27">
        <f>'2012_2015 Int Confianca'!Z49</f>
        <v>-1.2999999999999999E-3</v>
      </c>
      <c r="AC27">
        <f>'2012_2015 Int Confianca'!AA49</f>
        <v>-1.2999999999999999E-3</v>
      </c>
      <c r="AD27">
        <f>'2012_2015 Int Confianca'!AB49</f>
        <v>-1.4E-3</v>
      </c>
      <c r="AE27">
        <f>'2012_2015 Int Confianca'!AC49</f>
        <v>-1.4E-3</v>
      </c>
      <c r="AF27">
        <f>'2012_2015 Int Confianca'!AD49</f>
        <v>-1.4E-3</v>
      </c>
      <c r="AG27">
        <f>'2012_2015 Int Confianca'!AE49</f>
        <v>-1.6000000000000001E-3</v>
      </c>
      <c r="AH27">
        <f>'2012_2015 Int Confianca'!AF49</f>
        <v>-1.6000000000000001E-3</v>
      </c>
      <c r="AI27">
        <f>'2012_2015 Int Confianca'!AG49</f>
        <v>-1.6999999999999999E-3</v>
      </c>
      <c r="AJ27">
        <f>'2012_2015 Int Confianca'!AH49</f>
        <v>-1.6999999999999999E-3</v>
      </c>
      <c r="AK27">
        <f>'2012_2015 Int Confianca'!AI49</f>
        <v>-1.8E-3</v>
      </c>
      <c r="AL27">
        <f>'2012_2015 Int Confianca'!AJ49</f>
        <v>-1.9E-3</v>
      </c>
      <c r="AM27">
        <f>'2012_2015 Int Confianca'!AK49</f>
        <v>-1.9E-3</v>
      </c>
      <c r="AN27">
        <f>'2012_2015 Int Confianca'!AL49</f>
        <v>-2E-3</v>
      </c>
      <c r="AO27">
        <f>'2012_2015 Int Confianca'!AM49</f>
        <v>-2.0999999999999999E-3</v>
      </c>
      <c r="AP27">
        <f>'2012_2015 Int Confianca'!AN49</f>
        <v>-2.2000000000000001E-3</v>
      </c>
      <c r="AQ27">
        <f>'2012_2015 Int Confianca'!AO49</f>
        <v>-2.2000000000000001E-3</v>
      </c>
      <c r="AR27">
        <f>'2012_2015 Int Confianca'!AP49</f>
        <v>-2.3E-3</v>
      </c>
      <c r="AS27">
        <f>'2012_2015 Int Confianca'!AQ49</f>
        <v>-2.3999999999999998E-3</v>
      </c>
      <c r="AT27">
        <f>'2012_2015 Int Confianca'!AR49</f>
        <v>-2.3999999999999998E-3</v>
      </c>
      <c r="AU27">
        <f>'2012_2015 Int Confianca'!AS49</f>
        <v>-2.3999999999999998E-3</v>
      </c>
      <c r="AV27">
        <f>'2012_2015 Int Confianca'!AT49</f>
        <v>-2.3999999999999998E-3</v>
      </c>
      <c r="AW27">
        <f>'2012_2015 Int Confianca'!AU49</f>
        <v>-2.3999999999999998E-3</v>
      </c>
      <c r="AX27">
        <f>'2012_2015 Int Confianca'!AV49</f>
        <v>-2.5000000000000001E-3</v>
      </c>
      <c r="AY27">
        <f>'2012_2015 Int Confianca'!AW49</f>
        <v>-2.3999999999999998E-3</v>
      </c>
      <c r="AZ27">
        <f>'2012_2015 Int Confianca'!AX49</f>
        <v>-2.5000000000000001E-3</v>
      </c>
      <c r="BA27">
        <f>'2012_2015 Int Confianca'!AY49</f>
        <v>-2.5999999999999999E-3</v>
      </c>
      <c r="BB27">
        <f>'2012_2015 Int Confianca'!AZ49</f>
        <v>-2.5999999999999999E-3</v>
      </c>
      <c r="BC27">
        <f>'2012_2015 Int Confianca'!BA49</f>
        <v>-2.7000000000000001E-3</v>
      </c>
      <c r="BD27">
        <f>'2012_2015 Int Confianca'!BB49</f>
        <v>-2.8999999999999998E-3</v>
      </c>
      <c r="BE27">
        <f>'2012_2015 Int Confianca'!BC49</f>
        <v>-3.0999999999999999E-3</v>
      </c>
      <c r="BF27">
        <f>'2012_2015 Int Confianca'!BD49</f>
        <v>-3.0999999999999999E-3</v>
      </c>
      <c r="BG27">
        <f>'2012_2015 Int Confianca'!BE49</f>
        <v>-3.0999999999999999E-3</v>
      </c>
      <c r="BH27">
        <f>'2012_2015 Int Confianca'!BF49</f>
        <v>-3.0999999999999999E-3</v>
      </c>
      <c r="BI27">
        <f>'2012_2015 Int Confianca'!BG49</f>
        <v>-3.0999999999999999E-3</v>
      </c>
      <c r="BJ27">
        <f>'2012_2015 Int Confianca'!BH49</f>
        <v>-3.2000000000000002E-3</v>
      </c>
      <c r="BK27">
        <f>'2012_2015 Int Confianca'!BI49</f>
        <v>-3.0999999999999999E-3</v>
      </c>
      <c r="BL27">
        <f>'2012_2015 Int Confianca'!BJ49</f>
        <v>-3.0999999999999999E-3</v>
      </c>
      <c r="BM27">
        <f>'2012_2015 Int Confianca'!BK49</f>
        <v>-3.3E-3</v>
      </c>
      <c r="BN27">
        <f>'2012_2015 Int Confianca'!BL49</f>
        <v>-3.5000000000000001E-3</v>
      </c>
      <c r="BO27">
        <f>'2012_2015 Int Confianca'!BM49</f>
        <v>-3.5999999999999999E-3</v>
      </c>
      <c r="BP27">
        <f>'2012_2015 Int Confianca'!BN49</f>
        <v>-3.7000000000000002E-3</v>
      </c>
      <c r="BQ27">
        <f>'2012_2015 Int Confianca'!BO49</f>
        <v>-3.8E-3</v>
      </c>
      <c r="BR27">
        <f>'2012_2015 Int Confianca'!BP49</f>
        <v>-3.8999999999999998E-3</v>
      </c>
      <c r="BS27">
        <f>'2012_2015 Int Confianca'!BQ49</f>
        <v>-3.8999999999999998E-3</v>
      </c>
      <c r="BT27">
        <f>'2012_2015 Int Confianca'!BR49</f>
        <v>-3.8E-3</v>
      </c>
      <c r="BU27">
        <f>'2012_2015 Int Confianca'!BS49</f>
        <v>-3.8999999999999998E-3</v>
      </c>
      <c r="BV27">
        <f>'2012_2015 Int Confianca'!BT49</f>
        <v>-4.1999999999999997E-3</v>
      </c>
      <c r="BW27">
        <f>'2012_2015 Int Confianca'!BU49</f>
        <v>-4.4000000000000003E-3</v>
      </c>
      <c r="BX27">
        <f>'2012_2015 Int Confianca'!BV49</f>
        <v>-4.4999999999999997E-3</v>
      </c>
      <c r="BY27">
        <f>'2012_2015 Int Confianca'!BW49</f>
        <v>-4.4999999999999997E-3</v>
      </c>
      <c r="BZ27">
        <f>'2012_2015 Int Confianca'!BX49</f>
        <v>-4.4999999999999997E-3</v>
      </c>
      <c r="CA27">
        <f>'2012_2015 Int Confianca'!BY49</f>
        <v>-4.5999999999999999E-3</v>
      </c>
      <c r="CB27">
        <f>'2012_2015 Int Confianca'!BZ49</f>
        <v>-4.4000000000000003E-3</v>
      </c>
      <c r="CC27">
        <f>'2012_2015 Int Confianca'!CA49</f>
        <v>-4.5999999999999999E-3</v>
      </c>
      <c r="CD27">
        <f>'2012_2015 Int Confianca'!CB49</f>
        <v>-4.7999999999999996E-3</v>
      </c>
      <c r="CE27">
        <f>'2012_2015 Int Confianca'!CC49</f>
        <v>-5.0000000000000001E-3</v>
      </c>
      <c r="CF27">
        <f>'2012_2015 Int Confianca'!CD49</f>
        <v>-5.1999999999999998E-3</v>
      </c>
      <c r="CG27">
        <f>'2012_2015 Int Confianca'!CE49</f>
        <v>-5.0000000000000001E-3</v>
      </c>
      <c r="CH27">
        <f>'2012_2015 Int Confianca'!CF49</f>
        <v>-4.7000000000000002E-3</v>
      </c>
      <c r="CI27">
        <f>'2012_2015 Int Confianca'!CG49</f>
        <v>-4.3E-3</v>
      </c>
      <c r="CJ27">
        <f>'2012_2015 Int Confianca'!CH49</f>
        <v>-4.5999999999999999E-3</v>
      </c>
      <c r="CK27">
        <f>'2012_2015 Int Confianca'!CI49</f>
        <v>-5.7000000000000002E-3</v>
      </c>
      <c r="CL27">
        <f>'2012_2015 Int Confianca'!CJ49</f>
        <v>-5.4999999999999997E-3</v>
      </c>
      <c r="CM27">
        <f>'2012_2015 Int Confianca'!CK49</f>
        <v>-5.4000000000000003E-3</v>
      </c>
      <c r="CN27">
        <f>'2012_2015 Int Confianca'!CL49</f>
        <v>-5.4999999999999997E-3</v>
      </c>
      <c r="CO27">
        <f>'2012_2015 Int Confianca'!CM49</f>
        <v>-5.3E-3</v>
      </c>
      <c r="CP27">
        <f>'2012_2015 Int Confianca'!CN49</f>
        <v>-5.1000000000000004E-3</v>
      </c>
      <c r="CQ27">
        <f>'2012_2015 Int Confianca'!CO49</f>
        <v>-5.8999999999999999E-3</v>
      </c>
      <c r="CR27">
        <f>'2012_2015 Int Confianca'!CP49</f>
        <v>-6.7999999999999996E-3</v>
      </c>
      <c r="CS27">
        <f>'2012_2015 Int Confianca'!CQ49</f>
        <v>-6.0000000000000001E-3</v>
      </c>
      <c r="CT27">
        <f>'2012_2015 Int Confianca'!CR49</f>
        <v>-6.8999999999999999E-3</v>
      </c>
      <c r="CU27">
        <f>'2012_2015 Int Confianca'!CS49</f>
        <v>-5.4999999999999997E-3</v>
      </c>
      <c r="CV27">
        <f>'2012_2015 Int Confianca'!CT49</f>
        <v>-6.8999999999999999E-3</v>
      </c>
      <c r="CW27">
        <f>'2012_2015 Int Confianca'!CU49</f>
        <v>-6.6E-3</v>
      </c>
      <c r="CX27">
        <f>'2012_2015 Int Confianca'!CV49</f>
        <v>-5.8999999999999999E-3</v>
      </c>
    </row>
    <row r="28" spans="1:102" x14ac:dyDescent="0.2">
      <c r="A28" t="s">
        <v>5916</v>
      </c>
      <c r="B28" t="s">
        <v>218</v>
      </c>
      <c r="C28" t="s">
        <v>102</v>
      </c>
      <c r="D28">
        <f>'2012_2015 Int Confianca'!B50</f>
        <v>-1.2999999999999999E-3</v>
      </c>
      <c r="E28">
        <f>'2012_2015 Int Confianca'!C50</f>
        <v>-1.6000000000000001E-3</v>
      </c>
      <c r="F28">
        <f>'2012_2015 Int Confianca'!D50</f>
        <v>-1.5E-3</v>
      </c>
      <c r="G28">
        <f>'2012_2015 Int Confianca'!E50</f>
        <v>-1.5E-3</v>
      </c>
      <c r="H28">
        <f>'2012_2015 Int Confianca'!F50</f>
        <v>-1.2999999999999999E-3</v>
      </c>
      <c r="I28">
        <f>'2012_2015 Int Confianca'!G50</f>
        <v>-1.2999999999999999E-3</v>
      </c>
      <c r="J28">
        <f>'2012_2015 Int Confianca'!H50</f>
        <v>-1.2999999999999999E-3</v>
      </c>
      <c r="K28">
        <f>'2012_2015 Int Confianca'!I50</f>
        <v>-1.2999999999999999E-3</v>
      </c>
      <c r="L28">
        <f>'2012_2015 Int Confianca'!J50</f>
        <v>-1.1999999999999999E-3</v>
      </c>
      <c r="M28">
        <f>'2012_2015 Int Confianca'!K50</f>
        <v>-1.1000000000000001E-3</v>
      </c>
      <c r="N28">
        <f>'2012_2015 Int Confianca'!L50</f>
        <v>-1.1000000000000001E-3</v>
      </c>
      <c r="O28">
        <f>'2012_2015 Int Confianca'!M50</f>
        <v>-1.1000000000000001E-3</v>
      </c>
      <c r="P28">
        <f>'2012_2015 Int Confianca'!N50</f>
        <v>-1.1000000000000001E-3</v>
      </c>
      <c r="Q28">
        <f>'2012_2015 Int Confianca'!O50</f>
        <v>-1E-3</v>
      </c>
      <c r="R28">
        <f>'2012_2015 Int Confianca'!P50</f>
        <v>-8.9999999999999998E-4</v>
      </c>
      <c r="S28">
        <f>'2012_2015 Int Confianca'!Q50</f>
        <v>-8.9999999999999998E-4</v>
      </c>
      <c r="T28">
        <f>'2012_2015 Int Confianca'!R50</f>
        <v>-8.0000000000000004E-4</v>
      </c>
      <c r="U28">
        <f>'2012_2015 Int Confianca'!S50</f>
        <v>-8.0000000000000004E-4</v>
      </c>
      <c r="V28">
        <f>'2012_2015 Int Confianca'!T50</f>
        <v>-8.0000000000000004E-4</v>
      </c>
      <c r="W28">
        <f>'2012_2015 Int Confianca'!U50</f>
        <v>-8.0000000000000004E-4</v>
      </c>
      <c r="X28">
        <f>'2012_2015 Int Confianca'!V50</f>
        <v>-8.0000000000000004E-4</v>
      </c>
      <c r="Y28">
        <f>'2012_2015 Int Confianca'!W50</f>
        <v>-8.9999999999999998E-4</v>
      </c>
      <c r="Z28">
        <f>'2012_2015 Int Confianca'!X50</f>
        <v>-8.0000000000000004E-4</v>
      </c>
      <c r="AA28">
        <f>'2012_2015 Int Confianca'!Y50</f>
        <v>-8.9999999999999998E-4</v>
      </c>
      <c r="AB28">
        <f>'2012_2015 Int Confianca'!Z50</f>
        <v>-8.9999999999999998E-4</v>
      </c>
      <c r="AC28">
        <f>'2012_2015 Int Confianca'!AA50</f>
        <v>-8.9999999999999998E-4</v>
      </c>
      <c r="AD28">
        <f>'2012_2015 Int Confianca'!AB50</f>
        <v>-8.9999999999999998E-4</v>
      </c>
      <c r="AE28">
        <f>'2012_2015 Int Confianca'!AC50</f>
        <v>-8.9999999999999998E-4</v>
      </c>
      <c r="AF28">
        <f>'2012_2015 Int Confianca'!AD50</f>
        <v>-8.9999999999999998E-4</v>
      </c>
      <c r="AG28">
        <f>'2012_2015 Int Confianca'!AE50</f>
        <v>-1E-3</v>
      </c>
      <c r="AH28">
        <f>'2012_2015 Int Confianca'!AF50</f>
        <v>-1E-3</v>
      </c>
      <c r="AI28">
        <f>'2012_2015 Int Confianca'!AG50</f>
        <v>-1.1000000000000001E-3</v>
      </c>
      <c r="AJ28">
        <f>'2012_2015 Int Confianca'!AH50</f>
        <v>-1.1000000000000001E-3</v>
      </c>
      <c r="AK28">
        <f>'2012_2015 Int Confianca'!AI50</f>
        <v>-1.1999999999999999E-3</v>
      </c>
      <c r="AL28">
        <f>'2012_2015 Int Confianca'!AJ50</f>
        <v>-1.1999999999999999E-3</v>
      </c>
      <c r="AM28">
        <f>'2012_2015 Int Confianca'!AK50</f>
        <v>-1.2999999999999999E-3</v>
      </c>
      <c r="AN28">
        <f>'2012_2015 Int Confianca'!AL50</f>
        <v>-1.2999999999999999E-3</v>
      </c>
      <c r="AO28">
        <f>'2012_2015 Int Confianca'!AM50</f>
        <v>-1.4E-3</v>
      </c>
      <c r="AP28">
        <f>'2012_2015 Int Confianca'!AN50</f>
        <v>-1.5E-3</v>
      </c>
      <c r="AQ28">
        <f>'2012_2015 Int Confianca'!AO50</f>
        <v>-1.5E-3</v>
      </c>
      <c r="AR28">
        <f>'2012_2015 Int Confianca'!AP50</f>
        <v>-1.5E-3</v>
      </c>
      <c r="AS28">
        <f>'2012_2015 Int Confianca'!AQ50</f>
        <v>-1.5E-3</v>
      </c>
      <c r="AT28">
        <f>'2012_2015 Int Confianca'!AR50</f>
        <v>-1.6000000000000001E-3</v>
      </c>
      <c r="AU28">
        <f>'2012_2015 Int Confianca'!AS50</f>
        <v>-1.6000000000000001E-3</v>
      </c>
      <c r="AV28">
        <f>'2012_2015 Int Confianca'!AT50</f>
        <v>-1.6000000000000001E-3</v>
      </c>
      <c r="AW28">
        <f>'2012_2015 Int Confianca'!AU50</f>
        <v>-1.6000000000000001E-3</v>
      </c>
      <c r="AX28">
        <f>'2012_2015 Int Confianca'!AV50</f>
        <v>-1.6000000000000001E-3</v>
      </c>
      <c r="AY28">
        <f>'2012_2015 Int Confianca'!AW50</f>
        <v>-1.6000000000000001E-3</v>
      </c>
      <c r="AZ28">
        <f>'2012_2015 Int Confianca'!AX50</f>
        <v>-1.6999999999999999E-3</v>
      </c>
      <c r="BA28">
        <f>'2012_2015 Int Confianca'!AY50</f>
        <v>-1.6999999999999999E-3</v>
      </c>
      <c r="BB28">
        <f>'2012_2015 Int Confianca'!AZ50</f>
        <v>-1.6999999999999999E-3</v>
      </c>
      <c r="BC28">
        <f>'2012_2015 Int Confianca'!BA50</f>
        <v>-1.8E-3</v>
      </c>
      <c r="BD28">
        <f>'2012_2015 Int Confianca'!BB50</f>
        <v>-1.9E-3</v>
      </c>
      <c r="BE28">
        <f>'2012_2015 Int Confianca'!BC50</f>
        <v>-2E-3</v>
      </c>
      <c r="BF28">
        <f>'2012_2015 Int Confianca'!BD50</f>
        <v>-2E-3</v>
      </c>
      <c r="BG28">
        <f>'2012_2015 Int Confianca'!BE50</f>
        <v>-2.0999999999999999E-3</v>
      </c>
      <c r="BH28">
        <f>'2012_2015 Int Confianca'!BF50</f>
        <v>-2.0999999999999999E-3</v>
      </c>
      <c r="BI28">
        <f>'2012_2015 Int Confianca'!BG50</f>
        <v>-2.0999999999999999E-3</v>
      </c>
      <c r="BJ28">
        <f>'2012_2015 Int Confianca'!BH50</f>
        <v>-2.0999999999999999E-3</v>
      </c>
      <c r="BK28">
        <f>'2012_2015 Int Confianca'!BI50</f>
        <v>-2.0999999999999999E-3</v>
      </c>
      <c r="BL28">
        <f>'2012_2015 Int Confianca'!BJ50</f>
        <v>-2E-3</v>
      </c>
      <c r="BM28">
        <f>'2012_2015 Int Confianca'!BK50</f>
        <v>-2.2000000000000001E-3</v>
      </c>
      <c r="BN28">
        <f>'2012_2015 Int Confianca'!BL50</f>
        <v>-2.3E-3</v>
      </c>
      <c r="BO28">
        <f>'2012_2015 Int Confianca'!BM50</f>
        <v>-2.3999999999999998E-3</v>
      </c>
      <c r="BP28">
        <f>'2012_2015 Int Confianca'!BN50</f>
        <v>-2.5000000000000001E-3</v>
      </c>
      <c r="BQ28">
        <f>'2012_2015 Int Confianca'!BO50</f>
        <v>-2.5000000000000001E-3</v>
      </c>
      <c r="BR28">
        <f>'2012_2015 Int Confianca'!BP50</f>
        <v>-2.5999999999999999E-3</v>
      </c>
      <c r="BS28">
        <f>'2012_2015 Int Confianca'!BQ50</f>
        <v>-2.5999999999999999E-3</v>
      </c>
      <c r="BT28">
        <f>'2012_2015 Int Confianca'!BR50</f>
        <v>-2.5000000000000001E-3</v>
      </c>
      <c r="BU28">
        <f>'2012_2015 Int Confianca'!BS50</f>
        <v>-2.5999999999999999E-3</v>
      </c>
      <c r="BV28">
        <f>'2012_2015 Int Confianca'!BT50</f>
        <v>-2.8E-3</v>
      </c>
      <c r="BW28">
        <f>'2012_2015 Int Confianca'!BU50</f>
        <v>-2.8999999999999998E-3</v>
      </c>
      <c r="BX28">
        <f>'2012_2015 Int Confianca'!BV50</f>
        <v>-3.0000000000000001E-3</v>
      </c>
      <c r="BY28">
        <f>'2012_2015 Int Confianca'!BW50</f>
        <v>-3.0000000000000001E-3</v>
      </c>
      <c r="BZ28">
        <f>'2012_2015 Int Confianca'!BX50</f>
        <v>-3.0000000000000001E-3</v>
      </c>
      <c r="CA28">
        <f>'2012_2015 Int Confianca'!BY50</f>
        <v>-3.0999999999999999E-3</v>
      </c>
      <c r="CB28">
        <f>'2012_2015 Int Confianca'!BZ50</f>
        <v>-2.8999999999999998E-3</v>
      </c>
      <c r="CC28">
        <f>'2012_2015 Int Confianca'!CA50</f>
        <v>-3.0000000000000001E-3</v>
      </c>
      <c r="CD28">
        <f>'2012_2015 Int Confianca'!CB50</f>
        <v>-3.2000000000000002E-3</v>
      </c>
      <c r="CE28">
        <f>'2012_2015 Int Confianca'!CC50</f>
        <v>-3.3E-3</v>
      </c>
      <c r="CF28">
        <f>'2012_2015 Int Confianca'!CD50</f>
        <v>-3.3999999999999998E-3</v>
      </c>
      <c r="CG28">
        <f>'2012_2015 Int Confianca'!CE50</f>
        <v>-3.3E-3</v>
      </c>
      <c r="CH28">
        <f>'2012_2015 Int Confianca'!CF50</f>
        <v>-3.0999999999999999E-3</v>
      </c>
      <c r="CI28">
        <f>'2012_2015 Int Confianca'!CG50</f>
        <v>-2.8E-3</v>
      </c>
      <c r="CJ28">
        <f>'2012_2015 Int Confianca'!CH50</f>
        <v>-3.0000000000000001E-3</v>
      </c>
      <c r="CK28">
        <f>'2012_2015 Int Confianca'!CI50</f>
        <v>-3.8E-3</v>
      </c>
      <c r="CL28">
        <f>'2012_2015 Int Confianca'!CJ50</f>
        <v>-3.5999999999999999E-3</v>
      </c>
      <c r="CM28">
        <f>'2012_2015 Int Confianca'!CK50</f>
        <v>-3.5000000000000001E-3</v>
      </c>
      <c r="CN28">
        <f>'2012_2015 Int Confianca'!CL50</f>
        <v>-3.5999999999999999E-3</v>
      </c>
      <c r="CO28">
        <f>'2012_2015 Int Confianca'!CM50</f>
        <v>-3.5000000000000001E-3</v>
      </c>
      <c r="CP28">
        <f>'2012_2015 Int Confianca'!CN50</f>
        <v>-3.3E-3</v>
      </c>
      <c r="CQ28">
        <f>'2012_2015 Int Confianca'!CO50</f>
        <v>-3.8999999999999998E-3</v>
      </c>
      <c r="CR28">
        <f>'2012_2015 Int Confianca'!CP50</f>
        <v>-4.4000000000000003E-3</v>
      </c>
      <c r="CS28">
        <f>'2012_2015 Int Confianca'!CQ50</f>
        <v>-3.8999999999999998E-3</v>
      </c>
      <c r="CT28">
        <f>'2012_2015 Int Confianca'!CR50</f>
        <v>-4.4000000000000003E-3</v>
      </c>
      <c r="CU28">
        <f>'2012_2015 Int Confianca'!CS50</f>
        <v>-3.5000000000000001E-3</v>
      </c>
      <c r="CV28">
        <f>'2012_2015 Int Confianca'!CT50</f>
        <v>-4.3E-3</v>
      </c>
      <c r="CW28">
        <f>'2012_2015 Int Confianca'!CU50</f>
        <v>-4.0000000000000001E-3</v>
      </c>
      <c r="CX28">
        <f>'2012_2015 Int Confianca'!CV50</f>
        <v>-3.2000000000000002E-3</v>
      </c>
    </row>
    <row r="29" spans="1:102" x14ac:dyDescent="0.2">
      <c r="A29" t="s">
        <v>5917</v>
      </c>
      <c r="B29" t="s">
        <v>218</v>
      </c>
      <c r="C29" t="s">
        <v>102</v>
      </c>
      <c r="D29">
        <f>'2012_2015 Int Confianca'!B51</f>
        <v>8.0000000000000004E-4</v>
      </c>
      <c r="E29">
        <f>'2012_2015 Int Confianca'!C51</f>
        <v>1E-3</v>
      </c>
      <c r="F29">
        <f>'2012_2015 Int Confianca'!D51</f>
        <v>8.9999999999999998E-4</v>
      </c>
      <c r="G29">
        <f>'2012_2015 Int Confianca'!E51</f>
        <v>8.0000000000000004E-4</v>
      </c>
      <c r="H29">
        <f>'2012_2015 Int Confianca'!F51</f>
        <v>6.9999999999999999E-4</v>
      </c>
      <c r="I29">
        <f>'2012_2015 Int Confianca'!G51</f>
        <v>6.9999999999999999E-4</v>
      </c>
      <c r="J29">
        <f>'2012_2015 Int Confianca'!H51</f>
        <v>6.9999999999999999E-4</v>
      </c>
      <c r="K29">
        <f>'2012_2015 Int Confianca'!I51</f>
        <v>5.9999999999999995E-4</v>
      </c>
      <c r="L29">
        <f>'2012_2015 Int Confianca'!J51</f>
        <v>5.9999999999999995E-4</v>
      </c>
      <c r="M29">
        <f>'2012_2015 Int Confianca'!K51</f>
        <v>5.0000000000000001E-4</v>
      </c>
      <c r="N29">
        <f>'2012_2015 Int Confianca'!L51</f>
        <v>4.0000000000000002E-4</v>
      </c>
      <c r="O29">
        <f>'2012_2015 Int Confianca'!M51</f>
        <v>4.0000000000000002E-4</v>
      </c>
      <c r="P29">
        <f>'2012_2015 Int Confianca'!N51</f>
        <v>2.9999999999999997E-4</v>
      </c>
      <c r="Q29">
        <f>'2012_2015 Int Confianca'!O51</f>
        <v>2.9999999999999997E-4</v>
      </c>
      <c r="R29">
        <f>'2012_2015 Int Confianca'!P51</f>
        <v>2.0000000000000001E-4</v>
      </c>
      <c r="S29">
        <f>'2012_2015 Int Confianca'!Q51</f>
        <v>2.0000000000000001E-4</v>
      </c>
      <c r="T29">
        <f>'2012_2015 Int Confianca'!R51</f>
        <v>2.0000000000000001E-4</v>
      </c>
      <c r="U29">
        <f>'2012_2015 Int Confianca'!S51</f>
        <v>2.0000000000000001E-4</v>
      </c>
      <c r="V29">
        <f>'2012_2015 Int Confianca'!T51</f>
        <v>2.0000000000000001E-4</v>
      </c>
      <c r="W29">
        <f>'2012_2015 Int Confianca'!U51</f>
        <v>1E-4</v>
      </c>
      <c r="X29">
        <f>'2012_2015 Int Confianca'!V51</f>
        <v>1E-4</v>
      </c>
      <c r="Y29">
        <f>'2012_2015 Int Confianca'!W51</f>
        <v>1E-4</v>
      </c>
      <c r="Z29">
        <f>'2012_2015 Int Confianca'!X51</f>
        <v>1E-4</v>
      </c>
      <c r="AA29">
        <f>'2012_2015 Int Confianca'!Y51</f>
        <v>1E-4</v>
      </c>
      <c r="AB29">
        <f>'2012_2015 Int Confianca'!Z51</f>
        <v>1E-4</v>
      </c>
      <c r="AC29">
        <f>'2012_2015 Int Confianca'!AA51</f>
        <v>1E-4</v>
      </c>
      <c r="AD29">
        <f>'2012_2015 Int Confianca'!AB51</f>
        <v>1E-4</v>
      </c>
      <c r="AE29">
        <f>'2012_2015 Int Confianca'!AC51</f>
        <v>1E-4</v>
      </c>
      <c r="AF29">
        <f>'2012_2015 Int Confianca'!AD51</f>
        <v>1E-4</v>
      </c>
      <c r="AG29">
        <f>'2012_2015 Int Confianca'!AE51</f>
        <v>1E-4</v>
      </c>
      <c r="AH29">
        <f>'2012_2015 Int Confianca'!AF51</f>
        <v>1E-4</v>
      </c>
      <c r="AI29">
        <f>'2012_2015 Int Confianca'!AG51</f>
        <v>1E-4</v>
      </c>
      <c r="AJ29">
        <f>'2012_2015 Int Confianca'!AH51</f>
        <v>1E-4</v>
      </c>
      <c r="AK29">
        <f>'2012_2015 Int Confianca'!AI51</f>
        <v>1E-4</v>
      </c>
      <c r="AL29">
        <f>'2012_2015 Int Confianca'!AJ51</f>
        <v>1E-4</v>
      </c>
      <c r="AM29">
        <f>'2012_2015 Int Confianca'!AK51</f>
        <v>1E-4</v>
      </c>
      <c r="AN29">
        <f>'2012_2015 Int Confianca'!AL51</f>
        <v>1E-4</v>
      </c>
      <c r="AO29">
        <f>'2012_2015 Int Confianca'!AM51</f>
        <v>1E-4</v>
      </c>
      <c r="AP29">
        <f>'2012_2015 Int Confianca'!AN51</f>
        <v>1E-4</v>
      </c>
      <c r="AQ29">
        <f>'2012_2015 Int Confianca'!AO51</f>
        <v>1E-4</v>
      </c>
      <c r="AR29">
        <f>'2012_2015 Int Confianca'!AP51</f>
        <v>1E-4</v>
      </c>
      <c r="AS29">
        <f>'2012_2015 Int Confianca'!AQ51</f>
        <v>1E-4</v>
      </c>
      <c r="AT29">
        <f>'2012_2015 Int Confianca'!AR51</f>
        <v>1E-4</v>
      </c>
      <c r="AU29">
        <f>'2012_2015 Int Confianca'!AS51</f>
        <v>1E-4</v>
      </c>
      <c r="AV29">
        <f>'2012_2015 Int Confianca'!AT51</f>
        <v>1E-4</v>
      </c>
      <c r="AW29">
        <f>'2012_2015 Int Confianca'!AU51</f>
        <v>1E-4</v>
      </c>
      <c r="AX29">
        <f>'2012_2015 Int Confianca'!AV51</f>
        <v>1E-4</v>
      </c>
      <c r="AY29">
        <f>'2012_2015 Int Confianca'!AW51</f>
        <v>1E-4</v>
      </c>
      <c r="AZ29">
        <f>'2012_2015 Int Confianca'!AX51</f>
        <v>1E-4</v>
      </c>
      <c r="BA29">
        <f>'2012_2015 Int Confianca'!AY51</f>
        <v>1E-4</v>
      </c>
      <c r="BB29">
        <f>'2012_2015 Int Confianca'!AZ51</f>
        <v>1E-4</v>
      </c>
      <c r="BC29">
        <f>'2012_2015 Int Confianca'!BA51</f>
        <v>1E-4</v>
      </c>
      <c r="BD29">
        <f>'2012_2015 Int Confianca'!BB51</f>
        <v>1E-4</v>
      </c>
      <c r="BE29">
        <f>'2012_2015 Int Confianca'!BC51</f>
        <v>1E-4</v>
      </c>
      <c r="BF29">
        <f>'2012_2015 Int Confianca'!BD51</f>
        <v>1E-4</v>
      </c>
      <c r="BG29">
        <f>'2012_2015 Int Confianca'!BE51</f>
        <v>1E-4</v>
      </c>
      <c r="BH29">
        <f>'2012_2015 Int Confianca'!BF51</f>
        <v>1E-4</v>
      </c>
      <c r="BI29">
        <f>'2012_2015 Int Confianca'!BG51</f>
        <v>1E-4</v>
      </c>
      <c r="BJ29">
        <f>'2012_2015 Int Confianca'!BH51</f>
        <v>1E-4</v>
      </c>
      <c r="BK29">
        <f>'2012_2015 Int Confianca'!BI51</f>
        <v>1E-4</v>
      </c>
      <c r="BL29">
        <f>'2012_2015 Int Confianca'!BJ51</f>
        <v>1E-4</v>
      </c>
      <c r="BM29">
        <f>'2012_2015 Int Confianca'!BK51</f>
        <v>1E-4</v>
      </c>
      <c r="BN29">
        <f>'2012_2015 Int Confianca'!BL51</f>
        <v>1E-4</v>
      </c>
      <c r="BO29">
        <f>'2012_2015 Int Confianca'!BM51</f>
        <v>1E-4</v>
      </c>
      <c r="BP29">
        <f>'2012_2015 Int Confianca'!BN51</f>
        <v>1E-4</v>
      </c>
      <c r="BQ29">
        <f>'2012_2015 Int Confianca'!BO51</f>
        <v>1E-4</v>
      </c>
      <c r="BR29">
        <f>'2012_2015 Int Confianca'!BP51</f>
        <v>1E-4</v>
      </c>
      <c r="BS29">
        <f>'2012_2015 Int Confianca'!BQ51</f>
        <v>1E-4</v>
      </c>
      <c r="BT29">
        <f>'2012_2015 Int Confianca'!BR51</f>
        <v>1E-4</v>
      </c>
      <c r="BU29">
        <f>'2012_2015 Int Confianca'!BS51</f>
        <v>1E-4</v>
      </c>
      <c r="BV29">
        <f>'2012_2015 Int Confianca'!BT51</f>
        <v>1E-4</v>
      </c>
      <c r="BW29">
        <f>'2012_2015 Int Confianca'!BU51</f>
        <v>1E-4</v>
      </c>
      <c r="BX29">
        <f>'2012_2015 Int Confianca'!BV51</f>
        <v>1E-4</v>
      </c>
      <c r="BY29">
        <f>'2012_2015 Int Confianca'!BW51</f>
        <v>1E-4</v>
      </c>
      <c r="BZ29">
        <f>'2012_2015 Int Confianca'!BX51</f>
        <v>1E-4</v>
      </c>
      <c r="CA29">
        <f>'2012_2015 Int Confianca'!BY51</f>
        <v>1E-4</v>
      </c>
      <c r="CB29">
        <f>'2012_2015 Int Confianca'!BZ51</f>
        <v>1E-4</v>
      </c>
      <c r="CC29">
        <f>'2012_2015 Int Confianca'!CA51</f>
        <v>1E-4</v>
      </c>
      <c r="CD29">
        <f>'2012_2015 Int Confianca'!CB51</f>
        <v>1E-4</v>
      </c>
      <c r="CE29">
        <f>'2012_2015 Int Confianca'!CC51</f>
        <v>1E-4</v>
      </c>
      <c r="CF29">
        <f>'2012_2015 Int Confianca'!CD51</f>
        <v>1E-4</v>
      </c>
      <c r="CG29">
        <f>'2012_2015 Int Confianca'!CE51</f>
        <v>1E-4</v>
      </c>
      <c r="CH29">
        <f>'2012_2015 Int Confianca'!CF51</f>
        <v>1E-4</v>
      </c>
      <c r="CI29">
        <f>'2012_2015 Int Confianca'!CG51</f>
        <v>1E-4</v>
      </c>
      <c r="CJ29">
        <f>'2012_2015 Int Confianca'!CH51</f>
        <v>1E-4</v>
      </c>
      <c r="CK29">
        <f>'2012_2015 Int Confianca'!CI51</f>
        <v>1E-4</v>
      </c>
      <c r="CL29">
        <f>'2012_2015 Int Confianca'!CJ51</f>
        <v>1E-4</v>
      </c>
      <c r="CM29">
        <f>'2012_2015 Int Confianca'!CK51</f>
        <v>1E-4</v>
      </c>
      <c r="CN29">
        <f>'2012_2015 Int Confianca'!CL51</f>
        <v>1E-4</v>
      </c>
      <c r="CO29">
        <f>'2012_2015 Int Confianca'!CM51</f>
        <v>1E-4</v>
      </c>
      <c r="CP29">
        <f>'2012_2015 Int Confianca'!CN51</f>
        <v>1E-4</v>
      </c>
      <c r="CQ29">
        <f>'2012_2015 Int Confianca'!CO51</f>
        <v>1E-4</v>
      </c>
      <c r="CR29">
        <f>'2012_2015 Int Confianca'!CP51</f>
        <v>1E-4</v>
      </c>
      <c r="CS29">
        <f>'2012_2015 Int Confianca'!CQ51</f>
        <v>0</v>
      </c>
      <c r="CT29">
        <f>'2012_2015 Int Confianca'!CR51</f>
        <v>0</v>
      </c>
      <c r="CU29">
        <f>'2012_2015 Int Confianca'!CS51</f>
        <v>0</v>
      </c>
      <c r="CV29">
        <f>'2012_2015 Int Confianca'!CT51</f>
        <v>0</v>
      </c>
      <c r="CW29">
        <f>'2012_2015 Int Confianca'!CU51</f>
        <v>0</v>
      </c>
      <c r="CX29">
        <f>'2012_2015 Int Confianca'!CV51</f>
        <v>0</v>
      </c>
    </row>
    <row r="30" spans="1:102" x14ac:dyDescent="0.2">
      <c r="A30" t="s">
        <v>5918</v>
      </c>
      <c r="B30" t="s">
        <v>218</v>
      </c>
      <c r="C30" t="s">
        <v>102</v>
      </c>
      <c r="D30">
        <f>'2012_2015 Int Confianca'!B52</f>
        <v>3.3E-3</v>
      </c>
      <c r="E30">
        <f>'2012_2015 Int Confianca'!C52</f>
        <v>3.8E-3</v>
      </c>
      <c r="F30">
        <f>'2012_2015 Int Confianca'!D52</f>
        <v>3.5000000000000001E-3</v>
      </c>
      <c r="G30">
        <f>'2012_2015 Int Confianca'!E52</f>
        <v>3.0999999999999999E-3</v>
      </c>
      <c r="H30">
        <f>'2012_2015 Int Confianca'!F52</f>
        <v>2.8E-3</v>
      </c>
      <c r="I30">
        <f>'2012_2015 Int Confianca'!G52</f>
        <v>2.7000000000000001E-3</v>
      </c>
      <c r="J30">
        <f>'2012_2015 Int Confianca'!H52</f>
        <v>2.5000000000000001E-3</v>
      </c>
      <c r="K30">
        <f>'2012_2015 Int Confianca'!I52</f>
        <v>2.3E-3</v>
      </c>
      <c r="L30">
        <f>'2012_2015 Int Confianca'!J52</f>
        <v>2.2000000000000001E-3</v>
      </c>
      <c r="M30">
        <f>'2012_2015 Int Confianca'!K52</f>
        <v>1.6999999999999999E-3</v>
      </c>
      <c r="N30">
        <f>'2012_2015 Int Confianca'!L52</f>
        <v>1.6000000000000001E-3</v>
      </c>
      <c r="O30">
        <f>'2012_2015 Int Confianca'!M52</f>
        <v>1.4E-3</v>
      </c>
      <c r="P30">
        <f>'2012_2015 Int Confianca'!N52</f>
        <v>1.1999999999999999E-3</v>
      </c>
      <c r="Q30">
        <f>'2012_2015 Int Confianca'!O52</f>
        <v>1E-3</v>
      </c>
      <c r="R30">
        <f>'2012_2015 Int Confianca'!P52</f>
        <v>8.0000000000000004E-4</v>
      </c>
      <c r="S30">
        <f>'2012_2015 Int Confianca'!Q52</f>
        <v>6.9999999999999999E-4</v>
      </c>
      <c r="T30">
        <f>'2012_2015 Int Confianca'!R52</f>
        <v>6.9999999999999999E-4</v>
      </c>
      <c r="U30">
        <f>'2012_2015 Int Confianca'!S52</f>
        <v>5.9999999999999995E-4</v>
      </c>
      <c r="V30">
        <f>'2012_2015 Int Confianca'!T52</f>
        <v>5.9999999999999995E-4</v>
      </c>
      <c r="W30">
        <f>'2012_2015 Int Confianca'!U52</f>
        <v>5.9999999999999995E-4</v>
      </c>
      <c r="X30">
        <f>'2012_2015 Int Confianca'!V52</f>
        <v>5.0000000000000001E-4</v>
      </c>
      <c r="Y30">
        <f>'2012_2015 Int Confianca'!W52</f>
        <v>5.0000000000000001E-4</v>
      </c>
      <c r="Z30">
        <f>'2012_2015 Int Confianca'!X52</f>
        <v>5.0000000000000001E-4</v>
      </c>
      <c r="AA30">
        <f>'2012_2015 Int Confianca'!Y52</f>
        <v>5.0000000000000001E-4</v>
      </c>
      <c r="AB30">
        <f>'2012_2015 Int Confianca'!Z52</f>
        <v>5.0000000000000001E-4</v>
      </c>
      <c r="AC30">
        <f>'2012_2015 Int Confianca'!AA52</f>
        <v>5.0000000000000001E-4</v>
      </c>
      <c r="AD30">
        <f>'2012_2015 Int Confianca'!AB52</f>
        <v>5.0000000000000001E-4</v>
      </c>
      <c r="AE30">
        <f>'2012_2015 Int Confianca'!AC52</f>
        <v>4.0000000000000002E-4</v>
      </c>
      <c r="AF30">
        <f>'2012_2015 Int Confianca'!AD52</f>
        <v>4.0000000000000002E-4</v>
      </c>
      <c r="AG30">
        <f>'2012_2015 Int Confianca'!AE52</f>
        <v>4.0000000000000002E-4</v>
      </c>
      <c r="AH30">
        <f>'2012_2015 Int Confianca'!AF52</f>
        <v>4.0000000000000002E-4</v>
      </c>
      <c r="AI30">
        <f>'2012_2015 Int Confianca'!AG52</f>
        <v>4.0000000000000002E-4</v>
      </c>
      <c r="AJ30">
        <f>'2012_2015 Int Confianca'!AH52</f>
        <v>4.0000000000000002E-4</v>
      </c>
      <c r="AK30">
        <f>'2012_2015 Int Confianca'!AI52</f>
        <v>4.0000000000000002E-4</v>
      </c>
      <c r="AL30">
        <f>'2012_2015 Int Confianca'!AJ52</f>
        <v>5.0000000000000001E-4</v>
      </c>
      <c r="AM30">
        <f>'2012_2015 Int Confianca'!AK52</f>
        <v>5.0000000000000001E-4</v>
      </c>
      <c r="AN30">
        <f>'2012_2015 Int Confianca'!AL52</f>
        <v>5.0000000000000001E-4</v>
      </c>
      <c r="AO30">
        <f>'2012_2015 Int Confianca'!AM52</f>
        <v>5.0000000000000001E-4</v>
      </c>
      <c r="AP30">
        <f>'2012_2015 Int Confianca'!AN52</f>
        <v>5.0000000000000001E-4</v>
      </c>
      <c r="AQ30">
        <f>'2012_2015 Int Confianca'!AO52</f>
        <v>5.0000000000000001E-4</v>
      </c>
      <c r="AR30">
        <f>'2012_2015 Int Confianca'!AP52</f>
        <v>5.0000000000000001E-4</v>
      </c>
      <c r="AS30">
        <f>'2012_2015 Int Confianca'!AQ52</f>
        <v>5.0000000000000001E-4</v>
      </c>
      <c r="AT30">
        <f>'2012_2015 Int Confianca'!AR52</f>
        <v>5.0000000000000001E-4</v>
      </c>
      <c r="AU30">
        <f>'2012_2015 Int Confianca'!AS52</f>
        <v>5.0000000000000001E-4</v>
      </c>
      <c r="AV30">
        <f>'2012_2015 Int Confianca'!AT52</f>
        <v>4.0000000000000002E-4</v>
      </c>
      <c r="AW30">
        <f>'2012_2015 Int Confianca'!AU52</f>
        <v>4.0000000000000002E-4</v>
      </c>
      <c r="AX30">
        <f>'2012_2015 Int Confianca'!AV52</f>
        <v>4.0000000000000002E-4</v>
      </c>
      <c r="AY30">
        <f>'2012_2015 Int Confianca'!AW52</f>
        <v>4.0000000000000002E-4</v>
      </c>
      <c r="AZ30">
        <f>'2012_2015 Int Confianca'!AX52</f>
        <v>4.0000000000000002E-4</v>
      </c>
      <c r="BA30">
        <f>'2012_2015 Int Confianca'!AY52</f>
        <v>4.0000000000000002E-4</v>
      </c>
      <c r="BB30">
        <f>'2012_2015 Int Confianca'!AZ52</f>
        <v>4.0000000000000002E-4</v>
      </c>
      <c r="BC30">
        <f>'2012_2015 Int Confianca'!BA52</f>
        <v>4.0000000000000002E-4</v>
      </c>
      <c r="BD30">
        <f>'2012_2015 Int Confianca'!BB52</f>
        <v>4.0000000000000002E-4</v>
      </c>
      <c r="BE30">
        <f>'2012_2015 Int Confianca'!BC52</f>
        <v>4.0000000000000002E-4</v>
      </c>
      <c r="BF30">
        <f>'2012_2015 Int Confianca'!BD52</f>
        <v>4.0000000000000002E-4</v>
      </c>
      <c r="BG30">
        <f>'2012_2015 Int Confianca'!BE52</f>
        <v>4.0000000000000002E-4</v>
      </c>
      <c r="BH30">
        <f>'2012_2015 Int Confianca'!BF52</f>
        <v>4.0000000000000002E-4</v>
      </c>
      <c r="BI30">
        <f>'2012_2015 Int Confianca'!BG52</f>
        <v>4.0000000000000002E-4</v>
      </c>
      <c r="BJ30">
        <f>'2012_2015 Int Confianca'!BH52</f>
        <v>4.0000000000000002E-4</v>
      </c>
      <c r="BK30">
        <f>'2012_2015 Int Confianca'!BI52</f>
        <v>4.0000000000000002E-4</v>
      </c>
      <c r="BL30">
        <f>'2012_2015 Int Confianca'!BJ52</f>
        <v>4.0000000000000002E-4</v>
      </c>
      <c r="BM30">
        <f>'2012_2015 Int Confianca'!BK52</f>
        <v>4.0000000000000002E-4</v>
      </c>
      <c r="BN30">
        <f>'2012_2015 Int Confianca'!BL52</f>
        <v>4.0000000000000002E-4</v>
      </c>
      <c r="BO30">
        <f>'2012_2015 Int Confianca'!BM52</f>
        <v>4.0000000000000002E-4</v>
      </c>
      <c r="BP30">
        <f>'2012_2015 Int Confianca'!BN52</f>
        <v>4.0000000000000002E-4</v>
      </c>
      <c r="BQ30">
        <f>'2012_2015 Int Confianca'!BO52</f>
        <v>4.0000000000000002E-4</v>
      </c>
      <c r="BR30">
        <f>'2012_2015 Int Confianca'!BP52</f>
        <v>4.0000000000000002E-4</v>
      </c>
      <c r="BS30">
        <f>'2012_2015 Int Confianca'!BQ52</f>
        <v>4.0000000000000002E-4</v>
      </c>
      <c r="BT30">
        <f>'2012_2015 Int Confianca'!BR52</f>
        <v>4.0000000000000002E-4</v>
      </c>
      <c r="BU30">
        <f>'2012_2015 Int Confianca'!BS52</f>
        <v>4.0000000000000002E-4</v>
      </c>
      <c r="BV30">
        <f>'2012_2015 Int Confianca'!BT52</f>
        <v>5.0000000000000001E-4</v>
      </c>
      <c r="BW30">
        <f>'2012_2015 Int Confianca'!BU52</f>
        <v>5.0000000000000001E-4</v>
      </c>
      <c r="BX30">
        <f>'2012_2015 Int Confianca'!BV52</f>
        <v>5.0000000000000001E-4</v>
      </c>
      <c r="BY30">
        <f>'2012_2015 Int Confianca'!BW52</f>
        <v>5.0000000000000001E-4</v>
      </c>
      <c r="BZ30">
        <f>'2012_2015 Int Confianca'!BX52</f>
        <v>5.0000000000000001E-4</v>
      </c>
      <c r="CA30">
        <f>'2012_2015 Int Confianca'!BY52</f>
        <v>5.0000000000000001E-4</v>
      </c>
      <c r="CB30">
        <f>'2012_2015 Int Confianca'!BZ52</f>
        <v>4.0000000000000002E-4</v>
      </c>
      <c r="CC30">
        <f>'2012_2015 Int Confianca'!CA52</f>
        <v>4.0000000000000002E-4</v>
      </c>
      <c r="CD30">
        <f>'2012_2015 Int Confianca'!CB52</f>
        <v>4.0000000000000002E-4</v>
      </c>
      <c r="CE30">
        <f>'2012_2015 Int Confianca'!CC52</f>
        <v>4.0000000000000002E-4</v>
      </c>
      <c r="CF30">
        <f>'2012_2015 Int Confianca'!CD52</f>
        <v>4.0000000000000002E-4</v>
      </c>
      <c r="CG30">
        <f>'2012_2015 Int Confianca'!CE52</f>
        <v>4.0000000000000002E-4</v>
      </c>
      <c r="CH30">
        <f>'2012_2015 Int Confianca'!CF52</f>
        <v>2.9999999999999997E-4</v>
      </c>
      <c r="CI30">
        <f>'2012_2015 Int Confianca'!CG52</f>
        <v>2.9999999999999997E-4</v>
      </c>
      <c r="CJ30">
        <f>'2012_2015 Int Confianca'!CH52</f>
        <v>2.9999999999999997E-4</v>
      </c>
      <c r="CK30">
        <f>'2012_2015 Int Confianca'!CI52</f>
        <v>2.9999999999999997E-4</v>
      </c>
      <c r="CL30">
        <f>'2012_2015 Int Confianca'!CJ52</f>
        <v>2.9999999999999997E-4</v>
      </c>
      <c r="CM30">
        <f>'2012_2015 Int Confianca'!CK52</f>
        <v>2.9999999999999997E-4</v>
      </c>
      <c r="CN30">
        <f>'2012_2015 Int Confianca'!CL52</f>
        <v>2.9999999999999997E-4</v>
      </c>
      <c r="CO30">
        <f>'2012_2015 Int Confianca'!CM52</f>
        <v>2.9999999999999997E-4</v>
      </c>
      <c r="CP30">
        <f>'2012_2015 Int Confianca'!CN52</f>
        <v>2.9999999999999997E-4</v>
      </c>
      <c r="CQ30">
        <f>'2012_2015 Int Confianca'!CO52</f>
        <v>2.9999999999999997E-4</v>
      </c>
      <c r="CR30">
        <f>'2012_2015 Int Confianca'!CP52</f>
        <v>2.9999999999999997E-4</v>
      </c>
      <c r="CS30">
        <f>'2012_2015 Int Confianca'!CQ52</f>
        <v>2.9999999999999997E-4</v>
      </c>
      <c r="CT30">
        <f>'2012_2015 Int Confianca'!CR52</f>
        <v>2.9999999999999997E-4</v>
      </c>
      <c r="CU30">
        <f>'2012_2015 Int Confianca'!CS52</f>
        <v>2.0000000000000001E-4</v>
      </c>
      <c r="CV30">
        <f>'2012_2015 Int Confianca'!CT52</f>
        <v>2.9999999999999997E-4</v>
      </c>
      <c r="CW30">
        <f>'2012_2015 Int Confianca'!CU52</f>
        <v>2.0000000000000001E-4</v>
      </c>
      <c r="CX30">
        <f>'2012_2015 Int Confianca'!CV52</f>
        <v>2.9999999999999997E-4</v>
      </c>
    </row>
    <row r="31" spans="1:102" x14ac:dyDescent="0.2">
      <c r="A31" t="s">
        <v>5919</v>
      </c>
      <c r="B31" t="s">
        <v>218</v>
      </c>
      <c r="C31" t="s">
        <v>102</v>
      </c>
      <c r="D31">
        <f>'2012_2015 Int Confianca'!B53</f>
        <v>5.8999999999999999E-3</v>
      </c>
      <c r="E31">
        <f>'2012_2015 Int Confianca'!C53</f>
        <v>8.6E-3</v>
      </c>
      <c r="F31">
        <f>'2012_2015 Int Confianca'!D53</f>
        <v>9.1999999999999998E-3</v>
      </c>
      <c r="G31">
        <f>'2012_2015 Int Confianca'!E53</f>
        <v>9.4000000000000004E-3</v>
      </c>
      <c r="H31">
        <f>'2012_2015 Int Confianca'!F53</f>
        <v>9.4000000000000004E-3</v>
      </c>
      <c r="I31">
        <f>'2012_2015 Int Confianca'!G53</f>
        <v>1.04E-2</v>
      </c>
      <c r="J31">
        <f>'2012_2015 Int Confianca'!H53</f>
        <v>1.03E-2</v>
      </c>
      <c r="K31">
        <f>'2012_2015 Int Confianca'!I53</f>
        <v>0.01</v>
      </c>
      <c r="L31">
        <f>'2012_2015 Int Confianca'!J53</f>
        <v>1.0200000000000001E-2</v>
      </c>
      <c r="M31">
        <f>'2012_2015 Int Confianca'!K53</f>
        <v>8.2000000000000007E-3</v>
      </c>
      <c r="N31">
        <f>'2012_2015 Int Confianca'!L53</f>
        <v>8.0000000000000002E-3</v>
      </c>
      <c r="O31">
        <f>'2012_2015 Int Confianca'!M53</f>
        <v>7.4999999999999997E-3</v>
      </c>
      <c r="P31">
        <f>'2012_2015 Int Confianca'!N53</f>
        <v>6.7999999999999996E-3</v>
      </c>
      <c r="Q31">
        <f>'2012_2015 Int Confianca'!O53</f>
        <v>5.8999999999999999E-3</v>
      </c>
      <c r="R31">
        <f>'2012_2015 Int Confianca'!P53</f>
        <v>4.7000000000000002E-3</v>
      </c>
      <c r="S31">
        <f>'2012_2015 Int Confianca'!Q53</f>
        <v>4.1999999999999997E-3</v>
      </c>
      <c r="T31">
        <f>'2012_2015 Int Confianca'!R53</f>
        <v>3.8999999999999998E-3</v>
      </c>
      <c r="U31">
        <f>'2012_2015 Int Confianca'!S53</f>
        <v>3.8E-3</v>
      </c>
      <c r="V31">
        <f>'2012_2015 Int Confianca'!T53</f>
        <v>3.3E-3</v>
      </c>
      <c r="W31">
        <f>'2012_2015 Int Confianca'!U53</f>
        <v>3.0999999999999999E-3</v>
      </c>
      <c r="X31">
        <f>'2012_2015 Int Confianca'!V53</f>
        <v>2.8999999999999998E-3</v>
      </c>
      <c r="Y31">
        <f>'2012_2015 Int Confianca'!W53</f>
        <v>2.8E-3</v>
      </c>
      <c r="Z31">
        <f>'2012_2015 Int Confianca'!X53</f>
        <v>2.5999999999999999E-3</v>
      </c>
      <c r="AA31">
        <f>'2012_2015 Int Confianca'!Y53</f>
        <v>2.3999999999999998E-3</v>
      </c>
      <c r="AB31">
        <f>'2012_2015 Int Confianca'!Z53</f>
        <v>2.2000000000000001E-3</v>
      </c>
      <c r="AC31">
        <f>'2012_2015 Int Confianca'!AA53</f>
        <v>2.0999999999999999E-3</v>
      </c>
      <c r="AD31">
        <f>'2012_2015 Int Confianca'!AB53</f>
        <v>2E-3</v>
      </c>
      <c r="AE31">
        <f>'2012_2015 Int Confianca'!AC53</f>
        <v>1.9E-3</v>
      </c>
      <c r="AF31">
        <f>'2012_2015 Int Confianca'!AD53</f>
        <v>1.8E-3</v>
      </c>
      <c r="AG31">
        <f>'2012_2015 Int Confianca'!AE53</f>
        <v>1.8E-3</v>
      </c>
      <c r="AH31">
        <f>'2012_2015 Int Confianca'!AF53</f>
        <v>1.6999999999999999E-3</v>
      </c>
      <c r="AI31">
        <f>'2012_2015 Int Confianca'!AG53</f>
        <v>1.6000000000000001E-3</v>
      </c>
      <c r="AJ31">
        <f>'2012_2015 Int Confianca'!AH53</f>
        <v>1.5E-3</v>
      </c>
      <c r="AK31">
        <f>'2012_2015 Int Confianca'!AI53</f>
        <v>1.5E-3</v>
      </c>
      <c r="AL31">
        <f>'2012_2015 Int Confianca'!AJ53</f>
        <v>1.4E-3</v>
      </c>
      <c r="AM31">
        <f>'2012_2015 Int Confianca'!AK53</f>
        <v>1.4E-3</v>
      </c>
      <c r="AN31">
        <f>'2012_2015 Int Confianca'!AL53</f>
        <v>1.4E-3</v>
      </c>
      <c r="AO31">
        <f>'2012_2015 Int Confianca'!AM53</f>
        <v>1.4E-3</v>
      </c>
      <c r="AP31">
        <f>'2012_2015 Int Confianca'!AN53</f>
        <v>1.2999999999999999E-3</v>
      </c>
      <c r="AQ31">
        <f>'2012_2015 Int Confianca'!AO53</f>
        <v>1.1999999999999999E-3</v>
      </c>
      <c r="AR31">
        <f>'2012_2015 Int Confianca'!AP53</f>
        <v>1.1999999999999999E-3</v>
      </c>
      <c r="AS31">
        <f>'2012_2015 Int Confianca'!AQ53</f>
        <v>1.1000000000000001E-3</v>
      </c>
      <c r="AT31">
        <f>'2012_2015 Int Confianca'!AR53</f>
        <v>8.9999999999999998E-4</v>
      </c>
      <c r="AU31">
        <f>'2012_2015 Int Confianca'!AS53</f>
        <v>8.0000000000000004E-4</v>
      </c>
      <c r="AV31">
        <f>'2012_2015 Int Confianca'!AT53</f>
        <v>6.9999999999999999E-4</v>
      </c>
      <c r="AW31">
        <f>'2012_2015 Int Confianca'!AU53</f>
        <v>5.9999999999999995E-4</v>
      </c>
      <c r="AX31">
        <f>'2012_2015 Int Confianca'!AV53</f>
        <v>5.9999999999999995E-4</v>
      </c>
      <c r="AY31">
        <f>'2012_2015 Int Confianca'!AW53</f>
        <v>5.9999999999999995E-4</v>
      </c>
      <c r="AZ31">
        <f>'2012_2015 Int Confianca'!AX53</f>
        <v>5.9999999999999995E-4</v>
      </c>
      <c r="BA31">
        <f>'2012_2015 Int Confianca'!AY53</f>
        <v>5.0000000000000001E-4</v>
      </c>
      <c r="BB31">
        <f>'2012_2015 Int Confianca'!AZ53</f>
        <v>5.0000000000000001E-4</v>
      </c>
      <c r="BC31">
        <f>'2012_2015 Int Confianca'!BA53</f>
        <v>4.0000000000000002E-4</v>
      </c>
      <c r="BD31">
        <f>'2012_2015 Int Confianca'!BB53</f>
        <v>4.0000000000000002E-4</v>
      </c>
      <c r="BE31">
        <f>'2012_2015 Int Confianca'!BC53</f>
        <v>2.9999999999999997E-4</v>
      </c>
      <c r="BF31">
        <f>'2012_2015 Int Confianca'!BD53</f>
        <v>1E-4</v>
      </c>
      <c r="BG31">
        <f>'2012_2015 Int Confianca'!BE53</f>
        <v>0</v>
      </c>
      <c r="BH31">
        <f>'2012_2015 Int Confianca'!BF53</f>
        <v>0</v>
      </c>
      <c r="BI31">
        <f>'2012_2015 Int Confianca'!BG53</f>
        <v>-1E-4</v>
      </c>
      <c r="BJ31">
        <f>'2012_2015 Int Confianca'!BH53</f>
        <v>0</v>
      </c>
      <c r="BK31">
        <f>'2012_2015 Int Confianca'!BI53</f>
        <v>-1E-4</v>
      </c>
      <c r="BL31">
        <f>'2012_2015 Int Confianca'!BJ53</f>
        <v>-1E-4</v>
      </c>
      <c r="BM31">
        <f>'2012_2015 Int Confianca'!BK53</f>
        <v>-1E-4</v>
      </c>
      <c r="BN31">
        <f>'2012_2015 Int Confianca'!BL53</f>
        <v>-1E-4</v>
      </c>
      <c r="BO31">
        <f>'2012_2015 Int Confianca'!BM53</f>
        <v>-2.0000000000000001E-4</v>
      </c>
      <c r="BP31">
        <f>'2012_2015 Int Confianca'!BN53</f>
        <v>-2.9999999999999997E-4</v>
      </c>
      <c r="BQ31">
        <f>'2012_2015 Int Confianca'!BO53</f>
        <v>-4.0000000000000002E-4</v>
      </c>
      <c r="BR31">
        <f>'2012_2015 Int Confianca'!BP53</f>
        <v>-4.0000000000000002E-4</v>
      </c>
      <c r="BS31">
        <f>'2012_2015 Int Confianca'!BQ53</f>
        <v>-4.0000000000000002E-4</v>
      </c>
      <c r="BT31">
        <f>'2012_2015 Int Confianca'!BR53</f>
        <v>-5.9999999999999995E-4</v>
      </c>
      <c r="BU31">
        <f>'2012_2015 Int Confianca'!BS53</f>
        <v>-5.9999999999999995E-4</v>
      </c>
      <c r="BV31">
        <f>'2012_2015 Int Confianca'!BT53</f>
        <v>-6.9999999999999999E-4</v>
      </c>
      <c r="BW31">
        <f>'2012_2015 Int Confianca'!BU53</f>
        <v>-8.0000000000000004E-4</v>
      </c>
      <c r="BX31">
        <f>'2012_2015 Int Confianca'!BV53</f>
        <v>-6.9999999999999999E-4</v>
      </c>
      <c r="BY31">
        <f>'2012_2015 Int Confianca'!BW53</f>
        <v>-8.0000000000000004E-4</v>
      </c>
      <c r="BZ31">
        <f>'2012_2015 Int Confianca'!BX53</f>
        <v>-8.0000000000000004E-4</v>
      </c>
      <c r="CA31">
        <f>'2012_2015 Int Confianca'!BY53</f>
        <v>-8.9999999999999998E-4</v>
      </c>
      <c r="CB31">
        <f>'2012_2015 Int Confianca'!BZ53</f>
        <v>-1E-3</v>
      </c>
      <c r="CC31">
        <f>'2012_2015 Int Confianca'!CA53</f>
        <v>-1E-3</v>
      </c>
      <c r="CD31">
        <f>'2012_2015 Int Confianca'!CB53</f>
        <v>-1E-3</v>
      </c>
      <c r="CE31">
        <f>'2012_2015 Int Confianca'!CC53</f>
        <v>-8.9999999999999998E-4</v>
      </c>
      <c r="CF31">
        <f>'2012_2015 Int Confianca'!CD53</f>
        <v>-8.9999999999999998E-4</v>
      </c>
      <c r="CG31">
        <f>'2012_2015 Int Confianca'!CE53</f>
        <v>-1.1000000000000001E-3</v>
      </c>
      <c r="CH31">
        <f>'2012_2015 Int Confianca'!CF53</f>
        <v>-1E-3</v>
      </c>
      <c r="CI31">
        <f>'2012_2015 Int Confianca'!CG53</f>
        <v>-8.0000000000000004E-4</v>
      </c>
      <c r="CJ31">
        <f>'2012_2015 Int Confianca'!CH53</f>
        <v>-8.0000000000000004E-4</v>
      </c>
      <c r="CK31">
        <f>'2012_2015 Int Confianca'!CI53</f>
        <v>-1E-3</v>
      </c>
      <c r="CL31">
        <f>'2012_2015 Int Confianca'!CJ53</f>
        <v>-8.9999999999999998E-4</v>
      </c>
      <c r="CM31">
        <f>'2012_2015 Int Confianca'!CK53</f>
        <v>-8.0000000000000004E-4</v>
      </c>
      <c r="CN31">
        <f>'2012_2015 Int Confianca'!CL53</f>
        <v>-1.1000000000000001E-3</v>
      </c>
      <c r="CO31">
        <f>'2012_2015 Int Confianca'!CM53</f>
        <v>-1.1000000000000001E-3</v>
      </c>
      <c r="CP31">
        <f>'2012_2015 Int Confianca'!CN53</f>
        <v>-8.9999999999999998E-4</v>
      </c>
      <c r="CQ31">
        <f>'2012_2015 Int Confianca'!CO53</f>
        <v>-1.1000000000000001E-3</v>
      </c>
      <c r="CR31">
        <f>'2012_2015 Int Confianca'!CP53</f>
        <v>-1.2999999999999999E-3</v>
      </c>
      <c r="CS31">
        <f>'2012_2015 Int Confianca'!CQ53</f>
        <v>-1E-3</v>
      </c>
      <c r="CT31">
        <f>'2012_2015 Int Confianca'!CR53</f>
        <v>-1E-3</v>
      </c>
      <c r="CU31">
        <f>'2012_2015 Int Confianca'!CS53</f>
        <v>-6.9999999999999999E-4</v>
      </c>
      <c r="CV31">
        <f>'2012_2015 Int Confianca'!CT53</f>
        <v>-1E-3</v>
      </c>
      <c r="CW31">
        <f>'2012_2015 Int Confianca'!CU53</f>
        <v>-1.4E-3</v>
      </c>
      <c r="CX31">
        <f>'2012_2015 Int Confianca'!CV53</f>
        <v>-1.6000000000000001E-3</v>
      </c>
    </row>
    <row r="32" spans="1:102" x14ac:dyDescent="0.2">
      <c r="A32" t="s">
        <v>5920</v>
      </c>
      <c r="B32" t="s">
        <v>218</v>
      </c>
      <c r="C32" t="s">
        <v>102</v>
      </c>
      <c r="D32">
        <f>'2012_2015 Int Confianca'!B54</f>
        <v>9.9000000000000008E-3</v>
      </c>
      <c r="E32">
        <f>'2012_2015 Int Confianca'!C54</f>
        <v>1.43E-2</v>
      </c>
      <c r="F32">
        <f>'2012_2015 Int Confianca'!D54</f>
        <v>1.52E-2</v>
      </c>
      <c r="G32">
        <f>'2012_2015 Int Confianca'!E54</f>
        <v>1.5599999999999999E-2</v>
      </c>
      <c r="H32">
        <f>'2012_2015 Int Confianca'!F54</f>
        <v>1.55E-2</v>
      </c>
      <c r="I32">
        <f>'2012_2015 Int Confianca'!G54</f>
        <v>1.7100000000000001E-2</v>
      </c>
      <c r="J32">
        <f>'2012_2015 Int Confianca'!H54</f>
        <v>1.7100000000000001E-2</v>
      </c>
      <c r="K32">
        <f>'2012_2015 Int Confianca'!I54</f>
        <v>1.6500000000000001E-2</v>
      </c>
      <c r="L32">
        <f>'2012_2015 Int Confianca'!J54</f>
        <v>1.6899999999999998E-2</v>
      </c>
      <c r="M32">
        <f>'2012_2015 Int Confianca'!K54</f>
        <v>1.3599999999999999E-2</v>
      </c>
      <c r="N32">
        <f>'2012_2015 Int Confianca'!L54</f>
        <v>1.3100000000000001E-2</v>
      </c>
      <c r="O32">
        <f>'2012_2015 Int Confianca'!M54</f>
        <v>1.24E-2</v>
      </c>
      <c r="P32">
        <f>'2012_2015 Int Confianca'!N54</f>
        <v>1.12E-2</v>
      </c>
      <c r="Q32">
        <f>'2012_2015 Int Confianca'!O54</f>
        <v>9.7000000000000003E-3</v>
      </c>
      <c r="R32">
        <f>'2012_2015 Int Confianca'!P54</f>
        <v>7.7999999999999996E-3</v>
      </c>
      <c r="S32">
        <f>'2012_2015 Int Confianca'!Q54</f>
        <v>6.8999999999999999E-3</v>
      </c>
      <c r="T32">
        <f>'2012_2015 Int Confianca'!R54</f>
        <v>6.4999999999999997E-3</v>
      </c>
      <c r="U32">
        <f>'2012_2015 Int Confianca'!S54</f>
        <v>6.1999999999999998E-3</v>
      </c>
      <c r="V32">
        <f>'2012_2015 Int Confianca'!T54</f>
        <v>5.4999999999999997E-3</v>
      </c>
      <c r="W32">
        <f>'2012_2015 Int Confianca'!U54</f>
        <v>5.0000000000000001E-3</v>
      </c>
      <c r="X32">
        <f>'2012_2015 Int Confianca'!V54</f>
        <v>4.7999999999999996E-3</v>
      </c>
      <c r="Y32">
        <f>'2012_2015 Int Confianca'!W54</f>
        <v>4.5999999999999999E-3</v>
      </c>
      <c r="Z32">
        <f>'2012_2015 Int Confianca'!X54</f>
        <v>4.3E-3</v>
      </c>
      <c r="AA32">
        <f>'2012_2015 Int Confianca'!Y54</f>
        <v>4.0000000000000001E-3</v>
      </c>
      <c r="AB32">
        <f>'2012_2015 Int Confianca'!Z54</f>
        <v>3.7000000000000002E-3</v>
      </c>
      <c r="AC32">
        <f>'2012_2015 Int Confianca'!AA54</f>
        <v>3.3999999999999998E-3</v>
      </c>
      <c r="AD32">
        <f>'2012_2015 Int Confianca'!AB54</f>
        <v>3.2000000000000002E-3</v>
      </c>
      <c r="AE32">
        <f>'2012_2015 Int Confianca'!AC54</f>
        <v>3.0999999999999999E-3</v>
      </c>
      <c r="AF32">
        <f>'2012_2015 Int Confianca'!AD54</f>
        <v>3.0000000000000001E-3</v>
      </c>
      <c r="AG32">
        <f>'2012_2015 Int Confianca'!AE54</f>
        <v>3.0000000000000001E-3</v>
      </c>
      <c r="AH32">
        <f>'2012_2015 Int Confianca'!AF54</f>
        <v>2.8E-3</v>
      </c>
      <c r="AI32">
        <f>'2012_2015 Int Confianca'!AG54</f>
        <v>2.7000000000000001E-3</v>
      </c>
      <c r="AJ32">
        <f>'2012_2015 Int Confianca'!AH54</f>
        <v>2.5999999999999999E-3</v>
      </c>
      <c r="AK32">
        <f>'2012_2015 Int Confianca'!AI54</f>
        <v>2.5000000000000001E-3</v>
      </c>
      <c r="AL32">
        <f>'2012_2015 Int Confianca'!AJ54</f>
        <v>2.3999999999999998E-3</v>
      </c>
      <c r="AM32">
        <f>'2012_2015 Int Confianca'!AK54</f>
        <v>2.3999999999999998E-3</v>
      </c>
      <c r="AN32">
        <f>'2012_2015 Int Confianca'!AL54</f>
        <v>2.3999999999999998E-3</v>
      </c>
      <c r="AO32">
        <f>'2012_2015 Int Confianca'!AM54</f>
        <v>2.3E-3</v>
      </c>
      <c r="AP32">
        <f>'2012_2015 Int Confianca'!AN54</f>
        <v>2.2000000000000001E-3</v>
      </c>
      <c r="AQ32">
        <f>'2012_2015 Int Confianca'!AO54</f>
        <v>2.0999999999999999E-3</v>
      </c>
      <c r="AR32">
        <f>'2012_2015 Int Confianca'!AP54</f>
        <v>2E-3</v>
      </c>
      <c r="AS32">
        <f>'2012_2015 Int Confianca'!AQ54</f>
        <v>1.8E-3</v>
      </c>
      <c r="AT32">
        <f>'2012_2015 Int Confianca'!AR54</f>
        <v>1.6000000000000001E-3</v>
      </c>
      <c r="AU32">
        <f>'2012_2015 Int Confianca'!AS54</f>
        <v>1.4E-3</v>
      </c>
      <c r="AV32">
        <f>'2012_2015 Int Confianca'!AT54</f>
        <v>1.1999999999999999E-3</v>
      </c>
      <c r="AW32">
        <f>'2012_2015 Int Confianca'!AU54</f>
        <v>1.1000000000000001E-3</v>
      </c>
      <c r="AX32">
        <f>'2012_2015 Int Confianca'!AV54</f>
        <v>1.1000000000000001E-3</v>
      </c>
      <c r="AY32">
        <f>'2012_2015 Int Confianca'!AW54</f>
        <v>1.1000000000000001E-3</v>
      </c>
      <c r="AZ32">
        <f>'2012_2015 Int Confianca'!AX54</f>
        <v>1.1000000000000001E-3</v>
      </c>
      <c r="BA32">
        <f>'2012_2015 Int Confianca'!AY54</f>
        <v>1E-3</v>
      </c>
      <c r="BB32">
        <f>'2012_2015 Int Confianca'!AZ54</f>
        <v>8.9999999999999998E-4</v>
      </c>
      <c r="BC32">
        <f>'2012_2015 Int Confianca'!BA54</f>
        <v>8.0000000000000004E-4</v>
      </c>
      <c r="BD32">
        <f>'2012_2015 Int Confianca'!BB54</f>
        <v>8.0000000000000004E-4</v>
      </c>
      <c r="BE32">
        <f>'2012_2015 Int Confianca'!BC54</f>
        <v>6.9999999999999999E-4</v>
      </c>
      <c r="BF32">
        <f>'2012_2015 Int Confianca'!BD54</f>
        <v>5.0000000000000001E-4</v>
      </c>
      <c r="BG32">
        <f>'2012_2015 Int Confianca'!BE54</f>
        <v>2.9999999999999997E-4</v>
      </c>
      <c r="BH32">
        <f>'2012_2015 Int Confianca'!BF54</f>
        <v>2.9999999999999997E-4</v>
      </c>
      <c r="BI32">
        <f>'2012_2015 Int Confianca'!BG54</f>
        <v>2.0000000000000001E-4</v>
      </c>
      <c r="BJ32">
        <f>'2012_2015 Int Confianca'!BH54</f>
        <v>2.9999999999999997E-4</v>
      </c>
      <c r="BK32">
        <f>'2012_2015 Int Confianca'!BI54</f>
        <v>2.0000000000000001E-4</v>
      </c>
      <c r="BL32">
        <f>'2012_2015 Int Confianca'!BJ54</f>
        <v>2.0000000000000001E-4</v>
      </c>
      <c r="BM32">
        <f>'2012_2015 Int Confianca'!BK54</f>
        <v>2.0000000000000001E-4</v>
      </c>
      <c r="BN32">
        <f>'2012_2015 Int Confianca'!BL54</f>
        <v>2.0000000000000001E-4</v>
      </c>
      <c r="BO32">
        <f>'2012_2015 Int Confianca'!BM54</f>
        <v>2.0000000000000001E-4</v>
      </c>
      <c r="BP32">
        <f>'2012_2015 Int Confianca'!BN54</f>
        <v>0</v>
      </c>
      <c r="BQ32">
        <f>'2012_2015 Int Confianca'!BO54</f>
        <v>0</v>
      </c>
      <c r="BR32">
        <f>'2012_2015 Int Confianca'!BP54</f>
        <v>0</v>
      </c>
      <c r="BS32">
        <f>'2012_2015 Int Confianca'!BQ54</f>
        <v>-1E-4</v>
      </c>
      <c r="BT32">
        <f>'2012_2015 Int Confianca'!BR54</f>
        <v>-2.0000000000000001E-4</v>
      </c>
      <c r="BU32">
        <f>'2012_2015 Int Confianca'!BS54</f>
        <v>-2.0000000000000001E-4</v>
      </c>
      <c r="BV32">
        <f>'2012_2015 Int Confianca'!BT54</f>
        <v>-2.0000000000000001E-4</v>
      </c>
      <c r="BW32">
        <f>'2012_2015 Int Confianca'!BU54</f>
        <v>-2.9999999999999997E-4</v>
      </c>
      <c r="BX32">
        <f>'2012_2015 Int Confianca'!BV54</f>
        <v>-2.0000000000000001E-4</v>
      </c>
      <c r="BY32">
        <f>'2012_2015 Int Confianca'!BW54</f>
        <v>-2.9999999999999997E-4</v>
      </c>
      <c r="BZ32">
        <f>'2012_2015 Int Confianca'!BX54</f>
        <v>-2.9999999999999997E-4</v>
      </c>
      <c r="CA32">
        <f>'2012_2015 Int Confianca'!BY54</f>
        <v>-2.9999999999999997E-4</v>
      </c>
      <c r="CB32">
        <f>'2012_2015 Int Confianca'!BZ54</f>
        <v>-4.0000000000000002E-4</v>
      </c>
      <c r="CC32">
        <f>'2012_2015 Int Confianca'!CA54</f>
        <v>-4.0000000000000002E-4</v>
      </c>
      <c r="CD32">
        <f>'2012_2015 Int Confianca'!CB54</f>
        <v>-4.0000000000000002E-4</v>
      </c>
      <c r="CE32">
        <f>'2012_2015 Int Confianca'!CC54</f>
        <v>-2.9999999999999997E-4</v>
      </c>
      <c r="CF32">
        <f>'2012_2015 Int Confianca'!CD54</f>
        <v>-2.9999999999999997E-4</v>
      </c>
      <c r="CG32">
        <f>'2012_2015 Int Confianca'!CE54</f>
        <v>-4.0000000000000002E-4</v>
      </c>
      <c r="CH32">
        <f>'2012_2015 Int Confianca'!CF54</f>
        <v>-4.0000000000000002E-4</v>
      </c>
      <c r="CI32">
        <f>'2012_2015 Int Confianca'!CG54</f>
        <v>-2.9999999999999997E-4</v>
      </c>
      <c r="CJ32">
        <f>'2012_2015 Int Confianca'!CH54</f>
        <v>-2.0000000000000001E-4</v>
      </c>
      <c r="CK32">
        <f>'2012_2015 Int Confianca'!CI54</f>
        <v>-2.9999999999999997E-4</v>
      </c>
      <c r="CL32">
        <f>'2012_2015 Int Confianca'!CJ54</f>
        <v>-2.0000000000000001E-4</v>
      </c>
      <c r="CM32">
        <f>'2012_2015 Int Confianca'!CK54</f>
        <v>-1E-4</v>
      </c>
      <c r="CN32">
        <f>'2012_2015 Int Confianca'!CL54</f>
        <v>-2.9999999999999997E-4</v>
      </c>
      <c r="CO32">
        <f>'2012_2015 Int Confianca'!CM54</f>
        <v>-2.9999999999999997E-4</v>
      </c>
      <c r="CP32">
        <f>'2012_2015 Int Confianca'!CN54</f>
        <v>-1E-4</v>
      </c>
      <c r="CQ32">
        <f>'2012_2015 Int Confianca'!CO54</f>
        <v>-2.0000000000000001E-4</v>
      </c>
      <c r="CR32">
        <f>'2012_2015 Int Confianca'!CP54</f>
        <v>-2.9999999999999997E-4</v>
      </c>
      <c r="CS32">
        <f>'2012_2015 Int Confianca'!CQ54</f>
        <v>-1E-4</v>
      </c>
      <c r="CT32">
        <f>'2012_2015 Int Confianca'!CR54</f>
        <v>1E-4</v>
      </c>
      <c r="CU32">
        <f>'2012_2015 Int Confianca'!CS54</f>
        <v>2.9999999999999997E-4</v>
      </c>
      <c r="CV32">
        <f>'2012_2015 Int Confianca'!CT54</f>
        <v>2.9999999999999997E-4</v>
      </c>
      <c r="CW32">
        <f>'2012_2015 Int Confianca'!CU54</f>
        <v>2.0000000000000001E-4</v>
      </c>
      <c r="CX32">
        <f>'2012_2015 Int Confianca'!CV54</f>
        <v>4.0000000000000002E-4</v>
      </c>
    </row>
    <row r="33" spans="1:102" x14ac:dyDescent="0.2">
      <c r="A33" t="s">
        <v>5921</v>
      </c>
      <c r="B33" t="s">
        <v>218</v>
      </c>
      <c r="C33" t="s">
        <v>102</v>
      </c>
      <c r="D33">
        <f>'2012_2015 Int Confianca'!B55</f>
        <v>-2E-3</v>
      </c>
      <c r="E33">
        <f>'2012_2015 Int Confianca'!C55</f>
        <v>-2.5999999999999999E-3</v>
      </c>
      <c r="F33">
        <f>'2012_2015 Int Confianca'!D55</f>
        <v>-2.7000000000000001E-3</v>
      </c>
      <c r="G33">
        <f>'2012_2015 Int Confianca'!E55</f>
        <v>-2.5999999999999999E-3</v>
      </c>
      <c r="H33">
        <f>'2012_2015 Int Confianca'!F55</f>
        <v>-2.3999999999999998E-3</v>
      </c>
      <c r="I33">
        <f>'2012_2015 Int Confianca'!G55</f>
        <v>-2.7000000000000001E-3</v>
      </c>
      <c r="J33">
        <f>'2012_2015 Int Confianca'!H55</f>
        <v>-2.5999999999999999E-3</v>
      </c>
      <c r="K33">
        <f>'2012_2015 Int Confianca'!I55</f>
        <v>-2.3999999999999998E-3</v>
      </c>
      <c r="L33">
        <f>'2012_2015 Int Confianca'!J55</f>
        <v>-2.5000000000000001E-3</v>
      </c>
      <c r="M33">
        <f>'2012_2015 Int Confianca'!K55</f>
        <v>-2E-3</v>
      </c>
      <c r="N33">
        <f>'2012_2015 Int Confianca'!L55</f>
        <v>-1.9E-3</v>
      </c>
      <c r="O33">
        <f>'2012_2015 Int Confianca'!M55</f>
        <v>-1.8E-3</v>
      </c>
      <c r="P33">
        <f>'2012_2015 Int Confianca'!N55</f>
        <v>-1.6000000000000001E-3</v>
      </c>
      <c r="Q33">
        <f>'2012_2015 Int Confianca'!O55</f>
        <v>-1.5E-3</v>
      </c>
      <c r="R33">
        <f>'2012_2015 Int Confianca'!P55</f>
        <v>-1.1999999999999999E-3</v>
      </c>
      <c r="S33">
        <f>'2012_2015 Int Confianca'!Q55</f>
        <v>-1E-3</v>
      </c>
      <c r="T33">
        <f>'2012_2015 Int Confianca'!R55</f>
        <v>-1E-3</v>
      </c>
      <c r="U33">
        <f>'2012_2015 Int Confianca'!S55</f>
        <v>-1E-3</v>
      </c>
      <c r="V33">
        <f>'2012_2015 Int Confianca'!T55</f>
        <v>-8.9999999999999998E-4</v>
      </c>
      <c r="W33">
        <f>'2012_2015 Int Confianca'!U55</f>
        <v>-1E-3</v>
      </c>
      <c r="X33">
        <f>'2012_2015 Int Confianca'!V55</f>
        <v>-8.9999999999999998E-4</v>
      </c>
      <c r="Y33">
        <f>'2012_2015 Int Confianca'!W55</f>
        <v>-8.9999999999999998E-4</v>
      </c>
      <c r="Z33">
        <f>'2012_2015 Int Confianca'!X55</f>
        <v>-8.9999999999999998E-4</v>
      </c>
      <c r="AA33">
        <f>'2012_2015 Int Confianca'!Y55</f>
        <v>-8.9999999999999998E-4</v>
      </c>
      <c r="AB33">
        <f>'2012_2015 Int Confianca'!Z55</f>
        <v>-8.9999999999999998E-4</v>
      </c>
      <c r="AC33">
        <f>'2012_2015 Int Confianca'!AA55</f>
        <v>-8.9999999999999998E-4</v>
      </c>
      <c r="AD33">
        <f>'2012_2015 Int Confianca'!AB55</f>
        <v>-8.9999999999999998E-4</v>
      </c>
      <c r="AE33">
        <f>'2012_2015 Int Confianca'!AC55</f>
        <v>-8.9999999999999998E-4</v>
      </c>
      <c r="AF33">
        <f>'2012_2015 Int Confianca'!AD55</f>
        <v>-8.9999999999999998E-4</v>
      </c>
      <c r="AG33">
        <f>'2012_2015 Int Confianca'!AE55</f>
        <v>-8.0000000000000004E-4</v>
      </c>
      <c r="AH33">
        <f>'2012_2015 Int Confianca'!AF55</f>
        <v>-8.0000000000000004E-4</v>
      </c>
      <c r="AI33">
        <f>'2012_2015 Int Confianca'!AG55</f>
        <v>-8.9999999999999998E-4</v>
      </c>
      <c r="AJ33">
        <f>'2012_2015 Int Confianca'!AH55</f>
        <v>-8.9999999999999998E-4</v>
      </c>
      <c r="AK33">
        <f>'2012_2015 Int Confianca'!AI55</f>
        <v>-8.9999999999999998E-4</v>
      </c>
      <c r="AL33">
        <f>'2012_2015 Int Confianca'!AJ55</f>
        <v>-8.9999999999999998E-4</v>
      </c>
      <c r="AM33">
        <f>'2012_2015 Int Confianca'!AK55</f>
        <v>-8.9999999999999998E-4</v>
      </c>
      <c r="AN33">
        <f>'2012_2015 Int Confianca'!AL55</f>
        <v>-1E-3</v>
      </c>
      <c r="AO33">
        <f>'2012_2015 Int Confianca'!AM55</f>
        <v>-8.9999999999999998E-4</v>
      </c>
      <c r="AP33">
        <f>'2012_2015 Int Confianca'!AN55</f>
        <v>-8.9999999999999998E-4</v>
      </c>
      <c r="AQ33">
        <f>'2012_2015 Int Confianca'!AO55</f>
        <v>-8.9999999999999998E-4</v>
      </c>
      <c r="AR33">
        <f>'2012_2015 Int Confianca'!AP55</f>
        <v>-8.9999999999999998E-4</v>
      </c>
      <c r="AS33">
        <f>'2012_2015 Int Confianca'!AQ55</f>
        <v>-8.9999999999999998E-4</v>
      </c>
      <c r="AT33">
        <f>'2012_2015 Int Confianca'!AR55</f>
        <v>-8.9999999999999998E-4</v>
      </c>
      <c r="AU33">
        <f>'2012_2015 Int Confianca'!AS55</f>
        <v>-8.9999999999999998E-4</v>
      </c>
      <c r="AV33">
        <f>'2012_2015 Int Confianca'!AT55</f>
        <v>-8.9999999999999998E-4</v>
      </c>
      <c r="AW33">
        <f>'2012_2015 Int Confianca'!AU55</f>
        <v>-8.0000000000000004E-4</v>
      </c>
      <c r="AX33">
        <f>'2012_2015 Int Confianca'!AV55</f>
        <v>-8.0000000000000004E-4</v>
      </c>
      <c r="AY33">
        <f>'2012_2015 Int Confianca'!AW55</f>
        <v>-8.0000000000000004E-4</v>
      </c>
      <c r="AZ33">
        <f>'2012_2015 Int Confianca'!AX55</f>
        <v>-6.9999999999999999E-4</v>
      </c>
      <c r="BA33">
        <f>'2012_2015 Int Confianca'!AY55</f>
        <v>-6.9999999999999999E-4</v>
      </c>
      <c r="BB33">
        <f>'2012_2015 Int Confianca'!AZ55</f>
        <v>-6.9999999999999999E-4</v>
      </c>
      <c r="BC33">
        <f>'2012_2015 Int Confianca'!BA55</f>
        <v>-8.0000000000000004E-4</v>
      </c>
      <c r="BD33">
        <f>'2012_2015 Int Confianca'!BB55</f>
        <v>-8.0000000000000004E-4</v>
      </c>
      <c r="BE33">
        <f>'2012_2015 Int Confianca'!BC55</f>
        <v>-8.0000000000000004E-4</v>
      </c>
      <c r="BF33">
        <f>'2012_2015 Int Confianca'!BD55</f>
        <v>-6.9999999999999999E-4</v>
      </c>
      <c r="BG33">
        <f>'2012_2015 Int Confianca'!BE55</f>
        <v>-6.9999999999999999E-4</v>
      </c>
      <c r="BH33">
        <f>'2012_2015 Int Confianca'!BF55</f>
        <v>-6.9999999999999999E-4</v>
      </c>
      <c r="BI33">
        <f>'2012_2015 Int Confianca'!BG55</f>
        <v>-6.9999999999999999E-4</v>
      </c>
      <c r="BJ33">
        <f>'2012_2015 Int Confianca'!BH55</f>
        <v>-6.9999999999999999E-4</v>
      </c>
      <c r="BK33">
        <f>'2012_2015 Int Confianca'!BI55</f>
        <v>-5.0000000000000001E-4</v>
      </c>
      <c r="BL33">
        <f>'2012_2015 Int Confianca'!BJ55</f>
        <v>-5.9999999999999995E-4</v>
      </c>
      <c r="BM33">
        <f>'2012_2015 Int Confianca'!BK55</f>
        <v>-5.0000000000000001E-4</v>
      </c>
      <c r="BN33">
        <f>'2012_2015 Int Confianca'!BL55</f>
        <v>-5.0000000000000001E-4</v>
      </c>
      <c r="BO33">
        <f>'2012_2015 Int Confianca'!BM55</f>
        <v>-5.0000000000000001E-4</v>
      </c>
      <c r="BP33">
        <f>'2012_2015 Int Confianca'!BN55</f>
        <v>-5.0000000000000001E-4</v>
      </c>
      <c r="BQ33">
        <f>'2012_2015 Int Confianca'!BO55</f>
        <v>-5.0000000000000001E-4</v>
      </c>
      <c r="BR33">
        <f>'2012_2015 Int Confianca'!BP55</f>
        <v>-5.0000000000000001E-4</v>
      </c>
      <c r="BS33">
        <f>'2012_2015 Int Confianca'!BQ55</f>
        <v>-5.0000000000000001E-4</v>
      </c>
      <c r="BT33">
        <f>'2012_2015 Int Confianca'!BR55</f>
        <v>-4.0000000000000002E-4</v>
      </c>
      <c r="BU33">
        <f>'2012_2015 Int Confianca'!BS55</f>
        <v>-4.0000000000000002E-4</v>
      </c>
      <c r="BV33">
        <f>'2012_2015 Int Confianca'!BT55</f>
        <v>-5.0000000000000001E-4</v>
      </c>
      <c r="BW33">
        <f>'2012_2015 Int Confianca'!BU55</f>
        <v>-5.0000000000000001E-4</v>
      </c>
      <c r="BX33">
        <f>'2012_2015 Int Confianca'!BV55</f>
        <v>-4.0000000000000002E-4</v>
      </c>
      <c r="BY33">
        <f>'2012_2015 Int Confianca'!BW55</f>
        <v>-4.0000000000000002E-4</v>
      </c>
      <c r="BZ33">
        <f>'2012_2015 Int Confianca'!BX55</f>
        <v>-4.0000000000000002E-4</v>
      </c>
      <c r="CA33">
        <f>'2012_2015 Int Confianca'!BY55</f>
        <v>-4.0000000000000002E-4</v>
      </c>
      <c r="CB33">
        <f>'2012_2015 Int Confianca'!BZ55</f>
        <v>-2.9999999999999997E-4</v>
      </c>
      <c r="CC33">
        <f>'2012_2015 Int Confianca'!CA55</f>
        <v>-2.9999999999999997E-4</v>
      </c>
      <c r="CD33">
        <f>'2012_2015 Int Confianca'!CB55</f>
        <v>-2.9999999999999997E-4</v>
      </c>
      <c r="CE33">
        <f>'2012_2015 Int Confianca'!CC55</f>
        <v>-2.0000000000000001E-4</v>
      </c>
      <c r="CF33">
        <f>'2012_2015 Int Confianca'!CD55</f>
        <v>-2.0000000000000001E-4</v>
      </c>
      <c r="CG33">
        <f>'2012_2015 Int Confianca'!CE55</f>
        <v>-2.0000000000000001E-4</v>
      </c>
      <c r="CH33">
        <f>'2012_2015 Int Confianca'!CF55</f>
        <v>-2.0000000000000001E-4</v>
      </c>
      <c r="CI33">
        <f>'2012_2015 Int Confianca'!CG55</f>
        <v>0</v>
      </c>
      <c r="CJ33">
        <f>'2012_2015 Int Confianca'!CH55</f>
        <v>-1E-4</v>
      </c>
      <c r="CK33">
        <f>'2012_2015 Int Confianca'!CI55</f>
        <v>-1E-4</v>
      </c>
      <c r="CL33">
        <f>'2012_2015 Int Confianca'!CJ55</f>
        <v>-1E-4</v>
      </c>
      <c r="CM33">
        <f>'2012_2015 Int Confianca'!CK55</f>
        <v>-1E-4</v>
      </c>
      <c r="CN33">
        <f>'2012_2015 Int Confianca'!CL55</f>
        <v>-1E-4</v>
      </c>
      <c r="CO33">
        <f>'2012_2015 Int Confianca'!CM55</f>
        <v>-1E-4</v>
      </c>
      <c r="CP33">
        <f>'2012_2015 Int Confianca'!CN55</f>
        <v>0</v>
      </c>
      <c r="CQ33">
        <f>'2012_2015 Int Confianca'!CO55</f>
        <v>0</v>
      </c>
      <c r="CR33">
        <f>'2012_2015 Int Confianca'!CP55</f>
        <v>0</v>
      </c>
      <c r="CS33">
        <f>'2012_2015 Int Confianca'!CQ55</f>
        <v>-1E-4</v>
      </c>
      <c r="CT33">
        <f>'2012_2015 Int Confianca'!CR55</f>
        <v>0</v>
      </c>
      <c r="CU33">
        <f>'2012_2015 Int Confianca'!CS55</f>
        <v>-1E-4</v>
      </c>
      <c r="CV33">
        <f>'2012_2015 Int Confianca'!CT55</f>
        <v>-1E-4</v>
      </c>
      <c r="CW33">
        <f>'2012_2015 Int Confianca'!CU55</f>
        <v>-2.0000000000000001E-4</v>
      </c>
      <c r="CX33">
        <f>'2012_2015 Int Confianca'!CV55</f>
        <v>-4.0000000000000002E-4</v>
      </c>
    </row>
    <row r="34" spans="1:102" x14ac:dyDescent="0.2">
      <c r="A34" t="s">
        <v>5922</v>
      </c>
      <c r="B34" t="s">
        <v>218</v>
      </c>
      <c r="C34" t="s">
        <v>102</v>
      </c>
      <c r="D34">
        <f>'2012_2015 Int Confianca'!B56</f>
        <v>3.0000000000000001E-3</v>
      </c>
      <c r="E34">
        <f>'2012_2015 Int Confianca'!C56</f>
        <v>3.3999999999999998E-3</v>
      </c>
      <c r="F34">
        <f>'2012_2015 Int Confianca'!D56</f>
        <v>3.3E-3</v>
      </c>
      <c r="G34">
        <f>'2012_2015 Int Confianca'!E56</f>
        <v>3.2000000000000002E-3</v>
      </c>
      <c r="H34">
        <f>'2012_2015 Int Confianca'!F56</f>
        <v>2.8E-3</v>
      </c>
      <c r="I34">
        <f>'2012_2015 Int Confianca'!G56</f>
        <v>2.8999999999999998E-3</v>
      </c>
      <c r="J34">
        <f>'2012_2015 Int Confianca'!H56</f>
        <v>2.7000000000000001E-3</v>
      </c>
      <c r="K34">
        <f>'2012_2015 Int Confianca'!I56</f>
        <v>2.3999999999999998E-3</v>
      </c>
      <c r="L34">
        <f>'2012_2015 Int Confianca'!J56</f>
        <v>2.5000000000000001E-3</v>
      </c>
      <c r="M34">
        <f>'2012_2015 Int Confianca'!K56</f>
        <v>1.9E-3</v>
      </c>
      <c r="N34">
        <f>'2012_2015 Int Confianca'!L56</f>
        <v>1.8E-3</v>
      </c>
      <c r="O34">
        <f>'2012_2015 Int Confianca'!M56</f>
        <v>1.6999999999999999E-3</v>
      </c>
      <c r="P34">
        <f>'2012_2015 Int Confianca'!N56</f>
        <v>1.6000000000000001E-3</v>
      </c>
      <c r="Q34">
        <f>'2012_2015 Int Confianca'!O56</f>
        <v>1.2999999999999999E-3</v>
      </c>
      <c r="R34">
        <f>'2012_2015 Int Confianca'!P56</f>
        <v>1.1000000000000001E-3</v>
      </c>
      <c r="S34">
        <f>'2012_2015 Int Confianca'!Q56</f>
        <v>1E-3</v>
      </c>
      <c r="T34">
        <f>'2012_2015 Int Confianca'!R56</f>
        <v>8.9999999999999998E-4</v>
      </c>
      <c r="U34">
        <f>'2012_2015 Int Confianca'!S56</f>
        <v>8.9999999999999998E-4</v>
      </c>
      <c r="V34">
        <f>'2012_2015 Int Confianca'!T56</f>
        <v>8.0000000000000004E-4</v>
      </c>
      <c r="W34">
        <f>'2012_2015 Int Confianca'!U56</f>
        <v>8.9999999999999998E-4</v>
      </c>
      <c r="X34">
        <f>'2012_2015 Int Confianca'!V56</f>
        <v>8.0000000000000004E-4</v>
      </c>
      <c r="Y34">
        <f>'2012_2015 Int Confianca'!W56</f>
        <v>8.0000000000000004E-4</v>
      </c>
      <c r="Z34">
        <f>'2012_2015 Int Confianca'!X56</f>
        <v>8.0000000000000004E-4</v>
      </c>
      <c r="AA34">
        <f>'2012_2015 Int Confianca'!Y56</f>
        <v>8.0000000000000004E-4</v>
      </c>
      <c r="AB34">
        <f>'2012_2015 Int Confianca'!Z56</f>
        <v>8.0000000000000004E-4</v>
      </c>
      <c r="AC34">
        <f>'2012_2015 Int Confianca'!AA56</f>
        <v>8.0000000000000004E-4</v>
      </c>
      <c r="AD34">
        <f>'2012_2015 Int Confianca'!AB56</f>
        <v>8.0000000000000004E-4</v>
      </c>
      <c r="AE34">
        <f>'2012_2015 Int Confianca'!AC56</f>
        <v>6.9999999999999999E-4</v>
      </c>
      <c r="AF34">
        <f>'2012_2015 Int Confianca'!AD56</f>
        <v>8.0000000000000004E-4</v>
      </c>
      <c r="AG34">
        <f>'2012_2015 Int Confianca'!AE56</f>
        <v>8.0000000000000004E-4</v>
      </c>
      <c r="AH34">
        <f>'2012_2015 Int Confianca'!AF56</f>
        <v>6.9999999999999999E-4</v>
      </c>
      <c r="AI34">
        <f>'2012_2015 Int Confianca'!AG56</f>
        <v>8.0000000000000004E-4</v>
      </c>
      <c r="AJ34">
        <f>'2012_2015 Int Confianca'!AH56</f>
        <v>8.0000000000000004E-4</v>
      </c>
      <c r="AK34">
        <f>'2012_2015 Int Confianca'!AI56</f>
        <v>8.0000000000000004E-4</v>
      </c>
      <c r="AL34">
        <f>'2012_2015 Int Confianca'!AJ56</f>
        <v>8.0000000000000004E-4</v>
      </c>
      <c r="AM34">
        <f>'2012_2015 Int Confianca'!AK56</f>
        <v>8.0000000000000004E-4</v>
      </c>
      <c r="AN34">
        <f>'2012_2015 Int Confianca'!AL56</f>
        <v>8.0000000000000004E-4</v>
      </c>
      <c r="AO34">
        <f>'2012_2015 Int Confianca'!AM56</f>
        <v>8.0000000000000004E-4</v>
      </c>
      <c r="AP34">
        <f>'2012_2015 Int Confianca'!AN56</f>
        <v>8.0000000000000004E-4</v>
      </c>
      <c r="AQ34">
        <f>'2012_2015 Int Confianca'!AO56</f>
        <v>8.0000000000000004E-4</v>
      </c>
      <c r="AR34">
        <f>'2012_2015 Int Confianca'!AP56</f>
        <v>8.9999999999999998E-4</v>
      </c>
      <c r="AS34">
        <f>'2012_2015 Int Confianca'!AQ56</f>
        <v>8.0000000000000004E-4</v>
      </c>
      <c r="AT34">
        <f>'2012_2015 Int Confianca'!AR56</f>
        <v>8.0000000000000004E-4</v>
      </c>
      <c r="AU34">
        <f>'2012_2015 Int Confianca'!AS56</f>
        <v>8.0000000000000004E-4</v>
      </c>
      <c r="AV34">
        <f>'2012_2015 Int Confianca'!AT56</f>
        <v>8.0000000000000004E-4</v>
      </c>
      <c r="AW34">
        <f>'2012_2015 Int Confianca'!AU56</f>
        <v>8.0000000000000004E-4</v>
      </c>
      <c r="AX34">
        <f>'2012_2015 Int Confianca'!AV56</f>
        <v>6.9999999999999999E-4</v>
      </c>
      <c r="AY34">
        <f>'2012_2015 Int Confianca'!AW56</f>
        <v>6.9999999999999999E-4</v>
      </c>
      <c r="AZ34">
        <f>'2012_2015 Int Confianca'!AX56</f>
        <v>6.9999999999999999E-4</v>
      </c>
      <c r="BA34">
        <f>'2012_2015 Int Confianca'!AY56</f>
        <v>6.9999999999999999E-4</v>
      </c>
      <c r="BB34">
        <f>'2012_2015 Int Confianca'!AZ56</f>
        <v>6.9999999999999999E-4</v>
      </c>
      <c r="BC34">
        <f>'2012_2015 Int Confianca'!BA56</f>
        <v>8.0000000000000004E-4</v>
      </c>
      <c r="BD34">
        <f>'2012_2015 Int Confianca'!BB56</f>
        <v>8.0000000000000004E-4</v>
      </c>
      <c r="BE34">
        <f>'2012_2015 Int Confianca'!BC56</f>
        <v>8.0000000000000004E-4</v>
      </c>
      <c r="BF34">
        <f>'2012_2015 Int Confianca'!BD56</f>
        <v>8.0000000000000004E-4</v>
      </c>
      <c r="BG34">
        <f>'2012_2015 Int Confianca'!BE56</f>
        <v>8.0000000000000004E-4</v>
      </c>
      <c r="BH34">
        <f>'2012_2015 Int Confianca'!BF56</f>
        <v>6.9999999999999999E-4</v>
      </c>
      <c r="BI34">
        <f>'2012_2015 Int Confianca'!BG56</f>
        <v>6.9999999999999999E-4</v>
      </c>
      <c r="BJ34">
        <f>'2012_2015 Int Confianca'!BH56</f>
        <v>5.9999999999999995E-4</v>
      </c>
      <c r="BK34">
        <f>'2012_2015 Int Confianca'!BI56</f>
        <v>6.9999999999999999E-4</v>
      </c>
      <c r="BL34">
        <f>'2012_2015 Int Confianca'!BJ56</f>
        <v>5.9999999999999995E-4</v>
      </c>
      <c r="BM34">
        <f>'2012_2015 Int Confianca'!BK56</f>
        <v>6.9999999999999999E-4</v>
      </c>
      <c r="BN34">
        <f>'2012_2015 Int Confianca'!BL56</f>
        <v>6.9999999999999999E-4</v>
      </c>
      <c r="BO34">
        <f>'2012_2015 Int Confianca'!BM56</f>
        <v>6.9999999999999999E-4</v>
      </c>
      <c r="BP34">
        <f>'2012_2015 Int Confianca'!BN56</f>
        <v>6.9999999999999999E-4</v>
      </c>
      <c r="BQ34">
        <f>'2012_2015 Int Confianca'!BO56</f>
        <v>6.9999999999999999E-4</v>
      </c>
      <c r="BR34">
        <f>'2012_2015 Int Confianca'!BP56</f>
        <v>6.9999999999999999E-4</v>
      </c>
      <c r="BS34">
        <f>'2012_2015 Int Confianca'!BQ56</f>
        <v>5.9999999999999995E-4</v>
      </c>
      <c r="BT34">
        <f>'2012_2015 Int Confianca'!BR56</f>
        <v>5.9999999999999995E-4</v>
      </c>
      <c r="BU34">
        <f>'2012_2015 Int Confianca'!BS56</f>
        <v>5.9999999999999995E-4</v>
      </c>
      <c r="BV34">
        <f>'2012_2015 Int Confianca'!BT56</f>
        <v>5.9999999999999995E-4</v>
      </c>
      <c r="BW34">
        <f>'2012_2015 Int Confianca'!BU56</f>
        <v>5.9999999999999995E-4</v>
      </c>
      <c r="BX34">
        <f>'2012_2015 Int Confianca'!BV56</f>
        <v>6.9999999999999999E-4</v>
      </c>
      <c r="BY34">
        <f>'2012_2015 Int Confianca'!BW56</f>
        <v>5.9999999999999995E-4</v>
      </c>
      <c r="BZ34">
        <f>'2012_2015 Int Confianca'!BX56</f>
        <v>5.9999999999999995E-4</v>
      </c>
      <c r="CA34">
        <f>'2012_2015 Int Confianca'!BY56</f>
        <v>5.0000000000000001E-4</v>
      </c>
      <c r="CB34">
        <f>'2012_2015 Int Confianca'!BZ56</f>
        <v>5.9999999999999995E-4</v>
      </c>
      <c r="CC34">
        <f>'2012_2015 Int Confianca'!CA56</f>
        <v>5.9999999999999995E-4</v>
      </c>
      <c r="CD34">
        <f>'2012_2015 Int Confianca'!CB56</f>
        <v>5.9999999999999995E-4</v>
      </c>
      <c r="CE34">
        <f>'2012_2015 Int Confianca'!CC56</f>
        <v>5.9999999999999995E-4</v>
      </c>
      <c r="CF34">
        <f>'2012_2015 Int Confianca'!CD56</f>
        <v>5.9999999999999995E-4</v>
      </c>
      <c r="CG34">
        <f>'2012_2015 Int Confianca'!CE56</f>
        <v>5.9999999999999995E-4</v>
      </c>
      <c r="CH34">
        <f>'2012_2015 Int Confianca'!CF56</f>
        <v>5.9999999999999995E-4</v>
      </c>
      <c r="CI34">
        <f>'2012_2015 Int Confianca'!CG56</f>
        <v>5.9999999999999995E-4</v>
      </c>
      <c r="CJ34">
        <f>'2012_2015 Int Confianca'!CH56</f>
        <v>5.9999999999999995E-4</v>
      </c>
      <c r="CK34">
        <f>'2012_2015 Int Confianca'!CI56</f>
        <v>8.0000000000000004E-4</v>
      </c>
      <c r="CL34">
        <f>'2012_2015 Int Confianca'!CJ56</f>
        <v>6.9999999999999999E-4</v>
      </c>
      <c r="CM34">
        <f>'2012_2015 Int Confianca'!CK56</f>
        <v>5.9999999999999995E-4</v>
      </c>
      <c r="CN34">
        <f>'2012_2015 Int Confianca'!CL56</f>
        <v>6.9999999999999999E-4</v>
      </c>
      <c r="CO34">
        <f>'2012_2015 Int Confianca'!CM56</f>
        <v>6.9999999999999999E-4</v>
      </c>
      <c r="CP34">
        <f>'2012_2015 Int Confianca'!CN56</f>
        <v>6.9999999999999999E-4</v>
      </c>
      <c r="CQ34">
        <f>'2012_2015 Int Confianca'!CO56</f>
        <v>8.9999999999999998E-4</v>
      </c>
      <c r="CR34">
        <f>'2012_2015 Int Confianca'!CP56</f>
        <v>1E-3</v>
      </c>
      <c r="CS34">
        <f>'2012_2015 Int Confianca'!CQ56</f>
        <v>6.9999999999999999E-4</v>
      </c>
      <c r="CT34">
        <f>'2012_2015 Int Confianca'!CR56</f>
        <v>1E-3</v>
      </c>
      <c r="CU34">
        <f>'2012_2015 Int Confianca'!CS56</f>
        <v>8.0000000000000004E-4</v>
      </c>
      <c r="CV34">
        <f>'2012_2015 Int Confianca'!CT56</f>
        <v>8.0000000000000004E-4</v>
      </c>
      <c r="CW34">
        <f>'2012_2015 Int Confianca'!CU56</f>
        <v>6.9999999999999999E-4</v>
      </c>
      <c r="CX34">
        <f>'2012_2015 Int Confianca'!CV56</f>
        <v>8.0000000000000004E-4</v>
      </c>
    </row>
    <row r="35" spans="1:102" x14ac:dyDescent="0.2">
      <c r="A35" t="s">
        <v>5923</v>
      </c>
      <c r="B35" t="s">
        <v>218</v>
      </c>
      <c r="C35" t="s">
        <v>102</v>
      </c>
      <c r="D35">
        <f>'2012_2015 Int Confianca'!B57</f>
        <v>1.3299999999999999E-2</v>
      </c>
      <c r="E35">
        <f>'2012_2015 Int Confianca'!C57</f>
        <v>1.7299999999999999E-2</v>
      </c>
      <c r="F35">
        <f>'2012_2015 Int Confianca'!D57</f>
        <v>1.67E-2</v>
      </c>
      <c r="G35">
        <f>'2012_2015 Int Confianca'!E57</f>
        <v>1.72E-2</v>
      </c>
      <c r="H35">
        <f>'2012_2015 Int Confianca'!F57</f>
        <v>1.5299999999999999E-2</v>
      </c>
      <c r="I35">
        <f>'2012_2015 Int Confianca'!G57</f>
        <v>1.5599999999999999E-2</v>
      </c>
      <c r="J35">
        <f>'2012_2015 Int Confianca'!H57</f>
        <v>1.49E-2</v>
      </c>
      <c r="K35">
        <f>'2012_2015 Int Confianca'!I57</f>
        <v>1.35E-2</v>
      </c>
      <c r="L35">
        <f>'2012_2015 Int Confianca'!J57</f>
        <v>1.35E-2</v>
      </c>
      <c r="M35">
        <f>'2012_2015 Int Confianca'!K57</f>
        <v>1.06E-2</v>
      </c>
      <c r="N35">
        <f>'2012_2015 Int Confianca'!L57</f>
        <v>0.01</v>
      </c>
      <c r="O35">
        <f>'2012_2015 Int Confianca'!M57</f>
        <v>9.2999999999999992E-3</v>
      </c>
      <c r="P35">
        <f>'2012_2015 Int Confianca'!N57</f>
        <v>8.3000000000000001E-3</v>
      </c>
      <c r="Q35">
        <f>'2012_2015 Int Confianca'!O57</f>
        <v>7.3000000000000001E-3</v>
      </c>
      <c r="R35">
        <f>'2012_2015 Int Confianca'!P57</f>
        <v>5.7000000000000002E-3</v>
      </c>
      <c r="S35">
        <f>'2012_2015 Int Confianca'!Q57</f>
        <v>5.1999999999999998E-3</v>
      </c>
      <c r="T35">
        <f>'2012_2015 Int Confianca'!R57</f>
        <v>4.7000000000000002E-3</v>
      </c>
      <c r="U35">
        <f>'2012_2015 Int Confianca'!S57</f>
        <v>4.4999999999999997E-3</v>
      </c>
      <c r="V35">
        <f>'2012_2015 Int Confianca'!T57</f>
        <v>4.1000000000000003E-3</v>
      </c>
      <c r="W35">
        <f>'2012_2015 Int Confianca'!U57</f>
        <v>3.8999999999999998E-3</v>
      </c>
      <c r="X35">
        <f>'2012_2015 Int Confianca'!V57</f>
        <v>3.7000000000000002E-3</v>
      </c>
      <c r="Y35">
        <f>'2012_2015 Int Confianca'!W57</f>
        <v>3.5999999999999999E-3</v>
      </c>
      <c r="Z35">
        <f>'2012_2015 Int Confianca'!X57</f>
        <v>3.5999999999999999E-3</v>
      </c>
      <c r="AA35">
        <f>'2012_2015 Int Confianca'!Y57</f>
        <v>3.5000000000000001E-3</v>
      </c>
      <c r="AB35">
        <f>'2012_2015 Int Confianca'!Z57</f>
        <v>3.3999999999999998E-3</v>
      </c>
      <c r="AC35">
        <f>'2012_2015 Int Confianca'!AA57</f>
        <v>3.2000000000000002E-3</v>
      </c>
      <c r="AD35">
        <f>'2012_2015 Int Confianca'!AB57</f>
        <v>3.0999999999999999E-3</v>
      </c>
      <c r="AE35">
        <f>'2012_2015 Int Confianca'!AC57</f>
        <v>3.0000000000000001E-3</v>
      </c>
      <c r="AF35">
        <f>'2012_2015 Int Confianca'!AD57</f>
        <v>3.0000000000000001E-3</v>
      </c>
      <c r="AG35">
        <f>'2012_2015 Int Confianca'!AE57</f>
        <v>3.0000000000000001E-3</v>
      </c>
      <c r="AH35">
        <f>'2012_2015 Int Confianca'!AF57</f>
        <v>3.0000000000000001E-3</v>
      </c>
      <c r="AI35">
        <f>'2012_2015 Int Confianca'!AG57</f>
        <v>2.8999999999999998E-3</v>
      </c>
      <c r="AJ35">
        <f>'2012_2015 Int Confianca'!AH57</f>
        <v>2.8999999999999998E-3</v>
      </c>
      <c r="AK35">
        <f>'2012_2015 Int Confianca'!AI57</f>
        <v>2.8999999999999998E-3</v>
      </c>
      <c r="AL35">
        <f>'2012_2015 Int Confianca'!AJ57</f>
        <v>2.8999999999999998E-3</v>
      </c>
      <c r="AM35">
        <f>'2012_2015 Int Confianca'!AK57</f>
        <v>2.8E-3</v>
      </c>
      <c r="AN35">
        <f>'2012_2015 Int Confianca'!AL57</f>
        <v>2.8E-3</v>
      </c>
      <c r="AO35">
        <f>'2012_2015 Int Confianca'!AM57</f>
        <v>2.7000000000000001E-3</v>
      </c>
      <c r="AP35">
        <f>'2012_2015 Int Confianca'!AN57</f>
        <v>2.7000000000000001E-3</v>
      </c>
      <c r="AQ35">
        <f>'2012_2015 Int Confianca'!AO57</f>
        <v>2.7000000000000001E-3</v>
      </c>
      <c r="AR35">
        <f>'2012_2015 Int Confianca'!AP57</f>
        <v>2.7000000000000001E-3</v>
      </c>
      <c r="AS35">
        <f>'2012_2015 Int Confianca'!AQ57</f>
        <v>2.5999999999999999E-3</v>
      </c>
      <c r="AT35">
        <f>'2012_2015 Int Confianca'!AR57</f>
        <v>2.5999999999999999E-3</v>
      </c>
      <c r="AU35">
        <f>'2012_2015 Int Confianca'!AS57</f>
        <v>2.5000000000000001E-3</v>
      </c>
      <c r="AV35">
        <f>'2012_2015 Int Confianca'!AT57</f>
        <v>2.3999999999999998E-3</v>
      </c>
      <c r="AW35">
        <f>'2012_2015 Int Confianca'!AU57</f>
        <v>2.3E-3</v>
      </c>
      <c r="AX35">
        <f>'2012_2015 Int Confianca'!AV57</f>
        <v>2.3E-3</v>
      </c>
      <c r="AY35">
        <f>'2012_2015 Int Confianca'!AW57</f>
        <v>2.2000000000000001E-3</v>
      </c>
      <c r="AZ35">
        <f>'2012_2015 Int Confianca'!AX57</f>
        <v>2.0999999999999999E-3</v>
      </c>
      <c r="BA35">
        <f>'2012_2015 Int Confianca'!AY57</f>
        <v>2.0999999999999999E-3</v>
      </c>
      <c r="BB35">
        <f>'2012_2015 Int Confianca'!AZ57</f>
        <v>2E-3</v>
      </c>
      <c r="BC35">
        <f>'2012_2015 Int Confianca'!BA57</f>
        <v>2.0999999999999999E-3</v>
      </c>
      <c r="BD35">
        <f>'2012_2015 Int Confianca'!BB57</f>
        <v>2.0999999999999999E-3</v>
      </c>
      <c r="BE35">
        <f>'2012_2015 Int Confianca'!BC57</f>
        <v>2.0999999999999999E-3</v>
      </c>
      <c r="BF35">
        <f>'2012_2015 Int Confianca'!BD57</f>
        <v>2.0999999999999999E-3</v>
      </c>
      <c r="BG35">
        <f>'2012_2015 Int Confianca'!BE57</f>
        <v>2E-3</v>
      </c>
      <c r="BH35">
        <f>'2012_2015 Int Confianca'!BF57</f>
        <v>1.9E-3</v>
      </c>
      <c r="BI35">
        <f>'2012_2015 Int Confianca'!BG57</f>
        <v>1.6999999999999999E-3</v>
      </c>
      <c r="BJ35">
        <f>'2012_2015 Int Confianca'!BH57</f>
        <v>1.6000000000000001E-3</v>
      </c>
      <c r="BK35">
        <f>'2012_2015 Int Confianca'!BI57</f>
        <v>1.6000000000000001E-3</v>
      </c>
      <c r="BL35">
        <f>'2012_2015 Int Confianca'!BJ57</f>
        <v>1.4E-3</v>
      </c>
      <c r="BM35">
        <f>'2012_2015 Int Confianca'!BK57</f>
        <v>1.2999999999999999E-3</v>
      </c>
      <c r="BN35">
        <f>'2012_2015 Int Confianca'!BL57</f>
        <v>1.4E-3</v>
      </c>
      <c r="BO35">
        <f>'2012_2015 Int Confianca'!BM57</f>
        <v>1.2999999999999999E-3</v>
      </c>
      <c r="BP35">
        <f>'2012_2015 Int Confianca'!BN57</f>
        <v>1.1000000000000001E-3</v>
      </c>
      <c r="BQ35">
        <f>'2012_2015 Int Confianca'!BO57</f>
        <v>1E-3</v>
      </c>
      <c r="BR35">
        <f>'2012_2015 Int Confianca'!BP57</f>
        <v>8.9999999999999998E-4</v>
      </c>
      <c r="BS35">
        <f>'2012_2015 Int Confianca'!BQ57</f>
        <v>8.9999999999999998E-4</v>
      </c>
      <c r="BT35">
        <f>'2012_2015 Int Confianca'!BR57</f>
        <v>5.9999999999999995E-4</v>
      </c>
      <c r="BU35">
        <f>'2012_2015 Int Confianca'!BS57</f>
        <v>4.0000000000000002E-4</v>
      </c>
      <c r="BV35">
        <f>'2012_2015 Int Confianca'!BT57</f>
        <v>2.0000000000000001E-4</v>
      </c>
      <c r="BW35">
        <f>'2012_2015 Int Confianca'!BU57</f>
        <v>0</v>
      </c>
      <c r="BX35">
        <f>'2012_2015 Int Confianca'!BV57</f>
        <v>-1E-4</v>
      </c>
      <c r="BY35">
        <f>'2012_2015 Int Confianca'!BW57</f>
        <v>-2.0000000000000001E-4</v>
      </c>
      <c r="BZ35">
        <f>'2012_2015 Int Confianca'!BX57</f>
        <v>-5.0000000000000001E-4</v>
      </c>
      <c r="CA35">
        <f>'2012_2015 Int Confianca'!BY57</f>
        <v>-5.9999999999999995E-4</v>
      </c>
      <c r="CB35">
        <f>'2012_2015 Int Confianca'!BZ57</f>
        <v>-6.9999999999999999E-4</v>
      </c>
      <c r="CC35">
        <f>'2012_2015 Int Confianca'!CA57</f>
        <v>-1E-3</v>
      </c>
      <c r="CD35">
        <f>'2012_2015 Int Confianca'!CB57</f>
        <v>-1.2999999999999999E-3</v>
      </c>
      <c r="CE35">
        <f>'2012_2015 Int Confianca'!CC57</f>
        <v>-1.8E-3</v>
      </c>
      <c r="CF35">
        <f>'2012_2015 Int Confianca'!CD57</f>
        <v>-2.0999999999999999E-3</v>
      </c>
      <c r="CG35">
        <f>'2012_2015 Int Confianca'!CE57</f>
        <v>-2.2000000000000001E-3</v>
      </c>
      <c r="CH35">
        <f>'2012_2015 Int Confianca'!CF57</f>
        <v>-2.2000000000000001E-3</v>
      </c>
      <c r="CI35">
        <f>'2012_2015 Int Confianca'!CG57</f>
        <v>-2.3E-3</v>
      </c>
      <c r="CJ35">
        <f>'2012_2015 Int Confianca'!CH57</f>
        <v>-2.7000000000000001E-3</v>
      </c>
      <c r="CK35">
        <f>'2012_2015 Int Confianca'!CI57</f>
        <v>-3.8999999999999998E-3</v>
      </c>
      <c r="CL35">
        <f>'2012_2015 Int Confianca'!CJ57</f>
        <v>-4.3E-3</v>
      </c>
      <c r="CM35">
        <f>'2012_2015 Int Confianca'!CK57</f>
        <v>-4.3E-3</v>
      </c>
      <c r="CN35">
        <f>'2012_2015 Int Confianca'!CL57</f>
        <v>-5.0000000000000001E-3</v>
      </c>
      <c r="CO35">
        <f>'2012_2015 Int Confianca'!CM57</f>
        <v>-5.1999999999999998E-3</v>
      </c>
      <c r="CP35">
        <f>'2012_2015 Int Confianca'!CN57</f>
        <v>-5.1000000000000004E-3</v>
      </c>
      <c r="CQ35">
        <f>'2012_2015 Int Confianca'!CO57</f>
        <v>-6.1999999999999998E-3</v>
      </c>
      <c r="CR35">
        <f>'2012_2015 Int Confianca'!CP57</f>
        <v>-7.1000000000000004E-3</v>
      </c>
      <c r="CS35">
        <f>'2012_2015 Int Confianca'!CQ57</f>
        <v>-5.8999999999999999E-3</v>
      </c>
      <c r="CT35">
        <f>'2012_2015 Int Confianca'!CR57</f>
        <v>-7.4000000000000003E-3</v>
      </c>
      <c r="CU35">
        <f>'2012_2015 Int Confianca'!CS57</f>
        <v>-6.4000000000000003E-3</v>
      </c>
      <c r="CV35">
        <f>'2012_2015 Int Confianca'!CT57</f>
        <v>-8.2000000000000007E-3</v>
      </c>
      <c r="CW35">
        <f>'2012_2015 Int Confianca'!CU57</f>
        <v>-9.1000000000000004E-3</v>
      </c>
      <c r="CX35">
        <f>'2012_2015 Int Confianca'!CV57</f>
        <v>-1.06E-2</v>
      </c>
    </row>
    <row r="36" spans="1:102" x14ac:dyDescent="0.2">
      <c r="A36" t="s">
        <v>5924</v>
      </c>
      <c r="B36" t="s">
        <v>218</v>
      </c>
      <c r="C36" t="s">
        <v>102</v>
      </c>
      <c r="D36">
        <f>'2012_2015 Int Confianca'!B58</f>
        <v>1.89E-2</v>
      </c>
      <c r="E36">
        <f>'2012_2015 Int Confianca'!C58</f>
        <v>2.3599999999999999E-2</v>
      </c>
      <c r="F36">
        <f>'2012_2015 Int Confianca'!D58</f>
        <v>2.2599999999999999E-2</v>
      </c>
      <c r="G36">
        <f>'2012_2015 Int Confianca'!E58</f>
        <v>2.29E-2</v>
      </c>
      <c r="H36">
        <f>'2012_2015 Int Confianca'!F58</f>
        <v>2.0400000000000001E-2</v>
      </c>
      <c r="I36">
        <f>'2012_2015 Int Confianca'!G58</f>
        <v>2.0899999999999998E-2</v>
      </c>
      <c r="J36">
        <f>'2012_2015 Int Confianca'!H58</f>
        <v>1.9900000000000001E-2</v>
      </c>
      <c r="K36">
        <f>'2012_2015 Int Confianca'!I58</f>
        <v>1.8200000000000001E-2</v>
      </c>
      <c r="L36">
        <f>'2012_2015 Int Confianca'!J58</f>
        <v>1.8200000000000001E-2</v>
      </c>
      <c r="M36">
        <f>'2012_2015 Int Confianca'!K58</f>
        <v>1.44E-2</v>
      </c>
      <c r="N36">
        <f>'2012_2015 Int Confianca'!L58</f>
        <v>1.3599999999999999E-2</v>
      </c>
      <c r="O36">
        <f>'2012_2015 Int Confianca'!M58</f>
        <v>1.2699999999999999E-2</v>
      </c>
      <c r="P36">
        <f>'2012_2015 Int Confianca'!N58</f>
        <v>1.15E-2</v>
      </c>
      <c r="Q36">
        <f>'2012_2015 Int Confianca'!O58</f>
        <v>1.01E-2</v>
      </c>
      <c r="R36">
        <f>'2012_2015 Int Confianca'!P58</f>
        <v>8.0999999999999996E-3</v>
      </c>
      <c r="S36">
        <f>'2012_2015 Int Confianca'!Q58</f>
        <v>7.4000000000000003E-3</v>
      </c>
      <c r="T36">
        <f>'2012_2015 Int Confianca'!R58</f>
        <v>6.7000000000000002E-3</v>
      </c>
      <c r="U36">
        <f>'2012_2015 Int Confianca'!S58</f>
        <v>6.4999999999999997E-3</v>
      </c>
      <c r="V36">
        <f>'2012_2015 Int Confianca'!T58</f>
        <v>6.1000000000000004E-3</v>
      </c>
      <c r="W36">
        <f>'2012_2015 Int Confianca'!U58</f>
        <v>5.8999999999999999E-3</v>
      </c>
      <c r="X36">
        <f>'2012_2015 Int Confianca'!V58</f>
        <v>5.5999999999999999E-3</v>
      </c>
      <c r="Y36">
        <f>'2012_2015 Int Confianca'!W58</f>
        <v>5.4999999999999997E-3</v>
      </c>
      <c r="Z36">
        <f>'2012_2015 Int Confianca'!X58</f>
        <v>5.4000000000000003E-3</v>
      </c>
      <c r="AA36">
        <f>'2012_2015 Int Confianca'!Y58</f>
        <v>5.1999999999999998E-3</v>
      </c>
      <c r="AB36">
        <f>'2012_2015 Int Confianca'!Z58</f>
        <v>5.1999999999999998E-3</v>
      </c>
      <c r="AC36">
        <f>'2012_2015 Int Confianca'!AA58</f>
        <v>5.0000000000000001E-3</v>
      </c>
      <c r="AD36">
        <f>'2012_2015 Int Confianca'!AB58</f>
        <v>4.7999999999999996E-3</v>
      </c>
      <c r="AE36">
        <f>'2012_2015 Int Confianca'!AC58</f>
        <v>4.7000000000000002E-3</v>
      </c>
      <c r="AF36">
        <f>'2012_2015 Int Confianca'!AD58</f>
        <v>4.5999999999999999E-3</v>
      </c>
      <c r="AG36">
        <f>'2012_2015 Int Confianca'!AE58</f>
        <v>4.5999999999999999E-3</v>
      </c>
      <c r="AH36">
        <f>'2012_2015 Int Confianca'!AF58</f>
        <v>4.5999999999999999E-3</v>
      </c>
      <c r="AI36">
        <f>'2012_2015 Int Confianca'!AG58</f>
        <v>4.4999999999999997E-3</v>
      </c>
      <c r="AJ36">
        <f>'2012_2015 Int Confianca'!AH58</f>
        <v>4.4000000000000003E-3</v>
      </c>
      <c r="AK36">
        <f>'2012_2015 Int Confianca'!AI58</f>
        <v>4.4999999999999997E-3</v>
      </c>
      <c r="AL36">
        <f>'2012_2015 Int Confianca'!AJ58</f>
        <v>4.4000000000000003E-3</v>
      </c>
      <c r="AM36">
        <f>'2012_2015 Int Confianca'!AK58</f>
        <v>4.4000000000000003E-3</v>
      </c>
      <c r="AN36">
        <f>'2012_2015 Int Confianca'!AL58</f>
        <v>4.4000000000000003E-3</v>
      </c>
      <c r="AO36">
        <f>'2012_2015 Int Confianca'!AM58</f>
        <v>4.4000000000000003E-3</v>
      </c>
      <c r="AP36">
        <f>'2012_2015 Int Confianca'!AN58</f>
        <v>4.4000000000000003E-3</v>
      </c>
      <c r="AQ36">
        <f>'2012_2015 Int Confianca'!AO58</f>
        <v>4.4000000000000003E-3</v>
      </c>
      <c r="AR36">
        <f>'2012_2015 Int Confianca'!AP58</f>
        <v>4.4000000000000003E-3</v>
      </c>
      <c r="AS36">
        <f>'2012_2015 Int Confianca'!AQ58</f>
        <v>4.4000000000000003E-3</v>
      </c>
      <c r="AT36">
        <f>'2012_2015 Int Confianca'!AR58</f>
        <v>4.4000000000000003E-3</v>
      </c>
      <c r="AU36">
        <f>'2012_2015 Int Confianca'!AS58</f>
        <v>4.3E-3</v>
      </c>
      <c r="AV36">
        <f>'2012_2015 Int Confianca'!AT58</f>
        <v>4.1000000000000003E-3</v>
      </c>
      <c r="AW36">
        <f>'2012_2015 Int Confianca'!AU58</f>
        <v>4.0000000000000001E-3</v>
      </c>
      <c r="AX36">
        <f>'2012_2015 Int Confianca'!AV58</f>
        <v>3.8999999999999998E-3</v>
      </c>
      <c r="AY36">
        <f>'2012_2015 Int Confianca'!AW58</f>
        <v>3.8999999999999998E-3</v>
      </c>
      <c r="AZ36">
        <f>'2012_2015 Int Confianca'!AX58</f>
        <v>3.7000000000000002E-3</v>
      </c>
      <c r="BA36">
        <f>'2012_2015 Int Confianca'!AY58</f>
        <v>3.7000000000000002E-3</v>
      </c>
      <c r="BB36">
        <f>'2012_2015 Int Confianca'!AZ58</f>
        <v>3.7000000000000002E-3</v>
      </c>
      <c r="BC36">
        <f>'2012_2015 Int Confianca'!BA58</f>
        <v>3.8E-3</v>
      </c>
      <c r="BD36">
        <f>'2012_2015 Int Confianca'!BB58</f>
        <v>3.8999999999999998E-3</v>
      </c>
      <c r="BE36">
        <f>'2012_2015 Int Confianca'!BC58</f>
        <v>3.8E-3</v>
      </c>
      <c r="BF36">
        <f>'2012_2015 Int Confianca'!BD58</f>
        <v>3.8E-3</v>
      </c>
      <c r="BG36">
        <f>'2012_2015 Int Confianca'!BE58</f>
        <v>3.7000000000000002E-3</v>
      </c>
      <c r="BH36">
        <f>'2012_2015 Int Confianca'!BF58</f>
        <v>3.5999999999999999E-3</v>
      </c>
      <c r="BI36">
        <f>'2012_2015 Int Confianca'!BG58</f>
        <v>3.3999999999999998E-3</v>
      </c>
      <c r="BJ36">
        <f>'2012_2015 Int Confianca'!BH58</f>
        <v>3.2000000000000002E-3</v>
      </c>
      <c r="BK36">
        <f>'2012_2015 Int Confianca'!BI58</f>
        <v>3.2000000000000002E-3</v>
      </c>
      <c r="BL36">
        <f>'2012_2015 Int Confianca'!BJ58</f>
        <v>3.0000000000000001E-3</v>
      </c>
      <c r="BM36">
        <f>'2012_2015 Int Confianca'!BK58</f>
        <v>2.8999999999999998E-3</v>
      </c>
      <c r="BN36">
        <f>'2012_2015 Int Confianca'!BL58</f>
        <v>3.0000000000000001E-3</v>
      </c>
      <c r="BO36">
        <f>'2012_2015 Int Confianca'!BM58</f>
        <v>3.0000000000000001E-3</v>
      </c>
      <c r="BP36">
        <f>'2012_2015 Int Confianca'!BN58</f>
        <v>2.8E-3</v>
      </c>
      <c r="BQ36">
        <f>'2012_2015 Int Confianca'!BO58</f>
        <v>2.7000000000000001E-3</v>
      </c>
      <c r="BR36">
        <f>'2012_2015 Int Confianca'!BP58</f>
        <v>2.5999999999999999E-3</v>
      </c>
      <c r="BS36">
        <f>'2012_2015 Int Confianca'!BQ58</f>
        <v>2.5000000000000001E-3</v>
      </c>
      <c r="BT36">
        <f>'2012_2015 Int Confianca'!BR58</f>
        <v>2.2000000000000001E-3</v>
      </c>
      <c r="BU36">
        <f>'2012_2015 Int Confianca'!BS58</f>
        <v>2E-3</v>
      </c>
      <c r="BV36">
        <f>'2012_2015 Int Confianca'!BT58</f>
        <v>1.8E-3</v>
      </c>
      <c r="BW36">
        <f>'2012_2015 Int Confianca'!BU58</f>
        <v>1.6999999999999999E-3</v>
      </c>
      <c r="BX36">
        <f>'2012_2015 Int Confianca'!BV58</f>
        <v>1.6000000000000001E-3</v>
      </c>
      <c r="BY36">
        <f>'2012_2015 Int Confianca'!BW58</f>
        <v>1.6000000000000001E-3</v>
      </c>
      <c r="BZ36">
        <f>'2012_2015 Int Confianca'!BX58</f>
        <v>1.2999999999999999E-3</v>
      </c>
      <c r="CA36">
        <f>'2012_2015 Int Confianca'!BY58</f>
        <v>1.1999999999999999E-3</v>
      </c>
      <c r="CB36">
        <f>'2012_2015 Int Confianca'!BZ58</f>
        <v>1E-3</v>
      </c>
      <c r="CC36">
        <f>'2012_2015 Int Confianca'!CA58</f>
        <v>8.0000000000000004E-4</v>
      </c>
      <c r="CD36">
        <f>'2012_2015 Int Confianca'!CB58</f>
        <v>5.0000000000000001E-4</v>
      </c>
      <c r="CE36">
        <f>'2012_2015 Int Confianca'!CC58</f>
        <v>2.0000000000000001E-4</v>
      </c>
      <c r="CF36">
        <f>'2012_2015 Int Confianca'!CD58</f>
        <v>-1E-4</v>
      </c>
      <c r="CG36">
        <f>'2012_2015 Int Confianca'!CE58</f>
        <v>-2.0000000000000001E-4</v>
      </c>
      <c r="CH36">
        <f>'2012_2015 Int Confianca'!CF58</f>
        <v>-2.9999999999999997E-4</v>
      </c>
      <c r="CI36">
        <f>'2012_2015 Int Confianca'!CG58</f>
        <v>-5.0000000000000001E-4</v>
      </c>
      <c r="CJ36">
        <f>'2012_2015 Int Confianca'!CH58</f>
        <v>-8.0000000000000004E-4</v>
      </c>
      <c r="CK36">
        <f>'2012_2015 Int Confianca'!CI58</f>
        <v>-1.5E-3</v>
      </c>
      <c r="CL36">
        <f>'2012_2015 Int Confianca'!CJ58</f>
        <v>-1.9E-3</v>
      </c>
      <c r="CM36">
        <f>'2012_2015 Int Confianca'!CK58</f>
        <v>-2E-3</v>
      </c>
      <c r="CN36">
        <f>'2012_2015 Int Confianca'!CL58</f>
        <v>-2.5000000000000001E-3</v>
      </c>
      <c r="CO36">
        <f>'2012_2015 Int Confianca'!CM58</f>
        <v>-2.5999999999999999E-3</v>
      </c>
      <c r="CP36">
        <f>'2012_2015 Int Confianca'!CN58</f>
        <v>-2.7000000000000001E-3</v>
      </c>
      <c r="CQ36">
        <f>'2012_2015 Int Confianca'!CO58</f>
        <v>-3.3999999999999998E-3</v>
      </c>
      <c r="CR36">
        <f>'2012_2015 Int Confianca'!CP58</f>
        <v>-3.7000000000000002E-3</v>
      </c>
      <c r="CS36">
        <f>'2012_2015 Int Confianca'!CQ58</f>
        <v>-2.8999999999999998E-3</v>
      </c>
      <c r="CT36">
        <f>'2012_2015 Int Confianca'!CR58</f>
        <v>-3.8E-3</v>
      </c>
      <c r="CU36">
        <f>'2012_2015 Int Confianca'!CS58</f>
        <v>-3.5000000000000001E-3</v>
      </c>
      <c r="CV36">
        <f>'2012_2015 Int Confianca'!CT58</f>
        <v>-4.4000000000000003E-3</v>
      </c>
      <c r="CW36">
        <f>'2012_2015 Int Confianca'!CU58</f>
        <v>-4.7999999999999996E-3</v>
      </c>
      <c r="CX36">
        <f>'2012_2015 Int Confianca'!CV58</f>
        <v>-5.3E-3</v>
      </c>
    </row>
    <row r="37" spans="1:102" x14ac:dyDescent="0.2">
      <c r="A37" t="s">
        <v>208</v>
      </c>
      <c r="B37" t="s">
        <v>219</v>
      </c>
      <c r="C37" t="s">
        <v>102</v>
      </c>
      <c r="D37">
        <f>'2012_2015'!B15</f>
        <v>0.437</v>
      </c>
      <c r="E37">
        <f>'2012_2015'!C15</f>
        <v>0.20799999999999999</v>
      </c>
      <c r="F37">
        <f>'2012_2015'!D15</f>
        <v>-3.9399999999999998E-2</v>
      </c>
      <c r="G37">
        <f>'2012_2015'!E15</f>
        <v>-4.0899999999999999E-2</v>
      </c>
      <c r="H37">
        <f>'2012_2015'!F15</f>
        <v>-0.16800000000000001</v>
      </c>
      <c r="I37">
        <f>'2012_2015'!G15</f>
        <v>-9.2399999999999996E-2</v>
      </c>
      <c r="J37">
        <f>'2012_2015'!H15</f>
        <v>-0.19</v>
      </c>
      <c r="K37">
        <f>'2012_2015'!I15</f>
        <v>-0.16200000000000001</v>
      </c>
      <c r="L37">
        <f>'2012_2015'!J15</f>
        <v>-0.17699999999999999</v>
      </c>
      <c r="M37">
        <f>'2012_2015'!K15</f>
        <v>-0.13400000000000001</v>
      </c>
      <c r="N37">
        <f>'2012_2015'!L15</f>
        <v>-0.2</v>
      </c>
      <c r="O37">
        <f>'2012_2015'!M15</f>
        <v>-0.28000000000000003</v>
      </c>
      <c r="P37">
        <f>'2012_2015'!N15</f>
        <v>-0.26400000000000001</v>
      </c>
      <c r="Q37">
        <f>'2012_2015'!O15</f>
        <v>-0.21199999999999999</v>
      </c>
      <c r="R37">
        <f>'2012_2015'!P15</f>
        <v>-0.123</v>
      </c>
      <c r="S37">
        <f>'2012_2015'!Q15</f>
        <v>-9.3399999999999997E-2</v>
      </c>
      <c r="T37">
        <f>'2012_2015'!R15</f>
        <v>-9.1200000000000003E-2</v>
      </c>
      <c r="U37">
        <f>'2012_2015'!S15</f>
        <v>-9.11E-2</v>
      </c>
      <c r="V37">
        <f>'2012_2015'!T15</f>
        <v>-6.6600000000000006E-2</v>
      </c>
      <c r="W37">
        <f>'2012_2015'!U15</f>
        <v>-6.1699999999999998E-2</v>
      </c>
      <c r="X37">
        <f>'2012_2015'!V15</f>
        <v>-6.3700000000000007E-2</v>
      </c>
      <c r="Y37">
        <f>'2012_2015'!W15</f>
        <v>-7.3700000000000002E-2</v>
      </c>
      <c r="Z37">
        <f>'2012_2015'!X15</f>
        <v>-7.9399999999999998E-2</v>
      </c>
      <c r="AA37">
        <f>'2012_2015'!Y15</f>
        <v>-8.0399999999999999E-2</v>
      </c>
      <c r="AB37">
        <f>'2012_2015'!Z15</f>
        <v>-6.7500000000000004E-2</v>
      </c>
      <c r="AC37">
        <f>'2012_2015'!AA15</f>
        <v>-5.28E-2</v>
      </c>
      <c r="AD37">
        <f>'2012_2015'!AB15</f>
        <v>-4.2799999999999998E-2</v>
      </c>
      <c r="AE37">
        <f>'2012_2015'!AC15</f>
        <v>-3.9399999999999998E-2</v>
      </c>
      <c r="AF37">
        <f>'2012_2015'!AD15</f>
        <v>-3.3300000000000003E-2</v>
      </c>
      <c r="AG37">
        <f>'2012_2015'!AE15</f>
        <v>-2.9399999999999999E-2</v>
      </c>
      <c r="AH37">
        <f>'2012_2015'!AF15</f>
        <v>-2.8400000000000002E-2</v>
      </c>
      <c r="AI37">
        <f>'2012_2015'!AG15</f>
        <v>-2.1000000000000001E-2</v>
      </c>
      <c r="AJ37">
        <f>'2012_2015'!AH15</f>
        <v>-2.81E-3</v>
      </c>
      <c r="AK37">
        <f>'2012_2015'!AI15</f>
        <v>4.8500000000000001E-3</v>
      </c>
      <c r="AL37">
        <f>'2012_2015'!AJ15</f>
        <v>1.38E-2</v>
      </c>
      <c r="AM37">
        <f>'2012_2015'!AK15</f>
        <v>1.09E-2</v>
      </c>
      <c r="AN37">
        <f>'2012_2015'!AL15</f>
        <v>6.4400000000000004E-3</v>
      </c>
      <c r="AO37">
        <f>'2012_2015'!AM15</f>
        <v>-6.5900000000000004E-3</v>
      </c>
      <c r="AP37">
        <f>'2012_2015'!AN15</f>
        <v>-3.2000000000000001E-2</v>
      </c>
      <c r="AQ37">
        <f>'2012_2015'!AO15</f>
        <v>-5.8200000000000002E-2</v>
      </c>
      <c r="AR37">
        <f>'2012_2015'!AP15</f>
        <v>-6.7199999999999996E-2</v>
      </c>
      <c r="AS37">
        <f>'2012_2015'!AQ15</f>
        <v>-7.6999999999999999E-2</v>
      </c>
      <c r="AT37">
        <f>'2012_2015'!AR15</f>
        <v>-7.7799999999999994E-2</v>
      </c>
      <c r="AU37">
        <f>'2012_2015'!AS15</f>
        <v>-7.7200000000000005E-2</v>
      </c>
      <c r="AV37">
        <f>'2012_2015'!AT15</f>
        <v>-6.4899999999999999E-2</v>
      </c>
      <c r="AW37">
        <f>'2012_2015'!AU15</f>
        <v>-3.6400000000000002E-2</v>
      </c>
      <c r="AX37">
        <f>'2012_2015'!AV15</f>
        <v>-1.8800000000000001E-2</v>
      </c>
      <c r="AY37">
        <f>'2012_2015'!AW15</f>
        <v>-1.5299999999999999E-2</v>
      </c>
      <c r="AZ37">
        <f>'2012_2015'!AX15</f>
        <v>-7.11E-3</v>
      </c>
      <c r="BA37">
        <f>'2012_2015'!AY15</f>
        <v>-7.9900000000000006E-3</v>
      </c>
      <c r="BB37">
        <f>'2012_2015'!AZ15</f>
        <v>-2.2499999999999999E-2</v>
      </c>
      <c r="BC37">
        <f>'2012_2015'!BA15</f>
        <v>-6.3200000000000006E-2</v>
      </c>
      <c r="BD37">
        <f>'2012_2015'!BB15</f>
        <v>-9.1499999999999998E-2</v>
      </c>
      <c r="BE37">
        <f>'2012_2015'!BC15</f>
        <v>-0.111</v>
      </c>
      <c r="BF37">
        <f>'2012_2015'!BD15</f>
        <v>-0.11700000000000001</v>
      </c>
      <c r="BG37">
        <f>'2012_2015'!BE15</f>
        <v>-0.126</v>
      </c>
      <c r="BH37">
        <f>'2012_2015'!BF15</f>
        <v>-0.114</v>
      </c>
      <c r="BI37">
        <f>'2012_2015'!BG15</f>
        <v>-8.3799999999999999E-2</v>
      </c>
      <c r="BJ37">
        <f>'2012_2015'!BH15</f>
        <v>-6.5100000000000005E-2</v>
      </c>
      <c r="BK37">
        <f>'2012_2015'!BI15</f>
        <v>-4.6800000000000001E-2</v>
      </c>
      <c r="BL37">
        <f>'2012_2015'!BJ15</f>
        <v>-4.3499999999999997E-2</v>
      </c>
      <c r="BM37">
        <f>'2012_2015'!BK15</f>
        <v>-5.5599999999999997E-2</v>
      </c>
      <c r="BN37">
        <f>'2012_2015'!BL15</f>
        <v>-7.3599999999999999E-2</v>
      </c>
      <c r="BO37">
        <f>'2012_2015'!BM15</f>
        <v>-0.10100000000000001</v>
      </c>
      <c r="BP37">
        <f>'2012_2015'!BN15</f>
        <v>-0.124</v>
      </c>
      <c r="BQ37">
        <f>'2012_2015'!BO15</f>
        <v>-0.127</v>
      </c>
      <c r="BR37">
        <f>'2012_2015'!BP15</f>
        <v>-0.123</v>
      </c>
      <c r="BS37">
        <f>'2012_2015'!BQ15</f>
        <v>-9.8299999999999998E-2</v>
      </c>
      <c r="BT37">
        <f>'2012_2015'!BR15</f>
        <v>-7.5700000000000003E-2</v>
      </c>
      <c r="BU37">
        <f>'2012_2015'!BS15</f>
        <v>-4.9399999999999999E-2</v>
      </c>
      <c r="BV37">
        <f>'2012_2015'!BT15</f>
        <v>-6.0499999999999998E-2</v>
      </c>
      <c r="BW37">
        <f>'2012_2015'!BU15</f>
        <v>-5.1999999999999998E-2</v>
      </c>
      <c r="BX37">
        <f>'2012_2015'!BV15</f>
        <v>-6.0900000000000003E-2</v>
      </c>
      <c r="BY37">
        <f>'2012_2015'!BW15</f>
        <v>-9.1899999999999996E-2</v>
      </c>
      <c r="BZ37">
        <f>'2012_2015'!BX15</f>
        <v>-0.14399999999999999</v>
      </c>
      <c r="CA37">
        <f>'2012_2015'!BY15</f>
        <v>-0.16400000000000001</v>
      </c>
      <c r="CB37">
        <f>'2012_2015'!BZ15</f>
        <v>-0.158</v>
      </c>
      <c r="CC37">
        <f>'2012_2015'!CA15</f>
        <v>-0.188</v>
      </c>
      <c r="CD37">
        <f>'2012_2015'!CB15</f>
        <v>-0.20200000000000001</v>
      </c>
      <c r="CE37">
        <f>'2012_2015'!CC15</f>
        <v>-8.1299999999999997E-2</v>
      </c>
      <c r="CF37">
        <f>'2012_2015'!CD15</f>
        <v>-5.3199999999999997E-2</v>
      </c>
      <c r="CG37">
        <f>'2012_2015'!CE15</f>
        <v>-4.8000000000000001E-2</v>
      </c>
      <c r="CH37">
        <f>'2012_2015'!CF15</f>
        <v>-2.8500000000000001E-2</v>
      </c>
      <c r="CI37">
        <f>'2012_2015'!CG15</f>
        <v>-1.72E-2</v>
      </c>
      <c r="CJ37">
        <f>'2012_2015'!CH15</f>
        <v>-2.9700000000000001E-2</v>
      </c>
      <c r="CK37">
        <f>'2012_2015'!CI15</f>
        <v>-0.23100000000000001</v>
      </c>
      <c r="CL37">
        <f>'2012_2015'!CJ15</f>
        <v>-0.21199999999999999</v>
      </c>
      <c r="CM37">
        <f>'2012_2015'!CK15</f>
        <v>-0.14099999999999999</v>
      </c>
      <c r="CN37">
        <f>'2012_2015'!CL15</f>
        <v>-5.8099999999999999E-2</v>
      </c>
      <c r="CO37">
        <f>'2012_2015'!CM15</f>
        <v>-4.7199999999999999E-2</v>
      </c>
      <c r="CP37">
        <f>'2012_2015'!CN15</f>
        <v>-0.122</v>
      </c>
      <c r="CQ37">
        <f>'2012_2015'!CO15</f>
        <v>-0.255</v>
      </c>
      <c r="CR37">
        <f>'2012_2015'!CP15</f>
        <v>-0.159</v>
      </c>
      <c r="CS37">
        <f>'2012_2015'!CQ15</f>
        <v>-0.17499999999999999</v>
      </c>
      <c r="CT37">
        <f>'2012_2015'!CR15</f>
        <v>-0.14799999999999999</v>
      </c>
      <c r="CU37">
        <f>'2012_2015'!CS15</f>
        <v>3.4000000000000002E-2</v>
      </c>
      <c r="CV37">
        <f>'2012_2015'!CT15</f>
        <v>-0.105</v>
      </c>
      <c r="CW37">
        <f>'2012_2015'!CU15</f>
        <v>-4.2599999999999999E-2</v>
      </c>
      <c r="CX37">
        <f>'2012_2015'!CV15</f>
        <v>-2.86E-2</v>
      </c>
    </row>
    <row r="38" spans="1:102" x14ac:dyDescent="0.2">
      <c r="A38" t="s">
        <v>209</v>
      </c>
      <c r="B38" t="s">
        <v>219</v>
      </c>
      <c r="C38" t="s">
        <v>102</v>
      </c>
      <c r="D38">
        <f>'2012_2015'!B16</f>
        <v>-8.6099999999999996E-3</v>
      </c>
      <c r="E38">
        <f>'2012_2015'!C16</f>
        <v>4.9099999999999998E-2</v>
      </c>
      <c r="F38">
        <f>'2012_2015'!D16</f>
        <v>-0.115</v>
      </c>
      <c r="G38">
        <f>'2012_2015'!E16</f>
        <v>-9.8000000000000004E-2</v>
      </c>
      <c r="H38">
        <f>'2012_2015'!F16</f>
        <v>-0.127</v>
      </c>
      <c r="I38">
        <f>'2012_2015'!G16</f>
        <v>-0.105</v>
      </c>
      <c r="J38">
        <f>'2012_2015'!H16</f>
        <v>-0.13300000000000001</v>
      </c>
      <c r="K38">
        <f>'2012_2015'!I16</f>
        <v>-0.128</v>
      </c>
      <c r="L38">
        <f>'2012_2015'!J16</f>
        <v>-0.11799999999999999</v>
      </c>
      <c r="M38">
        <f>'2012_2015'!K16</f>
        <v>-0.10299999999999999</v>
      </c>
      <c r="N38">
        <f>'2012_2015'!L16</f>
        <v>-0.123</v>
      </c>
      <c r="O38">
        <f>'2012_2015'!M16</f>
        <v>-0.159</v>
      </c>
      <c r="P38">
        <f>'2012_2015'!N16</f>
        <v>-0.14699999999999999</v>
      </c>
      <c r="Q38">
        <f>'2012_2015'!O16</f>
        <v>-0.11600000000000001</v>
      </c>
      <c r="R38">
        <f>'2012_2015'!P16</f>
        <v>-6.3600000000000004E-2</v>
      </c>
      <c r="S38">
        <f>'2012_2015'!Q16</f>
        <v>-4.4699999999999997E-2</v>
      </c>
      <c r="T38">
        <f>'2012_2015'!R16</f>
        <v>-4.6100000000000002E-2</v>
      </c>
      <c r="U38">
        <f>'2012_2015'!S16</f>
        <v>-3.9100000000000003E-2</v>
      </c>
      <c r="V38">
        <f>'2012_2015'!T16</f>
        <v>-2.7E-2</v>
      </c>
      <c r="W38">
        <f>'2012_2015'!U16</f>
        <v>-1.7299999999999999E-2</v>
      </c>
      <c r="X38">
        <f>'2012_2015'!V16</f>
        <v>-1.9199999999999998E-2</v>
      </c>
      <c r="Y38">
        <f>'2012_2015'!W16</f>
        <v>-3.0499999999999999E-2</v>
      </c>
      <c r="Z38">
        <f>'2012_2015'!X16</f>
        <v>-3.61E-2</v>
      </c>
      <c r="AA38">
        <f>'2012_2015'!Y16</f>
        <v>-4.0099999999999997E-2</v>
      </c>
      <c r="AB38">
        <f>'2012_2015'!Z16</f>
        <v>-0.03</v>
      </c>
      <c r="AC38">
        <f>'2012_2015'!AA16</f>
        <v>-1.7500000000000002E-2</v>
      </c>
      <c r="AD38">
        <f>'2012_2015'!AB16</f>
        <v>-1.4200000000000001E-2</v>
      </c>
      <c r="AE38">
        <f>'2012_2015'!AC16</f>
        <v>-1.0200000000000001E-2</v>
      </c>
      <c r="AF38">
        <f>'2012_2015'!AD16</f>
        <v>2.0600000000000002E-3</v>
      </c>
      <c r="AG38">
        <f>'2012_2015'!AE16</f>
        <v>1.06E-2</v>
      </c>
      <c r="AH38">
        <f>'2012_2015'!AF16</f>
        <v>7.2399999999999999E-3</v>
      </c>
      <c r="AI38">
        <f>'2012_2015'!AG16</f>
        <v>1.5699999999999999E-2</v>
      </c>
      <c r="AJ38">
        <f>'2012_2015'!AH16</f>
        <v>3.5999999999999997E-2</v>
      </c>
      <c r="AK38">
        <f>'2012_2015'!AI16</f>
        <v>4.2599999999999999E-2</v>
      </c>
      <c r="AL38">
        <f>'2012_2015'!AJ16</f>
        <v>4.5100000000000001E-2</v>
      </c>
      <c r="AM38">
        <f>'2012_2015'!AK16</f>
        <v>5.04E-2</v>
      </c>
      <c r="AN38">
        <f>'2012_2015'!AL16</f>
        <v>4.8300000000000003E-2</v>
      </c>
      <c r="AO38">
        <f>'2012_2015'!AM16</f>
        <v>4.0800000000000003E-2</v>
      </c>
      <c r="AP38">
        <f>'2012_2015'!AN16</f>
        <v>1.83E-2</v>
      </c>
      <c r="AQ38">
        <f>'2012_2015'!AO16</f>
        <v>-4.0999999999999999E-4</v>
      </c>
      <c r="AR38">
        <f>'2012_2015'!AP16</f>
        <v>-4.0200000000000001E-3</v>
      </c>
      <c r="AS38">
        <f>'2012_2015'!AQ16</f>
        <v>-1.84E-2</v>
      </c>
      <c r="AT38">
        <f>'2012_2015'!AR16</f>
        <v>-1.37E-2</v>
      </c>
      <c r="AU38">
        <f>'2012_2015'!AS16</f>
        <v>-1.5900000000000001E-2</v>
      </c>
      <c r="AV38">
        <f>'2012_2015'!AT16</f>
        <v>3.0000000000000001E-3</v>
      </c>
      <c r="AW38">
        <f>'2012_2015'!AU16</f>
        <v>2.69E-2</v>
      </c>
      <c r="AX38">
        <f>'2012_2015'!AV16</f>
        <v>5.8299999999999998E-2</v>
      </c>
      <c r="AY38">
        <f>'2012_2015'!AW16</f>
        <v>5.7099999999999998E-2</v>
      </c>
      <c r="AZ38">
        <f>'2012_2015'!AX16</f>
        <v>6.4199999999999993E-2</v>
      </c>
      <c r="BA38">
        <f>'2012_2015'!AY16</f>
        <v>6.2799999999999995E-2</v>
      </c>
      <c r="BB38">
        <f>'2012_2015'!AZ16</f>
        <v>4.8899999999999999E-2</v>
      </c>
      <c r="BC38">
        <f>'2012_2015'!BA16</f>
        <v>1.38E-2</v>
      </c>
      <c r="BD38">
        <f>'2012_2015'!BB16</f>
        <v>-1.67E-2</v>
      </c>
      <c r="BE38">
        <f>'2012_2015'!BC16</f>
        <v>-2.64E-2</v>
      </c>
      <c r="BF38">
        <f>'2012_2015'!BD16</f>
        <v>-2.86E-2</v>
      </c>
      <c r="BG38">
        <f>'2012_2015'!BE16</f>
        <v>-3.1699999999999999E-2</v>
      </c>
      <c r="BH38">
        <f>'2012_2015'!BF16</f>
        <v>-2.2700000000000001E-2</v>
      </c>
      <c r="BI38">
        <f>'2012_2015'!BG16</f>
        <v>3.8899999999999998E-3</v>
      </c>
      <c r="BJ38">
        <f>'2012_2015'!BH16</f>
        <v>1.4999999999999999E-2</v>
      </c>
      <c r="BK38">
        <f>'2012_2015'!BI16</f>
        <v>1.8200000000000001E-2</v>
      </c>
      <c r="BL38">
        <f>'2012_2015'!BJ16</f>
        <v>2.3599999999999999E-2</v>
      </c>
      <c r="BM38">
        <f>'2012_2015'!BK16</f>
        <v>1.72E-2</v>
      </c>
      <c r="BN38">
        <f>'2012_2015'!BL16</f>
        <v>-8.9899999999999997E-3</v>
      </c>
      <c r="BO38">
        <f>'2012_2015'!BM16</f>
        <v>-3.3500000000000002E-2</v>
      </c>
      <c r="BP38">
        <f>'2012_2015'!BN16</f>
        <v>-5.7299999999999997E-2</v>
      </c>
      <c r="BQ38">
        <f>'2012_2015'!BO16</f>
        <v>-6.2799999999999995E-2</v>
      </c>
      <c r="BR38">
        <f>'2012_2015'!BP16</f>
        <v>-5.7599999999999998E-2</v>
      </c>
      <c r="BS38">
        <f>'2012_2015'!BQ16</f>
        <v>-3.3599999999999998E-2</v>
      </c>
      <c r="BT38">
        <f>'2012_2015'!BR16</f>
        <v>-1.3899999999999999E-2</v>
      </c>
      <c r="BU38">
        <f>'2012_2015'!BS16</f>
        <v>1.35E-2</v>
      </c>
      <c r="BV38">
        <f>'2012_2015'!BT16</f>
        <v>-2.82E-3</v>
      </c>
      <c r="BW38">
        <f>'2012_2015'!BU16</f>
        <v>2.6700000000000001E-3</v>
      </c>
      <c r="BX38">
        <f>'2012_2015'!BV16</f>
        <v>-2.8300000000000001E-3</v>
      </c>
      <c r="BY38">
        <f>'2012_2015'!BW16</f>
        <v>-3.2399999999999998E-2</v>
      </c>
      <c r="BZ38">
        <f>'2012_2015'!BX16</f>
        <v>-9.0999999999999998E-2</v>
      </c>
      <c r="CA38">
        <f>'2012_2015'!BY16</f>
        <v>-0.107</v>
      </c>
      <c r="CB38">
        <f>'2012_2015'!BZ16</f>
        <v>-0.10199999999999999</v>
      </c>
      <c r="CC38">
        <f>'2012_2015'!CA16</f>
        <v>-0.128</v>
      </c>
      <c r="CD38">
        <f>'2012_2015'!CB16</f>
        <v>-0.13400000000000001</v>
      </c>
      <c r="CE38">
        <f>'2012_2015'!CC16</f>
        <v>9.1500000000000001E-4</v>
      </c>
      <c r="CF38">
        <f>'2012_2015'!CD16</f>
        <v>1.5599999999999999E-2</v>
      </c>
      <c r="CG38">
        <f>'2012_2015'!CE16</f>
        <v>1.23E-2</v>
      </c>
      <c r="CH38">
        <f>'2012_2015'!CF16</f>
        <v>3.6400000000000002E-2</v>
      </c>
      <c r="CI38">
        <f>'2012_2015'!CG16</f>
        <v>2.9600000000000001E-2</v>
      </c>
      <c r="CJ38">
        <f>'2012_2015'!CH16</f>
        <v>2.52E-2</v>
      </c>
      <c r="CK38">
        <f>'2012_2015'!CI16</f>
        <v>-0.182</v>
      </c>
      <c r="CL38">
        <f>'2012_2015'!CJ16</f>
        <v>-0.16900000000000001</v>
      </c>
      <c r="CM38">
        <f>'2012_2015'!CK16</f>
        <v>-0.113</v>
      </c>
      <c r="CN38">
        <f>'2012_2015'!CL16</f>
        <v>-2.7799999999999998E-2</v>
      </c>
      <c r="CO38">
        <f>'2012_2015'!CM16</f>
        <v>-3.5200000000000001E-3</v>
      </c>
      <c r="CP38">
        <f>'2012_2015'!CN16</f>
        <v>-8.2900000000000001E-2</v>
      </c>
      <c r="CQ38">
        <f>'2012_2015'!CO16</f>
        <v>-0.224</v>
      </c>
      <c r="CR38">
        <f>'2012_2015'!CP16</f>
        <v>-0.14599999999999999</v>
      </c>
      <c r="CS38">
        <f>'2012_2015'!CQ16</f>
        <v>-0.16</v>
      </c>
      <c r="CT38">
        <f>'2012_2015'!CR16</f>
        <v>-0.155</v>
      </c>
      <c r="CU38">
        <f>'2012_2015'!CS16</f>
        <v>3.7199999999999997E-2</v>
      </c>
      <c r="CV38">
        <f>'2012_2015'!CT16</f>
        <v>-0.14599999999999999</v>
      </c>
      <c r="CW38">
        <f>'2012_2015'!CU16</f>
        <v>-9.2600000000000002E-2</v>
      </c>
      <c r="CX38">
        <f>'2012_2015'!CV16</f>
        <v>-1.32E-2</v>
      </c>
    </row>
    <row r="39" spans="1:102" x14ac:dyDescent="0.2">
      <c r="A39" t="s">
        <v>210</v>
      </c>
      <c r="B39" t="s">
        <v>219</v>
      </c>
      <c r="C39" t="s">
        <v>102</v>
      </c>
      <c r="D39">
        <f>'2012_2015'!B17</f>
        <v>-9.7000000000000003E-3</v>
      </c>
      <c r="E39">
        <f>'2012_2015'!C17</f>
        <v>-1.9400000000000001E-2</v>
      </c>
      <c r="F39">
        <f>'2012_2015'!D17</f>
        <v>8.6899999999999998E-3</v>
      </c>
      <c r="G39">
        <f>'2012_2015'!E17</f>
        <v>1.25E-3</v>
      </c>
      <c r="H39">
        <f>'2012_2015'!F17</f>
        <v>2.1899999999999999E-2</v>
      </c>
      <c r="I39">
        <f>'2012_2015'!G17</f>
        <v>1.0999999999999999E-2</v>
      </c>
      <c r="J39">
        <f>'2012_2015'!H17</f>
        <v>1.5699999999999999E-2</v>
      </c>
      <c r="K39">
        <f>'2012_2015'!I17</f>
        <v>1.3100000000000001E-2</v>
      </c>
      <c r="L39">
        <f>'2012_2015'!J17</f>
        <v>9.7000000000000003E-3</v>
      </c>
      <c r="M39">
        <f>'2012_2015'!K17</f>
        <v>5.3E-3</v>
      </c>
      <c r="N39">
        <f>'2012_2015'!L17</f>
        <v>1.23E-2</v>
      </c>
      <c r="O39">
        <f>'2012_2015'!M17</f>
        <v>1.8700000000000001E-2</v>
      </c>
      <c r="P39">
        <f>'2012_2015'!N17</f>
        <v>1.61E-2</v>
      </c>
      <c r="Q39">
        <f>'2012_2015'!O17</f>
        <v>9.11E-3</v>
      </c>
      <c r="R39">
        <f>'2012_2015'!P17</f>
        <v>1.6199999999999999E-3</v>
      </c>
      <c r="S39">
        <f>'2012_2015'!Q17</f>
        <v>-1.73E-3</v>
      </c>
      <c r="T39">
        <f>'2012_2015'!R17</f>
        <v>-1.6000000000000001E-3</v>
      </c>
      <c r="U39">
        <f>'2012_2015'!S17</f>
        <v>-2.4599999999999999E-3</v>
      </c>
      <c r="V39">
        <f>'2012_2015'!T17</f>
        <v>-4.6800000000000001E-3</v>
      </c>
      <c r="W39">
        <f>'2012_2015'!U17</f>
        <v>-4.3099999999999996E-3</v>
      </c>
      <c r="X39">
        <f>'2012_2015'!V17</f>
        <v>-1.3799999999999999E-3</v>
      </c>
      <c r="Y39">
        <f>'2012_2015'!W17</f>
        <v>5.52E-5</v>
      </c>
      <c r="Z39">
        <f>'2012_2015'!X17</f>
        <v>1.16E-3</v>
      </c>
      <c r="AA39">
        <f>'2012_2015'!Y17</f>
        <v>1.66E-3</v>
      </c>
      <c r="AB39">
        <f>'2012_2015'!Z17</f>
        <v>-1.3500000000000001E-3</v>
      </c>
      <c r="AC39">
        <f>'2012_2015'!AA17</f>
        <v>-2.8400000000000001E-3</v>
      </c>
      <c r="AD39">
        <f>'2012_2015'!AB17</f>
        <v>-3.48E-3</v>
      </c>
      <c r="AE39">
        <f>'2012_2015'!AC17</f>
        <v>-3.9300000000000003E-3</v>
      </c>
      <c r="AF39">
        <f>'2012_2015'!AD17</f>
        <v>-6.1900000000000002E-3</v>
      </c>
      <c r="AG39">
        <f>'2012_2015'!AE17</f>
        <v>-6.4200000000000004E-3</v>
      </c>
      <c r="AH39">
        <f>'2012_2015'!AF17</f>
        <v>-5.4200000000000003E-3</v>
      </c>
      <c r="AI39">
        <f>'2012_2015'!AG17</f>
        <v>-7.5599999999999999E-3</v>
      </c>
      <c r="AJ39">
        <f>'2012_2015'!AH17</f>
        <v>-1.2999999999999999E-2</v>
      </c>
      <c r="AK39">
        <f>'2012_2015'!AI17</f>
        <v>-1.44E-2</v>
      </c>
      <c r="AL39">
        <f>'2012_2015'!AJ17</f>
        <v>-1.6299999999999999E-2</v>
      </c>
      <c r="AM39">
        <f>'2012_2015'!AK17</f>
        <v>-1.61E-2</v>
      </c>
      <c r="AN39">
        <f>'2012_2015'!AL17</f>
        <v>-1.6899999999999998E-2</v>
      </c>
      <c r="AO39">
        <f>'2012_2015'!AM17</f>
        <v>-1.5900000000000001E-2</v>
      </c>
      <c r="AP39">
        <f>'2012_2015'!AN17</f>
        <v>-1.0800000000000001E-2</v>
      </c>
      <c r="AQ39">
        <f>'2012_2015'!AO17</f>
        <v>-3.82E-3</v>
      </c>
      <c r="AR39">
        <f>'2012_2015'!AP17</f>
        <v>-8.5400000000000005E-4</v>
      </c>
      <c r="AS39">
        <f>'2012_2015'!AQ17</f>
        <v>1.2099999999999999E-3</v>
      </c>
      <c r="AT39">
        <f>'2012_2015'!AR17</f>
        <v>1.5900000000000001E-3</v>
      </c>
      <c r="AU39">
        <f>'2012_2015'!AS17</f>
        <v>2.15E-3</v>
      </c>
      <c r="AV39">
        <f>'2012_2015'!AT17</f>
        <v>-2.97E-3</v>
      </c>
      <c r="AW39">
        <f>'2012_2015'!AU17</f>
        <v>-9.8300000000000002E-3</v>
      </c>
      <c r="AX39">
        <f>'2012_2015'!AV17</f>
        <v>-1.66E-2</v>
      </c>
      <c r="AY39">
        <f>'2012_2015'!AW17</f>
        <v>-1.7399999999999999E-2</v>
      </c>
      <c r="AZ39">
        <f>'2012_2015'!AX17</f>
        <v>-1.8499999999999999E-2</v>
      </c>
      <c r="BA39">
        <f>'2012_2015'!AY17</f>
        <v>-1.78E-2</v>
      </c>
      <c r="BB39">
        <f>'2012_2015'!AZ17</f>
        <v>-1.6199999999999999E-2</v>
      </c>
      <c r="BC39">
        <f>'2012_2015'!BA17</f>
        <v>-7.0299999999999998E-3</v>
      </c>
      <c r="BD39">
        <f>'2012_2015'!BB17</f>
        <v>-6.0400000000000004E-4</v>
      </c>
      <c r="BE39">
        <f>'2012_2015'!BC17</f>
        <v>2.0600000000000002E-3</v>
      </c>
      <c r="BF39">
        <f>'2012_2015'!BD17</f>
        <v>2.1800000000000001E-3</v>
      </c>
      <c r="BG39">
        <f>'2012_2015'!BE17</f>
        <v>3.81E-3</v>
      </c>
      <c r="BH39">
        <f>'2012_2015'!BF17</f>
        <v>3.9100000000000003E-3</v>
      </c>
      <c r="BI39">
        <f>'2012_2015'!BG17</f>
        <v>-1.56E-3</v>
      </c>
      <c r="BJ39">
        <f>'2012_2015'!BH17</f>
        <v>-3.63E-3</v>
      </c>
      <c r="BK39">
        <f>'2012_2015'!BI17</f>
        <v>-7.0400000000000003E-3</v>
      </c>
      <c r="BL39">
        <f>'2012_2015'!BJ17</f>
        <v>-7.0299999999999998E-3</v>
      </c>
      <c r="BM39">
        <f>'2012_2015'!BK17</f>
        <v>-4.7600000000000003E-3</v>
      </c>
      <c r="BN39">
        <f>'2012_2015'!BL17</f>
        <v>2.7299999999999998E-3</v>
      </c>
      <c r="BO39">
        <f>'2012_2015'!BM17</f>
        <v>5.8300000000000001E-3</v>
      </c>
      <c r="BP39">
        <f>'2012_2015'!BN17</f>
        <v>0.01</v>
      </c>
      <c r="BQ39">
        <f>'2012_2015'!BO17</f>
        <v>1.03E-2</v>
      </c>
      <c r="BR39">
        <f>'2012_2015'!BP17</f>
        <v>1.03E-2</v>
      </c>
      <c r="BS39">
        <f>'2012_2015'!BQ17</f>
        <v>3.8500000000000001E-3</v>
      </c>
      <c r="BT39">
        <f>'2012_2015'!BR17</f>
        <v>-2.4199999999999998E-3</v>
      </c>
      <c r="BU39">
        <f>'2012_2015'!BS17</f>
        <v>-8.0000000000000002E-3</v>
      </c>
      <c r="BV39">
        <f>'2012_2015'!BT17</f>
        <v>-3.14E-3</v>
      </c>
      <c r="BW39">
        <f>'2012_2015'!BU17</f>
        <v>-5.79E-3</v>
      </c>
      <c r="BX39">
        <f>'2012_2015'!BV17</f>
        <v>-5.5199999999999997E-3</v>
      </c>
      <c r="BY39">
        <f>'2012_2015'!BW17</f>
        <v>3.0599999999999998E-3</v>
      </c>
      <c r="BZ39">
        <f>'2012_2015'!BX17</f>
        <v>1.67E-2</v>
      </c>
      <c r="CA39">
        <f>'2012_2015'!BY17</f>
        <v>1.9E-2</v>
      </c>
      <c r="CB39">
        <f>'2012_2015'!BZ17</f>
        <v>1.43E-2</v>
      </c>
      <c r="CC39">
        <f>'2012_2015'!CA17</f>
        <v>2.2100000000000002E-2</v>
      </c>
      <c r="CD39">
        <f>'2012_2015'!CB17</f>
        <v>2.47E-2</v>
      </c>
      <c r="CE39">
        <f>'2012_2015'!CC17</f>
        <v>-7.1000000000000004E-3</v>
      </c>
      <c r="CF39">
        <f>'2012_2015'!CD17</f>
        <v>-9.8300000000000002E-3</v>
      </c>
      <c r="CG39">
        <f>'2012_2015'!CE17</f>
        <v>-9.8799999999999999E-3</v>
      </c>
      <c r="CH39">
        <f>'2012_2015'!CF17</f>
        <v>-9.7900000000000001E-3</v>
      </c>
      <c r="CI39">
        <f>'2012_2015'!CG17</f>
        <v>-1.54E-2</v>
      </c>
      <c r="CJ39">
        <f>'2012_2015'!CH17</f>
        <v>-1.4500000000000001E-2</v>
      </c>
      <c r="CK39">
        <f>'2012_2015'!CI17</f>
        <v>2.69E-2</v>
      </c>
      <c r="CL39">
        <f>'2012_2015'!CJ17</f>
        <v>2.75E-2</v>
      </c>
      <c r="CM39">
        <f>'2012_2015'!CK17</f>
        <v>1.9599999999999999E-2</v>
      </c>
      <c r="CN39">
        <f>'2012_2015'!CL17</f>
        <v>-1.47E-3</v>
      </c>
      <c r="CO39">
        <f>'2012_2015'!CM17</f>
        <v>-3.8E-3</v>
      </c>
      <c r="CP39">
        <f>'2012_2015'!CN17</f>
        <v>2.0199999999999999E-2</v>
      </c>
      <c r="CQ39">
        <f>'2012_2015'!CO17</f>
        <v>5.1999999999999998E-2</v>
      </c>
      <c r="CR39">
        <f>'2012_2015'!CP17</f>
        <v>2.3800000000000002E-2</v>
      </c>
      <c r="CS39">
        <f>'2012_2015'!CQ17</f>
        <v>2.7099999999999999E-2</v>
      </c>
      <c r="CT39">
        <f>'2012_2015'!CR17</f>
        <v>3.2199999999999999E-2</v>
      </c>
      <c r="CU39">
        <f>'2012_2015'!CS17</f>
        <v>-2.1000000000000001E-2</v>
      </c>
      <c r="CV39">
        <f>'2012_2015'!CT17</f>
        <v>6.0800000000000003E-3</v>
      </c>
      <c r="CW39">
        <f>'2012_2015'!CU17</f>
        <v>1.01E-2</v>
      </c>
      <c r="CX39">
        <f>'2012_2015'!CV17</f>
        <v>1.55E-2</v>
      </c>
    </row>
    <row r="40" spans="1:102" x14ac:dyDescent="0.2">
      <c r="A40" t="s">
        <v>211</v>
      </c>
      <c r="B40" t="s">
        <v>219</v>
      </c>
      <c r="C40" t="s">
        <v>102</v>
      </c>
      <c r="D40">
        <f>'2012_2015'!B18</f>
        <v>1.6500000000000001E-2</v>
      </c>
      <c r="E40">
        <f>'2012_2015'!C18</f>
        <v>1.12E-2</v>
      </c>
      <c r="F40">
        <f>'2012_2015'!D18</f>
        <v>2.5499999999999998E-2</v>
      </c>
      <c r="G40">
        <f>'2012_2015'!E18</f>
        <v>1.7899999999999999E-2</v>
      </c>
      <c r="H40">
        <f>'2012_2015'!F18</f>
        <v>2.06E-2</v>
      </c>
      <c r="I40">
        <f>'2012_2015'!G18</f>
        <v>1.6199999999999999E-2</v>
      </c>
      <c r="J40">
        <f>'2012_2015'!H18</f>
        <v>1.17E-2</v>
      </c>
      <c r="K40">
        <f>'2012_2015'!I18</f>
        <v>1.43E-2</v>
      </c>
      <c r="L40">
        <f>'2012_2015'!J18</f>
        <v>9.0500000000000008E-3</v>
      </c>
      <c r="M40">
        <f>'2012_2015'!K18</f>
        <v>8.1399999999999997E-3</v>
      </c>
      <c r="N40">
        <f>'2012_2015'!L18</f>
        <v>1.46E-2</v>
      </c>
      <c r="O40">
        <f>'2012_2015'!M18</f>
        <v>2.1499999999999998E-2</v>
      </c>
      <c r="P40">
        <f>'2012_2015'!N18</f>
        <v>1.8200000000000001E-2</v>
      </c>
      <c r="Q40">
        <f>'2012_2015'!O18</f>
        <v>1.46E-2</v>
      </c>
      <c r="R40">
        <f>'2012_2015'!P18</f>
        <v>1.0699999999999999E-2</v>
      </c>
      <c r="S40">
        <f>'2012_2015'!Q18</f>
        <v>1.21E-2</v>
      </c>
      <c r="T40">
        <f>'2012_2015'!R18</f>
        <v>8.3099999999999997E-3</v>
      </c>
      <c r="U40">
        <f>'2012_2015'!S18</f>
        <v>9.4000000000000004E-3</v>
      </c>
      <c r="V40">
        <f>'2012_2015'!T18</f>
        <v>6.8100000000000001E-3</v>
      </c>
      <c r="W40">
        <f>'2012_2015'!U18</f>
        <v>6.4900000000000001E-3</v>
      </c>
      <c r="X40">
        <f>'2012_2015'!V18</f>
        <v>8.6499999999999997E-3</v>
      </c>
      <c r="Y40">
        <f>'2012_2015'!W18</f>
        <v>8.9599999999999992E-3</v>
      </c>
      <c r="Z40">
        <f>'2012_2015'!X18</f>
        <v>9.0399999999999994E-3</v>
      </c>
      <c r="AA40">
        <f>'2012_2015'!Y18</f>
        <v>8.4799999999999997E-3</v>
      </c>
      <c r="AB40">
        <f>'2012_2015'!Z18</f>
        <v>3.1900000000000001E-3</v>
      </c>
      <c r="AC40">
        <f>'2012_2015'!AA18</f>
        <v>1.4E-3</v>
      </c>
      <c r="AD40">
        <f>'2012_2015'!AB18</f>
        <v>2.5300000000000001E-3</v>
      </c>
      <c r="AE40">
        <f>'2012_2015'!AC18</f>
        <v>2.1900000000000001E-3</v>
      </c>
      <c r="AF40">
        <f>'2012_2015'!AD18</f>
        <v>4.0200000000000001E-3</v>
      </c>
      <c r="AG40">
        <f>'2012_2015'!AE18</f>
        <v>5.7499999999999999E-3</v>
      </c>
      <c r="AH40">
        <f>'2012_2015'!AF18</f>
        <v>4.0699999999999998E-3</v>
      </c>
      <c r="AI40">
        <f>'2012_2015'!AG18</f>
        <v>3.0699999999999998E-3</v>
      </c>
      <c r="AJ40">
        <f>'2012_2015'!AH18</f>
        <v>1.31E-3</v>
      </c>
      <c r="AK40">
        <f>'2012_2015'!AI18</f>
        <v>-8.0199999999999998E-4</v>
      </c>
      <c r="AL40">
        <f>'2012_2015'!AJ18</f>
        <v>-1.7899999999999999E-3</v>
      </c>
      <c r="AM40">
        <f>'2012_2015'!AK18</f>
        <v>-2.8500000000000001E-3</v>
      </c>
      <c r="AN40">
        <f>'2012_2015'!AL18</f>
        <v>-2.7799999999999999E-3</v>
      </c>
      <c r="AO40">
        <f>'2012_2015'!AM18</f>
        <v>3.3300000000000001E-3</v>
      </c>
      <c r="AP40">
        <f>'2012_2015'!AN18</f>
        <v>5.3099999999999996E-3</v>
      </c>
      <c r="AQ40">
        <f>'2012_2015'!AO18</f>
        <v>6.3400000000000001E-3</v>
      </c>
      <c r="AR40">
        <f>'2012_2015'!AP18</f>
        <v>4.7800000000000004E-3</v>
      </c>
      <c r="AS40">
        <f>'2012_2015'!AQ18</f>
        <v>3.3400000000000001E-3</v>
      </c>
      <c r="AT40">
        <f>'2012_2015'!AR18</f>
        <v>3.7000000000000002E-3</v>
      </c>
      <c r="AU40">
        <f>'2012_2015'!AS18</f>
        <v>3.65E-3</v>
      </c>
      <c r="AV40">
        <f>'2012_2015'!AT18</f>
        <v>6.2899999999999996E-3</v>
      </c>
      <c r="AW40">
        <f>'2012_2015'!AU18</f>
        <v>5.1399999999999996E-3</v>
      </c>
      <c r="AX40">
        <f>'2012_2015'!AV18</f>
        <v>3.4099999999999998E-3</v>
      </c>
      <c r="AY40">
        <f>'2012_2015'!AW18</f>
        <v>-1.63E-4</v>
      </c>
      <c r="AZ40">
        <f>'2012_2015'!AX18</f>
        <v>7.0600000000000003E-4</v>
      </c>
      <c r="BA40">
        <f>'2012_2015'!AY18</f>
        <v>2.0300000000000001E-3</v>
      </c>
      <c r="BB40">
        <f>'2012_2015'!AZ18</f>
        <v>1.56E-3</v>
      </c>
      <c r="BC40">
        <f>'2012_2015'!BA18</f>
        <v>3.81E-3</v>
      </c>
      <c r="BD40">
        <f>'2012_2015'!BB18</f>
        <v>4.1700000000000001E-3</v>
      </c>
      <c r="BE40">
        <f>'2012_2015'!BC18</f>
        <v>8.4100000000000008E-3</v>
      </c>
      <c r="BF40">
        <f>'2012_2015'!BD18</f>
        <v>1.29E-2</v>
      </c>
      <c r="BG40">
        <f>'2012_2015'!BE18</f>
        <v>1.1599999999999999E-2</v>
      </c>
      <c r="BH40">
        <f>'2012_2015'!BF18</f>
        <v>1.15E-2</v>
      </c>
      <c r="BI40">
        <f>'2012_2015'!BG18</f>
        <v>8.1899999999999994E-3</v>
      </c>
      <c r="BJ40">
        <f>'2012_2015'!BH18</f>
        <v>8.26E-3</v>
      </c>
      <c r="BK40">
        <f>'2012_2015'!BI18</f>
        <v>4.7499999999999999E-3</v>
      </c>
      <c r="BL40">
        <f>'2012_2015'!BJ18</f>
        <v>4.5799999999999999E-3</v>
      </c>
      <c r="BM40">
        <f>'2012_2015'!BK18</f>
        <v>6.8700000000000002E-3</v>
      </c>
      <c r="BN40">
        <f>'2012_2015'!BL18</f>
        <v>1.2699999999999999E-2</v>
      </c>
      <c r="BO40">
        <f>'2012_2015'!BM18</f>
        <v>1.54E-2</v>
      </c>
      <c r="BP40">
        <f>'2012_2015'!BN18</f>
        <v>1.3100000000000001E-2</v>
      </c>
      <c r="BQ40">
        <f>'2012_2015'!BO18</f>
        <v>1.34E-2</v>
      </c>
      <c r="BR40">
        <f>'2012_2015'!BP18</f>
        <v>2.06E-2</v>
      </c>
      <c r="BS40">
        <f>'2012_2015'!BQ18</f>
        <v>1.5599999999999999E-2</v>
      </c>
      <c r="BT40">
        <f>'2012_2015'!BR18</f>
        <v>9.4999999999999998E-3</v>
      </c>
      <c r="BU40">
        <f>'2012_2015'!BS18</f>
        <v>8.1700000000000002E-3</v>
      </c>
      <c r="BV40">
        <f>'2012_2015'!BT18</f>
        <v>1.09E-2</v>
      </c>
      <c r="BW40">
        <f>'2012_2015'!BU18</f>
        <v>8.5699999999999995E-3</v>
      </c>
      <c r="BX40">
        <f>'2012_2015'!BV18</f>
        <v>5.0600000000000003E-3</v>
      </c>
      <c r="BY40">
        <f>'2012_2015'!BW18</f>
        <v>7.2700000000000004E-3</v>
      </c>
      <c r="BZ40">
        <f>'2012_2015'!BX18</f>
        <v>1.67E-2</v>
      </c>
      <c r="CA40">
        <f>'2012_2015'!BY18</f>
        <v>1.6299999999999999E-2</v>
      </c>
      <c r="CB40">
        <f>'2012_2015'!BZ18</f>
        <v>9.7400000000000004E-3</v>
      </c>
      <c r="CC40">
        <f>'2012_2015'!CA18</f>
        <v>1.46E-2</v>
      </c>
      <c r="CD40">
        <f>'2012_2015'!CB18</f>
        <v>2.46E-2</v>
      </c>
      <c r="CE40">
        <f>'2012_2015'!CC18</f>
        <v>5.8300000000000001E-3</v>
      </c>
      <c r="CF40">
        <f>'2012_2015'!CD18</f>
        <v>2.0300000000000001E-3</v>
      </c>
      <c r="CG40">
        <f>'2012_2015'!CE18</f>
        <v>2.14E-3</v>
      </c>
      <c r="CH40">
        <f>'2012_2015'!CF18</f>
        <v>-4.8399999999999997E-3</v>
      </c>
      <c r="CI40">
        <f>'2012_2015'!CG18</f>
        <v>-1.2200000000000001E-2</v>
      </c>
      <c r="CJ40">
        <f>'2012_2015'!CH18</f>
        <v>-1.1900000000000001E-2</v>
      </c>
      <c r="CK40">
        <f>'2012_2015'!CI18</f>
        <v>1.7299999999999999E-2</v>
      </c>
      <c r="CL40">
        <f>'2012_2015'!CJ18</f>
        <v>7.1700000000000002E-3</v>
      </c>
      <c r="CM40">
        <f>'2012_2015'!CK18</f>
        <v>4.8399999999999997E-3</v>
      </c>
      <c r="CN40">
        <f>'2012_2015'!CL18</f>
        <v>-1.7999999999999999E-2</v>
      </c>
      <c r="CO40">
        <f>'2012_2015'!CM18</f>
        <v>-2.7699999999999999E-2</v>
      </c>
      <c r="CP40">
        <f>'2012_2015'!CN18</f>
        <v>-1.84E-2</v>
      </c>
      <c r="CQ40">
        <f>'2012_2015'!CO18</f>
        <v>1.09E-2</v>
      </c>
      <c r="CR40">
        <f>'2012_2015'!CP18</f>
        <v>-1.03E-2</v>
      </c>
      <c r="CS40">
        <f>'2012_2015'!CQ18</f>
        <v>3.1099999999999999E-3</v>
      </c>
      <c r="CT40">
        <f>'2012_2015'!CR18</f>
        <v>-5.4599999999999996E-3</v>
      </c>
      <c r="CU40">
        <f>'2012_2015'!CS18</f>
        <v>-4.6600000000000003E-2</v>
      </c>
      <c r="CV40">
        <f>'2012_2015'!CT18</f>
        <v>-2.1000000000000001E-2</v>
      </c>
      <c r="CW40">
        <f>'2012_2015'!CU18</f>
        <v>-3.27E-2</v>
      </c>
      <c r="CX40">
        <f>'2012_2015'!CV18</f>
        <v>-4.9799999999999997E-2</v>
      </c>
    </row>
    <row r="41" spans="1:102" x14ac:dyDescent="0.2">
      <c r="A41" t="s">
        <v>212</v>
      </c>
      <c r="B41" t="s">
        <v>219</v>
      </c>
      <c r="C41" t="s">
        <v>102</v>
      </c>
      <c r="D41">
        <f>'2012_2015'!B19</f>
        <v>-3.8999999999999998E-3</v>
      </c>
      <c r="E41">
        <f>'2012_2015'!C19</f>
        <v>-7.0000000000000001E-3</v>
      </c>
      <c r="F41">
        <f>'2012_2015'!D19</f>
        <v>3.7399999999999998E-3</v>
      </c>
      <c r="G41">
        <f>'2012_2015'!E19</f>
        <v>-3.0000000000000001E-3</v>
      </c>
      <c r="H41">
        <f>'2012_2015'!F19</f>
        <v>4.9699999999999996E-3</v>
      </c>
      <c r="I41">
        <f>'2012_2015'!G19</f>
        <v>1.18E-4</v>
      </c>
      <c r="J41">
        <f>'2012_2015'!H19</f>
        <v>4.3E-3</v>
      </c>
      <c r="K41">
        <f>'2012_2015'!I19</f>
        <v>4.79E-3</v>
      </c>
      <c r="L41">
        <f>'2012_2015'!J19</f>
        <v>3.3899999999999998E-3</v>
      </c>
      <c r="M41">
        <f>'2012_2015'!K19</f>
        <v>3.1099999999999999E-3</v>
      </c>
      <c r="N41">
        <f>'2012_2015'!L19</f>
        <v>7.2500000000000004E-3</v>
      </c>
      <c r="O41">
        <f>'2012_2015'!M19</f>
        <v>1.0500000000000001E-2</v>
      </c>
      <c r="P41">
        <f>'2012_2015'!N19</f>
        <v>1.01E-2</v>
      </c>
      <c r="Q41">
        <f>'2012_2015'!O19</f>
        <v>7.1900000000000002E-3</v>
      </c>
      <c r="R41">
        <f>'2012_2015'!P19</f>
        <v>3.0500000000000002E-3</v>
      </c>
      <c r="S41">
        <f>'2012_2015'!Q19</f>
        <v>2.5000000000000001E-3</v>
      </c>
      <c r="T41">
        <f>'2012_2015'!R19</f>
        <v>2.47E-3</v>
      </c>
      <c r="U41">
        <f>'2012_2015'!S19</f>
        <v>2.8400000000000001E-3</v>
      </c>
      <c r="V41">
        <f>'2012_2015'!T19</f>
        <v>1.8699999999999999E-3</v>
      </c>
      <c r="W41">
        <f>'2012_2015'!U19</f>
        <v>1.57E-3</v>
      </c>
      <c r="X41">
        <f>'2012_2015'!V19</f>
        <v>1.8E-3</v>
      </c>
      <c r="Y41">
        <f>'2012_2015'!W19</f>
        <v>1.7799999999999999E-3</v>
      </c>
      <c r="Z41">
        <f>'2012_2015'!X19</f>
        <v>1.98E-3</v>
      </c>
      <c r="AA41">
        <f>'2012_2015'!Y19</f>
        <v>1.73E-3</v>
      </c>
      <c r="AB41">
        <f>'2012_2015'!Z19</f>
        <v>1.01E-3</v>
      </c>
      <c r="AC41">
        <f>'2012_2015'!AA19</f>
        <v>9.4899999999999997E-4</v>
      </c>
      <c r="AD41">
        <f>'2012_2015'!AB19</f>
        <v>5.9500000000000004E-4</v>
      </c>
      <c r="AE41">
        <f>'2012_2015'!AC19</f>
        <v>1.7799999999999999E-4</v>
      </c>
      <c r="AF41">
        <f>'2012_2015'!AD19</f>
        <v>3.86E-4</v>
      </c>
      <c r="AG41">
        <f>'2012_2015'!AE19</f>
        <v>1.46E-4</v>
      </c>
      <c r="AH41">
        <f>'2012_2015'!AF19</f>
        <v>-1.56E-4</v>
      </c>
      <c r="AI41">
        <f>'2012_2015'!AG19</f>
        <v>-4.95E-4</v>
      </c>
      <c r="AJ41">
        <f>'2012_2015'!AH19</f>
        <v>-1.17E-3</v>
      </c>
      <c r="AK41">
        <f>'2012_2015'!AI19</f>
        <v>-1.1999999999999999E-3</v>
      </c>
      <c r="AL41">
        <f>'2012_2015'!AJ19</f>
        <v>-6.8300000000000001E-4</v>
      </c>
      <c r="AM41">
        <f>'2012_2015'!AK19</f>
        <v>-5.7300000000000005E-4</v>
      </c>
      <c r="AN41">
        <f>'2012_2015'!AL19</f>
        <v>-4.5199999999999998E-4</v>
      </c>
      <c r="AO41">
        <f>'2012_2015'!AM19</f>
        <v>-6.3299999999999994E-5</v>
      </c>
      <c r="AP41">
        <f>'2012_2015'!AN19</f>
        <v>3.59E-4</v>
      </c>
      <c r="AQ41">
        <f>'2012_2015'!AO19</f>
        <v>2.8800000000000001E-4</v>
      </c>
      <c r="AR41">
        <f>'2012_2015'!AP19</f>
        <v>4.6700000000000002E-4</v>
      </c>
      <c r="AS41">
        <f>'2012_2015'!AQ19</f>
        <v>7.9900000000000001E-4</v>
      </c>
      <c r="AT41">
        <f>'2012_2015'!AR19</f>
        <v>7.2199999999999999E-4</v>
      </c>
      <c r="AU41">
        <f>'2012_2015'!AS19</f>
        <v>5.0600000000000005E-4</v>
      </c>
      <c r="AV41">
        <f>'2012_2015'!AT19</f>
        <v>9.3199999999999999E-4</v>
      </c>
      <c r="AW41">
        <f>'2012_2015'!AU19</f>
        <v>6.1799999999999995E-4</v>
      </c>
      <c r="AX41">
        <f>'2012_2015'!AV19</f>
        <v>1.2300000000000001E-4</v>
      </c>
      <c r="AY41">
        <f>'2012_2015'!AW19</f>
        <v>-3.9800000000000002E-4</v>
      </c>
      <c r="AZ41">
        <f>'2012_2015'!AX19</f>
        <v>-5.8100000000000003E-4</v>
      </c>
      <c r="BA41">
        <f>'2012_2015'!AY19</f>
        <v>-1.08E-3</v>
      </c>
      <c r="BB41">
        <f>'2012_2015'!AZ19</f>
        <v>-1.14E-3</v>
      </c>
      <c r="BC41">
        <f>'2012_2015'!BA19</f>
        <v>-4.0000000000000002E-4</v>
      </c>
      <c r="BD41">
        <f>'2012_2015'!BB19</f>
        <v>2.5799999999999998E-4</v>
      </c>
      <c r="BE41">
        <f>'2012_2015'!BC19</f>
        <v>5.0199999999999995E-4</v>
      </c>
      <c r="BF41">
        <f>'2012_2015'!BD19</f>
        <v>1.08E-3</v>
      </c>
      <c r="BG41">
        <f>'2012_2015'!BE19</f>
        <v>8.4099999999999995E-4</v>
      </c>
      <c r="BH41">
        <f>'2012_2015'!BF19</f>
        <v>4.55E-4</v>
      </c>
      <c r="BI41">
        <f>'2012_2015'!BG19</f>
        <v>1.83E-4</v>
      </c>
      <c r="BJ41">
        <f>'2012_2015'!BH19</f>
        <v>4.3899999999999999E-4</v>
      </c>
      <c r="BK41">
        <f>'2012_2015'!BI19</f>
        <v>-1.3100000000000001E-4</v>
      </c>
      <c r="BL41">
        <f>'2012_2015'!BJ19</f>
        <v>1.4300000000000001E-4</v>
      </c>
      <c r="BM41">
        <f>'2012_2015'!BK19</f>
        <v>2.3699999999999999E-4</v>
      </c>
      <c r="BN41">
        <f>'2012_2015'!BL19</f>
        <v>5.6899999999999995E-4</v>
      </c>
      <c r="BO41">
        <f>'2012_2015'!BM19</f>
        <v>5.4699999999999996E-4</v>
      </c>
      <c r="BP41">
        <f>'2012_2015'!BN19</f>
        <v>1.2700000000000001E-3</v>
      </c>
      <c r="BQ41">
        <f>'2012_2015'!BO19</f>
        <v>1.8E-3</v>
      </c>
      <c r="BR41">
        <f>'2012_2015'!BP19</f>
        <v>2.0100000000000001E-3</v>
      </c>
      <c r="BS41">
        <f>'2012_2015'!BQ19</f>
        <v>1.23E-3</v>
      </c>
      <c r="BT41">
        <f>'2012_2015'!BR19</f>
        <v>8.1700000000000002E-4</v>
      </c>
      <c r="BU41">
        <f>'2012_2015'!BS19</f>
        <v>9.0200000000000002E-4</v>
      </c>
      <c r="BV41">
        <f>'2012_2015'!BT19</f>
        <v>1.9400000000000001E-3</v>
      </c>
      <c r="BW41">
        <f>'2012_2015'!BU19</f>
        <v>1.6900000000000001E-3</v>
      </c>
      <c r="BX41">
        <f>'2012_2015'!BV19</f>
        <v>8.7200000000000005E-4</v>
      </c>
      <c r="BY41">
        <f>'2012_2015'!BW19</f>
        <v>1.8699999999999999E-3</v>
      </c>
      <c r="BZ41">
        <f>'2012_2015'!BX19</f>
        <v>2.3999999999999998E-3</v>
      </c>
      <c r="CA41">
        <f>'2012_2015'!BY19</f>
        <v>2.8900000000000002E-3</v>
      </c>
      <c r="CB41">
        <f>'2012_2015'!BZ19</f>
        <v>2.7899999999999999E-3</v>
      </c>
      <c r="CC41">
        <f>'2012_2015'!CA19</f>
        <v>3.0899999999999999E-3</v>
      </c>
      <c r="CD41">
        <f>'2012_2015'!CB19</f>
        <v>2.7299999999999998E-3</v>
      </c>
      <c r="CE41">
        <f>'2012_2015'!CC19</f>
        <v>3.4900000000000003E-4</v>
      </c>
      <c r="CF41">
        <f>'2012_2015'!CD19</f>
        <v>-3.0499999999999999E-4</v>
      </c>
      <c r="CG41">
        <f>'2012_2015'!CE19</f>
        <v>-3.0299999999999999E-4</v>
      </c>
      <c r="CH41">
        <f>'2012_2015'!CF19</f>
        <v>-3.8900000000000002E-4</v>
      </c>
      <c r="CI41">
        <f>'2012_2015'!CG19</f>
        <v>-6.9800000000000005E-4</v>
      </c>
      <c r="CJ41">
        <f>'2012_2015'!CH19</f>
        <v>-9.9599999999999992E-4</v>
      </c>
      <c r="CK41">
        <f>'2012_2015'!CI19</f>
        <v>1.9799999999999999E-4</v>
      </c>
      <c r="CL41">
        <f>'2012_2015'!CJ19</f>
        <v>1.14E-3</v>
      </c>
      <c r="CM41">
        <f>'2012_2015'!CK19</f>
        <v>4.2999999999999999E-4</v>
      </c>
      <c r="CN41">
        <f>'2012_2015'!CL19</f>
        <v>-1.9599999999999999E-5</v>
      </c>
      <c r="CO41">
        <f>'2012_2015'!CM19</f>
        <v>-1.23E-3</v>
      </c>
      <c r="CP41">
        <f>'2012_2015'!CN19</f>
        <v>-8.5099999999999998E-4</v>
      </c>
      <c r="CQ41">
        <f>'2012_2015'!CO19</f>
        <v>4.8999999999999998E-4</v>
      </c>
      <c r="CR41">
        <f>'2012_2015'!CP19</f>
        <v>-9.7300000000000002E-4</v>
      </c>
      <c r="CS41">
        <f>'2012_2015'!CQ19</f>
        <v>-4.1199999999999999E-5</v>
      </c>
      <c r="CT41">
        <f>'2012_2015'!CR19</f>
        <v>-8.0400000000000003E-4</v>
      </c>
      <c r="CU41">
        <f>'2012_2015'!CS19</f>
        <v>-1.5200000000000001E-3</v>
      </c>
      <c r="CV41">
        <f>'2012_2015'!CT19</f>
        <v>-1.6800000000000001E-3</v>
      </c>
      <c r="CW41">
        <f>'2012_2015'!CU19</f>
        <v>-3.79E-3</v>
      </c>
      <c r="CX41">
        <f>'2012_2015'!CV19</f>
        <v>-4.9899999999999996E-3</v>
      </c>
    </row>
    <row r="42" spans="1:102" x14ac:dyDescent="0.2">
      <c r="A42" t="s">
        <v>213</v>
      </c>
      <c r="B42" t="s">
        <v>219</v>
      </c>
      <c r="C42" t="s">
        <v>102</v>
      </c>
      <c r="D42">
        <f>'2012_2015'!B20</f>
        <v>7.6499999999999999E-2</v>
      </c>
      <c r="E42">
        <f>'2012_2015'!C20</f>
        <v>0.111</v>
      </c>
      <c r="F42">
        <f>'2012_2015'!D20</f>
        <v>2.5600000000000001E-2</v>
      </c>
      <c r="G42">
        <f>'2012_2015'!E20</f>
        <v>4.0899999999999999E-2</v>
      </c>
      <c r="H42">
        <f>'2012_2015'!F20</f>
        <v>-2.9000000000000001E-2</v>
      </c>
      <c r="I42">
        <f>'2012_2015'!G20</f>
        <v>1.2500000000000001E-2</v>
      </c>
      <c r="J42">
        <f>'2012_2015'!H20</f>
        <v>-2.7799999999999998E-2</v>
      </c>
      <c r="K42">
        <f>'2012_2015'!I20</f>
        <v>-2.3199999999999998E-2</v>
      </c>
      <c r="L42">
        <f>'2012_2015'!J20</f>
        <v>-2.5999999999999999E-2</v>
      </c>
      <c r="M42">
        <f>'2012_2015'!K20</f>
        <v>-2.3199999999999998E-2</v>
      </c>
      <c r="N42">
        <f>'2012_2015'!L20</f>
        <v>-8.0100000000000005E-2</v>
      </c>
      <c r="O42">
        <f>'2012_2015'!M20</f>
        <v>-0.13800000000000001</v>
      </c>
      <c r="P42">
        <f>'2012_2015'!N20</f>
        <v>-0.14000000000000001</v>
      </c>
      <c r="Q42">
        <f>'2012_2015'!O20</f>
        <v>-0.114</v>
      </c>
      <c r="R42">
        <f>'2012_2015'!P20</f>
        <v>-7.1999999999999995E-2</v>
      </c>
      <c r="S42">
        <f>'2012_2015'!Q20</f>
        <v>-5.4800000000000001E-2</v>
      </c>
      <c r="T42">
        <f>'2012_2015'!R20</f>
        <v>-5.5500000000000001E-2</v>
      </c>
      <c r="U42">
        <f>'2012_2015'!S20</f>
        <v>-5.67E-2</v>
      </c>
      <c r="V42">
        <f>'2012_2015'!T20</f>
        <v>-4.7300000000000002E-2</v>
      </c>
      <c r="W42">
        <f>'2012_2015'!U20</f>
        <v>-4.48E-2</v>
      </c>
      <c r="X42">
        <f>'2012_2015'!V20</f>
        <v>-4.8800000000000003E-2</v>
      </c>
      <c r="Y42">
        <f>'2012_2015'!W20</f>
        <v>-5.1200000000000002E-2</v>
      </c>
      <c r="Z42">
        <f>'2012_2015'!X20</f>
        <v>-5.0799999999999998E-2</v>
      </c>
      <c r="AA42">
        <f>'2012_2015'!Y20</f>
        <v>-4.6300000000000001E-2</v>
      </c>
      <c r="AB42">
        <f>'2012_2015'!Z20</f>
        <v>-4.1399999999999999E-2</v>
      </c>
      <c r="AC42">
        <f>'2012_2015'!AA20</f>
        <v>-3.3399999999999999E-2</v>
      </c>
      <c r="AD42">
        <f>'2012_2015'!AB20</f>
        <v>-2.6700000000000002E-2</v>
      </c>
      <c r="AE42">
        <f>'2012_2015'!AC20</f>
        <v>-2.9600000000000001E-2</v>
      </c>
      <c r="AF42">
        <f>'2012_2015'!AD20</f>
        <v>-2.41E-2</v>
      </c>
      <c r="AG42">
        <f>'2012_2015'!AE20</f>
        <v>-2.3400000000000001E-2</v>
      </c>
      <c r="AH42">
        <f>'2012_2015'!AF20</f>
        <v>-2.2499999999999999E-2</v>
      </c>
      <c r="AI42">
        <f>'2012_2015'!AG20</f>
        <v>-1.6299999999999999E-2</v>
      </c>
      <c r="AJ42">
        <f>'2012_2015'!AH20</f>
        <v>-1.2999999999999999E-2</v>
      </c>
      <c r="AK42">
        <f>'2012_2015'!AI20</f>
        <v>-9.6799999999999994E-3</v>
      </c>
      <c r="AL42">
        <f>'2012_2015'!AJ20</f>
        <v>-1.11E-2</v>
      </c>
      <c r="AM42">
        <f>'2012_2015'!AK20</f>
        <v>-1.3599999999999999E-2</v>
      </c>
      <c r="AN42">
        <f>'2012_2015'!AL20</f>
        <v>-2.0299999999999999E-2</v>
      </c>
      <c r="AO42">
        <f>'2012_2015'!AM20</f>
        <v>-2.52E-2</v>
      </c>
      <c r="AP42">
        <f>'2012_2015'!AN20</f>
        <v>-2.7199999999999998E-2</v>
      </c>
      <c r="AQ42">
        <f>'2012_2015'!AO20</f>
        <v>-2.6499999999999999E-2</v>
      </c>
      <c r="AR42">
        <f>'2012_2015'!AP20</f>
        <v>-2.4299999999999999E-2</v>
      </c>
      <c r="AS42">
        <f>'2012_2015'!AQ20</f>
        <v>-1.89E-2</v>
      </c>
      <c r="AT42">
        <f>'2012_2015'!AR20</f>
        <v>-1.6E-2</v>
      </c>
      <c r="AU42">
        <f>'2012_2015'!AS20</f>
        <v>-1.04E-2</v>
      </c>
      <c r="AV42">
        <f>'2012_2015'!AT20</f>
        <v>-6.2899999999999996E-3</v>
      </c>
      <c r="AW42">
        <f>'2012_2015'!AU20</f>
        <v>-3.3400000000000001E-3</v>
      </c>
      <c r="AX42">
        <f>'2012_2015'!AV20</f>
        <v>-1.7799999999999999E-3</v>
      </c>
      <c r="AY42">
        <f>'2012_2015'!AW20</f>
        <v>-3.6900000000000001E-3</v>
      </c>
      <c r="AZ42">
        <f>'2012_2015'!AX20</f>
        <v>-0.01</v>
      </c>
      <c r="BA42">
        <f>'2012_2015'!AY20</f>
        <v>-1.1599999999999999E-2</v>
      </c>
      <c r="BB42">
        <f>'2012_2015'!AZ20</f>
        <v>-1.1299999999999999E-2</v>
      </c>
      <c r="BC42">
        <f>'2012_2015'!BA20</f>
        <v>-1.35E-2</v>
      </c>
      <c r="BD42">
        <f>'2012_2015'!BB20</f>
        <v>-1.2999999999999999E-2</v>
      </c>
      <c r="BE42">
        <f>'2012_2015'!BC20</f>
        <v>-1.29E-2</v>
      </c>
      <c r="BF42">
        <f>'2012_2015'!BD20</f>
        <v>-1.26E-2</v>
      </c>
      <c r="BG42">
        <f>'2012_2015'!BE20</f>
        <v>-7.6099999999999996E-3</v>
      </c>
      <c r="BH42">
        <f>'2012_2015'!BF20</f>
        <v>-5.8999999999999999E-3</v>
      </c>
      <c r="BI42">
        <f>'2012_2015'!BG20</f>
        <v>-8.6800000000000002E-3</v>
      </c>
      <c r="BJ42">
        <f>'2012_2015'!BH20</f>
        <v>-1.2800000000000001E-2</v>
      </c>
      <c r="BK42">
        <f>'2012_2015'!BI20</f>
        <v>-9.6399999999999993E-3</v>
      </c>
      <c r="BL42">
        <f>'2012_2015'!BJ20</f>
        <v>-9.2700000000000005E-3</v>
      </c>
      <c r="BM42">
        <f>'2012_2015'!BK20</f>
        <v>-1.2999999999999999E-2</v>
      </c>
      <c r="BN42">
        <f>'2012_2015'!BL20</f>
        <v>-1.5100000000000001E-2</v>
      </c>
      <c r="BO42">
        <f>'2012_2015'!BM20</f>
        <v>-1.4500000000000001E-2</v>
      </c>
      <c r="BP42">
        <f>'2012_2015'!BN20</f>
        <v>-8.6700000000000006E-3</v>
      </c>
      <c r="BQ42">
        <f>'2012_2015'!BO20</f>
        <v>-7.1000000000000004E-3</v>
      </c>
      <c r="BR42">
        <f>'2012_2015'!BP20</f>
        <v>-6.8300000000000001E-3</v>
      </c>
      <c r="BS42">
        <f>'2012_2015'!BQ20</f>
        <v>-6.6699999999999997E-3</v>
      </c>
      <c r="BT42">
        <f>'2012_2015'!BR20</f>
        <v>-1.01E-3</v>
      </c>
      <c r="BU42">
        <f>'2012_2015'!BS20</f>
        <v>-1.56E-3</v>
      </c>
      <c r="BV42">
        <f>'2012_2015'!BT20</f>
        <v>1.32E-3</v>
      </c>
      <c r="BW42">
        <f>'2012_2015'!BU20</f>
        <v>2.4099999999999998E-3</v>
      </c>
      <c r="BX42">
        <f>'2012_2015'!BV20</f>
        <v>-3.64E-3</v>
      </c>
      <c r="BY42">
        <f>'2012_2015'!BW20</f>
        <v>-5.4099999999999999E-3</v>
      </c>
      <c r="BZ42">
        <f>'2012_2015'!BX20</f>
        <v>-5.8700000000000002E-3</v>
      </c>
      <c r="CA42">
        <f>'2012_2015'!BY20</f>
        <v>-6.3900000000000003E-4</v>
      </c>
      <c r="CB42">
        <f>'2012_2015'!BZ20</f>
        <v>1.06E-2</v>
      </c>
      <c r="CC42">
        <f>'2012_2015'!CA20</f>
        <v>1.0999999999999999E-2</v>
      </c>
      <c r="CD42">
        <f>'2012_2015'!CB20</f>
        <v>1.5100000000000001E-2</v>
      </c>
      <c r="CE42">
        <f>'2012_2015'!CC20</f>
        <v>1.11E-2</v>
      </c>
      <c r="CF42">
        <f>'2012_2015'!CD20</f>
        <v>7.8399999999999997E-3</v>
      </c>
      <c r="CG42">
        <f>'2012_2015'!CE20</f>
        <v>1.67E-2</v>
      </c>
      <c r="CH42">
        <f>'2012_2015'!CF20</f>
        <v>1.8100000000000002E-2</v>
      </c>
      <c r="CI42">
        <f>'2012_2015'!CG20</f>
        <v>1.5299999999999999E-2</v>
      </c>
      <c r="CJ42">
        <f>'2012_2015'!CH20</f>
        <v>1.9599999999999999E-2</v>
      </c>
      <c r="CK42">
        <f>'2012_2015'!CI20</f>
        <v>2.5499999999999998E-2</v>
      </c>
      <c r="CL42">
        <f>'2012_2015'!CJ20</f>
        <v>2.4500000000000001E-2</v>
      </c>
      <c r="CM42">
        <f>'2012_2015'!CK20</f>
        <v>2.2100000000000002E-2</v>
      </c>
      <c r="CN42">
        <f>'2012_2015'!CL20</f>
        <v>3.6799999999999999E-2</v>
      </c>
      <c r="CO42">
        <f>'2012_2015'!CM20</f>
        <v>4.2099999999999999E-2</v>
      </c>
      <c r="CP42">
        <f>'2012_2015'!CN20</f>
        <v>3.04E-2</v>
      </c>
      <c r="CQ42">
        <f>'2012_2015'!CO20</f>
        <v>4.4499999999999998E-2</v>
      </c>
      <c r="CR42">
        <f>'2012_2015'!CP20</f>
        <v>5.2999999999999999E-2</v>
      </c>
      <c r="CS42">
        <f>'2012_2015'!CQ20</f>
        <v>3.7199999999999997E-2</v>
      </c>
      <c r="CT42">
        <f>'2012_2015'!CR20</f>
        <v>4.8000000000000001E-2</v>
      </c>
      <c r="CU42">
        <f>'2012_2015'!CS20</f>
        <v>4.4400000000000002E-2</v>
      </c>
      <c r="CV42">
        <f>'2012_2015'!CT20</f>
        <v>4.8500000000000001E-2</v>
      </c>
      <c r="CW42">
        <f>'2012_2015'!CU20</f>
        <v>5.3999999999999999E-2</v>
      </c>
      <c r="CX42">
        <f>'2012_2015'!CV20</f>
        <v>5.5500000000000001E-2</v>
      </c>
    </row>
    <row r="43" spans="1:102" x14ac:dyDescent="0.2">
      <c r="A43" t="s">
        <v>214</v>
      </c>
      <c r="B43" t="s">
        <v>219</v>
      </c>
      <c r="C43" t="s">
        <v>102</v>
      </c>
      <c r="D43">
        <f>'2012_2015'!B21</f>
        <v>-5.3800000000000002E-3</v>
      </c>
      <c r="E43">
        <f>'2012_2015'!C21</f>
        <v>-2.5999999999999999E-3</v>
      </c>
      <c r="F43">
        <f>'2012_2015'!D21</f>
        <v>1.1299999999999999E-2</v>
      </c>
      <c r="G43">
        <f>'2012_2015'!E21</f>
        <v>1.49E-2</v>
      </c>
      <c r="H43">
        <f>'2012_2015'!F21</f>
        <v>1.4E-2</v>
      </c>
      <c r="I43">
        <f>'2012_2015'!G21</f>
        <v>7.6299999999999996E-3</v>
      </c>
      <c r="J43">
        <f>'2012_2015'!H21</f>
        <v>7.1300000000000001E-3</v>
      </c>
      <c r="K43">
        <f>'2012_2015'!I21</f>
        <v>2.6700000000000001E-3</v>
      </c>
      <c r="L43">
        <f>'2012_2015'!J21</f>
        <v>7.2100000000000003E-3</v>
      </c>
      <c r="M43">
        <f>'2012_2015'!K21</f>
        <v>5.7499999999999999E-3</v>
      </c>
      <c r="N43">
        <f>'2012_2015'!L21</f>
        <v>5.45E-3</v>
      </c>
      <c r="O43">
        <f>'2012_2015'!M21</f>
        <v>4.8599999999999997E-3</v>
      </c>
      <c r="P43">
        <f>'2012_2015'!N21</f>
        <v>3.5699999999999998E-3</v>
      </c>
      <c r="Q43">
        <f>'2012_2015'!O21</f>
        <v>3.1900000000000001E-3</v>
      </c>
      <c r="R43">
        <f>'2012_2015'!P21</f>
        <v>8.3099999999999997E-3</v>
      </c>
      <c r="S43">
        <f>'2012_2015'!Q21</f>
        <v>9.1299999999999992E-3</v>
      </c>
      <c r="T43">
        <f>'2012_2015'!R21</f>
        <v>1.57E-3</v>
      </c>
      <c r="U43">
        <f>'2012_2015'!S21</f>
        <v>3.5899999999999999E-3</v>
      </c>
      <c r="V43">
        <f>'2012_2015'!T21</f>
        <v>5.4200000000000003E-3</v>
      </c>
      <c r="W43">
        <f>'2012_2015'!U21</f>
        <v>6.1999999999999998E-3</v>
      </c>
      <c r="X43">
        <f>'2012_2015'!V21</f>
        <v>7.45E-3</v>
      </c>
      <c r="Y43">
        <f>'2012_2015'!W21</f>
        <v>5.7800000000000004E-3</v>
      </c>
      <c r="Z43">
        <f>'2012_2015'!X21</f>
        <v>6.3200000000000001E-3</v>
      </c>
      <c r="AA43">
        <f>'2012_2015'!Y21</f>
        <v>3.96E-3</v>
      </c>
      <c r="AB43">
        <f>'2012_2015'!Z21</f>
        <v>2.7100000000000002E-3</v>
      </c>
      <c r="AC43">
        <f>'2012_2015'!AA21</f>
        <v>8.4699999999999999E-4</v>
      </c>
      <c r="AD43">
        <f>'2012_2015'!AB21</f>
        <v>3.0699999999999998E-3</v>
      </c>
      <c r="AE43">
        <f>'2012_2015'!AC21</f>
        <v>3.6800000000000001E-3</v>
      </c>
      <c r="AF43">
        <f>'2012_2015'!AD21</f>
        <v>3.8099999999999999E-4</v>
      </c>
      <c r="AG43">
        <f>'2012_2015'!AE21</f>
        <v>8.0099999999999998E-3</v>
      </c>
      <c r="AH43">
        <f>'2012_2015'!AF21</f>
        <v>5.5799999999999999E-3</v>
      </c>
      <c r="AI43">
        <f>'2012_2015'!AG21</f>
        <v>1.4300000000000001E-3</v>
      </c>
      <c r="AJ43">
        <f>'2012_2015'!AH21</f>
        <v>3.2799999999999999E-3</v>
      </c>
      <c r="AK43">
        <f>'2012_2015'!AI21</f>
        <v>-4.57E-4</v>
      </c>
      <c r="AL43">
        <f>'2012_2015'!AJ21</f>
        <v>1.7799999999999999E-3</v>
      </c>
      <c r="AM43">
        <f>'2012_2015'!AK21</f>
        <v>6.3899999999999998E-3</v>
      </c>
      <c r="AN43">
        <f>'2012_2015'!AL21</f>
        <v>3.79E-4</v>
      </c>
      <c r="AO43">
        <f>'2012_2015'!AM21</f>
        <v>2.2000000000000001E-3</v>
      </c>
      <c r="AP43">
        <f>'2012_2015'!AN21</f>
        <v>1.7100000000000001E-4</v>
      </c>
      <c r="AQ43">
        <f>'2012_2015'!AO21</f>
        <v>2.15E-3</v>
      </c>
      <c r="AR43">
        <f>'2012_2015'!AP21</f>
        <v>-2.7299999999999998E-3</v>
      </c>
      <c r="AS43">
        <f>'2012_2015'!AQ21</f>
        <v>3.5599999999999998E-3</v>
      </c>
      <c r="AT43">
        <f>'2012_2015'!AR21</f>
        <v>2.7100000000000002E-3</v>
      </c>
      <c r="AU43">
        <f>'2012_2015'!AS21</f>
        <v>2.5500000000000002E-3</v>
      </c>
      <c r="AV43">
        <f>'2012_2015'!AT21</f>
        <v>-5.8199999999999997E-3</v>
      </c>
      <c r="AW43">
        <f>'2012_2015'!AU21</f>
        <v>-1.7699999999999999E-4</v>
      </c>
      <c r="AX43">
        <f>'2012_2015'!AV21</f>
        <v>-4.13E-3</v>
      </c>
      <c r="AY43">
        <f>'2012_2015'!AW21</f>
        <v>2.4499999999999999E-4</v>
      </c>
      <c r="AZ43">
        <f>'2012_2015'!AX21</f>
        <v>1.65E-3</v>
      </c>
      <c r="BA43">
        <f>'2012_2015'!AY21</f>
        <v>-8.0400000000000003E-4</v>
      </c>
      <c r="BB43">
        <f>'2012_2015'!AZ21</f>
        <v>2.12E-4</v>
      </c>
      <c r="BC43">
        <f>'2012_2015'!BA21</f>
        <v>5.2999999999999998E-4</v>
      </c>
      <c r="BD43">
        <f>'2012_2015'!BB21</f>
        <v>1.4799999999999999E-4</v>
      </c>
      <c r="BE43">
        <f>'2012_2015'!BC21</f>
        <v>5.3299999999999997E-3</v>
      </c>
      <c r="BF43">
        <f>'2012_2015'!BD21</f>
        <v>-6.8999999999999997E-4</v>
      </c>
      <c r="BG43">
        <f>'2012_2015'!BE21</f>
        <v>1.67E-3</v>
      </c>
      <c r="BH43">
        <f>'2012_2015'!BF21</f>
        <v>-2.1299999999999999E-3</v>
      </c>
      <c r="BI43">
        <f>'2012_2015'!BG21</f>
        <v>-5.8100000000000003E-4</v>
      </c>
      <c r="BJ43">
        <f>'2012_2015'!BH21</f>
        <v>-8.5199999999999998E-3</v>
      </c>
      <c r="BK43">
        <f>'2012_2015'!BI21</f>
        <v>7.11E-3</v>
      </c>
      <c r="BL43">
        <f>'2012_2015'!BJ21</f>
        <v>-1.83E-3</v>
      </c>
      <c r="BM43">
        <f>'2012_2015'!BK21</f>
        <v>2.7699999999999999E-3</v>
      </c>
      <c r="BN43">
        <f>'2012_2015'!BL21</f>
        <v>3.5999999999999999E-3</v>
      </c>
      <c r="BO43">
        <f>'2012_2015'!BM21</f>
        <v>4.7000000000000002E-3</v>
      </c>
      <c r="BP43">
        <f>'2012_2015'!BN21</f>
        <v>2.5000000000000001E-3</v>
      </c>
      <c r="BQ43">
        <f>'2012_2015'!BO21</f>
        <v>5.9500000000000004E-3</v>
      </c>
      <c r="BR43">
        <f>'2012_2015'!BP21</f>
        <v>1.2600000000000001E-3</v>
      </c>
      <c r="BS43">
        <f>'2012_2015'!BQ21</f>
        <v>-3.16E-3</v>
      </c>
      <c r="BT43">
        <f>'2012_2015'!BR21</f>
        <v>3.0999999999999999E-3</v>
      </c>
      <c r="BU43">
        <f>'2012_2015'!BS21</f>
        <v>-5.5699999999999999E-4</v>
      </c>
      <c r="BV43">
        <f>'2012_2015'!BT21</f>
        <v>7.1900000000000002E-4</v>
      </c>
      <c r="BW43">
        <f>'2012_2015'!BU21</f>
        <v>-2.66E-3</v>
      </c>
      <c r="BX43">
        <f>'2012_2015'!BV21</f>
        <v>8.1899999999999996E-4</v>
      </c>
      <c r="BY43">
        <f>'2012_2015'!BW21</f>
        <v>-7.9799999999999999E-4</v>
      </c>
      <c r="BZ43">
        <f>'2012_2015'!BX21</f>
        <v>8.3799999999999999E-4</v>
      </c>
      <c r="CA43">
        <f>'2012_2015'!BY21</f>
        <v>-4.8599999999999997E-3</v>
      </c>
      <c r="CB43">
        <f>'2012_2015'!BZ21</f>
        <v>1.4E-2</v>
      </c>
      <c r="CC43">
        <f>'2012_2015'!CA21</f>
        <v>1.29E-2</v>
      </c>
      <c r="CD43">
        <f>'2012_2015'!CB21</f>
        <v>2.4199999999999998E-3</v>
      </c>
      <c r="CE43">
        <f>'2012_2015'!CC21</f>
        <v>-9.810000000000001E-4</v>
      </c>
      <c r="CF43">
        <f>'2012_2015'!CD21</f>
        <v>-5.1900000000000004E-4</v>
      </c>
      <c r="CG43">
        <f>'2012_2015'!CE21</f>
        <v>6.4000000000000005E-4</v>
      </c>
      <c r="CH43">
        <f>'2012_2015'!CF21</f>
        <v>4.4600000000000004E-3</v>
      </c>
      <c r="CI43">
        <f>'2012_2015'!CG21</f>
        <v>2.5100000000000001E-3</v>
      </c>
      <c r="CJ43">
        <f>'2012_2015'!CH21</f>
        <v>-5.1699999999999999E-4</v>
      </c>
      <c r="CK43">
        <f>'2012_2015'!CI21</f>
        <v>6.6800000000000002E-3</v>
      </c>
      <c r="CL43">
        <f>'2012_2015'!CJ21</f>
        <v>1.23E-2</v>
      </c>
      <c r="CM43">
        <f>'2012_2015'!CK21</f>
        <v>-1.2800000000000001E-3</v>
      </c>
      <c r="CN43">
        <f>'2012_2015'!CL21</f>
        <v>5.4200000000000003E-3</v>
      </c>
      <c r="CO43">
        <f>'2012_2015'!CM21</f>
        <v>-5.8100000000000003E-4</v>
      </c>
      <c r="CP43">
        <f>'2012_2015'!CN21</f>
        <v>5.1200000000000004E-3</v>
      </c>
      <c r="CQ43">
        <f>'2012_2015'!CO21</f>
        <v>6.94E-3</v>
      </c>
      <c r="CR43">
        <f>'2012_2015'!CP21</f>
        <v>1.35E-2</v>
      </c>
      <c r="CS43">
        <f>'2012_2015'!CQ21</f>
        <v>8.8900000000000003E-3</v>
      </c>
      <c r="CT43">
        <f>'2012_2015'!CR21</f>
        <v>1.2200000000000001E-2</v>
      </c>
      <c r="CU43">
        <f>'2012_2015'!CS21</f>
        <v>-1.2999999999999999E-3</v>
      </c>
      <c r="CV43">
        <f>'2012_2015'!CT21</f>
        <v>7.2700000000000004E-3</v>
      </c>
      <c r="CW43">
        <f>'2012_2015'!CU21</f>
        <v>8.4000000000000003E-4</v>
      </c>
      <c r="CX43">
        <f>'2012_2015'!CV21</f>
        <v>1.3599999999999999E-2</v>
      </c>
    </row>
    <row r="44" spans="1:102" x14ac:dyDescent="0.2">
      <c r="A44" t="s">
        <v>215</v>
      </c>
      <c r="B44" t="s">
        <v>219</v>
      </c>
      <c r="C44" t="s">
        <v>102</v>
      </c>
      <c r="D44">
        <f>'2012_2015'!B22</f>
        <v>-3.1699999999999999E-2</v>
      </c>
      <c r="E44">
        <f>'2012_2015'!C22</f>
        <v>5.45E-2</v>
      </c>
      <c r="F44">
        <f>'2012_2015'!D22</f>
        <v>1.09E-2</v>
      </c>
      <c r="G44">
        <f>'2012_2015'!E22</f>
        <v>-6.2700000000000006E-2</v>
      </c>
      <c r="H44">
        <f>'2012_2015'!F22</f>
        <v>-5.9299999999999999E-2</v>
      </c>
      <c r="I44">
        <f>'2012_2015'!G22</f>
        <v>-6.83E-2</v>
      </c>
      <c r="J44">
        <f>'2012_2015'!H22</f>
        <v>-8.9800000000000005E-2</v>
      </c>
      <c r="K44">
        <f>'2012_2015'!I22</f>
        <v>-5.9400000000000001E-2</v>
      </c>
      <c r="L44">
        <f>'2012_2015'!J22</f>
        <v>-6.2899999999999998E-2</v>
      </c>
      <c r="M44">
        <f>'2012_2015'!K22</f>
        <v>-4.4900000000000002E-2</v>
      </c>
      <c r="N44">
        <f>'2012_2015'!L22</f>
        <v>-4.6199999999999998E-2</v>
      </c>
      <c r="O44">
        <f>'2012_2015'!M22</f>
        <v>-3.8199999999999998E-2</v>
      </c>
      <c r="P44">
        <f>'2012_2015'!N22</f>
        <v>-3.2800000000000003E-2</v>
      </c>
      <c r="Q44">
        <f>'2012_2015'!O22</f>
        <v>-2.5600000000000001E-2</v>
      </c>
      <c r="R44">
        <f>'2012_2015'!P22</f>
        <v>-1.9699999999999999E-2</v>
      </c>
      <c r="S44">
        <f>'2012_2015'!Q22</f>
        <v>-1.8599999999999998E-2</v>
      </c>
      <c r="T44">
        <f>'2012_2015'!R22</f>
        <v>-1.61E-2</v>
      </c>
      <c r="U44">
        <f>'2012_2015'!S22</f>
        <v>-1.67E-2</v>
      </c>
      <c r="V44">
        <f>'2012_2015'!T22</f>
        <v>-1.7500000000000002E-2</v>
      </c>
      <c r="W44">
        <f>'2012_2015'!U22</f>
        <v>-1.9E-2</v>
      </c>
      <c r="X44">
        <f>'2012_2015'!V22</f>
        <v>-1.43E-2</v>
      </c>
      <c r="Y44">
        <f>'2012_2015'!W22</f>
        <v>-1.5599999999999999E-2</v>
      </c>
      <c r="Z44">
        <f>'2012_2015'!X22</f>
        <v>-1.0999999999999999E-2</v>
      </c>
      <c r="AA44">
        <f>'2012_2015'!Y22</f>
        <v>-1.14E-2</v>
      </c>
      <c r="AB44">
        <f>'2012_2015'!Z22</f>
        <v>-1.1599999999999999E-2</v>
      </c>
      <c r="AC44">
        <f>'2012_2015'!AA22</f>
        <v>-1.14E-2</v>
      </c>
      <c r="AD44">
        <f>'2012_2015'!AB22</f>
        <v>-1.0800000000000001E-2</v>
      </c>
      <c r="AE44">
        <f>'2012_2015'!AC22</f>
        <v>-9.4999999999999998E-3</v>
      </c>
      <c r="AF44">
        <f>'2012_2015'!AD22</f>
        <v>-1.0699999999999999E-2</v>
      </c>
      <c r="AG44">
        <f>'2012_2015'!AE22</f>
        <v>-1.0999999999999999E-2</v>
      </c>
      <c r="AH44">
        <f>'2012_2015'!AF22</f>
        <v>-1.34E-2</v>
      </c>
      <c r="AI44">
        <f>'2012_2015'!AG22</f>
        <v>-1.4200000000000001E-2</v>
      </c>
      <c r="AJ44">
        <f>'2012_2015'!AH22</f>
        <v>-9.9100000000000004E-3</v>
      </c>
      <c r="AK44">
        <f>'2012_2015'!AI22</f>
        <v>4.1700000000000001E-3</v>
      </c>
      <c r="AL44">
        <f>'2012_2015'!AJ22</f>
        <v>1.3500000000000001E-3</v>
      </c>
      <c r="AM44">
        <f>'2012_2015'!AK22</f>
        <v>3.8200000000000002E-4</v>
      </c>
      <c r="AN44">
        <f>'2012_2015'!AL22</f>
        <v>-9.5600000000000004E-4</v>
      </c>
      <c r="AO44">
        <f>'2012_2015'!AM22</f>
        <v>-1.1800000000000001E-3</v>
      </c>
      <c r="AP44">
        <f>'2012_2015'!AN22</f>
        <v>6.45E-3</v>
      </c>
      <c r="AQ44">
        <f>'2012_2015'!AO22</f>
        <v>6.45E-3</v>
      </c>
      <c r="AR44">
        <f>'2012_2015'!AP22</f>
        <v>7.3299999999999997E-3</v>
      </c>
      <c r="AS44">
        <f>'2012_2015'!AQ22</f>
        <v>9.7999999999999997E-4</v>
      </c>
      <c r="AT44">
        <f>'2012_2015'!AR22</f>
        <v>1.47E-3</v>
      </c>
      <c r="AU44">
        <f>'2012_2015'!AS22</f>
        <v>2.6199999999999999E-3</v>
      </c>
      <c r="AV44">
        <f>'2012_2015'!AT22</f>
        <v>1.67E-3</v>
      </c>
      <c r="AW44">
        <f>'2012_2015'!AU22</f>
        <v>1.1999999999999999E-3</v>
      </c>
      <c r="AX44">
        <f>'2012_2015'!AV22</f>
        <v>-1.3799999999999999E-3</v>
      </c>
      <c r="AY44">
        <f>'2012_2015'!AW22</f>
        <v>-1.07E-3</v>
      </c>
      <c r="AZ44">
        <f>'2012_2015'!AX22</f>
        <v>-5.5100000000000001E-3</v>
      </c>
      <c r="BA44">
        <f>'2012_2015'!AY22</f>
        <v>-1.21E-2</v>
      </c>
      <c r="BB44">
        <f>'2012_2015'!AZ22</f>
        <v>-1.29E-2</v>
      </c>
      <c r="BC44">
        <f>'2012_2015'!BA22</f>
        <v>-1.38E-2</v>
      </c>
      <c r="BD44">
        <f>'2012_2015'!BB22</f>
        <v>-1.6299999999999999E-2</v>
      </c>
      <c r="BE44">
        <f>'2012_2015'!BC22</f>
        <v>-1.34E-2</v>
      </c>
      <c r="BF44">
        <f>'2012_2015'!BD22</f>
        <v>-1.61E-2</v>
      </c>
      <c r="BG44">
        <f>'2012_2015'!BE22</f>
        <v>-1.7000000000000001E-2</v>
      </c>
      <c r="BH44">
        <f>'2012_2015'!BF22</f>
        <v>-1.9400000000000001E-2</v>
      </c>
      <c r="BI44">
        <f>'2012_2015'!BG22</f>
        <v>6.0200000000000002E-3</v>
      </c>
      <c r="BJ44">
        <f>'2012_2015'!BH22</f>
        <v>1.0999999999999999E-2</v>
      </c>
      <c r="BK44">
        <f>'2012_2015'!BI22</f>
        <v>1.23E-2</v>
      </c>
      <c r="BL44">
        <f>'2012_2015'!BJ22</f>
        <v>1.06E-2</v>
      </c>
      <c r="BM44">
        <f>'2012_2015'!BK22</f>
        <v>2.06E-2</v>
      </c>
      <c r="BN44">
        <f>'2012_2015'!BL22</f>
        <v>2.1100000000000001E-2</v>
      </c>
      <c r="BO44">
        <f>'2012_2015'!BM22</f>
        <v>1.6799999999999999E-2</v>
      </c>
      <c r="BP44">
        <f>'2012_2015'!BN22</f>
        <v>1.37E-2</v>
      </c>
      <c r="BQ44">
        <f>'2012_2015'!BO22</f>
        <v>1.4200000000000001E-2</v>
      </c>
      <c r="BR44">
        <f>'2012_2015'!BP22</f>
        <v>1.34E-2</v>
      </c>
      <c r="BS44">
        <f>'2012_2015'!BQ22</f>
        <v>1.11E-2</v>
      </c>
      <c r="BT44">
        <f>'2012_2015'!BR22</f>
        <v>1.72E-2</v>
      </c>
      <c r="BU44">
        <f>'2012_2015'!BS22</f>
        <v>1.6299999999999999E-2</v>
      </c>
      <c r="BV44">
        <f>'2012_2015'!BT22</f>
        <v>1.6299999999999999E-2</v>
      </c>
      <c r="BW44">
        <f>'2012_2015'!BU22</f>
        <v>1.8700000000000001E-2</v>
      </c>
      <c r="BX44">
        <f>'2012_2015'!BV22</f>
        <v>1.47E-2</v>
      </c>
      <c r="BY44">
        <f>'2012_2015'!BW22</f>
        <v>1.2699999999999999E-2</v>
      </c>
      <c r="BZ44">
        <f>'2012_2015'!BX22</f>
        <v>9.1000000000000004E-3</v>
      </c>
      <c r="CA44">
        <f>'2012_2015'!BY22</f>
        <v>7.4700000000000001E-3</v>
      </c>
      <c r="CB44">
        <f>'2012_2015'!BZ22</f>
        <v>6.28E-3</v>
      </c>
      <c r="CC44">
        <f>'2012_2015'!CA22</f>
        <v>8.6800000000000002E-3</v>
      </c>
      <c r="CD44">
        <f>'2012_2015'!CB22</f>
        <v>1.5699999999999999E-2</v>
      </c>
      <c r="CE44">
        <f>'2012_2015'!CC22</f>
        <v>1.5699999999999999E-2</v>
      </c>
      <c r="CF44">
        <f>'2012_2015'!CD22</f>
        <v>1.3299999999999999E-2</v>
      </c>
      <c r="CG44">
        <f>'2012_2015'!CE22</f>
        <v>1.15E-2</v>
      </c>
      <c r="CH44">
        <f>'2012_2015'!CF22</f>
        <v>7.3000000000000001E-3</v>
      </c>
      <c r="CI44">
        <f>'2012_2015'!CG22</f>
        <v>6.4400000000000004E-3</v>
      </c>
      <c r="CJ44">
        <f>'2012_2015'!CH22</f>
        <v>3.0499999999999999E-2</v>
      </c>
      <c r="CK44">
        <f>'2012_2015'!CI22</f>
        <v>3.0599999999999999E-2</v>
      </c>
      <c r="CL44">
        <f>'2012_2015'!CJ22</f>
        <v>2.07E-2</v>
      </c>
      <c r="CM44">
        <f>'2012_2015'!CK22</f>
        <v>9.4800000000000006E-3</v>
      </c>
      <c r="CN44">
        <f>'2012_2015'!CL22</f>
        <v>5.8700000000000002E-3</v>
      </c>
      <c r="CO44">
        <f>'2012_2015'!CM22</f>
        <v>-7.6800000000000002E-3</v>
      </c>
      <c r="CP44">
        <f>'2012_2015'!CN22</f>
        <v>-6.5799999999999999E-3</v>
      </c>
      <c r="CQ44">
        <f>'2012_2015'!CO22</f>
        <v>-6.7499999999999999E-3</v>
      </c>
      <c r="CR44">
        <f>'2012_2015'!CP22</f>
        <v>-2.8500000000000001E-2</v>
      </c>
      <c r="CS44">
        <f>'2012_2015'!CQ22</f>
        <v>-2.53E-2</v>
      </c>
      <c r="CT44">
        <f>'2012_2015'!CR22</f>
        <v>6.7799999999999999E-2</v>
      </c>
      <c r="CU44">
        <f>'2012_2015'!CS22</f>
        <v>7.5399999999999995E-2</v>
      </c>
      <c r="CV44">
        <f>'2012_2015'!CT22</f>
        <v>7.1599999999999997E-2</v>
      </c>
      <c r="CW44">
        <f>'2012_2015'!CU22</f>
        <v>7.2499999999999995E-2</v>
      </c>
      <c r="CX44">
        <f>'2012_2015'!CV22</f>
        <v>6.9400000000000003E-2</v>
      </c>
    </row>
    <row r="45" spans="1:102" x14ac:dyDescent="0.2">
      <c r="A45" t="s">
        <v>216</v>
      </c>
      <c r="B45" t="s">
        <v>219</v>
      </c>
      <c r="C45" t="s">
        <v>102</v>
      </c>
      <c r="D45">
        <f>'2012_2015'!B23</f>
        <v>-0.24199999999999999</v>
      </c>
      <c r="E45">
        <f>'2012_2015'!C23</f>
        <v>-0.22900000000000001</v>
      </c>
      <c r="F45">
        <f>'2012_2015'!D23</f>
        <v>0.26900000000000002</v>
      </c>
      <c r="G45">
        <f>'2012_2015'!E23</f>
        <v>0.33200000000000002</v>
      </c>
      <c r="H45">
        <f>'2012_2015'!F23</f>
        <v>0.53300000000000003</v>
      </c>
      <c r="I45">
        <f>'2012_2015'!G23</f>
        <v>0.375</v>
      </c>
      <c r="J45">
        <f>'2012_2015'!H23</f>
        <v>0.59799999999999998</v>
      </c>
      <c r="K45">
        <f>'2012_2015'!I23</f>
        <v>0.49399999999999999</v>
      </c>
      <c r="L45">
        <f>'2012_2015'!J23</f>
        <v>0.50800000000000001</v>
      </c>
      <c r="M45">
        <f>'2012_2015'!K23</f>
        <v>0.43</v>
      </c>
      <c r="N45">
        <f>'2012_2015'!L23</f>
        <v>0.56699999999999995</v>
      </c>
      <c r="O45">
        <f>'2012_2015'!M23</f>
        <v>0.71799999999999997</v>
      </c>
      <c r="P45">
        <f>'2012_2015'!N23</f>
        <v>0.67900000000000005</v>
      </c>
      <c r="Q45">
        <f>'2012_2015'!O23</f>
        <v>0.56599999999999995</v>
      </c>
      <c r="R45">
        <f>'2012_2015'!P23</f>
        <v>0.36</v>
      </c>
      <c r="S45">
        <f>'2012_2015'!Q23</f>
        <v>0.29299999999999998</v>
      </c>
      <c r="T45">
        <f>'2012_2015'!R23</f>
        <v>0.31</v>
      </c>
      <c r="U45">
        <f>'2012_2015'!S23</f>
        <v>0.30399999999999999</v>
      </c>
      <c r="V45">
        <f>'2012_2015'!T23</f>
        <v>0.252</v>
      </c>
      <c r="W45">
        <f>'2012_2015'!U23</f>
        <v>0.23100000000000001</v>
      </c>
      <c r="X45">
        <f>'2012_2015'!V23</f>
        <v>0.22900000000000001</v>
      </c>
      <c r="Y45">
        <f>'2012_2015'!W23</f>
        <v>0.25800000000000001</v>
      </c>
      <c r="Z45">
        <f>'2012_2015'!X23</f>
        <v>0.27500000000000002</v>
      </c>
      <c r="AA45">
        <f>'2012_2015'!Y23</f>
        <v>0.27300000000000002</v>
      </c>
      <c r="AB45">
        <f>'2012_2015'!Z23</f>
        <v>0.24199999999999999</v>
      </c>
      <c r="AC45">
        <f>'2012_2015'!AA23</f>
        <v>0.20200000000000001</v>
      </c>
      <c r="AD45">
        <f>'2012_2015'!AB23</f>
        <v>0.16900000000000001</v>
      </c>
      <c r="AE45">
        <f>'2012_2015'!AC23</f>
        <v>0.153</v>
      </c>
      <c r="AF45">
        <f>'2012_2015'!AD23</f>
        <v>0.13400000000000001</v>
      </c>
      <c r="AG45">
        <f>'2012_2015'!AE23</f>
        <v>0.11700000000000001</v>
      </c>
      <c r="AH45">
        <f>'2012_2015'!AF23</f>
        <v>0.121</v>
      </c>
      <c r="AI45">
        <f>'2012_2015'!AG23</f>
        <v>0.112</v>
      </c>
      <c r="AJ45">
        <f>'2012_2015'!AH23</f>
        <v>8.7599999999999997E-2</v>
      </c>
      <c r="AK45">
        <f>'2012_2015'!AI23</f>
        <v>6.0499999999999998E-2</v>
      </c>
      <c r="AL45">
        <f>'2012_2015'!AJ23</f>
        <v>5.0900000000000001E-2</v>
      </c>
      <c r="AM45">
        <f>'2012_2015'!AK23</f>
        <v>4.8599999999999997E-2</v>
      </c>
      <c r="AN45">
        <f>'2012_2015'!AL23</f>
        <v>6.0699999999999997E-2</v>
      </c>
      <c r="AO45">
        <f>'2012_2015'!AM23</f>
        <v>7.4399999999999994E-2</v>
      </c>
      <c r="AP45">
        <f>'2012_2015'!AN23</f>
        <v>0.124</v>
      </c>
      <c r="AQ45">
        <f>'2012_2015'!AO23</f>
        <v>0.17699999999999999</v>
      </c>
      <c r="AR45">
        <f>'2012_2015'!AP23</f>
        <v>0.17799999999999999</v>
      </c>
      <c r="AS45">
        <f>'2012_2015'!AQ23</f>
        <v>0.186</v>
      </c>
      <c r="AT45">
        <f>'2012_2015'!AR23</f>
        <v>0.16700000000000001</v>
      </c>
      <c r="AU45">
        <f>'2012_2015'!AS23</f>
        <v>0.159</v>
      </c>
      <c r="AV45">
        <f>'2012_2015'!AT23</f>
        <v>0.108</v>
      </c>
      <c r="AW45">
        <f>'2012_2015'!AU23</f>
        <v>6.5699999999999995E-2</v>
      </c>
      <c r="AX45">
        <f>'2012_2015'!AV23</f>
        <v>3.7400000000000003E-2</v>
      </c>
      <c r="AY45">
        <f>'2012_2015'!AW23</f>
        <v>4.7199999999999999E-2</v>
      </c>
      <c r="AZ45">
        <f>'2012_2015'!AX23</f>
        <v>4.4900000000000002E-2</v>
      </c>
      <c r="BA45">
        <f>'2012_2015'!AY23</f>
        <v>5.1900000000000002E-2</v>
      </c>
      <c r="BB45">
        <f>'2012_2015'!AZ23</f>
        <v>0.10100000000000001</v>
      </c>
      <c r="BC45">
        <f>'2012_2015'!BA23</f>
        <v>0.16600000000000001</v>
      </c>
      <c r="BD45">
        <f>'2012_2015'!BB23</f>
        <v>0.19800000000000001</v>
      </c>
      <c r="BE45">
        <f>'2012_2015'!BC23</f>
        <v>0.21099999999999999</v>
      </c>
      <c r="BF45">
        <f>'2012_2015'!BD23</f>
        <v>0.20599999999999999</v>
      </c>
      <c r="BG45">
        <f>'2012_2015'!BE23</f>
        <v>0.218</v>
      </c>
      <c r="BH45">
        <f>'2012_2015'!BF23</f>
        <v>0.188</v>
      </c>
      <c r="BI45">
        <f>'2012_2015'!BG23</f>
        <v>0.11899999999999999</v>
      </c>
      <c r="BJ45">
        <f>'2012_2015'!BH23</f>
        <v>9.2600000000000002E-2</v>
      </c>
      <c r="BK45">
        <f>'2012_2015'!BI23</f>
        <v>7.8799999999999995E-2</v>
      </c>
      <c r="BL45">
        <f>'2012_2015'!BJ23</f>
        <v>7.7600000000000002E-2</v>
      </c>
      <c r="BM45">
        <f>'2012_2015'!BK23</f>
        <v>7.9500000000000001E-2</v>
      </c>
      <c r="BN45">
        <f>'2012_2015'!BL23</f>
        <v>0.105</v>
      </c>
      <c r="BO45">
        <f>'2012_2015'!BM23</f>
        <v>0.16400000000000001</v>
      </c>
      <c r="BP45">
        <f>'2012_2015'!BN23</f>
        <v>0.19700000000000001</v>
      </c>
      <c r="BQ45">
        <f>'2012_2015'!BO23</f>
        <v>0.182</v>
      </c>
      <c r="BR45">
        <f>'2012_2015'!BP23</f>
        <v>0.14699999999999999</v>
      </c>
      <c r="BS45">
        <f>'2012_2015'!BQ23</f>
        <v>0.129</v>
      </c>
      <c r="BT45">
        <f>'2012_2015'!BR23</f>
        <v>9.7299999999999998E-2</v>
      </c>
      <c r="BU45">
        <f>'2012_2015'!BS23</f>
        <v>4.9299999999999997E-2</v>
      </c>
      <c r="BV45">
        <f>'2012_2015'!BT23</f>
        <v>4.99E-2</v>
      </c>
      <c r="BW45">
        <f>'2012_2015'!BU23</f>
        <v>4.0300000000000002E-2</v>
      </c>
      <c r="BX45">
        <f>'2012_2015'!BV23</f>
        <v>7.3899999999999993E-2</v>
      </c>
      <c r="BY45">
        <f>'2012_2015'!BW23</f>
        <v>0.11</v>
      </c>
      <c r="BZ45">
        <f>'2012_2015'!BX23</f>
        <v>0.21299999999999999</v>
      </c>
      <c r="CA45">
        <f>'2012_2015'!BY23</f>
        <v>0.247</v>
      </c>
      <c r="CB45">
        <f>'2012_2015'!BZ23</f>
        <v>0.222</v>
      </c>
      <c r="CC45">
        <f>'2012_2015'!CA23</f>
        <v>0.23699999999999999</v>
      </c>
      <c r="CD45">
        <f>'2012_2015'!CB23</f>
        <v>0.21299999999999999</v>
      </c>
      <c r="CE45">
        <f>'2012_2015'!CC23</f>
        <v>3.9800000000000002E-2</v>
      </c>
      <c r="CF45">
        <f>'2012_2015'!CD23</f>
        <v>-5.5300000000000002E-3</v>
      </c>
      <c r="CG45">
        <f>'2012_2015'!CE23</f>
        <v>8.1200000000000005E-3</v>
      </c>
      <c r="CH45">
        <f>'2012_2015'!CF23</f>
        <v>-5.3100000000000001E-2</v>
      </c>
      <c r="CI45">
        <f>'2012_2015'!CG23</f>
        <v>-1.4200000000000001E-2</v>
      </c>
      <c r="CJ45">
        <f>'2012_2015'!CH23</f>
        <v>-1.4500000000000001E-2</v>
      </c>
      <c r="CK45">
        <f>'2012_2015'!CI23</f>
        <v>0.29499999999999998</v>
      </c>
      <c r="CL45">
        <f>'2012_2015'!CJ23</f>
        <v>0.24199999999999999</v>
      </c>
      <c r="CM45">
        <f>'2012_2015'!CK23</f>
        <v>0.14000000000000001</v>
      </c>
      <c r="CN45">
        <f>'2012_2015'!CL23</f>
        <v>2.2200000000000001E-2</v>
      </c>
      <c r="CO45">
        <f>'2012_2015'!CM23</f>
        <v>-3.3100000000000002E-4</v>
      </c>
      <c r="CP45">
        <f>'2012_2015'!CN23</f>
        <v>0.18099999999999999</v>
      </c>
      <c r="CQ45">
        <f>'2012_2015'!CO23</f>
        <v>0.30299999999999999</v>
      </c>
      <c r="CR45">
        <f>'2012_2015'!CP23</f>
        <v>0.2</v>
      </c>
      <c r="CS45">
        <f>'2012_2015'!CQ23</f>
        <v>0.21299999999999999</v>
      </c>
      <c r="CT45">
        <f>'2012_2015'!CR23</f>
        <v>5.5599999999999997E-2</v>
      </c>
      <c r="CU45">
        <f>'2012_2015'!CS23</f>
        <v>-0.16</v>
      </c>
      <c r="CV45">
        <f>'2012_2015'!CT23</f>
        <v>8.9599999999999999E-2</v>
      </c>
      <c r="CW45">
        <f>'2012_2015'!CU23</f>
        <v>-4.41E-2</v>
      </c>
      <c r="CX45">
        <f>'2012_2015'!CV23</f>
        <v>-0.11</v>
      </c>
    </row>
    <row r="46" spans="1:102" x14ac:dyDescent="0.2">
      <c r="A46" t="s">
        <v>5909</v>
      </c>
      <c r="B46" t="s">
        <v>219</v>
      </c>
      <c r="C46" t="s">
        <v>102</v>
      </c>
      <c r="D46">
        <f>'2012_2015 Int Confianca'!B61</f>
        <v>0.14410000000000001</v>
      </c>
      <c r="E46">
        <f>'2012_2015 Int Confianca'!C61</f>
        <v>-6.1400000000000003E-2</v>
      </c>
      <c r="F46">
        <f>'2012_2015 Int Confianca'!D61</f>
        <v>-0.23469999999999999</v>
      </c>
      <c r="G46">
        <f>'2012_2015 Int Confianca'!E61</f>
        <v>-0.20610000000000001</v>
      </c>
      <c r="H46">
        <f>'2012_2015 Int Confianca'!F61</f>
        <v>-0.29759999999999998</v>
      </c>
      <c r="I46">
        <f>'2012_2015 Int Confianca'!G61</f>
        <v>-0.2223</v>
      </c>
      <c r="J46">
        <f>'2012_2015 Int Confianca'!H61</f>
        <v>-0.30109999999999998</v>
      </c>
      <c r="K46">
        <f>'2012_2015 Int Confianca'!I61</f>
        <v>-0.26029999999999998</v>
      </c>
      <c r="L46">
        <f>'2012_2015 Int Confianca'!J61</f>
        <v>-0.26929999999999998</v>
      </c>
      <c r="M46">
        <f>'2012_2015 Int Confianca'!K61</f>
        <v>-0.2051</v>
      </c>
      <c r="N46">
        <f>'2012_2015 Int Confianca'!L61</f>
        <v>-0.26090000000000002</v>
      </c>
      <c r="O46">
        <f>'2012_2015 Int Confianca'!M61</f>
        <v>-0.33079999999999998</v>
      </c>
      <c r="P46">
        <f>'2012_2015 Int Confianca'!N61</f>
        <v>-0.30819999999999997</v>
      </c>
      <c r="Q46">
        <f>'2012_2015 Int Confianca'!O61</f>
        <v>-0.25219999999999998</v>
      </c>
      <c r="R46">
        <f>'2012_2015 Int Confianca'!P61</f>
        <v>-0.15709999999999999</v>
      </c>
      <c r="S46">
        <f>'2012_2015 Int Confianca'!Q61</f>
        <v>-0.1246</v>
      </c>
      <c r="T46">
        <f>'2012_2015 Int Confianca'!R61</f>
        <v>-0.1201</v>
      </c>
      <c r="U46">
        <f>'2012_2015 Int Confianca'!S61</f>
        <v>-0.1191</v>
      </c>
      <c r="V46">
        <f>'2012_2015 Int Confianca'!T61</f>
        <v>-9.3399999999999997E-2</v>
      </c>
      <c r="W46">
        <f>'2012_2015 Int Confianca'!U61</f>
        <v>-8.77E-2</v>
      </c>
      <c r="X46">
        <f>'2012_2015 Int Confianca'!V61</f>
        <v>-8.8599999999999998E-2</v>
      </c>
      <c r="Y46">
        <f>'2012_2015 Int Confianca'!W61</f>
        <v>-9.7799999999999998E-2</v>
      </c>
      <c r="Z46">
        <f>'2012_2015 Int Confianca'!X61</f>
        <v>-0.10290000000000001</v>
      </c>
      <c r="AA46">
        <f>'2012_2015 Int Confianca'!Y61</f>
        <v>-0.10340000000000001</v>
      </c>
      <c r="AB46">
        <f>'2012_2015 Int Confianca'!Z61</f>
        <v>-9.0399999999999994E-2</v>
      </c>
      <c r="AC46">
        <f>'2012_2015 Int Confianca'!AA61</f>
        <v>-7.5300000000000006E-2</v>
      </c>
      <c r="AD46">
        <f>'2012_2015 Int Confianca'!AB61</f>
        <v>-6.5000000000000002E-2</v>
      </c>
      <c r="AE46">
        <f>'2012_2015 Int Confianca'!AC61</f>
        <v>-6.1499999999999999E-2</v>
      </c>
      <c r="AF46">
        <f>'2012_2015 Int Confianca'!AD61</f>
        <v>-5.5599999999999997E-2</v>
      </c>
      <c r="AG46">
        <f>'2012_2015 Int Confianca'!AE61</f>
        <v>-5.1900000000000002E-2</v>
      </c>
      <c r="AH46">
        <f>'2012_2015 Int Confianca'!AF61</f>
        <v>-5.1299999999999998E-2</v>
      </c>
      <c r="AI46">
        <f>'2012_2015 Int Confianca'!AG61</f>
        <v>-4.4499999999999998E-2</v>
      </c>
      <c r="AJ46">
        <f>'2012_2015 Int Confianca'!AH61</f>
        <v>-2.7400000000000001E-2</v>
      </c>
      <c r="AK46">
        <f>'2012_2015 Int Confianca'!AI61</f>
        <v>-2.07E-2</v>
      </c>
      <c r="AL46">
        <f>'2012_2015 Int Confianca'!AJ61</f>
        <v>-1.2200000000000001E-2</v>
      </c>
      <c r="AM46">
        <f>'2012_2015 Int Confianca'!AK61</f>
        <v>-1.55E-2</v>
      </c>
      <c r="AN46">
        <f>'2012_2015 Int Confianca'!AL61</f>
        <v>-2.0199999999999999E-2</v>
      </c>
      <c r="AO46">
        <f>'2012_2015 Int Confianca'!AM61</f>
        <v>-3.3399999999999999E-2</v>
      </c>
      <c r="AP46">
        <f>'2012_2015 Int Confianca'!AN61</f>
        <v>-5.8500000000000003E-2</v>
      </c>
      <c r="AQ46">
        <f>'2012_2015 Int Confianca'!AO61</f>
        <v>-8.4400000000000003E-2</v>
      </c>
      <c r="AR46">
        <f>'2012_2015 Int Confianca'!AP61</f>
        <v>-9.3399999999999997E-2</v>
      </c>
      <c r="AS46">
        <f>'2012_2015 Int Confianca'!AQ61</f>
        <v>-0.1033</v>
      </c>
      <c r="AT46">
        <f>'2012_2015 Int Confianca'!AR61</f>
        <v>-0.1041</v>
      </c>
      <c r="AU46">
        <f>'2012_2015 Int Confianca'!AS61</f>
        <v>-0.10340000000000001</v>
      </c>
      <c r="AV46">
        <f>'2012_2015 Int Confianca'!AT61</f>
        <v>-9.0899999999999995E-2</v>
      </c>
      <c r="AW46">
        <f>'2012_2015 Int Confianca'!AU61</f>
        <v>-6.2799999999999995E-2</v>
      </c>
      <c r="AX46">
        <f>'2012_2015 Int Confianca'!AV61</f>
        <v>-4.5999999999999999E-2</v>
      </c>
      <c r="AY46">
        <f>'2012_2015 Int Confianca'!AW61</f>
        <v>-4.2700000000000002E-2</v>
      </c>
      <c r="AZ46">
        <f>'2012_2015 Int Confianca'!AX61</f>
        <v>-3.4799999999999998E-2</v>
      </c>
      <c r="BA46">
        <f>'2012_2015 Int Confianca'!AY61</f>
        <v>-3.61E-2</v>
      </c>
      <c r="BB46">
        <f>'2012_2015 Int Confianca'!AZ61</f>
        <v>-5.0599999999999999E-2</v>
      </c>
      <c r="BC46">
        <f>'2012_2015 Int Confianca'!BA61</f>
        <v>-9.1499999999999998E-2</v>
      </c>
      <c r="BD46">
        <f>'2012_2015 Int Confianca'!BB61</f>
        <v>-0.1202</v>
      </c>
      <c r="BE46">
        <f>'2012_2015 Int Confianca'!BC61</f>
        <v>-0.14000000000000001</v>
      </c>
      <c r="BF46">
        <f>'2012_2015 Int Confianca'!BD61</f>
        <v>-0.14549999999999999</v>
      </c>
      <c r="BG46">
        <f>'2012_2015 Int Confianca'!BE61</f>
        <v>-0.15459999999999999</v>
      </c>
      <c r="BH46">
        <f>'2012_2015 Int Confianca'!BF61</f>
        <v>-0.1426</v>
      </c>
      <c r="BI46">
        <f>'2012_2015 Int Confianca'!BG61</f>
        <v>-0.1124</v>
      </c>
      <c r="BJ46">
        <f>'2012_2015 Int Confianca'!BH61</f>
        <v>-9.3600000000000003E-2</v>
      </c>
      <c r="BK46">
        <f>'2012_2015 Int Confianca'!BI61</f>
        <v>-7.5300000000000006E-2</v>
      </c>
      <c r="BL46">
        <f>'2012_2015 Int Confianca'!BJ61</f>
        <v>-7.1900000000000006E-2</v>
      </c>
      <c r="BM46">
        <f>'2012_2015 Int Confianca'!BK61</f>
        <v>-8.4500000000000006E-2</v>
      </c>
      <c r="BN46">
        <f>'2012_2015 Int Confianca'!BL61</f>
        <v>-0.10249999999999999</v>
      </c>
      <c r="BO46">
        <f>'2012_2015 Int Confianca'!BM61</f>
        <v>-0.13</v>
      </c>
      <c r="BP46">
        <f>'2012_2015 Int Confianca'!BN61</f>
        <v>-0.1532</v>
      </c>
      <c r="BQ46">
        <f>'2012_2015 Int Confianca'!BO61</f>
        <v>-0.1565</v>
      </c>
      <c r="BR46">
        <f>'2012_2015 Int Confianca'!BP61</f>
        <v>-0.15160000000000001</v>
      </c>
      <c r="BS46">
        <f>'2012_2015 Int Confianca'!BQ61</f>
        <v>-0.12770000000000001</v>
      </c>
      <c r="BT46">
        <f>'2012_2015 Int Confianca'!BR61</f>
        <v>-0.1047</v>
      </c>
      <c r="BU46">
        <f>'2012_2015 Int Confianca'!BS61</f>
        <v>-7.9000000000000001E-2</v>
      </c>
      <c r="BV46">
        <f>'2012_2015 Int Confianca'!BT61</f>
        <v>-9.1600000000000001E-2</v>
      </c>
      <c r="BW46">
        <f>'2012_2015 Int Confianca'!BU61</f>
        <v>-8.4900000000000003E-2</v>
      </c>
      <c r="BX46">
        <f>'2012_2015 Int Confianca'!BV61</f>
        <v>-9.4500000000000001E-2</v>
      </c>
      <c r="BY46">
        <f>'2012_2015 Int Confianca'!BW61</f>
        <v>-0.12559999999999999</v>
      </c>
      <c r="BZ46">
        <f>'2012_2015 Int Confianca'!BX61</f>
        <v>-0.17610000000000001</v>
      </c>
      <c r="CA46">
        <f>'2012_2015 Int Confianca'!BY61</f>
        <v>-0.19539999999999999</v>
      </c>
      <c r="CB46">
        <f>'2012_2015 Int Confianca'!BZ61</f>
        <v>-0.1883</v>
      </c>
      <c r="CC46">
        <f>'2012_2015 Int Confianca'!CA61</f>
        <v>-0.2195</v>
      </c>
      <c r="CD46">
        <f>'2012_2015 Int Confianca'!CB61</f>
        <v>-0.23380000000000001</v>
      </c>
      <c r="CE46">
        <f>'2012_2015 Int Confianca'!CC61</f>
        <v>-0.1182</v>
      </c>
      <c r="CF46">
        <f>'2012_2015 Int Confianca'!CD61</f>
        <v>-9.2399999999999996E-2</v>
      </c>
      <c r="CG46">
        <f>'2012_2015 Int Confianca'!CE61</f>
        <v>-8.5500000000000007E-2</v>
      </c>
      <c r="CH46">
        <f>'2012_2015 Int Confianca'!CF61</f>
        <v>-6.4399999999999999E-2</v>
      </c>
      <c r="CI46">
        <f>'2012_2015 Int Confianca'!CG61</f>
        <v>-5.2699999999999997E-2</v>
      </c>
      <c r="CJ46">
        <f>'2012_2015 Int Confianca'!CH61</f>
        <v>-6.7400000000000002E-2</v>
      </c>
      <c r="CK46">
        <f>'2012_2015 Int Confianca'!CI61</f>
        <v>-0.27150000000000002</v>
      </c>
      <c r="CL46">
        <f>'2012_2015 Int Confianca'!CJ61</f>
        <v>-0.25190000000000001</v>
      </c>
      <c r="CM46">
        <f>'2012_2015 Int Confianca'!CK61</f>
        <v>-0.1807</v>
      </c>
      <c r="CN46">
        <f>'2012_2015 Int Confianca'!CL61</f>
        <v>-0.1031</v>
      </c>
      <c r="CO46">
        <f>'2012_2015 Int Confianca'!CM61</f>
        <v>-9.3299999999999994E-2</v>
      </c>
      <c r="CP46">
        <f>'2012_2015 Int Confianca'!CN61</f>
        <v>-0.1636</v>
      </c>
      <c r="CQ46">
        <f>'2012_2015 Int Confianca'!CO61</f>
        <v>-0.29949999999999999</v>
      </c>
      <c r="CR46">
        <f>'2012_2015 Int Confianca'!CP61</f>
        <v>-0.21640000000000001</v>
      </c>
      <c r="CS46">
        <f>'2012_2015 Int Confianca'!CQ61</f>
        <v>-0.22509999999999999</v>
      </c>
      <c r="CT46">
        <f>'2012_2015 Int Confianca'!CR61</f>
        <v>-0.2099</v>
      </c>
      <c r="CU46">
        <f>'2012_2015 Int Confianca'!CS61</f>
        <v>-2.5000000000000001E-2</v>
      </c>
      <c r="CV46">
        <f>'2012_2015 Int Confianca'!CT61</f>
        <v>-0.1779</v>
      </c>
      <c r="CW46">
        <f>'2012_2015 Int Confianca'!CU61</f>
        <v>-0.13100000000000001</v>
      </c>
      <c r="CX46">
        <f>'2012_2015 Int Confianca'!CV61</f>
        <v>-0.14180000000000001</v>
      </c>
    </row>
    <row r="47" spans="1:102" x14ac:dyDescent="0.2">
      <c r="A47" t="s">
        <v>5910</v>
      </c>
      <c r="B47" t="s">
        <v>219</v>
      </c>
      <c r="C47" t="s">
        <v>102</v>
      </c>
      <c r="D47">
        <f>'2012_2015 Int Confianca'!B62</f>
        <v>0.72950000000000004</v>
      </c>
      <c r="E47">
        <f>'2012_2015 Int Confianca'!C62</f>
        <v>0.47670000000000001</v>
      </c>
      <c r="F47">
        <f>'2012_2015 Int Confianca'!D62</f>
        <v>0.15590000000000001</v>
      </c>
      <c r="G47">
        <f>'2012_2015 Int Confianca'!E62</f>
        <v>0.1244</v>
      </c>
      <c r="H47">
        <f>'2012_2015 Int Confianca'!F62</f>
        <v>-3.85E-2</v>
      </c>
      <c r="I47">
        <f>'2012_2015 Int Confianca'!G62</f>
        <v>3.7499999999999999E-2</v>
      </c>
      <c r="J47">
        <f>'2012_2015 Int Confianca'!H62</f>
        <v>-7.8899999999999998E-2</v>
      </c>
      <c r="K47">
        <f>'2012_2015 Int Confianca'!I62</f>
        <v>-6.4600000000000005E-2</v>
      </c>
      <c r="L47">
        <f>'2012_2015 Int Confianca'!J62</f>
        <v>-8.3900000000000002E-2</v>
      </c>
      <c r="M47">
        <f>'2012_2015 Int Confianca'!K62</f>
        <v>-6.3200000000000006E-2</v>
      </c>
      <c r="N47">
        <f>'2012_2015 Int Confianca'!L62</f>
        <v>-0.13969999999999999</v>
      </c>
      <c r="O47">
        <f>'2012_2015 Int Confianca'!M62</f>
        <v>-0.22989999999999999</v>
      </c>
      <c r="P47">
        <f>'2012_2015 Int Confianca'!N62</f>
        <v>-0.21929999999999999</v>
      </c>
      <c r="Q47">
        <f>'2012_2015 Int Confianca'!O62</f>
        <v>-0.1724</v>
      </c>
      <c r="R47">
        <f>'2012_2015 Int Confianca'!P62</f>
        <v>-8.7999999999999995E-2</v>
      </c>
      <c r="S47">
        <f>'2012_2015 Int Confianca'!Q62</f>
        <v>-6.2300000000000001E-2</v>
      </c>
      <c r="T47">
        <f>'2012_2015 Int Confianca'!R62</f>
        <v>-6.2199999999999998E-2</v>
      </c>
      <c r="U47">
        <f>'2012_2015 Int Confianca'!S62</f>
        <v>-6.3100000000000003E-2</v>
      </c>
      <c r="V47">
        <f>'2012_2015 Int Confianca'!T62</f>
        <v>-3.9699999999999999E-2</v>
      </c>
      <c r="W47">
        <f>'2012_2015 Int Confianca'!U62</f>
        <v>-3.5700000000000003E-2</v>
      </c>
      <c r="X47">
        <f>'2012_2015 Int Confianca'!V62</f>
        <v>-3.8800000000000001E-2</v>
      </c>
      <c r="Y47">
        <f>'2012_2015 Int Confianca'!W62</f>
        <v>-4.9500000000000002E-2</v>
      </c>
      <c r="Z47">
        <f>'2012_2015 Int Confianca'!X62</f>
        <v>-5.6000000000000001E-2</v>
      </c>
      <c r="AA47">
        <f>'2012_2015 Int Confianca'!Y62</f>
        <v>-5.74E-2</v>
      </c>
      <c r="AB47">
        <f>'2012_2015 Int Confianca'!Z62</f>
        <v>-4.4600000000000001E-2</v>
      </c>
      <c r="AC47">
        <f>'2012_2015 Int Confianca'!AA62</f>
        <v>-3.0300000000000001E-2</v>
      </c>
      <c r="AD47">
        <f>'2012_2015 Int Confianca'!AB62</f>
        <v>-2.0500000000000001E-2</v>
      </c>
      <c r="AE47">
        <f>'2012_2015 Int Confianca'!AC62</f>
        <v>-1.7299999999999999E-2</v>
      </c>
      <c r="AF47">
        <f>'2012_2015 Int Confianca'!AD62</f>
        <v>-1.11E-2</v>
      </c>
      <c r="AG47">
        <f>'2012_2015 Int Confianca'!AE62</f>
        <v>-6.8999999999999999E-3</v>
      </c>
      <c r="AH47">
        <f>'2012_2015 Int Confianca'!AF62</f>
        <v>-5.5999999999999999E-3</v>
      </c>
      <c r="AI47">
        <f>'2012_2015 Int Confianca'!AG62</f>
        <v>2.3999999999999998E-3</v>
      </c>
      <c r="AJ47">
        <f>'2012_2015 Int Confianca'!AH62</f>
        <v>2.1700000000000001E-2</v>
      </c>
      <c r="AK47">
        <f>'2012_2015 Int Confianca'!AI62</f>
        <v>3.04E-2</v>
      </c>
      <c r="AL47">
        <f>'2012_2015 Int Confianca'!AJ62</f>
        <v>3.9699999999999999E-2</v>
      </c>
      <c r="AM47">
        <f>'2012_2015 Int Confianca'!AK62</f>
        <v>3.7199999999999997E-2</v>
      </c>
      <c r="AN47">
        <f>'2012_2015 Int Confianca'!AL62</f>
        <v>3.3099999999999997E-2</v>
      </c>
      <c r="AO47">
        <f>'2012_2015 Int Confianca'!AM62</f>
        <v>2.0199999999999999E-2</v>
      </c>
      <c r="AP47">
        <f>'2012_2015 Int Confianca'!AN62</f>
        <v>-5.4999999999999997E-3</v>
      </c>
      <c r="AQ47">
        <f>'2012_2015 Int Confianca'!AO62</f>
        <v>-3.2099999999999997E-2</v>
      </c>
      <c r="AR47">
        <f>'2012_2015 Int Confianca'!AP62</f>
        <v>-4.1000000000000002E-2</v>
      </c>
      <c r="AS47">
        <f>'2012_2015 Int Confianca'!AQ62</f>
        <v>-5.0799999999999998E-2</v>
      </c>
      <c r="AT47">
        <f>'2012_2015 Int Confianca'!AR62</f>
        <v>-5.16E-2</v>
      </c>
      <c r="AU47">
        <f>'2012_2015 Int Confianca'!AS62</f>
        <v>-5.0999999999999997E-2</v>
      </c>
      <c r="AV47">
        <f>'2012_2015 Int Confianca'!AT62</f>
        <v>-3.8899999999999997E-2</v>
      </c>
      <c r="AW47">
        <f>'2012_2015 Int Confianca'!AU62</f>
        <v>-0.01</v>
      </c>
      <c r="AX47">
        <f>'2012_2015 Int Confianca'!AV62</f>
        <v>8.3999999999999995E-3</v>
      </c>
      <c r="AY47">
        <f>'2012_2015 Int Confianca'!AW62</f>
        <v>1.21E-2</v>
      </c>
      <c r="AZ47">
        <f>'2012_2015 Int Confianca'!AX62</f>
        <v>2.06E-2</v>
      </c>
      <c r="BA47">
        <f>'2012_2015 Int Confianca'!AY62</f>
        <v>2.01E-2</v>
      </c>
      <c r="BB47">
        <f>'2012_2015 Int Confianca'!AZ62</f>
        <v>5.5999999999999999E-3</v>
      </c>
      <c r="BC47">
        <f>'2012_2015 Int Confianca'!BA62</f>
        <v>-3.49E-2</v>
      </c>
      <c r="BD47">
        <f>'2012_2015 Int Confianca'!BB62</f>
        <v>-6.2799999999999995E-2</v>
      </c>
      <c r="BE47">
        <f>'2012_2015 Int Confianca'!BC62</f>
        <v>-8.2199999999999995E-2</v>
      </c>
      <c r="BF47">
        <f>'2012_2015 Int Confianca'!BD62</f>
        <v>-8.7999999999999995E-2</v>
      </c>
      <c r="BG47">
        <f>'2012_2015 Int Confianca'!BE62</f>
        <v>-9.7000000000000003E-2</v>
      </c>
      <c r="BH47">
        <f>'2012_2015 Int Confianca'!BF62</f>
        <v>-8.5199999999999998E-2</v>
      </c>
      <c r="BI47">
        <f>'2012_2015 Int Confianca'!BG62</f>
        <v>-5.5100000000000003E-2</v>
      </c>
      <c r="BJ47">
        <f>'2012_2015 Int Confianca'!BH62</f>
        <v>-3.6600000000000001E-2</v>
      </c>
      <c r="BK47">
        <f>'2012_2015 Int Confianca'!BI62</f>
        <v>-1.84E-2</v>
      </c>
      <c r="BL47">
        <f>'2012_2015 Int Confianca'!BJ62</f>
        <v>-1.5100000000000001E-2</v>
      </c>
      <c r="BM47">
        <f>'2012_2015 Int Confianca'!BK62</f>
        <v>-2.6700000000000002E-2</v>
      </c>
      <c r="BN47">
        <f>'2012_2015 Int Confianca'!BL62</f>
        <v>-4.4699999999999997E-2</v>
      </c>
      <c r="BO47">
        <f>'2012_2015 Int Confianca'!BM62</f>
        <v>-7.17E-2</v>
      </c>
      <c r="BP47">
        <f>'2012_2015 Int Confianca'!BN62</f>
        <v>-9.4799999999999995E-2</v>
      </c>
      <c r="BQ47">
        <f>'2012_2015 Int Confianca'!BO62</f>
        <v>-9.8000000000000004E-2</v>
      </c>
      <c r="BR47">
        <f>'2012_2015 Int Confianca'!BP62</f>
        <v>-9.3799999999999994E-2</v>
      </c>
      <c r="BS47">
        <f>'2012_2015 Int Confianca'!BQ62</f>
        <v>-6.88E-2</v>
      </c>
      <c r="BT47">
        <f>'2012_2015 Int Confianca'!BR62</f>
        <v>-4.6800000000000001E-2</v>
      </c>
      <c r="BU47">
        <f>'2012_2015 Int Confianca'!BS62</f>
        <v>-1.9800000000000002E-2</v>
      </c>
      <c r="BV47">
        <f>'2012_2015 Int Confianca'!BT62</f>
        <v>-2.9399999999999999E-2</v>
      </c>
      <c r="BW47">
        <f>'2012_2015 Int Confianca'!BU62</f>
        <v>-1.9E-2</v>
      </c>
      <c r="BX47">
        <f>'2012_2015 Int Confianca'!BV62</f>
        <v>-2.7199999999999998E-2</v>
      </c>
      <c r="BY47">
        <f>'2012_2015 Int Confianca'!BW62</f>
        <v>-5.8200000000000002E-2</v>
      </c>
      <c r="BZ47">
        <f>'2012_2015 Int Confianca'!BX62</f>
        <v>-0.11260000000000001</v>
      </c>
      <c r="CA47">
        <f>'2012_2015 Int Confianca'!BY62</f>
        <v>-0.13289999999999999</v>
      </c>
      <c r="CB47">
        <f>'2012_2015 Int Confianca'!BZ62</f>
        <v>-0.12690000000000001</v>
      </c>
      <c r="CC47">
        <f>'2012_2015 Int Confianca'!CA62</f>
        <v>-0.15679999999999999</v>
      </c>
      <c r="CD47">
        <f>'2012_2015 Int Confianca'!CB62</f>
        <v>-0.17</v>
      </c>
      <c r="CE47">
        <f>'2012_2015 Int Confianca'!CC62</f>
        <v>-4.4400000000000002E-2</v>
      </c>
      <c r="CF47">
        <f>'2012_2015 Int Confianca'!CD62</f>
        <v>-1.4E-2</v>
      </c>
      <c r="CG47">
        <f>'2012_2015 Int Confianca'!CE62</f>
        <v>-1.0500000000000001E-2</v>
      </c>
      <c r="CH47">
        <f>'2012_2015 Int Confianca'!CF62</f>
        <v>7.4000000000000003E-3</v>
      </c>
      <c r="CI47">
        <f>'2012_2015 Int Confianca'!CG62</f>
        <v>1.83E-2</v>
      </c>
      <c r="CJ47">
        <f>'2012_2015 Int Confianca'!CH62</f>
        <v>8.0000000000000002E-3</v>
      </c>
      <c r="CK47">
        <f>'2012_2015 Int Confianca'!CI62</f>
        <v>-0.1908</v>
      </c>
      <c r="CL47">
        <f>'2012_2015 Int Confianca'!CJ62</f>
        <v>-0.17199999999999999</v>
      </c>
      <c r="CM47">
        <f>'2012_2015 Int Confianca'!CK62</f>
        <v>-0.1022</v>
      </c>
      <c r="CN47">
        <f>'2012_2015 Int Confianca'!CL62</f>
        <v>-1.3100000000000001E-2</v>
      </c>
      <c r="CO47">
        <f>'2012_2015 Int Confianca'!CM62</f>
        <v>-1E-3</v>
      </c>
      <c r="CP47">
        <f>'2012_2015 Int Confianca'!CN62</f>
        <v>-8.1000000000000003E-2</v>
      </c>
      <c r="CQ47">
        <f>'2012_2015 Int Confianca'!CO62</f>
        <v>-0.2097</v>
      </c>
      <c r="CR47">
        <f>'2012_2015 Int Confianca'!CP62</f>
        <v>-0.10199999999999999</v>
      </c>
      <c r="CS47">
        <f>'2012_2015 Int Confianca'!CQ62</f>
        <v>-0.12509999999999999</v>
      </c>
      <c r="CT47">
        <f>'2012_2015 Int Confianca'!CR62</f>
        <v>-8.6199999999999999E-2</v>
      </c>
      <c r="CU47">
        <f>'2012_2015 Int Confianca'!CS62</f>
        <v>9.2999999999999999E-2</v>
      </c>
      <c r="CV47">
        <f>'2012_2015 Int Confianca'!CT62</f>
        <v>-3.2899999999999999E-2</v>
      </c>
      <c r="CW47">
        <f>'2012_2015 Int Confianca'!CU62</f>
        <v>4.5900000000000003E-2</v>
      </c>
      <c r="CX47">
        <f>'2012_2015 Int Confianca'!CV62</f>
        <v>8.4599999999999995E-2</v>
      </c>
    </row>
    <row r="48" spans="1:102" x14ac:dyDescent="0.2">
      <c r="A48" t="s">
        <v>5911</v>
      </c>
      <c r="B48" t="s">
        <v>219</v>
      </c>
      <c r="C48" t="s">
        <v>102</v>
      </c>
      <c r="D48">
        <f>'2012_2015 Int Confianca'!B63</f>
        <v>-0.16850000000000001</v>
      </c>
      <c r="E48">
        <f>'2012_2015 Int Confianca'!C63</f>
        <v>-9.5799999999999996E-2</v>
      </c>
      <c r="F48">
        <f>'2012_2015 Int Confianca'!D63</f>
        <v>-0.2223</v>
      </c>
      <c r="G48">
        <f>'2012_2015 Int Confianca'!E63</f>
        <v>-0.18909999999999999</v>
      </c>
      <c r="H48">
        <f>'2012_2015 Int Confianca'!F63</f>
        <v>-0.19969999999999999</v>
      </c>
      <c r="I48">
        <f>'2012_2015 Int Confianca'!G63</f>
        <v>-0.1787</v>
      </c>
      <c r="J48">
        <f>'2012_2015 Int Confianca'!H63</f>
        <v>-0.19819999999999999</v>
      </c>
      <c r="K48">
        <f>'2012_2015 Int Confianca'!I63</f>
        <v>-0.1867</v>
      </c>
      <c r="L48">
        <f>'2012_2015 Int Confianca'!J63</f>
        <v>-0.1744</v>
      </c>
      <c r="M48">
        <f>'2012_2015 Int Confianca'!K63</f>
        <v>-0.14729999999999999</v>
      </c>
      <c r="N48">
        <f>'2012_2015 Int Confianca'!L63</f>
        <v>-0.16220000000000001</v>
      </c>
      <c r="O48">
        <f>'2012_2015 Int Confianca'!M63</f>
        <v>-0.19209999999999999</v>
      </c>
      <c r="P48">
        <f>'2012_2015 Int Confianca'!N63</f>
        <v>-0.1762</v>
      </c>
      <c r="Q48">
        <f>'2012_2015 Int Confianca'!O63</f>
        <v>-0.14349999999999999</v>
      </c>
      <c r="R48">
        <f>'2012_2015 Int Confianca'!P63</f>
        <v>-8.7400000000000005E-2</v>
      </c>
      <c r="S48">
        <f>'2012_2015 Int Confianca'!Q63</f>
        <v>-6.6600000000000006E-2</v>
      </c>
      <c r="T48">
        <f>'2012_2015 Int Confianca'!R63</f>
        <v>-6.6799999999999998E-2</v>
      </c>
      <c r="U48">
        <f>'2012_2015 Int Confianca'!S63</f>
        <v>-5.9200000000000003E-2</v>
      </c>
      <c r="V48">
        <f>'2012_2015 Int Confianca'!T63</f>
        <v>-4.65E-2</v>
      </c>
      <c r="W48">
        <f>'2012_2015 Int Confianca'!U63</f>
        <v>-3.6299999999999999E-2</v>
      </c>
      <c r="X48">
        <f>'2012_2015 Int Confianca'!V63</f>
        <v>-3.7499999999999999E-2</v>
      </c>
      <c r="Y48">
        <f>'2012_2015 Int Confianca'!W63</f>
        <v>-4.8500000000000001E-2</v>
      </c>
      <c r="Z48">
        <f>'2012_2015 Int Confianca'!X63</f>
        <v>-5.3699999999999998E-2</v>
      </c>
      <c r="AA48">
        <f>'2012_2015 Int Confianca'!Y63</f>
        <v>-5.74E-2</v>
      </c>
      <c r="AB48">
        <f>'2012_2015 Int Confianca'!Z63</f>
        <v>-4.7300000000000002E-2</v>
      </c>
      <c r="AC48">
        <f>'2012_2015 Int Confianca'!AA63</f>
        <v>-3.4700000000000002E-2</v>
      </c>
      <c r="AD48">
        <f>'2012_2015 Int Confianca'!AB63</f>
        <v>-3.1300000000000001E-2</v>
      </c>
      <c r="AE48">
        <f>'2012_2015 Int Confianca'!AC63</f>
        <v>-2.7300000000000001E-2</v>
      </c>
      <c r="AF48">
        <f>'2012_2015 Int Confianca'!AD63</f>
        <v>-1.5299999999999999E-2</v>
      </c>
      <c r="AG48">
        <f>'2012_2015 Int Confianca'!AE63</f>
        <v>-7.0000000000000001E-3</v>
      </c>
      <c r="AH48">
        <f>'2012_2015 Int Confianca'!AF63</f>
        <v>-1.0699999999999999E-2</v>
      </c>
      <c r="AI48">
        <f>'2012_2015 Int Confianca'!AG63</f>
        <v>-2.7000000000000001E-3</v>
      </c>
      <c r="AJ48">
        <f>'2012_2015 Int Confianca'!AH63</f>
        <v>1.66E-2</v>
      </c>
      <c r="AK48">
        <f>'2012_2015 Int Confianca'!AI63</f>
        <v>2.2499999999999999E-2</v>
      </c>
      <c r="AL48">
        <f>'2012_2015 Int Confianca'!AJ63</f>
        <v>2.4500000000000001E-2</v>
      </c>
      <c r="AM48">
        <f>'2012_2015 Int Confianca'!AK63</f>
        <v>2.9499999999999998E-2</v>
      </c>
      <c r="AN48">
        <f>'2012_2015 Int Confianca'!AL63</f>
        <v>2.7099999999999999E-2</v>
      </c>
      <c r="AO48">
        <f>'2012_2015 Int Confianca'!AM63</f>
        <v>1.9300000000000001E-2</v>
      </c>
      <c r="AP48">
        <f>'2012_2015 Int Confianca'!AN63</f>
        <v>-3.0000000000000001E-3</v>
      </c>
      <c r="AQ48">
        <f>'2012_2015 Int Confianca'!AO63</f>
        <v>-2.1499999999999998E-2</v>
      </c>
      <c r="AR48">
        <f>'2012_2015 Int Confianca'!AP63</f>
        <v>-2.53E-2</v>
      </c>
      <c r="AS48">
        <f>'2012_2015 Int Confianca'!AQ63</f>
        <v>-3.9800000000000002E-2</v>
      </c>
      <c r="AT48">
        <f>'2012_2015 Int Confianca'!AR63</f>
        <v>-3.5099999999999999E-2</v>
      </c>
      <c r="AU48">
        <f>'2012_2015 Int Confianca'!AS63</f>
        <v>-3.7199999999999997E-2</v>
      </c>
      <c r="AV48">
        <f>'2012_2015 Int Confianca'!AT63</f>
        <v>-1.8200000000000001E-2</v>
      </c>
      <c r="AW48">
        <f>'2012_2015 Int Confianca'!AU63</f>
        <v>5.4000000000000003E-3</v>
      </c>
      <c r="AX48">
        <f>'2012_2015 Int Confianca'!AV63</f>
        <v>3.6400000000000002E-2</v>
      </c>
      <c r="AY48">
        <f>'2012_2015 Int Confianca'!AW63</f>
        <v>3.5000000000000003E-2</v>
      </c>
      <c r="AZ48">
        <f>'2012_2015 Int Confianca'!AX63</f>
        <v>4.1799999999999997E-2</v>
      </c>
      <c r="BA48">
        <f>'2012_2015 Int Confianca'!AY63</f>
        <v>4.0099999999999997E-2</v>
      </c>
      <c r="BB48">
        <f>'2012_2015 Int Confianca'!AZ63</f>
        <v>2.6100000000000002E-2</v>
      </c>
      <c r="BC48">
        <f>'2012_2015 Int Confianca'!BA63</f>
        <v>-9.1999999999999998E-3</v>
      </c>
      <c r="BD48">
        <f>'2012_2015 Int Confianca'!BB63</f>
        <v>-4.0300000000000002E-2</v>
      </c>
      <c r="BE48">
        <f>'2012_2015 Int Confianca'!BC63</f>
        <v>-5.0200000000000002E-2</v>
      </c>
      <c r="BF48">
        <f>'2012_2015 Int Confianca'!BD63</f>
        <v>-5.2299999999999999E-2</v>
      </c>
      <c r="BG48">
        <f>'2012_2015 Int Confianca'!BE63</f>
        <v>-5.5399999999999998E-2</v>
      </c>
      <c r="BH48">
        <f>'2012_2015 Int Confianca'!BF63</f>
        <v>-4.6100000000000002E-2</v>
      </c>
      <c r="BI48">
        <f>'2012_2015 Int Confianca'!BG63</f>
        <v>-1.9599999999999999E-2</v>
      </c>
      <c r="BJ48">
        <f>'2012_2015 Int Confianca'!BH63</f>
        <v>-8.5000000000000006E-3</v>
      </c>
      <c r="BK48">
        <f>'2012_2015 Int Confianca'!BI63</f>
        <v>-5.3E-3</v>
      </c>
      <c r="BL48">
        <f>'2012_2015 Int Confianca'!BJ63</f>
        <v>0</v>
      </c>
      <c r="BM48">
        <f>'2012_2015 Int Confianca'!BK63</f>
        <v>-7.0000000000000001E-3</v>
      </c>
      <c r="BN48">
        <f>'2012_2015 Int Confianca'!BL63</f>
        <v>-3.3500000000000002E-2</v>
      </c>
      <c r="BO48">
        <f>'2012_2015 Int Confianca'!BM63</f>
        <v>-5.8299999999999998E-2</v>
      </c>
      <c r="BP48">
        <f>'2012_2015 Int Confianca'!BN63</f>
        <v>-8.2299999999999998E-2</v>
      </c>
      <c r="BQ48">
        <f>'2012_2015 Int Confianca'!BO63</f>
        <v>-8.7999999999999995E-2</v>
      </c>
      <c r="BR48">
        <f>'2012_2015 Int Confianca'!BP63</f>
        <v>-8.2600000000000007E-2</v>
      </c>
      <c r="BS48">
        <f>'2012_2015 Int Confianca'!BQ63</f>
        <v>-5.91E-2</v>
      </c>
      <c r="BT48">
        <f>'2012_2015 Int Confianca'!BR63</f>
        <v>-3.95E-2</v>
      </c>
      <c r="BU48">
        <f>'2012_2015 Int Confianca'!BS63</f>
        <v>-1.29E-2</v>
      </c>
      <c r="BV48">
        <f>'2012_2015 Int Confianca'!BT63</f>
        <v>-3.0700000000000002E-2</v>
      </c>
      <c r="BW48">
        <f>'2012_2015 Int Confianca'!BU63</f>
        <v>-2.7099999999999999E-2</v>
      </c>
      <c r="BX48">
        <f>'2012_2015 Int Confianca'!BV63</f>
        <v>-3.3099999999999997E-2</v>
      </c>
      <c r="BY48">
        <f>'2012_2015 Int Confianca'!BW63</f>
        <v>-6.2799999999999995E-2</v>
      </c>
      <c r="BZ48">
        <f>'2012_2015 Int Confianca'!BX63</f>
        <v>-0.1202</v>
      </c>
      <c r="CA48">
        <f>'2012_2015 Int Confianca'!BY63</f>
        <v>-0.1361</v>
      </c>
      <c r="CB48">
        <f>'2012_2015 Int Confianca'!BZ63</f>
        <v>-0.1305</v>
      </c>
      <c r="CC48">
        <f>'2012_2015 Int Confianca'!CA63</f>
        <v>-0.15809999999999999</v>
      </c>
      <c r="CD48">
        <f>'2012_2015 Int Confianca'!CB63</f>
        <v>-0.16489999999999999</v>
      </c>
      <c r="CE48">
        <f>'2012_2015 Int Confianca'!CC63</f>
        <v>-3.5200000000000002E-2</v>
      </c>
      <c r="CF48">
        <f>'2012_2015 Int Confianca'!CD63</f>
        <v>-2.29E-2</v>
      </c>
      <c r="CG48">
        <f>'2012_2015 Int Confianca'!CE63</f>
        <v>-2.4799999999999999E-2</v>
      </c>
      <c r="CH48">
        <f>'2012_2015 Int Confianca'!CF63</f>
        <v>8.9999999999999998E-4</v>
      </c>
      <c r="CI48">
        <f>'2012_2015 Int Confianca'!CG63</f>
        <v>-5.7000000000000002E-3</v>
      </c>
      <c r="CJ48">
        <f>'2012_2015 Int Confianca'!CH63</f>
        <v>-1.2500000000000001E-2</v>
      </c>
      <c r="CK48">
        <f>'2012_2015 Int Confianca'!CI63</f>
        <v>-0.22459999999999999</v>
      </c>
      <c r="CL48">
        <f>'2012_2015 Int Confianca'!CJ63</f>
        <v>-0.21079999999999999</v>
      </c>
      <c r="CM48">
        <f>'2012_2015 Int Confianca'!CK63</f>
        <v>-0.1545</v>
      </c>
      <c r="CN48">
        <f>'2012_2015 Int Confianca'!CL63</f>
        <v>-7.5200000000000003E-2</v>
      </c>
      <c r="CO48">
        <f>'2012_2015 Int Confianca'!CM63</f>
        <v>-5.1700000000000003E-2</v>
      </c>
      <c r="CP48">
        <f>'2012_2015 Int Confianca'!CN63</f>
        <v>-0.12590000000000001</v>
      </c>
      <c r="CQ48">
        <f>'2012_2015 Int Confianca'!CO63</f>
        <v>-0.26960000000000001</v>
      </c>
      <c r="CR48">
        <f>'2012_2015 Int Confianca'!CP63</f>
        <v>-0.2036</v>
      </c>
      <c r="CS48">
        <f>'2012_2015 Int Confianca'!CQ63</f>
        <v>-0.21</v>
      </c>
      <c r="CT48">
        <f>'2012_2015 Int Confianca'!CR63</f>
        <v>-0.21729999999999999</v>
      </c>
      <c r="CU48">
        <f>'2012_2015 Int Confianca'!CS63</f>
        <v>-2.2499999999999999E-2</v>
      </c>
      <c r="CV48">
        <f>'2012_2015 Int Confianca'!CT63</f>
        <v>-0.21479999999999999</v>
      </c>
      <c r="CW48">
        <f>'2012_2015 Int Confianca'!CU63</f>
        <v>-0.16930000000000001</v>
      </c>
      <c r="CX48">
        <f>'2012_2015 Int Confianca'!CV63</f>
        <v>-0.1031</v>
      </c>
    </row>
    <row r="49" spans="1:102" x14ac:dyDescent="0.2">
      <c r="A49" t="s">
        <v>5912</v>
      </c>
      <c r="B49" t="s">
        <v>219</v>
      </c>
      <c r="C49" t="s">
        <v>102</v>
      </c>
      <c r="D49">
        <f>'2012_2015 Int Confianca'!B64</f>
        <v>0.15129999999999999</v>
      </c>
      <c r="E49">
        <f>'2012_2015 Int Confianca'!C64</f>
        <v>0.19400000000000001</v>
      </c>
      <c r="F49">
        <f>'2012_2015 Int Confianca'!D64</f>
        <v>-7.4999999999999997E-3</v>
      </c>
      <c r="G49">
        <f>'2012_2015 Int Confianca'!E64</f>
        <v>-6.7999999999999996E-3</v>
      </c>
      <c r="H49">
        <f>'2012_2015 Int Confianca'!F64</f>
        <v>-5.5199999999999999E-2</v>
      </c>
      <c r="I49">
        <f>'2012_2015 Int Confianca'!G64</f>
        <v>-3.0599999999999999E-2</v>
      </c>
      <c r="J49">
        <f>'2012_2015 Int Confianca'!H64</f>
        <v>-6.8400000000000002E-2</v>
      </c>
      <c r="K49">
        <f>'2012_2015 Int Confianca'!I64</f>
        <v>-6.9599999999999995E-2</v>
      </c>
      <c r="L49">
        <f>'2012_2015 Int Confianca'!J64</f>
        <v>-6.1199999999999997E-2</v>
      </c>
      <c r="M49">
        <f>'2012_2015 Int Confianca'!K64</f>
        <v>-5.8000000000000003E-2</v>
      </c>
      <c r="N49">
        <f>'2012_2015 Int Confianca'!L64</f>
        <v>-8.4199999999999997E-2</v>
      </c>
      <c r="O49">
        <f>'2012_2015 Int Confianca'!M64</f>
        <v>-0.12590000000000001</v>
      </c>
      <c r="P49">
        <f>'2012_2015 Int Confianca'!N64</f>
        <v>-0.1168</v>
      </c>
      <c r="Q49">
        <f>'2012_2015 Int Confianca'!O64</f>
        <v>-8.9399999999999993E-2</v>
      </c>
      <c r="R49">
        <f>'2012_2015 Int Confianca'!P64</f>
        <v>-3.9899999999999998E-2</v>
      </c>
      <c r="S49">
        <f>'2012_2015 Int Confianca'!Q64</f>
        <v>-2.2800000000000001E-2</v>
      </c>
      <c r="T49">
        <f>'2012_2015 Int Confianca'!R64</f>
        <v>-2.5399999999999999E-2</v>
      </c>
      <c r="U49">
        <f>'2012_2015 Int Confianca'!S64</f>
        <v>-1.89E-2</v>
      </c>
      <c r="V49">
        <f>'2012_2015 Int Confianca'!T64</f>
        <v>-7.4999999999999997E-3</v>
      </c>
      <c r="W49">
        <f>'2012_2015 Int Confianca'!U64</f>
        <v>1.6999999999999999E-3</v>
      </c>
      <c r="X49">
        <f>'2012_2015 Int Confianca'!V64</f>
        <v>-8.9999999999999998E-4</v>
      </c>
      <c r="Y49">
        <f>'2012_2015 Int Confianca'!W64</f>
        <v>-1.26E-2</v>
      </c>
      <c r="Z49">
        <f>'2012_2015 Int Confianca'!X64</f>
        <v>-1.8499999999999999E-2</v>
      </c>
      <c r="AA49">
        <f>'2012_2015 Int Confianca'!Y64</f>
        <v>-2.2800000000000001E-2</v>
      </c>
      <c r="AB49">
        <f>'2012_2015 Int Confianca'!Z64</f>
        <v>-1.2699999999999999E-2</v>
      </c>
      <c r="AC49">
        <f>'2012_2015 Int Confianca'!AA64</f>
        <v>-4.0000000000000002E-4</v>
      </c>
      <c r="AD49">
        <f>'2012_2015 Int Confianca'!AB64</f>
        <v>2.8999999999999998E-3</v>
      </c>
      <c r="AE49">
        <f>'2012_2015 Int Confianca'!AC64</f>
        <v>7.0000000000000001E-3</v>
      </c>
      <c r="AF49">
        <f>'2012_2015 Int Confianca'!AD64</f>
        <v>1.9400000000000001E-2</v>
      </c>
      <c r="AG49">
        <f>'2012_2015 Int Confianca'!AE64</f>
        <v>2.81E-2</v>
      </c>
      <c r="AH49">
        <f>'2012_2015 Int Confianca'!AF64</f>
        <v>2.52E-2</v>
      </c>
      <c r="AI49">
        <f>'2012_2015 Int Confianca'!AG64</f>
        <v>3.4099999999999998E-2</v>
      </c>
      <c r="AJ49">
        <f>'2012_2015 Int Confianca'!AH64</f>
        <v>5.5300000000000002E-2</v>
      </c>
      <c r="AK49">
        <f>'2012_2015 Int Confianca'!AI64</f>
        <v>6.2700000000000006E-2</v>
      </c>
      <c r="AL49">
        <f>'2012_2015 Int Confianca'!AJ64</f>
        <v>6.5699999999999995E-2</v>
      </c>
      <c r="AM49">
        <f>'2012_2015 Int Confianca'!AK64</f>
        <v>7.1300000000000002E-2</v>
      </c>
      <c r="AN49">
        <f>'2012_2015 Int Confianca'!AL64</f>
        <v>6.9599999999999995E-2</v>
      </c>
      <c r="AO49">
        <f>'2012_2015 Int Confianca'!AM64</f>
        <v>6.2199999999999998E-2</v>
      </c>
      <c r="AP49">
        <f>'2012_2015 Int Confianca'!AN64</f>
        <v>3.9600000000000003E-2</v>
      </c>
      <c r="AQ49">
        <f>'2012_2015 Int Confianca'!AO64</f>
        <v>2.07E-2</v>
      </c>
      <c r="AR49">
        <f>'2012_2015 Int Confianca'!AP64</f>
        <v>1.72E-2</v>
      </c>
      <c r="AS49">
        <f>'2012_2015 Int Confianca'!AQ64</f>
        <v>2.8999999999999998E-3</v>
      </c>
      <c r="AT49">
        <f>'2012_2015 Int Confianca'!AR64</f>
        <v>7.6E-3</v>
      </c>
      <c r="AU49">
        <f>'2012_2015 Int Confianca'!AS64</f>
        <v>5.4000000000000003E-3</v>
      </c>
      <c r="AV49">
        <f>'2012_2015 Int Confianca'!AT64</f>
        <v>2.4199999999999999E-2</v>
      </c>
      <c r="AW49">
        <f>'2012_2015 Int Confianca'!AU64</f>
        <v>4.8300000000000003E-2</v>
      </c>
      <c r="AX49">
        <f>'2012_2015 Int Confianca'!AV64</f>
        <v>8.0299999999999996E-2</v>
      </c>
      <c r="AY49">
        <f>'2012_2015 Int Confianca'!AW64</f>
        <v>7.9299999999999995E-2</v>
      </c>
      <c r="AZ49">
        <f>'2012_2015 Int Confianca'!AX64</f>
        <v>8.6499999999999994E-2</v>
      </c>
      <c r="BA49">
        <f>'2012_2015 Int Confianca'!AY64</f>
        <v>8.5400000000000004E-2</v>
      </c>
      <c r="BB49">
        <f>'2012_2015 Int Confianca'!AZ64</f>
        <v>7.17E-2</v>
      </c>
      <c r="BC49">
        <f>'2012_2015 Int Confianca'!BA64</f>
        <v>3.6900000000000002E-2</v>
      </c>
      <c r="BD49">
        <f>'2012_2015 Int Confianca'!BB64</f>
        <v>6.7999999999999996E-3</v>
      </c>
      <c r="BE49">
        <f>'2012_2015 Int Confianca'!BC64</f>
        <v>-2.5999999999999999E-3</v>
      </c>
      <c r="BF49">
        <f>'2012_2015 Int Confianca'!BD64</f>
        <v>-5.0000000000000001E-3</v>
      </c>
      <c r="BG49">
        <f>'2012_2015 Int Confianca'!BE64</f>
        <v>-7.9000000000000008E-3</v>
      </c>
      <c r="BH49">
        <f>'2012_2015 Int Confianca'!BF64</f>
        <v>6.9999999999999999E-4</v>
      </c>
      <c r="BI49">
        <f>'2012_2015 Int Confianca'!BG64</f>
        <v>2.7400000000000001E-2</v>
      </c>
      <c r="BJ49">
        <f>'2012_2015 Int Confianca'!BH64</f>
        <v>3.8600000000000002E-2</v>
      </c>
      <c r="BK49">
        <f>'2012_2015 Int Confianca'!BI64</f>
        <v>4.1700000000000001E-2</v>
      </c>
      <c r="BL49">
        <f>'2012_2015 Int Confianca'!BJ64</f>
        <v>4.7199999999999999E-2</v>
      </c>
      <c r="BM49">
        <f>'2012_2015 Int Confianca'!BK64</f>
        <v>4.1300000000000003E-2</v>
      </c>
      <c r="BN49">
        <f>'2012_2015 Int Confianca'!BL64</f>
        <v>1.55E-2</v>
      </c>
      <c r="BO49">
        <f>'2012_2015 Int Confianca'!BM64</f>
        <v>-8.8000000000000005E-3</v>
      </c>
      <c r="BP49">
        <f>'2012_2015 Int Confianca'!BN64</f>
        <v>-3.2399999999999998E-2</v>
      </c>
      <c r="BQ49">
        <f>'2012_2015 Int Confianca'!BO64</f>
        <v>-3.7600000000000001E-2</v>
      </c>
      <c r="BR49">
        <f>'2012_2015 Int Confianca'!BP64</f>
        <v>-3.2500000000000001E-2</v>
      </c>
      <c r="BS49">
        <f>'2012_2015 Int Confianca'!BQ64</f>
        <v>-8.0999999999999996E-3</v>
      </c>
      <c r="BT49">
        <f>'2012_2015 Int Confianca'!BR64</f>
        <v>1.18E-2</v>
      </c>
      <c r="BU49">
        <f>'2012_2015 Int Confianca'!BS64</f>
        <v>0.04</v>
      </c>
      <c r="BV49">
        <f>'2012_2015 Int Confianca'!BT64</f>
        <v>2.5100000000000001E-2</v>
      </c>
      <c r="BW49">
        <f>'2012_2015 Int Confianca'!BU64</f>
        <v>3.2399999999999998E-2</v>
      </c>
      <c r="BX49">
        <f>'2012_2015 Int Confianca'!BV64</f>
        <v>2.75E-2</v>
      </c>
      <c r="BY49">
        <f>'2012_2015 Int Confianca'!BW64</f>
        <v>-1.9E-3</v>
      </c>
      <c r="BZ49">
        <f>'2012_2015 Int Confianca'!BX64</f>
        <v>-6.1800000000000001E-2</v>
      </c>
      <c r="CA49">
        <f>'2012_2015 Int Confianca'!BY64</f>
        <v>-7.8399999999999997E-2</v>
      </c>
      <c r="CB49">
        <f>'2012_2015 Int Confianca'!BZ64</f>
        <v>-7.2900000000000006E-2</v>
      </c>
      <c r="CC49">
        <f>'2012_2015 Int Confianca'!CA64</f>
        <v>-9.8500000000000004E-2</v>
      </c>
      <c r="CD49">
        <f>'2012_2015 Int Confianca'!CB64</f>
        <v>-0.1024</v>
      </c>
      <c r="CE49">
        <f>'2012_2015 Int Confianca'!CC64</f>
        <v>3.6999999999999998E-2</v>
      </c>
      <c r="CF49">
        <f>'2012_2015 Int Confianca'!CD64</f>
        <v>5.3999999999999999E-2</v>
      </c>
      <c r="CG49">
        <f>'2012_2015 Int Confianca'!CE64</f>
        <v>4.9399999999999999E-2</v>
      </c>
      <c r="CH49">
        <f>'2012_2015 Int Confianca'!CF64</f>
        <v>7.1900000000000006E-2</v>
      </c>
      <c r="CI49">
        <f>'2012_2015 Int Confianca'!CG64</f>
        <v>6.4899999999999999E-2</v>
      </c>
      <c r="CJ49">
        <f>'2012_2015 Int Confianca'!CH64</f>
        <v>6.2899999999999998E-2</v>
      </c>
      <c r="CK49">
        <f>'2012_2015 Int Confianca'!CI64</f>
        <v>-0.14019999999999999</v>
      </c>
      <c r="CL49">
        <f>'2012_2015 Int Confianca'!CJ64</f>
        <v>-0.12740000000000001</v>
      </c>
      <c r="CM49">
        <f>'2012_2015 Int Confianca'!CK64</f>
        <v>-7.0800000000000002E-2</v>
      </c>
      <c r="CN49">
        <f>'2012_2015 Int Confianca'!CL64</f>
        <v>1.95E-2</v>
      </c>
      <c r="CO49">
        <f>'2012_2015 Int Confianca'!CM64</f>
        <v>4.4699999999999997E-2</v>
      </c>
      <c r="CP49">
        <f>'2012_2015 Int Confianca'!CN64</f>
        <v>-3.9800000000000002E-2</v>
      </c>
      <c r="CQ49">
        <f>'2012_2015 Int Confianca'!CO64</f>
        <v>-0.17749999999999999</v>
      </c>
      <c r="CR49">
        <f>'2012_2015 Int Confianca'!CP64</f>
        <v>-8.8800000000000004E-2</v>
      </c>
      <c r="CS49">
        <f>'2012_2015 Int Confianca'!CQ64</f>
        <v>-0.1105</v>
      </c>
      <c r="CT49">
        <f>'2012_2015 Int Confianca'!CR64</f>
        <v>-9.2799999999999994E-2</v>
      </c>
      <c r="CU49">
        <f>'2012_2015 Int Confianca'!CS64</f>
        <v>9.7000000000000003E-2</v>
      </c>
      <c r="CV49">
        <f>'2012_2015 Int Confianca'!CT64</f>
        <v>-7.6799999999999993E-2</v>
      </c>
      <c r="CW49">
        <f>'2012_2015 Int Confianca'!CU64</f>
        <v>-1.5800000000000002E-2</v>
      </c>
      <c r="CX49">
        <f>'2012_2015 Int Confianca'!CV64</f>
        <v>7.6700000000000004E-2</v>
      </c>
    </row>
    <row r="50" spans="1:102" x14ac:dyDescent="0.2">
      <c r="A50" t="s">
        <v>5913</v>
      </c>
      <c r="B50" t="s">
        <v>219</v>
      </c>
      <c r="C50" t="s">
        <v>102</v>
      </c>
      <c r="D50">
        <f>'2012_2015 Int Confianca'!B65</f>
        <v>-3.7600000000000001E-2</v>
      </c>
      <c r="E50">
        <f>'2012_2015 Int Confianca'!C65</f>
        <v>-4.5699999999999998E-2</v>
      </c>
      <c r="F50">
        <f>'2012_2015 Int Confianca'!D65</f>
        <v>-1.0999999999999999E-2</v>
      </c>
      <c r="G50">
        <f>'2012_2015 Int Confianca'!E65</f>
        <v>-1.5800000000000002E-2</v>
      </c>
      <c r="H50">
        <f>'2012_2015 Int Confianca'!F65</f>
        <v>8.0999999999999996E-3</v>
      </c>
      <c r="I50">
        <f>'2012_2015 Int Confianca'!G65</f>
        <v>-3.2000000000000002E-3</v>
      </c>
      <c r="J50">
        <f>'2012_2015 Int Confianca'!H65</f>
        <v>3.0999999999999999E-3</v>
      </c>
      <c r="K50">
        <f>'2012_2015 Int Confianca'!I65</f>
        <v>1.6999999999999999E-3</v>
      </c>
      <c r="L50">
        <f>'2012_2015 Int Confianca'!J65</f>
        <v>-1.5E-3</v>
      </c>
      <c r="M50">
        <f>'2012_2015 Int Confianca'!K65</f>
        <v>-3.5999999999999999E-3</v>
      </c>
      <c r="N50">
        <f>'2012_2015 Int Confianca'!L65</f>
        <v>4.4000000000000003E-3</v>
      </c>
      <c r="O50">
        <f>'2012_2015 Int Confianca'!M65</f>
        <v>1.2E-2</v>
      </c>
      <c r="P50">
        <f>'2012_2015 Int Confianca'!N65</f>
        <v>0.01</v>
      </c>
      <c r="Q50">
        <f>'2012_2015 Int Confianca'!O65</f>
        <v>3.5000000000000001E-3</v>
      </c>
      <c r="R50">
        <f>'2012_2015 Int Confianca'!P65</f>
        <v>-3.3E-3</v>
      </c>
      <c r="S50">
        <f>'2012_2015 Int Confianca'!Q65</f>
        <v>-6.3E-3</v>
      </c>
      <c r="T50">
        <f>'2012_2015 Int Confianca'!R65</f>
        <v>-5.8999999999999999E-3</v>
      </c>
      <c r="U50">
        <f>'2012_2015 Int Confianca'!S65</f>
        <v>-6.7000000000000002E-3</v>
      </c>
      <c r="V50">
        <f>'2012_2015 Int Confianca'!T65</f>
        <v>-8.6999999999999994E-3</v>
      </c>
      <c r="W50">
        <f>'2012_2015 Int Confianca'!U65</f>
        <v>-8.3000000000000001E-3</v>
      </c>
      <c r="X50">
        <f>'2012_2015 Int Confianca'!V65</f>
        <v>-5.3E-3</v>
      </c>
      <c r="Y50">
        <f>'2012_2015 Int Confianca'!W65</f>
        <v>-3.8E-3</v>
      </c>
      <c r="Z50">
        <f>'2012_2015 Int Confianca'!X65</f>
        <v>-2.5999999999999999E-3</v>
      </c>
      <c r="AA50">
        <f>'2012_2015 Int Confianca'!Y65</f>
        <v>-2.0999999999999999E-3</v>
      </c>
      <c r="AB50">
        <f>'2012_2015 Int Confianca'!Z65</f>
        <v>-5.1000000000000004E-3</v>
      </c>
      <c r="AC50">
        <f>'2012_2015 Int Confianca'!AA65</f>
        <v>-6.6E-3</v>
      </c>
      <c r="AD50">
        <f>'2012_2015 Int Confianca'!AB65</f>
        <v>-7.1999999999999998E-3</v>
      </c>
      <c r="AE50">
        <f>'2012_2015 Int Confianca'!AC65</f>
        <v>-7.7000000000000002E-3</v>
      </c>
      <c r="AF50">
        <f>'2012_2015 Int Confianca'!AD65</f>
        <v>-0.01</v>
      </c>
      <c r="AG50">
        <f>'2012_2015 Int Confianca'!AE65</f>
        <v>-1.03E-2</v>
      </c>
      <c r="AH50">
        <f>'2012_2015 Int Confianca'!AF65</f>
        <v>-9.4000000000000004E-3</v>
      </c>
      <c r="AI50">
        <f>'2012_2015 Int Confianca'!AG65</f>
        <v>-1.17E-2</v>
      </c>
      <c r="AJ50">
        <f>'2012_2015 Int Confianca'!AH65</f>
        <v>-1.7299999999999999E-2</v>
      </c>
      <c r="AK50">
        <f>'2012_2015 Int Confianca'!AI65</f>
        <v>-1.9E-2</v>
      </c>
      <c r="AL50">
        <f>'2012_2015 Int Confianca'!AJ65</f>
        <v>-2.0899999999999998E-2</v>
      </c>
      <c r="AM50">
        <f>'2012_2015 Int Confianca'!AK65</f>
        <v>-2.0799999999999999E-2</v>
      </c>
      <c r="AN50">
        <f>'2012_2015 Int Confianca'!AL65</f>
        <v>-2.18E-2</v>
      </c>
      <c r="AO50">
        <f>'2012_2015 Int Confianca'!AM65</f>
        <v>-2.0799999999999999E-2</v>
      </c>
      <c r="AP50">
        <f>'2012_2015 Int Confianca'!AN65</f>
        <v>-1.5699999999999999E-2</v>
      </c>
      <c r="AQ50">
        <f>'2012_2015 Int Confianca'!AO65</f>
        <v>-8.6999999999999994E-3</v>
      </c>
      <c r="AR50">
        <f>'2012_2015 Int Confianca'!AP65</f>
        <v>-5.7999999999999996E-3</v>
      </c>
      <c r="AS50">
        <f>'2012_2015 Int Confianca'!AQ65</f>
        <v>-3.8E-3</v>
      </c>
      <c r="AT50">
        <f>'2012_2015 Int Confianca'!AR65</f>
        <v>-3.3999999999999998E-3</v>
      </c>
      <c r="AU50">
        <f>'2012_2015 Int Confianca'!AS65</f>
        <v>-2.8999999999999998E-3</v>
      </c>
      <c r="AV50">
        <f>'2012_2015 Int Confianca'!AT65</f>
        <v>-8.0000000000000002E-3</v>
      </c>
      <c r="AW50">
        <f>'2012_2015 Int Confianca'!AU65</f>
        <v>-1.49E-2</v>
      </c>
      <c r="AX50">
        <f>'2012_2015 Int Confianca'!AV65</f>
        <v>-2.1899999999999999E-2</v>
      </c>
      <c r="AY50">
        <f>'2012_2015 Int Confianca'!AW65</f>
        <v>-2.2700000000000001E-2</v>
      </c>
      <c r="AZ50">
        <f>'2012_2015 Int Confianca'!AX65</f>
        <v>-2.3900000000000001E-2</v>
      </c>
      <c r="BA50">
        <f>'2012_2015 Int Confianca'!AY65</f>
        <v>-2.3400000000000001E-2</v>
      </c>
      <c r="BB50">
        <f>'2012_2015 Int Confianca'!AZ65</f>
        <v>-2.1700000000000001E-2</v>
      </c>
      <c r="BC50">
        <f>'2012_2015 Int Confianca'!BA65</f>
        <v>-1.2699999999999999E-2</v>
      </c>
      <c r="BD50">
        <f>'2012_2015 Int Confianca'!BB65</f>
        <v>-6.4000000000000003E-3</v>
      </c>
      <c r="BE50">
        <f>'2012_2015 Int Confianca'!BC65</f>
        <v>-3.8E-3</v>
      </c>
      <c r="BF50">
        <f>'2012_2015 Int Confianca'!BD65</f>
        <v>-3.7000000000000002E-3</v>
      </c>
      <c r="BG50">
        <f>'2012_2015 Int Confianca'!BE65</f>
        <v>-2.0999999999999999E-3</v>
      </c>
      <c r="BH50">
        <f>'2012_2015 Int Confianca'!BF65</f>
        <v>-2E-3</v>
      </c>
      <c r="BI50">
        <f>'2012_2015 Int Confianca'!BG65</f>
        <v>-7.4999999999999997E-3</v>
      </c>
      <c r="BJ50">
        <f>'2012_2015 Int Confianca'!BH65</f>
        <v>-9.5999999999999992E-3</v>
      </c>
      <c r="BK50">
        <f>'2012_2015 Int Confianca'!BI65</f>
        <v>-1.3100000000000001E-2</v>
      </c>
      <c r="BL50">
        <f>'2012_2015 Int Confianca'!BJ65</f>
        <v>-1.3100000000000001E-2</v>
      </c>
      <c r="BM50">
        <f>'2012_2015 Int Confianca'!BK65</f>
        <v>-1.0999999999999999E-2</v>
      </c>
      <c r="BN50">
        <f>'2012_2015 Int Confianca'!BL65</f>
        <v>-3.7000000000000002E-3</v>
      </c>
      <c r="BO50">
        <f>'2012_2015 Int Confianca'!BM65</f>
        <v>-6.9999999999999999E-4</v>
      </c>
      <c r="BP50">
        <f>'2012_2015 Int Confianca'!BN65</f>
        <v>3.3999999999999998E-3</v>
      </c>
      <c r="BQ50">
        <f>'2012_2015 Int Confianca'!BO65</f>
        <v>3.5999999999999999E-3</v>
      </c>
      <c r="BR50">
        <f>'2012_2015 Int Confianca'!BP65</f>
        <v>3.5999999999999999E-3</v>
      </c>
      <c r="BS50">
        <f>'2012_2015 Int Confianca'!BQ65</f>
        <v>-2.8999999999999998E-3</v>
      </c>
      <c r="BT50">
        <f>'2012_2015 Int Confianca'!BR65</f>
        <v>-9.2999999999999992E-3</v>
      </c>
      <c r="BU50">
        <f>'2012_2015 Int Confianca'!BS65</f>
        <v>-1.52E-2</v>
      </c>
      <c r="BV50">
        <f>'2012_2015 Int Confianca'!BT65</f>
        <v>-1.0699999999999999E-2</v>
      </c>
      <c r="BW50">
        <f>'2012_2015 Int Confianca'!BU65</f>
        <v>-1.3899999999999999E-2</v>
      </c>
      <c r="BX50">
        <f>'2012_2015 Int Confianca'!BV65</f>
        <v>-1.3899999999999999E-2</v>
      </c>
      <c r="BY50">
        <f>'2012_2015 Int Confianca'!BW65</f>
        <v>-5.4000000000000003E-3</v>
      </c>
      <c r="BZ50">
        <f>'2012_2015 Int Confianca'!BX65</f>
        <v>8.5000000000000006E-3</v>
      </c>
      <c r="CA50">
        <f>'2012_2015 Int Confianca'!BY65</f>
        <v>1.09E-2</v>
      </c>
      <c r="CB50">
        <f>'2012_2015 Int Confianca'!BZ65</f>
        <v>6.1000000000000004E-3</v>
      </c>
      <c r="CC50">
        <f>'2012_2015 Int Confianca'!CA65</f>
        <v>1.3599999999999999E-2</v>
      </c>
      <c r="CD50">
        <f>'2012_2015 Int Confianca'!CB65</f>
        <v>1.5699999999999999E-2</v>
      </c>
      <c r="CE50">
        <f>'2012_2015 Int Confianca'!CC65</f>
        <v>-1.7600000000000001E-2</v>
      </c>
      <c r="CF50">
        <f>'2012_2015 Int Confianca'!CD65</f>
        <v>-2.1100000000000001E-2</v>
      </c>
      <c r="CG50">
        <f>'2012_2015 Int Confianca'!CE65</f>
        <v>-2.0899999999999998E-2</v>
      </c>
      <c r="CH50">
        <f>'2012_2015 Int Confianca'!CF65</f>
        <v>-2.0400000000000001E-2</v>
      </c>
      <c r="CI50">
        <f>'2012_2015 Int Confianca'!CG65</f>
        <v>-2.6100000000000002E-2</v>
      </c>
      <c r="CJ50">
        <f>'2012_2015 Int Confianca'!CH65</f>
        <v>-2.6100000000000002E-2</v>
      </c>
      <c r="CK50">
        <f>'2012_2015 Int Confianca'!CI65</f>
        <v>1.3899999999999999E-2</v>
      </c>
      <c r="CL50">
        <f>'2012_2015 Int Confianca'!CJ65</f>
        <v>1.44E-2</v>
      </c>
      <c r="CM50">
        <f>'2012_2015 Int Confianca'!CK65</f>
        <v>6.3E-3</v>
      </c>
      <c r="CN50">
        <f>'2012_2015 Int Confianca'!CL65</f>
        <v>-1.6899999999999998E-2</v>
      </c>
      <c r="CO50">
        <f>'2012_2015 Int Confianca'!CM65</f>
        <v>-0.02</v>
      </c>
      <c r="CP50">
        <f>'2012_2015 Int Confianca'!CN65</f>
        <v>5.3E-3</v>
      </c>
      <c r="CQ50">
        <f>'2012_2015 Int Confianca'!CO65</f>
        <v>3.5499999999999997E-2</v>
      </c>
      <c r="CR50">
        <f>'2012_2015 Int Confianca'!CP65</f>
        <v>2.7000000000000001E-3</v>
      </c>
      <c r="CS50">
        <f>'2012_2015 Int Confianca'!CQ65</f>
        <v>8.2000000000000007E-3</v>
      </c>
      <c r="CT50">
        <f>'2012_2015 Int Confianca'!CR65</f>
        <v>7.6E-3</v>
      </c>
      <c r="CU50">
        <f>'2012_2015 Int Confianca'!CS65</f>
        <v>-4.5699999999999998E-2</v>
      </c>
      <c r="CV50">
        <f>'2012_2015 Int Confianca'!CT65</f>
        <v>-2.3699999999999999E-2</v>
      </c>
      <c r="CW50">
        <f>'2012_2015 Int Confianca'!CU65</f>
        <v>-2.5999999999999999E-2</v>
      </c>
      <c r="CX50">
        <f>'2012_2015 Int Confianca'!CV65</f>
        <v>-3.3099999999999997E-2</v>
      </c>
    </row>
    <row r="51" spans="1:102" x14ac:dyDescent="0.2">
      <c r="A51" t="s">
        <v>5914</v>
      </c>
      <c r="B51" t="s">
        <v>219</v>
      </c>
      <c r="C51" t="s">
        <v>102</v>
      </c>
      <c r="D51">
        <f>'2012_2015 Int Confianca'!B66</f>
        <v>1.83E-2</v>
      </c>
      <c r="E51">
        <f>'2012_2015 Int Confianca'!C66</f>
        <v>6.7999999999999996E-3</v>
      </c>
      <c r="F51">
        <f>'2012_2015 Int Confianca'!D66</f>
        <v>2.8400000000000002E-2</v>
      </c>
      <c r="G51">
        <f>'2012_2015 Int Confianca'!E66</f>
        <v>1.83E-2</v>
      </c>
      <c r="H51">
        <f>'2012_2015 Int Confianca'!F66</f>
        <v>3.5799999999999998E-2</v>
      </c>
      <c r="I51">
        <f>'2012_2015 Int Confianca'!G66</f>
        <v>2.5100000000000001E-2</v>
      </c>
      <c r="J51">
        <f>'2012_2015 Int Confianca'!H66</f>
        <v>2.8299999999999999E-2</v>
      </c>
      <c r="K51">
        <f>'2012_2015 Int Confianca'!I66</f>
        <v>2.4500000000000001E-2</v>
      </c>
      <c r="L51">
        <f>'2012_2015 Int Confianca'!J66</f>
        <v>2.0899999999999998E-2</v>
      </c>
      <c r="M51">
        <f>'2012_2015 Int Confianca'!K66</f>
        <v>1.4200000000000001E-2</v>
      </c>
      <c r="N51">
        <f>'2012_2015 Int Confianca'!L66</f>
        <v>2.01E-2</v>
      </c>
      <c r="O51">
        <f>'2012_2015 Int Confianca'!M66</f>
        <v>2.5399999999999999E-2</v>
      </c>
      <c r="P51">
        <f>'2012_2015 Int Confianca'!N66</f>
        <v>2.2200000000000001E-2</v>
      </c>
      <c r="Q51">
        <f>'2012_2015 Int Confianca'!O66</f>
        <v>1.47E-2</v>
      </c>
      <c r="R51">
        <f>'2012_2015 Int Confianca'!P66</f>
        <v>6.4999999999999997E-3</v>
      </c>
      <c r="S51">
        <f>'2012_2015 Int Confianca'!Q66</f>
        <v>2.8E-3</v>
      </c>
      <c r="T51">
        <f>'2012_2015 Int Confianca'!R66</f>
        <v>2.7000000000000001E-3</v>
      </c>
      <c r="U51">
        <f>'2012_2015 Int Confianca'!S66</f>
        <v>1.6999999999999999E-3</v>
      </c>
      <c r="V51">
        <f>'2012_2015 Int Confianca'!T66</f>
        <v>-5.9999999999999995E-4</v>
      </c>
      <c r="W51">
        <f>'2012_2015 Int Confianca'!U66</f>
        <v>-2.9999999999999997E-4</v>
      </c>
      <c r="X51">
        <f>'2012_2015 Int Confianca'!V66</f>
        <v>2.5000000000000001E-3</v>
      </c>
      <c r="Y51">
        <f>'2012_2015 Int Confianca'!W66</f>
        <v>3.8999999999999998E-3</v>
      </c>
      <c r="Z51">
        <f>'2012_2015 Int Confianca'!X66</f>
        <v>4.8999999999999998E-3</v>
      </c>
      <c r="AA51">
        <f>'2012_2015 Int Confianca'!Y66</f>
        <v>5.4000000000000003E-3</v>
      </c>
      <c r="AB51">
        <f>'2012_2015 Int Confianca'!Z66</f>
        <v>2.3999999999999998E-3</v>
      </c>
      <c r="AC51">
        <f>'2012_2015 Int Confianca'!AA66</f>
        <v>8.9999999999999998E-4</v>
      </c>
      <c r="AD51">
        <f>'2012_2015 Int Confianca'!AB66</f>
        <v>2.9999999999999997E-4</v>
      </c>
      <c r="AE51">
        <f>'2012_2015 Int Confianca'!AC66</f>
        <v>-2.0000000000000001E-4</v>
      </c>
      <c r="AF51">
        <f>'2012_2015 Int Confianca'!AD66</f>
        <v>-2.3999999999999998E-3</v>
      </c>
      <c r="AG51">
        <f>'2012_2015 Int Confianca'!AE66</f>
        <v>-2.5000000000000001E-3</v>
      </c>
      <c r="AH51">
        <f>'2012_2015 Int Confianca'!AF66</f>
        <v>-1.4E-3</v>
      </c>
      <c r="AI51">
        <f>'2012_2015 Int Confianca'!AG66</f>
        <v>-3.3999999999999998E-3</v>
      </c>
      <c r="AJ51">
        <f>'2012_2015 Int Confianca'!AH66</f>
        <v>-8.6999999999999994E-3</v>
      </c>
      <c r="AK51">
        <f>'2012_2015 Int Confianca'!AI66</f>
        <v>-9.9000000000000008E-3</v>
      </c>
      <c r="AL51">
        <f>'2012_2015 Int Confianca'!AJ66</f>
        <v>-1.1599999999999999E-2</v>
      </c>
      <c r="AM51">
        <f>'2012_2015 Int Confianca'!AK66</f>
        <v>-1.1299999999999999E-2</v>
      </c>
      <c r="AN51">
        <f>'2012_2015 Int Confianca'!AL66</f>
        <v>-1.21E-2</v>
      </c>
      <c r="AO51">
        <f>'2012_2015 Int Confianca'!AM66</f>
        <v>-1.0999999999999999E-2</v>
      </c>
      <c r="AP51">
        <f>'2012_2015 Int Confianca'!AN66</f>
        <v>-5.8999999999999999E-3</v>
      </c>
      <c r="AQ51">
        <f>'2012_2015 Int Confianca'!AO66</f>
        <v>1.1000000000000001E-3</v>
      </c>
      <c r="AR51">
        <f>'2012_2015 Int Confianca'!AP66</f>
        <v>4.1000000000000003E-3</v>
      </c>
      <c r="AS51">
        <f>'2012_2015 Int Confianca'!AQ66</f>
        <v>6.1999999999999998E-3</v>
      </c>
      <c r="AT51">
        <f>'2012_2015 Int Confianca'!AR66</f>
        <v>6.6E-3</v>
      </c>
      <c r="AU51">
        <f>'2012_2015 Int Confianca'!AS66</f>
        <v>7.1999999999999998E-3</v>
      </c>
      <c r="AV51">
        <f>'2012_2015 Int Confianca'!AT66</f>
        <v>2.0999999999999999E-3</v>
      </c>
      <c r="AW51">
        <f>'2012_2015 Int Confianca'!AU66</f>
        <v>-4.7000000000000002E-3</v>
      </c>
      <c r="AX51">
        <f>'2012_2015 Int Confianca'!AV66</f>
        <v>-1.14E-2</v>
      </c>
      <c r="AY51">
        <f>'2012_2015 Int Confianca'!AW66</f>
        <v>-1.2E-2</v>
      </c>
      <c r="AZ51">
        <f>'2012_2015 Int Confianca'!AX66</f>
        <v>-1.3100000000000001E-2</v>
      </c>
      <c r="BA51">
        <f>'2012_2015 Int Confianca'!AY66</f>
        <v>-1.23E-2</v>
      </c>
      <c r="BB51">
        <f>'2012_2015 Int Confianca'!AZ66</f>
        <v>-1.06E-2</v>
      </c>
      <c r="BC51">
        <f>'2012_2015 Int Confianca'!BA66</f>
        <v>-1.4E-3</v>
      </c>
      <c r="BD51">
        <f>'2012_2015 Int Confianca'!BB66</f>
        <v>5.1999999999999998E-3</v>
      </c>
      <c r="BE51">
        <f>'2012_2015 Int Confianca'!BC66</f>
        <v>7.9000000000000008E-3</v>
      </c>
      <c r="BF51">
        <f>'2012_2015 Int Confianca'!BD66</f>
        <v>8.0999999999999996E-3</v>
      </c>
      <c r="BG51">
        <f>'2012_2015 Int Confianca'!BE66</f>
        <v>9.7000000000000003E-3</v>
      </c>
      <c r="BH51">
        <f>'2012_2015 Int Confianca'!BF66</f>
        <v>9.7999999999999997E-3</v>
      </c>
      <c r="BI51">
        <f>'2012_2015 Int Confianca'!BG66</f>
        <v>4.4000000000000003E-3</v>
      </c>
      <c r="BJ51">
        <f>'2012_2015 Int Confianca'!BH66</f>
        <v>2.3999999999999998E-3</v>
      </c>
      <c r="BK51">
        <f>'2012_2015 Int Confianca'!BI66</f>
        <v>-1E-3</v>
      </c>
      <c r="BL51">
        <f>'2012_2015 Int Confianca'!BJ66</f>
        <v>-8.9999999999999998E-4</v>
      </c>
      <c r="BM51">
        <f>'2012_2015 Int Confianca'!BK66</f>
        <v>1.5E-3</v>
      </c>
      <c r="BN51">
        <f>'2012_2015 Int Confianca'!BL66</f>
        <v>9.1000000000000004E-3</v>
      </c>
      <c r="BO51">
        <f>'2012_2015 Int Confianca'!BM66</f>
        <v>1.23E-2</v>
      </c>
      <c r="BP51">
        <f>'2012_2015 Int Confianca'!BN66</f>
        <v>1.66E-2</v>
      </c>
      <c r="BQ51">
        <f>'2012_2015 Int Confianca'!BO66</f>
        <v>1.7000000000000001E-2</v>
      </c>
      <c r="BR51">
        <f>'2012_2015 Int Confianca'!BP66</f>
        <v>1.6899999999999998E-2</v>
      </c>
      <c r="BS51">
        <f>'2012_2015 Int Confianca'!BQ66</f>
        <v>1.06E-2</v>
      </c>
      <c r="BT51">
        <f>'2012_2015 Int Confianca'!BR66</f>
        <v>4.4999999999999997E-3</v>
      </c>
      <c r="BU51">
        <f>'2012_2015 Int Confianca'!BS66</f>
        <v>-8.0000000000000004E-4</v>
      </c>
      <c r="BV51">
        <f>'2012_2015 Int Confianca'!BT66</f>
        <v>4.4999999999999997E-3</v>
      </c>
      <c r="BW51">
        <f>'2012_2015 Int Confianca'!BU66</f>
        <v>2.3999999999999998E-3</v>
      </c>
      <c r="BX51">
        <f>'2012_2015 Int Confianca'!BV66</f>
        <v>2.8999999999999998E-3</v>
      </c>
      <c r="BY51">
        <f>'2012_2015 Int Confianca'!BW66</f>
        <v>1.1599999999999999E-2</v>
      </c>
      <c r="BZ51">
        <f>'2012_2015 Int Confianca'!BX66</f>
        <v>2.4899999999999999E-2</v>
      </c>
      <c r="CA51">
        <f>'2012_2015 Int Confianca'!BY66</f>
        <v>2.7099999999999999E-2</v>
      </c>
      <c r="CB51">
        <f>'2012_2015 Int Confianca'!BZ66</f>
        <v>2.24E-2</v>
      </c>
      <c r="CC51">
        <f>'2012_2015 Int Confianca'!CA66</f>
        <v>3.0499999999999999E-2</v>
      </c>
      <c r="CD51">
        <f>'2012_2015 Int Confianca'!CB66</f>
        <v>3.3799999999999997E-2</v>
      </c>
      <c r="CE51">
        <f>'2012_2015 Int Confianca'!CC66</f>
        <v>3.3999999999999998E-3</v>
      </c>
      <c r="CF51">
        <f>'2012_2015 Int Confianca'!CD66</f>
        <v>1.4E-3</v>
      </c>
      <c r="CG51">
        <f>'2012_2015 Int Confianca'!CE66</f>
        <v>1.1000000000000001E-3</v>
      </c>
      <c r="CH51">
        <f>'2012_2015 Int Confianca'!CF66</f>
        <v>8.9999999999999998E-4</v>
      </c>
      <c r="CI51">
        <f>'2012_2015 Int Confianca'!CG66</f>
        <v>-4.5999999999999999E-3</v>
      </c>
      <c r="CJ51">
        <f>'2012_2015 Int Confianca'!CH66</f>
        <v>-2.8999999999999998E-3</v>
      </c>
      <c r="CK51">
        <f>'2012_2015 Int Confianca'!CI66</f>
        <v>0.04</v>
      </c>
      <c r="CL51">
        <f>'2012_2015 Int Confianca'!CJ66</f>
        <v>4.0599999999999997E-2</v>
      </c>
      <c r="CM51">
        <f>'2012_2015 Int Confianca'!CK66</f>
        <v>3.2899999999999999E-2</v>
      </c>
      <c r="CN51">
        <f>'2012_2015 Int Confianca'!CL66</f>
        <v>1.4E-2</v>
      </c>
      <c r="CO51">
        <f>'2012_2015 Int Confianca'!CM66</f>
        <v>1.24E-2</v>
      </c>
      <c r="CP51">
        <f>'2012_2015 Int Confianca'!CN66</f>
        <v>3.5099999999999999E-2</v>
      </c>
      <c r="CQ51">
        <f>'2012_2015 Int Confianca'!CO66</f>
        <v>6.8500000000000005E-2</v>
      </c>
      <c r="CR51">
        <f>'2012_2015 Int Confianca'!CP66</f>
        <v>4.4999999999999998E-2</v>
      </c>
      <c r="CS51">
        <f>'2012_2015 Int Confianca'!CQ66</f>
        <v>4.5900000000000003E-2</v>
      </c>
      <c r="CT51">
        <f>'2012_2015 Int Confianca'!CR66</f>
        <v>5.67E-2</v>
      </c>
      <c r="CU51">
        <f>'2012_2015 Int Confianca'!CS66</f>
        <v>3.7000000000000002E-3</v>
      </c>
      <c r="CV51">
        <f>'2012_2015 Int Confianca'!CT66</f>
        <v>3.5799999999999998E-2</v>
      </c>
      <c r="CW51">
        <f>'2012_2015 Int Confianca'!CU66</f>
        <v>4.6300000000000001E-2</v>
      </c>
      <c r="CX51">
        <f>'2012_2015 Int Confianca'!CV66</f>
        <v>6.4100000000000004E-2</v>
      </c>
    </row>
    <row r="52" spans="1:102" x14ac:dyDescent="0.2">
      <c r="A52" t="s">
        <v>5915</v>
      </c>
      <c r="B52" t="s">
        <v>219</v>
      </c>
      <c r="C52" t="s">
        <v>102</v>
      </c>
      <c r="D52">
        <f>'2012_2015 Int Confianca'!B67</f>
        <v>-1.23E-2</v>
      </c>
      <c r="E52">
        <f>'2012_2015 Int Confianca'!C67</f>
        <v>-1.72E-2</v>
      </c>
      <c r="F52">
        <f>'2012_2015 Int Confianca'!D67</f>
        <v>3.3E-3</v>
      </c>
      <c r="G52">
        <f>'2012_2015 Int Confianca'!E67</f>
        <v>-1.8E-3</v>
      </c>
      <c r="H52">
        <f>'2012_2015 Int Confianca'!F67</f>
        <v>4.4000000000000003E-3</v>
      </c>
      <c r="I52">
        <f>'2012_2015 Int Confianca'!G67</f>
        <v>-5.9999999999999995E-4</v>
      </c>
      <c r="J52">
        <f>'2012_2015 Int Confianca'!H67</f>
        <v>-3.3E-3</v>
      </c>
      <c r="K52">
        <f>'2012_2015 Int Confianca'!I67</f>
        <v>5.9999999999999995E-4</v>
      </c>
      <c r="L52">
        <f>'2012_2015 Int Confianca'!J67</f>
        <v>-4.4000000000000003E-3</v>
      </c>
      <c r="M52">
        <f>'2012_2015 Int Confianca'!K67</f>
        <v>-2.5999999999999999E-3</v>
      </c>
      <c r="N52">
        <f>'2012_2015 Int Confianca'!L67</f>
        <v>5.1999999999999998E-3</v>
      </c>
      <c r="O52">
        <f>'2012_2015 Int Confianca'!M67</f>
        <v>1.34E-2</v>
      </c>
      <c r="P52">
        <f>'2012_2015 Int Confianca'!N67</f>
        <v>1.0800000000000001E-2</v>
      </c>
      <c r="Q52">
        <f>'2012_2015 Int Confianca'!O67</f>
        <v>7.9000000000000008E-3</v>
      </c>
      <c r="R52">
        <f>'2012_2015 Int Confianca'!P67</f>
        <v>4.7999999999999996E-3</v>
      </c>
      <c r="S52">
        <f>'2012_2015 Int Confianca'!Q67</f>
        <v>6.6E-3</v>
      </c>
      <c r="T52">
        <f>'2012_2015 Int Confianca'!R67</f>
        <v>3.0999999999999999E-3</v>
      </c>
      <c r="U52">
        <f>'2012_2015 Int Confianca'!S67</f>
        <v>4.3E-3</v>
      </c>
      <c r="V52">
        <f>'2012_2015 Int Confianca'!T67</f>
        <v>1.9E-3</v>
      </c>
      <c r="W52">
        <f>'2012_2015 Int Confianca'!U67</f>
        <v>1.6999999999999999E-3</v>
      </c>
      <c r="X52">
        <f>'2012_2015 Int Confianca'!V67</f>
        <v>4.0000000000000001E-3</v>
      </c>
      <c r="Y52">
        <f>'2012_2015 Int Confianca'!W67</f>
        <v>4.3E-3</v>
      </c>
      <c r="Z52">
        <f>'2012_2015 Int Confianca'!X67</f>
        <v>4.4999999999999997E-3</v>
      </c>
      <c r="AA52">
        <f>'2012_2015 Int Confianca'!Y67</f>
        <v>4.0000000000000001E-3</v>
      </c>
      <c r="AB52">
        <f>'2012_2015 Int Confianca'!Z67</f>
        <v>-1.4E-3</v>
      </c>
      <c r="AC52">
        <f>'2012_2015 Int Confianca'!AA67</f>
        <v>-3.0999999999999999E-3</v>
      </c>
      <c r="AD52">
        <f>'2012_2015 Int Confianca'!AB67</f>
        <v>-2E-3</v>
      </c>
      <c r="AE52">
        <f>'2012_2015 Int Confianca'!AC67</f>
        <v>-2.3999999999999998E-3</v>
      </c>
      <c r="AF52">
        <f>'2012_2015 Int Confianca'!AD67</f>
        <v>-5.9999999999999995E-4</v>
      </c>
      <c r="AG52">
        <f>'2012_2015 Int Confianca'!AE67</f>
        <v>1.1000000000000001E-3</v>
      </c>
      <c r="AH52">
        <f>'2012_2015 Int Confianca'!AF67</f>
        <v>-8.0000000000000004E-4</v>
      </c>
      <c r="AI52">
        <f>'2012_2015 Int Confianca'!AG67</f>
        <v>-1.9E-3</v>
      </c>
      <c r="AJ52">
        <f>'2012_2015 Int Confianca'!AH67</f>
        <v>-3.8999999999999998E-3</v>
      </c>
      <c r="AK52">
        <f>'2012_2015 Int Confianca'!AI67</f>
        <v>-6.3E-3</v>
      </c>
      <c r="AL52">
        <f>'2012_2015 Int Confianca'!AJ67</f>
        <v>-7.4999999999999997E-3</v>
      </c>
      <c r="AM52">
        <f>'2012_2015 Int Confianca'!AK67</f>
        <v>-8.6999999999999994E-3</v>
      </c>
      <c r="AN52">
        <f>'2012_2015 Int Confianca'!AL67</f>
        <v>-8.6999999999999994E-3</v>
      </c>
      <c r="AO52">
        <f>'2012_2015 Int Confianca'!AM67</f>
        <v>-2.7000000000000001E-3</v>
      </c>
      <c r="AP52">
        <f>'2012_2015 Int Confianca'!AN67</f>
        <v>-6.9999999999999999E-4</v>
      </c>
      <c r="AQ52">
        <f>'2012_2015 Int Confianca'!AO67</f>
        <v>2.9999999999999997E-4</v>
      </c>
      <c r="AR52">
        <f>'2012_2015 Int Confianca'!AP67</f>
        <v>-1.2999999999999999E-3</v>
      </c>
      <c r="AS52">
        <f>'2012_2015 Int Confianca'!AQ67</f>
        <v>-2.8E-3</v>
      </c>
      <c r="AT52">
        <f>'2012_2015 Int Confianca'!AR67</f>
        <v>-2.5000000000000001E-3</v>
      </c>
      <c r="AU52">
        <f>'2012_2015 Int Confianca'!AS67</f>
        <v>-2.5000000000000001E-3</v>
      </c>
      <c r="AV52">
        <f>'2012_2015 Int Confianca'!AT67</f>
        <v>1E-4</v>
      </c>
      <c r="AW52">
        <f>'2012_2015 Int Confianca'!AU67</f>
        <v>-1.1999999999999999E-3</v>
      </c>
      <c r="AX52">
        <f>'2012_2015 Int Confianca'!AV67</f>
        <v>-3.0999999999999999E-3</v>
      </c>
      <c r="AY52">
        <f>'2012_2015 Int Confianca'!AW67</f>
        <v>-6.7999999999999996E-3</v>
      </c>
      <c r="AZ52">
        <f>'2012_2015 Int Confianca'!AX67</f>
        <v>-6.0000000000000001E-3</v>
      </c>
      <c r="BA52">
        <f>'2012_2015 Int Confianca'!AY67</f>
        <v>-4.8999999999999998E-3</v>
      </c>
      <c r="BB52">
        <f>'2012_2015 Int Confianca'!AZ67</f>
        <v>-5.4000000000000003E-3</v>
      </c>
      <c r="BC52">
        <f>'2012_2015 Int Confianca'!BA67</f>
        <v>-3.2000000000000002E-3</v>
      </c>
      <c r="BD52">
        <f>'2012_2015 Int Confianca'!BB67</f>
        <v>-3.0999999999999999E-3</v>
      </c>
      <c r="BE52">
        <f>'2012_2015 Int Confianca'!BC67</f>
        <v>1.1000000000000001E-3</v>
      </c>
      <c r="BF52">
        <f>'2012_2015 Int Confianca'!BD67</f>
        <v>5.5999999999999999E-3</v>
      </c>
      <c r="BG52">
        <f>'2012_2015 Int Confianca'!BE67</f>
        <v>4.1999999999999997E-3</v>
      </c>
      <c r="BH52">
        <f>'2012_2015 Int Confianca'!BF67</f>
        <v>4.1000000000000003E-3</v>
      </c>
      <c r="BI52">
        <f>'2012_2015 Int Confianca'!BG67</f>
        <v>6.9999999999999999E-4</v>
      </c>
      <c r="BJ52">
        <f>'2012_2015 Int Confianca'!BH67</f>
        <v>6.9999999999999999E-4</v>
      </c>
      <c r="BK52">
        <f>'2012_2015 Int Confianca'!BI67</f>
        <v>-2.8E-3</v>
      </c>
      <c r="BL52">
        <f>'2012_2015 Int Confianca'!BJ67</f>
        <v>-3.0999999999999999E-3</v>
      </c>
      <c r="BM52">
        <f>'2012_2015 Int Confianca'!BK67</f>
        <v>-1E-3</v>
      </c>
      <c r="BN52">
        <f>'2012_2015 Int Confianca'!BL67</f>
        <v>4.7000000000000002E-3</v>
      </c>
      <c r="BO52">
        <f>'2012_2015 Int Confianca'!BM67</f>
        <v>7.3000000000000001E-3</v>
      </c>
      <c r="BP52">
        <f>'2012_2015 Int Confianca'!BN67</f>
        <v>4.8999999999999998E-3</v>
      </c>
      <c r="BQ52">
        <f>'2012_2015 Int Confianca'!BO67</f>
        <v>5.1000000000000004E-3</v>
      </c>
      <c r="BR52">
        <f>'2012_2015 Int Confianca'!BP67</f>
        <v>1.23E-2</v>
      </c>
      <c r="BS52">
        <f>'2012_2015 Int Confianca'!BQ67</f>
        <v>7.1999999999999998E-3</v>
      </c>
      <c r="BT52">
        <f>'2012_2015 Int Confianca'!BR67</f>
        <v>1E-3</v>
      </c>
      <c r="BU52">
        <f>'2012_2015 Int Confianca'!BS67</f>
        <v>-6.9999999999999999E-4</v>
      </c>
      <c r="BV52">
        <f>'2012_2015 Int Confianca'!BT67</f>
        <v>1.5E-3</v>
      </c>
      <c r="BW52">
        <f>'2012_2015 Int Confianca'!BU67</f>
        <v>-1.4E-3</v>
      </c>
      <c r="BX52">
        <f>'2012_2015 Int Confianca'!BV67</f>
        <v>-5.1999999999999998E-3</v>
      </c>
      <c r="BY52">
        <f>'2012_2015 Int Confianca'!BW67</f>
        <v>-3.0000000000000001E-3</v>
      </c>
      <c r="BZ52">
        <f>'2012_2015 Int Confianca'!BX67</f>
        <v>6.7999999999999996E-3</v>
      </c>
      <c r="CA52">
        <f>'2012_2015 Int Confianca'!BY67</f>
        <v>6.4999999999999997E-3</v>
      </c>
      <c r="CB52">
        <f>'2012_2015 Int Confianca'!BZ67</f>
        <v>0</v>
      </c>
      <c r="CC52">
        <f>'2012_2015 Int Confianca'!CA67</f>
        <v>4.5999999999999999E-3</v>
      </c>
      <c r="CD52">
        <f>'2012_2015 Int Confianca'!CB67</f>
        <v>1.4E-2</v>
      </c>
      <c r="CE52">
        <f>'2012_2015 Int Confianca'!CC67</f>
        <v>-6.4000000000000003E-3</v>
      </c>
      <c r="CF52">
        <f>'2012_2015 Int Confianca'!CD67</f>
        <v>-1.0999999999999999E-2</v>
      </c>
      <c r="CG52">
        <f>'2012_2015 Int Confianca'!CE67</f>
        <v>-1.04E-2</v>
      </c>
      <c r="CH52">
        <f>'2012_2015 Int Confianca'!CF67</f>
        <v>-1.6899999999999998E-2</v>
      </c>
      <c r="CI52">
        <f>'2012_2015 Int Confianca'!CG67</f>
        <v>-2.4199999999999999E-2</v>
      </c>
      <c r="CJ52">
        <f>'2012_2015 Int Confianca'!CH67</f>
        <v>-2.47E-2</v>
      </c>
      <c r="CK52">
        <f>'2012_2015 Int Confianca'!CI67</f>
        <v>3.2000000000000002E-3</v>
      </c>
      <c r="CL52">
        <f>'2012_2015 Int Confianca'!CJ67</f>
        <v>-6.7999999999999996E-3</v>
      </c>
      <c r="CM52">
        <f>'2012_2015 Int Confianca'!CK67</f>
        <v>-9.1999999999999998E-3</v>
      </c>
      <c r="CN52">
        <f>'2012_2015 Int Confianca'!CL67</f>
        <v>-3.4099999999999998E-2</v>
      </c>
      <c r="CO52">
        <f>'2012_2015 Int Confianca'!CM67</f>
        <v>-4.41E-2</v>
      </c>
      <c r="CP52">
        <f>'2012_2015 Int Confianca'!CN67</f>
        <v>-3.3300000000000003E-2</v>
      </c>
      <c r="CQ52">
        <f>'2012_2015 Int Confianca'!CO67</f>
        <v>-5.1999999999999998E-3</v>
      </c>
      <c r="CR52">
        <f>'2012_2015 Int Confianca'!CP67</f>
        <v>-3.0599999999999999E-2</v>
      </c>
      <c r="CS52">
        <f>'2012_2015 Int Confianca'!CQ67</f>
        <v>-1.47E-2</v>
      </c>
      <c r="CT52">
        <f>'2012_2015 Int Confianca'!CR67</f>
        <v>-2.81E-2</v>
      </c>
      <c r="CU52">
        <f>'2012_2015 Int Confianca'!CS67</f>
        <v>-6.8599999999999994E-2</v>
      </c>
      <c r="CV52">
        <f>'2012_2015 Int Confianca'!CT67</f>
        <v>-4.6699999999999998E-2</v>
      </c>
      <c r="CW52">
        <f>'2012_2015 Int Confianca'!CU67</f>
        <v>-6.2700000000000006E-2</v>
      </c>
      <c r="CX52">
        <f>'2012_2015 Int Confianca'!CV67</f>
        <v>-8.8599999999999998E-2</v>
      </c>
    </row>
    <row r="53" spans="1:102" x14ac:dyDescent="0.2">
      <c r="A53" t="s">
        <v>5916</v>
      </c>
      <c r="B53" t="s">
        <v>219</v>
      </c>
      <c r="C53" t="s">
        <v>102</v>
      </c>
      <c r="D53">
        <f>'2012_2015 Int Confianca'!B68</f>
        <v>4.5199999999999997E-2</v>
      </c>
      <c r="E53">
        <f>'2012_2015 Int Confianca'!C68</f>
        <v>3.95E-2</v>
      </c>
      <c r="F53">
        <f>'2012_2015 Int Confianca'!D68</f>
        <v>4.7699999999999999E-2</v>
      </c>
      <c r="G53">
        <f>'2012_2015 Int Confianca'!E68</f>
        <v>3.7600000000000001E-2</v>
      </c>
      <c r="H53">
        <f>'2012_2015 Int Confianca'!F68</f>
        <v>3.6900000000000002E-2</v>
      </c>
      <c r="I53">
        <f>'2012_2015 Int Confianca'!G68</f>
        <v>3.3099999999999997E-2</v>
      </c>
      <c r="J53">
        <f>'2012_2015 Int Confianca'!H68</f>
        <v>2.6700000000000002E-2</v>
      </c>
      <c r="K53">
        <f>'2012_2015 Int Confianca'!I68</f>
        <v>2.8000000000000001E-2</v>
      </c>
      <c r="L53">
        <f>'2012_2015 Int Confianca'!J68</f>
        <v>2.2499999999999999E-2</v>
      </c>
      <c r="M53">
        <f>'2012_2015 Int Confianca'!K68</f>
        <v>1.8800000000000001E-2</v>
      </c>
      <c r="N53">
        <f>'2012_2015 Int Confianca'!L68</f>
        <v>2.41E-2</v>
      </c>
      <c r="O53">
        <f>'2012_2015 Int Confianca'!M68</f>
        <v>2.9600000000000001E-2</v>
      </c>
      <c r="P53">
        <f>'2012_2015 Int Confianca'!N68</f>
        <v>2.5499999999999998E-2</v>
      </c>
      <c r="Q53">
        <f>'2012_2015 Int Confianca'!O68</f>
        <v>2.1299999999999999E-2</v>
      </c>
      <c r="R53">
        <f>'2012_2015 Int Confianca'!P68</f>
        <v>1.66E-2</v>
      </c>
      <c r="S53">
        <f>'2012_2015 Int Confianca'!Q68</f>
        <v>1.7500000000000002E-2</v>
      </c>
      <c r="T53">
        <f>'2012_2015 Int Confianca'!R68</f>
        <v>1.35E-2</v>
      </c>
      <c r="U53">
        <f>'2012_2015 Int Confianca'!S68</f>
        <v>1.4500000000000001E-2</v>
      </c>
      <c r="V53">
        <f>'2012_2015 Int Confianca'!T68</f>
        <v>1.17E-2</v>
      </c>
      <c r="W53">
        <f>'2012_2015 Int Confianca'!U68</f>
        <v>1.1299999999999999E-2</v>
      </c>
      <c r="X53">
        <f>'2012_2015 Int Confianca'!V68</f>
        <v>1.3299999999999999E-2</v>
      </c>
      <c r="Y53">
        <f>'2012_2015 Int Confianca'!W68</f>
        <v>1.3599999999999999E-2</v>
      </c>
      <c r="Z53">
        <f>'2012_2015 Int Confianca'!X68</f>
        <v>1.3599999999999999E-2</v>
      </c>
      <c r="AA53">
        <f>'2012_2015 Int Confianca'!Y68</f>
        <v>1.2999999999999999E-2</v>
      </c>
      <c r="AB53">
        <f>'2012_2015 Int Confianca'!Z68</f>
        <v>7.7000000000000002E-3</v>
      </c>
      <c r="AC53">
        <f>'2012_2015 Int Confianca'!AA68</f>
        <v>5.8999999999999999E-3</v>
      </c>
      <c r="AD53">
        <f>'2012_2015 Int Confianca'!AB68</f>
        <v>7.1000000000000004E-3</v>
      </c>
      <c r="AE53">
        <f>'2012_2015 Int Confianca'!AC68</f>
        <v>6.7000000000000002E-3</v>
      </c>
      <c r="AF53">
        <f>'2012_2015 Int Confianca'!AD68</f>
        <v>8.6E-3</v>
      </c>
      <c r="AG53">
        <f>'2012_2015 Int Confianca'!AE68</f>
        <v>1.0500000000000001E-2</v>
      </c>
      <c r="AH53">
        <f>'2012_2015 Int Confianca'!AF68</f>
        <v>8.8999999999999999E-3</v>
      </c>
      <c r="AI53">
        <f>'2012_2015 Int Confianca'!AG68</f>
        <v>8.0999999999999996E-3</v>
      </c>
      <c r="AJ53">
        <f>'2012_2015 Int Confianca'!AH68</f>
        <v>6.6E-3</v>
      </c>
      <c r="AK53">
        <f>'2012_2015 Int Confianca'!AI68</f>
        <v>4.7000000000000002E-3</v>
      </c>
      <c r="AL53">
        <f>'2012_2015 Int Confianca'!AJ68</f>
        <v>3.8999999999999998E-3</v>
      </c>
      <c r="AM53">
        <f>'2012_2015 Int Confianca'!AK68</f>
        <v>3.0000000000000001E-3</v>
      </c>
      <c r="AN53">
        <f>'2012_2015 Int Confianca'!AL68</f>
        <v>3.2000000000000002E-3</v>
      </c>
      <c r="AO53">
        <f>'2012_2015 Int Confianca'!AM68</f>
        <v>9.4000000000000004E-3</v>
      </c>
      <c r="AP53">
        <f>'2012_2015 Int Confianca'!AN68</f>
        <v>1.1299999999999999E-2</v>
      </c>
      <c r="AQ53">
        <f>'2012_2015 Int Confianca'!AO68</f>
        <v>1.23E-2</v>
      </c>
      <c r="AR53">
        <f>'2012_2015 Int Confianca'!AP68</f>
        <v>1.09E-2</v>
      </c>
      <c r="AS53">
        <f>'2012_2015 Int Confianca'!AQ68</f>
        <v>9.4999999999999998E-3</v>
      </c>
      <c r="AT53">
        <f>'2012_2015 Int Confianca'!AR68</f>
        <v>9.9000000000000008E-3</v>
      </c>
      <c r="AU53">
        <f>'2012_2015 Int Confianca'!AS68</f>
        <v>9.7999999999999997E-3</v>
      </c>
      <c r="AV53">
        <f>'2012_2015 Int Confianca'!AT68</f>
        <v>1.2500000000000001E-2</v>
      </c>
      <c r="AW53">
        <f>'2012_2015 Int Confianca'!AU68</f>
        <v>1.15E-2</v>
      </c>
      <c r="AX53">
        <f>'2012_2015 Int Confianca'!AV68</f>
        <v>9.9000000000000008E-3</v>
      </c>
      <c r="AY53">
        <f>'2012_2015 Int Confianca'!AW68</f>
        <v>6.4999999999999997E-3</v>
      </c>
      <c r="AZ53">
        <f>'2012_2015 Int Confianca'!AX68</f>
        <v>7.4000000000000003E-3</v>
      </c>
      <c r="BA53">
        <f>'2012_2015 Int Confianca'!AY68</f>
        <v>8.8999999999999999E-3</v>
      </c>
      <c r="BB53">
        <f>'2012_2015 Int Confianca'!AZ68</f>
        <v>8.5000000000000006E-3</v>
      </c>
      <c r="BC53">
        <f>'2012_2015 Int Confianca'!BA68</f>
        <v>1.09E-2</v>
      </c>
      <c r="BD53">
        <f>'2012_2015 Int Confianca'!BB68</f>
        <v>1.14E-2</v>
      </c>
      <c r="BE53">
        <f>'2012_2015 Int Confianca'!BC68</f>
        <v>1.5800000000000002E-2</v>
      </c>
      <c r="BF53">
        <f>'2012_2015 Int Confianca'!BD68</f>
        <v>2.0299999999999999E-2</v>
      </c>
      <c r="BG53">
        <f>'2012_2015 Int Confianca'!BE68</f>
        <v>1.9099999999999999E-2</v>
      </c>
      <c r="BH53">
        <f>'2012_2015 Int Confianca'!BF68</f>
        <v>1.89E-2</v>
      </c>
      <c r="BI53">
        <f>'2012_2015 Int Confianca'!BG68</f>
        <v>1.5599999999999999E-2</v>
      </c>
      <c r="BJ53">
        <f>'2012_2015 Int Confianca'!BH68</f>
        <v>1.5800000000000002E-2</v>
      </c>
      <c r="BK53">
        <f>'2012_2015 Int Confianca'!BI68</f>
        <v>1.23E-2</v>
      </c>
      <c r="BL53">
        <f>'2012_2015 Int Confianca'!BJ68</f>
        <v>1.2200000000000001E-2</v>
      </c>
      <c r="BM53">
        <f>'2012_2015 Int Confianca'!BK68</f>
        <v>1.47E-2</v>
      </c>
      <c r="BN53">
        <f>'2012_2015 Int Confianca'!BL68</f>
        <v>2.07E-2</v>
      </c>
      <c r="BO53">
        <f>'2012_2015 Int Confianca'!BM68</f>
        <v>2.35E-2</v>
      </c>
      <c r="BP53">
        <f>'2012_2015 Int Confianca'!BN68</f>
        <v>2.1299999999999999E-2</v>
      </c>
      <c r="BQ53">
        <f>'2012_2015 Int Confianca'!BO68</f>
        <v>2.1700000000000001E-2</v>
      </c>
      <c r="BR53">
        <f>'2012_2015 Int Confianca'!BP68</f>
        <v>2.8799999999999999E-2</v>
      </c>
      <c r="BS53">
        <f>'2012_2015 Int Confianca'!BQ68</f>
        <v>2.4E-2</v>
      </c>
      <c r="BT53">
        <f>'2012_2015 Int Confianca'!BR68</f>
        <v>1.7999999999999999E-2</v>
      </c>
      <c r="BU53">
        <f>'2012_2015 Int Confianca'!BS68</f>
        <v>1.7000000000000001E-2</v>
      </c>
      <c r="BV53">
        <f>'2012_2015 Int Confianca'!BT68</f>
        <v>2.0199999999999999E-2</v>
      </c>
      <c r="BW53">
        <f>'2012_2015 Int Confianca'!BU68</f>
        <v>1.8499999999999999E-2</v>
      </c>
      <c r="BX53">
        <f>'2012_2015 Int Confianca'!BV68</f>
        <v>1.5299999999999999E-2</v>
      </c>
      <c r="BY53">
        <f>'2012_2015 Int Confianca'!BW68</f>
        <v>1.7600000000000001E-2</v>
      </c>
      <c r="BZ53">
        <f>'2012_2015 Int Confianca'!BX68</f>
        <v>2.6499999999999999E-2</v>
      </c>
      <c r="CA53">
        <f>'2012_2015 Int Confianca'!BY68</f>
        <v>2.5999999999999999E-2</v>
      </c>
      <c r="CB53">
        <f>'2012_2015 Int Confianca'!BZ68</f>
        <v>1.95E-2</v>
      </c>
      <c r="CC53">
        <f>'2012_2015 Int Confianca'!CA68</f>
        <v>2.46E-2</v>
      </c>
      <c r="CD53">
        <f>'2012_2015 Int Confianca'!CB68</f>
        <v>3.5099999999999999E-2</v>
      </c>
      <c r="CE53">
        <f>'2012_2015 Int Confianca'!CC68</f>
        <v>1.8100000000000002E-2</v>
      </c>
      <c r="CF53">
        <f>'2012_2015 Int Confianca'!CD68</f>
        <v>1.5100000000000001E-2</v>
      </c>
      <c r="CG53">
        <f>'2012_2015 Int Confianca'!CE68</f>
        <v>1.47E-2</v>
      </c>
      <c r="CH53">
        <f>'2012_2015 Int Confianca'!CF68</f>
        <v>7.1999999999999998E-3</v>
      </c>
      <c r="CI53">
        <f>'2012_2015 Int Confianca'!CG68</f>
        <v>-2.9999999999999997E-4</v>
      </c>
      <c r="CJ53">
        <f>'2012_2015 Int Confianca'!CH68</f>
        <v>8.9999999999999998E-4</v>
      </c>
      <c r="CK53">
        <f>'2012_2015 Int Confianca'!CI68</f>
        <v>3.1399999999999997E-2</v>
      </c>
      <c r="CL53">
        <f>'2012_2015 Int Confianca'!CJ68</f>
        <v>2.12E-2</v>
      </c>
      <c r="CM53">
        <f>'2012_2015 Int Confianca'!CK68</f>
        <v>1.89E-2</v>
      </c>
      <c r="CN53">
        <f>'2012_2015 Int Confianca'!CL68</f>
        <v>-1.9E-3</v>
      </c>
      <c r="CO53">
        <f>'2012_2015 Int Confianca'!CM68</f>
        <v>-1.12E-2</v>
      </c>
      <c r="CP53">
        <f>'2012_2015 Int Confianca'!CN68</f>
        <v>-3.5999999999999999E-3</v>
      </c>
      <c r="CQ53">
        <f>'2012_2015 Int Confianca'!CO68</f>
        <v>2.7099999999999999E-2</v>
      </c>
      <c r="CR53">
        <f>'2012_2015 Int Confianca'!CP68</f>
        <v>0.01</v>
      </c>
      <c r="CS53">
        <f>'2012_2015 Int Confianca'!CQ68</f>
        <v>2.0899999999999998E-2</v>
      </c>
      <c r="CT53">
        <f>'2012_2015 Int Confianca'!CR68</f>
        <v>1.72E-2</v>
      </c>
      <c r="CU53">
        <f>'2012_2015 Int Confianca'!CS68</f>
        <v>-2.46E-2</v>
      </c>
      <c r="CV53">
        <f>'2012_2015 Int Confianca'!CT68</f>
        <v>4.7000000000000002E-3</v>
      </c>
      <c r="CW53">
        <f>'2012_2015 Int Confianca'!CU68</f>
        <v>-2.7000000000000001E-3</v>
      </c>
      <c r="CX53">
        <f>'2012_2015 Int Confianca'!CV68</f>
        <v>-1.09E-2</v>
      </c>
    </row>
    <row r="54" spans="1:102" x14ac:dyDescent="0.2">
      <c r="A54" t="s">
        <v>5917</v>
      </c>
      <c r="B54" t="s">
        <v>219</v>
      </c>
      <c r="C54" t="s">
        <v>102</v>
      </c>
      <c r="D54">
        <f>'2012_2015 Int Confianca'!B69</f>
        <v>-2.0799999999999999E-2</v>
      </c>
      <c r="E54">
        <f>'2012_2015 Int Confianca'!C69</f>
        <v>-2.29E-2</v>
      </c>
      <c r="F54">
        <f>'2012_2015 Int Confianca'!D69</f>
        <v>-8.0999999999999996E-3</v>
      </c>
      <c r="G54">
        <f>'2012_2015 Int Confianca'!E69</f>
        <v>-1.32E-2</v>
      </c>
      <c r="H54">
        <f>'2012_2015 Int Confianca'!F69</f>
        <v>-3.0999999999999999E-3</v>
      </c>
      <c r="I54">
        <f>'2012_2015 Int Confianca'!G69</f>
        <v>-7.9000000000000008E-3</v>
      </c>
      <c r="J54">
        <f>'2012_2015 Int Confianca'!H69</f>
        <v>-2.7000000000000001E-3</v>
      </c>
      <c r="K54">
        <f>'2012_2015 Int Confianca'!I69</f>
        <v>-1.2999999999999999E-3</v>
      </c>
      <c r="L54">
        <f>'2012_2015 Int Confianca'!J69</f>
        <v>-2.5000000000000001E-3</v>
      </c>
      <c r="M54">
        <f>'2012_2015 Int Confianca'!K69</f>
        <v>-1.4E-3</v>
      </c>
      <c r="N54">
        <f>'2012_2015 Int Confianca'!L69</f>
        <v>3.3999999999999998E-3</v>
      </c>
      <c r="O54">
        <f>'2012_2015 Int Confianca'!M69</f>
        <v>7.3000000000000001E-3</v>
      </c>
      <c r="P54">
        <f>'2012_2015 Int Confianca'!N69</f>
        <v>7.1999999999999998E-3</v>
      </c>
      <c r="Q54">
        <f>'2012_2015 Int Confianca'!O69</f>
        <v>4.5999999999999999E-3</v>
      </c>
      <c r="R54">
        <f>'2012_2015 Int Confianca'!P69</f>
        <v>8.0000000000000004E-4</v>
      </c>
      <c r="S54">
        <f>'2012_2015 Int Confianca'!Q69</f>
        <v>5.0000000000000001E-4</v>
      </c>
      <c r="T54">
        <f>'2012_2015 Int Confianca'!R69</f>
        <v>5.9999999999999995E-4</v>
      </c>
      <c r="U54">
        <f>'2012_2015 Int Confianca'!S69</f>
        <v>1.1000000000000001E-3</v>
      </c>
      <c r="V54">
        <f>'2012_2015 Int Confianca'!T69</f>
        <v>2.0000000000000001E-4</v>
      </c>
      <c r="W54">
        <f>'2012_2015 Int Confianca'!U69</f>
        <v>-1E-4</v>
      </c>
      <c r="X54">
        <f>'2012_2015 Int Confianca'!V69</f>
        <v>2.0000000000000001E-4</v>
      </c>
      <c r="Y54">
        <f>'2012_2015 Int Confianca'!W69</f>
        <v>2.0000000000000001E-4</v>
      </c>
      <c r="Z54">
        <f>'2012_2015 Int Confianca'!X69</f>
        <v>5.0000000000000001E-4</v>
      </c>
      <c r="AA54">
        <f>'2012_2015 Int Confianca'!Y69</f>
        <v>2.9999999999999997E-4</v>
      </c>
      <c r="AB54">
        <f>'2012_2015 Int Confianca'!Z69</f>
        <v>-4.0000000000000002E-4</v>
      </c>
      <c r="AC54">
        <f>'2012_2015 Int Confianca'!AA69</f>
        <v>-5.0000000000000001E-4</v>
      </c>
      <c r="AD54">
        <f>'2012_2015 Int Confianca'!AB69</f>
        <v>-8.0000000000000004E-4</v>
      </c>
      <c r="AE54">
        <f>'2012_2015 Int Confianca'!AC69</f>
        <v>-1.1999999999999999E-3</v>
      </c>
      <c r="AF54">
        <f>'2012_2015 Int Confianca'!AD69</f>
        <v>-1E-3</v>
      </c>
      <c r="AG54">
        <f>'2012_2015 Int Confianca'!AE69</f>
        <v>-1.2999999999999999E-3</v>
      </c>
      <c r="AH54">
        <f>'2012_2015 Int Confianca'!AF69</f>
        <v>-1.6000000000000001E-3</v>
      </c>
      <c r="AI54">
        <f>'2012_2015 Int Confianca'!AG69</f>
        <v>-1.9E-3</v>
      </c>
      <c r="AJ54">
        <f>'2012_2015 Int Confianca'!AH69</f>
        <v>-2.7000000000000001E-3</v>
      </c>
      <c r="AK54">
        <f>'2012_2015 Int Confianca'!AI69</f>
        <v>-2.8E-3</v>
      </c>
      <c r="AL54">
        <f>'2012_2015 Int Confianca'!AJ69</f>
        <v>-2.3E-3</v>
      </c>
      <c r="AM54">
        <f>'2012_2015 Int Confianca'!AK69</f>
        <v>-2.2000000000000001E-3</v>
      </c>
      <c r="AN54">
        <f>'2012_2015 Int Confianca'!AL69</f>
        <v>-2.0999999999999999E-3</v>
      </c>
      <c r="AO54">
        <f>'2012_2015 Int Confianca'!AM69</f>
        <v>-1.6999999999999999E-3</v>
      </c>
      <c r="AP54">
        <f>'2012_2015 Int Confianca'!AN69</f>
        <v>-1.2999999999999999E-3</v>
      </c>
      <c r="AQ54">
        <f>'2012_2015 Int Confianca'!AO69</f>
        <v>-1.2999999999999999E-3</v>
      </c>
      <c r="AR54">
        <f>'2012_2015 Int Confianca'!AP69</f>
        <v>-1.1999999999999999E-3</v>
      </c>
      <c r="AS54">
        <f>'2012_2015 Int Confianca'!AQ69</f>
        <v>-8.0000000000000004E-4</v>
      </c>
      <c r="AT54">
        <f>'2012_2015 Int Confianca'!AR69</f>
        <v>-8.9999999999999998E-4</v>
      </c>
      <c r="AU54">
        <f>'2012_2015 Int Confianca'!AS69</f>
        <v>-1.1000000000000001E-3</v>
      </c>
      <c r="AV54">
        <f>'2012_2015 Int Confianca'!AT69</f>
        <v>-6.9999999999999999E-4</v>
      </c>
      <c r="AW54">
        <f>'2012_2015 Int Confianca'!AU69</f>
        <v>-1E-3</v>
      </c>
      <c r="AX54">
        <f>'2012_2015 Int Confianca'!AV69</f>
        <v>-1.5E-3</v>
      </c>
      <c r="AY54">
        <f>'2012_2015 Int Confianca'!AW69</f>
        <v>-2.0999999999999999E-3</v>
      </c>
      <c r="AZ54">
        <f>'2012_2015 Int Confianca'!AX69</f>
        <v>-2.3E-3</v>
      </c>
      <c r="BA54">
        <f>'2012_2015 Int Confianca'!AY69</f>
        <v>-2.8E-3</v>
      </c>
      <c r="BB54">
        <f>'2012_2015 Int Confianca'!AZ69</f>
        <v>-2.8999999999999998E-3</v>
      </c>
      <c r="BC54">
        <f>'2012_2015 Int Confianca'!BA69</f>
        <v>-2.0999999999999999E-3</v>
      </c>
      <c r="BD54">
        <f>'2012_2015 Int Confianca'!BB69</f>
        <v>-1.5E-3</v>
      </c>
      <c r="BE54">
        <f>'2012_2015 Int Confianca'!BC69</f>
        <v>-1.2999999999999999E-3</v>
      </c>
      <c r="BF54">
        <f>'2012_2015 Int Confianca'!BD69</f>
        <v>-6.9999999999999999E-4</v>
      </c>
      <c r="BG54">
        <f>'2012_2015 Int Confianca'!BE69</f>
        <v>-8.9999999999999998E-4</v>
      </c>
      <c r="BH54">
        <f>'2012_2015 Int Confianca'!BF69</f>
        <v>-1.2999999999999999E-3</v>
      </c>
      <c r="BI54">
        <f>'2012_2015 Int Confianca'!BG69</f>
        <v>-1.6000000000000001E-3</v>
      </c>
      <c r="BJ54">
        <f>'2012_2015 Int Confianca'!BH69</f>
        <v>-1.2999999999999999E-3</v>
      </c>
      <c r="BK54">
        <f>'2012_2015 Int Confianca'!BI69</f>
        <v>-1.9E-3</v>
      </c>
      <c r="BL54">
        <f>'2012_2015 Int Confianca'!BJ69</f>
        <v>-1.6000000000000001E-3</v>
      </c>
      <c r="BM54">
        <f>'2012_2015 Int Confianca'!BK69</f>
        <v>-1.6000000000000001E-3</v>
      </c>
      <c r="BN54">
        <f>'2012_2015 Int Confianca'!BL69</f>
        <v>-1.2999999999999999E-3</v>
      </c>
      <c r="BO54">
        <f>'2012_2015 Int Confianca'!BM69</f>
        <v>-1.2999999999999999E-3</v>
      </c>
      <c r="BP54">
        <f>'2012_2015 Int Confianca'!BN69</f>
        <v>-5.9999999999999995E-4</v>
      </c>
      <c r="BQ54">
        <f>'2012_2015 Int Confianca'!BO69</f>
        <v>0</v>
      </c>
      <c r="BR54">
        <f>'2012_2015 Int Confianca'!BP69</f>
        <v>2.0000000000000001E-4</v>
      </c>
      <c r="BS54">
        <f>'2012_2015 Int Confianca'!BQ69</f>
        <v>-5.9999999999999995E-4</v>
      </c>
      <c r="BT54">
        <f>'2012_2015 Int Confianca'!BR69</f>
        <v>-1E-3</v>
      </c>
      <c r="BU54">
        <f>'2012_2015 Int Confianca'!BS69</f>
        <v>-1E-3</v>
      </c>
      <c r="BV54">
        <f>'2012_2015 Int Confianca'!BT69</f>
        <v>-1E-4</v>
      </c>
      <c r="BW54">
        <f>'2012_2015 Int Confianca'!BU69</f>
        <v>-4.0000000000000002E-4</v>
      </c>
      <c r="BX54">
        <f>'2012_2015 Int Confianca'!BV69</f>
        <v>-1.2999999999999999E-3</v>
      </c>
      <c r="BY54">
        <f>'2012_2015 Int Confianca'!BW69</f>
        <v>-2.9999999999999997E-4</v>
      </c>
      <c r="BZ54">
        <f>'2012_2015 Int Confianca'!BX69</f>
        <v>2.9999999999999997E-4</v>
      </c>
      <c r="CA54">
        <f>'2012_2015 Int Confianca'!BY69</f>
        <v>8.9999999999999998E-4</v>
      </c>
      <c r="CB54">
        <f>'2012_2015 Int Confianca'!BZ69</f>
        <v>8.0000000000000004E-4</v>
      </c>
      <c r="CC54">
        <f>'2012_2015 Int Confianca'!CA69</f>
        <v>1E-3</v>
      </c>
      <c r="CD54">
        <f>'2012_2015 Int Confianca'!CB69</f>
        <v>5.9999999999999995E-4</v>
      </c>
      <c r="CE54">
        <f>'2012_2015 Int Confianca'!CC69</f>
        <v>-2.2000000000000001E-3</v>
      </c>
      <c r="CF54">
        <f>'2012_2015 Int Confianca'!CD69</f>
        <v>-3.0000000000000001E-3</v>
      </c>
      <c r="CG54">
        <f>'2012_2015 Int Confianca'!CE69</f>
        <v>-2.8999999999999998E-3</v>
      </c>
      <c r="CH54">
        <f>'2012_2015 Int Confianca'!CF69</f>
        <v>-2.8E-3</v>
      </c>
      <c r="CI54">
        <f>'2012_2015 Int Confianca'!CG69</f>
        <v>-3.0999999999999999E-3</v>
      </c>
      <c r="CJ54">
        <f>'2012_2015 Int Confianca'!CH69</f>
        <v>-3.5999999999999999E-3</v>
      </c>
      <c r="CK54">
        <f>'2012_2015 Int Confianca'!CI69</f>
        <v>-2.5999999999999999E-3</v>
      </c>
      <c r="CL54">
        <f>'2012_2015 Int Confianca'!CJ69</f>
        <v>-1.6000000000000001E-3</v>
      </c>
      <c r="CM54">
        <f>'2012_2015 Int Confianca'!CK69</f>
        <v>-2.3E-3</v>
      </c>
      <c r="CN54">
        <f>'2012_2015 Int Confianca'!CL69</f>
        <v>-3.0999999999999999E-3</v>
      </c>
      <c r="CO54">
        <f>'2012_2015 Int Confianca'!CM69</f>
        <v>-4.4000000000000003E-3</v>
      </c>
      <c r="CP54">
        <f>'2012_2015 Int Confianca'!CN69</f>
        <v>-3.7000000000000002E-3</v>
      </c>
      <c r="CQ54">
        <f>'2012_2015 Int Confianca'!CO69</f>
        <v>-2.5999999999999999E-3</v>
      </c>
      <c r="CR54">
        <f>'2012_2015 Int Confianca'!CP69</f>
        <v>-4.7999999999999996E-3</v>
      </c>
      <c r="CS54">
        <f>'2012_2015 Int Confianca'!CQ69</f>
        <v>-3.3999999999999998E-3</v>
      </c>
      <c r="CT54">
        <f>'2012_2015 Int Confianca'!CR69</f>
        <v>-5.1000000000000004E-3</v>
      </c>
      <c r="CU54">
        <f>'2012_2015 Int Confianca'!CS69</f>
        <v>-5.7999999999999996E-3</v>
      </c>
      <c r="CV54">
        <f>'2012_2015 Int Confianca'!CT69</f>
        <v>-6.7000000000000002E-3</v>
      </c>
      <c r="CW54">
        <f>'2012_2015 Int Confianca'!CU69</f>
        <v>-9.7000000000000003E-3</v>
      </c>
      <c r="CX54">
        <f>'2012_2015 Int Confianca'!CV69</f>
        <v>-1.2500000000000001E-2</v>
      </c>
    </row>
    <row r="55" spans="1:102" x14ac:dyDescent="0.2">
      <c r="A55" t="s">
        <v>5918</v>
      </c>
      <c r="B55" t="s">
        <v>219</v>
      </c>
      <c r="C55" t="s">
        <v>102</v>
      </c>
      <c r="D55">
        <f>'2012_2015 Int Confianca'!B70</f>
        <v>1.2999999999999999E-2</v>
      </c>
      <c r="E55">
        <f>'2012_2015 Int Confianca'!C70</f>
        <v>8.8999999999999999E-3</v>
      </c>
      <c r="F55">
        <f>'2012_2015 Int Confianca'!D70</f>
        <v>1.5599999999999999E-2</v>
      </c>
      <c r="G55">
        <f>'2012_2015 Int Confianca'!E70</f>
        <v>7.1999999999999998E-3</v>
      </c>
      <c r="H55">
        <f>'2012_2015 Int Confianca'!F70</f>
        <v>1.2999999999999999E-2</v>
      </c>
      <c r="I55">
        <f>'2012_2015 Int Confianca'!G70</f>
        <v>8.0999999999999996E-3</v>
      </c>
      <c r="J55">
        <f>'2012_2015 Int Confianca'!H70</f>
        <v>1.1299999999999999E-2</v>
      </c>
      <c r="K55">
        <f>'2012_2015 Int Confianca'!I70</f>
        <v>1.09E-2</v>
      </c>
      <c r="L55">
        <f>'2012_2015 Int Confianca'!J70</f>
        <v>9.1999999999999998E-3</v>
      </c>
      <c r="M55">
        <f>'2012_2015 Int Confianca'!K70</f>
        <v>7.6E-3</v>
      </c>
      <c r="N55">
        <f>'2012_2015 Int Confianca'!L70</f>
        <v>1.11E-2</v>
      </c>
      <c r="O55">
        <f>'2012_2015 Int Confianca'!M70</f>
        <v>1.38E-2</v>
      </c>
      <c r="P55">
        <f>'2012_2015 Int Confianca'!N70</f>
        <v>1.2999999999999999E-2</v>
      </c>
      <c r="Q55">
        <f>'2012_2015 Int Confianca'!O70</f>
        <v>9.7999999999999997E-3</v>
      </c>
      <c r="R55">
        <f>'2012_2015 Int Confianca'!P70</f>
        <v>5.3E-3</v>
      </c>
      <c r="S55">
        <f>'2012_2015 Int Confianca'!Q70</f>
        <v>4.4999999999999997E-3</v>
      </c>
      <c r="T55">
        <f>'2012_2015 Int Confianca'!R70</f>
        <v>4.3E-3</v>
      </c>
      <c r="U55">
        <f>'2012_2015 Int Confianca'!S70</f>
        <v>4.5999999999999999E-3</v>
      </c>
      <c r="V55">
        <f>'2012_2015 Int Confianca'!T70</f>
        <v>3.5999999999999999E-3</v>
      </c>
      <c r="W55">
        <f>'2012_2015 Int Confianca'!U70</f>
        <v>3.2000000000000002E-3</v>
      </c>
      <c r="X55">
        <f>'2012_2015 Int Confianca'!V70</f>
        <v>3.3999999999999998E-3</v>
      </c>
      <c r="Y55">
        <f>'2012_2015 Int Confianca'!W70</f>
        <v>3.3E-3</v>
      </c>
      <c r="Z55">
        <f>'2012_2015 Int Confianca'!X70</f>
        <v>3.5000000000000001E-3</v>
      </c>
      <c r="AA55">
        <f>'2012_2015 Int Confianca'!Y70</f>
        <v>3.2000000000000002E-3</v>
      </c>
      <c r="AB55">
        <f>'2012_2015 Int Confianca'!Z70</f>
        <v>2.5000000000000001E-3</v>
      </c>
      <c r="AC55">
        <f>'2012_2015 Int Confianca'!AA70</f>
        <v>2.3999999999999998E-3</v>
      </c>
      <c r="AD55">
        <f>'2012_2015 Int Confianca'!AB70</f>
        <v>2E-3</v>
      </c>
      <c r="AE55">
        <f>'2012_2015 Int Confianca'!AC70</f>
        <v>1.6000000000000001E-3</v>
      </c>
      <c r="AF55">
        <f>'2012_2015 Int Confianca'!AD70</f>
        <v>1.8E-3</v>
      </c>
      <c r="AG55">
        <f>'2012_2015 Int Confianca'!AE70</f>
        <v>1.6000000000000001E-3</v>
      </c>
      <c r="AH55">
        <f>'2012_2015 Int Confianca'!AF70</f>
        <v>1.2999999999999999E-3</v>
      </c>
      <c r="AI55">
        <f>'2012_2015 Int Confianca'!AG70</f>
        <v>1E-3</v>
      </c>
      <c r="AJ55">
        <f>'2012_2015 Int Confianca'!AH70</f>
        <v>2.9999999999999997E-4</v>
      </c>
      <c r="AK55">
        <f>'2012_2015 Int Confianca'!AI70</f>
        <v>4.0000000000000002E-4</v>
      </c>
      <c r="AL55">
        <f>'2012_2015 Int Confianca'!AJ70</f>
        <v>8.9999999999999998E-4</v>
      </c>
      <c r="AM55">
        <f>'2012_2015 Int Confianca'!AK70</f>
        <v>1E-3</v>
      </c>
      <c r="AN55">
        <f>'2012_2015 Int Confianca'!AL70</f>
        <v>1.1999999999999999E-3</v>
      </c>
      <c r="AO55">
        <f>'2012_2015 Int Confianca'!AM70</f>
        <v>1.6000000000000001E-3</v>
      </c>
      <c r="AP55">
        <f>'2012_2015 Int Confianca'!AN70</f>
        <v>2E-3</v>
      </c>
      <c r="AQ55">
        <f>'2012_2015 Int Confianca'!AO70</f>
        <v>1.9E-3</v>
      </c>
      <c r="AR55">
        <f>'2012_2015 Int Confianca'!AP70</f>
        <v>2.0999999999999999E-3</v>
      </c>
      <c r="AS55">
        <f>'2012_2015 Int Confianca'!AQ70</f>
        <v>2.3999999999999998E-3</v>
      </c>
      <c r="AT55">
        <f>'2012_2015 Int Confianca'!AR70</f>
        <v>2.3E-3</v>
      </c>
      <c r="AU55">
        <f>'2012_2015 Int Confianca'!AS70</f>
        <v>2.0999999999999999E-3</v>
      </c>
      <c r="AV55">
        <f>'2012_2015 Int Confianca'!AT70</f>
        <v>2.5000000000000001E-3</v>
      </c>
      <c r="AW55">
        <f>'2012_2015 Int Confianca'!AU70</f>
        <v>2.2000000000000001E-3</v>
      </c>
      <c r="AX55">
        <f>'2012_2015 Int Confianca'!AV70</f>
        <v>1.8E-3</v>
      </c>
      <c r="AY55">
        <f>'2012_2015 Int Confianca'!AW70</f>
        <v>1.2999999999999999E-3</v>
      </c>
      <c r="AZ55">
        <f>'2012_2015 Int Confianca'!AX70</f>
        <v>1.1000000000000001E-3</v>
      </c>
      <c r="BA55">
        <f>'2012_2015 Int Confianca'!AY70</f>
        <v>5.9999999999999995E-4</v>
      </c>
      <c r="BB55">
        <f>'2012_2015 Int Confianca'!AZ70</f>
        <v>5.9999999999999995E-4</v>
      </c>
      <c r="BC55">
        <f>'2012_2015 Int Confianca'!BA70</f>
        <v>1.2999999999999999E-3</v>
      </c>
      <c r="BD55">
        <f>'2012_2015 Int Confianca'!BB70</f>
        <v>2E-3</v>
      </c>
      <c r="BE55">
        <f>'2012_2015 Int Confianca'!BC70</f>
        <v>2.3E-3</v>
      </c>
      <c r="BF55">
        <f>'2012_2015 Int Confianca'!BD70</f>
        <v>2.8999999999999998E-3</v>
      </c>
      <c r="BG55">
        <f>'2012_2015 Int Confianca'!BE70</f>
        <v>2.5999999999999999E-3</v>
      </c>
      <c r="BH55">
        <f>'2012_2015 Int Confianca'!BF70</f>
        <v>2.2000000000000001E-3</v>
      </c>
      <c r="BI55">
        <f>'2012_2015 Int Confianca'!BG70</f>
        <v>1.9E-3</v>
      </c>
      <c r="BJ55">
        <f>'2012_2015 Int Confianca'!BH70</f>
        <v>2.2000000000000001E-3</v>
      </c>
      <c r="BK55">
        <f>'2012_2015 Int Confianca'!BI70</f>
        <v>1.6000000000000001E-3</v>
      </c>
      <c r="BL55">
        <f>'2012_2015 Int Confianca'!BJ70</f>
        <v>1.9E-3</v>
      </c>
      <c r="BM55">
        <f>'2012_2015 Int Confianca'!BK70</f>
        <v>2E-3</v>
      </c>
      <c r="BN55">
        <f>'2012_2015 Int Confianca'!BL70</f>
        <v>2.3999999999999998E-3</v>
      </c>
      <c r="BO55">
        <f>'2012_2015 Int Confianca'!BM70</f>
        <v>2.3999999999999998E-3</v>
      </c>
      <c r="BP55">
        <f>'2012_2015 Int Confianca'!BN70</f>
        <v>3.0999999999999999E-3</v>
      </c>
      <c r="BQ55">
        <f>'2012_2015 Int Confianca'!BO70</f>
        <v>3.5999999999999999E-3</v>
      </c>
      <c r="BR55">
        <f>'2012_2015 Int Confianca'!BP70</f>
        <v>3.8E-3</v>
      </c>
      <c r="BS55">
        <f>'2012_2015 Int Confianca'!BQ70</f>
        <v>3.0999999999999999E-3</v>
      </c>
      <c r="BT55">
        <f>'2012_2015 Int Confianca'!BR70</f>
        <v>2.7000000000000001E-3</v>
      </c>
      <c r="BU55">
        <f>'2012_2015 Int Confianca'!BS70</f>
        <v>2.8E-3</v>
      </c>
      <c r="BV55">
        <f>'2012_2015 Int Confianca'!BT70</f>
        <v>4.0000000000000001E-3</v>
      </c>
      <c r="BW55">
        <f>'2012_2015 Int Confianca'!BU70</f>
        <v>3.8E-3</v>
      </c>
      <c r="BX55">
        <f>'2012_2015 Int Confianca'!BV70</f>
        <v>3.0000000000000001E-3</v>
      </c>
      <c r="BY55">
        <f>'2012_2015 Int Confianca'!BW70</f>
        <v>4.0000000000000001E-3</v>
      </c>
      <c r="BZ55">
        <f>'2012_2015 Int Confianca'!BX70</f>
        <v>4.4999999999999997E-3</v>
      </c>
      <c r="CA55">
        <f>'2012_2015 Int Confianca'!BY70</f>
        <v>4.8999999999999998E-3</v>
      </c>
      <c r="CB55">
        <f>'2012_2015 Int Confianca'!BZ70</f>
        <v>4.7999999999999996E-3</v>
      </c>
      <c r="CC55">
        <f>'2012_2015 Int Confianca'!CA70</f>
        <v>5.1000000000000004E-3</v>
      </c>
      <c r="CD55">
        <f>'2012_2015 Int Confianca'!CB70</f>
        <v>4.8999999999999998E-3</v>
      </c>
      <c r="CE55">
        <f>'2012_2015 Int Confianca'!CC70</f>
        <v>2.8999999999999998E-3</v>
      </c>
      <c r="CF55">
        <f>'2012_2015 Int Confianca'!CD70</f>
        <v>2.3999999999999998E-3</v>
      </c>
      <c r="CG55">
        <f>'2012_2015 Int Confianca'!CE70</f>
        <v>2.3E-3</v>
      </c>
      <c r="CH55">
        <f>'2012_2015 Int Confianca'!CF70</f>
        <v>2E-3</v>
      </c>
      <c r="CI55">
        <f>'2012_2015 Int Confianca'!CG70</f>
        <v>1.6999999999999999E-3</v>
      </c>
      <c r="CJ55">
        <f>'2012_2015 Int Confianca'!CH70</f>
        <v>1.6000000000000001E-3</v>
      </c>
      <c r="CK55">
        <f>'2012_2015 Int Confianca'!CI70</f>
        <v>3.0000000000000001E-3</v>
      </c>
      <c r="CL55">
        <f>'2012_2015 Int Confianca'!CJ70</f>
        <v>3.8999999999999998E-3</v>
      </c>
      <c r="CM55">
        <f>'2012_2015 Int Confianca'!CK70</f>
        <v>3.2000000000000002E-3</v>
      </c>
      <c r="CN55">
        <f>'2012_2015 Int Confianca'!CL70</f>
        <v>3.0999999999999999E-3</v>
      </c>
      <c r="CO55">
        <f>'2012_2015 Int Confianca'!CM70</f>
        <v>1.9E-3</v>
      </c>
      <c r="CP55">
        <f>'2012_2015 Int Confianca'!CN70</f>
        <v>2E-3</v>
      </c>
      <c r="CQ55">
        <f>'2012_2015 Int Confianca'!CO70</f>
        <v>3.5999999999999999E-3</v>
      </c>
      <c r="CR55">
        <f>'2012_2015 Int Confianca'!CP70</f>
        <v>2.8999999999999998E-3</v>
      </c>
      <c r="CS55">
        <f>'2012_2015 Int Confianca'!CQ70</f>
        <v>3.3E-3</v>
      </c>
      <c r="CT55">
        <f>'2012_2015 Int Confianca'!CR70</f>
        <v>3.5000000000000001E-3</v>
      </c>
      <c r="CU55">
        <f>'2012_2015 Int Confianca'!CS70</f>
        <v>2.8E-3</v>
      </c>
      <c r="CV55">
        <f>'2012_2015 Int Confianca'!CT70</f>
        <v>3.3E-3</v>
      </c>
      <c r="CW55">
        <f>'2012_2015 Int Confianca'!CU70</f>
        <v>2.0999999999999999E-3</v>
      </c>
      <c r="CX55">
        <f>'2012_2015 Int Confianca'!CV70</f>
        <v>2.5000000000000001E-3</v>
      </c>
    </row>
    <row r="56" spans="1:102" x14ac:dyDescent="0.2">
      <c r="A56" t="s">
        <v>5919</v>
      </c>
      <c r="B56" t="s">
        <v>219</v>
      </c>
      <c r="C56" t="s">
        <v>102</v>
      </c>
      <c r="D56">
        <f>'2012_2015 Int Confianca'!B71</f>
        <v>4.5699999999999998E-2</v>
      </c>
      <c r="E56">
        <f>'2012_2015 Int Confianca'!C71</f>
        <v>8.0500000000000002E-2</v>
      </c>
      <c r="F56">
        <f>'2012_2015 Int Confianca'!D71</f>
        <v>1.6000000000000001E-3</v>
      </c>
      <c r="G56">
        <f>'2012_2015 Int Confianca'!E71</f>
        <v>1.9199999999999998E-2</v>
      </c>
      <c r="H56">
        <f>'2012_2015 Int Confianca'!F71</f>
        <v>-4.7199999999999999E-2</v>
      </c>
      <c r="I56">
        <f>'2012_2015 Int Confianca'!G71</f>
        <v>-6.6E-3</v>
      </c>
      <c r="J56">
        <f>'2012_2015 Int Confianca'!H71</f>
        <v>-4.5199999999999997E-2</v>
      </c>
      <c r="K56">
        <f>'2012_2015 Int Confianca'!I71</f>
        <v>-3.9199999999999999E-2</v>
      </c>
      <c r="L56">
        <f>'2012_2015 Int Confianca'!J71</f>
        <v>-4.1799999999999997E-2</v>
      </c>
      <c r="M56">
        <f>'2012_2015 Int Confianca'!K71</f>
        <v>-3.5900000000000001E-2</v>
      </c>
      <c r="N56">
        <f>'2012_2015 Int Confianca'!L71</f>
        <v>-9.1399999999999995E-2</v>
      </c>
      <c r="O56">
        <f>'2012_2015 Int Confianca'!M71</f>
        <v>-0.14729999999999999</v>
      </c>
      <c r="P56">
        <f>'2012_2015 Int Confianca'!N71</f>
        <v>-0.14910000000000001</v>
      </c>
      <c r="Q56">
        <f>'2012_2015 Int Confianca'!O71</f>
        <v>-0.12230000000000001</v>
      </c>
      <c r="R56">
        <f>'2012_2015 Int Confianca'!P71</f>
        <v>-7.9200000000000007E-2</v>
      </c>
      <c r="S56">
        <f>'2012_2015 Int Confianca'!Q71</f>
        <v>-6.1499999999999999E-2</v>
      </c>
      <c r="T56">
        <f>'2012_2015 Int Confianca'!R71</f>
        <v>-6.1800000000000001E-2</v>
      </c>
      <c r="U56">
        <f>'2012_2015 Int Confianca'!S71</f>
        <v>-6.2799999999999995E-2</v>
      </c>
      <c r="V56">
        <f>'2012_2015 Int Confianca'!T71</f>
        <v>-5.33E-2</v>
      </c>
      <c r="W56">
        <f>'2012_2015 Int Confianca'!U71</f>
        <v>-5.0599999999999999E-2</v>
      </c>
      <c r="X56">
        <f>'2012_2015 Int Confianca'!V71</f>
        <v>-5.45E-2</v>
      </c>
      <c r="Y56">
        <f>'2012_2015 Int Confianca'!W71</f>
        <v>-5.6800000000000003E-2</v>
      </c>
      <c r="Z56">
        <f>'2012_2015 Int Confianca'!X71</f>
        <v>-5.6300000000000003E-2</v>
      </c>
      <c r="AA56">
        <f>'2012_2015 Int Confianca'!Y71</f>
        <v>-5.1700000000000003E-2</v>
      </c>
      <c r="AB56">
        <f>'2012_2015 Int Confianca'!Z71</f>
        <v>-4.6800000000000001E-2</v>
      </c>
      <c r="AC56">
        <f>'2012_2015 Int Confianca'!AA71</f>
        <v>-3.8800000000000001E-2</v>
      </c>
      <c r="AD56">
        <f>'2012_2015 Int Confianca'!AB71</f>
        <v>-3.2000000000000001E-2</v>
      </c>
      <c r="AE56">
        <f>'2012_2015 Int Confianca'!AC71</f>
        <v>-3.5000000000000003E-2</v>
      </c>
      <c r="AF56">
        <f>'2012_2015 Int Confianca'!AD71</f>
        <v>-2.9600000000000001E-2</v>
      </c>
      <c r="AG56">
        <f>'2012_2015 Int Confianca'!AE71</f>
        <v>-2.8899999999999999E-2</v>
      </c>
      <c r="AH56">
        <f>'2012_2015 Int Confianca'!AF71</f>
        <v>-2.81E-2</v>
      </c>
      <c r="AI56">
        <f>'2012_2015 Int Confianca'!AG71</f>
        <v>-2.2100000000000002E-2</v>
      </c>
      <c r="AJ56">
        <f>'2012_2015 Int Confianca'!AH71</f>
        <v>-1.9099999999999999E-2</v>
      </c>
      <c r="AK56">
        <f>'2012_2015 Int Confianca'!AI71</f>
        <v>-1.6E-2</v>
      </c>
      <c r="AL56">
        <f>'2012_2015 Int Confianca'!AJ71</f>
        <v>-1.7600000000000001E-2</v>
      </c>
      <c r="AM56">
        <f>'2012_2015 Int Confianca'!AK71</f>
        <v>-2.0199999999999999E-2</v>
      </c>
      <c r="AN56">
        <f>'2012_2015 Int Confianca'!AL71</f>
        <v>-2.7E-2</v>
      </c>
      <c r="AO56">
        <f>'2012_2015 Int Confianca'!AM71</f>
        <v>-3.2000000000000001E-2</v>
      </c>
      <c r="AP56">
        <f>'2012_2015 Int Confianca'!AN71</f>
        <v>-3.4000000000000002E-2</v>
      </c>
      <c r="AQ56">
        <f>'2012_2015 Int Confianca'!AO71</f>
        <v>-3.3300000000000003E-2</v>
      </c>
      <c r="AR56">
        <f>'2012_2015 Int Confianca'!AP71</f>
        <v>-3.1099999999999999E-2</v>
      </c>
      <c r="AS56">
        <f>'2012_2015 Int Confianca'!AQ71</f>
        <v>-2.58E-2</v>
      </c>
      <c r="AT56">
        <f>'2012_2015 Int Confianca'!AR71</f>
        <v>-2.3E-2</v>
      </c>
      <c r="AU56">
        <f>'2012_2015 Int Confianca'!AS71</f>
        <v>-1.7399999999999999E-2</v>
      </c>
      <c r="AV56">
        <f>'2012_2015 Int Confianca'!AT71</f>
        <v>-1.32E-2</v>
      </c>
      <c r="AW56">
        <f>'2012_2015 Int Confianca'!AU71</f>
        <v>-1.04E-2</v>
      </c>
      <c r="AX56">
        <f>'2012_2015 Int Confianca'!AV71</f>
        <v>-8.9999999999999993E-3</v>
      </c>
      <c r="AY56">
        <f>'2012_2015 Int Confianca'!AW71</f>
        <v>-1.11E-2</v>
      </c>
      <c r="AZ56">
        <f>'2012_2015 Int Confianca'!AX71</f>
        <v>-1.7500000000000002E-2</v>
      </c>
      <c r="BA56">
        <f>'2012_2015 Int Confianca'!AY71</f>
        <v>-1.9199999999999998E-2</v>
      </c>
      <c r="BB56">
        <f>'2012_2015 Int Confianca'!AZ71</f>
        <v>-1.9E-2</v>
      </c>
      <c r="BC56">
        <f>'2012_2015 Int Confianca'!BA71</f>
        <v>-2.1299999999999999E-2</v>
      </c>
      <c r="BD56">
        <f>'2012_2015 Int Confianca'!BB71</f>
        <v>-2.1100000000000001E-2</v>
      </c>
      <c r="BE56">
        <f>'2012_2015 Int Confianca'!BC71</f>
        <v>-2.1100000000000001E-2</v>
      </c>
      <c r="BF56">
        <f>'2012_2015 Int Confianca'!BD71</f>
        <v>-2.0799999999999999E-2</v>
      </c>
      <c r="BG56">
        <f>'2012_2015 Int Confianca'!BE71</f>
        <v>-1.5800000000000002E-2</v>
      </c>
      <c r="BH56">
        <f>'2012_2015 Int Confianca'!BF71</f>
        <v>-1.41E-2</v>
      </c>
      <c r="BI56">
        <f>'2012_2015 Int Confianca'!BG71</f>
        <v>-1.6899999999999998E-2</v>
      </c>
      <c r="BJ56">
        <f>'2012_2015 Int Confianca'!BH71</f>
        <v>-2.1100000000000001E-2</v>
      </c>
      <c r="BK56">
        <f>'2012_2015 Int Confianca'!BI71</f>
        <v>-1.7999999999999999E-2</v>
      </c>
      <c r="BL56">
        <f>'2012_2015 Int Confianca'!BJ71</f>
        <v>-1.77E-2</v>
      </c>
      <c r="BM56">
        <f>'2012_2015 Int Confianca'!BK71</f>
        <v>-2.1700000000000001E-2</v>
      </c>
      <c r="BN56">
        <f>'2012_2015 Int Confianca'!BL71</f>
        <v>-2.4E-2</v>
      </c>
      <c r="BO56">
        <f>'2012_2015 Int Confianca'!BM71</f>
        <v>-2.35E-2</v>
      </c>
      <c r="BP56">
        <f>'2012_2015 Int Confianca'!BN71</f>
        <v>-1.78E-2</v>
      </c>
      <c r="BQ56">
        <f>'2012_2015 Int Confianca'!BO71</f>
        <v>-1.6299999999999999E-2</v>
      </c>
      <c r="BR56">
        <f>'2012_2015 Int Confianca'!BP71</f>
        <v>-1.6E-2</v>
      </c>
      <c r="BS56">
        <f>'2012_2015 Int Confianca'!BQ71</f>
        <v>-1.6E-2</v>
      </c>
      <c r="BT56">
        <f>'2012_2015 Int Confianca'!BR71</f>
        <v>-1.0500000000000001E-2</v>
      </c>
      <c r="BU56">
        <f>'2012_2015 Int Confianca'!BS71</f>
        <v>-1.14E-2</v>
      </c>
      <c r="BV56">
        <f>'2012_2015 Int Confianca'!BT71</f>
        <v>-8.9999999999999993E-3</v>
      </c>
      <c r="BW56">
        <f>'2012_2015 Int Confianca'!BU71</f>
        <v>-8.6999999999999994E-3</v>
      </c>
      <c r="BX56">
        <f>'2012_2015 Int Confianca'!BV71</f>
        <v>-1.4999999999999999E-2</v>
      </c>
      <c r="BY56">
        <f>'2012_2015 Int Confianca'!BW71</f>
        <v>-1.6899999999999998E-2</v>
      </c>
      <c r="BZ56">
        <f>'2012_2015 Int Confianca'!BX71</f>
        <v>-1.6899999999999998E-2</v>
      </c>
      <c r="CA56">
        <f>'2012_2015 Int Confianca'!BY71</f>
        <v>-1.15E-2</v>
      </c>
      <c r="CB56">
        <f>'2012_2015 Int Confianca'!BZ71</f>
        <v>-2.9999999999999997E-4</v>
      </c>
      <c r="CC56">
        <f>'2012_2015 Int Confianca'!CA71</f>
        <v>-2.9999999999999997E-4</v>
      </c>
      <c r="CD56">
        <f>'2012_2015 Int Confianca'!CB71</f>
        <v>3.0999999999999999E-3</v>
      </c>
      <c r="CE56">
        <f>'2012_2015 Int Confianca'!CC71</f>
        <v>-2.7000000000000001E-3</v>
      </c>
      <c r="CF56">
        <f>'2012_2015 Int Confianca'!CD71</f>
        <v>-6.8999999999999999E-3</v>
      </c>
      <c r="CG56">
        <f>'2012_2015 Int Confianca'!CE71</f>
        <v>2.3999999999999998E-3</v>
      </c>
      <c r="CH56">
        <f>'2012_2015 Int Confianca'!CF71</f>
        <v>4.4000000000000003E-3</v>
      </c>
      <c r="CI56">
        <f>'2012_2015 Int Confianca'!CG71</f>
        <v>1.6000000000000001E-3</v>
      </c>
      <c r="CJ56">
        <f>'2012_2015 Int Confianca'!CH71</f>
        <v>4.7999999999999996E-3</v>
      </c>
      <c r="CK56">
        <f>'2012_2015 Int Confianca'!CI71</f>
        <v>8.9999999999999993E-3</v>
      </c>
      <c r="CL56">
        <f>'2012_2015 Int Confianca'!CJ71</f>
        <v>8.0000000000000002E-3</v>
      </c>
      <c r="CM56">
        <f>'2012_2015 Int Confianca'!CK71</f>
        <v>5.4999999999999997E-3</v>
      </c>
      <c r="CN56">
        <f>'2012_2015 Int Confianca'!CL71</f>
        <v>1.77E-2</v>
      </c>
      <c r="CO56">
        <f>'2012_2015 Int Confianca'!CM71</f>
        <v>2.23E-2</v>
      </c>
      <c r="CP56">
        <f>'2012_2015 Int Confianca'!CN71</f>
        <v>1.23E-2</v>
      </c>
      <c r="CQ56">
        <f>'2012_2015 Int Confianca'!CO71</f>
        <v>2.46E-2</v>
      </c>
      <c r="CR56">
        <f>'2012_2015 Int Confianca'!CP71</f>
        <v>2.7799999999999998E-2</v>
      </c>
      <c r="CS56">
        <f>'2012_2015 Int Confianca'!CQ71</f>
        <v>1.4800000000000001E-2</v>
      </c>
      <c r="CT56">
        <f>'2012_2015 Int Confianca'!CR71</f>
        <v>1.9199999999999998E-2</v>
      </c>
      <c r="CU56">
        <f>'2012_2015 Int Confianca'!CS71</f>
        <v>1.61E-2</v>
      </c>
      <c r="CV56">
        <f>'2012_2015 Int Confianca'!CT71</f>
        <v>1.4500000000000001E-2</v>
      </c>
      <c r="CW56">
        <f>'2012_2015 Int Confianca'!CU71</f>
        <v>1.2800000000000001E-2</v>
      </c>
      <c r="CX56">
        <f>'2012_2015 Int Confianca'!CV71</f>
        <v>5.0000000000000001E-4</v>
      </c>
    </row>
    <row r="57" spans="1:102" x14ac:dyDescent="0.2">
      <c r="A57" t="s">
        <v>5920</v>
      </c>
      <c r="B57" t="s">
        <v>219</v>
      </c>
      <c r="C57" t="s">
        <v>102</v>
      </c>
      <c r="D57">
        <f>'2012_2015 Int Confianca'!B72</f>
        <v>0.10730000000000001</v>
      </c>
      <c r="E57">
        <f>'2012_2015 Int Confianca'!C72</f>
        <v>0.14149999999999999</v>
      </c>
      <c r="F57">
        <f>'2012_2015 Int Confianca'!D72</f>
        <v>4.9599999999999998E-2</v>
      </c>
      <c r="G57">
        <f>'2012_2015 Int Confianca'!E72</f>
        <v>6.2700000000000006E-2</v>
      </c>
      <c r="H57">
        <f>'2012_2015 Int Confianca'!F72</f>
        <v>-1.09E-2</v>
      </c>
      <c r="I57">
        <f>'2012_2015 Int Confianca'!G72</f>
        <v>3.1699999999999999E-2</v>
      </c>
      <c r="J57">
        <f>'2012_2015 Int Confianca'!H72</f>
        <v>-1.0500000000000001E-2</v>
      </c>
      <c r="K57">
        <f>'2012_2015 Int Confianca'!I72</f>
        <v>-7.3000000000000001E-3</v>
      </c>
      <c r="L57">
        <f>'2012_2015 Int Confianca'!J72</f>
        <v>-1.0200000000000001E-2</v>
      </c>
      <c r="M57">
        <f>'2012_2015 Int Confianca'!K72</f>
        <v>-1.0500000000000001E-2</v>
      </c>
      <c r="N57">
        <f>'2012_2015 Int Confianca'!L72</f>
        <v>-6.8699999999999997E-2</v>
      </c>
      <c r="O57">
        <f>'2012_2015 Int Confianca'!M72</f>
        <v>-0.1278</v>
      </c>
      <c r="P57">
        <f>'2012_2015 Int Confianca'!N72</f>
        <v>-0.13120000000000001</v>
      </c>
      <c r="Q57">
        <f>'2012_2015 Int Confianca'!O72</f>
        <v>-0.106</v>
      </c>
      <c r="R57">
        <f>'2012_2015 Int Confianca'!P72</f>
        <v>-6.4799999999999996E-2</v>
      </c>
      <c r="S57">
        <f>'2012_2015 Int Confianca'!Q72</f>
        <v>-4.82E-2</v>
      </c>
      <c r="T57">
        <f>'2012_2015 Int Confianca'!R72</f>
        <v>-4.9200000000000001E-2</v>
      </c>
      <c r="U57">
        <f>'2012_2015 Int Confianca'!S72</f>
        <v>-5.0500000000000003E-2</v>
      </c>
      <c r="V57">
        <f>'2012_2015 Int Confianca'!T72</f>
        <v>-4.1399999999999999E-2</v>
      </c>
      <c r="W57">
        <f>'2012_2015 Int Confianca'!U72</f>
        <v>-3.8899999999999997E-2</v>
      </c>
      <c r="X57">
        <f>'2012_2015 Int Confianca'!V72</f>
        <v>-4.3099999999999999E-2</v>
      </c>
      <c r="Y57">
        <f>'2012_2015 Int Confianca'!W72</f>
        <v>-4.5600000000000002E-2</v>
      </c>
      <c r="Z57">
        <f>'2012_2015 Int Confianca'!X72</f>
        <v>-4.53E-2</v>
      </c>
      <c r="AA57">
        <f>'2012_2015 Int Confianca'!Y72</f>
        <v>-4.0899999999999999E-2</v>
      </c>
      <c r="AB57">
        <f>'2012_2015 Int Confianca'!Z72</f>
        <v>-3.5999999999999997E-2</v>
      </c>
      <c r="AC57">
        <f>'2012_2015 Int Confianca'!AA72</f>
        <v>-2.81E-2</v>
      </c>
      <c r="AD57">
        <f>'2012_2015 Int Confianca'!AB72</f>
        <v>-2.1299999999999999E-2</v>
      </c>
      <c r="AE57">
        <f>'2012_2015 Int Confianca'!AC72</f>
        <v>-2.4299999999999999E-2</v>
      </c>
      <c r="AF57">
        <f>'2012_2015 Int Confianca'!AD72</f>
        <v>-1.8700000000000001E-2</v>
      </c>
      <c r="AG57">
        <f>'2012_2015 Int Confianca'!AE72</f>
        <v>-1.78E-2</v>
      </c>
      <c r="AH57">
        <f>'2012_2015 Int Confianca'!AF72</f>
        <v>-1.6799999999999999E-2</v>
      </c>
      <c r="AI57">
        <f>'2012_2015 Int Confianca'!AG72</f>
        <v>-1.0500000000000001E-2</v>
      </c>
      <c r="AJ57">
        <f>'2012_2015 Int Confianca'!AH72</f>
        <v>-6.8999999999999999E-3</v>
      </c>
      <c r="AK57">
        <f>'2012_2015 Int Confianca'!AI72</f>
        <v>-3.3E-3</v>
      </c>
      <c r="AL57">
        <f>'2012_2015 Int Confianca'!AJ72</f>
        <v>-4.5999999999999999E-3</v>
      </c>
      <c r="AM57">
        <f>'2012_2015 Int Confianca'!AK72</f>
        <v>-6.8999999999999999E-3</v>
      </c>
      <c r="AN57">
        <f>'2012_2015 Int Confianca'!AL72</f>
        <v>-1.35E-2</v>
      </c>
      <c r="AO57">
        <f>'2012_2015 Int Confianca'!AM72</f>
        <v>-1.83E-2</v>
      </c>
      <c r="AP57">
        <f>'2012_2015 Int Confianca'!AN72</f>
        <v>-2.0400000000000001E-2</v>
      </c>
      <c r="AQ57">
        <f>'2012_2015 Int Confianca'!AO72</f>
        <v>-1.9699999999999999E-2</v>
      </c>
      <c r="AR57">
        <f>'2012_2015 Int Confianca'!AP72</f>
        <v>-1.7399999999999999E-2</v>
      </c>
      <c r="AS57">
        <f>'2012_2015 Int Confianca'!AQ72</f>
        <v>-1.2E-2</v>
      </c>
      <c r="AT57">
        <f>'2012_2015 Int Confianca'!AR72</f>
        <v>-9.1000000000000004E-3</v>
      </c>
      <c r="AU57">
        <f>'2012_2015 Int Confianca'!AS72</f>
        <v>-3.5000000000000001E-3</v>
      </c>
      <c r="AV57">
        <f>'2012_2015 Int Confianca'!AT72</f>
        <v>5.9999999999999995E-4</v>
      </c>
      <c r="AW57">
        <f>'2012_2015 Int Confianca'!AU72</f>
        <v>3.7000000000000002E-3</v>
      </c>
      <c r="AX57">
        <f>'2012_2015 Int Confianca'!AV72</f>
        <v>5.4999999999999997E-3</v>
      </c>
      <c r="AY57">
        <f>'2012_2015 Int Confianca'!AW72</f>
        <v>3.7000000000000002E-3</v>
      </c>
      <c r="AZ57">
        <f>'2012_2015 Int Confianca'!AX72</f>
        <v>-2.5000000000000001E-3</v>
      </c>
      <c r="BA57">
        <f>'2012_2015 Int Confianca'!AY72</f>
        <v>-3.8999999999999998E-3</v>
      </c>
      <c r="BB57">
        <f>'2012_2015 Int Confianca'!AZ72</f>
        <v>-3.5000000000000001E-3</v>
      </c>
      <c r="BC57">
        <f>'2012_2015 Int Confianca'!BA72</f>
        <v>-5.7000000000000002E-3</v>
      </c>
      <c r="BD57">
        <f>'2012_2015 Int Confianca'!BB72</f>
        <v>-5.0000000000000001E-3</v>
      </c>
      <c r="BE57">
        <f>'2012_2015 Int Confianca'!BC72</f>
        <v>-4.7999999999999996E-3</v>
      </c>
      <c r="BF57">
        <f>'2012_2015 Int Confianca'!BD72</f>
        <v>-4.4000000000000003E-3</v>
      </c>
      <c r="BG57">
        <f>'2012_2015 Int Confianca'!BE72</f>
        <v>5.9999999999999995E-4</v>
      </c>
      <c r="BH57">
        <f>'2012_2015 Int Confianca'!BF72</f>
        <v>2.3E-3</v>
      </c>
      <c r="BI57">
        <f>'2012_2015 Int Confianca'!BG72</f>
        <v>-4.0000000000000002E-4</v>
      </c>
      <c r="BJ57">
        <f>'2012_2015 Int Confianca'!BH72</f>
        <v>-4.4999999999999997E-3</v>
      </c>
      <c r="BK57">
        <f>'2012_2015 Int Confianca'!BI72</f>
        <v>-1.2999999999999999E-3</v>
      </c>
      <c r="BL57">
        <f>'2012_2015 Int Confianca'!BJ72</f>
        <v>-8.0000000000000004E-4</v>
      </c>
      <c r="BM57">
        <f>'2012_2015 Int Confianca'!BK72</f>
        <v>-4.3E-3</v>
      </c>
      <c r="BN57">
        <f>'2012_2015 Int Confianca'!BL72</f>
        <v>-6.1999999999999998E-3</v>
      </c>
      <c r="BO57">
        <f>'2012_2015 Int Confianca'!BM72</f>
        <v>-5.4999999999999997E-3</v>
      </c>
      <c r="BP57">
        <f>'2012_2015 Int Confianca'!BN72</f>
        <v>4.0000000000000002E-4</v>
      </c>
      <c r="BQ57">
        <f>'2012_2015 Int Confianca'!BO72</f>
        <v>2.0999999999999999E-3</v>
      </c>
      <c r="BR57">
        <f>'2012_2015 Int Confianca'!BP72</f>
        <v>2.3E-3</v>
      </c>
      <c r="BS57">
        <f>'2012_2015 Int Confianca'!BQ72</f>
        <v>2.7000000000000001E-3</v>
      </c>
      <c r="BT57">
        <f>'2012_2015 Int Confianca'!BR72</f>
        <v>8.5000000000000006E-3</v>
      </c>
      <c r="BU57">
        <f>'2012_2015 Int Confianca'!BS72</f>
        <v>8.2000000000000007E-3</v>
      </c>
      <c r="BV57">
        <f>'2012_2015 Int Confianca'!BT72</f>
        <v>1.17E-2</v>
      </c>
      <c r="BW57">
        <f>'2012_2015 Int Confianca'!BU72</f>
        <v>1.35E-2</v>
      </c>
      <c r="BX57">
        <f>'2012_2015 Int Confianca'!BV72</f>
        <v>7.7000000000000002E-3</v>
      </c>
      <c r="BY57">
        <f>'2012_2015 Int Confianca'!BW72</f>
        <v>6.1000000000000004E-3</v>
      </c>
      <c r="BZ57">
        <f>'2012_2015 Int Confianca'!BX72</f>
        <v>5.1000000000000004E-3</v>
      </c>
      <c r="CA57">
        <f>'2012_2015 Int Confianca'!BY72</f>
        <v>1.03E-2</v>
      </c>
      <c r="CB57">
        <f>'2012_2015 Int Confianca'!BZ72</f>
        <v>2.1499999999999998E-2</v>
      </c>
      <c r="CC57">
        <f>'2012_2015 Int Confianca'!CA72</f>
        <v>2.2200000000000001E-2</v>
      </c>
      <c r="CD57">
        <f>'2012_2015 Int Confianca'!CB72</f>
        <v>2.7E-2</v>
      </c>
      <c r="CE57">
        <f>'2012_2015 Int Confianca'!CC72</f>
        <v>2.4899999999999999E-2</v>
      </c>
      <c r="CF57">
        <f>'2012_2015 Int Confianca'!CD72</f>
        <v>2.2599999999999999E-2</v>
      </c>
      <c r="CG57">
        <f>'2012_2015 Int Confianca'!CE72</f>
        <v>3.1E-2</v>
      </c>
      <c r="CH57">
        <f>'2012_2015 Int Confianca'!CF72</f>
        <v>3.1899999999999998E-2</v>
      </c>
      <c r="CI57">
        <f>'2012_2015 Int Confianca'!CG72</f>
        <v>2.9100000000000001E-2</v>
      </c>
      <c r="CJ57">
        <f>'2012_2015 Int Confianca'!CH72</f>
        <v>3.44E-2</v>
      </c>
      <c r="CK57">
        <f>'2012_2015 Int Confianca'!CI72</f>
        <v>4.2000000000000003E-2</v>
      </c>
      <c r="CL57">
        <f>'2012_2015 Int Confianca'!CJ72</f>
        <v>4.0899999999999999E-2</v>
      </c>
      <c r="CM57">
        <f>'2012_2015 Int Confianca'!CK72</f>
        <v>3.8800000000000001E-2</v>
      </c>
      <c r="CN57">
        <f>'2012_2015 Int Confianca'!CL72</f>
        <v>5.5899999999999998E-2</v>
      </c>
      <c r="CO57">
        <f>'2012_2015 Int Confianca'!CM72</f>
        <v>6.1800000000000001E-2</v>
      </c>
      <c r="CP57">
        <f>'2012_2015 Int Confianca'!CN72</f>
        <v>4.8399999999999999E-2</v>
      </c>
      <c r="CQ57">
        <f>'2012_2015 Int Confianca'!CO72</f>
        <v>6.4299999999999996E-2</v>
      </c>
      <c r="CR57">
        <f>'2012_2015 Int Confianca'!CP72</f>
        <v>7.8100000000000003E-2</v>
      </c>
      <c r="CS57">
        <f>'2012_2015 Int Confianca'!CQ72</f>
        <v>5.9499999999999997E-2</v>
      </c>
      <c r="CT57">
        <f>'2012_2015 Int Confianca'!CR72</f>
        <v>7.6700000000000004E-2</v>
      </c>
      <c r="CU57">
        <f>'2012_2015 Int Confianca'!CS72</f>
        <v>7.2700000000000001E-2</v>
      </c>
      <c r="CV57">
        <f>'2012_2015 Int Confianca'!CT72</f>
        <v>8.2500000000000004E-2</v>
      </c>
      <c r="CW57">
        <f>'2012_2015 Int Confianca'!CU72</f>
        <v>9.5200000000000007E-2</v>
      </c>
      <c r="CX57">
        <f>'2012_2015 Int Confianca'!CV72</f>
        <v>0.1106</v>
      </c>
    </row>
    <row r="58" spans="1:102" x14ac:dyDescent="0.2">
      <c r="A58" t="s">
        <v>5921</v>
      </c>
      <c r="B58" t="s">
        <v>219</v>
      </c>
      <c r="C58" t="s">
        <v>102</v>
      </c>
      <c r="D58">
        <f>'2012_2015 Int Confianca'!B73</f>
        <v>-2.1100000000000001E-2</v>
      </c>
      <c r="E58">
        <f>'2012_2015 Int Confianca'!C73</f>
        <v>-1.9400000000000001E-2</v>
      </c>
      <c r="F58">
        <f>'2012_2015 Int Confianca'!D73</f>
        <v>-1.8E-3</v>
      </c>
      <c r="G58">
        <f>'2012_2015 Int Confianca'!E73</f>
        <v>3.0999999999999999E-3</v>
      </c>
      <c r="H58">
        <f>'2012_2015 Int Confianca'!F73</f>
        <v>4.4000000000000003E-3</v>
      </c>
      <c r="I58">
        <f>'2012_2015 Int Confianca'!G73</f>
        <v>-2.3E-3</v>
      </c>
      <c r="J58">
        <f>'2012_2015 Int Confianca'!H73</f>
        <v>-1.8E-3</v>
      </c>
      <c r="K58">
        <f>'2012_2015 Int Confianca'!I73</f>
        <v>-5.4999999999999997E-3</v>
      </c>
      <c r="L58">
        <f>'2012_2015 Int Confianca'!J73</f>
        <v>-6.9999999999999999E-4</v>
      </c>
      <c r="M58">
        <f>'2012_2015 Int Confianca'!K73</f>
        <v>-5.9999999999999995E-4</v>
      </c>
      <c r="N58">
        <f>'2012_2015 Int Confianca'!L73</f>
        <v>-1E-4</v>
      </c>
      <c r="O58">
        <f>'2012_2015 Int Confianca'!M73</f>
        <v>1E-4</v>
      </c>
      <c r="P58">
        <f>'2012_2015 Int Confianca'!N73</f>
        <v>-6.9999999999999999E-4</v>
      </c>
      <c r="Q58">
        <f>'2012_2015 Int Confianca'!O73</f>
        <v>-8.0000000000000004E-4</v>
      </c>
      <c r="R58">
        <f>'2012_2015 Int Confianca'!P73</f>
        <v>4.7999999999999996E-3</v>
      </c>
      <c r="S58">
        <f>'2012_2015 Int Confianca'!Q73</f>
        <v>6.0000000000000001E-3</v>
      </c>
      <c r="T58">
        <f>'2012_2015 Int Confianca'!R73</f>
        <v>-1.4E-3</v>
      </c>
      <c r="U58">
        <f>'2012_2015 Int Confianca'!S73</f>
        <v>6.9999999999999999E-4</v>
      </c>
      <c r="V58">
        <f>'2012_2015 Int Confianca'!T73</f>
        <v>2.5999999999999999E-3</v>
      </c>
      <c r="W58">
        <f>'2012_2015 Int Confianca'!U73</f>
        <v>3.3999999999999998E-3</v>
      </c>
      <c r="X58">
        <f>'2012_2015 Int Confianca'!V73</f>
        <v>4.7999999999999996E-3</v>
      </c>
      <c r="Y58">
        <f>'2012_2015 Int Confianca'!W73</f>
        <v>3.2000000000000002E-3</v>
      </c>
      <c r="Z58">
        <f>'2012_2015 Int Confianca'!X73</f>
        <v>3.8E-3</v>
      </c>
      <c r="AA58">
        <f>'2012_2015 Int Confianca'!Y73</f>
        <v>1.4E-3</v>
      </c>
      <c r="AB58">
        <f>'2012_2015 Int Confianca'!Z73</f>
        <v>2.0000000000000001E-4</v>
      </c>
      <c r="AC58">
        <f>'2012_2015 Int Confianca'!AA73</f>
        <v>-1.6999999999999999E-3</v>
      </c>
      <c r="AD58">
        <f>'2012_2015 Int Confianca'!AB73</f>
        <v>5.0000000000000001E-4</v>
      </c>
      <c r="AE58">
        <f>'2012_2015 Int Confianca'!AC73</f>
        <v>1.1000000000000001E-3</v>
      </c>
      <c r="AF58">
        <f>'2012_2015 Int Confianca'!AD73</f>
        <v>-2.2000000000000001E-3</v>
      </c>
      <c r="AG58">
        <f>'2012_2015 Int Confianca'!AE73</f>
        <v>5.4000000000000003E-3</v>
      </c>
      <c r="AH58">
        <f>'2012_2015 Int Confianca'!AF73</f>
        <v>2.8999999999999998E-3</v>
      </c>
      <c r="AI58">
        <f>'2012_2015 Int Confianca'!AG73</f>
        <v>-1.2999999999999999E-3</v>
      </c>
      <c r="AJ58">
        <f>'2012_2015 Int Confianca'!AH73</f>
        <v>4.0000000000000002E-4</v>
      </c>
      <c r="AK58">
        <f>'2012_2015 Int Confianca'!AI73</f>
        <v>-3.5000000000000001E-3</v>
      </c>
      <c r="AL58">
        <f>'2012_2015 Int Confianca'!AJ73</f>
        <v>-1.2999999999999999E-3</v>
      </c>
      <c r="AM58">
        <f>'2012_2015 Int Confianca'!AK73</f>
        <v>3.2000000000000002E-3</v>
      </c>
      <c r="AN58">
        <f>'2012_2015 Int Confianca'!AL73</f>
        <v>-2.8E-3</v>
      </c>
      <c r="AO58">
        <f>'2012_2015 Int Confianca'!AM73</f>
        <v>-1.1000000000000001E-3</v>
      </c>
      <c r="AP58">
        <f>'2012_2015 Int Confianca'!AN73</f>
        <v>-3.0999999999999999E-3</v>
      </c>
      <c r="AQ58">
        <f>'2012_2015 Int Confianca'!AO73</f>
        <v>-1.1000000000000001E-3</v>
      </c>
      <c r="AR58">
        <f>'2012_2015 Int Confianca'!AP73</f>
        <v>-6.0000000000000001E-3</v>
      </c>
      <c r="AS58">
        <f>'2012_2015 Int Confianca'!AQ73</f>
        <v>2.9999999999999997E-4</v>
      </c>
      <c r="AT58">
        <f>'2012_2015 Int Confianca'!AR73</f>
        <v>-5.9999999999999995E-4</v>
      </c>
      <c r="AU58">
        <f>'2012_2015 Int Confianca'!AS73</f>
        <v>-8.0000000000000004E-4</v>
      </c>
      <c r="AV58">
        <f>'2012_2015 Int Confianca'!AT73</f>
        <v>-9.1000000000000004E-3</v>
      </c>
      <c r="AW58">
        <f>'2012_2015 Int Confianca'!AU73</f>
        <v>-3.5000000000000001E-3</v>
      </c>
      <c r="AX58">
        <f>'2012_2015 Int Confianca'!AV73</f>
        <v>-7.6E-3</v>
      </c>
      <c r="AY58">
        <f>'2012_2015 Int Confianca'!AW73</f>
        <v>-3.3E-3</v>
      </c>
      <c r="AZ58">
        <f>'2012_2015 Int Confianca'!AX73</f>
        <v>-1.9E-3</v>
      </c>
      <c r="BA58">
        <f>'2012_2015 Int Confianca'!AY73</f>
        <v>-4.4999999999999997E-3</v>
      </c>
      <c r="BB58">
        <f>'2012_2015 Int Confianca'!AZ73</f>
        <v>-3.5000000000000001E-3</v>
      </c>
      <c r="BC58">
        <f>'2012_2015 Int Confianca'!BA73</f>
        <v>-3.2000000000000002E-3</v>
      </c>
      <c r="BD58">
        <f>'2012_2015 Int Confianca'!BB73</f>
        <v>-3.7000000000000002E-3</v>
      </c>
      <c r="BE58">
        <f>'2012_2015 Int Confianca'!BC73</f>
        <v>1.4E-3</v>
      </c>
      <c r="BF58">
        <f>'2012_2015 Int Confianca'!BD73</f>
        <v>-4.5999999999999999E-3</v>
      </c>
      <c r="BG58">
        <f>'2012_2015 Int Confianca'!BE73</f>
        <v>-2.3E-3</v>
      </c>
      <c r="BH58">
        <f>'2012_2015 Int Confianca'!BF73</f>
        <v>-6.0000000000000001E-3</v>
      </c>
      <c r="BI58">
        <f>'2012_2015 Int Confianca'!BG73</f>
        <v>-4.4999999999999997E-3</v>
      </c>
      <c r="BJ58">
        <f>'2012_2015 Int Confianca'!BH73</f>
        <v>-1.2500000000000001E-2</v>
      </c>
      <c r="BK58">
        <f>'2012_2015 Int Confianca'!BI73</f>
        <v>3.0999999999999999E-3</v>
      </c>
      <c r="BL58">
        <f>'2012_2015 Int Confianca'!BJ73</f>
        <v>-5.7999999999999996E-3</v>
      </c>
      <c r="BM58">
        <f>'2012_2015 Int Confianca'!BK73</f>
        <v>-1.2999999999999999E-3</v>
      </c>
      <c r="BN58">
        <f>'2012_2015 Int Confianca'!BL73</f>
        <v>-5.9999999999999995E-4</v>
      </c>
      <c r="BO58">
        <f>'2012_2015 Int Confianca'!BM73</f>
        <v>4.0000000000000002E-4</v>
      </c>
      <c r="BP58">
        <f>'2012_2015 Int Confianca'!BN73</f>
        <v>-1.8E-3</v>
      </c>
      <c r="BQ58">
        <f>'2012_2015 Int Confianca'!BO73</f>
        <v>1.6000000000000001E-3</v>
      </c>
      <c r="BR58">
        <f>'2012_2015 Int Confianca'!BP73</f>
        <v>-3.0999999999999999E-3</v>
      </c>
      <c r="BS58">
        <f>'2012_2015 Int Confianca'!BQ73</f>
        <v>-7.6E-3</v>
      </c>
      <c r="BT58">
        <f>'2012_2015 Int Confianca'!BR73</f>
        <v>-1.4E-3</v>
      </c>
      <c r="BU58">
        <f>'2012_2015 Int Confianca'!BS73</f>
        <v>-5.1999999999999998E-3</v>
      </c>
      <c r="BV58">
        <f>'2012_2015 Int Confianca'!BT73</f>
        <v>-4.1999999999999997E-3</v>
      </c>
      <c r="BW58">
        <f>'2012_2015 Int Confianca'!BU73</f>
        <v>-7.9000000000000008E-3</v>
      </c>
      <c r="BX58">
        <f>'2012_2015 Int Confianca'!BV73</f>
        <v>-4.4999999999999997E-3</v>
      </c>
      <c r="BY58">
        <f>'2012_2015 Int Confianca'!BW73</f>
        <v>-6.1999999999999998E-3</v>
      </c>
      <c r="BZ58">
        <f>'2012_2015 Int Confianca'!BX73</f>
        <v>-4.3E-3</v>
      </c>
      <c r="CA58">
        <f>'2012_2015 Int Confianca'!BY73</f>
        <v>-0.01</v>
      </c>
      <c r="CB58">
        <f>'2012_2015 Int Confianca'!BZ73</f>
        <v>8.8999999999999999E-3</v>
      </c>
      <c r="CC58">
        <f>'2012_2015 Int Confianca'!CA73</f>
        <v>7.6E-3</v>
      </c>
      <c r="CD58">
        <f>'2012_2015 Int Confianca'!CB73</f>
        <v>-3.2000000000000002E-3</v>
      </c>
      <c r="CE58">
        <f>'2012_2015 Int Confianca'!CC73</f>
        <v>-7.4999999999999997E-3</v>
      </c>
      <c r="CF58">
        <f>'2012_2015 Int Confianca'!CD73</f>
        <v>-7.4000000000000003E-3</v>
      </c>
      <c r="CG58">
        <f>'2012_2015 Int Confianca'!CE73</f>
        <v>-6.0000000000000001E-3</v>
      </c>
      <c r="CH58">
        <f>'2012_2015 Int Confianca'!CF73</f>
        <v>-1.9E-3</v>
      </c>
      <c r="CI58">
        <f>'2012_2015 Int Confianca'!CG73</f>
        <v>-3.8999999999999998E-3</v>
      </c>
      <c r="CJ58">
        <f>'2012_2015 Int Confianca'!CH73</f>
        <v>-7.4000000000000003E-3</v>
      </c>
      <c r="CK58">
        <f>'2012_2015 Int Confianca'!CI73</f>
        <v>-1E-3</v>
      </c>
      <c r="CL58">
        <f>'2012_2015 Int Confianca'!CJ73</f>
        <v>4.7000000000000002E-3</v>
      </c>
      <c r="CM58">
        <f>'2012_2015 Int Confianca'!CK73</f>
        <v>-8.9999999999999993E-3</v>
      </c>
      <c r="CN58">
        <f>'2012_2015 Int Confianca'!CL73</f>
        <v>-3.3999999999999998E-3</v>
      </c>
      <c r="CO58">
        <f>'2012_2015 Int Confianca'!CM73</f>
        <v>-9.7000000000000003E-3</v>
      </c>
      <c r="CP58">
        <f>'2012_2015 Int Confianca'!CN73</f>
        <v>-3.2000000000000002E-3</v>
      </c>
      <c r="CQ58">
        <f>'2012_2015 Int Confianca'!CO73</f>
        <v>-2.3E-3</v>
      </c>
      <c r="CR58">
        <f>'2012_2015 Int Confianca'!CP73</f>
        <v>1.9E-3</v>
      </c>
      <c r="CS58">
        <f>'2012_2015 Int Confianca'!CQ73</f>
        <v>-1.2999999999999999E-3</v>
      </c>
      <c r="CT58">
        <f>'2012_2015 Int Confianca'!CR73</f>
        <v>-1.1000000000000001E-3</v>
      </c>
      <c r="CU58">
        <f>'2012_2015 Int Confianca'!CS73</f>
        <v>-1.44E-2</v>
      </c>
      <c r="CV58">
        <f>'2012_2015 Int Confianca'!CT73</f>
        <v>-8.3000000000000001E-3</v>
      </c>
      <c r="CW58">
        <f>'2012_2015 Int Confianca'!CU73</f>
        <v>-1.7399999999999999E-2</v>
      </c>
      <c r="CX58">
        <f>'2012_2015 Int Confianca'!CV73</f>
        <v>-1.06E-2</v>
      </c>
    </row>
    <row r="59" spans="1:102" x14ac:dyDescent="0.2">
      <c r="A59" t="s">
        <v>5922</v>
      </c>
      <c r="B59" t="s">
        <v>219</v>
      </c>
      <c r="C59" t="s">
        <v>102</v>
      </c>
      <c r="D59">
        <f>'2012_2015 Int Confianca'!B74</f>
        <v>1.03E-2</v>
      </c>
      <c r="E59">
        <f>'2012_2015 Int Confianca'!C74</f>
        <v>1.4200000000000001E-2</v>
      </c>
      <c r="F59">
        <f>'2012_2015 Int Confianca'!D74</f>
        <v>2.4400000000000002E-2</v>
      </c>
      <c r="G59">
        <f>'2012_2015 Int Confianca'!E74</f>
        <v>2.6599999999999999E-2</v>
      </c>
      <c r="H59">
        <f>'2012_2015 Int Confianca'!F74</f>
        <v>2.3599999999999999E-2</v>
      </c>
      <c r="I59">
        <f>'2012_2015 Int Confianca'!G74</f>
        <v>1.7600000000000001E-2</v>
      </c>
      <c r="J59">
        <f>'2012_2015 Int Confianca'!H74</f>
        <v>1.61E-2</v>
      </c>
      <c r="K59">
        <f>'2012_2015 Int Confianca'!I74</f>
        <v>1.09E-2</v>
      </c>
      <c r="L59">
        <f>'2012_2015 Int Confianca'!J74</f>
        <v>1.52E-2</v>
      </c>
      <c r="M59">
        <f>'2012_2015 Int Confianca'!K74</f>
        <v>1.21E-2</v>
      </c>
      <c r="N59">
        <f>'2012_2015 Int Confianca'!L74</f>
        <v>1.0999999999999999E-2</v>
      </c>
      <c r="O59">
        <f>'2012_2015 Int Confianca'!M74</f>
        <v>9.7000000000000003E-3</v>
      </c>
      <c r="P59">
        <f>'2012_2015 Int Confianca'!N74</f>
        <v>7.9000000000000008E-3</v>
      </c>
      <c r="Q59">
        <f>'2012_2015 Int Confianca'!O74</f>
        <v>7.1999999999999998E-3</v>
      </c>
      <c r="R59">
        <f>'2012_2015 Int Confianca'!P74</f>
        <v>1.18E-2</v>
      </c>
      <c r="S59">
        <f>'2012_2015 Int Confianca'!Q74</f>
        <v>1.23E-2</v>
      </c>
      <c r="T59">
        <f>'2012_2015 Int Confianca'!R74</f>
        <v>4.5999999999999999E-3</v>
      </c>
      <c r="U59">
        <f>'2012_2015 Int Confianca'!S74</f>
        <v>6.4999999999999997E-3</v>
      </c>
      <c r="V59">
        <f>'2012_2015 Int Confianca'!T74</f>
        <v>8.2000000000000007E-3</v>
      </c>
      <c r="W59">
        <f>'2012_2015 Int Confianca'!U74</f>
        <v>8.9999999999999993E-3</v>
      </c>
      <c r="X59">
        <f>'2012_2015 Int Confianca'!V74</f>
        <v>1.01E-2</v>
      </c>
      <c r="Y59">
        <f>'2012_2015 Int Confianca'!W74</f>
        <v>8.3999999999999995E-3</v>
      </c>
      <c r="Z59">
        <f>'2012_2015 Int Confianca'!X74</f>
        <v>8.8999999999999999E-3</v>
      </c>
      <c r="AA59">
        <f>'2012_2015 Int Confianca'!Y74</f>
        <v>6.4999999999999997E-3</v>
      </c>
      <c r="AB59">
        <f>'2012_2015 Int Confianca'!Z74</f>
        <v>5.3E-3</v>
      </c>
      <c r="AC59">
        <f>'2012_2015 Int Confianca'!AA74</f>
        <v>3.3999999999999998E-3</v>
      </c>
      <c r="AD59">
        <f>'2012_2015 Int Confianca'!AB74</f>
        <v>5.5999999999999999E-3</v>
      </c>
      <c r="AE59">
        <f>'2012_2015 Int Confianca'!AC74</f>
        <v>6.1999999999999998E-3</v>
      </c>
      <c r="AF59">
        <f>'2012_2015 Int Confianca'!AD74</f>
        <v>2.8999999999999998E-3</v>
      </c>
      <c r="AG59">
        <f>'2012_2015 Int Confianca'!AE74</f>
        <v>1.06E-2</v>
      </c>
      <c r="AH59">
        <f>'2012_2015 Int Confianca'!AF74</f>
        <v>8.2000000000000007E-3</v>
      </c>
      <c r="AI59">
        <f>'2012_2015 Int Confianca'!AG74</f>
        <v>4.1999999999999997E-3</v>
      </c>
      <c r="AJ59">
        <f>'2012_2015 Int Confianca'!AH74</f>
        <v>6.1999999999999998E-3</v>
      </c>
      <c r="AK59">
        <f>'2012_2015 Int Confianca'!AI74</f>
        <v>2.5999999999999999E-3</v>
      </c>
      <c r="AL59">
        <f>'2012_2015 Int Confianca'!AJ74</f>
        <v>4.8999999999999998E-3</v>
      </c>
      <c r="AM59">
        <f>'2012_2015 Int Confianca'!AK74</f>
        <v>9.5999999999999992E-3</v>
      </c>
      <c r="AN59">
        <f>'2012_2015 Int Confianca'!AL74</f>
        <v>3.5999999999999999E-3</v>
      </c>
      <c r="AO59">
        <f>'2012_2015 Int Confianca'!AM74</f>
        <v>5.4999999999999997E-3</v>
      </c>
      <c r="AP59">
        <f>'2012_2015 Int Confianca'!AN74</f>
        <v>3.3999999999999998E-3</v>
      </c>
      <c r="AQ59">
        <f>'2012_2015 Int Confianca'!AO74</f>
        <v>5.4000000000000003E-3</v>
      </c>
      <c r="AR59">
        <f>'2012_2015 Int Confianca'!AP74</f>
        <v>5.0000000000000001E-4</v>
      </c>
      <c r="AS59">
        <f>'2012_2015 Int Confianca'!AQ74</f>
        <v>6.8999999999999999E-3</v>
      </c>
      <c r="AT59">
        <f>'2012_2015 Int Confianca'!AR74</f>
        <v>6.0000000000000001E-3</v>
      </c>
      <c r="AU59">
        <f>'2012_2015 Int Confianca'!AS74</f>
        <v>5.8999999999999999E-3</v>
      </c>
      <c r="AV59">
        <f>'2012_2015 Int Confianca'!AT74</f>
        <v>-2.5000000000000001E-3</v>
      </c>
      <c r="AW59">
        <f>'2012_2015 Int Confianca'!AU74</f>
        <v>3.2000000000000002E-3</v>
      </c>
      <c r="AX59">
        <f>'2012_2015 Int Confianca'!AV74</f>
        <v>-6.9999999999999999E-4</v>
      </c>
      <c r="AY59">
        <f>'2012_2015 Int Confianca'!AW74</f>
        <v>3.8E-3</v>
      </c>
      <c r="AZ59">
        <f>'2012_2015 Int Confianca'!AX74</f>
        <v>5.1999999999999998E-3</v>
      </c>
      <c r="BA59">
        <f>'2012_2015 Int Confianca'!AY74</f>
        <v>2.8E-3</v>
      </c>
      <c r="BB59">
        <f>'2012_2015 Int Confianca'!AZ74</f>
        <v>3.8999999999999998E-3</v>
      </c>
      <c r="BC59">
        <f>'2012_2015 Int Confianca'!BA74</f>
        <v>4.3E-3</v>
      </c>
      <c r="BD59">
        <f>'2012_2015 Int Confianca'!BB74</f>
        <v>4.0000000000000001E-3</v>
      </c>
      <c r="BE59">
        <f>'2012_2015 Int Confianca'!BC74</f>
        <v>9.1999999999999998E-3</v>
      </c>
      <c r="BF59">
        <f>'2012_2015 Int Confianca'!BD74</f>
        <v>3.2000000000000002E-3</v>
      </c>
      <c r="BG59">
        <f>'2012_2015 Int Confianca'!BE74</f>
        <v>5.5999999999999999E-3</v>
      </c>
      <c r="BH59">
        <f>'2012_2015 Int Confianca'!BF74</f>
        <v>1.8E-3</v>
      </c>
      <c r="BI59">
        <f>'2012_2015 Int Confianca'!BG74</f>
        <v>3.3999999999999998E-3</v>
      </c>
      <c r="BJ59">
        <f>'2012_2015 Int Confianca'!BH74</f>
        <v>-4.5999999999999999E-3</v>
      </c>
      <c r="BK59">
        <f>'2012_2015 Int Confianca'!BI74</f>
        <v>1.11E-2</v>
      </c>
      <c r="BL59">
        <f>'2012_2015 Int Confianca'!BJ74</f>
        <v>2.2000000000000001E-3</v>
      </c>
      <c r="BM59">
        <f>'2012_2015 Int Confianca'!BK74</f>
        <v>6.8999999999999999E-3</v>
      </c>
      <c r="BN59">
        <f>'2012_2015 Int Confianca'!BL74</f>
        <v>7.7999999999999996E-3</v>
      </c>
      <c r="BO59">
        <f>'2012_2015 Int Confianca'!BM74</f>
        <v>8.9999999999999993E-3</v>
      </c>
      <c r="BP59">
        <f>'2012_2015 Int Confianca'!BN74</f>
        <v>6.7999999999999996E-3</v>
      </c>
      <c r="BQ59">
        <f>'2012_2015 Int Confianca'!BO74</f>
        <v>1.03E-2</v>
      </c>
      <c r="BR59">
        <f>'2012_2015 Int Confianca'!BP74</f>
        <v>5.5999999999999999E-3</v>
      </c>
      <c r="BS59">
        <f>'2012_2015 Int Confianca'!BQ74</f>
        <v>1.2999999999999999E-3</v>
      </c>
      <c r="BT59">
        <f>'2012_2015 Int Confianca'!BR74</f>
        <v>7.6E-3</v>
      </c>
      <c r="BU59">
        <f>'2012_2015 Int Confianca'!BS74</f>
        <v>4.1000000000000003E-3</v>
      </c>
      <c r="BV59">
        <f>'2012_2015 Int Confianca'!BT74</f>
        <v>5.5999999999999999E-3</v>
      </c>
      <c r="BW59">
        <f>'2012_2015 Int Confianca'!BU74</f>
        <v>2.5999999999999999E-3</v>
      </c>
      <c r="BX59">
        <f>'2012_2015 Int Confianca'!BV74</f>
        <v>6.1999999999999998E-3</v>
      </c>
      <c r="BY59">
        <f>'2012_2015 Int Confianca'!BW74</f>
        <v>4.5999999999999999E-3</v>
      </c>
      <c r="BZ59">
        <f>'2012_2015 Int Confianca'!BX74</f>
        <v>6.0000000000000001E-3</v>
      </c>
      <c r="CA59">
        <f>'2012_2015 Int Confianca'!BY74</f>
        <v>2.9999999999999997E-4</v>
      </c>
      <c r="CB59">
        <f>'2012_2015 Int Confianca'!BZ74</f>
        <v>1.9099999999999999E-2</v>
      </c>
      <c r="CC59">
        <f>'2012_2015 Int Confianca'!CA74</f>
        <v>1.8100000000000002E-2</v>
      </c>
      <c r="CD59">
        <f>'2012_2015 Int Confianca'!CB74</f>
        <v>8.0000000000000002E-3</v>
      </c>
      <c r="CE59">
        <f>'2012_2015 Int Confianca'!CC74</f>
        <v>5.4999999999999997E-3</v>
      </c>
      <c r="CF59">
        <f>'2012_2015 Int Confianca'!CD74</f>
        <v>6.4000000000000003E-3</v>
      </c>
      <c r="CG59">
        <f>'2012_2015 Int Confianca'!CE74</f>
        <v>7.3000000000000001E-3</v>
      </c>
      <c r="CH59">
        <f>'2012_2015 Int Confianca'!CF74</f>
        <v>1.09E-2</v>
      </c>
      <c r="CI59">
        <f>'2012_2015 Int Confianca'!CG74</f>
        <v>8.8999999999999999E-3</v>
      </c>
      <c r="CJ59">
        <f>'2012_2015 Int Confianca'!CH74</f>
        <v>6.3E-3</v>
      </c>
      <c r="CK59">
        <f>'2012_2015 Int Confianca'!CI74</f>
        <v>1.43E-2</v>
      </c>
      <c r="CL59">
        <f>'2012_2015 Int Confianca'!CJ74</f>
        <v>1.9900000000000001E-2</v>
      </c>
      <c r="CM59">
        <f>'2012_2015 Int Confianca'!CK74</f>
        <v>6.4000000000000003E-3</v>
      </c>
      <c r="CN59">
        <f>'2012_2015 Int Confianca'!CL74</f>
        <v>1.43E-2</v>
      </c>
      <c r="CO59">
        <f>'2012_2015 Int Confianca'!CM74</f>
        <v>8.6E-3</v>
      </c>
      <c r="CP59">
        <f>'2012_2015 Int Confianca'!CN74</f>
        <v>1.35E-2</v>
      </c>
      <c r="CQ59">
        <f>'2012_2015 Int Confianca'!CO74</f>
        <v>1.6199999999999999E-2</v>
      </c>
      <c r="CR59">
        <f>'2012_2015 Int Confianca'!CP74</f>
        <v>2.52E-2</v>
      </c>
      <c r="CS59">
        <f>'2012_2015 Int Confianca'!CQ74</f>
        <v>1.9099999999999999E-2</v>
      </c>
      <c r="CT59">
        <f>'2012_2015 Int Confianca'!CR74</f>
        <v>2.5499999999999998E-2</v>
      </c>
      <c r="CU59">
        <f>'2012_2015 Int Confianca'!CS74</f>
        <v>1.18E-2</v>
      </c>
      <c r="CV59">
        <f>'2012_2015 Int Confianca'!CT74</f>
        <v>2.2800000000000001E-2</v>
      </c>
      <c r="CW59">
        <f>'2012_2015 Int Confianca'!CU74</f>
        <v>1.9099999999999999E-2</v>
      </c>
      <c r="CX59">
        <f>'2012_2015 Int Confianca'!CV74</f>
        <v>3.78E-2</v>
      </c>
    </row>
    <row r="60" spans="1:102" x14ac:dyDescent="0.2">
      <c r="A60" t="s">
        <v>5923</v>
      </c>
      <c r="B60" t="s">
        <v>219</v>
      </c>
      <c r="C60" t="s">
        <v>102</v>
      </c>
      <c r="D60">
        <f>'2012_2015 Int Confianca'!B75</f>
        <v>-7.6799999999999993E-2</v>
      </c>
      <c r="E60">
        <f>'2012_2015 Int Confianca'!C75</f>
        <v>-0.15409999999999999</v>
      </c>
      <c r="F60">
        <f>'2012_2015 Int Confianca'!D75</f>
        <v>-0.1222</v>
      </c>
      <c r="G60">
        <f>'2012_2015 Int Confianca'!E75</f>
        <v>-0.20180000000000001</v>
      </c>
      <c r="H60">
        <f>'2012_2015 Int Confianca'!F75</f>
        <v>-0.16489999999999999</v>
      </c>
      <c r="I60">
        <f>'2012_2015 Int Confianca'!G75</f>
        <v>-0.17</v>
      </c>
      <c r="J60">
        <f>'2012_2015 Int Confianca'!H75</f>
        <v>-0.1855</v>
      </c>
      <c r="K60">
        <f>'2012_2015 Int Confianca'!I75</f>
        <v>-0.1454</v>
      </c>
      <c r="L60">
        <f>'2012_2015 Int Confianca'!J75</f>
        <v>-0.14319999999999999</v>
      </c>
      <c r="M60">
        <f>'2012_2015 Int Confianca'!K75</f>
        <v>-0.1057</v>
      </c>
      <c r="N60">
        <f>'2012_2015 Int Confianca'!L75</f>
        <v>-9.69E-2</v>
      </c>
      <c r="O60">
        <f>'2012_2015 Int Confianca'!M75</f>
        <v>-8.0100000000000005E-2</v>
      </c>
      <c r="P60">
        <f>'2012_2015 Int Confianca'!N75</f>
        <v>-6.9099999999999995E-2</v>
      </c>
      <c r="Q60">
        <f>'2012_2015 Int Confianca'!O75</f>
        <v>-5.8200000000000002E-2</v>
      </c>
      <c r="R60">
        <f>'2012_2015 Int Confianca'!P75</f>
        <v>-4.7699999999999999E-2</v>
      </c>
      <c r="S60">
        <f>'2012_2015 Int Confianca'!Q75</f>
        <v>-4.3700000000000003E-2</v>
      </c>
      <c r="T60">
        <f>'2012_2015 Int Confianca'!R75</f>
        <v>-3.9399999999999998E-2</v>
      </c>
      <c r="U60">
        <f>'2012_2015 Int Confianca'!S75</f>
        <v>-3.9300000000000002E-2</v>
      </c>
      <c r="V60">
        <f>'2012_2015 Int Confianca'!T75</f>
        <v>-3.8899999999999997E-2</v>
      </c>
      <c r="W60">
        <f>'2012_2015 Int Confianca'!U75</f>
        <v>-3.9699999999999999E-2</v>
      </c>
      <c r="X60">
        <f>'2012_2015 Int Confianca'!V75</f>
        <v>-3.49E-2</v>
      </c>
      <c r="Y60">
        <f>'2012_2015 Int Confianca'!W75</f>
        <v>-3.5400000000000001E-2</v>
      </c>
      <c r="Z60">
        <f>'2012_2015 Int Confianca'!X75</f>
        <v>-3.0800000000000001E-2</v>
      </c>
      <c r="AA60">
        <f>'2012_2015 Int Confianca'!Y75</f>
        <v>-3.09E-2</v>
      </c>
      <c r="AB60">
        <f>'2012_2015 Int Confianca'!Z75</f>
        <v>-3.09E-2</v>
      </c>
      <c r="AC60">
        <f>'2012_2015 Int Confianca'!AA75</f>
        <v>-3.0499999999999999E-2</v>
      </c>
      <c r="AD60">
        <f>'2012_2015 Int Confianca'!AB75</f>
        <v>-2.98E-2</v>
      </c>
      <c r="AE60">
        <f>'2012_2015 Int Confianca'!AC75</f>
        <v>-2.86E-2</v>
      </c>
      <c r="AF60">
        <f>'2012_2015 Int Confianca'!AD75</f>
        <v>-0.03</v>
      </c>
      <c r="AG60">
        <f>'2012_2015 Int Confianca'!AE75</f>
        <v>-3.0599999999999999E-2</v>
      </c>
      <c r="AH60">
        <f>'2012_2015 Int Confianca'!AF75</f>
        <v>-3.3500000000000002E-2</v>
      </c>
      <c r="AI60">
        <f>'2012_2015 Int Confianca'!AG75</f>
        <v>-3.5099999999999999E-2</v>
      </c>
      <c r="AJ60">
        <f>'2012_2015 Int Confianca'!AH75</f>
        <v>-3.2399999999999998E-2</v>
      </c>
      <c r="AK60">
        <f>'2012_2015 Int Confianca'!AI75</f>
        <v>-1.95E-2</v>
      </c>
      <c r="AL60">
        <f>'2012_2015 Int Confianca'!AJ75</f>
        <v>-2.29E-2</v>
      </c>
      <c r="AM60">
        <f>'2012_2015 Int Confianca'!AK75</f>
        <v>-2.4199999999999999E-2</v>
      </c>
      <c r="AN60">
        <f>'2012_2015 Int Confianca'!AL75</f>
        <v>-2.5700000000000001E-2</v>
      </c>
      <c r="AO60">
        <f>'2012_2015 Int Confianca'!AM75</f>
        <v>-2.5999999999999999E-2</v>
      </c>
      <c r="AP60">
        <f>'2012_2015 Int Confianca'!AN75</f>
        <v>-1.95E-2</v>
      </c>
      <c r="AQ60">
        <f>'2012_2015 Int Confianca'!AO75</f>
        <v>-1.9E-2</v>
      </c>
      <c r="AR60">
        <f>'2012_2015 Int Confianca'!AP75</f>
        <v>-1.83E-2</v>
      </c>
      <c r="AS60">
        <f>'2012_2015 Int Confianca'!AQ75</f>
        <v>-2.5399999999999999E-2</v>
      </c>
      <c r="AT60">
        <f>'2012_2015 Int Confianca'!AR75</f>
        <v>-2.5000000000000001E-2</v>
      </c>
      <c r="AU60">
        <f>'2012_2015 Int Confianca'!AS75</f>
        <v>-2.3800000000000002E-2</v>
      </c>
      <c r="AV60">
        <f>'2012_2015 Int Confianca'!AT75</f>
        <v>-2.5100000000000001E-2</v>
      </c>
      <c r="AW60">
        <f>'2012_2015 Int Confianca'!AU75</f>
        <v>-2.63E-2</v>
      </c>
      <c r="AX60">
        <f>'2012_2015 Int Confianca'!AV75</f>
        <v>-0.03</v>
      </c>
      <c r="AY60">
        <f>'2012_2015 Int Confianca'!AW75</f>
        <v>-3.04E-2</v>
      </c>
      <c r="AZ60">
        <f>'2012_2015 Int Confianca'!AX75</f>
        <v>-3.5099999999999999E-2</v>
      </c>
      <c r="BA60">
        <f>'2012_2015 Int Confianca'!AY75</f>
        <v>-4.19E-2</v>
      </c>
      <c r="BB60">
        <f>'2012_2015 Int Confianca'!AZ75</f>
        <v>-4.2900000000000001E-2</v>
      </c>
      <c r="BC60">
        <f>'2012_2015 Int Confianca'!BA75</f>
        <v>-4.3799999999999999E-2</v>
      </c>
      <c r="BD60">
        <f>'2012_2015 Int Confianca'!BB75</f>
        <v>-4.6800000000000001E-2</v>
      </c>
      <c r="BE60">
        <f>'2012_2015 Int Confianca'!BC75</f>
        <v>-4.41E-2</v>
      </c>
      <c r="BF60">
        <f>'2012_2015 Int Confianca'!BD75</f>
        <v>-4.7300000000000002E-2</v>
      </c>
      <c r="BG60">
        <f>'2012_2015 Int Confianca'!BE75</f>
        <v>-4.8500000000000001E-2</v>
      </c>
      <c r="BH60">
        <f>'2012_2015 Int Confianca'!BF75</f>
        <v>-5.1400000000000001E-2</v>
      </c>
      <c r="BI60">
        <f>'2012_2015 Int Confianca'!BG75</f>
        <v>-3.3300000000000003E-2</v>
      </c>
      <c r="BJ60">
        <f>'2012_2015 Int Confianca'!BH75</f>
        <v>-2.6599999999999999E-2</v>
      </c>
      <c r="BK60">
        <f>'2012_2015 Int Confianca'!BI75</f>
        <v>-2.5999999999999999E-2</v>
      </c>
      <c r="BL60">
        <f>'2012_2015 Int Confianca'!BJ75</f>
        <v>-2.8000000000000001E-2</v>
      </c>
      <c r="BM60">
        <f>'2012_2015 Int Confianca'!BK75</f>
        <v>-1.2699999999999999E-2</v>
      </c>
      <c r="BN60">
        <f>'2012_2015 Int Confianca'!BL75</f>
        <v>-1.24E-2</v>
      </c>
      <c r="BO60">
        <f>'2012_2015 Int Confianca'!BM75</f>
        <v>-1.6799999999999999E-2</v>
      </c>
      <c r="BP60">
        <f>'2012_2015 Int Confianca'!BN75</f>
        <v>-1.9800000000000002E-2</v>
      </c>
      <c r="BQ60">
        <f>'2012_2015 Int Confianca'!BO75</f>
        <v>-1.9599999999999999E-2</v>
      </c>
      <c r="BR60">
        <f>'2012_2015 Int Confianca'!BP75</f>
        <v>-2.0199999999999999E-2</v>
      </c>
      <c r="BS60">
        <f>'2012_2015 Int Confianca'!BQ75</f>
        <v>-2.3800000000000002E-2</v>
      </c>
      <c r="BT60">
        <f>'2012_2015 Int Confianca'!BR75</f>
        <v>-1.83E-2</v>
      </c>
      <c r="BU60">
        <f>'2012_2015 Int Confianca'!BS75</f>
        <v>-2.12E-2</v>
      </c>
      <c r="BV60">
        <f>'2012_2015 Int Confianca'!BT75</f>
        <v>-2.29E-2</v>
      </c>
      <c r="BW60">
        <f>'2012_2015 Int Confianca'!BU75</f>
        <v>-2.3699999999999999E-2</v>
      </c>
      <c r="BX60">
        <f>'2012_2015 Int Confianca'!BV75</f>
        <v>-2.9399999999999999E-2</v>
      </c>
      <c r="BY60">
        <f>'2012_2015 Int Confianca'!BW75</f>
        <v>-3.1800000000000002E-2</v>
      </c>
      <c r="BZ60">
        <f>'2012_2015 Int Confianca'!BX75</f>
        <v>-3.2800000000000003E-2</v>
      </c>
      <c r="CA60">
        <f>'2012_2015 Int Confianca'!BY75</f>
        <v>-3.4000000000000002E-2</v>
      </c>
      <c r="CB60">
        <f>'2012_2015 Int Confianca'!BZ75</f>
        <v>-3.5999999999999997E-2</v>
      </c>
      <c r="CC60">
        <f>'2012_2015 Int Confianca'!CA75</f>
        <v>-3.44E-2</v>
      </c>
      <c r="CD60">
        <f>'2012_2015 Int Confianca'!CB75</f>
        <v>-2.6700000000000002E-2</v>
      </c>
      <c r="CE60">
        <f>'2012_2015 Int Confianca'!CC75</f>
        <v>-3.7199999999999997E-2</v>
      </c>
      <c r="CF60">
        <f>'2012_2015 Int Confianca'!CD75</f>
        <v>-4.48E-2</v>
      </c>
      <c r="CG60">
        <f>'2012_2015 Int Confianca'!CE75</f>
        <v>-4.5999999999999999E-2</v>
      </c>
      <c r="CH60">
        <f>'2012_2015 Int Confianca'!CF75</f>
        <v>-0.05</v>
      </c>
      <c r="CI60">
        <f>'2012_2015 Int Confianca'!CG75</f>
        <v>-5.33E-2</v>
      </c>
      <c r="CJ60">
        <f>'2012_2015 Int Confianca'!CH75</f>
        <v>-3.2599999999999997E-2</v>
      </c>
      <c r="CK60">
        <f>'2012_2015 Int Confianca'!CI75</f>
        <v>-3.7900000000000003E-2</v>
      </c>
      <c r="CL60">
        <f>'2012_2015 Int Confianca'!CJ75</f>
        <v>-5.0200000000000002E-2</v>
      </c>
      <c r="CM60">
        <f>'2012_2015 Int Confianca'!CK75</f>
        <v>-6.7599999999999993E-2</v>
      </c>
      <c r="CN60">
        <f>'2012_2015 Int Confianca'!CL75</f>
        <v>-8.9099999999999999E-2</v>
      </c>
      <c r="CO60">
        <f>'2012_2015 Int Confianca'!CM75</f>
        <v>-0.1133</v>
      </c>
      <c r="CP60">
        <f>'2012_2015 Int Confianca'!CN75</f>
        <v>-0.10589999999999999</v>
      </c>
      <c r="CQ60">
        <f>'2012_2015 Int Confianca'!CO75</f>
        <v>-0.1163</v>
      </c>
      <c r="CR60">
        <f>'2012_2015 Int Confianca'!CP75</f>
        <v>-0.18640000000000001</v>
      </c>
      <c r="CS60">
        <f>'2012_2015 Int Confianca'!CQ75</f>
        <v>-0.13869999999999999</v>
      </c>
      <c r="CT60">
        <f>'2012_2015 Int Confianca'!CR75</f>
        <v>1.8E-3</v>
      </c>
      <c r="CU60">
        <f>'2012_2015 Int Confianca'!CS75</f>
        <v>8.5000000000000006E-3</v>
      </c>
      <c r="CV60">
        <f>'2012_2015 Int Confianca'!CT75</f>
        <v>6.8999999999999999E-3</v>
      </c>
      <c r="CW60">
        <f>'2012_2015 Int Confianca'!CU75</f>
        <v>7.0000000000000001E-3</v>
      </c>
      <c r="CX60">
        <f>'2012_2015 Int Confianca'!CV75</f>
        <v>2.8999999999999998E-3</v>
      </c>
    </row>
    <row r="61" spans="1:102" x14ac:dyDescent="0.2">
      <c r="A61" t="s">
        <v>5924</v>
      </c>
      <c r="B61" t="s">
        <v>219</v>
      </c>
      <c r="C61" t="s">
        <v>102</v>
      </c>
      <c r="D61">
        <f>'2012_2015 Int Confianca'!B76</f>
        <v>1.35E-2</v>
      </c>
      <c r="E61">
        <f>'2012_2015 Int Confianca'!C76</f>
        <v>0.26300000000000001</v>
      </c>
      <c r="F61">
        <f>'2012_2015 Int Confianca'!D76</f>
        <v>0.1439</v>
      </c>
      <c r="G61">
        <f>'2012_2015 Int Confianca'!E76</f>
        <v>7.6399999999999996E-2</v>
      </c>
      <c r="H61">
        <f>'2012_2015 Int Confianca'!F76</f>
        <v>4.6300000000000001E-2</v>
      </c>
      <c r="I61">
        <f>'2012_2015 Int Confianca'!G76</f>
        <v>3.3500000000000002E-2</v>
      </c>
      <c r="J61">
        <f>'2012_2015 Int Confianca'!H76</f>
        <v>5.8999999999999999E-3</v>
      </c>
      <c r="K61">
        <f>'2012_2015 Int Confianca'!I76</f>
        <v>2.6599999999999999E-2</v>
      </c>
      <c r="L61">
        <f>'2012_2015 Int Confianca'!J76</f>
        <v>1.7399999999999999E-2</v>
      </c>
      <c r="M61">
        <f>'2012_2015 Int Confianca'!K76</f>
        <v>1.5800000000000002E-2</v>
      </c>
      <c r="N61">
        <f>'2012_2015 Int Confianca'!L76</f>
        <v>4.5999999999999999E-3</v>
      </c>
      <c r="O61">
        <f>'2012_2015 Int Confianca'!M76</f>
        <v>3.5999999999999999E-3</v>
      </c>
      <c r="P61">
        <f>'2012_2015 Int Confianca'!N76</f>
        <v>3.5000000000000001E-3</v>
      </c>
      <c r="Q61">
        <f>'2012_2015 Int Confianca'!O76</f>
        <v>6.8999999999999999E-3</v>
      </c>
      <c r="R61">
        <f>'2012_2015 Int Confianca'!P76</f>
        <v>8.3000000000000001E-3</v>
      </c>
      <c r="S61">
        <f>'2012_2015 Int Confianca'!Q76</f>
        <v>6.6E-3</v>
      </c>
      <c r="T61">
        <f>'2012_2015 Int Confianca'!R76</f>
        <v>7.1999999999999998E-3</v>
      </c>
      <c r="U61">
        <f>'2012_2015 Int Confianca'!S76</f>
        <v>5.7999999999999996E-3</v>
      </c>
      <c r="V61">
        <f>'2012_2015 Int Confianca'!T76</f>
        <v>3.8E-3</v>
      </c>
      <c r="W61">
        <f>'2012_2015 Int Confianca'!U76</f>
        <v>1.6999999999999999E-3</v>
      </c>
      <c r="X61">
        <f>'2012_2015 Int Confianca'!V76</f>
        <v>6.3E-3</v>
      </c>
      <c r="Y61">
        <f>'2012_2015 Int Confianca'!W76</f>
        <v>4.1999999999999997E-3</v>
      </c>
      <c r="Z61">
        <f>'2012_2015 Int Confianca'!X76</f>
        <v>8.6999999999999994E-3</v>
      </c>
      <c r="AA61">
        <f>'2012_2015 Int Confianca'!Y76</f>
        <v>8.2000000000000007E-3</v>
      </c>
      <c r="AB61">
        <f>'2012_2015 Int Confianca'!Z76</f>
        <v>7.7000000000000002E-3</v>
      </c>
      <c r="AC61">
        <f>'2012_2015 Int Confianca'!AA76</f>
        <v>7.7999999999999996E-3</v>
      </c>
      <c r="AD61">
        <f>'2012_2015 Int Confianca'!AB76</f>
        <v>8.0999999999999996E-3</v>
      </c>
      <c r="AE61">
        <f>'2012_2015 Int Confianca'!AC76</f>
        <v>9.5999999999999992E-3</v>
      </c>
      <c r="AF61">
        <f>'2012_2015 Int Confianca'!AD76</f>
        <v>8.6E-3</v>
      </c>
      <c r="AG61">
        <f>'2012_2015 Int Confianca'!AE76</f>
        <v>8.5000000000000006E-3</v>
      </c>
      <c r="AH61">
        <f>'2012_2015 Int Confianca'!AF76</f>
        <v>6.7000000000000002E-3</v>
      </c>
      <c r="AI61">
        <f>'2012_2015 Int Confianca'!AG76</f>
        <v>6.6E-3</v>
      </c>
      <c r="AJ61">
        <f>'2012_2015 Int Confianca'!AH76</f>
        <v>1.26E-2</v>
      </c>
      <c r="AK61">
        <f>'2012_2015 Int Confianca'!AI76</f>
        <v>2.7799999999999998E-2</v>
      </c>
      <c r="AL61">
        <f>'2012_2015 Int Confianca'!AJ76</f>
        <v>2.5600000000000001E-2</v>
      </c>
      <c r="AM61">
        <f>'2012_2015 Int Confianca'!AK76</f>
        <v>2.5000000000000001E-2</v>
      </c>
      <c r="AN61">
        <f>'2012_2015 Int Confianca'!AL76</f>
        <v>2.3800000000000002E-2</v>
      </c>
      <c r="AO61">
        <f>'2012_2015 Int Confianca'!AM76</f>
        <v>2.3699999999999999E-2</v>
      </c>
      <c r="AP61">
        <f>'2012_2015 Int Confianca'!AN76</f>
        <v>3.2399999999999998E-2</v>
      </c>
      <c r="AQ61">
        <f>'2012_2015 Int Confianca'!AO76</f>
        <v>3.1800000000000002E-2</v>
      </c>
      <c r="AR61">
        <f>'2012_2015 Int Confianca'!AP76</f>
        <v>3.3000000000000002E-2</v>
      </c>
      <c r="AS61">
        <f>'2012_2015 Int Confianca'!AQ76</f>
        <v>2.7400000000000001E-2</v>
      </c>
      <c r="AT61">
        <f>'2012_2015 Int Confianca'!AR76</f>
        <v>2.7900000000000001E-2</v>
      </c>
      <c r="AU61">
        <f>'2012_2015 Int Confianca'!AS76</f>
        <v>2.9100000000000001E-2</v>
      </c>
      <c r="AV61">
        <f>'2012_2015 Int Confianca'!AT76</f>
        <v>2.8400000000000002E-2</v>
      </c>
      <c r="AW61">
        <f>'2012_2015 Int Confianca'!AU76</f>
        <v>2.87E-2</v>
      </c>
      <c r="AX61">
        <f>'2012_2015 Int Confianca'!AV76</f>
        <v>2.7199999999999998E-2</v>
      </c>
      <c r="AY61">
        <f>'2012_2015 Int Confianca'!AW76</f>
        <v>2.8199999999999999E-2</v>
      </c>
      <c r="AZ61">
        <f>'2012_2015 Int Confianca'!AX76</f>
        <v>2.4E-2</v>
      </c>
      <c r="BA61">
        <f>'2012_2015 Int Confianca'!AY76</f>
        <v>1.78E-2</v>
      </c>
      <c r="BB61">
        <f>'2012_2015 Int Confianca'!AZ76</f>
        <v>1.7100000000000001E-2</v>
      </c>
      <c r="BC61">
        <f>'2012_2015 Int Confianca'!BA76</f>
        <v>1.6199999999999999E-2</v>
      </c>
      <c r="BD61">
        <f>'2012_2015 Int Confianca'!BB76</f>
        <v>1.41E-2</v>
      </c>
      <c r="BE61">
        <f>'2012_2015 Int Confianca'!BC76</f>
        <v>1.7299999999999999E-2</v>
      </c>
      <c r="BF61">
        <f>'2012_2015 Int Confianca'!BD76</f>
        <v>1.4999999999999999E-2</v>
      </c>
      <c r="BG61">
        <f>'2012_2015 Int Confianca'!BE76</f>
        <v>1.4500000000000001E-2</v>
      </c>
      <c r="BH61">
        <f>'2012_2015 Int Confianca'!BF76</f>
        <v>1.2699999999999999E-2</v>
      </c>
      <c r="BI61">
        <f>'2012_2015 Int Confianca'!BG76</f>
        <v>4.5400000000000003E-2</v>
      </c>
      <c r="BJ61">
        <f>'2012_2015 Int Confianca'!BH76</f>
        <v>4.8599999999999997E-2</v>
      </c>
      <c r="BK61">
        <f>'2012_2015 Int Confianca'!BI76</f>
        <v>5.0599999999999999E-2</v>
      </c>
      <c r="BL61">
        <f>'2012_2015 Int Confianca'!BJ76</f>
        <v>4.9299999999999997E-2</v>
      </c>
      <c r="BM61">
        <f>'2012_2015 Int Confianca'!BK76</f>
        <v>5.3900000000000003E-2</v>
      </c>
      <c r="BN61">
        <f>'2012_2015 Int Confianca'!BL76</f>
        <v>5.4600000000000003E-2</v>
      </c>
      <c r="BO61">
        <f>'2012_2015 Int Confianca'!BM76</f>
        <v>5.0299999999999997E-2</v>
      </c>
      <c r="BP61">
        <f>'2012_2015 Int Confianca'!BN76</f>
        <v>4.7199999999999999E-2</v>
      </c>
      <c r="BQ61">
        <f>'2012_2015 Int Confianca'!BO76</f>
        <v>4.8099999999999997E-2</v>
      </c>
      <c r="BR61">
        <f>'2012_2015 Int Confianca'!BP76</f>
        <v>4.7E-2</v>
      </c>
      <c r="BS61">
        <f>'2012_2015 Int Confianca'!BQ76</f>
        <v>4.5999999999999999E-2</v>
      </c>
      <c r="BT61">
        <f>'2012_2015 Int Confianca'!BR76</f>
        <v>5.28E-2</v>
      </c>
      <c r="BU61">
        <f>'2012_2015 Int Confianca'!BS76</f>
        <v>5.3699999999999998E-2</v>
      </c>
      <c r="BV61">
        <f>'2012_2015 Int Confianca'!BT76</f>
        <v>5.5599999999999997E-2</v>
      </c>
      <c r="BW61">
        <f>'2012_2015 Int Confianca'!BU76</f>
        <v>6.1199999999999997E-2</v>
      </c>
      <c r="BX61">
        <f>'2012_2015 Int Confianca'!BV76</f>
        <v>5.8900000000000001E-2</v>
      </c>
      <c r="BY61">
        <f>'2012_2015 Int Confianca'!BW76</f>
        <v>5.7299999999999997E-2</v>
      </c>
      <c r="BZ61">
        <f>'2012_2015 Int Confianca'!BX76</f>
        <v>5.0999999999999997E-2</v>
      </c>
      <c r="CA61">
        <f>'2012_2015 Int Confianca'!BY76</f>
        <v>4.8899999999999999E-2</v>
      </c>
      <c r="CB61">
        <f>'2012_2015 Int Confianca'!BZ76</f>
        <v>4.8599999999999997E-2</v>
      </c>
      <c r="CC61">
        <f>'2012_2015 Int Confianca'!CA76</f>
        <v>5.1700000000000003E-2</v>
      </c>
      <c r="CD61">
        <f>'2012_2015 Int Confianca'!CB76</f>
        <v>5.8200000000000002E-2</v>
      </c>
      <c r="CE61">
        <f>'2012_2015 Int Confianca'!CC76</f>
        <v>6.8599999999999994E-2</v>
      </c>
      <c r="CF61">
        <f>'2012_2015 Int Confianca'!CD76</f>
        <v>7.1400000000000005E-2</v>
      </c>
      <c r="CG61">
        <f>'2012_2015 Int Confianca'!CE76</f>
        <v>6.8900000000000003E-2</v>
      </c>
      <c r="CH61">
        <f>'2012_2015 Int Confianca'!CF76</f>
        <v>6.4600000000000005E-2</v>
      </c>
      <c r="CI61">
        <f>'2012_2015 Int Confianca'!CG76</f>
        <v>6.6199999999999995E-2</v>
      </c>
      <c r="CJ61">
        <f>'2012_2015 Int Confianca'!CH76</f>
        <v>9.35E-2</v>
      </c>
      <c r="CK61">
        <f>'2012_2015 Int Confianca'!CI76</f>
        <v>9.9000000000000005E-2</v>
      </c>
      <c r="CL61">
        <f>'2012_2015 Int Confianca'!CJ76</f>
        <v>9.1499999999999998E-2</v>
      </c>
      <c r="CM61">
        <f>'2012_2015 Int Confianca'!CK76</f>
        <v>8.6599999999999996E-2</v>
      </c>
      <c r="CN61">
        <f>'2012_2015 Int Confianca'!CL76</f>
        <v>0.1008</v>
      </c>
      <c r="CO61">
        <f>'2012_2015 Int Confianca'!CM76</f>
        <v>9.7900000000000001E-2</v>
      </c>
      <c r="CP61">
        <f>'2012_2015 Int Confianca'!CN76</f>
        <v>9.2799999999999994E-2</v>
      </c>
      <c r="CQ61">
        <f>'2012_2015 Int Confianca'!CO76</f>
        <v>0.1028</v>
      </c>
      <c r="CR61">
        <f>'2012_2015 Int Confianca'!CP76</f>
        <v>0.1295</v>
      </c>
      <c r="CS61">
        <f>'2012_2015 Int Confianca'!CQ76</f>
        <v>8.8099999999999998E-2</v>
      </c>
      <c r="CT61">
        <f>'2012_2015 Int Confianca'!CR76</f>
        <v>0.13370000000000001</v>
      </c>
      <c r="CU61">
        <f>'2012_2015 Int Confianca'!CS76</f>
        <v>0.14219999999999999</v>
      </c>
      <c r="CV61">
        <f>'2012_2015 Int Confianca'!CT76</f>
        <v>0.13639999999999999</v>
      </c>
      <c r="CW61">
        <f>'2012_2015 Int Confianca'!CU76</f>
        <v>0.1381</v>
      </c>
      <c r="CX61">
        <f>'2012_2015 Int Confianca'!CV76</f>
        <v>0.13589999999999999</v>
      </c>
    </row>
    <row r="62" spans="1:102" x14ac:dyDescent="0.2">
      <c r="A62" t="s">
        <v>5927</v>
      </c>
      <c r="B62" t="s">
        <v>219</v>
      </c>
      <c r="C62" t="s">
        <v>102</v>
      </c>
      <c r="D62">
        <f>'2012_2015 Int Confianca'!B77</f>
        <v>-0.59489999999999998</v>
      </c>
      <c r="E62">
        <f>'2012_2015 Int Confianca'!C77</f>
        <v>-0.61299999999999999</v>
      </c>
      <c r="F62">
        <f>'2012_2015 Int Confianca'!D77</f>
        <v>-1.1000000000000001E-3</v>
      </c>
      <c r="G62">
        <f>'2012_2015 Int Confianca'!E77</f>
        <v>8.8800000000000004E-2</v>
      </c>
      <c r="H62">
        <f>'2012_2015 Int Confianca'!F77</f>
        <v>0.34379999999999999</v>
      </c>
      <c r="I62">
        <f>'2012_2015 Int Confianca'!G77</f>
        <v>0.18679999999999999</v>
      </c>
      <c r="J62">
        <f>'2012_2015 Int Confianca'!H77</f>
        <v>0.43120000000000003</v>
      </c>
      <c r="K62">
        <f>'2012_2015 Int Confianca'!I77</f>
        <v>0.34460000000000002</v>
      </c>
      <c r="L62">
        <f>'2012_2015 Int Confianca'!J77</f>
        <v>0.36659999999999998</v>
      </c>
      <c r="M62">
        <f>'2012_2015 Int Confianca'!K77</f>
        <v>0.32129999999999997</v>
      </c>
      <c r="N62">
        <f>'2012_2015 Int Confianca'!L77</f>
        <v>0.47470000000000001</v>
      </c>
      <c r="O62">
        <f>'2012_2015 Int Confianca'!M77</f>
        <v>0.64090000000000003</v>
      </c>
      <c r="P62">
        <f>'2012_2015 Int Confianca'!N77</f>
        <v>0.61129999999999995</v>
      </c>
      <c r="Q62">
        <f>'2012_2015 Int Confianca'!O77</f>
        <v>0.50460000000000005</v>
      </c>
      <c r="R62">
        <f>'2012_2015 Int Confianca'!P77</f>
        <v>0.30709999999999998</v>
      </c>
      <c r="S62">
        <f>'2012_2015 Int Confianca'!Q77</f>
        <v>0.24490000000000001</v>
      </c>
      <c r="T62">
        <f>'2012_2015 Int Confianca'!R77</f>
        <v>0.26519999999999999</v>
      </c>
      <c r="U62">
        <f>'2012_2015 Int Confianca'!S77</f>
        <v>0.2601</v>
      </c>
      <c r="V62">
        <f>'2012_2015 Int Confianca'!T77</f>
        <v>0.21</v>
      </c>
      <c r="W62">
        <f>'2012_2015 Int Confianca'!U77</f>
        <v>0.191</v>
      </c>
      <c r="X62">
        <f>'2012_2015 Int Confianca'!V77</f>
        <v>0.1898</v>
      </c>
      <c r="Y62">
        <f>'2012_2015 Int Confianca'!W77</f>
        <v>0.2203</v>
      </c>
      <c r="Z62">
        <f>'2012_2015 Int Confianca'!X77</f>
        <v>0.23760000000000001</v>
      </c>
      <c r="AA62">
        <f>'2012_2015 Int Confianca'!Y77</f>
        <v>0.23630000000000001</v>
      </c>
      <c r="AB62">
        <f>'2012_2015 Int Confianca'!Z77</f>
        <v>0.20519999999999999</v>
      </c>
      <c r="AC62">
        <f>'2012_2015 Int Confianca'!AA77</f>
        <v>0.16619999999999999</v>
      </c>
      <c r="AD62">
        <f>'2012_2015 Int Confianca'!AB77</f>
        <v>0.1331</v>
      </c>
      <c r="AE62">
        <f>'2012_2015 Int Confianca'!AC77</f>
        <v>0.1169</v>
      </c>
      <c r="AF62">
        <f>'2012_2015 Int Confianca'!AD77</f>
        <v>9.7600000000000006E-2</v>
      </c>
      <c r="AG62">
        <f>'2012_2015 Int Confianca'!AE77</f>
        <v>8.0299999999999996E-2</v>
      </c>
      <c r="AH62">
        <f>'2012_2015 Int Confianca'!AF77</f>
        <v>8.4099999999999994E-2</v>
      </c>
      <c r="AI62">
        <f>'2012_2015 Int Confianca'!AG77</f>
        <v>7.4300000000000005E-2</v>
      </c>
      <c r="AJ62">
        <f>'2012_2015 Int Confianca'!AH77</f>
        <v>4.7300000000000002E-2</v>
      </c>
      <c r="AK62">
        <f>'2012_2015 Int Confianca'!AI77</f>
        <v>1.84E-2</v>
      </c>
      <c r="AL62">
        <f>'2012_2015 Int Confianca'!AJ77</f>
        <v>7.9000000000000008E-3</v>
      </c>
      <c r="AM62">
        <f>'2012_2015 Int Confianca'!AK77</f>
        <v>5.0000000000000001E-3</v>
      </c>
      <c r="AN62">
        <f>'2012_2015 Int Confianca'!AL77</f>
        <v>1.67E-2</v>
      </c>
      <c r="AO62">
        <f>'2012_2015 Int Confianca'!AM77</f>
        <v>3.0099999999999998E-2</v>
      </c>
      <c r="AP62">
        <f>'2012_2015 Int Confianca'!AN77</f>
        <v>7.9500000000000001E-2</v>
      </c>
      <c r="AQ62">
        <f>'2012_2015 Int Confianca'!AO77</f>
        <v>0.1333</v>
      </c>
      <c r="AR62">
        <f>'2012_2015 Int Confianca'!AP77</f>
        <v>0.13400000000000001</v>
      </c>
      <c r="AS62">
        <f>'2012_2015 Int Confianca'!AQ77</f>
        <v>0.14119999999999999</v>
      </c>
      <c r="AT62">
        <f>'2012_2015 Int Confianca'!AR77</f>
        <v>0.1217</v>
      </c>
      <c r="AU62">
        <f>'2012_2015 Int Confianca'!AS77</f>
        <v>0.1138</v>
      </c>
      <c r="AV62">
        <f>'2012_2015 Int Confianca'!AT77</f>
        <v>6.3399999999999998E-2</v>
      </c>
      <c r="AW62">
        <f>'2012_2015 Int Confianca'!AU77</f>
        <v>0.02</v>
      </c>
      <c r="AX62">
        <f>'2012_2015 Int Confianca'!AV77</f>
        <v>-9.5999999999999992E-3</v>
      </c>
      <c r="AY62">
        <f>'2012_2015 Int Confianca'!AW77</f>
        <v>-5.0000000000000001E-4</v>
      </c>
      <c r="AZ62">
        <f>'2012_2015 Int Confianca'!AX77</f>
        <v>-3.3999999999999998E-3</v>
      </c>
      <c r="BA62">
        <f>'2012_2015 Int Confianca'!AY77</f>
        <v>3.0999999999999999E-3</v>
      </c>
      <c r="BB62">
        <f>'2012_2015 Int Confianca'!AZ77</f>
        <v>5.1499999999999997E-2</v>
      </c>
      <c r="BC62">
        <f>'2012_2015 Int Confianca'!BA77</f>
        <v>0.1172</v>
      </c>
      <c r="BD62">
        <f>'2012_2015 Int Confianca'!BB77</f>
        <v>0.14760000000000001</v>
      </c>
      <c r="BE62">
        <f>'2012_2015 Int Confianca'!BC77</f>
        <v>0.16</v>
      </c>
      <c r="BF62">
        <f>'2012_2015 Int Confianca'!BD77</f>
        <v>0.1552</v>
      </c>
      <c r="BG62">
        <f>'2012_2015 Int Confianca'!BE77</f>
        <v>0.16700000000000001</v>
      </c>
      <c r="BH62">
        <f>'2012_2015 Int Confianca'!BF77</f>
        <v>0.1371</v>
      </c>
      <c r="BI62">
        <f>'2012_2015 Int Confianca'!BG77</f>
        <v>6.25E-2</v>
      </c>
      <c r="BJ62">
        <f>'2012_2015 Int Confianca'!BH77</f>
        <v>3.7900000000000003E-2</v>
      </c>
      <c r="BK62">
        <f>'2012_2015 Int Confianca'!BI77</f>
        <v>2.3599999999999999E-2</v>
      </c>
      <c r="BL62">
        <f>'2012_2015 Int Confianca'!BJ77</f>
        <v>2.2100000000000002E-2</v>
      </c>
      <c r="BM62">
        <f>'2012_2015 Int Confianca'!BK77</f>
        <v>2.7099999999999999E-2</v>
      </c>
      <c r="BN62">
        <f>'2012_2015 Int Confianca'!BL77</f>
        <v>5.2400000000000002E-2</v>
      </c>
      <c r="BO62">
        <f>'2012_2015 Int Confianca'!BM77</f>
        <v>0.1114</v>
      </c>
      <c r="BP62">
        <f>'2012_2015 Int Confianca'!BN77</f>
        <v>0.14369999999999999</v>
      </c>
      <c r="BQ62">
        <f>'2012_2015 Int Confianca'!BO77</f>
        <v>0.1283</v>
      </c>
      <c r="BR62">
        <f>'2012_2015 Int Confianca'!BP77</f>
        <v>9.3700000000000006E-2</v>
      </c>
      <c r="BS62">
        <f>'2012_2015 Int Confianca'!BQ77</f>
        <v>7.4399999999999994E-2</v>
      </c>
      <c r="BT62">
        <f>'2012_2015 Int Confianca'!BR77</f>
        <v>4.24E-2</v>
      </c>
      <c r="BU62">
        <f>'2012_2015 Int Confianca'!BS77</f>
        <v>-7.7000000000000002E-3</v>
      </c>
      <c r="BV62">
        <f>'2012_2015 Int Confianca'!BT77</f>
        <v>-0.01</v>
      </c>
      <c r="BW62">
        <f>'2012_2015 Int Confianca'!BU77</f>
        <v>-2.3800000000000002E-2</v>
      </c>
      <c r="BX62">
        <f>'2012_2015 Int Confianca'!BV77</f>
        <v>8.0000000000000002E-3</v>
      </c>
      <c r="BY62">
        <f>'2012_2015 Int Confianca'!BW77</f>
        <v>4.3900000000000002E-2</v>
      </c>
      <c r="BZ62">
        <f>'2012_2015 Int Confianca'!BX77</f>
        <v>0.15010000000000001</v>
      </c>
      <c r="CA62">
        <f>'2012_2015 Int Confianca'!BY77</f>
        <v>0.18559999999999999</v>
      </c>
      <c r="CB62">
        <f>'2012_2015 Int Confianca'!BZ77</f>
        <v>0.16020000000000001</v>
      </c>
      <c r="CC62">
        <f>'2012_2015 Int Confianca'!CA77</f>
        <v>0.1736</v>
      </c>
      <c r="CD62">
        <f>'2012_2015 Int Confianca'!CB77</f>
        <v>0.14929999999999999</v>
      </c>
      <c r="CE62">
        <f>'2012_2015 Int Confianca'!CC77</f>
        <v>-3.6999999999999998E-2</v>
      </c>
      <c r="CF62">
        <f>'2012_2015 Int Confianca'!CD77</f>
        <v>-8.8599999999999998E-2</v>
      </c>
      <c r="CG62">
        <f>'2012_2015 Int Confianca'!CE77</f>
        <v>-7.2800000000000004E-2</v>
      </c>
      <c r="CH62">
        <f>'2012_2015 Int Confianca'!CF77</f>
        <v>-0.13220000000000001</v>
      </c>
      <c r="CI62">
        <f>'2012_2015 Int Confianca'!CG77</f>
        <v>-9.4700000000000006E-2</v>
      </c>
      <c r="CJ62">
        <f>'2012_2015 Int Confianca'!CH77</f>
        <v>-9.9900000000000003E-2</v>
      </c>
      <c r="CK62">
        <f>'2012_2015 Int Confianca'!CI77</f>
        <v>0.20200000000000001</v>
      </c>
      <c r="CL62">
        <f>'2012_2015 Int Confianca'!CJ77</f>
        <v>0.1482</v>
      </c>
      <c r="CM62">
        <f>'2012_2015 Int Confianca'!CK77</f>
        <v>4.1200000000000001E-2</v>
      </c>
      <c r="CN62">
        <f>'2012_2015 Int Confianca'!CL77</f>
        <v>-9.5899999999999999E-2</v>
      </c>
      <c r="CO62">
        <f>'2012_2015 Int Confianca'!CM77</f>
        <v>-0.12790000000000001</v>
      </c>
      <c r="CP62">
        <f>'2012_2015 Int Confianca'!CN77</f>
        <v>6.3200000000000006E-2</v>
      </c>
      <c r="CQ62">
        <f>'2012_2015 Int Confianca'!CO77</f>
        <v>0.17460000000000001</v>
      </c>
      <c r="CR62">
        <f>'2012_2015 Int Confianca'!CP77</f>
        <v>0.02</v>
      </c>
      <c r="CS62">
        <f>'2012_2015 Int Confianca'!CQ77</f>
        <v>7.6200000000000004E-2</v>
      </c>
      <c r="CT62">
        <f>'2012_2015 Int Confianca'!CR77</f>
        <v>-5.8999999999999997E-2</v>
      </c>
      <c r="CU62">
        <f>'2012_2015 Int Confianca'!CS77</f>
        <v>-0.27250000000000002</v>
      </c>
      <c r="CV62">
        <f>'2012_2015 Int Confianca'!CT77</f>
        <v>-3.4700000000000002E-2</v>
      </c>
      <c r="CW62">
        <f>'2012_2015 Int Confianca'!CU77</f>
        <v>-0.18379999999999999</v>
      </c>
      <c r="CX62">
        <f>'2012_2015 Int Confianca'!CV77</f>
        <v>-0.27710000000000001</v>
      </c>
    </row>
    <row r="63" spans="1:102" x14ac:dyDescent="0.2">
      <c r="A63" t="s">
        <v>5928</v>
      </c>
      <c r="B63" t="s">
        <v>219</v>
      </c>
      <c r="C63" t="s">
        <v>102</v>
      </c>
      <c r="D63">
        <f>'2012_2015 Int Confianca'!B78</f>
        <v>0.11</v>
      </c>
      <c r="E63">
        <f>'2012_2015 Int Confianca'!C78</f>
        <v>0.15479999999999999</v>
      </c>
      <c r="F63">
        <f>'2012_2015 Int Confianca'!D78</f>
        <v>0.53949999999999998</v>
      </c>
      <c r="G63">
        <f>'2012_2015 Int Confianca'!E78</f>
        <v>0.57430000000000003</v>
      </c>
      <c r="H63">
        <f>'2012_2015 Int Confianca'!F78</f>
        <v>0.72189999999999999</v>
      </c>
      <c r="I63">
        <f>'2012_2015 Int Confianca'!G78</f>
        <v>0.56369999999999998</v>
      </c>
      <c r="J63">
        <f>'2012_2015 Int Confianca'!H78</f>
        <v>0.76519999999999999</v>
      </c>
      <c r="K63">
        <f>'2012_2015 Int Confianca'!I78</f>
        <v>0.64259999999999995</v>
      </c>
      <c r="L63">
        <f>'2012_2015 Int Confianca'!J78</f>
        <v>0.64910000000000001</v>
      </c>
      <c r="M63">
        <f>'2012_2015 Int Confianca'!K78</f>
        <v>0.53849999999999998</v>
      </c>
      <c r="N63">
        <f>'2012_2015 Int Confianca'!L78</f>
        <v>0.66010000000000002</v>
      </c>
      <c r="O63">
        <f>'2012_2015 Int Confianca'!M78</f>
        <v>0.79530000000000001</v>
      </c>
      <c r="P63">
        <f>'2012_2015 Int Confianca'!N78</f>
        <v>0.74719999999999998</v>
      </c>
      <c r="Q63">
        <f>'2012_2015 Int Confianca'!O78</f>
        <v>0.62690000000000001</v>
      </c>
      <c r="R63">
        <f>'2012_2015 Int Confianca'!P78</f>
        <v>0.41320000000000001</v>
      </c>
      <c r="S63">
        <f>'2012_2015 Int Confianca'!Q78</f>
        <v>0.34110000000000001</v>
      </c>
      <c r="T63">
        <f>'2012_2015 Int Confianca'!R78</f>
        <v>0.3548</v>
      </c>
      <c r="U63">
        <f>'2012_2015 Int Confianca'!S78</f>
        <v>0.34699999999999998</v>
      </c>
      <c r="V63">
        <f>'2012_2015 Int Confianca'!T78</f>
        <v>0.29310000000000003</v>
      </c>
      <c r="W63">
        <f>'2012_2015 Int Confianca'!U78</f>
        <v>0.2717</v>
      </c>
      <c r="X63">
        <f>'2012_2015 Int Confianca'!V78</f>
        <v>0.26790000000000003</v>
      </c>
      <c r="Y63">
        <f>'2012_2015 Int Confianca'!W78</f>
        <v>0.29599999999999999</v>
      </c>
      <c r="Z63">
        <f>'2012_2015 Int Confianca'!X78</f>
        <v>0.31190000000000001</v>
      </c>
      <c r="AA63">
        <f>'2012_2015 Int Confianca'!Y78</f>
        <v>0.30940000000000001</v>
      </c>
      <c r="AB63">
        <f>'2012_2015 Int Confianca'!Z78</f>
        <v>0.27789999999999998</v>
      </c>
      <c r="AC63">
        <f>'2012_2015 Int Confianca'!AA78</f>
        <v>0.2379</v>
      </c>
      <c r="AD63">
        <f>'2012_2015 Int Confianca'!AB78</f>
        <v>0.20430000000000001</v>
      </c>
      <c r="AE63">
        <f>'2012_2015 Int Confianca'!AC78</f>
        <v>0.18809999999999999</v>
      </c>
      <c r="AF63">
        <f>'2012_2015 Int Confianca'!AD78</f>
        <v>0.1694</v>
      </c>
      <c r="AG63">
        <f>'2012_2015 Int Confianca'!AE78</f>
        <v>0.15290000000000001</v>
      </c>
      <c r="AH63">
        <f>'2012_2015 Int Confianca'!AF78</f>
        <v>0.15820000000000001</v>
      </c>
      <c r="AI63">
        <f>'2012_2015 Int Confianca'!AG78</f>
        <v>0.15060000000000001</v>
      </c>
      <c r="AJ63">
        <f>'2012_2015 Int Confianca'!AH78</f>
        <v>0.128</v>
      </c>
      <c r="AK63">
        <f>'2012_2015 Int Confianca'!AI78</f>
        <v>0.1026</v>
      </c>
      <c r="AL63">
        <f>'2012_2015 Int Confianca'!AJ78</f>
        <v>9.3899999999999997E-2</v>
      </c>
      <c r="AM63">
        <f>'2012_2015 Int Confianca'!AK78</f>
        <v>9.2299999999999993E-2</v>
      </c>
      <c r="AN63">
        <f>'2012_2015 Int Confianca'!AL78</f>
        <v>0.1048</v>
      </c>
      <c r="AO63">
        <f>'2012_2015 Int Confianca'!AM78</f>
        <v>0.1188</v>
      </c>
      <c r="AP63">
        <f>'2012_2015 Int Confianca'!AN78</f>
        <v>0.16880000000000001</v>
      </c>
      <c r="AQ63">
        <f>'2012_2015 Int Confianca'!AO78</f>
        <v>0.22140000000000001</v>
      </c>
      <c r="AR63">
        <f>'2012_2015 Int Confianca'!AP78</f>
        <v>0.22259999999999999</v>
      </c>
      <c r="AS63">
        <f>'2012_2015 Int Confianca'!AQ78</f>
        <v>0.23080000000000001</v>
      </c>
      <c r="AT63">
        <f>'2012_2015 Int Confianca'!AR78</f>
        <v>0.2114</v>
      </c>
      <c r="AU63">
        <f>'2012_2015 Int Confianca'!AS78</f>
        <v>0.20319999999999999</v>
      </c>
      <c r="AV63">
        <f>'2012_2015 Int Confianca'!AT78</f>
        <v>0.15290000000000001</v>
      </c>
      <c r="AW63">
        <f>'2012_2015 Int Confianca'!AU78</f>
        <v>0.1113</v>
      </c>
      <c r="AX63">
        <f>'2012_2015 Int Confianca'!AV78</f>
        <v>8.4500000000000006E-2</v>
      </c>
      <c r="AY63">
        <f>'2012_2015 Int Confianca'!AW78</f>
        <v>9.5000000000000001E-2</v>
      </c>
      <c r="AZ63">
        <f>'2012_2015 Int Confianca'!AX78</f>
        <v>9.3100000000000002E-2</v>
      </c>
      <c r="BA63">
        <f>'2012_2015 Int Confianca'!AY78</f>
        <v>0.1007</v>
      </c>
      <c r="BB63">
        <f>'2012_2015 Int Confianca'!AZ78</f>
        <v>0.14960000000000001</v>
      </c>
      <c r="BC63">
        <f>'2012_2015 Int Confianca'!BA78</f>
        <v>0.21579999999999999</v>
      </c>
      <c r="BD63">
        <f>'2012_2015 Int Confianca'!BB78</f>
        <v>0.24790000000000001</v>
      </c>
      <c r="BE63">
        <f>'2012_2015 Int Confianca'!BC78</f>
        <v>0.2611</v>
      </c>
      <c r="BF63">
        <f>'2012_2015 Int Confianca'!BD78</f>
        <v>0.25659999999999999</v>
      </c>
      <c r="BG63">
        <f>'2012_2015 Int Confianca'!BE78</f>
        <v>0.26889999999999997</v>
      </c>
      <c r="BH63">
        <f>'2012_2015 Int Confianca'!BF78</f>
        <v>0.23930000000000001</v>
      </c>
      <c r="BI63">
        <f>'2012_2015 Int Confianca'!BG78</f>
        <v>0.17460000000000001</v>
      </c>
      <c r="BJ63">
        <f>'2012_2015 Int Confianca'!BH78</f>
        <v>0.14729999999999999</v>
      </c>
      <c r="BK63">
        <f>'2012_2015 Int Confianca'!BI78</f>
        <v>0.13389999999999999</v>
      </c>
      <c r="BL63">
        <f>'2012_2015 Int Confianca'!BJ78</f>
        <v>0.13300000000000001</v>
      </c>
      <c r="BM63">
        <f>'2012_2015 Int Confianca'!BK78</f>
        <v>0.13189999999999999</v>
      </c>
      <c r="BN63">
        <f>'2012_2015 Int Confianca'!BL78</f>
        <v>0.15790000000000001</v>
      </c>
      <c r="BO63">
        <f>'2012_2015 Int Confianca'!BM78</f>
        <v>0.2175</v>
      </c>
      <c r="BP63">
        <f>'2012_2015 Int Confianca'!BN78</f>
        <v>0.25009999999999999</v>
      </c>
      <c r="BQ63">
        <f>'2012_2015 Int Confianca'!BO78</f>
        <v>0.23549999999999999</v>
      </c>
      <c r="BR63">
        <f>'2012_2015 Int Confianca'!BP78</f>
        <v>0.2001</v>
      </c>
      <c r="BS63">
        <f>'2012_2015 Int Confianca'!BQ78</f>
        <v>0.1835</v>
      </c>
      <c r="BT63">
        <f>'2012_2015 Int Confianca'!BR78</f>
        <v>0.15210000000000001</v>
      </c>
      <c r="BU63">
        <f>'2012_2015 Int Confianca'!BS78</f>
        <v>0.10630000000000001</v>
      </c>
      <c r="BV63">
        <f>'2012_2015 Int Confianca'!BT78</f>
        <v>0.10979999999999999</v>
      </c>
      <c r="BW63">
        <f>'2012_2015 Int Confianca'!BU78</f>
        <v>0.1043</v>
      </c>
      <c r="BX63">
        <f>'2012_2015 Int Confianca'!BV78</f>
        <v>0.13969999999999999</v>
      </c>
      <c r="BY63">
        <f>'2012_2015 Int Confianca'!BW78</f>
        <v>0.17630000000000001</v>
      </c>
      <c r="BZ63">
        <f>'2012_2015 Int Confianca'!BX78</f>
        <v>0.2752</v>
      </c>
      <c r="CA63">
        <f>'2012_2015 Int Confianca'!BY78</f>
        <v>0.30909999999999999</v>
      </c>
      <c r="CB63">
        <f>'2012_2015 Int Confianca'!BZ78</f>
        <v>0.28420000000000001</v>
      </c>
      <c r="CC63">
        <f>'2012_2015 Int Confianca'!CA78</f>
        <v>0.30049999999999999</v>
      </c>
      <c r="CD63">
        <f>'2012_2015 Int Confianca'!CB78</f>
        <v>0.27750000000000002</v>
      </c>
      <c r="CE63">
        <f>'2012_2015 Int Confianca'!CC78</f>
        <v>0.1166</v>
      </c>
      <c r="CF63">
        <f>'2012_2015 Int Confianca'!CD78</f>
        <v>7.7600000000000002E-2</v>
      </c>
      <c r="CG63">
        <f>'2012_2015 Int Confianca'!CE78</f>
        <v>8.9099999999999999E-2</v>
      </c>
      <c r="CH63">
        <f>'2012_2015 Int Confianca'!CF78</f>
        <v>2.5999999999999999E-2</v>
      </c>
      <c r="CI63">
        <f>'2012_2015 Int Confianca'!CG78</f>
        <v>6.6400000000000001E-2</v>
      </c>
      <c r="CJ63">
        <f>'2012_2015 Int Confianca'!CH78</f>
        <v>7.0900000000000005E-2</v>
      </c>
      <c r="CK63">
        <f>'2012_2015 Int Confianca'!CI78</f>
        <v>0.38769999999999999</v>
      </c>
      <c r="CL63">
        <f>'2012_2015 Int Confianca'!CJ78</f>
        <v>0.33639999999999998</v>
      </c>
      <c r="CM63">
        <f>'2012_2015 Int Confianca'!CK78</f>
        <v>0.2387</v>
      </c>
      <c r="CN63">
        <f>'2012_2015 Int Confianca'!CL78</f>
        <v>0.14030000000000001</v>
      </c>
      <c r="CO63">
        <f>'2012_2015 Int Confianca'!CM78</f>
        <v>0.1273</v>
      </c>
      <c r="CP63">
        <f>'2012_2015 Int Confianca'!CN78</f>
        <v>0.29930000000000001</v>
      </c>
      <c r="CQ63">
        <f>'2012_2015 Int Confianca'!CO78</f>
        <v>0.43219999999999997</v>
      </c>
      <c r="CR63">
        <f>'2012_2015 Int Confianca'!CP78</f>
        <v>0.37930000000000003</v>
      </c>
      <c r="CS63">
        <f>'2012_2015 Int Confianca'!CQ78</f>
        <v>0.34910000000000002</v>
      </c>
      <c r="CT63">
        <f>'2012_2015 Int Confianca'!CR78</f>
        <v>0.17030000000000001</v>
      </c>
      <c r="CU63">
        <f>'2012_2015 Int Confianca'!CS78</f>
        <v>-4.7899999999999998E-2</v>
      </c>
      <c r="CV63">
        <f>'2012_2015 Int Confianca'!CT78</f>
        <v>0.214</v>
      </c>
      <c r="CW63">
        <f>'2012_2015 Int Confianca'!CU78</f>
        <v>9.5500000000000002E-2</v>
      </c>
      <c r="CX63">
        <f>'2012_2015 Int Confianca'!CV78</f>
        <v>5.7099999999999998E-2</v>
      </c>
    </row>
    <row r="64" spans="1:102" x14ac:dyDescent="0.2">
      <c r="A64" t="s">
        <v>208</v>
      </c>
      <c r="B64" t="s">
        <v>220</v>
      </c>
      <c r="C64" t="s">
        <v>102</v>
      </c>
      <c r="D64">
        <f>D13+D37</f>
        <v>0.4602</v>
      </c>
      <c r="E64">
        <f>E13+E37</f>
        <v>0.24009999999999998</v>
      </c>
      <c r="F64">
        <f>F13+F37</f>
        <v>-8.6999999999999959E-3</v>
      </c>
      <c r="G64">
        <f>G13+G37</f>
        <v>-1.15E-2</v>
      </c>
      <c r="H64">
        <f>H13+H37</f>
        <v>-0.14050000000000001</v>
      </c>
      <c r="I64">
        <f>I13+I37</f>
        <v>-6.2699999999999992E-2</v>
      </c>
      <c r="J64">
        <f>J13+J37</f>
        <v>-0.161</v>
      </c>
      <c r="K64">
        <f>K13+K37</f>
        <v>-0.1348</v>
      </c>
      <c r="L64">
        <f>L13+L37</f>
        <v>-0.14889999999999998</v>
      </c>
      <c r="M64">
        <f>M13+M37</f>
        <v>-0.11150000000000002</v>
      </c>
      <c r="N64">
        <f>N13+N37</f>
        <v>-0.1779</v>
      </c>
      <c r="O64">
        <f>O13+O37</f>
        <v>-0.25900000000000001</v>
      </c>
      <c r="P64">
        <f>P13+P37</f>
        <v>-0.24460000000000001</v>
      </c>
      <c r="Q64">
        <f>Q13+Q37</f>
        <v>-0.19400000000000001</v>
      </c>
      <c r="R64">
        <f>R13+R37</f>
        <v>-0.1076</v>
      </c>
      <c r="S64">
        <f>S13+S37</f>
        <v>-7.9199999999999993E-2</v>
      </c>
      <c r="T64">
        <f>T13+T37</f>
        <v>-7.7399999999999997E-2</v>
      </c>
      <c r="U64">
        <f>U13+U37</f>
        <v>-7.7300000000000008E-2</v>
      </c>
      <c r="V64">
        <f>V13+V37</f>
        <v>-5.3000000000000005E-2</v>
      </c>
      <c r="W64">
        <f>W13+W37</f>
        <v>-4.8099999999999997E-2</v>
      </c>
      <c r="X64">
        <f>X13+X37</f>
        <v>-0.05</v>
      </c>
      <c r="Y64">
        <f>Y13+Y37</f>
        <v>-5.9700000000000003E-2</v>
      </c>
      <c r="Z64">
        <f>Z13+Z37</f>
        <v>-6.5199999999999994E-2</v>
      </c>
      <c r="AA64">
        <f>AA13+AA37</f>
        <v>-6.5799999999999997E-2</v>
      </c>
      <c r="AB64">
        <f>AB13+AB37</f>
        <v>-5.2800000000000007E-2</v>
      </c>
      <c r="AC64">
        <f>AC13+AC37</f>
        <v>-3.7999999999999999E-2</v>
      </c>
      <c r="AD64">
        <f>AD13+AD37</f>
        <v>-2.7899999999999998E-2</v>
      </c>
      <c r="AE64">
        <f>AE13+AE37</f>
        <v>-2.4299999999999995E-2</v>
      </c>
      <c r="AF64">
        <f>AF13+AF37</f>
        <v>-1.7800000000000003E-2</v>
      </c>
      <c r="AG64">
        <f>AG13+AG37</f>
        <v>-1.3299999999999999E-2</v>
      </c>
      <c r="AH64">
        <f>AH13+AH37</f>
        <v>-1.1600000000000003E-2</v>
      </c>
      <c r="AI64">
        <f>AI13+AI37</f>
        <v>-3.4999999999999996E-3</v>
      </c>
      <c r="AJ64">
        <f>AJ13+AJ37</f>
        <v>1.5390000000000001E-2</v>
      </c>
      <c r="AK64">
        <f>AK13+AK37</f>
        <v>2.3949999999999999E-2</v>
      </c>
      <c r="AL64">
        <f>AL13+AL37</f>
        <v>3.3799999999999997E-2</v>
      </c>
      <c r="AM64">
        <f>AM13+AM37</f>
        <v>3.1600000000000003E-2</v>
      </c>
      <c r="AN64">
        <f>AN13+AN37</f>
        <v>2.794E-2</v>
      </c>
      <c r="AO64">
        <f>AO13+AO37</f>
        <v>1.6210000000000002E-2</v>
      </c>
      <c r="AP64">
        <f>AP13+AP37</f>
        <v>-8.3000000000000018E-3</v>
      </c>
      <c r="AQ64">
        <f>AQ13+AQ37</f>
        <v>-3.3600000000000005E-2</v>
      </c>
      <c r="AR64">
        <f>AR13+AR37</f>
        <v>-4.1799999999999997E-2</v>
      </c>
      <c r="AS64">
        <f>AS13+AS37</f>
        <v>-5.0699999999999995E-2</v>
      </c>
      <c r="AT64">
        <f>AT13+AT37</f>
        <v>-5.0899999999999994E-2</v>
      </c>
      <c r="AU64">
        <f>AU13+AU37</f>
        <v>-5.0100000000000006E-2</v>
      </c>
      <c r="AV64">
        <f>AV13+AV37</f>
        <v>-3.7599999999999995E-2</v>
      </c>
      <c r="AW64">
        <f>AW13+AW37</f>
        <v>-9.0000000000000011E-3</v>
      </c>
      <c r="AX64">
        <f>AX13+AX37</f>
        <v>8.7999999999999988E-3</v>
      </c>
      <c r="AY64">
        <f>AY13+AY37</f>
        <v>1.3100000000000002E-2</v>
      </c>
      <c r="AZ64">
        <f>AZ13+AZ37</f>
        <v>2.1789999999999997E-2</v>
      </c>
      <c r="BA64">
        <f>BA13+BA37</f>
        <v>2.2009999999999998E-2</v>
      </c>
      <c r="BB64">
        <f>BB13+BB37</f>
        <v>8.4000000000000012E-3</v>
      </c>
      <c r="BC64">
        <f>BC13+BC37</f>
        <v>-3.0300000000000007E-2</v>
      </c>
      <c r="BD64">
        <f>BD13+BD37</f>
        <v>-5.6499999999999995E-2</v>
      </c>
      <c r="BE64">
        <f>BE13+BE37</f>
        <v>-7.4500000000000011E-2</v>
      </c>
      <c r="BF64">
        <f>BF13+BF37</f>
        <v>-7.9500000000000015E-2</v>
      </c>
      <c r="BG64">
        <f>BG13+BG37</f>
        <v>-8.7999999999999995E-2</v>
      </c>
      <c r="BH64">
        <f>BH13+BH37</f>
        <v>-7.6200000000000004E-2</v>
      </c>
      <c r="BI64">
        <f>BI13+BI37</f>
        <v>-4.6399999999999997E-2</v>
      </c>
      <c r="BJ64">
        <f>BJ13+BJ37</f>
        <v>-2.7600000000000006E-2</v>
      </c>
      <c r="BK64">
        <f>BK13+BK37</f>
        <v>-9.1999999999999998E-3</v>
      </c>
      <c r="BL64">
        <f>BL13+BL37</f>
        <v>-5.4999999999999979E-3</v>
      </c>
      <c r="BM64">
        <f>BM13+BM37</f>
        <v>-1.5899999999999997E-2</v>
      </c>
      <c r="BN64">
        <f>BN13+BN37</f>
        <v>-3.1800000000000002E-2</v>
      </c>
      <c r="BO64">
        <f>BO13+BO37</f>
        <v>-5.7500000000000009E-2</v>
      </c>
      <c r="BP64">
        <f>BP13+BP37</f>
        <v>-7.9100000000000004E-2</v>
      </c>
      <c r="BQ64">
        <f>BQ13+BQ37</f>
        <v>-8.1100000000000005E-2</v>
      </c>
      <c r="BR64">
        <f>BR13+BR37</f>
        <v>-7.7199999999999991E-2</v>
      </c>
      <c r="BS64">
        <f>BS13+BS37</f>
        <v>-5.2499999999999998E-2</v>
      </c>
      <c r="BT64">
        <f>BT13+BT37</f>
        <v>-2.9700000000000004E-2</v>
      </c>
      <c r="BU64">
        <f>BU13+BU37</f>
        <v>-2.0000000000000018E-3</v>
      </c>
      <c r="BV64">
        <f>BV13+BV37</f>
        <v>-9.7999999999999962E-3</v>
      </c>
      <c r="BW64">
        <f>BW13+BW37</f>
        <v>1.5000000000000013E-3</v>
      </c>
      <c r="BX64">
        <f>BX13+BX37</f>
        <v>-5.6000000000000008E-3</v>
      </c>
      <c r="BY64">
        <f>BY13+BY37</f>
        <v>-3.4799999999999998E-2</v>
      </c>
      <c r="BZ64">
        <f>BZ13+BZ37</f>
        <v>-8.7099999999999983E-2</v>
      </c>
      <c r="CA64">
        <f>CA13+CA37</f>
        <v>-0.10750000000000001</v>
      </c>
      <c r="CB64">
        <f>CB13+CB37</f>
        <v>-0.1022</v>
      </c>
      <c r="CC64">
        <f>CC13+CC37</f>
        <v>-0.129</v>
      </c>
      <c r="CD64">
        <f>CD13+CD37</f>
        <v>-0.13930000000000001</v>
      </c>
      <c r="CE64">
        <f>CE13+CE37</f>
        <v>-1.5299999999999994E-2</v>
      </c>
      <c r="CF64">
        <f>CF13+CF37</f>
        <v>1.5600000000000003E-2</v>
      </c>
      <c r="CG64">
        <f>CG13+CG37</f>
        <v>1.7699999999999994E-2</v>
      </c>
      <c r="CH64">
        <f>CH13+CH37</f>
        <v>3.2299999999999995E-2</v>
      </c>
      <c r="CI64">
        <f>CI13+CI37</f>
        <v>4.2099999999999999E-2</v>
      </c>
      <c r="CJ64">
        <f>CJ13+CJ37</f>
        <v>3.3199999999999993E-2</v>
      </c>
      <c r="CK64">
        <f>CK13+CK37</f>
        <v>-0.15210000000000001</v>
      </c>
      <c r="CL64">
        <f>CL13+CL37</f>
        <v>-0.13550000000000001</v>
      </c>
      <c r="CM64">
        <f>CM13+CM37</f>
        <v>-6.8399999999999989E-2</v>
      </c>
      <c r="CN64">
        <f>CN13+CN37</f>
        <v>1.7600000000000005E-2</v>
      </c>
      <c r="CO64">
        <f>CO13+CO37</f>
        <v>2.7699999999999995E-2</v>
      </c>
      <c r="CP64">
        <f>CP13+CP37</f>
        <v>-5.2900000000000003E-2</v>
      </c>
      <c r="CQ64">
        <f>CQ13+CQ37</f>
        <v>-0.17549999999999999</v>
      </c>
      <c r="CR64">
        <f>CR13+CR37</f>
        <v>-7.1099999999999997E-2</v>
      </c>
      <c r="CS64">
        <f>CS13+CS37</f>
        <v>-9.9699999999999983E-2</v>
      </c>
      <c r="CT64">
        <f>CT13+CT37</f>
        <v>-6.0899999999999996E-2</v>
      </c>
      <c r="CU64">
        <f>CU13+CU37</f>
        <v>0.10110000000000001</v>
      </c>
      <c r="CV64">
        <f>CV13+CV37</f>
        <v>-2.7200000000000002E-2</v>
      </c>
      <c r="CW64">
        <f>CW13+CW37</f>
        <v>3.2200000000000006E-2</v>
      </c>
      <c r="CX64">
        <f>CX13+CX37</f>
        <v>3.7900000000000003E-2</v>
      </c>
    </row>
    <row r="65" spans="1:102" x14ac:dyDescent="0.2">
      <c r="A65" t="s">
        <v>209</v>
      </c>
      <c r="B65" t="s">
        <v>220</v>
      </c>
      <c r="C65" t="s">
        <v>102</v>
      </c>
      <c r="D65">
        <f>D14+D38</f>
        <v>-5.4199999999999995E-3</v>
      </c>
      <c r="E65">
        <f>E14+E38</f>
        <v>5.5299999999999995E-2</v>
      </c>
      <c r="F65">
        <f>F14+F38</f>
        <v>-0.10747000000000001</v>
      </c>
      <c r="G65">
        <f>G14+G38</f>
        <v>-9.017E-2</v>
      </c>
      <c r="H65">
        <f>H14+H38</f>
        <v>-0.11928</v>
      </c>
      <c r="I65">
        <f>I14+I38</f>
        <v>-9.6279999999999991E-2</v>
      </c>
      <c r="J65">
        <f>J14+J38</f>
        <v>-0.12455000000000001</v>
      </c>
      <c r="K65">
        <f>K14+K38</f>
        <v>-0.11998</v>
      </c>
      <c r="L65">
        <f>L14+L38</f>
        <v>-0.10973999999999999</v>
      </c>
      <c r="M65">
        <f>M14+M38</f>
        <v>-9.620999999999999E-2</v>
      </c>
      <c r="N65">
        <f>N14+N38</f>
        <v>-0.11633</v>
      </c>
      <c r="O65">
        <f>O14+O38</f>
        <v>-0.15263000000000002</v>
      </c>
      <c r="P65">
        <f>P14+P38</f>
        <v>-0.14102999999999999</v>
      </c>
      <c r="Q65">
        <f>Q14+Q38</f>
        <v>-0.11042</v>
      </c>
      <c r="R65">
        <f>R14+R38</f>
        <v>-5.8780000000000006E-2</v>
      </c>
      <c r="S65">
        <f>S14+S38</f>
        <v>-4.0149999999999998E-2</v>
      </c>
      <c r="T65">
        <f>T14+T38</f>
        <v>-4.163E-2</v>
      </c>
      <c r="U65">
        <f>U14+U38</f>
        <v>-3.465E-2</v>
      </c>
      <c r="V65">
        <f>V14+V38</f>
        <v>-2.2599999999999999E-2</v>
      </c>
      <c r="W65">
        <f>W14+W38</f>
        <v>-1.2879999999999999E-2</v>
      </c>
      <c r="X65">
        <f>X14+X38</f>
        <v>-1.4809999999999999E-2</v>
      </c>
      <c r="Y65">
        <f>Y14+Y38</f>
        <v>-2.5999999999999999E-2</v>
      </c>
      <c r="Z65">
        <f>Z14+Z38</f>
        <v>-3.1539999999999999E-2</v>
      </c>
      <c r="AA65">
        <f>AA14+AA38</f>
        <v>-3.5439999999999999E-2</v>
      </c>
      <c r="AB65">
        <f>AB14+AB38</f>
        <v>-2.5219999999999999E-2</v>
      </c>
      <c r="AC65">
        <f>AC14+AC38</f>
        <v>-1.2700000000000003E-2</v>
      </c>
      <c r="AD65">
        <f>AD14+AD38</f>
        <v>-9.3200000000000019E-3</v>
      </c>
      <c r="AE65">
        <f>AE14+AE38</f>
        <v>-5.2400000000000007E-3</v>
      </c>
      <c r="AF65">
        <f>AF14+AF38</f>
        <v>7.11E-3</v>
      </c>
      <c r="AG65">
        <f>AG14+AG38</f>
        <v>1.5820000000000001E-2</v>
      </c>
      <c r="AH65">
        <f>AH14+AH38</f>
        <v>1.261E-2</v>
      </c>
      <c r="AI65">
        <f>AI14+AI38</f>
        <v>2.1249999999999998E-2</v>
      </c>
      <c r="AJ65">
        <f>AJ14+AJ38</f>
        <v>4.172E-2</v>
      </c>
      <c r="AK65">
        <f>AK14+AK38</f>
        <v>4.8649999999999999E-2</v>
      </c>
      <c r="AL65">
        <f>AL14+AL38</f>
        <v>5.1389999999999998E-2</v>
      </c>
      <c r="AM65">
        <f>AM14+AM38</f>
        <v>5.6870000000000004E-2</v>
      </c>
      <c r="AN65">
        <f>AN14+AN38</f>
        <v>5.5019999999999999E-2</v>
      </c>
      <c r="AO65">
        <f>AO14+AO38</f>
        <v>4.7850000000000004E-2</v>
      </c>
      <c r="AP65">
        <f>AP14+AP38</f>
        <v>2.563E-2</v>
      </c>
      <c r="AQ65">
        <f>AQ14+AQ38</f>
        <v>7.26E-3</v>
      </c>
      <c r="AR65">
        <f>AR14+AR38</f>
        <v>3.8599999999999997E-3</v>
      </c>
      <c r="AS65">
        <f>AS14+AS38</f>
        <v>-1.021E-2</v>
      </c>
      <c r="AT65">
        <f>AT14+AT38</f>
        <v>-5.340000000000001E-3</v>
      </c>
      <c r="AU65">
        <f>AU14+AU38</f>
        <v>-7.4600000000000014E-3</v>
      </c>
      <c r="AV65">
        <f>AV14+AV38</f>
        <v>1.1429999999999999E-2</v>
      </c>
      <c r="AW65">
        <f>AW14+AW38</f>
        <v>3.5339999999999996E-2</v>
      </c>
      <c r="AX65">
        <f>AX14+AX38</f>
        <v>6.6790000000000002E-2</v>
      </c>
      <c r="AY65">
        <f>AY14+AY38</f>
        <v>6.583E-2</v>
      </c>
      <c r="AZ65">
        <f>AZ14+AZ38</f>
        <v>7.3019999999999988E-2</v>
      </c>
      <c r="BA65">
        <f>BA14+BA38</f>
        <v>7.1929999999999994E-2</v>
      </c>
      <c r="BB65">
        <f>BB14+BB38</f>
        <v>5.824E-2</v>
      </c>
      <c r="BC65">
        <f>BC14+BC38</f>
        <v>2.368E-2</v>
      </c>
      <c r="BD65">
        <f>BD14+BD38</f>
        <v>-6.3E-3</v>
      </c>
      <c r="BE65">
        <f>BE14+BE38</f>
        <v>-1.5599999999999999E-2</v>
      </c>
      <c r="BF65">
        <f>BF14+BF38</f>
        <v>-1.7500000000000002E-2</v>
      </c>
      <c r="BG65">
        <f>BG14+BG38</f>
        <v>-2.0499999999999997E-2</v>
      </c>
      <c r="BH65">
        <f>BH14+BH38</f>
        <v>-1.1600000000000001E-2</v>
      </c>
      <c r="BI65">
        <f>BI14+BI38</f>
        <v>1.4789999999999999E-2</v>
      </c>
      <c r="BJ65">
        <f>BJ14+BJ38</f>
        <v>2.5899999999999999E-2</v>
      </c>
      <c r="BK65">
        <f>BK14+BK38</f>
        <v>2.9100000000000001E-2</v>
      </c>
      <c r="BL65">
        <f>BL14+BL38</f>
        <v>3.4500000000000003E-2</v>
      </c>
      <c r="BM65">
        <f>BM14+BM38</f>
        <v>2.8400000000000002E-2</v>
      </c>
      <c r="BN65">
        <f>BN14+BN38</f>
        <v>2.7100000000000006E-3</v>
      </c>
      <c r="BO65">
        <f>BO14+BO38</f>
        <v>-2.1299999999999999E-2</v>
      </c>
      <c r="BP65">
        <f>BP14+BP38</f>
        <v>-4.4899999999999995E-2</v>
      </c>
      <c r="BQ65">
        <f>BQ14+BQ38</f>
        <v>-5.0199999999999995E-2</v>
      </c>
      <c r="BR65">
        <f>BR14+BR38</f>
        <v>-4.5199999999999997E-2</v>
      </c>
      <c r="BS65">
        <f>BS14+BS38</f>
        <v>-2.1199999999999997E-2</v>
      </c>
      <c r="BT65">
        <f>BT14+BT38</f>
        <v>-1.3999999999999985E-3</v>
      </c>
      <c r="BU65">
        <f>BU14+BU38</f>
        <v>2.6099999999999998E-2</v>
      </c>
      <c r="BV65">
        <f>BV14+BV38</f>
        <v>1.0580000000000001E-2</v>
      </c>
      <c r="BW65">
        <f>BW14+BW38</f>
        <v>1.677E-2</v>
      </c>
      <c r="BX65">
        <f>BX14+BX38</f>
        <v>1.157E-2</v>
      </c>
      <c r="BY65">
        <f>BY14+BY38</f>
        <v>-1.7599999999999998E-2</v>
      </c>
      <c r="BZ65">
        <f>BZ14+BZ38</f>
        <v>-7.6399999999999996E-2</v>
      </c>
      <c r="CA65">
        <f>CA14+CA38</f>
        <v>-9.2600000000000002E-2</v>
      </c>
      <c r="CB65">
        <f>CB14+CB38</f>
        <v>-8.7799999999999989E-2</v>
      </c>
      <c r="CC65">
        <f>CC14+CC38</f>
        <v>-0.1132</v>
      </c>
      <c r="CD65">
        <f>CD14+CD38</f>
        <v>-0.11830000000000002</v>
      </c>
      <c r="CE65">
        <f>CE14+CE38</f>
        <v>1.7114999999999998E-2</v>
      </c>
      <c r="CF65">
        <f>CF14+CF38</f>
        <v>3.2500000000000001E-2</v>
      </c>
      <c r="CG65">
        <f>CG14+CG38</f>
        <v>2.8400000000000002E-2</v>
      </c>
      <c r="CH65">
        <f>CH14+CH38</f>
        <v>5.1299999999999998E-2</v>
      </c>
      <c r="CI65">
        <f>CI14+CI38</f>
        <v>4.4299999999999999E-2</v>
      </c>
      <c r="CJ65">
        <f>CJ14+CJ38</f>
        <v>4.07E-2</v>
      </c>
      <c r="CK65">
        <f>CK14+CK38</f>
        <v>-0.16259999999999999</v>
      </c>
      <c r="CL65">
        <f>CL14+CL38</f>
        <v>-0.1502</v>
      </c>
      <c r="CM65">
        <f>CM14+CM38</f>
        <v>-9.5200000000000007E-2</v>
      </c>
      <c r="CN65">
        <f>CN14+CN38</f>
        <v>-9.1999999999999998E-3</v>
      </c>
      <c r="CO65">
        <f>CO14+CO38</f>
        <v>1.468E-2</v>
      </c>
      <c r="CP65">
        <f>CP14+CP38</f>
        <v>-6.5700000000000008E-2</v>
      </c>
      <c r="CQ65">
        <f>CQ14+CQ38</f>
        <v>-0.2041</v>
      </c>
      <c r="CR65">
        <f>CR14+CR38</f>
        <v>-0.124</v>
      </c>
      <c r="CS65">
        <f>CS14+CS38</f>
        <v>-0.14119999999999999</v>
      </c>
      <c r="CT65">
        <f>CT14+CT38</f>
        <v>-0.1328</v>
      </c>
      <c r="CU65">
        <f>CU14+CU38</f>
        <v>5.4300000000000001E-2</v>
      </c>
      <c r="CV65">
        <f>CV14+CV38</f>
        <v>-0.12539999999999998</v>
      </c>
      <c r="CW65">
        <f>CW14+CW38</f>
        <v>-7.17E-2</v>
      </c>
      <c r="CX65">
        <f>CX14+CX38</f>
        <v>6.3999999999999994E-3</v>
      </c>
    </row>
    <row r="66" spans="1:102" x14ac:dyDescent="0.2">
      <c r="A66" t="s">
        <v>210</v>
      </c>
      <c r="B66" t="s">
        <v>220</v>
      </c>
      <c r="C66" t="s">
        <v>102</v>
      </c>
      <c r="D66">
        <f>D15+D39</f>
        <v>-1.2160000000000001E-2</v>
      </c>
      <c r="E66">
        <f>E15+E39</f>
        <v>-2.2360000000000001E-2</v>
      </c>
      <c r="F66">
        <f>F15+F39</f>
        <v>5.96E-3</v>
      </c>
      <c r="G66">
        <f>G15+G39</f>
        <v>-1.1599999999999998E-3</v>
      </c>
      <c r="H66">
        <f>H15+H39</f>
        <v>1.9740000000000001E-2</v>
      </c>
      <c r="I66">
        <f>I15+I39</f>
        <v>8.8099999999999984E-3</v>
      </c>
      <c r="J66">
        <f>J15+J39</f>
        <v>1.3779999999999999E-2</v>
      </c>
      <c r="K66">
        <f>K15+K39</f>
        <v>1.14E-2</v>
      </c>
      <c r="L66">
        <f>L15+L39</f>
        <v>8.0700000000000008E-3</v>
      </c>
      <c r="M66">
        <f>M15+M39</f>
        <v>4.0699999999999998E-3</v>
      </c>
      <c r="N66">
        <f>N15+N39</f>
        <v>1.1169999999999999E-2</v>
      </c>
      <c r="O66">
        <f>O15+O39</f>
        <v>1.77E-2</v>
      </c>
      <c r="P66">
        <f>P15+P39</f>
        <v>1.5214999999999999E-2</v>
      </c>
      <c r="Q66">
        <f>Q15+Q39</f>
        <v>8.3409999999999995E-3</v>
      </c>
      <c r="R66">
        <f>R15+R39</f>
        <v>9.8400000000000007E-4</v>
      </c>
      <c r="S66">
        <f>S15+S39</f>
        <v>-2.317E-3</v>
      </c>
      <c r="T66">
        <f>T15+T39</f>
        <v>-2.1740000000000002E-3</v>
      </c>
      <c r="U66">
        <f>U15+U39</f>
        <v>-3.0219999999999999E-3</v>
      </c>
      <c r="V66">
        <f>V15+V39</f>
        <v>-5.2459999999999998E-3</v>
      </c>
      <c r="W66">
        <f>W15+W39</f>
        <v>-4.8779999999999995E-3</v>
      </c>
      <c r="X66">
        <f>X15+X39</f>
        <v>-1.9849999999999998E-3</v>
      </c>
      <c r="Y66">
        <f>Y15+Y39</f>
        <v>-5.8079999999999991E-4</v>
      </c>
      <c r="Z66">
        <f>Z15+Z39</f>
        <v>5.0500000000000002E-4</v>
      </c>
      <c r="AA66">
        <f>AA15+AA39</f>
        <v>9.7500000000000006E-4</v>
      </c>
      <c r="AB66">
        <f>AB15+AB39</f>
        <v>-2.0460000000000001E-3</v>
      </c>
      <c r="AC66">
        <f>AC15+AC39</f>
        <v>-3.5560000000000001E-3</v>
      </c>
      <c r="AD66">
        <f>AD15+AD39</f>
        <v>-4.2209999999999999E-3</v>
      </c>
      <c r="AE66">
        <f>AE15+AE39</f>
        <v>-4.7070000000000002E-3</v>
      </c>
      <c r="AF66">
        <f>AF15+AF39</f>
        <v>-6.9960000000000005E-3</v>
      </c>
      <c r="AG66">
        <f>AG15+AG39</f>
        <v>-7.2700000000000004E-3</v>
      </c>
      <c r="AH66">
        <f>AH15+AH39</f>
        <v>-6.3310000000000007E-3</v>
      </c>
      <c r="AI66">
        <f>AI15+AI39</f>
        <v>-8.5140000000000007E-3</v>
      </c>
      <c r="AJ66">
        <f>AJ15+AJ39</f>
        <v>-1.3991E-2</v>
      </c>
      <c r="AK66">
        <f>AK15+AK39</f>
        <v>-1.545E-2</v>
      </c>
      <c r="AL66">
        <f>AL15+AL39</f>
        <v>-1.7409999999999998E-2</v>
      </c>
      <c r="AM66">
        <f>AM15+AM39</f>
        <v>-1.7260000000000001E-2</v>
      </c>
      <c r="AN66">
        <f>AN15+AN39</f>
        <v>-1.8099999999999998E-2</v>
      </c>
      <c r="AO66">
        <f>AO15+AO39</f>
        <v>-1.7180000000000001E-2</v>
      </c>
      <c r="AP66">
        <f>AP15+AP39</f>
        <v>-1.2140000000000001E-2</v>
      </c>
      <c r="AQ66">
        <f>AQ15+AQ39</f>
        <v>-5.2500000000000003E-3</v>
      </c>
      <c r="AR66">
        <f>AR15+AR39</f>
        <v>-2.3340000000000001E-3</v>
      </c>
      <c r="AS66">
        <f>AS15+AS39</f>
        <v>-3.1000000000000016E-4</v>
      </c>
      <c r="AT66">
        <f>AT15+AT39</f>
        <v>5.0000000000000131E-5</v>
      </c>
      <c r="AU66">
        <f>AU15+AU39</f>
        <v>6.0000000000000006E-4</v>
      </c>
      <c r="AV66">
        <f>AV15+AV39</f>
        <v>-4.5100000000000001E-3</v>
      </c>
      <c r="AW66">
        <f>AW15+AW39</f>
        <v>-1.1379999999999999E-2</v>
      </c>
      <c r="AX66">
        <f>AX15+AX39</f>
        <v>-1.8149999999999999E-2</v>
      </c>
      <c r="AY66">
        <f>AY15+AY39</f>
        <v>-1.9E-2</v>
      </c>
      <c r="AZ66">
        <f>AZ15+AZ39</f>
        <v>-2.0119999999999999E-2</v>
      </c>
      <c r="BA66">
        <f>BA15+BA39</f>
        <v>-1.949E-2</v>
      </c>
      <c r="BB66">
        <f>BB15+BB39</f>
        <v>-1.7919999999999998E-2</v>
      </c>
      <c r="BC66">
        <f>BC15+BC39</f>
        <v>-8.8500000000000002E-3</v>
      </c>
      <c r="BD66">
        <f>BD15+BD39</f>
        <v>-2.5240000000000002E-3</v>
      </c>
      <c r="BE66">
        <f>BE15+BE39</f>
        <v>1.0000000000000026E-4</v>
      </c>
      <c r="BF66">
        <f>BF15+BF39</f>
        <v>2.0000000000000009E-4</v>
      </c>
      <c r="BG66">
        <f>BG15+BG39</f>
        <v>1.82E-3</v>
      </c>
      <c r="BH66">
        <f>BH15+BH39</f>
        <v>1.9400000000000003E-3</v>
      </c>
      <c r="BI66">
        <f>BI15+BI39</f>
        <v>-3.48E-3</v>
      </c>
      <c r="BJ66">
        <f>BJ15+BJ39</f>
        <v>-5.5399999999999998E-3</v>
      </c>
      <c r="BK66">
        <f>BK15+BK39</f>
        <v>-8.94E-3</v>
      </c>
      <c r="BL66">
        <f>BL15+BL39</f>
        <v>-8.9300000000000004E-3</v>
      </c>
      <c r="BM66">
        <f>BM15+BM39</f>
        <v>-6.7100000000000007E-3</v>
      </c>
      <c r="BN66">
        <f>BN15+BN39</f>
        <v>6.7999999999999962E-4</v>
      </c>
      <c r="BO66">
        <f>BO15+BO39</f>
        <v>3.7699999999999999E-3</v>
      </c>
      <c r="BP66">
        <f>BP15+BP39</f>
        <v>7.8900000000000012E-3</v>
      </c>
      <c r="BQ66">
        <f>BQ15+BQ39</f>
        <v>8.1899999999999994E-3</v>
      </c>
      <c r="BR66">
        <f>BR15+BR39</f>
        <v>8.2199999999999999E-3</v>
      </c>
      <c r="BS66">
        <f>BS15+BS39</f>
        <v>1.7800000000000003E-3</v>
      </c>
      <c r="BT66">
        <f>BT15+BT39</f>
        <v>-4.47E-3</v>
      </c>
      <c r="BU66">
        <f>BU15+BU39</f>
        <v>-1.0059999999999999E-2</v>
      </c>
      <c r="BV66">
        <f>BV15+BV39</f>
        <v>-5.3299999999999997E-3</v>
      </c>
      <c r="BW66">
        <f>BW15+BW39</f>
        <v>-8.0700000000000008E-3</v>
      </c>
      <c r="BX66">
        <f>BX15+BX39</f>
        <v>-7.8300000000000002E-3</v>
      </c>
      <c r="BY66">
        <f>BY15+BY39</f>
        <v>6.7999999999999962E-4</v>
      </c>
      <c r="BZ66">
        <f>BZ15+BZ39</f>
        <v>1.435E-2</v>
      </c>
      <c r="CA66">
        <f>CA15+CA39</f>
        <v>1.668E-2</v>
      </c>
      <c r="CB66">
        <f>CB15+CB39</f>
        <v>1.2070000000000001E-2</v>
      </c>
      <c r="CC66">
        <f>CC15+CC39</f>
        <v>1.9740000000000001E-2</v>
      </c>
      <c r="CD66">
        <f>CD15+CD39</f>
        <v>2.2210000000000001E-2</v>
      </c>
      <c r="CE66">
        <f>CE15+CE39</f>
        <v>-9.6100000000000005E-3</v>
      </c>
      <c r="CF66">
        <f>CF15+CF39</f>
        <v>-1.244E-2</v>
      </c>
      <c r="CG66">
        <f>CG15+CG39</f>
        <v>-1.2359999999999999E-2</v>
      </c>
      <c r="CH66">
        <f>CH15+CH39</f>
        <v>-1.2109999999999999E-2</v>
      </c>
      <c r="CI66">
        <f>CI15+CI39</f>
        <v>-1.7649999999999999E-2</v>
      </c>
      <c r="CJ66">
        <f>CJ15+CJ39</f>
        <v>-1.6890000000000002E-2</v>
      </c>
      <c r="CK66">
        <f>CK15+CK39</f>
        <v>2.4E-2</v>
      </c>
      <c r="CL66">
        <f>CL15+CL39</f>
        <v>2.4680000000000001E-2</v>
      </c>
      <c r="CM66">
        <f>CM15+CM39</f>
        <v>1.6840000000000001E-2</v>
      </c>
      <c r="CN66">
        <f>CN15+CN39</f>
        <v>-4.3400000000000001E-3</v>
      </c>
      <c r="CO66">
        <f>CO15+CO39</f>
        <v>-6.6600000000000001E-3</v>
      </c>
      <c r="CP66">
        <f>CP15+CP39</f>
        <v>1.745E-2</v>
      </c>
      <c r="CQ66">
        <f>CQ15+CQ39</f>
        <v>4.8749999999999995E-2</v>
      </c>
      <c r="CR66">
        <f>CR15+CR39</f>
        <v>2.0230000000000001E-2</v>
      </c>
      <c r="CS66">
        <f>CS15+CS39</f>
        <v>2.4029999999999999E-2</v>
      </c>
      <c r="CT66">
        <f>CT15+CT39</f>
        <v>2.835E-2</v>
      </c>
      <c r="CU66">
        <f>CU15+CU39</f>
        <v>-2.4040000000000002E-2</v>
      </c>
      <c r="CV66">
        <f>CV15+CV39</f>
        <v>2.6000000000000003E-3</v>
      </c>
      <c r="CW66">
        <f>CW15+CW39</f>
        <v>6.4700000000000001E-3</v>
      </c>
      <c r="CX66">
        <f>CX15+CX39</f>
        <v>1.1979999999999999E-2</v>
      </c>
    </row>
    <row r="67" spans="1:102" x14ac:dyDescent="0.2">
      <c r="A67" t="s">
        <v>211</v>
      </c>
      <c r="B67" t="s">
        <v>220</v>
      </c>
      <c r="C67" t="s">
        <v>102</v>
      </c>
      <c r="D67">
        <f>D16+D40</f>
        <v>1.4350000000000002E-2</v>
      </c>
      <c r="E67">
        <f>E16+E40</f>
        <v>8.7299999999999999E-3</v>
      </c>
      <c r="F67">
        <f>F16+F40</f>
        <v>2.3189999999999999E-2</v>
      </c>
      <c r="G67">
        <f>G16+G40</f>
        <v>1.575E-2</v>
      </c>
      <c r="H67">
        <f>H16+H40</f>
        <v>1.8679999999999999E-2</v>
      </c>
      <c r="I67">
        <f>I16+I40</f>
        <v>1.4259999999999998E-2</v>
      </c>
      <c r="J67">
        <f>J16+J40</f>
        <v>9.8500000000000011E-3</v>
      </c>
      <c r="K67">
        <f>K16+K40</f>
        <v>1.2410000000000001E-2</v>
      </c>
      <c r="L67">
        <f>L16+L40</f>
        <v>7.2900000000000005E-3</v>
      </c>
      <c r="M67">
        <f>M16+M40</f>
        <v>6.6599999999999993E-3</v>
      </c>
      <c r="N67">
        <f>N16+N40</f>
        <v>1.308E-2</v>
      </c>
      <c r="O67">
        <f>O16+O40</f>
        <v>1.9999999999999997E-2</v>
      </c>
      <c r="P67">
        <f>P16+P40</f>
        <v>1.678E-2</v>
      </c>
      <c r="Q67">
        <f>Q16+Q40</f>
        <v>1.323E-2</v>
      </c>
      <c r="R67">
        <f>R16+R40</f>
        <v>9.5499999999999995E-3</v>
      </c>
      <c r="S67">
        <f>S16+S40</f>
        <v>1.098E-2</v>
      </c>
      <c r="T67">
        <f>T16+T40</f>
        <v>7.28E-3</v>
      </c>
      <c r="U67">
        <f>U16+U40</f>
        <v>8.320000000000001E-3</v>
      </c>
      <c r="V67">
        <f>V16+V40</f>
        <v>5.7600000000000004E-3</v>
      </c>
      <c r="W67">
        <f>W16+W40</f>
        <v>5.45E-3</v>
      </c>
      <c r="X67">
        <f>X16+X40</f>
        <v>7.6E-3</v>
      </c>
      <c r="Y67">
        <f>Y16+Y40</f>
        <v>7.8599999999999989E-3</v>
      </c>
      <c r="Z67">
        <f>Z16+Z40</f>
        <v>7.9499999999999987E-3</v>
      </c>
      <c r="AA67">
        <f>AA16+AA40</f>
        <v>7.3499999999999998E-3</v>
      </c>
      <c r="AB67">
        <f>AB16+AB40</f>
        <v>2.0899999999999998E-3</v>
      </c>
      <c r="AC67">
        <f>AC16+AC40</f>
        <v>2.9999999999999992E-4</v>
      </c>
      <c r="AD67">
        <f>AD16+AD40</f>
        <v>1.3900000000000002E-3</v>
      </c>
      <c r="AE67">
        <f>AE16+AE40</f>
        <v>1.0600000000000002E-3</v>
      </c>
      <c r="AF67">
        <f>AF16+AF40</f>
        <v>2.8600000000000001E-3</v>
      </c>
      <c r="AG67">
        <f>AG16+AG40</f>
        <v>4.45E-3</v>
      </c>
      <c r="AH67">
        <f>AH16+AH40</f>
        <v>2.7499999999999998E-3</v>
      </c>
      <c r="AI67">
        <f>AI16+AI40</f>
        <v>1.6999999999999999E-3</v>
      </c>
      <c r="AJ67">
        <f>AJ16+AJ40</f>
        <v>-1.3000000000000012E-4</v>
      </c>
      <c r="AK67">
        <f>AK16+AK40</f>
        <v>-2.2919999999999998E-3</v>
      </c>
      <c r="AL67">
        <f>AL16+AL40</f>
        <v>-3.3499999999999997E-3</v>
      </c>
      <c r="AM67">
        <f>AM16+AM40</f>
        <v>-4.45E-3</v>
      </c>
      <c r="AN67">
        <f>AN16+AN40</f>
        <v>-4.3899999999999998E-3</v>
      </c>
      <c r="AO67">
        <f>AO16+AO40</f>
        <v>1.57E-3</v>
      </c>
      <c r="AP67">
        <f>AP16+AP40</f>
        <v>3.4799999999999996E-3</v>
      </c>
      <c r="AQ67">
        <f>AQ16+AQ40</f>
        <v>4.4900000000000001E-3</v>
      </c>
      <c r="AR67">
        <f>AR16+AR40</f>
        <v>2.8500000000000001E-3</v>
      </c>
      <c r="AS67">
        <f>AS16+AS40</f>
        <v>1.3800000000000002E-3</v>
      </c>
      <c r="AT67">
        <f>AT16+AT40</f>
        <v>1.7200000000000002E-3</v>
      </c>
      <c r="AU67">
        <f>AU16+AU40</f>
        <v>1.67E-3</v>
      </c>
      <c r="AV67">
        <f>AV16+AV40</f>
        <v>4.3299999999999996E-3</v>
      </c>
      <c r="AW67">
        <f>AW16+AW40</f>
        <v>3.1299999999999995E-3</v>
      </c>
      <c r="AX67">
        <f>AX16+AX40</f>
        <v>1.3599999999999997E-3</v>
      </c>
      <c r="AY67">
        <f>AY16+AY40</f>
        <v>-2.183E-3</v>
      </c>
      <c r="AZ67">
        <f>AZ16+AZ40</f>
        <v>-1.3839999999999998E-3</v>
      </c>
      <c r="BA67">
        <f>BA16+BA40</f>
        <v>-1.0999999999999985E-4</v>
      </c>
      <c r="BB67">
        <f>BB16+BB40</f>
        <v>-6.1000000000000008E-4</v>
      </c>
      <c r="BC67">
        <f>BC16+BC40</f>
        <v>1.5400000000000001E-3</v>
      </c>
      <c r="BD67">
        <f>BD16+BD40</f>
        <v>1.7600000000000003E-3</v>
      </c>
      <c r="BE67">
        <f>BE16+BE40</f>
        <v>5.850000000000001E-3</v>
      </c>
      <c r="BF67">
        <f>BF16+BF40</f>
        <v>1.0330000000000001E-2</v>
      </c>
      <c r="BG67">
        <f>BG16+BG40</f>
        <v>8.9999999999999993E-3</v>
      </c>
      <c r="BH67">
        <f>BH16+BH40</f>
        <v>8.8999999999999999E-3</v>
      </c>
      <c r="BI67">
        <f>BI16+BI40</f>
        <v>5.5799999999999999E-3</v>
      </c>
      <c r="BJ67">
        <f>BJ16+BJ40</f>
        <v>5.5799999999999999E-3</v>
      </c>
      <c r="BK67">
        <f>BK16+BK40</f>
        <v>2.15E-3</v>
      </c>
      <c r="BL67">
        <f>BL16+BL40</f>
        <v>2.0100000000000001E-3</v>
      </c>
      <c r="BM67">
        <f>BM16+BM40</f>
        <v>4.1400000000000005E-3</v>
      </c>
      <c r="BN67">
        <f>BN16+BN40</f>
        <v>9.7900000000000001E-3</v>
      </c>
      <c r="BO67">
        <f>BO16+BO40</f>
        <v>1.238E-2</v>
      </c>
      <c r="BP67">
        <f>BP16+BP40</f>
        <v>0.01</v>
      </c>
      <c r="BQ67">
        <f>BQ16+BQ40</f>
        <v>1.0270000000000001E-2</v>
      </c>
      <c r="BR67">
        <f>BR16+BR40</f>
        <v>1.736E-2</v>
      </c>
      <c r="BS67">
        <f>BS16+BS40</f>
        <v>1.2359999999999999E-2</v>
      </c>
      <c r="BT67">
        <f>BT16+BT40</f>
        <v>6.3299999999999997E-3</v>
      </c>
      <c r="BU67">
        <f>BU16+BU40</f>
        <v>4.96E-3</v>
      </c>
      <c r="BV67">
        <f>BV16+BV40</f>
        <v>7.4099999999999999E-3</v>
      </c>
      <c r="BW67">
        <f>BW16+BW40</f>
        <v>4.9099999999999994E-3</v>
      </c>
      <c r="BX67">
        <f>BX16+BX40</f>
        <v>1.3500000000000001E-3</v>
      </c>
      <c r="BY67">
        <f>BY16+BY40</f>
        <v>3.5000000000000005E-3</v>
      </c>
      <c r="BZ67">
        <f>BZ16+BZ40</f>
        <v>1.294E-2</v>
      </c>
      <c r="CA67">
        <f>CA16+CA40</f>
        <v>1.2469999999999998E-2</v>
      </c>
      <c r="CB67">
        <f>CB16+CB40</f>
        <v>6.1200000000000004E-3</v>
      </c>
      <c r="CC67">
        <f>CC16+CC40</f>
        <v>1.0790000000000001E-2</v>
      </c>
      <c r="CD67">
        <f>CD16+CD40</f>
        <v>2.0639999999999999E-2</v>
      </c>
      <c r="CE67">
        <f>CE16+CE40</f>
        <v>1.7099999999999997E-3</v>
      </c>
      <c r="CF67">
        <f>CF16+CF40</f>
        <v>-2.2499999999999998E-3</v>
      </c>
      <c r="CG67">
        <f>CG16+CG40</f>
        <v>-1.97E-3</v>
      </c>
      <c r="CH67">
        <f>CH16+CH40</f>
        <v>-8.7399999999999995E-3</v>
      </c>
      <c r="CI67">
        <f>CI16+CI40</f>
        <v>-1.5790000000000002E-2</v>
      </c>
      <c r="CJ67">
        <f>CJ16+CJ40</f>
        <v>-1.5690000000000003E-2</v>
      </c>
      <c r="CK67">
        <f>CK16+CK40</f>
        <v>1.2559999999999998E-2</v>
      </c>
      <c r="CL67">
        <f>CL16+CL40</f>
        <v>2.5999999999999999E-3</v>
      </c>
      <c r="CM67">
        <f>CM16+CM40</f>
        <v>3.6000000000000008E-4</v>
      </c>
      <c r="CN67">
        <f>CN16+CN40</f>
        <v>-2.2579999999999999E-2</v>
      </c>
      <c r="CO67">
        <f>CO16+CO40</f>
        <v>-3.2099999999999997E-2</v>
      </c>
      <c r="CP67">
        <f>CP16+CP40</f>
        <v>-2.2589999999999999E-2</v>
      </c>
      <c r="CQ67">
        <f>CQ16+CQ40</f>
        <v>6.0000000000000001E-3</v>
      </c>
      <c r="CR67">
        <f>CR16+CR40</f>
        <v>-1.5900000000000001E-2</v>
      </c>
      <c r="CS67">
        <f>CS16+CS40</f>
        <v>-1.8500000000000001E-3</v>
      </c>
      <c r="CT67">
        <f>CT16+CT40</f>
        <v>-1.112E-2</v>
      </c>
      <c r="CU67">
        <f>CU16+CU40</f>
        <v>-5.1119999999999999E-2</v>
      </c>
      <c r="CV67">
        <f>CV16+CV40</f>
        <v>-2.6610000000000002E-2</v>
      </c>
      <c r="CW67">
        <f>CW16+CW40</f>
        <v>-3.8010000000000002E-2</v>
      </c>
      <c r="CX67">
        <f>CX16+CX40</f>
        <v>-5.4339999999999999E-2</v>
      </c>
    </row>
    <row r="68" spans="1:102" x14ac:dyDescent="0.2">
      <c r="A68" t="s">
        <v>212</v>
      </c>
      <c r="B68" t="s">
        <v>220</v>
      </c>
      <c r="C68" t="s">
        <v>102</v>
      </c>
      <c r="D68">
        <f>D17+D41</f>
        <v>-1.8599999999999997E-3</v>
      </c>
      <c r="E68">
        <f>E17+E41</f>
        <v>-4.5800000000000007E-3</v>
      </c>
      <c r="F68">
        <f>F17+F41</f>
        <v>5.9500000000000004E-3</v>
      </c>
      <c r="G68">
        <f>G17+G41</f>
        <v>-1.0400000000000001E-3</v>
      </c>
      <c r="H68">
        <f>H17+H41</f>
        <v>6.7099999999999998E-3</v>
      </c>
      <c r="I68">
        <f>I17+I41</f>
        <v>1.7880000000000001E-3</v>
      </c>
      <c r="J68">
        <f>J17+J41</f>
        <v>5.8700000000000002E-3</v>
      </c>
      <c r="K68">
        <f>K17+K41</f>
        <v>6.2500000000000003E-3</v>
      </c>
      <c r="L68">
        <f>L17+L41</f>
        <v>4.7699999999999999E-3</v>
      </c>
      <c r="M68">
        <f>M17+M41</f>
        <v>4.1900000000000001E-3</v>
      </c>
      <c r="N68">
        <f>N17+N41</f>
        <v>8.2360000000000003E-3</v>
      </c>
      <c r="O68">
        <f>O17+O41</f>
        <v>1.1368000000000001E-2</v>
      </c>
      <c r="P68">
        <f>P17+P41</f>
        <v>1.0877999999999999E-2</v>
      </c>
      <c r="Q68">
        <f>Q17+Q41</f>
        <v>7.8510000000000003E-3</v>
      </c>
      <c r="R68">
        <f>R17+R41</f>
        <v>3.5740000000000004E-3</v>
      </c>
      <c r="S68">
        <f>S17+S41</f>
        <v>2.9690000000000003E-3</v>
      </c>
      <c r="T68">
        <f>T17+T41</f>
        <v>2.898E-3</v>
      </c>
      <c r="U68">
        <f>U17+U41</f>
        <v>3.2469999999999999E-3</v>
      </c>
      <c r="V68">
        <f>V17+V41</f>
        <v>2.245E-3</v>
      </c>
      <c r="W68">
        <f>W17+W41</f>
        <v>1.9250000000000001E-3</v>
      </c>
      <c r="X68">
        <f>X17+X41</f>
        <v>2.1449999999999998E-3</v>
      </c>
      <c r="Y68">
        <f>Y17+Y41</f>
        <v>2.1099999999999999E-3</v>
      </c>
      <c r="Z68">
        <f>Z17+Z41</f>
        <v>2.3010000000000001E-3</v>
      </c>
      <c r="AA68">
        <f>AA17+AA41</f>
        <v>2.0460000000000001E-3</v>
      </c>
      <c r="AB68">
        <f>AB17+AB41</f>
        <v>1.312E-3</v>
      </c>
      <c r="AC68">
        <f>AC17+AC41</f>
        <v>1.2489999999999999E-3</v>
      </c>
      <c r="AD68">
        <f>AD17+AD41</f>
        <v>8.830000000000001E-4</v>
      </c>
      <c r="AE68">
        <f>AE17+AE41</f>
        <v>4.5399999999999998E-4</v>
      </c>
      <c r="AF68">
        <f>AF17+AF41</f>
        <v>6.6399999999999999E-4</v>
      </c>
      <c r="AG68">
        <f>AG17+AG41</f>
        <v>4.15E-4</v>
      </c>
      <c r="AH68">
        <f>AH17+AH41</f>
        <v>1.1099999999999999E-4</v>
      </c>
      <c r="AI68">
        <f>AI17+AI41</f>
        <v>-2.3099999999999998E-4</v>
      </c>
      <c r="AJ68">
        <f>AJ17+AJ41</f>
        <v>-8.9900000000000006E-4</v>
      </c>
      <c r="AK68">
        <f>AK17+AK41</f>
        <v>-9.2499999999999982E-4</v>
      </c>
      <c r="AL68">
        <f>AL17+AL41</f>
        <v>-3.9600000000000003E-4</v>
      </c>
      <c r="AM68">
        <f>AM17+AM41</f>
        <v>-2.8800000000000006E-4</v>
      </c>
      <c r="AN68">
        <f>AN17+AN41</f>
        <v>-1.6799999999999996E-4</v>
      </c>
      <c r="AO68">
        <f>AO17+AO41</f>
        <v>2.2770000000000003E-4</v>
      </c>
      <c r="AP68">
        <f>AP17+AP41</f>
        <v>6.4799999999999992E-4</v>
      </c>
      <c r="AQ68">
        <f>AQ17+AQ41</f>
        <v>5.7799999999999995E-4</v>
      </c>
      <c r="AR68">
        <f>AR17+AR41</f>
        <v>7.5900000000000002E-4</v>
      </c>
      <c r="AS68">
        <f>AS17+AS41</f>
        <v>1.093E-3</v>
      </c>
      <c r="AT68">
        <f>AT17+AT41</f>
        <v>1.0119999999999999E-3</v>
      </c>
      <c r="AU68">
        <f>AU17+AU41</f>
        <v>7.9100000000000004E-4</v>
      </c>
      <c r="AV68">
        <f>AV17+AV41</f>
        <v>1.2079999999999999E-3</v>
      </c>
      <c r="AW68">
        <f>AW17+AW41</f>
        <v>8.9700000000000001E-4</v>
      </c>
      <c r="AX68">
        <f>AX17+AX41</f>
        <v>3.97E-4</v>
      </c>
      <c r="AY68">
        <f>AY17+AY41</f>
        <v>-1.3700000000000002E-4</v>
      </c>
      <c r="AZ68">
        <f>AZ17+AZ41</f>
        <v>-3.2400000000000001E-4</v>
      </c>
      <c r="BA68">
        <f>BA17+BA41</f>
        <v>-8.2799999999999996E-4</v>
      </c>
      <c r="BB68">
        <f>BB17+BB41</f>
        <v>-8.879999999999999E-4</v>
      </c>
      <c r="BC68">
        <f>BC17+BC41</f>
        <v>-1.36E-4</v>
      </c>
      <c r="BD68">
        <f>BD17+BD41</f>
        <v>5.3199999999999992E-4</v>
      </c>
      <c r="BE68">
        <f>BE17+BE41</f>
        <v>7.7799999999999994E-4</v>
      </c>
      <c r="BF68">
        <f>BF17+BF41</f>
        <v>1.356E-3</v>
      </c>
      <c r="BG68">
        <f>BG17+BG41</f>
        <v>1.111E-3</v>
      </c>
      <c r="BH68">
        <f>BH17+BH41</f>
        <v>7.1000000000000002E-4</v>
      </c>
      <c r="BI68">
        <f>BI17+BI41</f>
        <v>4.3399999999999998E-4</v>
      </c>
      <c r="BJ68">
        <f>BJ17+BJ41</f>
        <v>6.96E-4</v>
      </c>
      <c r="BK68">
        <f>BK17+BK41</f>
        <v>1.15E-4</v>
      </c>
      <c r="BL68">
        <f>BL17+BL41</f>
        <v>3.8699999999999997E-4</v>
      </c>
      <c r="BM68">
        <f>BM17+BM41</f>
        <v>4.8300000000000003E-4</v>
      </c>
      <c r="BN68">
        <f>BN17+BN41</f>
        <v>8.1700000000000002E-4</v>
      </c>
      <c r="BO68">
        <f>BO17+BO41</f>
        <v>7.9299999999999998E-4</v>
      </c>
      <c r="BP68">
        <f>BP17+BP41</f>
        <v>1.526E-3</v>
      </c>
      <c r="BQ68">
        <f>BQ17+BQ41</f>
        <v>2.0629999999999997E-3</v>
      </c>
      <c r="BR68">
        <f>BR17+BR41</f>
        <v>2.2620000000000001E-3</v>
      </c>
      <c r="BS68">
        <f>BS17+BS41</f>
        <v>1.475E-3</v>
      </c>
      <c r="BT68">
        <f>BT17+BT41</f>
        <v>1.065E-3</v>
      </c>
      <c r="BU68">
        <f>BU17+BU41</f>
        <v>1.1590000000000001E-3</v>
      </c>
      <c r="BV68">
        <f>BV17+BV41</f>
        <v>2.2240000000000003E-3</v>
      </c>
      <c r="BW68">
        <f>BW17+BW41</f>
        <v>1.99E-3</v>
      </c>
      <c r="BX68">
        <f>BX17+BX41</f>
        <v>1.1560000000000001E-3</v>
      </c>
      <c r="BY68">
        <f>BY17+BY41</f>
        <v>2.163E-3</v>
      </c>
      <c r="BZ68">
        <f>BZ17+BZ41</f>
        <v>2.6909999999999998E-3</v>
      </c>
      <c r="CA68">
        <f>CA17+CA41</f>
        <v>3.1780000000000003E-3</v>
      </c>
      <c r="CB68">
        <f>CB17+CB41</f>
        <v>3.0620000000000001E-3</v>
      </c>
      <c r="CC68">
        <f>CC17+CC41</f>
        <v>3.3709999999999999E-3</v>
      </c>
      <c r="CD68">
        <f>CD17+CD41</f>
        <v>2.9969999999999997E-3</v>
      </c>
      <c r="CE68">
        <f>CE17+CE41</f>
        <v>6.1000000000000008E-4</v>
      </c>
      <c r="CF68">
        <f>CF17+CF41</f>
        <v>-5.0999999999999993E-5</v>
      </c>
      <c r="CG68">
        <f>CG17+CG41</f>
        <v>-6.2999999999999986E-5</v>
      </c>
      <c r="CH68">
        <f>CH17+CH41</f>
        <v>-1.7400000000000003E-4</v>
      </c>
      <c r="CI68">
        <f>CI17+CI41</f>
        <v>-4.9800000000000007E-4</v>
      </c>
      <c r="CJ68">
        <f>CJ17+CJ41</f>
        <v>-8.209999999999999E-4</v>
      </c>
      <c r="CK68">
        <f>CK17+CK41</f>
        <v>4.1100000000000002E-4</v>
      </c>
      <c r="CL68">
        <f>CL17+CL41</f>
        <v>1.3519999999999999E-3</v>
      </c>
      <c r="CM68">
        <f>CM17+CM41</f>
        <v>6.2799999999999998E-4</v>
      </c>
      <c r="CN68">
        <f>CN17+CN41</f>
        <v>1.864E-4</v>
      </c>
      <c r="CO68">
        <f>CO17+CO41</f>
        <v>-1.0430000000000001E-3</v>
      </c>
      <c r="CP68">
        <f>CP17+CP41</f>
        <v>-6.7599999999999995E-4</v>
      </c>
      <c r="CQ68">
        <f>CQ17+CQ41</f>
        <v>6.7599999999999995E-4</v>
      </c>
      <c r="CR68">
        <f>CR17+CR41</f>
        <v>-7.7300000000000003E-4</v>
      </c>
      <c r="CS68">
        <f>CS17+CS41</f>
        <v>1.228E-4</v>
      </c>
      <c r="CT68">
        <f>CT17+CT41</f>
        <v>-6.3299999999999999E-4</v>
      </c>
      <c r="CU68">
        <f>CU17+CU41</f>
        <v>-1.395E-3</v>
      </c>
      <c r="CV68">
        <f>CV17+CV41</f>
        <v>-1.513E-3</v>
      </c>
      <c r="CW68">
        <f>CW17+CW41</f>
        <v>-3.6740000000000002E-3</v>
      </c>
      <c r="CX68">
        <f>CX17+CX41</f>
        <v>-4.8329999999999996E-3</v>
      </c>
    </row>
    <row r="69" spans="1:102" x14ac:dyDescent="0.2">
      <c r="A69" t="s">
        <v>213</v>
      </c>
      <c r="B69" t="s">
        <v>220</v>
      </c>
      <c r="C69" t="s">
        <v>102</v>
      </c>
      <c r="D69">
        <f>D18+D42</f>
        <v>8.4430000000000005E-2</v>
      </c>
      <c r="E69">
        <f>E18+E42</f>
        <v>0.12240000000000001</v>
      </c>
      <c r="F69">
        <f>F18+F42</f>
        <v>3.78E-2</v>
      </c>
      <c r="G69">
        <f>G18+G42</f>
        <v>5.3400000000000003E-2</v>
      </c>
      <c r="H69">
        <f>H18+H42</f>
        <v>-1.6600000000000004E-2</v>
      </c>
      <c r="I69">
        <f>I18+I42</f>
        <v>2.6200000000000001E-2</v>
      </c>
      <c r="J69">
        <f>J18+J42</f>
        <v>-1.4099999999999998E-2</v>
      </c>
      <c r="K69">
        <f>K18+K42</f>
        <v>-9.9999999999999985E-3</v>
      </c>
      <c r="L69">
        <f>L18+L42</f>
        <v>-1.2499999999999999E-2</v>
      </c>
      <c r="M69">
        <f>M18+M42</f>
        <v>-1.2299999999999998E-2</v>
      </c>
      <c r="N69">
        <f>N18+N42</f>
        <v>-6.9500000000000006E-2</v>
      </c>
      <c r="O69">
        <f>O18+O42</f>
        <v>-0.12806000000000001</v>
      </c>
      <c r="P69">
        <f>P18+P42</f>
        <v>-0.13103000000000001</v>
      </c>
      <c r="Q69">
        <f>Q18+Q42</f>
        <v>-0.10621</v>
      </c>
      <c r="R69">
        <f>R18+R42</f>
        <v>-6.5739999999999993E-2</v>
      </c>
      <c r="S69">
        <f>S18+S42</f>
        <v>-4.9250000000000002E-2</v>
      </c>
      <c r="T69">
        <f>T18+T42</f>
        <v>-5.0310000000000001E-2</v>
      </c>
      <c r="U69">
        <f>U18+U42</f>
        <v>-5.1700000000000003E-2</v>
      </c>
      <c r="V69">
        <f>V18+V42</f>
        <v>-4.292E-2</v>
      </c>
      <c r="W69">
        <f>W18+W42</f>
        <v>-4.0759999999999998E-2</v>
      </c>
      <c r="X69">
        <f>X18+X42</f>
        <v>-4.496E-2</v>
      </c>
      <c r="Y69">
        <f>Y18+Y42</f>
        <v>-4.7530000000000003E-2</v>
      </c>
      <c r="Z69">
        <f>Z18+Z42</f>
        <v>-4.7349999999999996E-2</v>
      </c>
      <c r="AA69">
        <f>AA18+AA42</f>
        <v>-4.3110000000000002E-2</v>
      </c>
      <c r="AB69">
        <f>AB18+AB42</f>
        <v>-3.8449999999999998E-2</v>
      </c>
      <c r="AC69">
        <f>AC18+AC42</f>
        <v>-3.066E-2</v>
      </c>
      <c r="AD69">
        <f>AD18+AD42</f>
        <v>-2.4100000000000003E-2</v>
      </c>
      <c r="AE69">
        <f>AE18+AE42</f>
        <v>-2.708E-2</v>
      </c>
      <c r="AF69">
        <f>AF18+AF42</f>
        <v>-2.1680000000000001E-2</v>
      </c>
      <c r="AG69">
        <f>AG18+AG42</f>
        <v>-2.102E-2</v>
      </c>
      <c r="AH69">
        <f>AH18+AH42</f>
        <v>-2.0219999999999998E-2</v>
      </c>
      <c r="AI69">
        <f>AI18+AI42</f>
        <v>-1.4159999999999999E-2</v>
      </c>
      <c r="AJ69">
        <f>AJ18+AJ42</f>
        <v>-1.095E-2</v>
      </c>
      <c r="AK69">
        <f>AK18+AK42</f>
        <v>-7.7099999999999998E-3</v>
      </c>
      <c r="AL69">
        <f>AL18+AL42</f>
        <v>-9.1800000000000007E-3</v>
      </c>
      <c r="AM69">
        <f>AM18+AM42</f>
        <v>-1.172E-2</v>
      </c>
      <c r="AN69">
        <f>AN18+AN42</f>
        <v>-1.8419999999999999E-2</v>
      </c>
      <c r="AO69">
        <f>AO18+AO42</f>
        <v>-2.3359999999999999E-2</v>
      </c>
      <c r="AP69">
        <f>AP18+AP42</f>
        <v>-2.5439999999999997E-2</v>
      </c>
      <c r="AQ69">
        <f>AQ18+AQ42</f>
        <v>-2.486E-2</v>
      </c>
      <c r="AR69">
        <f>AR18+AR42</f>
        <v>-2.273E-2</v>
      </c>
      <c r="AS69">
        <f>AS18+AS42</f>
        <v>-1.7469999999999999E-2</v>
      </c>
      <c r="AT69">
        <f>AT18+AT42</f>
        <v>-1.473E-2</v>
      </c>
      <c r="AU69">
        <f>AU18+AU42</f>
        <v>-9.2800000000000001E-3</v>
      </c>
      <c r="AV69">
        <f>AV18+AV42</f>
        <v>-5.3399999999999993E-3</v>
      </c>
      <c r="AW69">
        <f>AW18+AW42</f>
        <v>-2.4450000000000001E-3</v>
      </c>
      <c r="AX69">
        <f>AX18+AX42</f>
        <v>-8.9499999999999985E-4</v>
      </c>
      <c r="AY69">
        <f>AY18+AY42</f>
        <v>-2.8419999999999999E-3</v>
      </c>
      <c r="AZ69">
        <f>AZ18+AZ42</f>
        <v>-9.1490000000000009E-3</v>
      </c>
      <c r="BA69">
        <f>BA18+BA42</f>
        <v>-1.0856999999999999E-2</v>
      </c>
      <c r="BB69">
        <f>BB18+BB42</f>
        <v>-1.0598999999999999E-2</v>
      </c>
      <c r="BC69">
        <f>BC18+BC42</f>
        <v>-1.2881999999999999E-2</v>
      </c>
      <c r="BD69">
        <f>BD18+BD42</f>
        <v>-1.2433999999999999E-2</v>
      </c>
      <c r="BE69">
        <f>BE18+BE42</f>
        <v>-1.2411999999999999E-2</v>
      </c>
      <c r="BF69">
        <f>BF18+BF42</f>
        <v>-1.2279E-2</v>
      </c>
      <c r="BG69">
        <f>BG18+BG42</f>
        <v>-7.4289999999999998E-3</v>
      </c>
      <c r="BH69">
        <f>BH18+BH42</f>
        <v>-5.7879999999999997E-3</v>
      </c>
      <c r="BI69">
        <f>BI18+BI42</f>
        <v>-8.5979999999999997E-3</v>
      </c>
      <c r="BJ69">
        <f>BJ18+BJ42</f>
        <v>-1.2687E-2</v>
      </c>
      <c r="BK69">
        <f>BK18+BK42</f>
        <v>-9.575199999999999E-3</v>
      </c>
      <c r="BL69">
        <f>BL18+BL42</f>
        <v>-9.2011000000000003E-3</v>
      </c>
      <c r="BM69">
        <f>BM18+BM42</f>
        <v>-1.2921E-2</v>
      </c>
      <c r="BN69">
        <f>BN18+BN42</f>
        <v>-1.5032E-2</v>
      </c>
      <c r="BO69">
        <f>BO18+BO42</f>
        <v>-1.4500599000000001E-2</v>
      </c>
      <c r="BP69">
        <f>BP18+BP42</f>
        <v>-8.8140000000000007E-3</v>
      </c>
      <c r="BQ69">
        <f>BQ18+BQ42</f>
        <v>-7.3030000000000005E-3</v>
      </c>
      <c r="BR69">
        <f>BR18+BR42</f>
        <v>-7.0569999999999999E-3</v>
      </c>
      <c r="BS69">
        <f>BS18+BS42</f>
        <v>-6.927E-3</v>
      </c>
      <c r="BT69">
        <f>BT18+BT42</f>
        <v>-1.3619999999999999E-3</v>
      </c>
      <c r="BU69">
        <f>BU18+BU42</f>
        <v>-1.9689999999999998E-3</v>
      </c>
      <c r="BV69">
        <f>BV18+BV42</f>
        <v>8.5499999999999997E-4</v>
      </c>
      <c r="BW69">
        <f>BW18+BW42</f>
        <v>1.8479999999999998E-3</v>
      </c>
      <c r="BX69">
        <f>BX18+BX42</f>
        <v>-4.0889999999999998E-3</v>
      </c>
      <c r="BY69">
        <f>BY18+BY42</f>
        <v>-5.9899999999999997E-3</v>
      </c>
      <c r="BZ69">
        <f>BZ18+BZ42</f>
        <v>-6.4570000000000001E-3</v>
      </c>
      <c r="CA69">
        <f>CA18+CA42</f>
        <v>-1.2300000000000002E-3</v>
      </c>
      <c r="CB69">
        <f>CB18+CB42</f>
        <v>9.9120000000000007E-3</v>
      </c>
      <c r="CC69">
        <f>CC18+CC42</f>
        <v>1.0301999999999999E-2</v>
      </c>
      <c r="CD69">
        <f>CD18+CD42</f>
        <v>1.4441000000000001E-2</v>
      </c>
      <c r="CE69">
        <f>CE18+CE42</f>
        <v>1.0478000000000001E-2</v>
      </c>
      <c r="CF69">
        <f>CF18+CF42</f>
        <v>7.2249999999999997E-3</v>
      </c>
      <c r="CG69">
        <f>CG18+CG42</f>
        <v>1.5941E-2</v>
      </c>
      <c r="CH69">
        <f>CH18+CH42</f>
        <v>1.7398E-2</v>
      </c>
      <c r="CI69">
        <f>CI18+CI42</f>
        <v>1.473E-2</v>
      </c>
      <c r="CJ69">
        <f>CJ18+CJ42</f>
        <v>1.9106999999999999E-2</v>
      </c>
      <c r="CK69">
        <f>CK18+CK42</f>
        <v>2.4857999999999998E-2</v>
      </c>
      <c r="CL69">
        <f>CL18+CL42</f>
        <v>2.3931000000000001E-2</v>
      </c>
      <c r="CM69">
        <f>CM18+CM42</f>
        <v>2.1624000000000001E-2</v>
      </c>
      <c r="CN69">
        <f>CN18+CN42</f>
        <v>3.6096999999999997E-2</v>
      </c>
      <c r="CO69">
        <f>CO18+CO42</f>
        <v>4.1435E-2</v>
      </c>
      <c r="CP69">
        <f>CP18+CP42</f>
        <v>2.9898999999999998E-2</v>
      </c>
      <c r="CQ69">
        <f>CQ18+CQ42</f>
        <v>4.3840999999999998E-2</v>
      </c>
      <c r="CR69">
        <f>CR18+CR42</f>
        <v>5.2229999999999999E-2</v>
      </c>
      <c r="CS69">
        <f>CS18+CS42</f>
        <v>3.6625999999999999E-2</v>
      </c>
      <c r="CT69">
        <f>CT18+CT42</f>
        <v>4.7531999999999998E-2</v>
      </c>
      <c r="CU69">
        <f>CU18+CU42</f>
        <v>4.4176E-2</v>
      </c>
      <c r="CV69">
        <f>CV18+CV42</f>
        <v>4.8181000000000002E-2</v>
      </c>
      <c r="CW69">
        <f>CW18+CW42</f>
        <v>5.3423999999999999E-2</v>
      </c>
      <c r="CX69">
        <f>CX18+CX42</f>
        <v>5.4913999999999998E-2</v>
      </c>
    </row>
    <row r="70" spans="1:102" x14ac:dyDescent="0.2">
      <c r="A70" t="s">
        <v>214</v>
      </c>
      <c r="B70" t="s">
        <v>220</v>
      </c>
      <c r="C70" t="s">
        <v>102</v>
      </c>
      <c r="D70">
        <f>D19+D43</f>
        <v>-4.8409999999999998E-3</v>
      </c>
      <c r="E70">
        <f>E19+E43</f>
        <v>-2.189E-3</v>
      </c>
      <c r="F70">
        <f>F19+F43</f>
        <v>1.1628999999999999E-2</v>
      </c>
      <c r="G70">
        <f>G19+G43</f>
        <v>1.5162999999999999E-2</v>
      </c>
      <c r="H70">
        <f>H19+H43</f>
        <v>1.4209000000000001E-2</v>
      </c>
      <c r="I70">
        <f>I19+I43</f>
        <v>7.7539999999999996E-3</v>
      </c>
      <c r="J70">
        <f>J19+J43</f>
        <v>7.1621999999999996E-3</v>
      </c>
      <c r="K70">
        <f>K19+K43</f>
        <v>2.6350000000000002E-3</v>
      </c>
      <c r="L70">
        <f>L19+L43</f>
        <v>7.2204000000000001E-3</v>
      </c>
      <c r="M70">
        <f>M19+M43</f>
        <v>5.7229999999999998E-3</v>
      </c>
      <c r="N70">
        <f>N19+N43</f>
        <v>5.4082000000000002E-3</v>
      </c>
      <c r="O70">
        <f>O19+O43</f>
        <v>4.8288999999999997E-3</v>
      </c>
      <c r="P70">
        <f>P19+P43</f>
        <v>3.5700184E-3</v>
      </c>
      <c r="Q70">
        <f>Q19+Q43</f>
        <v>3.1292E-3</v>
      </c>
      <c r="R70">
        <f>R19+R43</f>
        <v>8.2711E-3</v>
      </c>
      <c r="S70">
        <f>S19+S43</f>
        <v>9.1318099999999989E-3</v>
      </c>
      <c r="T70">
        <f>T19+T43</f>
        <v>1.4943999999999999E-3</v>
      </c>
      <c r="U70">
        <f>U19+U43</f>
        <v>3.5534E-3</v>
      </c>
      <c r="V70">
        <f>V19+V43</f>
        <v>5.3736000000000001E-3</v>
      </c>
      <c r="W70">
        <f>W19+W43</f>
        <v>6.1446000000000001E-3</v>
      </c>
      <c r="X70">
        <f>X19+X43</f>
        <v>7.4140000000000005E-3</v>
      </c>
      <c r="Y70">
        <f>Y19+Y43</f>
        <v>5.7242000000000005E-3</v>
      </c>
      <c r="Z70">
        <f>Z19+Z43</f>
        <v>6.2786999999999999E-3</v>
      </c>
      <c r="AA70">
        <f>AA19+AA43</f>
        <v>3.9064E-3</v>
      </c>
      <c r="AB70">
        <f>AB19+AB43</f>
        <v>2.6542000000000002E-3</v>
      </c>
      <c r="AC70">
        <f>AC19+AC43</f>
        <v>7.6479999999999994E-4</v>
      </c>
      <c r="AD70">
        <f>AD19+AD43</f>
        <v>3.0206999999999999E-3</v>
      </c>
      <c r="AE70">
        <f>AE19+AE43</f>
        <v>3.6149000000000003E-3</v>
      </c>
      <c r="AF70">
        <f>AF19+AF43</f>
        <v>3.1250000000000001E-4</v>
      </c>
      <c r="AG70">
        <f>AG19+AG43</f>
        <v>8.013639999999999E-3</v>
      </c>
      <c r="AH70">
        <f>AH19+AH43</f>
        <v>5.5576000000000002E-3</v>
      </c>
      <c r="AI70">
        <f>AI19+AI43</f>
        <v>1.3802E-3</v>
      </c>
      <c r="AJ70">
        <f>AJ19+AJ43</f>
        <v>3.2383999999999998E-3</v>
      </c>
      <c r="AK70">
        <f>AK19+AK43</f>
        <v>-5.3549999999999995E-4</v>
      </c>
      <c r="AL70">
        <f>AL19+AL43</f>
        <v>1.7323999999999998E-3</v>
      </c>
      <c r="AM70">
        <f>AM19+AM43</f>
        <v>6.3590000000000001E-3</v>
      </c>
      <c r="AN70">
        <f>AN19+AN43</f>
        <v>3.1110000000000003E-4</v>
      </c>
      <c r="AO70">
        <f>AO19+AO43</f>
        <v>2.1635000000000001E-3</v>
      </c>
      <c r="AP70">
        <f>AP19+AP43</f>
        <v>1.126E-4</v>
      </c>
      <c r="AQ70">
        <f>AQ19+AQ43</f>
        <v>2.1107000000000001E-3</v>
      </c>
      <c r="AR70">
        <f>AR19+AR43</f>
        <v>-2.7460999999999996E-3</v>
      </c>
      <c r="AS70">
        <f>AS19+AS43</f>
        <v>3.5069999999999997E-3</v>
      </c>
      <c r="AT70">
        <f>AT19+AT43</f>
        <v>2.6589000000000001E-3</v>
      </c>
      <c r="AU70">
        <f>AU19+AU43</f>
        <v>2.5010000000000002E-3</v>
      </c>
      <c r="AV70">
        <f>AV19+AV43</f>
        <v>-5.8716999999999997E-3</v>
      </c>
      <c r="AW70">
        <f>AW19+AW43</f>
        <v>-1.9090000000000001E-4</v>
      </c>
      <c r="AX70">
        <f>AX19+AX43</f>
        <v>-4.1961999999999998E-3</v>
      </c>
      <c r="AY70">
        <f>AY19+AY43</f>
        <v>2.1939999999999999E-4</v>
      </c>
      <c r="AZ70">
        <f>AZ19+AZ43</f>
        <v>1.6684E-3</v>
      </c>
      <c r="BA70">
        <f>BA19+BA43</f>
        <v>-8.1720000000000002E-4</v>
      </c>
      <c r="BB70">
        <f>BB19+BB43</f>
        <v>2.0387000000000001E-4</v>
      </c>
      <c r="BC70">
        <f>BC19+BC43</f>
        <v>5.2468999999999997E-4</v>
      </c>
      <c r="BD70">
        <f>BD19+BD43</f>
        <v>1.4459E-4</v>
      </c>
      <c r="BE70">
        <f>BE19+BE43</f>
        <v>5.3327299999999999E-3</v>
      </c>
      <c r="BF70">
        <f>BF19+BF43</f>
        <v>-6.6569999999999997E-4</v>
      </c>
      <c r="BG70">
        <f>BG19+BG43</f>
        <v>1.6847000000000001E-3</v>
      </c>
      <c r="BH70">
        <f>BH19+BH43</f>
        <v>-2.1221899999999999E-3</v>
      </c>
      <c r="BI70">
        <f>BI19+BI43</f>
        <v>-5.6550000000000003E-4</v>
      </c>
      <c r="BJ70">
        <f>BJ19+BJ43</f>
        <v>-8.5596000000000005E-3</v>
      </c>
      <c r="BK70">
        <f>BK19+BK43</f>
        <v>7.2110000000000004E-3</v>
      </c>
      <c r="BL70">
        <f>BL19+BL43</f>
        <v>-1.8087000000000001E-3</v>
      </c>
      <c r="BM70">
        <f>BM19+BM43</f>
        <v>2.8381999999999999E-3</v>
      </c>
      <c r="BN70">
        <f>BN19+BN43</f>
        <v>3.6893999999999998E-3</v>
      </c>
      <c r="BO70">
        <f>BO19+BO43</f>
        <v>4.7965000000000004E-3</v>
      </c>
      <c r="BP70">
        <f>BP19+BP43</f>
        <v>2.5815999999999999E-3</v>
      </c>
      <c r="BQ70">
        <f>BQ19+BQ43</f>
        <v>6.0210000000000003E-3</v>
      </c>
      <c r="BR70">
        <f>BR19+BR43</f>
        <v>1.3650000000000001E-3</v>
      </c>
      <c r="BS70">
        <f>BS19+BS43</f>
        <v>-3.1082000000000002E-3</v>
      </c>
      <c r="BT70">
        <f>BT19+BT43</f>
        <v>3.2139999999999998E-3</v>
      </c>
      <c r="BU70">
        <f>BU19+BU43</f>
        <v>-4.4200000000000001E-4</v>
      </c>
      <c r="BV70">
        <f>BV19+BV43</f>
        <v>7.9750000000000003E-4</v>
      </c>
      <c r="BW70">
        <f>BW19+BW43</f>
        <v>-2.568E-3</v>
      </c>
      <c r="BX70">
        <f>BX19+BX43</f>
        <v>9.6599999999999995E-4</v>
      </c>
      <c r="BY70">
        <f>BY19+BY43</f>
        <v>-6.7500000000000004E-4</v>
      </c>
      <c r="BZ70">
        <f>BZ19+BZ43</f>
        <v>9.4399999999999996E-4</v>
      </c>
      <c r="CA70">
        <f>CA19+CA43</f>
        <v>-4.7828999999999997E-3</v>
      </c>
      <c r="CB70">
        <f>CB19+CB43</f>
        <v>1.4166E-2</v>
      </c>
      <c r="CC70">
        <f>CC19+CC43</f>
        <v>1.3048000000000001E-2</v>
      </c>
      <c r="CD70">
        <f>CD19+CD43</f>
        <v>2.6149999999999997E-3</v>
      </c>
      <c r="CE70">
        <f>CE19+CE43</f>
        <v>-7.8100000000000012E-4</v>
      </c>
      <c r="CF70">
        <f>CF19+CF43</f>
        <v>-3.1100000000000008E-4</v>
      </c>
      <c r="CG70">
        <f>CG19+CG43</f>
        <v>8.5000000000000006E-4</v>
      </c>
      <c r="CH70">
        <f>CH19+CH43</f>
        <v>4.653E-3</v>
      </c>
      <c r="CI70">
        <f>CI19+CI43</f>
        <v>2.7680000000000001E-3</v>
      </c>
      <c r="CJ70">
        <f>CJ19+CJ43</f>
        <v>-2.8799999999999995E-4</v>
      </c>
      <c r="CK70">
        <f>CK19+CK43</f>
        <v>6.999E-3</v>
      </c>
      <c r="CL70">
        <f>CL19+CL43</f>
        <v>1.2598E-2</v>
      </c>
      <c r="CM70">
        <f>CM19+CM43</f>
        <v>-1.0420000000000002E-3</v>
      </c>
      <c r="CN70">
        <f>CN19+CN43</f>
        <v>5.7350000000000005E-3</v>
      </c>
      <c r="CO70">
        <f>CO19+CO43</f>
        <v>-2.6200000000000003E-4</v>
      </c>
      <c r="CP70">
        <f>CP19+CP43</f>
        <v>5.4780000000000002E-3</v>
      </c>
      <c r="CQ70">
        <f>CQ19+CQ43</f>
        <v>7.3660000000000002E-3</v>
      </c>
      <c r="CR70">
        <f>CR19+CR43</f>
        <v>1.3975E-2</v>
      </c>
      <c r="CS70">
        <f>CS19+CS43</f>
        <v>9.1870000000000007E-3</v>
      </c>
      <c r="CT70">
        <f>CT19+CT43</f>
        <v>1.2703000000000001E-2</v>
      </c>
      <c r="CU70">
        <f>CU19+CU43</f>
        <v>-9.6099999999999994E-4</v>
      </c>
      <c r="CV70">
        <f>CV19+CV43</f>
        <v>7.6170000000000005E-3</v>
      </c>
      <c r="CW70">
        <f>CW19+CW43</f>
        <v>1.0740000000000001E-3</v>
      </c>
      <c r="CX70">
        <f>CX19+CX43</f>
        <v>1.3815999999999998E-2</v>
      </c>
    </row>
    <row r="71" spans="1:102" x14ac:dyDescent="0.2">
      <c r="A71" t="s">
        <v>215</v>
      </c>
      <c r="B71" t="s">
        <v>220</v>
      </c>
      <c r="C71" t="s">
        <v>102</v>
      </c>
      <c r="D71">
        <f>D20+D44</f>
        <v>-1.5599999999999999E-2</v>
      </c>
      <c r="E71">
        <f>E20+E44</f>
        <v>7.4999999999999997E-2</v>
      </c>
      <c r="F71">
        <f>F20+F44</f>
        <v>3.0599999999999999E-2</v>
      </c>
      <c r="G71">
        <f>G20+G44</f>
        <v>-4.2700000000000002E-2</v>
      </c>
      <c r="H71">
        <f>H20+H44</f>
        <v>-4.1399999999999999E-2</v>
      </c>
      <c r="I71">
        <f>I20+I44</f>
        <v>-0.05</v>
      </c>
      <c r="J71">
        <f>J20+J44</f>
        <v>-7.2400000000000006E-2</v>
      </c>
      <c r="K71">
        <f>K20+K44</f>
        <v>-4.3499999999999997E-2</v>
      </c>
      <c r="L71">
        <f>L20+L44</f>
        <v>-4.7E-2</v>
      </c>
      <c r="M71">
        <f>M20+M44</f>
        <v>-3.2399999999999998E-2</v>
      </c>
      <c r="N71">
        <f>N20+N44</f>
        <v>-3.44E-2</v>
      </c>
      <c r="O71">
        <f>O20+O44</f>
        <v>-2.7199999999999998E-2</v>
      </c>
      <c r="P71">
        <f>P20+P44</f>
        <v>-2.2910000000000003E-2</v>
      </c>
      <c r="Q71">
        <f>Q20+Q44</f>
        <v>-1.6900000000000002E-2</v>
      </c>
      <c r="R71">
        <f>R20+R44</f>
        <v>-1.2769999999999998E-2</v>
      </c>
      <c r="S71">
        <f>S20+S44</f>
        <v>-1.2339999999999999E-2</v>
      </c>
      <c r="T71">
        <f>T20+T44</f>
        <v>-1.038E-2</v>
      </c>
      <c r="U71">
        <f>U20+U44</f>
        <v>-1.12E-2</v>
      </c>
      <c r="V71">
        <f>V20+V44</f>
        <v>-1.2400000000000001E-2</v>
      </c>
      <c r="W71">
        <f>W20+W44</f>
        <v>-1.413E-2</v>
      </c>
      <c r="X71">
        <f>X20+X44</f>
        <v>-9.6299999999999997E-3</v>
      </c>
      <c r="Y71">
        <f>Y20+Y44</f>
        <v>-1.1039999999999999E-2</v>
      </c>
      <c r="Z71">
        <f>Z20+Z44</f>
        <v>-6.5399999999999989E-3</v>
      </c>
      <c r="AA71">
        <f>AA20+AA44</f>
        <v>-7.0500000000000007E-3</v>
      </c>
      <c r="AB71">
        <f>AB20+AB44</f>
        <v>-7.3399999999999993E-3</v>
      </c>
      <c r="AC71">
        <f>AC20+AC44</f>
        <v>-7.2900000000000005E-3</v>
      </c>
      <c r="AD71">
        <f>AD20+AD44</f>
        <v>-6.830000000000001E-3</v>
      </c>
      <c r="AE71">
        <f>AE20+AE44</f>
        <v>-5.6399999999999992E-3</v>
      </c>
      <c r="AF71">
        <f>AF20+AF44</f>
        <v>-6.9099999999999995E-3</v>
      </c>
      <c r="AG71">
        <f>AG20+AG44</f>
        <v>-7.2099999999999994E-3</v>
      </c>
      <c r="AH71">
        <f>AH20+AH44</f>
        <v>-9.6299999999999997E-3</v>
      </c>
      <c r="AI71">
        <f>AI20+AI44</f>
        <v>-1.0490000000000001E-2</v>
      </c>
      <c r="AJ71">
        <f>AJ20+AJ44</f>
        <v>-6.2599999999999999E-3</v>
      </c>
      <c r="AK71">
        <f>AK20+AK44</f>
        <v>7.8499999999999993E-3</v>
      </c>
      <c r="AL71">
        <f>AL20+AL44</f>
        <v>5.0000000000000001E-3</v>
      </c>
      <c r="AM71">
        <f>AM20+AM44</f>
        <v>3.9820000000000003E-3</v>
      </c>
      <c r="AN71">
        <f>AN20+AN44</f>
        <v>2.6439999999999996E-3</v>
      </c>
      <c r="AO71">
        <f>AO20+AO44</f>
        <v>2.3799999999999997E-3</v>
      </c>
      <c r="AP71">
        <f>AP20+AP44</f>
        <v>1.0030000000000001E-2</v>
      </c>
      <c r="AQ71">
        <f>AQ20+AQ44</f>
        <v>1.001E-2</v>
      </c>
      <c r="AR71">
        <f>AR20+AR44</f>
        <v>1.0880000000000001E-2</v>
      </c>
      <c r="AS71">
        <f>AS20+AS44</f>
        <v>4.4799999999999996E-3</v>
      </c>
      <c r="AT71">
        <f>AT20+AT44</f>
        <v>4.9399999999999999E-3</v>
      </c>
      <c r="AU71">
        <f>AU20+AU44</f>
        <v>6.0099999999999997E-3</v>
      </c>
      <c r="AV71">
        <f>AV20+AV44</f>
        <v>4.8999999999999998E-3</v>
      </c>
      <c r="AW71">
        <f>AW20+AW44</f>
        <v>4.3099999999999996E-3</v>
      </c>
      <c r="AX71">
        <f>AX20+AX44</f>
        <v>1.72E-3</v>
      </c>
      <c r="AY71">
        <f>AY20+AY44</f>
        <v>1.98E-3</v>
      </c>
      <c r="AZ71">
        <f>AZ20+AZ44</f>
        <v>-2.63E-3</v>
      </c>
      <c r="BA71">
        <f>BA20+BA44</f>
        <v>-9.1900000000000003E-3</v>
      </c>
      <c r="BB71">
        <f>BB20+BB44</f>
        <v>-1.005E-2</v>
      </c>
      <c r="BC71">
        <f>BC20+BC44</f>
        <v>-1.0869999999999999E-2</v>
      </c>
      <c r="BD71">
        <f>BD20+BD44</f>
        <v>-1.3299999999999999E-2</v>
      </c>
      <c r="BE71">
        <f>BE20+BE44</f>
        <v>-1.0450000000000001E-2</v>
      </c>
      <c r="BF71">
        <f>BF20+BF44</f>
        <v>-1.316E-2</v>
      </c>
      <c r="BG71">
        <f>BG20+BG44</f>
        <v>-1.4140000000000002E-2</v>
      </c>
      <c r="BH71">
        <f>BH20+BH44</f>
        <v>-1.668E-2</v>
      </c>
      <c r="BI71">
        <f>BI20+BI44</f>
        <v>8.5599999999999999E-3</v>
      </c>
      <c r="BJ71">
        <f>BJ20+BJ44</f>
        <v>1.3409999999999998E-2</v>
      </c>
      <c r="BK71">
        <f>BK20+BK44</f>
        <v>1.4670000000000001E-2</v>
      </c>
      <c r="BL71">
        <f>BL20+BL44</f>
        <v>1.282E-2</v>
      </c>
      <c r="BM71">
        <f>BM20+BM44</f>
        <v>2.2720000000000001E-2</v>
      </c>
      <c r="BN71">
        <f>BN20+BN44</f>
        <v>2.3280000000000002E-2</v>
      </c>
      <c r="BO71">
        <f>BO20+BO44</f>
        <v>1.891E-2</v>
      </c>
      <c r="BP71">
        <f>BP20+BP44</f>
        <v>1.5679999999999999E-2</v>
      </c>
      <c r="BQ71">
        <f>BQ20+BQ44</f>
        <v>1.6040000000000002E-2</v>
      </c>
      <c r="BR71">
        <f>BR20+BR44</f>
        <v>1.5170000000000001E-2</v>
      </c>
      <c r="BS71">
        <f>BS20+BS44</f>
        <v>1.2790000000000001E-2</v>
      </c>
      <c r="BT71">
        <f>BT20+BT44</f>
        <v>1.8599999999999998E-2</v>
      </c>
      <c r="BU71">
        <f>BU20+BU44</f>
        <v>1.7509999999999998E-2</v>
      </c>
      <c r="BV71">
        <f>BV20+BV44</f>
        <v>1.7329999999999998E-2</v>
      </c>
      <c r="BW71">
        <f>BW20+BW44</f>
        <v>1.9579000000000003E-2</v>
      </c>
      <c r="BX71">
        <f>BX20+BX44</f>
        <v>1.5467E-2</v>
      </c>
      <c r="BY71">
        <f>BY20+BY44</f>
        <v>1.3372999999999999E-2</v>
      </c>
      <c r="BZ71">
        <f>BZ20+BZ44</f>
        <v>9.5130000000000006E-3</v>
      </c>
      <c r="CA71">
        <f>CA20+CA44</f>
        <v>7.7850000000000003E-3</v>
      </c>
      <c r="CB71">
        <f>CB20+CB44</f>
        <v>6.4099999999999999E-3</v>
      </c>
      <c r="CC71">
        <f>CC20+CC44</f>
        <v>8.5610000000000009E-3</v>
      </c>
      <c r="CD71">
        <f>CD20+CD44</f>
        <v>1.5305999999999998E-2</v>
      </c>
      <c r="CE71">
        <f>CE20+CE44</f>
        <v>1.4886999999999999E-2</v>
      </c>
      <c r="CF71">
        <f>CF20+CF44</f>
        <v>1.223E-2</v>
      </c>
      <c r="CG71">
        <f>CG20+CG44</f>
        <v>1.0290000000000001E-2</v>
      </c>
      <c r="CH71">
        <f>CH20+CH44</f>
        <v>6.0499999999999998E-3</v>
      </c>
      <c r="CI71">
        <f>CI20+CI44</f>
        <v>5.0100000000000006E-3</v>
      </c>
      <c r="CJ71">
        <f>CJ20+CJ44</f>
        <v>2.8739999999999998E-2</v>
      </c>
      <c r="CK71">
        <f>CK20+CK44</f>
        <v>2.792E-2</v>
      </c>
      <c r="CL71">
        <f>CL20+CL44</f>
        <v>1.762E-2</v>
      </c>
      <c r="CM71">
        <f>CM20+CM44</f>
        <v>6.320000000000001E-3</v>
      </c>
      <c r="CN71">
        <f>CN20+CN44</f>
        <v>2.0800000000000003E-3</v>
      </c>
      <c r="CO71">
        <f>CO20+CO44</f>
        <v>-1.1599999999999999E-2</v>
      </c>
      <c r="CP71">
        <f>CP20+CP44</f>
        <v>-1.048E-2</v>
      </c>
      <c r="CQ71">
        <f>CQ20+CQ44</f>
        <v>-1.155E-2</v>
      </c>
      <c r="CR71">
        <f>CR20+CR44</f>
        <v>-3.3919999999999999E-2</v>
      </c>
      <c r="CS71">
        <f>CS20+CS44</f>
        <v>-2.9700000000000001E-2</v>
      </c>
      <c r="CT71">
        <f>CT20+CT44</f>
        <v>6.2210000000000001E-2</v>
      </c>
      <c r="CU71">
        <f>CU20+CU44</f>
        <v>7.0449999999999999E-2</v>
      </c>
      <c r="CV71">
        <f>CV20+CV44</f>
        <v>6.5290000000000001E-2</v>
      </c>
      <c r="CW71">
        <f>CW20+CW44</f>
        <v>6.5549999999999997E-2</v>
      </c>
      <c r="CX71">
        <f>CX20+CX44</f>
        <v>6.1440000000000002E-2</v>
      </c>
    </row>
    <row r="72" spans="1:102" x14ac:dyDescent="0.2">
      <c r="A72" t="s">
        <v>216</v>
      </c>
      <c r="B72" t="s">
        <v>220</v>
      </c>
      <c r="C72" t="s">
        <v>102</v>
      </c>
      <c r="D72">
        <f>D45</f>
        <v>-0.24199999999999999</v>
      </c>
      <c r="E72">
        <f t="shared" ref="E72:BP72" si="0">E45</f>
        <v>-0.22900000000000001</v>
      </c>
      <c r="F72">
        <f t="shared" si="0"/>
        <v>0.26900000000000002</v>
      </c>
      <c r="G72">
        <f t="shared" si="0"/>
        <v>0.33200000000000002</v>
      </c>
      <c r="H72">
        <f t="shared" si="0"/>
        <v>0.53300000000000003</v>
      </c>
      <c r="I72">
        <f t="shared" si="0"/>
        <v>0.375</v>
      </c>
      <c r="J72">
        <f t="shared" si="0"/>
        <v>0.59799999999999998</v>
      </c>
      <c r="K72">
        <f t="shared" si="0"/>
        <v>0.49399999999999999</v>
      </c>
      <c r="L72">
        <f t="shared" si="0"/>
        <v>0.50800000000000001</v>
      </c>
      <c r="M72">
        <f t="shared" si="0"/>
        <v>0.43</v>
      </c>
      <c r="N72">
        <f t="shared" si="0"/>
        <v>0.56699999999999995</v>
      </c>
      <c r="O72">
        <f t="shared" si="0"/>
        <v>0.71799999999999997</v>
      </c>
      <c r="P72">
        <f t="shared" si="0"/>
        <v>0.67900000000000005</v>
      </c>
      <c r="Q72">
        <f t="shared" si="0"/>
        <v>0.56599999999999995</v>
      </c>
      <c r="R72">
        <f t="shared" si="0"/>
        <v>0.36</v>
      </c>
      <c r="S72">
        <f t="shared" si="0"/>
        <v>0.29299999999999998</v>
      </c>
      <c r="T72">
        <f t="shared" si="0"/>
        <v>0.31</v>
      </c>
      <c r="U72">
        <f t="shared" si="0"/>
        <v>0.30399999999999999</v>
      </c>
      <c r="V72">
        <f t="shared" si="0"/>
        <v>0.252</v>
      </c>
      <c r="W72">
        <f t="shared" si="0"/>
        <v>0.23100000000000001</v>
      </c>
      <c r="X72">
        <f t="shared" si="0"/>
        <v>0.22900000000000001</v>
      </c>
      <c r="Y72">
        <f t="shared" si="0"/>
        <v>0.25800000000000001</v>
      </c>
      <c r="Z72">
        <f t="shared" si="0"/>
        <v>0.27500000000000002</v>
      </c>
      <c r="AA72">
        <f t="shared" si="0"/>
        <v>0.27300000000000002</v>
      </c>
      <c r="AB72">
        <f t="shared" si="0"/>
        <v>0.24199999999999999</v>
      </c>
      <c r="AC72">
        <f t="shared" si="0"/>
        <v>0.20200000000000001</v>
      </c>
      <c r="AD72">
        <f t="shared" si="0"/>
        <v>0.16900000000000001</v>
      </c>
      <c r="AE72">
        <f t="shared" si="0"/>
        <v>0.153</v>
      </c>
      <c r="AF72">
        <f t="shared" si="0"/>
        <v>0.13400000000000001</v>
      </c>
      <c r="AG72">
        <f t="shared" si="0"/>
        <v>0.11700000000000001</v>
      </c>
      <c r="AH72">
        <f t="shared" si="0"/>
        <v>0.121</v>
      </c>
      <c r="AI72">
        <f t="shared" si="0"/>
        <v>0.112</v>
      </c>
      <c r="AJ72">
        <f t="shared" si="0"/>
        <v>8.7599999999999997E-2</v>
      </c>
      <c r="AK72">
        <f t="shared" si="0"/>
        <v>6.0499999999999998E-2</v>
      </c>
      <c r="AL72">
        <f t="shared" si="0"/>
        <v>5.0900000000000001E-2</v>
      </c>
      <c r="AM72">
        <f t="shared" si="0"/>
        <v>4.8599999999999997E-2</v>
      </c>
      <c r="AN72">
        <f t="shared" si="0"/>
        <v>6.0699999999999997E-2</v>
      </c>
      <c r="AO72">
        <f t="shared" si="0"/>
        <v>7.4399999999999994E-2</v>
      </c>
      <c r="AP72">
        <f t="shared" si="0"/>
        <v>0.124</v>
      </c>
      <c r="AQ72">
        <f t="shared" si="0"/>
        <v>0.17699999999999999</v>
      </c>
      <c r="AR72">
        <f t="shared" si="0"/>
        <v>0.17799999999999999</v>
      </c>
      <c r="AS72">
        <f t="shared" si="0"/>
        <v>0.186</v>
      </c>
      <c r="AT72">
        <f t="shared" si="0"/>
        <v>0.16700000000000001</v>
      </c>
      <c r="AU72">
        <f t="shared" si="0"/>
        <v>0.159</v>
      </c>
      <c r="AV72">
        <f t="shared" si="0"/>
        <v>0.108</v>
      </c>
      <c r="AW72">
        <f t="shared" si="0"/>
        <v>6.5699999999999995E-2</v>
      </c>
      <c r="AX72">
        <f t="shared" si="0"/>
        <v>3.7400000000000003E-2</v>
      </c>
      <c r="AY72">
        <f t="shared" si="0"/>
        <v>4.7199999999999999E-2</v>
      </c>
      <c r="AZ72">
        <f t="shared" si="0"/>
        <v>4.4900000000000002E-2</v>
      </c>
      <c r="BA72">
        <f t="shared" si="0"/>
        <v>5.1900000000000002E-2</v>
      </c>
      <c r="BB72">
        <f t="shared" si="0"/>
        <v>0.10100000000000001</v>
      </c>
      <c r="BC72">
        <f t="shared" si="0"/>
        <v>0.16600000000000001</v>
      </c>
      <c r="BD72">
        <f t="shared" si="0"/>
        <v>0.19800000000000001</v>
      </c>
      <c r="BE72">
        <f t="shared" si="0"/>
        <v>0.21099999999999999</v>
      </c>
      <c r="BF72">
        <f t="shared" si="0"/>
        <v>0.20599999999999999</v>
      </c>
      <c r="BG72">
        <f t="shared" si="0"/>
        <v>0.218</v>
      </c>
      <c r="BH72">
        <f t="shared" si="0"/>
        <v>0.188</v>
      </c>
      <c r="BI72">
        <f t="shared" si="0"/>
        <v>0.11899999999999999</v>
      </c>
      <c r="BJ72">
        <f t="shared" si="0"/>
        <v>9.2600000000000002E-2</v>
      </c>
      <c r="BK72">
        <f t="shared" si="0"/>
        <v>7.8799999999999995E-2</v>
      </c>
      <c r="BL72">
        <f t="shared" si="0"/>
        <v>7.7600000000000002E-2</v>
      </c>
      <c r="BM72">
        <f t="shared" si="0"/>
        <v>7.9500000000000001E-2</v>
      </c>
      <c r="BN72">
        <f t="shared" si="0"/>
        <v>0.105</v>
      </c>
      <c r="BO72">
        <f t="shared" si="0"/>
        <v>0.16400000000000001</v>
      </c>
      <c r="BP72">
        <f t="shared" si="0"/>
        <v>0.19700000000000001</v>
      </c>
      <c r="BQ72">
        <f t="shared" ref="BQ72:CX72" si="1">BQ45</f>
        <v>0.182</v>
      </c>
      <c r="BR72">
        <f t="shared" si="1"/>
        <v>0.14699999999999999</v>
      </c>
      <c r="BS72">
        <f t="shared" si="1"/>
        <v>0.129</v>
      </c>
      <c r="BT72">
        <f t="shared" si="1"/>
        <v>9.7299999999999998E-2</v>
      </c>
      <c r="BU72">
        <f t="shared" si="1"/>
        <v>4.9299999999999997E-2</v>
      </c>
      <c r="BV72">
        <f t="shared" si="1"/>
        <v>4.99E-2</v>
      </c>
      <c r="BW72">
        <f t="shared" si="1"/>
        <v>4.0300000000000002E-2</v>
      </c>
      <c r="BX72">
        <f t="shared" si="1"/>
        <v>7.3899999999999993E-2</v>
      </c>
      <c r="BY72">
        <f t="shared" si="1"/>
        <v>0.11</v>
      </c>
      <c r="BZ72">
        <f t="shared" si="1"/>
        <v>0.21299999999999999</v>
      </c>
      <c r="CA72">
        <f t="shared" si="1"/>
        <v>0.247</v>
      </c>
      <c r="CB72">
        <f t="shared" si="1"/>
        <v>0.222</v>
      </c>
      <c r="CC72">
        <f t="shared" si="1"/>
        <v>0.23699999999999999</v>
      </c>
      <c r="CD72">
        <f t="shared" si="1"/>
        <v>0.21299999999999999</v>
      </c>
      <c r="CE72">
        <f t="shared" si="1"/>
        <v>3.9800000000000002E-2</v>
      </c>
      <c r="CF72">
        <f t="shared" si="1"/>
        <v>-5.5300000000000002E-3</v>
      </c>
      <c r="CG72">
        <f t="shared" si="1"/>
        <v>8.1200000000000005E-3</v>
      </c>
      <c r="CH72">
        <f t="shared" si="1"/>
        <v>-5.3100000000000001E-2</v>
      </c>
      <c r="CI72">
        <f t="shared" si="1"/>
        <v>-1.4200000000000001E-2</v>
      </c>
      <c r="CJ72">
        <f t="shared" si="1"/>
        <v>-1.4500000000000001E-2</v>
      </c>
      <c r="CK72">
        <f t="shared" si="1"/>
        <v>0.29499999999999998</v>
      </c>
      <c r="CL72">
        <f t="shared" si="1"/>
        <v>0.24199999999999999</v>
      </c>
      <c r="CM72">
        <f t="shared" si="1"/>
        <v>0.14000000000000001</v>
      </c>
      <c r="CN72">
        <f t="shared" si="1"/>
        <v>2.2200000000000001E-2</v>
      </c>
      <c r="CO72">
        <f t="shared" si="1"/>
        <v>-3.3100000000000002E-4</v>
      </c>
      <c r="CP72">
        <f t="shared" si="1"/>
        <v>0.18099999999999999</v>
      </c>
      <c r="CQ72">
        <f t="shared" si="1"/>
        <v>0.30299999999999999</v>
      </c>
      <c r="CR72">
        <f t="shared" si="1"/>
        <v>0.2</v>
      </c>
      <c r="CS72">
        <f t="shared" si="1"/>
        <v>0.21299999999999999</v>
      </c>
      <c r="CT72">
        <f t="shared" si="1"/>
        <v>5.5599999999999997E-2</v>
      </c>
      <c r="CU72">
        <f t="shared" si="1"/>
        <v>-0.16</v>
      </c>
      <c r="CV72">
        <f t="shared" si="1"/>
        <v>8.9599999999999999E-2</v>
      </c>
      <c r="CW72">
        <f t="shared" si="1"/>
        <v>-4.41E-2</v>
      </c>
      <c r="CX72">
        <f t="shared" si="1"/>
        <v>-0.11</v>
      </c>
    </row>
    <row r="73" spans="1:102" x14ac:dyDescent="0.2">
      <c r="A73" t="s">
        <v>5909</v>
      </c>
      <c r="B73" t="s">
        <v>220</v>
      </c>
      <c r="C73" t="s">
        <v>102</v>
      </c>
      <c r="D73">
        <f>D21+D46</f>
        <v>0.1638</v>
      </c>
      <c r="E73">
        <f t="shared" ref="E73:BP74" si="2">E21+E46</f>
        <v>-3.3000000000000002E-2</v>
      </c>
      <c r="F73">
        <f t="shared" si="2"/>
        <v>-0.20710000000000001</v>
      </c>
      <c r="G73">
        <f t="shared" si="2"/>
        <v>-0.17960000000000001</v>
      </c>
      <c r="H73">
        <f t="shared" si="2"/>
        <v>-0.2727</v>
      </c>
      <c r="I73">
        <f t="shared" si="2"/>
        <v>-0.1953</v>
      </c>
      <c r="J73">
        <f t="shared" si="2"/>
        <v>-0.27459999999999996</v>
      </c>
      <c r="K73">
        <f t="shared" si="2"/>
        <v>-0.23539999999999997</v>
      </c>
      <c r="L73">
        <f t="shared" si="2"/>
        <v>-0.24359999999999998</v>
      </c>
      <c r="M73">
        <f t="shared" si="2"/>
        <v>-0.18440000000000001</v>
      </c>
      <c r="N73">
        <f t="shared" si="2"/>
        <v>-0.24060000000000004</v>
      </c>
      <c r="O73">
        <f t="shared" si="2"/>
        <v>-0.3115</v>
      </c>
      <c r="P73">
        <f t="shared" si="2"/>
        <v>-0.29039999999999999</v>
      </c>
      <c r="Q73">
        <f t="shared" si="2"/>
        <v>-0.23559999999999998</v>
      </c>
      <c r="R73">
        <f t="shared" si="2"/>
        <v>-0.1429</v>
      </c>
      <c r="S73">
        <f t="shared" si="2"/>
        <v>-0.1115</v>
      </c>
      <c r="T73">
        <f t="shared" si="2"/>
        <v>-0.1074</v>
      </c>
      <c r="U73">
        <f t="shared" si="2"/>
        <v>-0.10639999999999999</v>
      </c>
      <c r="V73">
        <f t="shared" si="2"/>
        <v>-8.09E-2</v>
      </c>
      <c r="W73">
        <f t="shared" si="2"/>
        <v>-7.51E-2</v>
      </c>
      <c r="X73">
        <f t="shared" si="2"/>
        <v>-7.5999999999999998E-2</v>
      </c>
      <c r="Y73">
        <f t="shared" si="2"/>
        <v>-8.4900000000000003E-2</v>
      </c>
      <c r="Z73">
        <f t="shared" si="2"/>
        <v>-8.9800000000000005E-2</v>
      </c>
      <c r="AA73">
        <f t="shared" si="2"/>
        <v>-9.0000000000000011E-2</v>
      </c>
      <c r="AB73">
        <f t="shared" si="2"/>
        <v>-7.6799999999999993E-2</v>
      </c>
      <c r="AC73">
        <f t="shared" si="2"/>
        <v>-6.1700000000000005E-2</v>
      </c>
      <c r="AD73">
        <f t="shared" si="2"/>
        <v>-5.1299999999999998E-2</v>
      </c>
      <c r="AE73">
        <f t="shared" si="2"/>
        <v>-4.7600000000000003E-2</v>
      </c>
      <c r="AF73">
        <f t="shared" si="2"/>
        <v>-4.1399999999999992E-2</v>
      </c>
      <c r="AG73">
        <f t="shared" si="2"/>
        <v>-3.7100000000000001E-2</v>
      </c>
      <c r="AH73">
        <f t="shared" si="2"/>
        <v>-3.5799999999999998E-2</v>
      </c>
      <c r="AI73">
        <f t="shared" si="2"/>
        <v>-2.8399999999999998E-2</v>
      </c>
      <c r="AJ73">
        <f t="shared" si="2"/>
        <v>-1.0700000000000001E-2</v>
      </c>
      <c r="AK73">
        <f t="shared" si="2"/>
        <v>-3.199999999999998E-3</v>
      </c>
      <c r="AL73">
        <f t="shared" si="2"/>
        <v>6.0999999999999995E-3</v>
      </c>
      <c r="AM73">
        <f t="shared" si="2"/>
        <v>3.4999999999999996E-3</v>
      </c>
      <c r="AN73">
        <f t="shared" si="2"/>
        <v>-3.9999999999999758E-4</v>
      </c>
      <c r="AO73">
        <f t="shared" si="2"/>
        <v>-1.2500000000000001E-2</v>
      </c>
      <c r="AP73">
        <f t="shared" si="2"/>
        <v>-3.6799999999999999E-2</v>
      </c>
      <c r="AQ73">
        <f t="shared" si="2"/>
        <v>-6.1800000000000008E-2</v>
      </c>
      <c r="AR73">
        <f t="shared" si="2"/>
        <v>-7.0199999999999999E-2</v>
      </c>
      <c r="AS73">
        <f t="shared" si="2"/>
        <v>-7.9300000000000009E-2</v>
      </c>
      <c r="AT73">
        <f t="shared" si="2"/>
        <v>-7.9500000000000001E-2</v>
      </c>
      <c r="AU73">
        <f t="shared" si="2"/>
        <v>-7.8600000000000003E-2</v>
      </c>
      <c r="AV73">
        <f t="shared" si="2"/>
        <v>-6.5899999999999986E-2</v>
      </c>
      <c r="AW73">
        <f t="shared" si="2"/>
        <v>-3.7799999999999993E-2</v>
      </c>
      <c r="AX73">
        <f t="shared" si="2"/>
        <v>-2.0799999999999999E-2</v>
      </c>
      <c r="AY73">
        <f t="shared" si="2"/>
        <v>-1.6800000000000002E-2</v>
      </c>
      <c r="AZ73">
        <f t="shared" si="2"/>
        <v>-8.4999999999999971E-3</v>
      </c>
      <c r="BA73">
        <f t="shared" si="2"/>
        <v>-8.6999999999999994E-3</v>
      </c>
      <c r="BB73">
        <f t="shared" si="2"/>
        <v>-2.24E-2</v>
      </c>
      <c r="BC73">
        <f t="shared" si="2"/>
        <v>-6.1499999999999999E-2</v>
      </c>
      <c r="BD73">
        <f t="shared" si="2"/>
        <v>-8.8300000000000003E-2</v>
      </c>
      <c r="BE73">
        <f t="shared" si="2"/>
        <v>-0.10670000000000002</v>
      </c>
      <c r="BF73">
        <f t="shared" si="2"/>
        <v>-0.1114</v>
      </c>
      <c r="BG73">
        <f t="shared" si="2"/>
        <v>-0.12</v>
      </c>
      <c r="BH73">
        <f t="shared" si="2"/>
        <v>-0.1082</v>
      </c>
      <c r="BI73">
        <f t="shared" si="2"/>
        <v>-7.8399999999999997E-2</v>
      </c>
      <c r="BJ73">
        <f t="shared" si="2"/>
        <v>-5.9500000000000004E-2</v>
      </c>
      <c r="BK73">
        <f t="shared" si="2"/>
        <v>-4.1100000000000005E-2</v>
      </c>
      <c r="BL73">
        <f t="shared" si="2"/>
        <v>-3.7400000000000003E-2</v>
      </c>
      <c r="BM73">
        <f t="shared" si="2"/>
        <v>-4.8400000000000006E-2</v>
      </c>
      <c r="BN73">
        <f t="shared" si="2"/>
        <v>-6.4599999999999991E-2</v>
      </c>
      <c r="BO73">
        <f t="shared" si="2"/>
        <v>-9.0499999999999997E-2</v>
      </c>
      <c r="BP73">
        <f t="shared" si="2"/>
        <v>-0.1125</v>
      </c>
      <c r="BQ73">
        <f t="shared" ref="BQ73:CX77" si="3">BQ21+BQ46</f>
        <v>-0.1149</v>
      </c>
      <c r="BR73">
        <f t="shared" si="3"/>
        <v>-0.11020000000000002</v>
      </c>
      <c r="BS73">
        <f t="shared" si="3"/>
        <v>-8.6199999999999999E-2</v>
      </c>
      <c r="BT73">
        <f t="shared" si="3"/>
        <v>-6.3100000000000003E-2</v>
      </c>
      <c r="BU73">
        <f t="shared" si="3"/>
        <v>-3.61E-2</v>
      </c>
      <c r="BV73">
        <f t="shared" si="3"/>
        <v>-4.5900000000000003E-2</v>
      </c>
      <c r="BW73">
        <f t="shared" si="3"/>
        <v>-3.6600000000000001E-2</v>
      </c>
      <c r="BX73">
        <f t="shared" si="3"/>
        <v>-4.4700000000000004E-2</v>
      </c>
      <c r="BY73">
        <f t="shared" si="3"/>
        <v>-7.4099999999999999E-2</v>
      </c>
      <c r="BZ73">
        <f t="shared" si="3"/>
        <v>-0.12490000000000001</v>
      </c>
      <c r="CA73">
        <f t="shared" si="3"/>
        <v>-0.14449999999999999</v>
      </c>
      <c r="CB73">
        <f t="shared" si="3"/>
        <v>-0.1381</v>
      </c>
      <c r="CC73">
        <f t="shared" si="3"/>
        <v>-0.16650000000000001</v>
      </c>
      <c r="CD73">
        <f t="shared" si="3"/>
        <v>-0.17749999999999999</v>
      </c>
      <c r="CE73">
        <f t="shared" si="3"/>
        <v>-5.8999999999999997E-2</v>
      </c>
      <c r="CF73">
        <f t="shared" si="3"/>
        <v>-3.0699999999999998E-2</v>
      </c>
      <c r="CG73">
        <f t="shared" si="3"/>
        <v>-2.6700000000000008E-2</v>
      </c>
      <c r="CH73">
        <f t="shared" si="3"/>
        <v>-9.8999999999999991E-3</v>
      </c>
      <c r="CI73">
        <f t="shared" si="3"/>
        <v>4.0000000000000452E-4</v>
      </c>
      <c r="CJ73">
        <f t="shared" si="3"/>
        <v>-1.1099999999999999E-2</v>
      </c>
      <c r="CK73">
        <f t="shared" si="3"/>
        <v>-0.20100000000000001</v>
      </c>
      <c r="CL73">
        <f t="shared" si="3"/>
        <v>-0.18360000000000001</v>
      </c>
      <c r="CM73">
        <f t="shared" si="3"/>
        <v>-0.1159</v>
      </c>
      <c r="CN73">
        <f t="shared" si="3"/>
        <v>-3.5699999999999996E-2</v>
      </c>
      <c r="CO73">
        <f t="shared" si="3"/>
        <v>-2.6599999999999999E-2</v>
      </c>
      <c r="CP73">
        <f t="shared" si="3"/>
        <v>-0.1021</v>
      </c>
      <c r="CQ73">
        <f t="shared" si="3"/>
        <v>-0.2288</v>
      </c>
      <c r="CR73">
        <f t="shared" si="3"/>
        <v>-0.13830000000000001</v>
      </c>
      <c r="CS73">
        <f t="shared" si="3"/>
        <v>-0.1583</v>
      </c>
      <c r="CT73">
        <f t="shared" si="3"/>
        <v>-0.1328</v>
      </c>
      <c r="CU73">
        <f t="shared" si="3"/>
        <v>3.4299999999999997E-2</v>
      </c>
      <c r="CV73">
        <f t="shared" si="3"/>
        <v>-0.10930000000000001</v>
      </c>
      <c r="CW73">
        <f t="shared" si="3"/>
        <v>-6.54E-2</v>
      </c>
      <c r="CX73">
        <f t="shared" si="3"/>
        <v>-8.4200000000000011E-2</v>
      </c>
    </row>
    <row r="74" spans="1:102" x14ac:dyDescent="0.2">
      <c r="A74" t="s">
        <v>5910</v>
      </c>
      <c r="B74" t="s">
        <v>220</v>
      </c>
      <c r="C74" t="s">
        <v>102</v>
      </c>
      <c r="D74">
        <f t="shared" ref="D74:S87" si="4">D22+D47</f>
        <v>0.75609999999999999</v>
      </c>
      <c r="E74">
        <f t="shared" si="4"/>
        <v>0.51239999999999997</v>
      </c>
      <c r="F74">
        <f t="shared" si="4"/>
        <v>0.18980000000000002</v>
      </c>
      <c r="G74">
        <f t="shared" si="4"/>
        <v>0.15659999999999999</v>
      </c>
      <c r="H74">
        <f t="shared" si="4"/>
        <v>-8.4000000000000012E-3</v>
      </c>
      <c r="I74">
        <f t="shared" si="4"/>
        <v>6.989999999999999E-2</v>
      </c>
      <c r="J74">
        <f t="shared" si="4"/>
        <v>-4.7299999999999995E-2</v>
      </c>
      <c r="K74">
        <f t="shared" si="4"/>
        <v>-3.5100000000000006E-2</v>
      </c>
      <c r="L74">
        <f t="shared" si="4"/>
        <v>-5.3500000000000006E-2</v>
      </c>
      <c r="M74">
        <f t="shared" si="4"/>
        <v>-3.8800000000000001E-2</v>
      </c>
      <c r="N74">
        <f t="shared" si="4"/>
        <v>-0.11579999999999999</v>
      </c>
      <c r="O74">
        <f t="shared" si="4"/>
        <v>-0.2072</v>
      </c>
      <c r="P74">
        <f t="shared" si="4"/>
        <v>-0.19839999999999999</v>
      </c>
      <c r="Q74">
        <f t="shared" si="4"/>
        <v>-0.15290000000000001</v>
      </c>
      <c r="R74">
        <f t="shared" si="4"/>
        <v>-7.1300000000000002E-2</v>
      </c>
      <c r="S74">
        <f t="shared" si="4"/>
        <v>-4.7E-2</v>
      </c>
      <c r="T74">
        <f t="shared" si="2"/>
        <v>-4.7299999999999995E-2</v>
      </c>
      <c r="U74">
        <f t="shared" si="2"/>
        <v>-4.8200000000000007E-2</v>
      </c>
      <c r="V74">
        <f t="shared" si="2"/>
        <v>-2.5099999999999997E-2</v>
      </c>
      <c r="W74">
        <f t="shared" si="2"/>
        <v>-2.1000000000000005E-2</v>
      </c>
      <c r="X74">
        <f t="shared" si="2"/>
        <v>-2.4E-2</v>
      </c>
      <c r="Y74">
        <f t="shared" si="2"/>
        <v>-3.44E-2</v>
      </c>
      <c r="Z74">
        <f t="shared" si="2"/>
        <v>-4.07E-2</v>
      </c>
      <c r="AA74">
        <f t="shared" si="2"/>
        <v>-4.1700000000000001E-2</v>
      </c>
      <c r="AB74">
        <f t="shared" si="2"/>
        <v>-2.87E-2</v>
      </c>
      <c r="AC74">
        <f t="shared" si="2"/>
        <v>-1.43E-2</v>
      </c>
      <c r="AD74">
        <f t="shared" si="2"/>
        <v>-4.5000000000000005E-3</v>
      </c>
      <c r="AE74">
        <f t="shared" si="2"/>
        <v>-1.0000000000000009E-3</v>
      </c>
      <c r="AF74">
        <f t="shared" si="2"/>
        <v>5.5999999999999991E-3</v>
      </c>
      <c r="AG74">
        <f t="shared" si="2"/>
        <v>1.0499999999999999E-2</v>
      </c>
      <c r="AH74">
        <f t="shared" si="2"/>
        <v>1.26E-2</v>
      </c>
      <c r="AI74">
        <f t="shared" si="2"/>
        <v>2.1399999999999999E-2</v>
      </c>
      <c r="AJ74">
        <f t="shared" si="2"/>
        <v>4.1399999999999999E-2</v>
      </c>
      <c r="AK74">
        <f t="shared" si="2"/>
        <v>5.11E-2</v>
      </c>
      <c r="AL74">
        <f t="shared" si="2"/>
        <v>6.13E-2</v>
      </c>
      <c r="AM74">
        <f t="shared" si="2"/>
        <v>5.9699999999999996E-2</v>
      </c>
      <c r="AN74">
        <f t="shared" si="2"/>
        <v>5.6399999999999999E-2</v>
      </c>
      <c r="AO74">
        <f t="shared" si="2"/>
        <v>4.4899999999999995E-2</v>
      </c>
      <c r="AP74">
        <f t="shared" si="2"/>
        <v>2.01E-2</v>
      </c>
      <c r="AQ74">
        <f t="shared" si="2"/>
        <v>-5.3999999999999951E-3</v>
      </c>
      <c r="AR74">
        <f t="shared" si="2"/>
        <v>-1.3500000000000002E-2</v>
      </c>
      <c r="AS74">
        <f t="shared" si="2"/>
        <v>-2.2299999999999997E-2</v>
      </c>
      <c r="AT74">
        <f t="shared" si="2"/>
        <v>-2.2499999999999999E-2</v>
      </c>
      <c r="AU74">
        <f t="shared" si="2"/>
        <v>-2.1599999999999998E-2</v>
      </c>
      <c r="AV74">
        <f t="shared" si="2"/>
        <v>-9.1999999999999964E-3</v>
      </c>
      <c r="AW74">
        <f t="shared" si="2"/>
        <v>1.9700000000000002E-2</v>
      </c>
      <c r="AX74">
        <f t="shared" si="2"/>
        <v>3.8399999999999997E-2</v>
      </c>
      <c r="AY74">
        <f t="shared" si="2"/>
        <v>4.2999999999999997E-2</v>
      </c>
      <c r="AZ74">
        <f t="shared" si="2"/>
        <v>5.1999999999999998E-2</v>
      </c>
      <c r="BA74">
        <f t="shared" si="2"/>
        <v>5.2699999999999997E-2</v>
      </c>
      <c r="BB74">
        <f t="shared" si="2"/>
        <v>3.9199999999999999E-2</v>
      </c>
      <c r="BC74">
        <f t="shared" si="2"/>
        <v>8.9999999999999802E-4</v>
      </c>
      <c r="BD74">
        <f t="shared" si="2"/>
        <v>-2.4699999999999993E-2</v>
      </c>
      <c r="BE74">
        <f t="shared" si="2"/>
        <v>-4.2399999999999993E-2</v>
      </c>
      <c r="BF74">
        <f t="shared" si="2"/>
        <v>-4.7199999999999992E-2</v>
      </c>
      <c r="BG74">
        <f t="shared" si="2"/>
        <v>-5.5500000000000001E-2</v>
      </c>
      <c r="BH74">
        <f t="shared" si="2"/>
        <v>-4.3999999999999997E-2</v>
      </c>
      <c r="BI74">
        <f t="shared" si="2"/>
        <v>-1.43E-2</v>
      </c>
      <c r="BJ74">
        <f t="shared" si="2"/>
        <v>4.2999999999999983E-3</v>
      </c>
      <c r="BK74">
        <f t="shared" si="2"/>
        <v>2.2699999999999998E-2</v>
      </c>
      <c r="BL74">
        <f t="shared" si="2"/>
        <v>2.64E-2</v>
      </c>
      <c r="BM74">
        <f t="shared" si="2"/>
        <v>1.67E-2</v>
      </c>
      <c r="BN74">
        <f t="shared" si="2"/>
        <v>1.0000000000000009E-3</v>
      </c>
      <c r="BO74">
        <f t="shared" si="2"/>
        <v>-2.4099999999999996E-2</v>
      </c>
      <c r="BP74">
        <f t="shared" si="2"/>
        <v>-4.5699999999999998E-2</v>
      </c>
      <c r="BQ74">
        <f t="shared" si="3"/>
        <v>-4.7700000000000006E-2</v>
      </c>
      <c r="BR74">
        <f t="shared" si="3"/>
        <v>-4.3699999999999996E-2</v>
      </c>
      <c r="BS74">
        <f t="shared" si="3"/>
        <v>-1.8599999999999998E-2</v>
      </c>
      <c r="BT74">
        <f t="shared" si="3"/>
        <v>3.599999999999999E-3</v>
      </c>
      <c r="BU74">
        <f t="shared" si="3"/>
        <v>3.2199999999999993E-2</v>
      </c>
      <c r="BV74">
        <f t="shared" si="3"/>
        <v>2.6199999999999998E-2</v>
      </c>
      <c r="BW74">
        <f t="shared" si="3"/>
        <v>3.9800000000000002E-2</v>
      </c>
      <c r="BX74">
        <f t="shared" si="3"/>
        <v>3.3500000000000002E-2</v>
      </c>
      <c r="BY74">
        <f t="shared" si="3"/>
        <v>4.599999999999993E-3</v>
      </c>
      <c r="BZ74">
        <f t="shared" si="3"/>
        <v>-0.05</v>
      </c>
      <c r="CA74">
        <f t="shared" si="3"/>
        <v>-7.0699999999999985E-2</v>
      </c>
      <c r="CB74">
        <f t="shared" si="3"/>
        <v>-6.5500000000000003E-2</v>
      </c>
      <c r="CC74">
        <f t="shared" si="3"/>
        <v>-9.1899999999999996E-2</v>
      </c>
      <c r="CD74">
        <f t="shared" si="3"/>
        <v>-0.10090000000000002</v>
      </c>
      <c r="CE74">
        <f t="shared" si="3"/>
        <v>2.8400000000000002E-2</v>
      </c>
      <c r="CF74">
        <f t="shared" si="3"/>
        <v>6.1899999999999997E-2</v>
      </c>
      <c r="CG74">
        <f t="shared" si="3"/>
        <v>6.1999999999999993E-2</v>
      </c>
      <c r="CH74">
        <f t="shared" si="3"/>
        <v>7.46E-2</v>
      </c>
      <c r="CI74">
        <f t="shared" si="3"/>
        <v>8.3799999999999999E-2</v>
      </c>
      <c r="CJ74">
        <f t="shared" si="3"/>
        <v>7.7600000000000002E-2</v>
      </c>
      <c r="CK74">
        <f t="shared" si="3"/>
        <v>-0.10349999999999999</v>
      </c>
      <c r="CL74">
        <f t="shared" si="3"/>
        <v>-8.7299999999999989E-2</v>
      </c>
      <c r="CM74">
        <f t="shared" si="3"/>
        <v>-2.18E-2</v>
      </c>
      <c r="CN74">
        <f t="shared" si="3"/>
        <v>7.0800000000000002E-2</v>
      </c>
      <c r="CO74">
        <f t="shared" si="3"/>
        <v>8.2000000000000003E-2</v>
      </c>
      <c r="CP74">
        <f t="shared" si="3"/>
        <v>-4.4000000000000011E-3</v>
      </c>
      <c r="CQ74">
        <f t="shared" si="3"/>
        <v>-0.12139999999999999</v>
      </c>
      <c r="CR74">
        <f t="shared" si="3"/>
        <v>-4.2999999999999983E-3</v>
      </c>
      <c r="CS74">
        <f t="shared" si="3"/>
        <v>-4.1299999999999989E-2</v>
      </c>
      <c r="CT74">
        <f t="shared" si="3"/>
        <v>1.0800000000000004E-2</v>
      </c>
      <c r="CU74">
        <f t="shared" si="3"/>
        <v>0.1678</v>
      </c>
      <c r="CV74">
        <f t="shared" si="3"/>
        <v>5.4099999999999995E-2</v>
      </c>
      <c r="CW74">
        <f t="shared" si="3"/>
        <v>0.1298</v>
      </c>
      <c r="CX74">
        <f t="shared" si="3"/>
        <v>0.15989999999999999</v>
      </c>
    </row>
    <row r="75" spans="1:102" x14ac:dyDescent="0.2">
      <c r="A75" t="s">
        <v>5911</v>
      </c>
      <c r="B75" t="s">
        <v>220</v>
      </c>
      <c r="C75" t="s">
        <v>102</v>
      </c>
      <c r="D75">
        <f t="shared" si="4"/>
        <v>-0.16690000000000002</v>
      </c>
      <c r="E75">
        <f t="shared" ref="E75:BP78" si="5">E23+E48</f>
        <v>-9.1299999999999992E-2</v>
      </c>
      <c r="F75">
        <f t="shared" si="5"/>
        <v>-0.21640000000000001</v>
      </c>
      <c r="G75">
        <f t="shared" si="5"/>
        <v>-0.18289999999999998</v>
      </c>
      <c r="H75">
        <f t="shared" si="5"/>
        <v>-0.19339999999999999</v>
      </c>
      <c r="I75">
        <f t="shared" si="5"/>
        <v>-0.17149999999999999</v>
      </c>
      <c r="J75">
        <f t="shared" si="5"/>
        <v>-0.19119999999999998</v>
      </c>
      <c r="K75">
        <f t="shared" si="5"/>
        <v>-0.18010000000000001</v>
      </c>
      <c r="L75">
        <f t="shared" si="5"/>
        <v>-0.1676</v>
      </c>
      <c r="M75">
        <f t="shared" si="5"/>
        <v>-0.14169999999999999</v>
      </c>
      <c r="N75">
        <f t="shared" si="5"/>
        <v>-0.15660000000000002</v>
      </c>
      <c r="O75">
        <f t="shared" si="5"/>
        <v>-0.18679999999999999</v>
      </c>
      <c r="P75">
        <f t="shared" si="5"/>
        <v>-0.17119999999999999</v>
      </c>
      <c r="Q75">
        <f t="shared" si="5"/>
        <v>-0.13879999999999998</v>
      </c>
      <c r="R75">
        <f t="shared" si="5"/>
        <v>-8.3299999999999999E-2</v>
      </c>
      <c r="S75">
        <f t="shared" si="5"/>
        <v>-6.2800000000000009E-2</v>
      </c>
      <c r="T75">
        <f t="shared" si="5"/>
        <v>-6.3E-2</v>
      </c>
      <c r="U75">
        <f t="shared" si="5"/>
        <v>-5.5400000000000005E-2</v>
      </c>
      <c r="V75">
        <f t="shared" si="5"/>
        <v>-4.2799999999999998E-2</v>
      </c>
      <c r="W75">
        <f t="shared" si="5"/>
        <v>-3.2599999999999997E-2</v>
      </c>
      <c r="X75">
        <f t="shared" si="5"/>
        <v>-3.3799999999999997E-2</v>
      </c>
      <c r="Y75">
        <f t="shared" si="5"/>
        <v>-4.4700000000000004E-2</v>
      </c>
      <c r="Z75">
        <f t="shared" si="5"/>
        <v>-4.9799999999999997E-2</v>
      </c>
      <c r="AA75">
        <f t="shared" si="5"/>
        <v>-5.3499999999999999E-2</v>
      </c>
      <c r="AB75">
        <f t="shared" si="5"/>
        <v>-4.3200000000000002E-2</v>
      </c>
      <c r="AC75">
        <f t="shared" si="5"/>
        <v>-3.0600000000000002E-2</v>
      </c>
      <c r="AD75">
        <f t="shared" si="5"/>
        <v>-2.7200000000000002E-2</v>
      </c>
      <c r="AE75">
        <f t="shared" si="5"/>
        <v>-2.3100000000000002E-2</v>
      </c>
      <c r="AF75">
        <f t="shared" si="5"/>
        <v>-1.0999999999999999E-2</v>
      </c>
      <c r="AG75">
        <f t="shared" si="5"/>
        <v>-2.5999999999999999E-3</v>
      </c>
      <c r="AH75">
        <f t="shared" si="5"/>
        <v>-6.0999999999999995E-3</v>
      </c>
      <c r="AI75">
        <f t="shared" si="5"/>
        <v>2E-3</v>
      </c>
      <c r="AJ75">
        <f t="shared" si="5"/>
        <v>2.1499999999999998E-2</v>
      </c>
      <c r="AK75">
        <f t="shared" si="5"/>
        <v>2.76E-2</v>
      </c>
      <c r="AL75">
        <f t="shared" si="5"/>
        <v>2.98E-2</v>
      </c>
      <c r="AM75">
        <f t="shared" si="5"/>
        <v>3.4999999999999996E-2</v>
      </c>
      <c r="AN75">
        <f t="shared" si="5"/>
        <v>3.2799999999999996E-2</v>
      </c>
      <c r="AO75">
        <f t="shared" si="5"/>
        <v>2.5300000000000003E-2</v>
      </c>
      <c r="AP75">
        <f t="shared" si="5"/>
        <v>3.1999999999999997E-3</v>
      </c>
      <c r="AQ75">
        <f t="shared" si="5"/>
        <v>-1.4999999999999999E-2</v>
      </c>
      <c r="AR75">
        <f t="shared" si="5"/>
        <v>-1.8599999999999998E-2</v>
      </c>
      <c r="AS75">
        <f t="shared" si="5"/>
        <v>-3.2800000000000003E-2</v>
      </c>
      <c r="AT75">
        <f t="shared" si="5"/>
        <v>-2.7999999999999997E-2</v>
      </c>
      <c r="AU75">
        <f t="shared" si="5"/>
        <v>-0.03</v>
      </c>
      <c r="AV75">
        <f t="shared" si="5"/>
        <v>-1.1000000000000001E-2</v>
      </c>
      <c r="AW75">
        <f t="shared" si="5"/>
        <v>1.26E-2</v>
      </c>
      <c r="AX75">
        <f t="shared" si="5"/>
        <v>4.36E-2</v>
      </c>
      <c r="AY75">
        <f t="shared" si="5"/>
        <v>4.2400000000000007E-2</v>
      </c>
      <c r="AZ75">
        <f t="shared" si="5"/>
        <v>4.9299999999999997E-2</v>
      </c>
      <c r="BA75">
        <f t="shared" si="5"/>
        <v>4.7899999999999998E-2</v>
      </c>
      <c r="BB75">
        <f t="shared" si="5"/>
        <v>3.4100000000000005E-2</v>
      </c>
      <c r="BC75">
        <f t="shared" si="5"/>
        <v>-8.0000000000000036E-4</v>
      </c>
      <c r="BD75">
        <f t="shared" si="5"/>
        <v>-3.1400000000000004E-2</v>
      </c>
      <c r="BE75">
        <f t="shared" si="5"/>
        <v>-4.0900000000000006E-2</v>
      </c>
      <c r="BF75">
        <f t="shared" si="5"/>
        <v>-4.2799999999999998E-2</v>
      </c>
      <c r="BG75">
        <f t="shared" si="5"/>
        <v>-4.58E-2</v>
      </c>
      <c r="BH75">
        <f t="shared" si="5"/>
        <v>-3.6600000000000001E-2</v>
      </c>
      <c r="BI75">
        <f t="shared" si="5"/>
        <v>-1.03E-2</v>
      </c>
      <c r="BJ75">
        <f t="shared" si="5"/>
        <v>7.9999999999999863E-4</v>
      </c>
      <c r="BK75">
        <f t="shared" si="5"/>
        <v>3.9999999999999992E-3</v>
      </c>
      <c r="BL75">
        <f t="shared" si="5"/>
        <v>9.2999999999999992E-3</v>
      </c>
      <c r="BM75">
        <f t="shared" si="5"/>
        <v>2.599999999999999E-3</v>
      </c>
      <c r="BN75">
        <f t="shared" si="5"/>
        <v>-2.35E-2</v>
      </c>
      <c r="BO75">
        <f t="shared" si="5"/>
        <v>-4.7899999999999998E-2</v>
      </c>
      <c r="BP75">
        <f t="shared" si="5"/>
        <v>-7.17E-2</v>
      </c>
      <c r="BQ75">
        <f t="shared" si="3"/>
        <v>-7.7299999999999994E-2</v>
      </c>
      <c r="BR75">
        <f t="shared" si="3"/>
        <v>-7.2000000000000008E-2</v>
      </c>
      <c r="BS75">
        <f t="shared" si="3"/>
        <v>-4.8500000000000001E-2</v>
      </c>
      <c r="BT75">
        <f t="shared" si="3"/>
        <v>-2.8900000000000002E-2</v>
      </c>
      <c r="BU75">
        <f t="shared" si="3"/>
        <v>-2.0999999999999994E-3</v>
      </c>
      <c r="BV75">
        <f t="shared" si="3"/>
        <v>-1.9200000000000002E-2</v>
      </c>
      <c r="BW75">
        <f t="shared" si="3"/>
        <v>-1.5099999999999999E-2</v>
      </c>
      <c r="BX75">
        <f t="shared" si="3"/>
        <v>-2.0799999999999999E-2</v>
      </c>
      <c r="BY75">
        <f t="shared" si="3"/>
        <v>-5.0199999999999995E-2</v>
      </c>
      <c r="BZ75">
        <f t="shared" si="3"/>
        <v>-0.10780000000000001</v>
      </c>
      <c r="CA75">
        <f t="shared" si="3"/>
        <v>-0.12379999999999999</v>
      </c>
      <c r="CB75">
        <f t="shared" si="3"/>
        <v>-0.11840000000000001</v>
      </c>
      <c r="CC75">
        <f t="shared" si="3"/>
        <v>-0.1454</v>
      </c>
      <c r="CD75">
        <f t="shared" si="3"/>
        <v>-0.1515</v>
      </c>
      <c r="CE75">
        <f t="shared" si="3"/>
        <v>-2.1400000000000002E-2</v>
      </c>
      <c r="CF75">
        <f t="shared" si="3"/>
        <v>-8.5000000000000006E-3</v>
      </c>
      <c r="CG75">
        <f t="shared" si="3"/>
        <v>-1.1099999999999999E-2</v>
      </c>
      <c r="CH75">
        <f t="shared" si="3"/>
        <v>1.3599999999999999E-2</v>
      </c>
      <c r="CI75">
        <f t="shared" si="3"/>
        <v>6.8000000000000005E-3</v>
      </c>
      <c r="CJ75">
        <f t="shared" si="3"/>
        <v>6.9999999999999923E-4</v>
      </c>
      <c r="CK75">
        <f t="shared" si="3"/>
        <v>-0.20810000000000001</v>
      </c>
      <c r="CL75">
        <f t="shared" si="3"/>
        <v>-0.19469999999999998</v>
      </c>
      <c r="CM75">
        <f t="shared" si="3"/>
        <v>-0.13930000000000001</v>
      </c>
      <c r="CN75">
        <f t="shared" si="3"/>
        <v>-5.9400000000000001E-2</v>
      </c>
      <c r="CO75">
        <f t="shared" si="3"/>
        <v>-3.6100000000000007E-2</v>
      </c>
      <c r="CP75">
        <f t="shared" si="3"/>
        <v>-0.11130000000000001</v>
      </c>
      <c r="CQ75">
        <f t="shared" si="3"/>
        <v>-0.25259999999999999</v>
      </c>
      <c r="CR75">
        <f t="shared" si="3"/>
        <v>-0.18479999999999999</v>
      </c>
      <c r="CS75">
        <f t="shared" si="3"/>
        <v>-0.19400000000000001</v>
      </c>
      <c r="CT75">
        <f t="shared" si="3"/>
        <v>-0.19839999999999999</v>
      </c>
      <c r="CU75">
        <f t="shared" si="3"/>
        <v>-7.9999999999999984E-3</v>
      </c>
      <c r="CV75">
        <f t="shared" si="3"/>
        <v>-0.19739999999999999</v>
      </c>
      <c r="CW75">
        <f t="shared" si="3"/>
        <v>-0.1517</v>
      </c>
      <c r="CX75">
        <f t="shared" si="3"/>
        <v>-8.6800000000000002E-2</v>
      </c>
    </row>
    <row r="76" spans="1:102" x14ac:dyDescent="0.2">
      <c r="A76" t="s">
        <v>5912</v>
      </c>
      <c r="B76" t="s">
        <v>220</v>
      </c>
      <c r="C76" t="s">
        <v>102</v>
      </c>
      <c r="D76">
        <f t="shared" si="4"/>
        <v>0.15609999999999999</v>
      </c>
      <c r="E76">
        <f t="shared" si="5"/>
        <v>0.2019</v>
      </c>
      <c r="F76">
        <f t="shared" si="5"/>
        <v>1.7000000000000001E-3</v>
      </c>
      <c r="G76">
        <f t="shared" si="5"/>
        <v>2.6000000000000007E-3</v>
      </c>
      <c r="H76">
        <f t="shared" si="5"/>
        <v>-4.5999999999999999E-2</v>
      </c>
      <c r="I76">
        <f t="shared" si="5"/>
        <v>-2.0299999999999999E-2</v>
      </c>
      <c r="J76">
        <f t="shared" si="5"/>
        <v>-5.8500000000000003E-2</v>
      </c>
      <c r="K76">
        <f t="shared" si="5"/>
        <v>-6.0199999999999997E-2</v>
      </c>
      <c r="L76">
        <f t="shared" si="5"/>
        <v>-5.1499999999999997E-2</v>
      </c>
      <c r="M76">
        <f t="shared" si="5"/>
        <v>-5.0100000000000006E-2</v>
      </c>
      <c r="N76">
        <f t="shared" si="5"/>
        <v>-7.6399999999999996E-2</v>
      </c>
      <c r="O76">
        <f t="shared" si="5"/>
        <v>-0.11850000000000001</v>
      </c>
      <c r="P76">
        <f t="shared" si="5"/>
        <v>-0.1099</v>
      </c>
      <c r="Q76">
        <f t="shared" si="5"/>
        <v>-8.2899999999999988E-2</v>
      </c>
      <c r="R76">
        <f t="shared" si="5"/>
        <v>-3.4299999999999997E-2</v>
      </c>
      <c r="S76">
        <f t="shared" si="5"/>
        <v>-1.7500000000000002E-2</v>
      </c>
      <c r="T76">
        <f t="shared" si="5"/>
        <v>-2.0199999999999999E-2</v>
      </c>
      <c r="U76">
        <f t="shared" si="5"/>
        <v>-1.38E-2</v>
      </c>
      <c r="V76">
        <f t="shared" si="5"/>
        <v>-2.3999999999999994E-3</v>
      </c>
      <c r="W76">
        <f t="shared" si="5"/>
        <v>6.8000000000000005E-3</v>
      </c>
      <c r="X76">
        <f t="shared" si="5"/>
        <v>4.2000000000000006E-3</v>
      </c>
      <c r="Y76">
        <f t="shared" si="5"/>
        <v>-7.4000000000000003E-3</v>
      </c>
      <c r="Z76">
        <f t="shared" si="5"/>
        <v>-1.32E-2</v>
      </c>
      <c r="AA76">
        <f t="shared" si="5"/>
        <v>-1.7399999999999999E-2</v>
      </c>
      <c r="AB76">
        <f t="shared" si="5"/>
        <v>-7.1999999999999998E-3</v>
      </c>
      <c r="AC76">
        <f t="shared" si="5"/>
        <v>5.0999999999999995E-3</v>
      </c>
      <c r="AD76">
        <f t="shared" si="5"/>
        <v>8.5000000000000006E-3</v>
      </c>
      <c r="AE76">
        <f t="shared" si="5"/>
        <v>1.2699999999999999E-2</v>
      </c>
      <c r="AF76">
        <f t="shared" si="5"/>
        <v>2.52E-2</v>
      </c>
      <c r="AG76">
        <f t="shared" si="5"/>
        <v>3.4099999999999998E-2</v>
      </c>
      <c r="AH76">
        <f t="shared" si="5"/>
        <v>3.1399999999999997E-2</v>
      </c>
      <c r="AI76">
        <f t="shared" si="5"/>
        <v>4.0500000000000001E-2</v>
      </c>
      <c r="AJ76">
        <f t="shared" si="5"/>
        <v>6.1900000000000004E-2</v>
      </c>
      <c r="AK76">
        <f t="shared" si="5"/>
        <v>6.9700000000000012E-2</v>
      </c>
      <c r="AL76">
        <f t="shared" si="5"/>
        <v>7.2899999999999993E-2</v>
      </c>
      <c r="AM76">
        <f t="shared" si="5"/>
        <v>7.8700000000000006E-2</v>
      </c>
      <c r="AN76">
        <f t="shared" si="5"/>
        <v>7.7299999999999994E-2</v>
      </c>
      <c r="AO76">
        <f t="shared" si="5"/>
        <v>7.0300000000000001E-2</v>
      </c>
      <c r="AP76">
        <f t="shared" si="5"/>
        <v>4.8000000000000001E-2</v>
      </c>
      <c r="AQ76">
        <f t="shared" si="5"/>
        <v>2.9499999999999998E-2</v>
      </c>
      <c r="AR76">
        <f t="shared" si="5"/>
        <v>2.6200000000000001E-2</v>
      </c>
      <c r="AS76">
        <f t="shared" si="5"/>
        <v>1.23E-2</v>
      </c>
      <c r="AT76">
        <f t="shared" si="5"/>
        <v>1.72E-2</v>
      </c>
      <c r="AU76">
        <f t="shared" si="5"/>
        <v>1.5100000000000001E-2</v>
      </c>
      <c r="AV76">
        <f t="shared" si="5"/>
        <v>3.39E-2</v>
      </c>
      <c r="AW76">
        <f t="shared" si="5"/>
        <v>5.8000000000000003E-2</v>
      </c>
      <c r="AX76">
        <f t="shared" si="5"/>
        <v>0.09</v>
      </c>
      <c r="AY76">
        <f t="shared" si="5"/>
        <v>8.929999999999999E-2</v>
      </c>
      <c r="AZ76">
        <f t="shared" si="5"/>
        <v>9.6599999999999991E-2</v>
      </c>
      <c r="BA76">
        <f t="shared" si="5"/>
        <v>9.5899999999999999E-2</v>
      </c>
      <c r="BB76">
        <f t="shared" si="5"/>
        <v>8.2400000000000001E-2</v>
      </c>
      <c r="BC76">
        <f t="shared" si="5"/>
        <v>4.82E-2</v>
      </c>
      <c r="BD76">
        <f t="shared" si="5"/>
        <v>1.8800000000000001E-2</v>
      </c>
      <c r="BE76">
        <f t="shared" si="5"/>
        <v>9.7999999999999997E-3</v>
      </c>
      <c r="BF76">
        <f t="shared" si="5"/>
        <v>7.6999999999999994E-3</v>
      </c>
      <c r="BG76">
        <f t="shared" si="5"/>
        <v>4.8999999999999998E-3</v>
      </c>
      <c r="BH76">
        <f t="shared" si="5"/>
        <v>1.3399999999999999E-2</v>
      </c>
      <c r="BI76">
        <f t="shared" si="5"/>
        <v>3.9900000000000005E-2</v>
      </c>
      <c r="BJ76">
        <f t="shared" si="5"/>
        <v>5.1100000000000007E-2</v>
      </c>
      <c r="BK76">
        <f t="shared" si="5"/>
        <v>5.4199999999999998E-2</v>
      </c>
      <c r="BL76">
        <f t="shared" si="5"/>
        <v>5.9700000000000003E-2</v>
      </c>
      <c r="BM76">
        <f t="shared" si="5"/>
        <v>5.4100000000000002E-2</v>
      </c>
      <c r="BN76">
        <f t="shared" si="5"/>
        <v>2.8900000000000002E-2</v>
      </c>
      <c r="BO76">
        <f t="shared" si="5"/>
        <v>5.0999999999999986E-3</v>
      </c>
      <c r="BP76">
        <f t="shared" si="5"/>
        <v>-1.8099999999999998E-2</v>
      </c>
      <c r="BQ76">
        <f t="shared" si="3"/>
        <v>-2.3200000000000002E-2</v>
      </c>
      <c r="BR76">
        <f t="shared" si="3"/>
        <v>-1.83E-2</v>
      </c>
      <c r="BS76">
        <f t="shared" si="3"/>
        <v>6.1000000000000013E-3</v>
      </c>
      <c r="BT76">
        <f t="shared" si="3"/>
        <v>2.6099999999999998E-2</v>
      </c>
      <c r="BU76">
        <f t="shared" si="3"/>
        <v>5.45E-2</v>
      </c>
      <c r="BV76">
        <f t="shared" si="3"/>
        <v>4.0500000000000001E-2</v>
      </c>
      <c r="BW76">
        <f t="shared" si="3"/>
        <v>4.8500000000000001E-2</v>
      </c>
      <c r="BX76">
        <f t="shared" si="3"/>
        <v>4.41E-2</v>
      </c>
      <c r="BY76">
        <f t="shared" si="3"/>
        <v>1.5100000000000001E-2</v>
      </c>
      <c r="BZ76">
        <f t="shared" si="3"/>
        <v>-4.5100000000000001E-2</v>
      </c>
      <c r="CA76">
        <f t="shared" si="3"/>
        <v>-6.1899999999999997E-2</v>
      </c>
      <c r="CB76">
        <f t="shared" si="3"/>
        <v>-5.6700000000000007E-2</v>
      </c>
      <c r="CC76">
        <f t="shared" si="3"/>
        <v>-8.1500000000000003E-2</v>
      </c>
      <c r="CD76">
        <f t="shared" si="3"/>
        <v>-8.4400000000000003E-2</v>
      </c>
      <c r="CE76">
        <f t="shared" si="3"/>
        <v>5.5599999999999997E-2</v>
      </c>
      <c r="CF76">
        <f t="shared" si="3"/>
        <v>7.3399999999999993E-2</v>
      </c>
      <c r="CG76">
        <f t="shared" si="3"/>
        <v>6.7799999999999999E-2</v>
      </c>
      <c r="CH76">
        <f t="shared" si="3"/>
        <v>8.900000000000001E-2</v>
      </c>
      <c r="CI76">
        <f t="shared" si="3"/>
        <v>8.1699999999999995E-2</v>
      </c>
      <c r="CJ76">
        <f t="shared" si="3"/>
        <v>8.0699999999999994E-2</v>
      </c>
      <c r="CK76">
        <f t="shared" si="3"/>
        <v>-0.11799999999999999</v>
      </c>
      <c r="CL76">
        <f t="shared" si="3"/>
        <v>-0.10580000000000001</v>
      </c>
      <c r="CM76">
        <f t="shared" si="3"/>
        <v>-5.04E-2</v>
      </c>
      <c r="CN76">
        <f t="shared" si="3"/>
        <v>4.0800000000000003E-2</v>
      </c>
      <c r="CO76">
        <f t="shared" si="3"/>
        <v>6.5599999999999992E-2</v>
      </c>
      <c r="CP76">
        <f t="shared" si="3"/>
        <v>-2.0100000000000003E-2</v>
      </c>
      <c r="CQ76">
        <f t="shared" si="3"/>
        <v>-0.15459999999999999</v>
      </c>
      <c r="CR76">
        <f t="shared" si="3"/>
        <v>-6.3500000000000001E-2</v>
      </c>
      <c r="CS76">
        <f t="shared" si="3"/>
        <v>-8.8800000000000004E-2</v>
      </c>
      <c r="CT76">
        <f t="shared" si="3"/>
        <v>-6.7199999999999996E-2</v>
      </c>
      <c r="CU76">
        <f t="shared" si="3"/>
        <v>0.1167</v>
      </c>
      <c r="CV76">
        <f t="shared" si="3"/>
        <v>-5.3099999999999994E-2</v>
      </c>
      <c r="CW76">
        <f t="shared" si="3"/>
        <v>8.3999999999999977E-3</v>
      </c>
      <c r="CX76">
        <f t="shared" si="3"/>
        <v>9.9700000000000011E-2</v>
      </c>
    </row>
    <row r="77" spans="1:102" x14ac:dyDescent="0.2">
      <c r="A77" t="s">
        <v>5913</v>
      </c>
      <c r="B77" t="s">
        <v>220</v>
      </c>
      <c r="C77" t="s">
        <v>102</v>
      </c>
      <c r="D77">
        <f t="shared" si="4"/>
        <v>-4.1399999999999999E-2</v>
      </c>
      <c r="E77">
        <f t="shared" si="5"/>
        <v>-5.0299999999999997E-2</v>
      </c>
      <c r="F77">
        <f t="shared" si="5"/>
        <v>-1.5199999999999998E-2</v>
      </c>
      <c r="G77">
        <f t="shared" si="5"/>
        <v>-1.9500000000000003E-2</v>
      </c>
      <c r="H77">
        <f t="shared" si="5"/>
        <v>4.6999999999999993E-3</v>
      </c>
      <c r="I77">
        <f t="shared" si="5"/>
        <v>-6.6E-3</v>
      </c>
      <c r="J77">
        <f t="shared" si="5"/>
        <v>9.9999999999999829E-5</v>
      </c>
      <c r="K77">
        <f t="shared" si="5"/>
        <v>-8.9999999999999998E-4</v>
      </c>
      <c r="L77">
        <f t="shared" si="5"/>
        <v>-4.0000000000000001E-3</v>
      </c>
      <c r="M77">
        <f t="shared" si="5"/>
        <v>-5.4999999999999997E-3</v>
      </c>
      <c r="N77">
        <f t="shared" si="5"/>
        <v>2.6000000000000003E-3</v>
      </c>
      <c r="O77">
        <f t="shared" si="5"/>
        <v>1.04E-2</v>
      </c>
      <c r="P77">
        <f t="shared" si="5"/>
        <v>8.6E-3</v>
      </c>
      <c r="Q77">
        <f t="shared" si="5"/>
        <v>2.3E-3</v>
      </c>
      <c r="R77">
        <f t="shared" si="5"/>
        <v>-4.3E-3</v>
      </c>
      <c r="S77">
        <f t="shared" si="5"/>
        <v>-7.1999999999999998E-3</v>
      </c>
      <c r="T77">
        <f t="shared" si="5"/>
        <v>-6.7999999999999996E-3</v>
      </c>
      <c r="U77">
        <f t="shared" si="5"/>
        <v>-7.6E-3</v>
      </c>
      <c r="V77">
        <f t="shared" si="5"/>
        <v>-9.5999999999999992E-3</v>
      </c>
      <c r="W77">
        <f t="shared" si="5"/>
        <v>-9.1999999999999998E-3</v>
      </c>
      <c r="X77">
        <f t="shared" si="5"/>
        <v>-6.1999999999999998E-3</v>
      </c>
      <c r="Y77">
        <f t="shared" si="5"/>
        <v>-4.8000000000000004E-3</v>
      </c>
      <c r="Z77">
        <f t="shared" si="5"/>
        <v>-3.5999999999999999E-3</v>
      </c>
      <c r="AA77">
        <f t="shared" si="5"/>
        <v>-3.1999999999999997E-3</v>
      </c>
      <c r="AB77">
        <f t="shared" si="5"/>
        <v>-6.2000000000000006E-3</v>
      </c>
      <c r="AC77">
        <f t="shared" si="5"/>
        <v>-7.7000000000000002E-3</v>
      </c>
      <c r="AD77">
        <f t="shared" si="5"/>
        <v>-8.3000000000000001E-3</v>
      </c>
      <c r="AE77">
        <f t="shared" si="5"/>
        <v>-8.8999999999999999E-3</v>
      </c>
      <c r="AF77">
        <f t="shared" si="5"/>
        <v>-1.12E-2</v>
      </c>
      <c r="AG77">
        <f t="shared" si="5"/>
        <v>-1.1599999999999999E-2</v>
      </c>
      <c r="AH77">
        <f t="shared" si="5"/>
        <v>-1.0800000000000001E-2</v>
      </c>
      <c r="AI77">
        <f t="shared" si="5"/>
        <v>-1.32E-2</v>
      </c>
      <c r="AJ77">
        <f t="shared" si="5"/>
        <v>-1.8800000000000001E-2</v>
      </c>
      <c r="AK77">
        <f t="shared" si="5"/>
        <v>-2.06E-2</v>
      </c>
      <c r="AL77">
        <f t="shared" si="5"/>
        <v>-2.2599999999999999E-2</v>
      </c>
      <c r="AM77">
        <f t="shared" si="5"/>
        <v>-2.2599999999999999E-2</v>
      </c>
      <c r="AN77">
        <f t="shared" si="5"/>
        <v>-2.3699999999999999E-2</v>
      </c>
      <c r="AO77">
        <f t="shared" si="5"/>
        <v>-2.2800000000000001E-2</v>
      </c>
      <c r="AP77">
        <f t="shared" si="5"/>
        <v>-1.78E-2</v>
      </c>
      <c r="AQ77">
        <f t="shared" si="5"/>
        <v>-1.09E-2</v>
      </c>
      <c r="AR77">
        <f t="shared" si="5"/>
        <v>-8.0999999999999996E-3</v>
      </c>
      <c r="AS77">
        <f t="shared" si="5"/>
        <v>-6.0999999999999995E-3</v>
      </c>
      <c r="AT77">
        <f t="shared" si="5"/>
        <v>-5.7999999999999996E-3</v>
      </c>
      <c r="AU77">
        <f t="shared" si="5"/>
        <v>-5.2999999999999992E-3</v>
      </c>
      <c r="AV77">
        <f t="shared" si="5"/>
        <v>-1.04E-2</v>
      </c>
      <c r="AW77">
        <f t="shared" si="5"/>
        <v>-1.7299999999999999E-2</v>
      </c>
      <c r="AX77">
        <f t="shared" si="5"/>
        <v>-2.4299999999999999E-2</v>
      </c>
      <c r="AY77">
        <f t="shared" si="5"/>
        <v>-2.52E-2</v>
      </c>
      <c r="AZ77">
        <f t="shared" si="5"/>
        <v>-2.64E-2</v>
      </c>
      <c r="BA77">
        <f t="shared" si="5"/>
        <v>-2.6000000000000002E-2</v>
      </c>
      <c r="BB77">
        <f t="shared" si="5"/>
        <v>-2.4400000000000002E-2</v>
      </c>
      <c r="BC77">
        <f t="shared" si="5"/>
        <v>-1.55E-2</v>
      </c>
      <c r="BD77">
        <f t="shared" si="5"/>
        <v>-9.4000000000000004E-3</v>
      </c>
      <c r="BE77">
        <f t="shared" si="5"/>
        <v>-6.8000000000000005E-3</v>
      </c>
      <c r="BF77">
        <f t="shared" si="5"/>
        <v>-6.8000000000000005E-3</v>
      </c>
      <c r="BG77">
        <f t="shared" si="5"/>
        <v>-5.1999999999999998E-3</v>
      </c>
      <c r="BH77">
        <f t="shared" si="5"/>
        <v>-5.0000000000000001E-3</v>
      </c>
      <c r="BI77">
        <f t="shared" si="5"/>
        <v>-1.0499999999999999E-2</v>
      </c>
      <c r="BJ77">
        <f t="shared" si="5"/>
        <v>-1.2499999999999999E-2</v>
      </c>
      <c r="BK77">
        <f t="shared" si="5"/>
        <v>-1.6E-2</v>
      </c>
      <c r="BL77">
        <f t="shared" si="5"/>
        <v>-1.6E-2</v>
      </c>
      <c r="BM77">
        <f t="shared" si="5"/>
        <v>-1.3999999999999999E-2</v>
      </c>
      <c r="BN77">
        <f t="shared" si="5"/>
        <v>-6.8999999999999999E-3</v>
      </c>
      <c r="BO77">
        <f t="shared" si="5"/>
        <v>-3.9000000000000003E-3</v>
      </c>
      <c r="BP77">
        <f t="shared" si="5"/>
        <v>9.9999999999999829E-5</v>
      </c>
      <c r="BQ77">
        <f t="shared" si="3"/>
        <v>2.9999999999999992E-4</v>
      </c>
      <c r="BR77">
        <f t="shared" si="3"/>
        <v>3.9999999999999975E-4</v>
      </c>
      <c r="BS77">
        <f t="shared" si="3"/>
        <v>-6.0999999999999995E-3</v>
      </c>
      <c r="BT77">
        <f t="shared" si="3"/>
        <v>-1.2499999999999999E-2</v>
      </c>
      <c r="BU77">
        <f t="shared" si="3"/>
        <v>-1.84E-2</v>
      </c>
      <c r="BV77">
        <f t="shared" si="3"/>
        <v>-1.41E-2</v>
      </c>
      <c r="BW77">
        <f t="shared" si="3"/>
        <v>-1.7399999999999999E-2</v>
      </c>
      <c r="BX77">
        <f t="shared" si="3"/>
        <v>-1.7499999999999998E-2</v>
      </c>
      <c r="BY77">
        <f t="shared" si="3"/>
        <v>-9.1000000000000004E-3</v>
      </c>
      <c r="BZ77">
        <f t="shared" si="3"/>
        <v>4.9000000000000007E-3</v>
      </c>
      <c r="CA77">
        <f t="shared" si="3"/>
        <v>7.3000000000000001E-3</v>
      </c>
      <c r="CB77">
        <f t="shared" si="3"/>
        <v>2.7000000000000006E-3</v>
      </c>
      <c r="CC77">
        <f t="shared" si="3"/>
        <v>9.9999999999999985E-3</v>
      </c>
      <c r="CD77">
        <f t="shared" si="3"/>
        <v>1.1899999999999999E-2</v>
      </c>
      <c r="CE77">
        <f t="shared" si="3"/>
        <v>-2.1500000000000002E-2</v>
      </c>
      <c r="CF77">
        <f t="shared" si="3"/>
        <v>-2.5100000000000001E-2</v>
      </c>
      <c r="CG77">
        <f t="shared" si="3"/>
        <v>-2.47E-2</v>
      </c>
      <c r="CH77">
        <f t="shared" si="3"/>
        <v>-2.4E-2</v>
      </c>
      <c r="CI77">
        <f t="shared" si="3"/>
        <v>-2.9600000000000001E-2</v>
      </c>
      <c r="CJ77">
        <f t="shared" si="3"/>
        <v>-2.98E-2</v>
      </c>
      <c r="CK77">
        <f t="shared" si="3"/>
        <v>9.3999999999999986E-3</v>
      </c>
      <c r="CL77">
        <f t="shared" si="3"/>
        <v>9.9999999999999985E-3</v>
      </c>
      <c r="CM77">
        <f t="shared" si="3"/>
        <v>2E-3</v>
      </c>
      <c r="CN77">
        <f t="shared" si="3"/>
        <v>-2.1299999999999999E-2</v>
      </c>
      <c r="CO77">
        <f t="shared" si="3"/>
        <v>-2.4400000000000002E-2</v>
      </c>
      <c r="CP77">
        <f t="shared" si="3"/>
        <v>1E-3</v>
      </c>
      <c r="CQ77">
        <f t="shared" si="3"/>
        <v>3.0499999999999996E-2</v>
      </c>
      <c r="CR77">
        <f t="shared" si="3"/>
        <v>-2.7999999999999995E-3</v>
      </c>
      <c r="CS77">
        <f t="shared" si="3"/>
        <v>3.4000000000000011E-3</v>
      </c>
      <c r="CT77">
        <f t="shared" si="3"/>
        <v>1.5999999999999999E-3</v>
      </c>
      <c r="CU77">
        <f t="shared" si="3"/>
        <v>-5.04E-2</v>
      </c>
      <c r="CV77">
        <f t="shared" si="3"/>
        <v>-2.9100000000000001E-2</v>
      </c>
      <c r="CW77">
        <f t="shared" si="3"/>
        <v>-3.1599999999999996E-2</v>
      </c>
      <c r="CX77">
        <f t="shared" si="3"/>
        <v>-3.8599999999999995E-2</v>
      </c>
    </row>
    <row r="78" spans="1:102" x14ac:dyDescent="0.2">
      <c r="A78" t="s">
        <v>5914</v>
      </c>
      <c r="B78" t="s">
        <v>220</v>
      </c>
      <c r="C78" t="s">
        <v>102</v>
      </c>
      <c r="D78">
        <f t="shared" si="4"/>
        <v>1.72E-2</v>
      </c>
      <c r="E78">
        <f t="shared" si="5"/>
        <v>5.4999999999999997E-3</v>
      </c>
      <c r="F78">
        <f t="shared" si="5"/>
        <v>2.7200000000000002E-2</v>
      </c>
      <c r="G78">
        <f t="shared" si="5"/>
        <v>1.72E-2</v>
      </c>
      <c r="H78">
        <f t="shared" si="5"/>
        <v>3.4799999999999998E-2</v>
      </c>
      <c r="I78">
        <f t="shared" si="5"/>
        <v>2.41E-2</v>
      </c>
      <c r="J78">
        <f t="shared" si="5"/>
        <v>2.7399999999999997E-2</v>
      </c>
      <c r="K78">
        <f t="shared" si="5"/>
        <v>2.3700000000000002E-2</v>
      </c>
      <c r="L78">
        <f t="shared" si="5"/>
        <v>2.0199999999999999E-2</v>
      </c>
      <c r="M78">
        <f t="shared" si="5"/>
        <v>1.3600000000000001E-2</v>
      </c>
      <c r="N78">
        <f t="shared" si="5"/>
        <v>1.9599999999999999E-2</v>
      </c>
      <c r="O78">
        <f t="shared" si="5"/>
        <v>2.4899999999999999E-2</v>
      </c>
      <c r="P78">
        <f t="shared" si="5"/>
        <v>2.18E-2</v>
      </c>
      <c r="Q78">
        <f t="shared" si="5"/>
        <v>1.44E-2</v>
      </c>
      <c r="R78">
        <f t="shared" si="5"/>
        <v>6.1999999999999998E-3</v>
      </c>
      <c r="S78">
        <f t="shared" si="5"/>
        <v>2.5000000000000001E-3</v>
      </c>
      <c r="T78">
        <f t="shared" si="5"/>
        <v>2.4000000000000002E-3</v>
      </c>
      <c r="U78">
        <f t="shared" si="5"/>
        <v>1.4E-3</v>
      </c>
      <c r="V78">
        <f t="shared" si="5"/>
        <v>-8.9999999999999998E-4</v>
      </c>
      <c r="W78">
        <f t="shared" si="5"/>
        <v>-5.9999999999999995E-4</v>
      </c>
      <c r="X78">
        <f t="shared" si="5"/>
        <v>2.2000000000000001E-3</v>
      </c>
      <c r="Y78">
        <f t="shared" si="5"/>
        <v>3.5999999999999999E-3</v>
      </c>
      <c r="Z78">
        <f t="shared" si="5"/>
        <v>4.5999999999999999E-3</v>
      </c>
      <c r="AA78">
        <f t="shared" si="5"/>
        <v>5.1000000000000004E-3</v>
      </c>
      <c r="AB78">
        <f t="shared" si="5"/>
        <v>2.0999999999999999E-3</v>
      </c>
      <c r="AC78">
        <f t="shared" si="5"/>
        <v>6.0000000000000006E-4</v>
      </c>
      <c r="AD78">
        <f t="shared" si="5"/>
        <v>0</v>
      </c>
      <c r="AE78">
        <f t="shared" si="5"/>
        <v>-6.0000000000000006E-4</v>
      </c>
      <c r="AF78">
        <f t="shared" si="5"/>
        <v>-2.8E-3</v>
      </c>
      <c r="AG78">
        <f t="shared" si="5"/>
        <v>-2.9000000000000002E-3</v>
      </c>
      <c r="AH78">
        <f t="shared" si="5"/>
        <v>-1.8E-3</v>
      </c>
      <c r="AI78">
        <f t="shared" si="5"/>
        <v>-3.8E-3</v>
      </c>
      <c r="AJ78">
        <f t="shared" si="5"/>
        <v>-9.1999999999999998E-3</v>
      </c>
      <c r="AK78">
        <f t="shared" si="5"/>
        <v>-1.0400000000000001E-2</v>
      </c>
      <c r="AL78">
        <f t="shared" si="5"/>
        <v>-1.21E-2</v>
      </c>
      <c r="AM78">
        <f t="shared" si="5"/>
        <v>-1.18E-2</v>
      </c>
      <c r="AN78">
        <f t="shared" si="5"/>
        <v>-1.26E-2</v>
      </c>
      <c r="AO78">
        <f t="shared" si="5"/>
        <v>-1.1599999999999999E-2</v>
      </c>
      <c r="AP78">
        <f t="shared" si="5"/>
        <v>-6.4999999999999997E-3</v>
      </c>
      <c r="AQ78">
        <f t="shared" si="5"/>
        <v>4.0000000000000007E-4</v>
      </c>
      <c r="AR78">
        <f t="shared" si="5"/>
        <v>3.4000000000000002E-3</v>
      </c>
      <c r="AS78">
        <f t="shared" si="5"/>
        <v>5.4999999999999997E-3</v>
      </c>
      <c r="AT78">
        <f t="shared" si="5"/>
        <v>5.8999999999999999E-3</v>
      </c>
      <c r="AU78">
        <f t="shared" si="5"/>
        <v>6.4999999999999997E-3</v>
      </c>
      <c r="AV78">
        <f t="shared" si="5"/>
        <v>1.3999999999999998E-3</v>
      </c>
      <c r="AW78">
        <f t="shared" si="5"/>
        <v>-5.4000000000000003E-3</v>
      </c>
      <c r="AX78">
        <f t="shared" si="5"/>
        <v>-1.21E-2</v>
      </c>
      <c r="AY78">
        <f t="shared" si="5"/>
        <v>-1.2699999999999999E-2</v>
      </c>
      <c r="AZ78">
        <f t="shared" si="5"/>
        <v>-1.38E-2</v>
      </c>
      <c r="BA78">
        <f t="shared" si="5"/>
        <v>-1.3100000000000001E-2</v>
      </c>
      <c r="BB78">
        <f t="shared" si="5"/>
        <v>-1.14E-2</v>
      </c>
      <c r="BC78">
        <f t="shared" si="5"/>
        <v>-2.2000000000000001E-3</v>
      </c>
      <c r="BD78">
        <f t="shared" si="5"/>
        <v>4.3E-3</v>
      </c>
      <c r="BE78">
        <f t="shared" si="5"/>
        <v>7.000000000000001E-3</v>
      </c>
      <c r="BF78">
        <f t="shared" si="5"/>
        <v>7.1999999999999998E-3</v>
      </c>
      <c r="BG78">
        <f t="shared" si="5"/>
        <v>8.8000000000000005E-3</v>
      </c>
      <c r="BH78">
        <f t="shared" si="5"/>
        <v>8.8999999999999999E-3</v>
      </c>
      <c r="BI78">
        <f t="shared" si="5"/>
        <v>3.5000000000000005E-3</v>
      </c>
      <c r="BJ78">
        <f t="shared" si="5"/>
        <v>1.4999999999999998E-3</v>
      </c>
      <c r="BK78">
        <f t="shared" si="5"/>
        <v>-1.9E-3</v>
      </c>
      <c r="BL78">
        <f t="shared" si="5"/>
        <v>-1.8E-3</v>
      </c>
      <c r="BM78">
        <f t="shared" si="5"/>
        <v>6.0000000000000006E-4</v>
      </c>
      <c r="BN78">
        <f t="shared" si="5"/>
        <v>8.2000000000000007E-3</v>
      </c>
      <c r="BO78">
        <f t="shared" si="5"/>
        <v>1.14E-2</v>
      </c>
      <c r="BP78">
        <f t="shared" ref="BP78:CX81" si="6">BP26+BP51</f>
        <v>1.5599999999999999E-2</v>
      </c>
      <c r="BQ78">
        <f t="shared" si="6"/>
        <v>1.6E-2</v>
      </c>
      <c r="BR78">
        <f t="shared" si="6"/>
        <v>1.5999999999999997E-2</v>
      </c>
      <c r="BS78">
        <f t="shared" si="6"/>
        <v>9.7000000000000003E-3</v>
      </c>
      <c r="BT78">
        <f t="shared" si="6"/>
        <v>3.5999999999999999E-3</v>
      </c>
      <c r="BU78">
        <f t="shared" si="6"/>
        <v>-1.7000000000000001E-3</v>
      </c>
      <c r="BV78">
        <f t="shared" si="6"/>
        <v>3.4999999999999996E-3</v>
      </c>
      <c r="BW78">
        <f t="shared" si="6"/>
        <v>1.3999999999999998E-3</v>
      </c>
      <c r="BX78">
        <f t="shared" si="6"/>
        <v>1.7999999999999997E-3</v>
      </c>
      <c r="BY78">
        <f t="shared" si="6"/>
        <v>1.0499999999999999E-2</v>
      </c>
      <c r="BZ78">
        <f t="shared" si="6"/>
        <v>2.3799999999999998E-2</v>
      </c>
      <c r="CA78">
        <f t="shared" si="6"/>
        <v>2.5999999999999999E-2</v>
      </c>
      <c r="CB78">
        <f t="shared" si="6"/>
        <v>2.1399999999999999E-2</v>
      </c>
      <c r="CC78">
        <f t="shared" si="6"/>
        <v>2.9399999999999999E-2</v>
      </c>
      <c r="CD78">
        <f t="shared" si="6"/>
        <v>3.27E-2</v>
      </c>
      <c r="CE78">
        <f t="shared" si="6"/>
        <v>2.3E-3</v>
      </c>
      <c r="CF78">
        <f t="shared" si="6"/>
        <v>2.0000000000000009E-4</v>
      </c>
      <c r="CG78">
        <f t="shared" si="6"/>
        <v>0</v>
      </c>
      <c r="CH78">
        <f t="shared" si="6"/>
        <v>-2.0000000000000009E-4</v>
      </c>
      <c r="CI78">
        <f t="shared" si="6"/>
        <v>-5.5999999999999999E-3</v>
      </c>
      <c r="CJ78">
        <f t="shared" si="6"/>
        <v>-4.0000000000000001E-3</v>
      </c>
      <c r="CK78">
        <f t="shared" si="6"/>
        <v>3.8699999999999998E-2</v>
      </c>
      <c r="CL78">
        <f t="shared" si="6"/>
        <v>3.9299999999999995E-2</v>
      </c>
      <c r="CM78">
        <f t="shared" si="6"/>
        <v>3.1599999999999996E-2</v>
      </c>
      <c r="CN78">
        <f t="shared" si="6"/>
        <v>1.2699999999999999E-2</v>
      </c>
      <c r="CO78">
        <f t="shared" si="6"/>
        <v>1.1099999999999999E-2</v>
      </c>
      <c r="CP78">
        <f t="shared" si="6"/>
        <v>3.39E-2</v>
      </c>
      <c r="CQ78">
        <f t="shared" si="6"/>
        <v>6.7000000000000004E-2</v>
      </c>
      <c r="CR78">
        <f t="shared" si="6"/>
        <v>4.3400000000000001E-2</v>
      </c>
      <c r="CS78">
        <f t="shared" si="6"/>
        <v>4.4500000000000005E-2</v>
      </c>
      <c r="CT78">
        <f t="shared" si="6"/>
        <v>5.5E-2</v>
      </c>
      <c r="CU78">
        <f t="shared" si="6"/>
        <v>2.3E-3</v>
      </c>
      <c r="CV78">
        <f t="shared" si="6"/>
        <v>3.4200000000000001E-2</v>
      </c>
      <c r="CW78">
        <f t="shared" si="6"/>
        <v>4.4700000000000004E-2</v>
      </c>
      <c r="CX78">
        <f t="shared" si="6"/>
        <v>6.2600000000000003E-2</v>
      </c>
    </row>
    <row r="79" spans="1:102" x14ac:dyDescent="0.2">
      <c r="A79" t="s">
        <v>5915</v>
      </c>
      <c r="B79" t="s">
        <v>220</v>
      </c>
      <c r="C79" t="s">
        <v>102</v>
      </c>
      <c r="D79">
        <f t="shared" si="4"/>
        <v>-1.5300000000000001E-2</v>
      </c>
      <c r="E79">
        <f t="shared" ref="E79:BP82" si="7">E27+E52</f>
        <v>-2.06E-2</v>
      </c>
      <c r="F79">
        <f t="shared" si="7"/>
        <v>2.0000000000000009E-4</v>
      </c>
      <c r="G79">
        <f t="shared" si="7"/>
        <v>-4.5999999999999999E-3</v>
      </c>
      <c r="H79">
        <f t="shared" si="7"/>
        <v>1.9000000000000002E-3</v>
      </c>
      <c r="I79">
        <f t="shared" si="7"/>
        <v>-3.0999999999999999E-3</v>
      </c>
      <c r="J79">
        <f t="shared" si="7"/>
        <v>-5.7000000000000002E-3</v>
      </c>
      <c r="K79">
        <f t="shared" si="7"/>
        <v>-1.8E-3</v>
      </c>
      <c r="L79">
        <f t="shared" si="7"/>
        <v>-6.7000000000000002E-3</v>
      </c>
      <c r="M79">
        <f t="shared" si="7"/>
        <v>-4.4999999999999997E-3</v>
      </c>
      <c r="N79">
        <f t="shared" si="7"/>
        <v>3.3E-3</v>
      </c>
      <c r="O79">
        <f t="shared" si="7"/>
        <v>1.15E-2</v>
      </c>
      <c r="P79">
        <f t="shared" si="7"/>
        <v>9.0000000000000011E-3</v>
      </c>
      <c r="Q79">
        <f t="shared" si="7"/>
        <v>6.2000000000000006E-3</v>
      </c>
      <c r="R79">
        <f t="shared" si="7"/>
        <v>3.3999999999999994E-3</v>
      </c>
      <c r="S79">
        <f t="shared" si="7"/>
        <v>5.1999999999999998E-3</v>
      </c>
      <c r="T79">
        <f t="shared" si="7"/>
        <v>1.8E-3</v>
      </c>
      <c r="U79">
        <f t="shared" si="7"/>
        <v>3.0000000000000001E-3</v>
      </c>
      <c r="V79">
        <f t="shared" si="7"/>
        <v>6.0000000000000006E-4</v>
      </c>
      <c r="W79">
        <f t="shared" si="7"/>
        <v>3.9999999999999996E-4</v>
      </c>
      <c r="X79">
        <f t="shared" si="7"/>
        <v>2.7000000000000001E-3</v>
      </c>
      <c r="Y79">
        <f t="shared" si="7"/>
        <v>3.0000000000000001E-3</v>
      </c>
      <c r="Z79">
        <f t="shared" si="7"/>
        <v>3.1999999999999997E-3</v>
      </c>
      <c r="AA79">
        <f t="shared" si="7"/>
        <v>2.5999999999999999E-3</v>
      </c>
      <c r="AB79">
        <f t="shared" si="7"/>
        <v>-2.7000000000000001E-3</v>
      </c>
      <c r="AC79">
        <f t="shared" si="7"/>
        <v>-4.3999999999999994E-3</v>
      </c>
      <c r="AD79">
        <f t="shared" si="7"/>
        <v>-3.4000000000000002E-3</v>
      </c>
      <c r="AE79">
        <f t="shared" si="7"/>
        <v>-3.7999999999999996E-3</v>
      </c>
      <c r="AF79">
        <f t="shared" si="7"/>
        <v>-2E-3</v>
      </c>
      <c r="AG79">
        <f t="shared" si="7"/>
        <v>-5.0000000000000001E-4</v>
      </c>
      <c r="AH79">
        <f t="shared" si="7"/>
        <v>-2.4000000000000002E-3</v>
      </c>
      <c r="AI79">
        <f t="shared" si="7"/>
        <v>-3.5999999999999999E-3</v>
      </c>
      <c r="AJ79">
        <f t="shared" si="7"/>
        <v>-5.5999999999999999E-3</v>
      </c>
      <c r="AK79">
        <f t="shared" si="7"/>
        <v>-8.0999999999999996E-3</v>
      </c>
      <c r="AL79">
        <f t="shared" si="7"/>
        <v>-9.4000000000000004E-3</v>
      </c>
      <c r="AM79">
        <f t="shared" si="7"/>
        <v>-1.06E-2</v>
      </c>
      <c r="AN79">
        <f t="shared" si="7"/>
        <v>-1.0699999999999999E-2</v>
      </c>
      <c r="AO79">
        <f t="shared" si="7"/>
        <v>-4.8000000000000004E-3</v>
      </c>
      <c r="AP79">
        <f t="shared" si="7"/>
        <v>-2.9000000000000002E-3</v>
      </c>
      <c r="AQ79">
        <f t="shared" si="7"/>
        <v>-1.9000000000000002E-3</v>
      </c>
      <c r="AR79">
        <f t="shared" si="7"/>
        <v>-3.5999999999999999E-3</v>
      </c>
      <c r="AS79">
        <f t="shared" si="7"/>
        <v>-5.1999999999999998E-3</v>
      </c>
      <c r="AT79">
        <f t="shared" si="7"/>
        <v>-4.8999999999999998E-3</v>
      </c>
      <c r="AU79">
        <f t="shared" si="7"/>
        <v>-4.8999999999999998E-3</v>
      </c>
      <c r="AV79">
        <f t="shared" si="7"/>
        <v>-2.3E-3</v>
      </c>
      <c r="AW79">
        <f t="shared" si="7"/>
        <v>-3.5999999999999999E-3</v>
      </c>
      <c r="AX79">
        <f t="shared" si="7"/>
        <v>-5.5999999999999999E-3</v>
      </c>
      <c r="AY79">
        <f t="shared" si="7"/>
        <v>-9.1999999999999998E-3</v>
      </c>
      <c r="AZ79">
        <f t="shared" si="7"/>
        <v>-8.5000000000000006E-3</v>
      </c>
      <c r="BA79">
        <f t="shared" si="7"/>
        <v>-7.4999999999999997E-3</v>
      </c>
      <c r="BB79">
        <f t="shared" si="7"/>
        <v>-8.0000000000000002E-3</v>
      </c>
      <c r="BC79">
        <f t="shared" si="7"/>
        <v>-5.9000000000000007E-3</v>
      </c>
      <c r="BD79">
        <f t="shared" si="7"/>
        <v>-6.0000000000000001E-3</v>
      </c>
      <c r="BE79">
        <f t="shared" si="7"/>
        <v>-2E-3</v>
      </c>
      <c r="BF79">
        <f t="shared" si="7"/>
        <v>2.5000000000000001E-3</v>
      </c>
      <c r="BG79">
        <f t="shared" si="7"/>
        <v>1.0999999999999998E-3</v>
      </c>
      <c r="BH79">
        <f t="shared" si="7"/>
        <v>1.0000000000000005E-3</v>
      </c>
      <c r="BI79">
        <f t="shared" si="7"/>
        <v>-2.3999999999999998E-3</v>
      </c>
      <c r="BJ79">
        <f t="shared" si="7"/>
        <v>-2.5000000000000001E-3</v>
      </c>
      <c r="BK79">
        <f t="shared" si="7"/>
        <v>-5.8999999999999999E-3</v>
      </c>
      <c r="BL79">
        <f t="shared" si="7"/>
        <v>-6.1999999999999998E-3</v>
      </c>
      <c r="BM79">
        <f t="shared" si="7"/>
        <v>-4.3E-3</v>
      </c>
      <c r="BN79">
        <f t="shared" si="7"/>
        <v>1.2000000000000001E-3</v>
      </c>
      <c r="BO79">
        <f t="shared" si="7"/>
        <v>3.7000000000000002E-3</v>
      </c>
      <c r="BP79">
        <f t="shared" si="7"/>
        <v>1.1999999999999997E-3</v>
      </c>
      <c r="BQ79">
        <f t="shared" si="6"/>
        <v>1.3000000000000004E-3</v>
      </c>
      <c r="BR79">
        <f t="shared" si="6"/>
        <v>8.4000000000000012E-3</v>
      </c>
      <c r="BS79">
        <f t="shared" si="6"/>
        <v>3.3E-3</v>
      </c>
      <c r="BT79">
        <f t="shared" si="6"/>
        <v>-2.8E-3</v>
      </c>
      <c r="BU79">
        <f t="shared" si="6"/>
        <v>-4.5999999999999999E-3</v>
      </c>
      <c r="BV79">
        <f t="shared" si="6"/>
        <v>-2.6999999999999997E-3</v>
      </c>
      <c r="BW79">
        <f t="shared" si="6"/>
        <v>-5.8000000000000005E-3</v>
      </c>
      <c r="BX79">
        <f t="shared" si="6"/>
        <v>-9.7000000000000003E-3</v>
      </c>
      <c r="BY79">
        <f t="shared" si="6"/>
        <v>-7.4999999999999997E-3</v>
      </c>
      <c r="BZ79">
        <f t="shared" si="6"/>
        <v>2.3E-3</v>
      </c>
      <c r="CA79">
        <f t="shared" si="6"/>
        <v>1.8999999999999998E-3</v>
      </c>
      <c r="CB79">
        <f t="shared" si="6"/>
        <v>-4.4000000000000003E-3</v>
      </c>
      <c r="CC79">
        <f t="shared" si="6"/>
        <v>0</v>
      </c>
      <c r="CD79">
        <f t="shared" si="6"/>
        <v>9.1999999999999998E-3</v>
      </c>
      <c r="CE79">
        <f t="shared" si="6"/>
        <v>-1.14E-2</v>
      </c>
      <c r="CF79">
        <f t="shared" si="6"/>
        <v>-1.6199999999999999E-2</v>
      </c>
      <c r="CG79">
        <f t="shared" si="6"/>
        <v>-1.54E-2</v>
      </c>
      <c r="CH79">
        <f t="shared" si="6"/>
        <v>-2.1599999999999998E-2</v>
      </c>
      <c r="CI79">
        <f t="shared" si="6"/>
        <v>-2.8499999999999998E-2</v>
      </c>
      <c r="CJ79">
        <f t="shared" si="6"/>
        <v>-2.93E-2</v>
      </c>
      <c r="CK79">
        <f t="shared" si="6"/>
        <v>-2.5000000000000001E-3</v>
      </c>
      <c r="CL79">
        <f t="shared" si="6"/>
        <v>-1.2299999999999998E-2</v>
      </c>
      <c r="CM79">
        <f t="shared" si="6"/>
        <v>-1.46E-2</v>
      </c>
      <c r="CN79">
        <f t="shared" si="6"/>
        <v>-3.9599999999999996E-2</v>
      </c>
      <c r="CO79">
        <f t="shared" si="6"/>
        <v>-4.9399999999999999E-2</v>
      </c>
      <c r="CP79">
        <f t="shared" si="6"/>
        <v>-3.8400000000000004E-2</v>
      </c>
      <c r="CQ79">
        <f t="shared" si="6"/>
        <v>-1.1099999999999999E-2</v>
      </c>
      <c r="CR79">
        <f t="shared" si="6"/>
        <v>-3.7399999999999996E-2</v>
      </c>
      <c r="CS79">
        <f t="shared" si="6"/>
        <v>-2.07E-2</v>
      </c>
      <c r="CT79">
        <f t="shared" si="6"/>
        <v>-3.5000000000000003E-2</v>
      </c>
      <c r="CU79">
        <f t="shared" si="6"/>
        <v>-7.4099999999999999E-2</v>
      </c>
      <c r="CV79">
        <f t="shared" si="6"/>
        <v>-5.3599999999999995E-2</v>
      </c>
      <c r="CW79">
        <f t="shared" si="6"/>
        <v>-6.93E-2</v>
      </c>
      <c r="CX79">
        <f t="shared" si="6"/>
        <v>-9.4500000000000001E-2</v>
      </c>
    </row>
    <row r="80" spans="1:102" x14ac:dyDescent="0.2">
      <c r="A80" t="s">
        <v>5916</v>
      </c>
      <c r="B80" t="s">
        <v>220</v>
      </c>
      <c r="C80" t="s">
        <v>102</v>
      </c>
      <c r="D80">
        <f t="shared" si="4"/>
        <v>4.3899999999999995E-2</v>
      </c>
      <c r="E80">
        <f t="shared" si="7"/>
        <v>3.7900000000000003E-2</v>
      </c>
      <c r="F80">
        <f t="shared" si="7"/>
        <v>4.6199999999999998E-2</v>
      </c>
      <c r="G80">
        <f t="shared" si="7"/>
        <v>3.61E-2</v>
      </c>
      <c r="H80">
        <f t="shared" si="7"/>
        <v>3.56E-2</v>
      </c>
      <c r="I80">
        <f t="shared" si="7"/>
        <v>3.1799999999999995E-2</v>
      </c>
      <c r="J80">
        <f t="shared" si="7"/>
        <v>2.5400000000000002E-2</v>
      </c>
      <c r="K80">
        <f t="shared" si="7"/>
        <v>2.6700000000000002E-2</v>
      </c>
      <c r="L80">
        <f t="shared" si="7"/>
        <v>2.1299999999999999E-2</v>
      </c>
      <c r="M80">
        <f t="shared" si="7"/>
        <v>1.77E-2</v>
      </c>
      <c r="N80">
        <f t="shared" si="7"/>
        <v>2.3E-2</v>
      </c>
      <c r="O80">
        <f t="shared" si="7"/>
        <v>2.8500000000000001E-2</v>
      </c>
      <c r="P80">
        <f t="shared" si="7"/>
        <v>2.4399999999999998E-2</v>
      </c>
      <c r="Q80">
        <f t="shared" si="7"/>
        <v>2.0299999999999999E-2</v>
      </c>
      <c r="R80">
        <f t="shared" si="7"/>
        <v>1.5699999999999999E-2</v>
      </c>
      <c r="S80">
        <f t="shared" si="7"/>
        <v>1.66E-2</v>
      </c>
      <c r="T80">
        <f t="shared" si="7"/>
        <v>1.2699999999999999E-2</v>
      </c>
      <c r="U80">
        <f t="shared" si="7"/>
        <v>1.37E-2</v>
      </c>
      <c r="V80">
        <f t="shared" si="7"/>
        <v>1.09E-2</v>
      </c>
      <c r="W80">
        <f t="shared" si="7"/>
        <v>1.0499999999999999E-2</v>
      </c>
      <c r="X80">
        <f t="shared" si="7"/>
        <v>1.2499999999999999E-2</v>
      </c>
      <c r="Y80">
        <f t="shared" si="7"/>
        <v>1.2699999999999999E-2</v>
      </c>
      <c r="Z80">
        <f t="shared" si="7"/>
        <v>1.2799999999999999E-2</v>
      </c>
      <c r="AA80">
        <f t="shared" si="7"/>
        <v>1.21E-2</v>
      </c>
      <c r="AB80">
        <f t="shared" si="7"/>
        <v>6.8000000000000005E-3</v>
      </c>
      <c r="AC80">
        <f t="shared" si="7"/>
        <v>5.0000000000000001E-3</v>
      </c>
      <c r="AD80">
        <f t="shared" si="7"/>
        <v>6.2000000000000006E-3</v>
      </c>
      <c r="AE80">
        <f t="shared" si="7"/>
        <v>5.8000000000000005E-3</v>
      </c>
      <c r="AF80">
        <f t="shared" si="7"/>
        <v>7.7000000000000002E-3</v>
      </c>
      <c r="AG80">
        <f t="shared" si="7"/>
        <v>9.5000000000000015E-3</v>
      </c>
      <c r="AH80">
        <f t="shared" si="7"/>
        <v>7.9000000000000008E-3</v>
      </c>
      <c r="AI80">
        <f t="shared" si="7"/>
        <v>6.9999999999999993E-3</v>
      </c>
      <c r="AJ80">
        <f t="shared" si="7"/>
        <v>5.4999999999999997E-3</v>
      </c>
      <c r="AK80">
        <f t="shared" si="7"/>
        <v>3.5000000000000005E-3</v>
      </c>
      <c r="AL80">
        <f t="shared" si="7"/>
        <v>2.7000000000000001E-3</v>
      </c>
      <c r="AM80">
        <f t="shared" si="7"/>
        <v>1.7000000000000001E-3</v>
      </c>
      <c r="AN80">
        <f t="shared" si="7"/>
        <v>1.9000000000000002E-3</v>
      </c>
      <c r="AO80">
        <f t="shared" si="7"/>
        <v>8.0000000000000002E-3</v>
      </c>
      <c r="AP80">
        <f t="shared" si="7"/>
        <v>9.7999999999999997E-3</v>
      </c>
      <c r="AQ80">
        <f t="shared" si="7"/>
        <v>1.0800000000000001E-2</v>
      </c>
      <c r="AR80">
        <f t="shared" si="7"/>
        <v>9.4000000000000004E-3</v>
      </c>
      <c r="AS80">
        <f t="shared" si="7"/>
        <v>8.0000000000000002E-3</v>
      </c>
      <c r="AT80">
        <f t="shared" si="7"/>
        <v>8.3000000000000001E-3</v>
      </c>
      <c r="AU80">
        <f t="shared" si="7"/>
        <v>8.199999999999999E-3</v>
      </c>
      <c r="AV80">
        <f t="shared" si="7"/>
        <v>1.09E-2</v>
      </c>
      <c r="AW80">
        <f t="shared" si="7"/>
        <v>9.8999999999999991E-3</v>
      </c>
      <c r="AX80">
        <f t="shared" si="7"/>
        <v>8.3000000000000001E-3</v>
      </c>
      <c r="AY80">
        <f t="shared" si="7"/>
        <v>4.8999999999999998E-3</v>
      </c>
      <c r="AZ80">
        <f t="shared" si="7"/>
        <v>5.7000000000000002E-3</v>
      </c>
      <c r="BA80">
        <f t="shared" si="7"/>
        <v>7.1999999999999998E-3</v>
      </c>
      <c r="BB80">
        <f t="shared" si="7"/>
        <v>6.8000000000000005E-3</v>
      </c>
      <c r="BC80">
        <f t="shared" si="7"/>
        <v>9.1000000000000004E-3</v>
      </c>
      <c r="BD80">
        <f t="shared" si="7"/>
        <v>9.4999999999999998E-3</v>
      </c>
      <c r="BE80">
        <f t="shared" si="7"/>
        <v>1.3800000000000002E-2</v>
      </c>
      <c r="BF80">
        <f t="shared" si="7"/>
        <v>1.8299999999999997E-2</v>
      </c>
      <c r="BG80">
        <f t="shared" si="7"/>
        <v>1.6999999999999998E-2</v>
      </c>
      <c r="BH80">
        <f t="shared" si="7"/>
        <v>1.6799999999999999E-2</v>
      </c>
      <c r="BI80">
        <f t="shared" si="7"/>
        <v>1.35E-2</v>
      </c>
      <c r="BJ80">
        <f t="shared" si="7"/>
        <v>1.3700000000000002E-2</v>
      </c>
      <c r="BK80">
        <f t="shared" si="7"/>
        <v>1.0200000000000001E-2</v>
      </c>
      <c r="BL80">
        <f t="shared" si="7"/>
        <v>1.0200000000000001E-2</v>
      </c>
      <c r="BM80">
        <f t="shared" si="7"/>
        <v>1.2499999999999999E-2</v>
      </c>
      <c r="BN80">
        <f t="shared" si="7"/>
        <v>1.84E-2</v>
      </c>
      <c r="BO80">
        <f t="shared" si="7"/>
        <v>2.1100000000000001E-2</v>
      </c>
      <c r="BP80">
        <f t="shared" si="7"/>
        <v>1.8800000000000001E-2</v>
      </c>
      <c r="BQ80">
        <f t="shared" si="6"/>
        <v>1.9200000000000002E-2</v>
      </c>
      <c r="BR80">
        <f t="shared" si="6"/>
        <v>2.6200000000000001E-2</v>
      </c>
      <c r="BS80">
        <f t="shared" si="6"/>
        <v>2.1400000000000002E-2</v>
      </c>
      <c r="BT80">
        <f t="shared" si="6"/>
        <v>1.5499999999999998E-2</v>
      </c>
      <c r="BU80">
        <f t="shared" si="6"/>
        <v>1.4400000000000001E-2</v>
      </c>
      <c r="BV80">
        <f t="shared" si="6"/>
        <v>1.7399999999999999E-2</v>
      </c>
      <c r="BW80">
        <f t="shared" si="6"/>
        <v>1.5599999999999999E-2</v>
      </c>
      <c r="BX80">
        <f t="shared" si="6"/>
        <v>1.2299999999999998E-2</v>
      </c>
      <c r="BY80">
        <f t="shared" si="6"/>
        <v>1.4600000000000002E-2</v>
      </c>
      <c r="BZ80">
        <f t="shared" si="6"/>
        <v>2.35E-2</v>
      </c>
      <c r="CA80">
        <f t="shared" si="6"/>
        <v>2.29E-2</v>
      </c>
      <c r="CB80">
        <f t="shared" si="6"/>
        <v>1.66E-2</v>
      </c>
      <c r="CC80">
        <f t="shared" si="6"/>
        <v>2.1600000000000001E-2</v>
      </c>
      <c r="CD80">
        <f t="shared" si="6"/>
        <v>3.1899999999999998E-2</v>
      </c>
      <c r="CE80">
        <f t="shared" si="6"/>
        <v>1.4800000000000001E-2</v>
      </c>
      <c r="CF80">
        <f t="shared" si="6"/>
        <v>1.17E-2</v>
      </c>
      <c r="CG80">
        <f t="shared" si="6"/>
        <v>1.14E-2</v>
      </c>
      <c r="CH80">
        <f t="shared" si="6"/>
        <v>4.0999999999999995E-3</v>
      </c>
      <c r="CI80">
        <f t="shared" si="6"/>
        <v>-3.0999999999999999E-3</v>
      </c>
      <c r="CJ80">
        <f t="shared" si="6"/>
        <v>-2.1000000000000003E-3</v>
      </c>
      <c r="CK80">
        <f t="shared" si="6"/>
        <v>2.7599999999999996E-2</v>
      </c>
      <c r="CL80">
        <f t="shared" si="6"/>
        <v>1.7600000000000001E-2</v>
      </c>
      <c r="CM80">
        <f t="shared" si="6"/>
        <v>1.54E-2</v>
      </c>
      <c r="CN80">
        <f t="shared" si="6"/>
        <v>-5.4999999999999997E-3</v>
      </c>
      <c r="CO80">
        <f t="shared" si="6"/>
        <v>-1.47E-2</v>
      </c>
      <c r="CP80">
        <f t="shared" si="6"/>
        <v>-6.8999999999999999E-3</v>
      </c>
      <c r="CQ80">
        <f t="shared" si="6"/>
        <v>2.3199999999999998E-2</v>
      </c>
      <c r="CR80">
        <f t="shared" si="6"/>
        <v>5.5999999999999999E-3</v>
      </c>
      <c r="CS80">
        <f t="shared" si="6"/>
        <v>1.6999999999999998E-2</v>
      </c>
      <c r="CT80">
        <f t="shared" si="6"/>
        <v>1.2799999999999999E-2</v>
      </c>
      <c r="CU80">
        <f t="shared" si="6"/>
        <v>-2.81E-2</v>
      </c>
      <c r="CV80">
        <f t="shared" si="6"/>
        <v>4.0000000000000018E-4</v>
      </c>
      <c r="CW80">
        <f t="shared" si="6"/>
        <v>-6.7000000000000002E-3</v>
      </c>
      <c r="CX80">
        <f t="shared" si="6"/>
        <v>-1.41E-2</v>
      </c>
    </row>
    <row r="81" spans="1:102" x14ac:dyDescent="0.2">
      <c r="A81" t="s">
        <v>5917</v>
      </c>
      <c r="B81" t="s">
        <v>220</v>
      </c>
      <c r="C81" t="s">
        <v>102</v>
      </c>
      <c r="D81">
        <f t="shared" si="4"/>
        <v>-0.02</v>
      </c>
      <c r="E81">
        <f t="shared" si="7"/>
        <v>-2.1899999999999999E-2</v>
      </c>
      <c r="F81">
        <f t="shared" si="7"/>
        <v>-7.1999999999999998E-3</v>
      </c>
      <c r="G81">
        <f t="shared" si="7"/>
        <v>-1.24E-2</v>
      </c>
      <c r="H81">
        <f t="shared" si="7"/>
        <v>-2.3999999999999998E-3</v>
      </c>
      <c r="I81">
        <f t="shared" si="7"/>
        <v>-7.2000000000000007E-3</v>
      </c>
      <c r="J81">
        <f t="shared" si="7"/>
        <v>-2E-3</v>
      </c>
      <c r="K81">
        <f t="shared" si="7"/>
        <v>-6.9999999999999999E-4</v>
      </c>
      <c r="L81">
        <f t="shared" si="7"/>
        <v>-1.9000000000000002E-3</v>
      </c>
      <c r="M81">
        <f t="shared" si="7"/>
        <v>-8.9999999999999998E-4</v>
      </c>
      <c r="N81">
        <f t="shared" si="7"/>
        <v>3.8E-3</v>
      </c>
      <c r="O81">
        <f t="shared" si="7"/>
        <v>7.7000000000000002E-3</v>
      </c>
      <c r="P81">
        <f t="shared" si="7"/>
        <v>7.4999999999999997E-3</v>
      </c>
      <c r="Q81">
        <f t="shared" si="7"/>
        <v>4.8999999999999998E-3</v>
      </c>
      <c r="R81">
        <f t="shared" si="7"/>
        <v>1E-3</v>
      </c>
      <c r="S81">
        <f t="shared" si="7"/>
        <v>6.9999999999999999E-4</v>
      </c>
      <c r="T81">
        <f t="shared" si="7"/>
        <v>7.9999999999999993E-4</v>
      </c>
      <c r="U81">
        <f t="shared" si="7"/>
        <v>1.3000000000000002E-3</v>
      </c>
      <c r="V81">
        <f t="shared" si="7"/>
        <v>4.0000000000000002E-4</v>
      </c>
      <c r="W81">
        <f t="shared" si="7"/>
        <v>0</v>
      </c>
      <c r="X81">
        <f t="shared" si="7"/>
        <v>3.0000000000000003E-4</v>
      </c>
      <c r="Y81">
        <f t="shared" si="7"/>
        <v>3.0000000000000003E-4</v>
      </c>
      <c r="Z81">
        <f t="shared" si="7"/>
        <v>6.0000000000000006E-4</v>
      </c>
      <c r="AA81">
        <f t="shared" si="7"/>
        <v>3.9999999999999996E-4</v>
      </c>
      <c r="AB81">
        <f t="shared" si="7"/>
        <v>-3.0000000000000003E-4</v>
      </c>
      <c r="AC81">
        <f t="shared" si="7"/>
        <v>-4.0000000000000002E-4</v>
      </c>
      <c r="AD81">
        <f t="shared" si="7"/>
        <v>-6.9999999999999999E-4</v>
      </c>
      <c r="AE81">
        <f t="shared" si="7"/>
        <v>-1.0999999999999998E-3</v>
      </c>
      <c r="AF81">
        <f t="shared" si="7"/>
        <v>-8.9999999999999998E-4</v>
      </c>
      <c r="AG81">
        <f t="shared" si="7"/>
        <v>-1.1999999999999999E-3</v>
      </c>
      <c r="AH81">
        <f t="shared" si="7"/>
        <v>-1.5E-3</v>
      </c>
      <c r="AI81">
        <f t="shared" si="7"/>
        <v>-1.8E-3</v>
      </c>
      <c r="AJ81">
        <f t="shared" si="7"/>
        <v>-2.6000000000000003E-3</v>
      </c>
      <c r="AK81">
        <f t="shared" si="7"/>
        <v>-2.7000000000000001E-3</v>
      </c>
      <c r="AL81">
        <f t="shared" si="7"/>
        <v>-2.2000000000000001E-3</v>
      </c>
      <c r="AM81">
        <f t="shared" si="7"/>
        <v>-2.1000000000000003E-3</v>
      </c>
      <c r="AN81">
        <f t="shared" si="7"/>
        <v>-2E-3</v>
      </c>
      <c r="AO81">
        <f t="shared" si="7"/>
        <v>-1.5999999999999999E-3</v>
      </c>
      <c r="AP81">
        <f t="shared" si="7"/>
        <v>-1.1999999999999999E-3</v>
      </c>
      <c r="AQ81">
        <f t="shared" si="7"/>
        <v>-1.1999999999999999E-3</v>
      </c>
      <c r="AR81">
        <f t="shared" si="7"/>
        <v>-1.0999999999999998E-3</v>
      </c>
      <c r="AS81">
        <f t="shared" si="7"/>
        <v>-6.9999999999999999E-4</v>
      </c>
      <c r="AT81">
        <f t="shared" si="7"/>
        <v>-7.9999999999999993E-4</v>
      </c>
      <c r="AU81">
        <f t="shared" si="7"/>
        <v>-1E-3</v>
      </c>
      <c r="AV81">
        <f t="shared" si="7"/>
        <v>-5.9999999999999995E-4</v>
      </c>
      <c r="AW81">
        <f t="shared" si="7"/>
        <v>-8.9999999999999998E-4</v>
      </c>
      <c r="AX81">
        <f t="shared" si="7"/>
        <v>-1.4E-3</v>
      </c>
      <c r="AY81">
        <f t="shared" si="7"/>
        <v>-2E-3</v>
      </c>
      <c r="AZ81">
        <f t="shared" si="7"/>
        <v>-2.2000000000000001E-3</v>
      </c>
      <c r="BA81">
        <f t="shared" si="7"/>
        <v>-2.7000000000000001E-3</v>
      </c>
      <c r="BB81">
        <f t="shared" si="7"/>
        <v>-2.8E-3</v>
      </c>
      <c r="BC81">
        <f t="shared" si="7"/>
        <v>-2E-3</v>
      </c>
      <c r="BD81">
        <f t="shared" si="7"/>
        <v>-1.4E-3</v>
      </c>
      <c r="BE81">
        <f t="shared" si="7"/>
        <v>-1.1999999999999999E-3</v>
      </c>
      <c r="BF81">
        <f t="shared" si="7"/>
        <v>-5.9999999999999995E-4</v>
      </c>
      <c r="BG81">
        <f t="shared" si="7"/>
        <v>-7.9999999999999993E-4</v>
      </c>
      <c r="BH81">
        <f t="shared" si="7"/>
        <v>-1.1999999999999999E-3</v>
      </c>
      <c r="BI81">
        <f t="shared" si="7"/>
        <v>-1.5E-3</v>
      </c>
      <c r="BJ81">
        <f t="shared" si="7"/>
        <v>-1.1999999999999999E-3</v>
      </c>
      <c r="BK81">
        <f t="shared" si="7"/>
        <v>-1.8E-3</v>
      </c>
      <c r="BL81">
        <f t="shared" si="7"/>
        <v>-1.5E-3</v>
      </c>
      <c r="BM81">
        <f t="shared" si="7"/>
        <v>-1.5E-3</v>
      </c>
      <c r="BN81">
        <f t="shared" si="7"/>
        <v>-1.1999999999999999E-3</v>
      </c>
      <c r="BO81">
        <f t="shared" si="7"/>
        <v>-1.1999999999999999E-3</v>
      </c>
      <c r="BP81">
        <f t="shared" si="7"/>
        <v>-4.999999999999999E-4</v>
      </c>
      <c r="BQ81">
        <f t="shared" si="6"/>
        <v>1E-4</v>
      </c>
      <c r="BR81">
        <f t="shared" si="6"/>
        <v>3.0000000000000003E-4</v>
      </c>
      <c r="BS81">
        <f t="shared" si="6"/>
        <v>-4.999999999999999E-4</v>
      </c>
      <c r="BT81">
        <f t="shared" si="6"/>
        <v>-8.9999999999999998E-4</v>
      </c>
      <c r="BU81">
        <f t="shared" si="6"/>
        <v>-8.9999999999999998E-4</v>
      </c>
      <c r="BV81">
        <f t="shared" si="6"/>
        <v>0</v>
      </c>
      <c r="BW81">
        <f t="shared" si="6"/>
        <v>-3.0000000000000003E-4</v>
      </c>
      <c r="BX81">
        <f t="shared" si="6"/>
        <v>-1.1999999999999999E-3</v>
      </c>
      <c r="BY81">
        <f t="shared" si="6"/>
        <v>-1.9999999999999998E-4</v>
      </c>
      <c r="BZ81">
        <f t="shared" si="6"/>
        <v>3.9999999999999996E-4</v>
      </c>
      <c r="CA81">
        <f t="shared" si="6"/>
        <v>1E-3</v>
      </c>
      <c r="CB81">
        <f t="shared" si="6"/>
        <v>9.0000000000000008E-4</v>
      </c>
      <c r="CC81">
        <f t="shared" si="6"/>
        <v>1.1000000000000001E-3</v>
      </c>
      <c r="CD81">
        <f t="shared" si="6"/>
        <v>6.9999999999999999E-4</v>
      </c>
      <c r="CE81">
        <f t="shared" si="6"/>
        <v>-2.1000000000000003E-3</v>
      </c>
      <c r="CF81">
        <f t="shared" si="6"/>
        <v>-2.9000000000000002E-3</v>
      </c>
      <c r="CG81">
        <f t="shared" si="6"/>
        <v>-2.8E-3</v>
      </c>
      <c r="CH81">
        <f t="shared" si="6"/>
        <v>-2.7000000000000001E-3</v>
      </c>
      <c r="CI81">
        <f t="shared" si="6"/>
        <v>-3.0000000000000001E-3</v>
      </c>
      <c r="CJ81">
        <f t="shared" si="6"/>
        <v>-3.5000000000000001E-3</v>
      </c>
      <c r="CK81">
        <f t="shared" si="6"/>
        <v>-2.5000000000000001E-3</v>
      </c>
      <c r="CL81">
        <f t="shared" si="6"/>
        <v>-1.5E-3</v>
      </c>
      <c r="CM81">
        <f t="shared" si="6"/>
        <v>-2.2000000000000001E-3</v>
      </c>
      <c r="CN81">
        <f t="shared" si="6"/>
        <v>-3.0000000000000001E-3</v>
      </c>
      <c r="CO81">
        <f t="shared" si="6"/>
        <v>-4.3E-3</v>
      </c>
      <c r="CP81">
        <f t="shared" si="6"/>
        <v>-3.6000000000000003E-3</v>
      </c>
      <c r="CQ81">
        <f t="shared" si="6"/>
        <v>-2.5000000000000001E-3</v>
      </c>
      <c r="CR81">
        <f t="shared" si="6"/>
        <v>-4.6999999999999993E-3</v>
      </c>
      <c r="CS81">
        <f t="shared" si="6"/>
        <v>-3.3999999999999998E-3</v>
      </c>
      <c r="CT81">
        <f t="shared" si="6"/>
        <v>-5.1000000000000004E-3</v>
      </c>
      <c r="CU81">
        <f t="shared" si="6"/>
        <v>-5.7999999999999996E-3</v>
      </c>
      <c r="CV81">
        <f t="shared" si="6"/>
        <v>-6.7000000000000002E-3</v>
      </c>
      <c r="CW81">
        <f t="shared" si="6"/>
        <v>-9.7000000000000003E-3</v>
      </c>
      <c r="CX81">
        <f t="shared" si="6"/>
        <v>-1.2500000000000001E-2</v>
      </c>
    </row>
    <row r="82" spans="1:102" x14ac:dyDescent="0.2">
      <c r="A82" t="s">
        <v>5918</v>
      </c>
      <c r="B82" t="s">
        <v>220</v>
      </c>
      <c r="C82" t="s">
        <v>102</v>
      </c>
      <c r="D82">
        <f t="shared" si="4"/>
        <v>1.6299999999999999E-2</v>
      </c>
      <c r="E82">
        <f t="shared" si="7"/>
        <v>1.2699999999999999E-2</v>
      </c>
      <c r="F82">
        <f t="shared" si="7"/>
        <v>1.9099999999999999E-2</v>
      </c>
      <c r="G82">
        <f t="shared" si="7"/>
        <v>1.03E-2</v>
      </c>
      <c r="H82">
        <f t="shared" si="7"/>
        <v>1.5799999999999998E-2</v>
      </c>
      <c r="I82">
        <f t="shared" si="7"/>
        <v>1.0800000000000001E-2</v>
      </c>
      <c r="J82">
        <f t="shared" si="7"/>
        <v>1.38E-2</v>
      </c>
      <c r="K82">
        <f t="shared" si="7"/>
        <v>1.32E-2</v>
      </c>
      <c r="L82">
        <f t="shared" si="7"/>
        <v>1.14E-2</v>
      </c>
      <c r="M82">
        <f t="shared" si="7"/>
        <v>9.2999999999999992E-3</v>
      </c>
      <c r="N82">
        <f t="shared" si="7"/>
        <v>1.2700000000000001E-2</v>
      </c>
      <c r="O82">
        <f t="shared" si="7"/>
        <v>1.52E-2</v>
      </c>
      <c r="P82">
        <f t="shared" si="7"/>
        <v>1.4199999999999999E-2</v>
      </c>
      <c r="Q82">
        <f t="shared" si="7"/>
        <v>1.0800000000000001E-2</v>
      </c>
      <c r="R82">
        <f t="shared" si="7"/>
        <v>6.1000000000000004E-3</v>
      </c>
      <c r="S82">
        <f t="shared" si="7"/>
        <v>5.1999999999999998E-3</v>
      </c>
      <c r="T82">
        <f t="shared" si="7"/>
        <v>5.0000000000000001E-3</v>
      </c>
      <c r="U82">
        <f t="shared" si="7"/>
        <v>5.1999999999999998E-3</v>
      </c>
      <c r="V82">
        <f t="shared" si="7"/>
        <v>4.1999999999999997E-3</v>
      </c>
      <c r="W82">
        <f t="shared" si="7"/>
        <v>3.8E-3</v>
      </c>
      <c r="X82">
        <f t="shared" si="7"/>
        <v>3.8999999999999998E-3</v>
      </c>
      <c r="Y82">
        <f t="shared" si="7"/>
        <v>3.8E-3</v>
      </c>
      <c r="Z82">
        <f t="shared" si="7"/>
        <v>4.0000000000000001E-3</v>
      </c>
      <c r="AA82">
        <f t="shared" si="7"/>
        <v>3.7000000000000002E-3</v>
      </c>
      <c r="AB82">
        <f t="shared" si="7"/>
        <v>3.0000000000000001E-3</v>
      </c>
      <c r="AC82">
        <f t="shared" si="7"/>
        <v>2.8999999999999998E-3</v>
      </c>
      <c r="AD82">
        <f t="shared" si="7"/>
        <v>2.5000000000000001E-3</v>
      </c>
      <c r="AE82">
        <f t="shared" si="7"/>
        <v>2E-3</v>
      </c>
      <c r="AF82">
        <f t="shared" si="7"/>
        <v>2.2000000000000001E-3</v>
      </c>
      <c r="AG82">
        <f t="shared" si="7"/>
        <v>2E-3</v>
      </c>
      <c r="AH82">
        <f t="shared" si="7"/>
        <v>1.6999999999999999E-3</v>
      </c>
      <c r="AI82">
        <f t="shared" si="7"/>
        <v>1.4E-3</v>
      </c>
      <c r="AJ82">
        <f t="shared" si="7"/>
        <v>6.9999999999999999E-4</v>
      </c>
      <c r="AK82">
        <f t="shared" si="7"/>
        <v>8.0000000000000004E-4</v>
      </c>
      <c r="AL82">
        <f t="shared" si="7"/>
        <v>1.4E-3</v>
      </c>
      <c r="AM82">
        <f t="shared" si="7"/>
        <v>1.5E-3</v>
      </c>
      <c r="AN82">
        <f t="shared" si="7"/>
        <v>1.6999999999999999E-3</v>
      </c>
      <c r="AO82">
        <f t="shared" si="7"/>
        <v>2.1000000000000003E-3</v>
      </c>
      <c r="AP82">
        <f t="shared" si="7"/>
        <v>2.5000000000000001E-3</v>
      </c>
      <c r="AQ82">
        <f t="shared" si="7"/>
        <v>2.4000000000000002E-3</v>
      </c>
      <c r="AR82">
        <f t="shared" si="7"/>
        <v>2.5999999999999999E-3</v>
      </c>
      <c r="AS82">
        <f t="shared" si="7"/>
        <v>2.8999999999999998E-3</v>
      </c>
      <c r="AT82">
        <f t="shared" si="7"/>
        <v>2.8E-3</v>
      </c>
      <c r="AU82">
        <f t="shared" si="7"/>
        <v>2.5999999999999999E-3</v>
      </c>
      <c r="AV82">
        <f t="shared" si="7"/>
        <v>2.9000000000000002E-3</v>
      </c>
      <c r="AW82">
        <f t="shared" si="7"/>
        <v>2.6000000000000003E-3</v>
      </c>
      <c r="AX82">
        <f t="shared" si="7"/>
        <v>2.2000000000000001E-3</v>
      </c>
      <c r="AY82">
        <f t="shared" si="7"/>
        <v>1.6999999999999999E-3</v>
      </c>
      <c r="AZ82">
        <f t="shared" si="7"/>
        <v>1.5E-3</v>
      </c>
      <c r="BA82">
        <f t="shared" si="7"/>
        <v>1E-3</v>
      </c>
      <c r="BB82">
        <f t="shared" si="7"/>
        <v>1E-3</v>
      </c>
      <c r="BC82">
        <f t="shared" si="7"/>
        <v>1.6999999999999999E-3</v>
      </c>
      <c r="BD82">
        <f t="shared" si="7"/>
        <v>2.4000000000000002E-3</v>
      </c>
      <c r="BE82">
        <f t="shared" si="7"/>
        <v>2.7000000000000001E-3</v>
      </c>
      <c r="BF82">
        <f t="shared" si="7"/>
        <v>3.3E-3</v>
      </c>
      <c r="BG82">
        <f t="shared" si="7"/>
        <v>3.0000000000000001E-3</v>
      </c>
      <c r="BH82">
        <f t="shared" si="7"/>
        <v>2.6000000000000003E-3</v>
      </c>
      <c r="BI82">
        <f t="shared" si="7"/>
        <v>2.3E-3</v>
      </c>
      <c r="BJ82">
        <f t="shared" si="7"/>
        <v>2.6000000000000003E-3</v>
      </c>
      <c r="BK82">
        <f t="shared" si="7"/>
        <v>2E-3</v>
      </c>
      <c r="BL82">
        <f t="shared" si="7"/>
        <v>2.3E-3</v>
      </c>
      <c r="BM82">
        <f t="shared" si="7"/>
        <v>2.4000000000000002E-3</v>
      </c>
      <c r="BN82">
        <f t="shared" si="7"/>
        <v>2.8E-3</v>
      </c>
      <c r="BO82">
        <f t="shared" si="7"/>
        <v>2.8E-3</v>
      </c>
      <c r="BP82">
        <f t="shared" ref="BP82:CX85" si="8">BP30+BP55</f>
        <v>3.5000000000000001E-3</v>
      </c>
      <c r="BQ82">
        <f t="shared" si="8"/>
        <v>4.0000000000000001E-3</v>
      </c>
      <c r="BR82">
        <f t="shared" si="8"/>
        <v>4.1999999999999997E-3</v>
      </c>
      <c r="BS82">
        <f t="shared" si="8"/>
        <v>3.5000000000000001E-3</v>
      </c>
      <c r="BT82">
        <f t="shared" si="8"/>
        <v>3.1000000000000003E-3</v>
      </c>
      <c r="BU82">
        <f t="shared" si="8"/>
        <v>3.2000000000000002E-3</v>
      </c>
      <c r="BV82">
        <f t="shared" si="8"/>
        <v>4.5000000000000005E-3</v>
      </c>
      <c r="BW82">
        <f t="shared" si="8"/>
        <v>4.3E-3</v>
      </c>
      <c r="BX82">
        <f t="shared" si="8"/>
        <v>3.5000000000000001E-3</v>
      </c>
      <c r="BY82">
        <f t="shared" si="8"/>
        <v>4.5000000000000005E-3</v>
      </c>
      <c r="BZ82">
        <f t="shared" si="8"/>
        <v>4.9999999999999992E-3</v>
      </c>
      <c r="CA82">
        <f t="shared" si="8"/>
        <v>5.4000000000000003E-3</v>
      </c>
      <c r="CB82">
        <f t="shared" si="8"/>
        <v>5.1999999999999998E-3</v>
      </c>
      <c r="CC82">
        <f t="shared" si="8"/>
        <v>5.5000000000000005E-3</v>
      </c>
      <c r="CD82">
        <f t="shared" si="8"/>
        <v>5.3E-3</v>
      </c>
      <c r="CE82">
        <f t="shared" si="8"/>
        <v>3.3E-3</v>
      </c>
      <c r="CF82">
        <f t="shared" si="8"/>
        <v>2.8E-3</v>
      </c>
      <c r="CG82">
        <f t="shared" si="8"/>
        <v>2.7000000000000001E-3</v>
      </c>
      <c r="CH82">
        <f t="shared" si="8"/>
        <v>2.3E-3</v>
      </c>
      <c r="CI82">
        <f t="shared" si="8"/>
        <v>2E-3</v>
      </c>
      <c r="CJ82">
        <f t="shared" si="8"/>
        <v>1.9E-3</v>
      </c>
      <c r="CK82">
        <f t="shared" si="8"/>
        <v>3.3E-3</v>
      </c>
      <c r="CL82">
        <f t="shared" si="8"/>
        <v>4.1999999999999997E-3</v>
      </c>
      <c r="CM82">
        <f t="shared" si="8"/>
        <v>3.5000000000000001E-3</v>
      </c>
      <c r="CN82">
        <f t="shared" si="8"/>
        <v>3.3999999999999998E-3</v>
      </c>
      <c r="CO82">
        <f t="shared" si="8"/>
        <v>2.2000000000000001E-3</v>
      </c>
      <c r="CP82">
        <f t="shared" si="8"/>
        <v>2.3E-3</v>
      </c>
      <c r="CQ82">
        <f t="shared" si="8"/>
        <v>3.8999999999999998E-3</v>
      </c>
      <c r="CR82">
        <f t="shared" si="8"/>
        <v>3.1999999999999997E-3</v>
      </c>
      <c r="CS82">
        <f t="shared" si="8"/>
        <v>3.5999999999999999E-3</v>
      </c>
      <c r="CT82">
        <f t="shared" si="8"/>
        <v>3.8E-3</v>
      </c>
      <c r="CU82">
        <f t="shared" si="8"/>
        <v>3.0000000000000001E-3</v>
      </c>
      <c r="CV82">
        <f t="shared" si="8"/>
        <v>3.5999999999999999E-3</v>
      </c>
      <c r="CW82">
        <f t="shared" si="8"/>
        <v>2.3E-3</v>
      </c>
      <c r="CX82">
        <f t="shared" si="8"/>
        <v>2.8E-3</v>
      </c>
    </row>
    <row r="83" spans="1:102" x14ac:dyDescent="0.2">
      <c r="A83" t="s">
        <v>5919</v>
      </c>
      <c r="B83" t="s">
        <v>220</v>
      </c>
      <c r="C83" t="s">
        <v>102</v>
      </c>
      <c r="D83">
        <f t="shared" si="4"/>
        <v>5.16E-2</v>
      </c>
      <c r="E83">
        <f t="shared" ref="E83:BP86" si="9">E31+E56</f>
        <v>8.9099999999999999E-2</v>
      </c>
      <c r="F83">
        <f t="shared" si="9"/>
        <v>1.0800000000000001E-2</v>
      </c>
      <c r="G83">
        <f t="shared" si="9"/>
        <v>2.86E-2</v>
      </c>
      <c r="H83">
        <f t="shared" si="9"/>
        <v>-3.78E-2</v>
      </c>
      <c r="I83">
        <f t="shared" si="9"/>
        <v>3.7999999999999996E-3</v>
      </c>
      <c r="J83">
        <f t="shared" si="9"/>
        <v>-3.49E-2</v>
      </c>
      <c r="K83">
        <f t="shared" si="9"/>
        <v>-2.9199999999999997E-2</v>
      </c>
      <c r="L83">
        <f t="shared" si="9"/>
        <v>-3.1599999999999996E-2</v>
      </c>
      <c r="M83">
        <f t="shared" si="9"/>
        <v>-2.7700000000000002E-2</v>
      </c>
      <c r="N83">
        <f t="shared" si="9"/>
        <v>-8.3400000000000002E-2</v>
      </c>
      <c r="O83">
        <f t="shared" si="9"/>
        <v>-0.13979999999999998</v>
      </c>
      <c r="P83">
        <f t="shared" si="9"/>
        <v>-0.14230000000000001</v>
      </c>
      <c r="Q83">
        <f t="shared" si="9"/>
        <v>-0.1164</v>
      </c>
      <c r="R83">
        <f t="shared" si="9"/>
        <v>-7.4500000000000011E-2</v>
      </c>
      <c r="S83">
        <f t="shared" si="9"/>
        <v>-5.7299999999999997E-2</v>
      </c>
      <c r="T83">
        <f t="shared" si="9"/>
        <v>-5.79E-2</v>
      </c>
      <c r="U83">
        <f t="shared" si="9"/>
        <v>-5.8999999999999997E-2</v>
      </c>
      <c r="V83">
        <f t="shared" si="9"/>
        <v>-0.05</v>
      </c>
      <c r="W83">
        <f t="shared" si="9"/>
        <v>-4.7500000000000001E-2</v>
      </c>
      <c r="X83">
        <f t="shared" si="9"/>
        <v>-5.16E-2</v>
      </c>
      <c r="Y83">
        <f t="shared" si="9"/>
        <v>-5.4000000000000006E-2</v>
      </c>
      <c r="Z83">
        <f t="shared" si="9"/>
        <v>-5.3700000000000005E-2</v>
      </c>
      <c r="AA83">
        <f t="shared" si="9"/>
        <v>-4.9300000000000004E-2</v>
      </c>
      <c r="AB83">
        <f t="shared" si="9"/>
        <v>-4.4600000000000001E-2</v>
      </c>
      <c r="AC83">
        <f t="shared" si="9"/>
        <v>-3.6700000000000003E-2</v>
      </c>
      <c r="AD83">
        <f t="shared" si="9"/>
        <v>-0.03</v>
      </c>
      <c r="AE83">
        <f t="shared" si="9"/>
        <v>-3.3100000000000004E-2</v>
      </c>
      <c r="AF83">
        <f t="shared" si="9"/>
        <v>-2.7800000000000002E-2</v>
      </c>
      <c r="AG83">
        <f t="shared" si="9"/>
        <v>-2.7099999999999999E-2</v>
      </c>
      <c r="AH83">
        <f t="shared" si="9"/>
        <v>-2.64E-2</v>
      </c>
      <c r="AI83">
        <f t="shared" si="9"/>
        <v>-2.0500000000000001E-2</v>
      </c>
      <c r="AJ83">
        <f t="shared" si="9"/>
        <v>-1.7599999999999998E-2</v>
      </c>
      <c r="AK83">
        <f t="shared" si="9"/>
        <v>-1.4500000000000001E-2</v>
      </c>
      <c r="AL83">
        <f t="shared" si="9"/>
        <v>-1.6200000000000003E-2</v>
      </c>
      <c r="AM83">
        <f t="shared" si="9"/>
        <v>-1.8800000000000001E-2</v>
      </c>
      <c r="AN83">
        <f t="shared" si="9"/>
        <v>-2.5600000000000001E-2</v>
      </c>
      <c r="AO83">
        <f t="shared" si="9"/>
        <v>-3.0600000000000002E-2</v>
      </c>
      <c r="AP83">
        <f t="shared" si="9"/>
        <v>-3.27E-2</v>
      </c>
      <c r="AQ83">
        <f t="shared" si="9"/>
        <v>-3.2100000000000004E-2</v>
      </c>
      <c r="AR83">
        <f t="shared" si="9"/>
        <v>-2.9899999999999999E-2</v>
      </c>
      <c r="AS83">
        <f t="shared" si="9"/>
        <v>-2.47E-2</v>
      </c>
      <c r="AT83">
        <f t="shared" si="9"/>
        <v>-2.2099999999999998E-2</v>
      </c>
      <c r="AU83">
        <f t="shared" si="9"/>
        <v>-1.66E-2</v>
      </c>
      <c r="AV83">
        <f t="shared" si="9"/>
        <v>-1.2500000000000001E-2</v>
      </c>
      <c r="AW83">
        <f t="shared" si="9"/>
        <v>-9.7999999999999997E-3</v>
      </c>
      <c r="AX83">
        <f t="shared" si="9"/>
        <v>-8.3999999999999995E-3</v>
      </c>
      <c r="AY83">
        <f t="shared" si="9"/>
        <v>-1.0500000000000001E-2</v>
      </c>
      <c r="AZ83">
        <f t="shared" si="9"/>
        <v>-1.6900000000000002E-2</v>
      </c>
      <c r="BA83">
        <f t="shared" si="9"/>
        <v>-1.8699999999999998E-2</v>
      </c>
      <c r="BB83">
        <f t="shared" si="9"/>
        <v>-1.8499999999999999E-2</v>
      </c>
      <c r="BC83">
        <f t="shared" si="9"/>
        <v>-2.0899999999999998E-2</v>
      </c>
      <c r="BD83">
        <f t="shared" si="9"/>
        <v>-2.07E-2</v>
      </c>
      <c r="BE83">
        <f t="shared" si="9"/>
        <v>-2.0799999999999999E-2</v>
      </c>
      <c r="BF83">
        <f t="shared" si="9"/>
        <v>-2.07E-2</v>
      </c>
      <c r="BG83">
        <f t="shared" si="9"/>
        <v>-1.5800000000000002E-2</v>
      </c>
      <c r="BH83">
        <f t="shared" si="9"/>
        <v>-1.41E-2</v>
      </c>
      <c r="BI83">
        <f t="shared" si="9"/>
        <v>-1.6999999999999998E-2</v>
      </c>
      <c r="BJ83">
        <f t="shared" si="9"/>
        <v>-2.1100000000000001E-2</v>
      </c>
      <c r="BK83">
        <f t="shared" si="9"/>
        <v>-1.8099999999999998E-2</v>
      </c>
      <c r="BL83">
        <f t="shared" si="9"/>
        <v>-1.78E-2</v>
      </c>
      <c r="BM83">
        <f t="shared" si="9"/>
        <v>-2.18E-2</v>
      </c>
      <c r="BN83">
        <f t="shared" si="9"/>
        <v>-2.41E-2</v>
      </c>
      <c r="BO83">
        <f t="shared" si="9"/>
        <v>-2.3699999999999999E-2</v>
      </c>
      <c r="BP83">
        <f t="shared" si="9"/>
        <v>-1.8100000000000002E-2</v>
      </c>
      <c r="BQ83">
        <f t="shared" si="8"/>
        <v>-1.67E-2</v>
      </c>
      <c r="BR83">
        <f t="shared" si="8"/>
        <v>-1.6400000000000001E-2</v>
      </c>
      <c r="BS83">
        <f t="shared" si="8"/>
        <v>-1.6400000000000001E-2</v>
      </c>
      <c r="BT83">
        <f t="shared" si="8"/>
        <v>-1.11E-2</v>
      </c>
      <c r="BU83">
        <f t="shared" si="8"/>
        <v>-1.2E-2</v>
      </c>
      <c r="BV83">
        <f t="shared" si="8"/>
        <v>-9.6999999999999986E-3</v>
      </c>
      <c r="BW83">
        <f t="shared" si="8"/>
        <v>-9.4999999999999998E-3</v>
      </c>
      <c r="BX83">
        <f t="shared" si="8"/>
        <v>-1.5699999999999999E-2</v>
      </c>
      <c r="BY83">
        <f t="shared" si="8"/>
        <v>-1.7699999999999997E-2</v>
      </c>
      <c r="BZ83">
        <f t="shared" si="8"/>
        <v>-1.7699999999999997E-2</v>
      </c>
      <c r="CA83">
        <f t="shared" si="8"/>
        <v>-1.24E-2</v>
      </c>
      <c r="CB83">
        <f t="shared" si="8"/>
        <v>-1.2999999999999999E-3</v>
      </c>
      <c r="CC83">
        <f t="shared" si="8"/>
        <v>-1.2999999999999999E-3</v>
      </c>
      <c r="CD83">
        <f t="shared" si="8"/>
        <v>2.0999999999999999E-3</v>
      </c>
      <c r="CE83">
        <f t="shared" si="8"/>
        <v>-3.5999999999999999E-3</v>
      </c>
      <c r="CF83">
        <f t="shared" si="8"/>
        <v>-7.7999999999999996E-3</v>
      </c>
      <c r="CG83">
        <f t="shared" si="8"/>
        <v>1.2999999999999997E-3</v>
      </c>
      <c r="CH83">
        <f t="shared" si="8"/>
        <v>3.4000000000000002E-3</v>
      </c>
      <c r="CI83">
        <f t="shared" si="8"/>
        <v>8.0000000000000004E-4</v>
      </c>
      <c r="CJ83">
        <f t="shared" si="8"/>
        <v>3.9999999999999992E-3</v>
      </c>
      <c r="CK83">
        <f t="shared" si="8"/>
        <v>8.0000000000000002E-3</v>
      </c>
      <c r="CL83">
        <f t="shared" si="8"/>
        <v>7.1000000000000004E-3</v>
      </c>
      <c r="CM83">
        <f t="shared" si="8"/>
        <v>4.6999999999999993E-3</v>
      </c>
      <c r="CN83">
        <f t="shared" si="8"/>
        <v>1.66E-2</v>
      </c>
      <c r="CO83">
        <f t="shared" si="8"/>
        <v>2.12E-2</v>
      </c>
      <c r="CP83">
        <f t="shared" si="8"/>
        <v>1.14E-2</v>
      </c>
      <c r="CQ83">
        <f t="shared" si="8"/>
        <v>2.35E-2</v>
      </c>
      <c r="CR83">
        <f t="shared" si="8"/>
        <v>2.6499999999999999E-2</v>
      </c>
      <c r="CS83">
        <f t="shared" si="8"/>
        <v>1.38E-2</v>
      </c>
      <c r="CT83">
        <f t="shared" si="8"/>
        <v>1.8199999999999997E-2</v>
      </c>
      <c r="CU83">
        <f t="shared" si="8"/>
        <v>1.54E-2</v>
      </c>
      <c r="CV83">
        <f t="shared" si="8"/>
        <v>1.3500000000000002E-2</v>
      </c>
      <c r="CW83">
        <f t="shared" si="8"/>
        <v>1.14E-2</v>
      </c>
      <c r="CX83">
        <f t="shared" si="8"/>
        <v>-1.1000000000000001E-3</v>
      </c>
    </row>
    <row r="84" spans="1:102" x14ac:dyDescent="0.2">
      <c r="A84" t="s">
        <v>5920</v>
      </c>
      <c r="B84" t="s">
        <v>220</v>
      </c>
      <c r="C84" t="s">
        <v>102</v>
      </c>
      <c r="D84">
        <f t="shared" si="4"/>
        <v>0.11720000000000001</v>
      </c>
      <c r="E84">
        <f t="shared" si="9"/>
        <v>0.15579999999999999</v>
      </c>
      <c r="F84">
        <f t="shared" si="9"/>
        <v>6.4799999999999996E-2</v>
      </c>
      <c r="G84">
        <f t="shared" si="9"/>
        <v>7.8300000000000008E-2</v>
      </c>
      <c r="H84">
        <f t="shared" si="9"/>
        <v>4.5999999999999999E-3</v>
      </c>
      <c r="I84">
        <f t="shared" si="9"/>
        <v>4.8799999999999996E-2</v>
      </c>
      <c r="J84">
        <f t="shared" si="9"/>
        <v>6.6E-3</v>
      </c>
      <c r="K84">
        <f t="shared" si="9"/>
        <v>9.1999999999999998E-3</v>
      </c>
      <c r="L84">
        <f t="shared" si="9"/>
        <v>6.6999999999999976E-3</v>
      </c>
      <c r="M84">
        <f t="shared" si="9"/>
        <v>3.0999999999999986E-3</v>
      </c>
      <c r="N84">
        <f t="shared" si="9"/>
        <v>-5.5599999999999997E-2</v>
      </c>
      <c r="O84">
        <f t="shared" si="9"/>
        <v>-0.1154</v>
      </c>
      <c r="P84">
        <f t="shared" si="9"/>
        <v>-0.12000000000000001</v>
      </c>
      <c r="Q84">
        <f t="shared" si="9"/>
        <v>-9.6299999999999997E-2</v>
      </c>
      <c r="R84">
        <f t="shared" si="9"/>
        <v>-5.6999999999999995E-2</v>
      </c>
      <c r="S84">
        <f t="shared" si="9"/>
        <v>-4.1300000000000003E-2</v>
      </c>
      <c r="T84">
        <f t="shared" si="9"/>
        <v>-4.2700000000000002E-2</v>
      </c>
      <c r="U84">
        <f t="shared" si="9"/>
        <v>-4.4300000000000006E-2</v>
      </c>
      <c r="V84">
        <f t="shared" si="9"/>
        <v>-3.5900000000000001E-2</v>
      </c>
      <c r="W84">
        <f t="shared" si="9"/>
        <v>-3.39E-2</v>
      </c>
      <c r="X84">
        <f t="shared" si="9"/>
        <v>-3.8300000000000001E-2</v>
      </c>
      <c r="Y84">
        <f t="shared" si="9"/>
        <v>-4.1000000000000002E-2</v>
      </c>
      <c r="Z84">
        <f t="shared" si="9"/>
        <v>-4.1000000000000002E-2</v>
      </c>
      <c r="AA84">
        <f t="shared" si="9"/>
        <v>-3.6900000000000002E-2</v>
      </c>
      <c r="AB84">
        <f t="shared" si="9"/>
        <v>-3.2299999999999995E-2</v>
      </c>
      <c r="AC84">
        <f t="shared" si="9"/>
        <v>-2.47E-2</v>
      </c>
      <c r="AD84">
        <f t="shared" si="9"/>
        <v>-1.8099999999999998E-2</v>
      </c>
      <c r="AE84">
        <f t="shared" si="9"/>
        <v>-2.12E-2</v>
      </c>
      <c r="AF84">
        <f t="shared" si="9"/>
        <v>-1.5700000000000002E-2</v>
      </c>
      <c r="AG84">
        <f t="shared" si="9"/>
        <v>-1.4800000000000001E-2</v>
      </c>
      <c r="AH84">
        <f t="shared" si="9"/>
        <v>-1.3999999999999999E-2</v>
      </c>
      <c r="AI84">
        <f t="shared" si="9"/>
        <v>-7.8000000000000005E-3</v>
      </c>
      <c r="AJ84">
        <f t="shared" si="9"/>
        <v>-4.3E-3</v>
      </c>
      <c r="AK84">
        <f t="shared" si="9"/>
        <v>-7.9999999999999993E-4</v>
      </c>
      <c r="AL84">
        <f t="shared" si="9"/>
        <v>-2.2000000000000001E-3</v>
      </c>
      <c r="AM84">
        <f t="shared" si="9"/>
        <v>-4.5000000000000005E-3</v>
      </c>
      <c r="AN84">
        <f t="shared" si="9"/>
        <v>-1.11E-2</v>
      </c>
      <c r="AO84">
        <f t="shared" si="9"/>
        <v>-1.6E-2</v>
      </c>
      <c r="AP84">
        <f t="shared" si="9"/>
        <v>-1.8200000000000001E-2</v>
      </c>
      <c r="AQ84">
        <f t="shared" si="9"/>
        <v>-1.7599999999999998E-2</v>
      </c>
      <c r="AR84">
        <f t="shared" si="9"/>
        <v>-1.5399999999999999E-2</v>
      </c>
      <c r="AS84">
        <f t="shared" si="9"/>
        <v>-1.0200000000000001E-2</v>
      </c>
      <c r="AT84">
        <f t="shared" si="9"/>
        <v>-7.5000000000000006E-3</v>
      </c>
      <c r="AU84">
        <f t="shared" si="9"/>
        <v>-2.1000000000000003E-3</v>
      </c>
      <c r="AV84">
        <f t="shared" si="9"/>
        <v>1.8E-3</v>
      </c>
      <c r="AW84">
        <f t="shared" si="9"/>
        <v>4.8000000000000004E-3</v>
      </c>
      <c r="AX84">
        <f t="shared" si="9"/>
        <v>6.6E-3</v>
      </c>
      <c r="AY84">
        <f t="shared" si="9"/>
        <v>4.8000000000000004E-3</v>
      </c>
      <c r="AZ84">
        <f t="shared" si="9"/>
        <v>-1.4E-3</v>
      </c>
      <c r="BA84">
        <f t="shared" si="9"/>
        <v>-2.8999999999999998E-3</v>
      </c>
      <c r="BB84">
        <f t="shared" si="9"/>
        <v>-2.5999999999999999E-3</v>
      </c>
      <c r="BC84">
        <f t="shared" si="9"/>
        <v>-4.8999999999999998E-3</v>
      </c>
      <c r="BD84">
        <f t="shared" si="9"/>
        <v>-4.1999999999999997E-3</v>
      </c>
      <c r="BE84">
        <f t="shared" si="9"/>
        <v>-4.0999999999999995E-3</v>
      </c>
      <c r="BF84">
        <f t="shared" si="9"/>
        <v>-3.9000000000000003E-3</v>
      </c>
      <c r="BG84">
        <f t="shared" si="9"/>
        <v>8.9999999999999998E-4</v>
      </c>
      <c r="BH84">
        <f t="shared" si="9"/>
        <v>2.5999999999999999E-3</v>
      </c>
      <c r="BI84">
        <f t="shared" si="9"/>
        <v>-2.0000000000000001E-4</v>
      </c>
      <c r="BJ84">
        <f t="shared" si="9"/>
        <v>-4.1999999999999997E-3</v>
      </c>
      <c r="BK84">
        <f t="shared" si="9"/>
        <v>-1.0999999999999998E-3</v>
      </c>
      <c r="BL84">
        <f t="shared" si="9"/>
        <v>-6.0000000000000006E-4</v>
      </c>
      <c r="BM84">
        <f t="shared" si="9"/>
        <v>-4.1000000000000003E-3</v>
      </c>
      <c r="BN84">
        <f t="shared" si="9"/>
        <v>-6.0000000000000001E-3</v>
      </c>
      <c r="BO84">
        <f t="shared" si="9"/>
        <v>-5.3E-3</v>
      </c>
      <c r="BP84">
        <f t="shared" si="9"/>
        <v>4.0000000000000002E-4</v>
      </c>
      <c r="BQ84">
        <f t="shared" si="8"/>
        <v>2.0999999999999999E-3</v>
      </c>
      <c r="BR84">
        <f t="shared" si="8"/>
        <v>2.3E-3</v>
      </c>
      <c r="BS84">
        <f t="shared" si="8"/>
        <v>2.6000000000000003E-3</v>
      </c>
      <c r="BT84">
        <f t="shared" si="8"/>
        <v>8.3000000000000001E-3</v>
      </c>
      <c r="BU84">
        <f t="shared" si="8"/>
        <v>8.0000000000000002E-3</v>
      </c>
      <c r="BV84">
        <f t="shared" si="8"/>
        <v>1.15E-2</v>
      </c>
      <c r="BW84">
        <f t="shared" si="8"/>
        <v>1.32E-2</v>
      </c>
      <c r="BX84">
        <f t="shared" si="8"/>
        <v>7.5000000000000006E-3</v>
      </c>
      <c r="BY84">
        <f t="shared" si="8"/>
        <v>5.8000000000000005E-3</v>
      </c>
      <c r="BZ84">
        <f t="shared" si="8"/>
        <v>4.8000000000000004E-3</v>
      </c>
      <c r="CA84">
        <f t="shared" si="8"/>
        <v>0.01</v>
      </c>
      <c r="CB84">
        <f t="shared" si="8"/>
        <v>2.1099999999999997E-2</v>
      </c>
      <c r="CC84">
        <f t="shared" si="8"/>
        <v>2.18E-2</v>
      </c>
      <c r="CD84">
        <f t="shared" si="8"/>
        <v>2.6599999999999999E-2</v>
      </c>
      <c r="CE84">
        <f t="shared" si="8"/>
        <v>2.4599999999999997E-2</v>
      </c>
      <c r="CF84">
        <f t="shared" si="8"/>
        <v>2.2299999999999997E-2</v>
      </c>
      <c r="CG84">
        <f t="shared" si="8"/>
        <v>3.0599999999999999E-2</v>
      </c>
      <c r="CH84">
        <f t="shared" si="8"/>
        <v>3.15E-2</v>
      </c>
      <c r="CI84">
        <f t="shared" si="8"/>
        <v>2.8799999999999999E-2</v>
      </c>
      <c r="CJ84">
        <f t="shared" si="8"/>
        <v>3.4200000000000001E-2</v>
      </c>
      <c r="CK84">
        <f t="shared" si="8"/>
        <v>4.1700000000000001E-2</v>
      </c>
      <c r="CL84">
        <f t="shared" si="8"/>
        <v>4.07E-2</v>
      </c>
      <c r="CM84">
        <f t="shared" si="8"/>
        <v>3.8699999999999998E-2</v>
      </c>
      <c r="CN84">
        <f t="shared" si="8"/>
        <v>5.5599999999999997E-2</v>
      </c>
      <c r="CO84">
        <f t="shared" si="8"/>
        <v>6.1499999999999999E-2</v>
      </c>
      <c r="CP84">
        <f t="shared" si="8"/>
        <v>4.8299999999999996E-2</v>
      </c>
      <c r="CQ84">
        <f t="shared" si="8"/>
        <v>6.409999999999999E-2</v>
      </c>
      <c r="CR84">
        <f t="shared" si="8"/>
        <v>7.7800000000000008E-2</v>
      </c>
      <c r="CS84">
        <f t="shared" si="8"/>
        <v>5.9399999999999994E-2</v>
      </c>
      <c r="CT84">
        <f t="shared" si="8"/>
        <v>7.6800000000000007E-2</v>
      </c>
      <c r="CU84">
        <f t="shared" si="8"/>
        <v>7.2999999999999995E-2</v>
      </c>
      <c r="CV84">
        <f t="shared" si="8"/>
        <v>8.2799999999999999E-2</v>
      </c>
      <c r="CW84">
        <f t="shared" si="8"/>
        <v>9.5400000000000013E-2</v>
      </c>
      <c r="CX84">
        <f t="shared" si="8"/>
        <v>0.111</v>
      </c>
    </row>
    <row r="85" spans="1:102" x14ac:dyDescent="0.2">
      <c r="A85" t="s">
        <v>5921</v>
      </c>
      <c r="B85" t="s">
        <v>220</v>
      </c>
      <c r="C85" t="s">
        <v>102</v>
      </c>
      <c r="D85">
        <f t="shared" si="4"/>
        <v>-2.3100000000000002E-2</v>
      </c>
      <c r="E85">
        <f t="shared" si="9"/>
        <v>-2.1999999999999999E-2</v>
      </c>
      <c r="F85">
        <f t="shared" si="9"/>
        <v>-4.5000000000000005E-3</v>
      </c>
      <c r="G85">
        <f t="shared" si="9"/>
        <v>5.0000000000000001E-4</v>
      </c>
      <c r="H85">
        <f t="shared" si="9"/>
        <v>2.0000000000000005E-3</v>
      </c>
      <c r="I85">
        <f t="shared" si="9"/>
        <v>-5.0000000000000001E-3</v>
      </c>
      <c r="J85">
        <f t="shared" si="9"/>
        <v>-4.3999999999999994E-3</v>
      </c>
      <c r="K85">
        <f t="shared" si="9"/>
        <v>-7.899999999999999E-3</v>
      </c>
      <c r="L85">
        <f t="shared" si="9"/>
        <v>-3.2000000000000002E-3</v>
      </c>
      <c r="M85">
        <f t="shared" si="9"/>
        <v>-2.5999999999999999E-3</v>
      </c>
      <c r="N85">
        <f t="shared" si="9"/>
        <v>-2E-3</v>
      </c>
      <c r="O85">
        <f t="shared" si="9"/>
        <v>-1.6999999999999999E-3</v>
      </c>
      <c r="P85">
        <f t="shared" si="9"/>
        <v>-2.3E-3</v>
      </c>
      <c r="Q85">
        <f t="shared" si="9"/>
        <v>-2.3E-3</v>
      </c>
      <c r="R85">
        <f t="shared" si="9"/>
        <v>3.5999999999999999E-3</v>
      </c>
      <c r="S85">
        <f t="shared" si="9"/>
        <v>5.0000000000000001E-3</v>
      </c>
      <c r="T85">
        <f t="shared" si="9"/>
        <v>-2.4000000000000002E-3</v>
      </c>
      <c r="U85">
        <f t="shared" si="9"/>
        <v>-3.0000000000000003E-4</v>
      </c>
      <c r="V85">
        <f t="shared" si="9"/>
        <v>1.6999999999999999E-3</v>
      </c>
      <c r="W85">
        <f t="shared" si="9"/>
        <v>2.3999999999999998E-3</v>
      </c>
      <c r="X85">
        <f t="shared" si="9"/>
        <v>3.8999999999999998E-3</v>
      </c>
      <c r="Y85">
        <f t="shared" si="9"/>
        <v>2.3E-3</v>
      </c>
      <c r="Z85">
        <f t="shared" si="9"/>
        <v>2.8999999999999998E-3</v>
      </c>
      <c r="AA85">
        <f t="shared" si="9"/>
        <v>5.0000000000000001E-4</v>
      </c>
      <c r="AB85">
        <f t="shared" si="9"/>
        <v>-6.9999999999999999E-4</v>
      </c>
      <c r="AC85">
        <f t="shared" si="9"/>
        <v>-2.5999999999999999E-3</v>
      </c>
      <c r="AD85">
        <f t="shared" si="9"/>
        <v>-3.9999999999999996E-4</v>
      </c>
      <c r="AE85">
        <f t="shared" si="9"/>
        <v>2.0000000000000009E-4</v>
      </c>
      <c r="AF85">
        <f t="shared" si="9"/>
        <v>-3.1000000000000003E-3</v>
      </c>
      <c r="AG85">
        <f t="shared" si="9"/>
        <v>4.5999999999999999E-3</v>
      </c>
      <c r="AH85">
        <f t="shared" si="9"/>
        <v>2.0999999999999999E-3</v>
      </c>
      <c r="AI85">
        <f t="shared" si="9"/>
        <v>-2.1999999999999997E-3</v>
      </c>
      <c r="AJ85">
        <f t="shared" si="9"/>
        <v>-5.0000000000000001E-4</v>
      </c>
      <c r="AK85">
        <f t="shared" si="9"/>
        <v>-4.4000000000000003E-3</v>
      </c>
      <c r="AL85">
        <f t="shared" si="9"/>
        <v>-2.1999999999999997E-3</v>
      </c>
      <c r="AM85">
        <f t="shared" si="9"/>
        <v>2.3E-3</v>
      </c>
      <c r="AN85">
        <f t="shared" si="9"/>
        <v>-3.8E-3</v>
      </c>
      <c r="AO85">
        <f t="shared" si="9"/>
        <v>-2E-3</v>
      </c>
      <c r="AP85">
        <f t="shared" si="9"/>
        <v>-4.0000000000000001E-3</v>
      </c>
      <c r="AQ85">
        <f t="shared" si="9"/>
        <v>-2E-3</v>
      </c>
      <c r="AR85">
        <f t="shared" si="9"/>
        <v>-6.8999999999999999E-3</v>
      </c>
      <c r="AS85">
        <f t="shared" si="9"/>
        <v>-6.0000000000000006E-4</v>
      </c>
      <c r="AT85">
        <f t="shared" si="9"/>
        <v>-1.5E-3</v>
      </c>
      <c r="AU85">
        <f t="shared" si="9"/>
        <v>-1.7000000000000001E-3</v>
      </c>
      <c r="AV85">
        <f t="shared" si="9"/>
        <v>-0.01</v>
      </c>
      <c r="AW85">
        <f t="shared" si="9"/>
        <v>-4.3E-3</v>
      </c>
      <c r="AX85">
        <f t="shared" si="9"/>
        <v>-8.3999999999999995E-3</v>
      </c>
      <c r="AY85">
        <f t="shared" si="9"/>
        <v>-4.1000000000000003E-3</v>
      </c>
      <c r="AZ85">
        <f t="shared" si="9"/>
        <v>-2.5999999999999999E-3</v>
      </c>
      <c r="BA85">
        <f t="shared" si="9"/>
        <v>-5.1999999999999998E-3</v>
      </c>
      <c r="BB85">
        <f t="shared" si="9"/>
        <v>-4.1999999999999997E-3</v>
      </c>
      <c r="BC85">
        <f t="shared" si="9"/>
        <v>-4.0000000000000001E-3</v>
      </c>
      <c r="BD85">
        <f t="shared" si="9"/>
        <v>-4.5000000000000005E-3</v>
      </c>
      <c r="BE85">
        <f t="shared" si="9"/>
        <v>5.9999999999999995E-4</v>
      </c>
      <c r="BF85">
        <f t="shared" si="9"/>
        <v>-5.3E-3</v>
      </c>
      <c r="BG85">
        <f t="shared" si="9"/>
        <v>-3.0000000000000001E-3</v>
      </c>
      <c r="BH85">
        <f t="shared" si="9"/>
        <v>-6.7000000000000002E-3</v>
      </c>
      <c r="BI85">
        <f t="shared" si="9"/>
        <v>-5.1999999999999998E-3</v>
      </c>
      <c r="BJ85">
        <f t="shared" si="9"/>
        <v>-1.32E-2</v>
      </c>
      <c r="BK85">
        <f t="shared" si="9"/>
        <v>2.5999999999999999E-3</v>
      </c>
      <c r="BL85">
        <f t="shared" si="9"/>
        <v>-6.3999999999999994E-3</v>
      </c>
      <c r="BM85">
        <f t="shared" si="9"/>
        <v>-1.8E-3</v>
      </c>
      <c r="BN85">
        <f t="shared" si="9"/>
        <v>-1.0999999999999998E-3</v>
      </c>
      <c r="BO85">
        <f t="shared" si="9"/>
        <v>-9.9999999999999991E-5</v>
      </c>
      <c r="BP85">
        <f t="shared" si="9"/>
        <v>-2.3E-3</v>
      </c>
      <c r="BQ85">
        <f t="shared" si="8"/>
        <v>1.1000000000000001E-3</v>
      </c>
      <c r="BR85">
        <f t="shared" si="8"/>
        <v>-3.5999999999999999E-3</v>
      </c>
      <c r="BS85">
        <f t="shared" si="8"/>
        <v>-8.0999999999999996E-3</v>
      </c>
      <c r="BT85">
        <f t="shared" si="8"/>
        <v>-1.8E-3</v>
      </c>
      <c r="BU85">
        <f t="shared" si="8"/>
        <v>-5.5999999999999999E-3</v>
      </c>
      <c r="BV85">
        <f t="shared" si="8"/>
        <v>-4.6999999999999993E-3</v>
      </c>
      <c r="BW85">
        <f t="shared" si="8"/>
        <v>-8.4000000000000012E-3</v>
      </c>
      <c r="BX85">
        <f t="shared" si="8"/>
        <v>-4.8999999999999998E-3</v>
      </c>
      <c r="BY85">
        <f t="shared" si="8"/>
        <v>-6.6E-3</v>
      </c>
      <c r="BZ85">
        <f t="shared" si="8"/>
        <v>-4.7000000000000002E-3</v>
      </c>
      <c r="CA85">
        <f t="shared" si="8"/>
        <v>-1.04E-2</v>
      </c>
      <c r="CB85">
        <f t="shared" si="8"/>
        <v>8.6E-3</v>
      </c>
      <c r="CC85">
        <f t="shared" si="8"/>
        <v>7.3000000000000001E-3</v>
      </c>
      <c r="CD85">
        <f t="shared" si="8"/>
        <v>-3.5000000000000001E-3</v>
      </c>
      <c r="CE85">
        <f t="shared" si="8"/>
        <v>-7.6999999999999994E-3</v>
      </c>
      <c r="CF85">
        <f t="shared" si="8"/>
        <v>-7.6E-3</v>
      </c>
      <c r="CG85">
        <f t="shared" si="8"/>
        <v>-6.1999999999999998E-3</v>
      </c>
      <c r="CH85">
        <f t="shared" si="8"/>
        <v>-2.0999999999999999E-3</v>
      </c>
      <c r="CI85">
        <f t="shared" si="8"/>
        <v>-3.8999999999999998E-3</v>
      </c>
      <c r="CJ85">
        <f t="shared" si="8"/>
        <v>-7.5000000000000006E-3</v>
      </c>
      <c r="CK85">
        <f t="shared" si="8"/>
        <v>-1.1000000000000001E-3</v>
      </c>
      <c r="CL85">
        <f t="shared" si="8"/>
        <v>4.5999999999999999E-3</v>
      </c>
      <c r="CM85">
        <f t="shared" si="8"/>
        <v>-9.0999999999999987E-3</v>
      </c>
      <c r="CN85">
        <f t="shared" si="8"/>
        <v>-3.4999999999999996E-3</v>
      </c>
      <c r="CO85">
        <f t="shared" si="8"/>
        <v>-9.7999999999999997E-3</v>
      </c>
      <c r="CP85">
        <f t="shared" si="8"/>
        <v>-3.2000000000000002E-3</v>
      </c>
      <c r="CQ85">
        <f t="shared" si="8"/>
        <v>-2.3E-3</v>
      </c>
      <c r="CR85">
        <f t="shared" si="8"/>
        <v>1.9E-3</v>
      </c>
      <c r="CS85">
        <f t="shared" si="8"/>
        <v>-1.4E-3</v>
      </c>
      <c r="CT85">
        <f t="shared" si="8"/>
        <v>-1.1000000000000001E-3</v>
      </c>
      <c r="CU85">
        <f t="shared" si="8"/>
        <v>-1.4499999999999999E-2</v>
      </c>
      <c r="CV85">
        <f t="shared" si="8"/>
        <v>-8.3999999999999995E-3</v>
      </c>
      <c r="CW85">
        <f t="shared" si="8"/>
        <v>-1.7599999999999998E-2</v>
      </c>
      <c r="CX85">
        <f t="shared" si="8"/>
        <v>-1.0999999999999999E-2</v>
      </c>
    </row>
    <row r="86" spans="1:102" x14ac:dyDescent="0.2">
      <c r="A86" t="s">
        <v>5922</v>
      </c>
      <c r="B86" t="s">
        <v>220</v>
      </c>
      <c r="C86" t="s">
        <v>102</v>
      </c>
      <c r="D86">
        <f t="shared" si="4"/>
        <v>1.3299999999999999E-2</v>
      </c>
      <c r="E86">
        <f t="shared" si="9"/>
        <v>1.7600000000000001E-2</v>
      </c>
      <c r="F86">
        <f t="shared" si="9"/>
        <v>2.7700000000000002E-2</v>
      </c>
      <c r="G86">
        <f t="shared" si="9"/>
        <v>2.98E-2</v>
      </c>
      <c r="H86">
        <f t="shared" si="9"/>
        <v>2.64E-2</v>
      </c>
      <c r="I86">
        <f t="shared" si="9"/>
        <v>2.0500000000000001E-2</v>
      </c>
      <c r="J86">
        <f t="shared" si="9"/>
        <v>1.8800000000000001E-2</v>
      </c>
      <c r="K86">
        <f t="shared" si="9"/>
        <v>1.3299999999999999E-2</v>
      </c>
      <c r="L86">
        <f t="shared" si="9"/>
        <v>1.77E-2</v>
      </c>
      <c r="M86">
        <f t="shared" si="9"/>
        <v>1.4E-2</v>
      </c>
      <c r="N86">
        <f t="shared" si="9"/>
        <v>1.2799999999999999E-2</v>
      </c>
      <c r="O86">
        <f t="shared" si="9"/>
        <v>1.14E-2</v>
      </c>
      <c r="P86">
        <f t="shared" si="9"/>
        <v>9.5000000000000015E-3</v>
      </c>
      <c r="Q86">
        <f t="shared" si="9"/>
        <v>8.5000000000000006E-3</v>
      </c>
      <c r="R86">
        <f t="shared" si="9"/>
        <v>1.29E-2</v>
      </c>
      <c r="S86">
        <f t="shared" si="9"/>
        <v>1.3299999999999999E-2</v>
      </c>
      <c r="T86">
        <f t="shared" si="9"/>
        <v>5.4999999999999997E-3</v>
      </c>
      <c r="U86">
        <f t="shared" si="9"/>
        <v>7.3999999999999995E-3</v>
      </c>
      <c r="V86">
        <f t="shared" si="9"/>
        <v>9.0000000000000011E-3</v>
      </c>
      <c r="W86">
        <f t="shared" si="9"/>
        <v>9.8999999999999991E-3</v>
      </c>
      <c r="X86">
        <f t="shared" si="9"/>
        <v>1.09E-2</v>
      </c>
      <c r="Y86">
        <f t="shared" si="9"/>
        <v>9.1999999999999998E-3</v>
      </c>
      <c r="Z86">
        <f t="shared" si="9"/>
        <v>9.7000000000000003E-3</v>
      </c>
      <c r="AA86">
        <f t="shared" si="9"/>
        <v>7.3000000000000001E-3</v>
      </c>
      <c r="AB86">
        <f t="shared" si="9"/>
        <v>6.1000000000000004E-3</v>
      </c>
      <c r="AC86">
        <f t="shared" si="9"/>
        <v>4.1999999999999997E-3</v>
      </c>
      <c r="AD86">
        <f t="shared" si="9"/>
        <v>6.4000000000000003E-3</v>
      </c>
      <c r="AE86">
        <f t="shared" si="9"/>
        <v>6.8999999999999999E-3</v>
      </c>
      <c r="AF86">
        <f t="shared" si="9"/>
        <v>3.6999999999999997E-3</v>
      </c>
      <c r="AG86">
        <f t="shared" si="9"/>
        <v>1.14E-2</v>
      </c>
      <c r="AH86">
        <f t="shared" si="9"/>
        <v>8.8999999999999999E-3</v>
      </c>
      <c r="AI86">
        <f t="shared" si="9"/>
        <v>5.0000000000000001E-3</v>
      </c>
      <c r="AJ86">
        <f t="shared" si="9"/>
        <v>7.0000000000000001E-3</v>
      </c>
      <c r="AK86">
        <f t="shared" si="9"/>
        <v>3.3999999999999998E-3</v>
      </c>
      <c r="AL86">
        <f t="shared" si="9"/>
        <v>5.7000000000000002E-3</v>
      </c>
      <c r="AM86">
        <f t="shared" si="9"/>
        <v>1.04E-2</v>
      </c>
      <c r="AN86">
        <f t="shared" si="9"/>
        <v>4.4000000000000003E-3</v>
      </c>
      <c r="AO86">
        <f t="shared" si="9"/>
        <v>6.3E-3</v>
      </c>
      <c r="AP86">
        <f t="shared" si="9"/>
        <v>4.1999999999999997E-3</v>
      </c>
      <c r="AQ86">
        <f t="shared" si="9"/>
        <v>6.2000000000000006E-3</v>
      </c>
      <c r="AR86">
        <f t="shared" si="9"/>
        <v>1.4E-3</v>
      </c>
      <c r="AS86">
        <f t="shared" si="9"/>
        <v>7.7000000000000002E-3</v>
      </c>
      <c r="AT86">
        <f t="shared" si="9"/>
        <v>6.8000000000000005E-3</v>
      </c>
      <c r="AU86">
        <f t="shared" si="9"/>
        <v>6.7000000000000002E-3</v>
      </c>
      <c r="AV86">
        <f t="shared" si="9"/>
        <v>-1.7000000000000001E-3</v>
      </c>
      <c r="AW86">
        <f t="shared" si="9"/>
        <v>4.0000000000000001E-3</v>
      </c>
      <c r="AX86">
        <f t="shared" si="9"/>
        <v>0</v>
      </c>
      <c r="AY86">
        <f t="shared" si="9"/>
        <v>4.4999999999999997E-3</v>
      </c>
      <c r="AZ86">
        <f t="shared" si="9"/>
        <v>5.8999999999999999E-3</v>
      </c>
      <c r="BA86">
        <f t="shared" si="9"/>
        <v>3.5000000000000001E-3</v>
      </c>
      <c r="BB86">
        <f t="shared" si="9"/>
        <v>4.5999999999999999E-3</v>
      </c>
      <c r="BC86">
        <f t="shared" si="9"/>
        <v>5.1000000000000004E-3</v>
      </c>
      <c r="BD86">
        <f t="shared" si="9"/>
        <v>4.8000000000000004E-3</v>
      </c>
      <c r="BE86">
        <f t="shared" si="9"/>
        <v>0.01</v>
      </c>
      <c r="BF86">
        <f t="shared" si="9"/>
        <v>4.0000000000000001E-3</v>
      </c>
      <c r="BG86">
        <f t="shared" si="9"/>
        <v>6.4000000000000003E-3</v>
      </c>
      <c r="BH86">
        <f t="shared" si="9"/>
        <v>2.5000000000000001E-3</v>
      </c>
      <c r="BI86">
        <f t="shared" si="9"/>
        <v>4.0999999999999995E-3</v>
      </c>
      <c r="BJ86">
        <f t="shared" si="9"/>
        <v>-4.0000000000000001E-3</v>
      </c>
      <c r="BK86">
        <f t="shared" si="9"/>
        <v>1.18E-2</v>
      </c>
      <c r="BL86">
        <f t="shared" si="9"/>
        <v>2.8E-3</v>
      </c>
      <c r="BM86">
        <f t="shared" si="9"/>
        <v>7.6E-3</v>
      </c>
      <c r="BN86">
        <f t="shared" si="9"/>
        <v>8.4999999999999989E-3</v>
      </c>
      <c r="BO86">
        <f t="shared" si="9"/>
        <v>9.6999999999999986E-3</v>
      </c>
      <c r="BP86">
        <f t="shared" ref="BP86:CX88" si="10">BP34+BP59</f>
        <v>7.4999999999999997E-3</v>
      </c>
      <c r="BQ86">
        <f t="shared" si="10"/>
        <v>1.0999999999999999E-2</v>
      </c>
      <c r="BR86">
        <f t="shared" si="10"/>
        <v>6.3E-3</v>
      </c>
      <c r="BS86">
        <f t="shared" si="10"/>
        <v>1.8999999999999998E-3</v>
      </c>
      <c r="BT86">
        <f t="shared" si="10"/>
        <v>8.2000000000000007E-3</v>
      </c>
      <c r="BU86">
        <f t="shared" si="10"/>
        <v>4.7000000000000002E-3</v>
      </c>
      <c r="BV86">
        <f t="shared" si="10"/>
        <v>6.1999999999999998E-3</v>
      </c>
      <c r="BW86">
        <f t="shared" si="10"/>
        <v>3.1999999999999997E-3</v>
      </c>
      <c r="BX86">
        <f t="shared" si="10"/>
        <v>6.8999999999999999E-3</v>
      </c>
      <c r="BY86">
        <f t="shared" si="10"/>
        <v>5.1999999999999998E-3</v>
      </c>
      <c r="BZ86">
        <f t="shared" si="10"/>
        <v>6.6E-3</v>
      </c>
      <c r="CA86">
        <f t="shared" si="10"/>
        <v>7.9999999999999993E-4</v>
      </c>
      <c r="CB86">
        <f t="shared" si="10"/>
        <v>1.9699999999999999E-2</v>
      </c>
      <c r="CC86">
        <f t="shared" si="10"/>
        <v>1.8700000000000001E-2</v>
      </c>
      <c r="CD86">
        <f t="shared" si="10"/>
        <v>8.6E-3</v>
      </c>
      <c r="CE86">
        <f t="shared" si="10"/>
        <v>6.0999999999999995E-3</v>
      </c>
      <c r="CF86">
        <f t="shared" si="10"/>
        <v>7.0000000000000001E-3</v>
      </c>
      <c r="CG86">
        <f t="shared" si="10"/>
        <v>7.9000000000000008E-3</v>
      </c>
      <c r="CH86">
        <f t="shared" si="10"/>
        <v>1.15E-2</v>
      </c>
      <c r="CI86">
        <f t="shared" si="10"/>
        <v>9.4999999999999998E-3</v>
      </c>
      <c r="CJ86">
        <f t="shared" si="10"/>
        <v>6.8999999999999999E-3</v>
      </c>
      <c r="CK86">
        <f t="shared" si="10"/>
        <v>1.5100000000000001E-2</v>
      </c>
      <c r="CL86">
        <f t="shared" si="10"/>
        <v>2.06E-2</v>
      </c>
      <c r="CM86">
        <f t="shared" si="10"/>
        <v>7.0000000000000001E-3</v>
      </c>
      <c r="CN86">
        <f t="shared" si="10"/>
        <v>1.4999999999999999E-2</v>
      </c>
      <c r="CO86">
        <f t="shared" si="10"/>
        <v>9.2999999999999992E-3</v>
      </c>
      <c r="CP86">
        <f t="shared" si="10"/>
        <v>1.4199999999999999E-2</v>
      </c>
      <c r="CQ86">
        <f t="shared" si="10"/>
        <v>1.7100000000000001E-2</v>
      </c>
      <c r="CR86">
        <f t="shared" si="10"/>
        <v>2.6200000000000001E-2</v>
      </c>
      <c r="CS86">
        <f t="shared" si="10"/>
        <v>1.9799999999999998E-2</v>
      </c>
      <c r="CT86">
        <f t="shared" si="10"/>
        <v>2.6499999999999999E-2</v>
      </c>
      <c r="CU86">
        <f t="shared" si="10"/>
        <v>1.26E-2</v>
      </c>
      <c r="CV86">
        <f t="shared" si="10"/>
        <v>2.3599999999999999E-2</v>
      </c>
      <c r="CW86">
        <f t="shared" si="10"/>
        <v>1.9799999999999998E-2</v>
      </c>
      <c r="CX86">
        <f t="shared" si="10"/>
        <v>3.8600000000000002E-2</v>
      </c>
    </row>
    <row r="87" spans="1:102" x14ac:dyDescent="0.2">
      <c r="A87" t="s">
        <v>5923</v>
      </c>
      <c r="B87" t="s">
        <v>220</v>
      </c>
      <c r="C87" t="s">
        <v>102</v>
      </c>
      <c r="D87">
        <f t="shared" si="4"/>
        <v>-6.3500000000000001E-2</v>
      </c>
      <c r="E87">
        <f t="shared" ref="E87:BP88" si="11">E35+E60</f>
        <v>-0.13679999999999998</v>
      </c>
      <c r="F87">
        <f t="shared" si="11"/>
        <v>-0.10550000000000001</v>
      </c>
      <c r="G87">
        <f t="shared" si="11"/>
        <v>-0.18460000000000001</v>
      </c>
      <c r="H87">
        <f t="shared" si="11"/>
        <v>-0.14959999999999998</v>
      </c>
      <c r="I87">
        <f t="shared" si="11"/>
        <v>-0.15440000000000001</v>
      </c>
      <c r="J87">
        <f t="shared" si="11"/>
        <v>-0.1706</v>
      </c>
      <c r="K87">
        <f t="shared" si="11"/>
        <v>-0.13189999999999999</v>
      </c>
      <c r="L87">
        <f t="shared" si="11"/>
        <v>-0.12969999999999998</v>
      </c>
      <c r="M87">
        <f t="shared" si="11"/>
        <v>-9.5100000000000004E-2</v>
      </c>
      <c r="N87">
        <f t="shared" si="11"/>
        <v>-8.6900000000000005E-2</v>
      </c>
      <c r="O87">
        <f t="shared" si="11"/>
        <v>-7.0800000000000002E-2</v>
      </c>
      <c r="P87">
        <f t="shared" si="11"/>
        <v>-6.0799999999999993E-2</v>
      </c>
      <c r="Q87">
        <f t="shared" si="11"/>
        <v>-5.0900000000000001E-2</v>
      </c>
      <c r="R87">
        <f t="shared" si="11"/>
        <v>-4.1999999999999996E-2</v>
      </c>
      <c r="S87">
        <f t="shared" si="11"/>
        <v>-3.8500000000000006E-2</v>
      </c>
      <c r="T87">
        <f t="shared" si="11"/>
        <v>-3.4699999999999995E-2</v>
      </c>
      <c r="U87">
        <f t="shared" si="11"/>
        <v>-3.4800000000000005E-2</v>
      </c>
      <c r="V87">
        <f t="shared" si="11"/>
        <v>-3.4799999999999998E-2</v>
      </c>
      <c r="W87">
        <f t="shared" si="11"/>
        <v>-3.5799999999999998E-2</v>
      </c>
      <c r="X87">
        <f t="shared" si="11"/>
        <v>-3.1199999999999999E-2</v>
      </c>
      <c r="Y87">
        <f t="shared" si="11"/>
        <v>-3.1800000000000002E-2</v>
      </c>
      <c r="Z87">
        <f t="shared" si="11"/>
        <v>-2.7200000000000002E-2</v>
      </c>
      <c r="AA87">
        <f t="shared" si="11"/>
        <v>-2.7400000000000001E-2</v>
      </c>
      <c r="AB87">
        <f t="shared" si="11"/>
        <v>-2.75E-2</v>
      </c>
      <c r="AC87">
        <f t="shared" si="11"/>
        <v>-2.7299999999999998E-2</v>
      </c>
      <c r="AD87">
        <f t="shared" si="11"/>
        <v>-2.6700000000000002E-2</v>
      </c>
      <c r="AE87">
        <f t="shared" si="11"/>
        <v>-2.5600000000000001E-2</v>
      </c>
      <c r="AF87">
        <f t="shared" si="11"/>
        <v>-2.7E-2</v>
      </c>
      <c r="AG87">
        <f t="shared" si="11"/>
        <v>-2.76E-2</v>
      </c>
      <c r="AH87">
        <f t="shared" si="11"/>
        <v>-3.0500000000000003E-2</v>
      </c>
      <c r="AI87">
        <f t="shared" si="11"/>
        <v>-3.2199999999999999E-2</v>
      </c>
      <c r="AJ87">
        <f t="shared" si="11"/>
        <v>-2.9499999999999998E-2</v>
      </c>
      <c r="AK87">
        <f t="shared" si="11"/>
        <v>-1.66E-2</v>
      </c>
      <c r="AL87">
        <f t="shared" si="11"/>
        <v>-0.02</v>
      </c>
      <c r="AM87">
        <f t="shared" si="11"/>
        <v>-2.1399999999999999E-2</v>
      </c>
      <c r="AN87">
        <f t="shared" si="11"/>
        <v>-2.29E-2</v>
      </c>
      <c r="AO87">
        <f t="shared" si="11"/>
        <v>-2.3299999999999998E-2</v>
      </c>
      <c r="AP87">
        <f t="shared" si="11"/>
        <v>-1.6799999999999999E-2</v>
      </c>
      <c r="AQ87">
        <f t="shared" si="11"/>
        <v>-1.6299999999999999E-2</v>
      </c>
      <c r="AR87">
        <f t="shared" si="11"/>
        <v>-1.5599999999999999E-2</v>
      </c>
      <c r="AS87">
        <f t="shared" si="11"/>
        <v>-2.2800000000000001E-2</v>
      </c>
      <c r="AT87">
        <f t="shared" si="11"/>
        <v>-2.2400000000000003E-2</v>
      </c>
      <c r="AU87">
        <f t="shared" si="11"/>
        <v>-2.1300000000000003E-2</v>
      </c>
      <c r="AV87">
        <f t="shared" si="11"/>
        <v>-2.2700000000000001E-2</v>
      </c>
      <c r="AW87">
        <f t="shared" si="11"/>
        <v>-2.4E-2</v>
      </c>
      <c r="AX87">
        <f t="shared" si="11"/>
        <v>-2.7699999999999999E-2</v>
      </c>
      <c r="AY87">
        <f t="shared" si="11"/>
        <v>-2.8199999999999999E-2</v>
      </c>
      <c r="AZ87">
        <f t="shared" si="11"/>
        <v>-3.3000000000000002E-2</v>
      </c>
      <c r="BA87">
        <f t="shared" si="11"/>
        <v>-3.9800000000000002E-2</v>
      </c>
      <c r="BB87">
        <f t="shared" si="11"/>
        <v>-4.0899999999999999E-2</v>
      </c>
      <c r="BC87">
        <f t="shared" si="11"/>
        <v>-4.1700000000000001E-2</v>
      </c>
      <c r="BD87">
        <f t="shared" si="11"/>
        <v>-4.4700000000000004E-2</v>
      </c>
      <c r="BE87">
        <f t="shared" si="11"/>
        <v>-4.2000000000000003E-2</v>
      </c>
      <c r="BF87">
        <f t="shared" si="11"/>
        <v>-4.5200000000000004E-2</v>
      </c>
      <c r="BG87">
        <f t="shared" si="11"/>
        <v>-4.65E-2</v>
      </c>
      <c r="BH87">
        <f t="shared" si="11"/>
        <v>-4.9500000000000002E-2</v>
      </c>
      <c r="BI87">
        <f t="shared" si="11"/>
        <v>-3.1600000000000003E-2</v>
      </c>
      <c r="BJ87">
        <f t="shared" si="11"/>
        <v>-2.4999999999999998E-2</v>
      </c>
      <c r="BK87">
        <f t="shared" si="11"/>
        <v>-2.4399999999999998E-2</v>
      </c>
      <c r="BL87">
        <f t="shared" si="11"/>
        <v>-2.6600000000000002E-2</v>
      </c>
      <c r="BM87">
        <f t="shared" si="11"/>
        <v>-1.14E-2</v>
      </c>
      <c r="BN87">
        <f t="shared" si="11"/>
        <v>-1.0999999999999999E-2</v>
      </c>
      <c r="BO87">
        <f t="shared" si="11"/>
        <v>-1.55E-2</v>
      </c>
      <c r="BP87">
        <f t="shared" si="11"/>
        <v>-1.8700000000000001E-2</v>
      </c>
      <c r="BQ87">
        <f t="shared" si="10"/>
        <v>-1.8599999999999998E-2</v>
      </c>
      <c r="BR87">
        <f t="shared" si="10"/>
        <v>-1.9299999999999998E-2</v>
      </c>
      <c r="BS87">
        <f t="shared" si="10"/>
        <v>-2.29E-2</v>
      </c>
      <c r="BT87">
        <f t="shared" si="10"/>
        <v>-1.77E-2</v>
      </c>
      <c r="BU87">
        <f t="shared" si="10"/>
        <v>-2.0799999999999999E-2</v>
      </c>
      <c r="BV87">
        <f t="shared" si="10"/>
        <v>-2.2700000000000001E-2</v>
      </c>
      <c r="BW87">
        <f t="shared" si="10"/>
        <v>-2.3699999999999999E-2</v>
      </c>
      <c r="BX87">
        <f t="shared" si="10"/>
        <v>-2.9499999999999998E-2</v>
      </c>
      <c r="BY87">
        <f t="shared" si="10"/>
        <v>-3.2000000000000001E-2</v>
      </c>
      <c r="BZ87">
        <f t="shared" si="10"/>
        <v>-3.3300000000000003E-2</v>
      </c>
      <c r="CA87">
        <f t="shared" si="10"/>
        <v>-3.4600000000000006E-2</v>
      </c>
      <c r="CB87">
        <f t="shared" si="10"/>
        <v>-3.6699999999999997E-2</v>
      </c>
      <c r="CC87">
        <f t="shared" si="10"/>
        <v>-3.5400000000000001E-2</v>
      </c>
      <c r="CD87">
        <f t="shared" si="10"/>
        <v>-2.8000000000000001E-2</v>
      </c>
      <c r="CE87">
        <f t="shared" si="10"/>
        <v>-3.9E-2</v>
      </c>
      <c r="CF87">
        <f t="shared" si="10"/>
        <v>-4.6899999999999997E-2</v>
      </c>
      <c r="CG87">
        <f t="shared" si="10"/>
        <v>-4.82E-2</v>
      </c>
      <c r="CH87">
        <f t="shared" si="10"/>
        <v>-5.2200000000000003E-2</v>
      </c>
      <c r="CI87">
        <f t="shared" si="10"/>
        <v>-5.5599999999999997E-2</v>
      </c>
      <c r="CJ87">
        <f t="shared" si="10"/>
        <v>-3.5299999999999998E-2</v>
      </c>
      <c r="CK87">
        <f t="shared" si="10"/>
        <v>-4.1800000000000004E-2</v>
      </c>
      <c r="CL87">
        <f t="shared" si="10"/>
        <v>-5.45E-2</v>
      </c>
      <c r="CM87">
        <f t="shared" si="10"/>
        <v>-7.1899999999999992E-2</v>
      </c>
      <c r="CN87">
        <f t="shared" si="10"/>
        <v>-9.4100000000000003E-2</v>
      </c>
      <c r="CO87">
        <f t="shared" si="10"/>
        <v>-0.11849999999999999</v>
      </c>
      <c r="CP87">
        <f t="shared" si="10"/>
        <v>-0.11099999999999999</v>
      </c>
      <c r="CQ87">
        <f t="shared" si="10"/>
        <v>-0.1225</v>
      </c>
      <c r="CR87">
        <f t="shared" si="10"/>
        <v>-0.19350000000000001</v>
      </c>
      <c r="CS87">
        <f t="shared" si="10"/>
        <v>-0.14459999999999998</v>
      </c>
      <c r="CT87">
        <f t="shared" si="10"/>
        <v>-5.6000000000000008E-3</v>
      </c>
      <c r="CU87">
        <f t="shared" si="10"/>
        <v>2.1000000000000003E-3</v>
      </c>
      <c r="CV87">
        <f t="shared" si="10"/>
        <v>-1.3000000000000008E-3</v>
      </c>
      <c r="CW87">
        <f t="shared" si="10"/>
        <v>-2.1000000000000003E-3</v>
      </c>
      <c r="CX87">
        <f t="shared" si="10"/>
        <v>-7.7000000000000002E-3</v>
      </c>
    </row>
    <row r="88" spans="1:102" x14ac:dyDescent="0.2">
      <c r="A88" t="s">
        <v>5924</v>
      </c>
      <c r="B88" t="s">
        <v>220</v>
      </c>
      <c r="C88" t="s">
        <v>102</v>
      </c>
      <c r="D88">
        <f>D36+D61</f>
        <v>3.2399999999999998E-2</v>
      </c>
      <c r="E88">
        <f t="shared" si="11"/>
        <v>0.28660000000000002</v>
      </c>
      <c r="F88">
        <f t="shared" si="11"/>
        <v>0.16650000000000001</v>
      </c>
      <c r="G88">
        <f t="shared" si="11"/>
        <v>9.9299999999999999E-2</v>
      </c>
      <c r="H88">
        <f t="shared" si="11"/>
        <v>6.6700000000000009E-2</v>
      </c>
      <c r="I88">
        <f t="shared" si="11"/>
        <v>5.4400000000000004E-2</v>
      </c>
      <c r="J88">
        <f t="shared" si="11"/>
        <v>2.58E-2</v>
      </c>
      <c r="K88">
        <f t="shared" si="11"/>
        <v>4.48E-2</v>
      </c>
      <c r="L88">
        <f t="shared" si="11"/>
        <v>3.56E-2</v>
      </c>
      <c r="M88">
        <f t="shared" si="11"/>
        <v>3.0200000000000001E-2</v>
      </c>
      <c r="N88">
        <f t="shared" si="11"/>
        <v>1.8200000000000001E-2</v>
      </c>
      <c r="O88">
        <f t="shared" si="11"/>
        <v>1.6299999999999999E-2</v>
      </c>
      <c r="P88">
        <f t="shared" si="11"/>
        <v>1.4999999999999999E-2</v>
      </c>
      <c r="Q88">
        <f t="shared" si="11"/>
        <v>1.7000000000000001E-2</v>
      </c>
      <c r="R88">
        <f t="shared" si="11"/>
        <v>1.6399999999999998E-2</v>
      </c>
      <c r="S88">
        <f t="shared" si="11"/>
        <v>1.4E-2</v>
      </c>
      <c r="T88">
        <f t="shared" si="11"/>
        <v>1.3899999999999999E-2</v>
      </c>
      <c r="U88">
        <f t="shared" si="11"/>
        <v>1.2299999999999998E-2</v>
      </c>
      <c r="V88">
        <f t="shared" si="11"/>
        <v>9.9000000000000008E-3</v>
      </c>
      <c r="W88">
        <f t="shared" si="11"/>
        <v>7.6E-3</v>
      </c>
      <c r="X88">
        <f t="shared" si="11"/>
        <v>1.1900000000000001E-2</v>
      </c>
      <c r="Y88">
        <f t="shared" si="11"/>
        <v>9.7000000000000003E-3</v>
      </c>
      <c r="Z88">
        <f t="shared" si="11"/>
        <v>1.41E-2</v>
      </c>
      <c r="AA88">
        <f t="shared" si="11"/>
        <v>1.34E-2</v>
      </c>
      <c r="AB88">
        <f t="shared" si="11"/>
        <v>1.29E-2</v>
      </c>
      <c r="AC88">
        <f t="shared" si="11"/>
        <v>1.2799999999999999E-2</v>
      </c>
      <c r="AD88">
        <f t="shared" si="11"/>
        <v>1.2899999999999998E-2</v>
      </c>
      <c r="AE88">
        <f t="shared" si="11"/>
        <v>1.43E-2</v>
      </c>
      <c r="AF88">
        <f t="shared" si="11"/>
        <v>1.32E-2</v>
      </c>
      <c r="AG88">
        <f t="shared" si="11"/>
        <v>1.3100000000000001E-2</v>
      </c>
      <c r="AH88">
        <f t="shared" si="11"/>
        <v>1.1300000000000001E-2</v>
      </c>
      <c r="AI88">
        <f t="shared" si="11"/>
        <v>1.1099999999999999E-2</v>
      </c>
      <c r="AJ88">
        <f t="shared" si="11"/>
        <v>1.7000000000000001E-2</v>
      </c>
      <c r="AK88">
        <f t="shared" si="11"/>
        <v>3.2299999999999995E-2</v>
      </c>
      <c r="AL88">
        <f t="shared" si="11"/>
        <v>3.0000000000000002E-2</v>
      </c>
      <c r="AM88">
        <f t="shared" si="11"/>
        <v>2.9400000000000003E-2</v>
      </c>
      <c r="AN88">
        <f t="shared" si="11"/>
        <v>2.8200000000000003E-2</v>
      </c>
      <c r="AO88">
        <f t="shared" si="11"/>
        <v>2.81E-2</v>
      </c>
      <c r="AP88">
        <f t="shared" si="11"/>
        <v>3.6799999999999999E-2</v>
      </c>
      <c r="AQ88">
        <f t="shared" si="11"/>
        <v>3.6200000000000003E-2</v>
      </c>
      <c r="AR88">
        <f t="shared" si="11"/>
        <v>3.7400000000000003E-2</v>
      </c>
      <c r="AS88">
        <f t="shared" si="11"/>
        <v>3.1800000000000002E-2</v>
      </c>
      <c r="AT88">
        <f t="shared" si="11"/>
        <v>3.2300000000000002E-2</v>
      </c>
      <c r="AU88">
        <f t="shared" si="11"/>
        <v>3.3399999999999999E-2</v>
      </c>
      <c r="AV88">
        <f t="shared" si="11"/>
        <v>3.2500000000000001E-2</v>
      </c>
      <c r="AW88">
        <f t="shared" si="11"/>
        <v>3.27E-2</v>
      </c>
      <c r="AX88">
        <f t="shared" si="11"/>
        <v>3.1099999999999999E-2</v>
      </c>
      <c r="AY88">
        <f t="shared" si="11"/>
        <v>3.2099999999999997E-2</v>
      </c>
      <c r="AZ88">
        <f t="shared" si="11"/>
        <v>2.7700000000000002E-2</v>
      </c>
      <c r="BA88">
        <f t="shared" si="11"/>
        <v>2.1499999999999998E-2</v>
      </c>
      <c r="BB88">
        <f t="shared" si="11"/>
        <v>2.0799999999999999E-2</v>
      </c>
      <c r="BC88">
        <f t="shared" si="11"/>
        <v>0.02</v>
      </c>
      <c r="BD88">
        <f t="shared" si="11"/>
        <v>1.7999999999999999E-2</v>
      </c>
      <c r="BE88">
        <f t="shared" si="11"/>
        <v>2.1100000000000001E-2</v>
      </c>
      <c r="BF88">
        <f t="shared" si="11"/>
        <v>1.8800000000000001E-2</v>
      </c>
      <c r="BG88">
        <f t="shared" si="11"/>
        <v>1.8200000000000001E-2</v>
      </c>
      <c r="BH88">
        <f t="shared" si="11"/>
        <v>1.6299999999999999E-2</v>
      </c>
      <c r="BI88">
        <f t="shared" si="11"/>
        <v>4.8800000000000003E-2</v>
      </c>
      <c r="BJ88">
        <f t="shared" si="11"/>
        <v>5.1799999999999999E-2</v>
      </c>
      <c r="BK88">
        <f t="shared" si="11"/>
        <v>5.3800000000000001E-2</v>
      </c>
      <c r="BL88">
        <f t="shared" si="11"/>
        <v>5.2299999999999999E-2</v>
      </c>
      <c r="BM88">
        <f t="shared" si="11"/>
        <v>5.6800000000000003E-2</v>
      </c>
      <c r="BN88">
        <f t="shared" si="11"/>
        <v>5.7600000000000005E-2</v>
      </c>
      <c r="BO88">
        <f t="shared" si="11"/>
        <v>5.33E-2</v>
      </c>
      <c r="BP88">
        <f t="shared" si="11"/>
        <v>4.9999999999999996E-2</v>
      </c>
      <c r="BQ88">
        <f t="shared" si="10"/>
        <v>5.0799999999999998E-2</v>
      </c>
      <c r="BR88">
        <f t="shared" si="10"/>
        <v>4.9599999999999998E-2</v>
      </c>
      <c r="BS88">
        <f t="shared" si="10"/>
        <v>4.8500000000000001E-2</v>
      </c>
      <c r="BT88">
        <f t="shared" si="10"/>
        <v>5.5E-2</v>
      </c>
      <c r="BU88">
        <f t="shared" si="10"/>
        <v>5.57E-2</v>
      </c>
      <c r="BV88">
        <f t="shared" si="10"/>
        <v>5.74E-2</v>
      </c>
      <c r="BW88">
        <f t="shared" si="10"/>
        <v>6.2899999999999998E-2</v>
      </c>
      <c r="BX88">
        <f t="shared" si="10"/>
        <v>6.0499999999999998E-2</v>
      </c>
      <c r="BY88">
        <f t="shared" si="10"/>
        <v>5.8899999999999994E-2</v>
      </c>
      <c r="BZ88">
        <f t="shared" si="10"/>
        <v>5.2299999999999999E-2</v>
      </c>
      <c r="CA88">
        <f t="shared" si="10"/>
        <v>5.0099999999999999E-2</v>
      </c>
      <c r="CB88">
        <f t="shared" si="10"/>
        <v>4.9599999999999998E-2</v>
      </c>
      <c r="CC88">
        <f t="shared" si="10"/>
        <v>5.2500000000000005E-2</v>
      </c>
      <c r="CD88">
        <f t="shared" si="10"/>
        <v>5.8700000000000002E-2</v>
      </c>
      <c r="CE88">
        <f t="shared" si="10"/>
        <v>6.88E-2</v>
      </c>
      <c r="CF88">
        <f t="shared" si="10"/>
        <v>7.1300000000000002E-2</v>
      </c>
      <c r="CG88">
        <f t="shared" si="10"/>
        <v>6.8699999999999997E-2</v>
      </c>
      <c r="CH88">
        <f t="shared" si="10"/>
        <v>6.430000000000001E-2</v>
      </c>
      <c r="CI88">
        <f t="shared" si="10"/>
        <v>6.5699999999999995E-2</v>
      </c>
      <c r="CJ88">
        <f t="shared" si="10"/>
        <v>9.2700000000000005E-2</v>
      </c>
      <c r="CK88">
        <f t="shared" si="10"/>
        <v>9.7500000000000003E-2</v>
      </c>
      <c r="CL88">
        <f t="shared" si="10"/>
        <v>8.9599999999999999E-2</v>
      </c>
      <c r="CM88">
        <f t="shared" si="10"/>
        <v>8.4599999999999995E-2</v>
      </c>
      <c r="CN88">
        <f t="shared" si="10"/>
        <v>9.8299999999999998E-2</v>
      </c>
      <c r="CO88">
        <f t="shared" si="10"/>
        <v>9.5299999999999996E-2</v>
      </c>
      <c r="CP88">
        <f t="shared" si="10"/>
        <v>9.01E-2</v>
      </c>
      <c r="CQ88">
        <f t="shared" si="10"/>
        <v>9.9400000000000002E-2</v>
      </c>
      <c r="CR88">
        <f t="shared" si="10"/>
        <v>0.1258</v>
      </c>
      <c r="CS88">
        <f t="shared" si="10"/>
        <v>8.5199999999999998E-2</v>
      </c>
      <c r="CT88">
        <f t="shared" si="10"/>
        <v>0.12990000000000002</v>
      </c>
      <c r="CU88">
        <f t="shared" si="10"/>
        <v>0.13869999999999999</v>
      </c>
      <c r="CV88">
        <f t="shared" si="10"/>
        <v>0.13200000000000001</v>
      </c>
      <c r="CW88">
        <f t="shared" si="10"/>
        <v>0.1333</v>
      </c>
      <c r="CX88">
        <f t="shared" si="10"/>
        <v>0.13059999999999999</v>
      </c>
    </row>
    <row r="89" spans="1:102" x14ac:dyDescent="0.2">
      <c r="A89" t="s">
        <v>5927</v>
      </c>
      <c r="B89" t="s">
        <v>220</v>
      </c>
      <c r="C89" t="s">
        <v>102</v>
      </c>
      <c r="D89">
        <f>D62</f>
        <v>-0.59489999999999998</v>
      </c>
      <c r="E89">
        <f t="shared" ref="E89:BP89" si="12">E62</f>
        <v>-0.61299999999999999</v>
      </c>
      <c r="F89">
        <f t="shared" si="12"/>
        <v>-1.1000000000000001E-3</v>
      </c>
      <c r="G89">
        <f t="shared" si="12"/>
        <v>8.8800000000000004E-2</v>
      </c>
      <c r="H89">
        <f t="shared" si="12"/>
        <v>0.34379999999999999</v>
      </c>
      <c r="I89">
        <f t="shared" si="12"/>
        <v>0.18679999999999999</v>
      </c>
      <c r="J89">
        <f t="shared" si="12"/>
        <v>0.43120000000000003</v>
      </c>
      <c r="K89">
        <f t="shared" si="12"/>
        <v>0.34460000000000002</v>
      </c>
      <c r="L89">
        <f t="shared" si="12"/>
        <v>0.36659999999999998</v>
      </c>
      <c r="M89">
        <f t="shared" si="12"/>
        <v>0.32129999999999997</v>
      </c>
      <c r="N89">
        <f t="shared" si="12"/>
        <v>0.47470000000000001</v>
      </c>
      <c r="O89">
        <f t="shared" si="12"/>
        <v>0.64090000000000003</v>
      </c>
      <c r="P89">
        <f t="shared" si="12"/>
        <v>0.61129999999999995</v>
      </c>
      <c r="Q89">
        <f t="shared" si="12"/>
        <v>0.50460000000000005</v>
      </c>
      <c r="R89">
        <f t="shared" si="12"/>
        <v>0.30709999999999998</v>
      </c>
      <c r="S89">
        <f t="shared" si="12"/>
        <v>0.24490000000000001</v>
      </c>
      <c r="T89">
        <f t="shared" si="12"/>
        <v>0.26519999999999999</v>
      </c>
      <c r="U89">
        <f t="shared" si="12"/>
        <v>0.2601</v>
      </c>
      <c r="V89">
        <f t="shared" si="12"/>
        <v>0.21</v>
      </c>
      <c r="W89">
        <f t="shared" si="12"/>
        <v>0.191</v>
      </c>
      <c r="X89">
        <f t="shared" si="12"/>
        <v>0.1898</v>
      </c>
      <c r="Y89">
        <f t="shared" si="12"/>
        <v>0.2203</v>
      </c>
      <c r="Z89">
        <f t="shared" si="12"/>
        <v>0.23760000000000001</v>
      </c>
      <c r="AA89">
        <f t="shared" si="12"/>
        <v>0.23630000000000001</v>
      </c>
      <c r="AB89">
        <f t="shared" si="12"/>
        <v>0.20519999999999999</v>
      </c>
      <c r="AC89">
        <f t="shared" si="12"/>
        <v>0.16619999999999999</v>
      </c>
      <c r="AD89">
        <f t="shared" si="12"/>
        <v>0.1331</v>
      </c>
      <c r="AE89">
        <f t="shared" si="12"/>
        <v>0.1169</v>
      </c>
      <c r="AF89">
        <f t="shared" si="12"/>
        <v>9.7600000000000006E-2</v>
      </c>
      <c r="AG89">
        <f t="shared" si="12"/>
        <v>8.0299999999999996E-2</v>
      </c>
      <c r="AH89">
        <f t="shared" si="12"/>
        <v>8.4099999999999994E-2</v>
      </c>
      <c r="AI89">
        <f t="shared" si="12"/>
        <v>7.4300000000000005E-2</v>
      </c>
      <c r="AJ89">
        <f t="shared" si="12"/>
        <v>4.7300000000000002E-2</v>
      </c>
      <c r="AK89">
        <f t="shared" si="12"/>
        <v>1.84E-2</v>
      </c>
      <c r="AL89">
        <f t="shared" si="12"/>
        <v>7.9000000000000008E-3</v>
      </c>
      <c r="AM89">
        <f t="shared" si="12"/>
        <v>5.0000000000000001E-3</v>
      </c>
      <c r="AN89">
        <f t="shared" si="12"/>
        <v>1.67E-2</v>
      </c>
      <c r="AO89">
        <f t="shared" si="12"/>
        <v>3.0099999999999998E-2</v>
      </c>
      <c r="AP89">
        <f t="shared" si="12"/>
        <v>7.9500000000000001E-2</v>
      </c>
      <c r="AQ89">
        <f t="shared" si="12"/>
        <v>0.1333</v>
      </c>
      <c r="AR89">
        <f t="shared" si="12"/>
        <v>0.13400000000000001</v>
      </c>
      <c r="AS89">
        <f t="shared" si="12"/>
        <v>0.14119999999999999</v>
      </c>
      <c r="AT89">
        <f t="shared" si="12"/>
        <v>0.1217</v>
      </c>
      <c r="AU89">
        <f t="shared" si="12"/>
        <v>0.1138</v>
      </c>
      <c r="AV89">
        <f t="shared" si="12"/>
        <v>6.3399999999999998E-2</v>
      </c>
      <c r="AW89">
        <f t="shared" si="12"/>
        <v>0.02</v>
      </c>
      <c r="AX89">
        <f t="shared" si="12"/>
        <v>-9.5999999999999992E-3</v>
      </c>
      <c r="AY89">
        <f t="shared" si="12"/>
        <v>-5.0000000000000001E-4</v>
      </c>
      <c r="AZ89">
        <f t="shared" si="12"/>
        <v>-3.3999999999999998E-3</v>
      </c>
      <c r="BA89">
        <f t="shared" si="12"/>
        <v>3.0999999999999999E-3</v>
      </c>
      <c r="BB89">
        <f t="shared" si="12"/>
        <v>5.1499999999999997E-2</v>
      </c>
      <c r="BC89">
        <f t="shared" si="12"/>
        <v>0.1172</v>
      </c>
      <c r="BD89">
        <f t="shared" si="12"/>
        <v>0.14760000000000001</v>
      </c>
      <c r="BE89">
        <f t="shared" si="12"/>
        <v>0.16</v>
      </c>
      <c r="BF89">
        <f t="shared" si="12"/>
        <v>0.1552</v>
      </c>
      <c r="BG89">
        <f t="shared" si="12"/>
        <v>0.16700000000000001</v>
      </c>
      <c r="BH89">
        <f t="shared" si="12"/>
        <v>0.1371</v>
      </c>
      <c r="BI89">
        <f t="shared" si="12"/>
        <v>6.25E-2</v>
      </c>
      <c r="BJ89">
        <f t="shared" si="12"/>
        <v>3.7900000000000003E-2</v>
      </c>
      <c r="BK89">
        <f t="shared" si="12"/>
        <v>2.3599999999999999E-2</v>
      </c>
      <c r="BL89">
        <f t="shared" si="12"/>
        <v>2.2100000000000002E-2</v>
      </c>
      <c r="BM89">
        <f t="shared" si="12"/>
        <v>2.7099999999999999E-2</v>
      </c>
      <c r="BN89">
        <f t="shared" si="12"/>
        <v>5.2400000000000002E-2</v>
      </c>
      <c r="BO89">
        <f t="shared" si="12"/>
        <v>0.1114</v>
      </c>
      <c r="BP89">
        <f t="shared" si="12"/>
        <v>0.14369999999999999</v>
      </c>
      <c r="BQ89">
        <f t="shared" ref="BQ89:CX89" si="13">BQ62</f>
        <v>0.1283</v>
      </c>
      <c r="BR89">
        <f t="shared" si="13"/>
        <v>9.3700000000000006E-2</v>
      </c>
      <c r="BS89">
        <f t="shared" si="13"/>
        <v>7.4399999999999994E-2</v>
      </c>
      <c r="BT89">
        <f t="shared" si="13"/>
        <v>4.24E-2</v>
      </c>
      <c r="BU89">
        <f t="shared" si="13"/>
        <v>-7.7000000000000002E-3</v>
      </c>
      <c r="BV89">
        <f t="shared" si="13"/>
        <v>-0.01</v>
      </c>
      <c r="BW89">
        <f t="shared" si="13"/>
        <v>-2.3800000000000002E-2</v>
      </c>
      <c r="BX89">
        <f t="shared" si="13"/>
        <v>8.0000000000000002E-3</v>
      </c>
      <c r="BY89">
        <f t="shared" si="13"/>
        <v>4.3900000000000002E-2</v>
      </c>
      <c r="BZ89">
        <f t="shared" si="13"/>
        <v>0.15010000000000001</v>
      </c>
      <c r="CA89">
        <f t="shared" si="13"/>
        <v>0.18559999999999999</v>
      </c>
      <c r="CB89">
        <f t="shared" si="13"/>
        <v>0.16020000000000001</v>
      </c>
      <c r="CC89">
        <f t="shared" si="13"/>
        <v>0.1736</v>
      </c>
      <c r="CD89">
        <f t="shared" si="13"/>
        <v>0.14929999999999999</v>
      </c>
      <c r="CE89">
        <f t="shared" si="13"/>
        <v>-3.6999999999999998E-2</v>
      </c>
      <c r="CF89">
        <f t="shared" si="13"/>
        <v>-8.8599999999999998E-2</v>
      </c>
      <c r="CG89">
        <f t="shared" si="13"/>
        <v>-7.2800000000000004E-2</v>
      </c>
      <c r="CH89">
        <f t="shared" si="13"/>
        <v>-0.13220000000000001</v>
      </c>
      <c r="CI89">
        <f t="shared" si="13"/>
        <v>-9.4700000000000006E-2</v>
      </c>
      <c r="CJ89">
        <f t="shared" si="13"/>
        <v>-9.9900000000000003E-2</v>
      </c>
      <c r="CK89">
        <f t="shared" si="13"/>
        <v>0.20200000000000001</v>
      </c>
      <c r="CL89">
        <f t="shared" si="13"/>
        <v>0.1482</v>
      </c>
      <c r="CM89">
        <f t="shared" si="13"/>
        <v>4.1200000000000001E-2</v>
      </c>
      <c r="CN89">
        <f t="shared" si="13"/>
        <v>-9.5899999999999999E-2</v>
      </c>
      <c r="CO89">
        <f t="shared" si="13"/>
        <v>-0.12790000000000001</v>
      </c>
      <c r="CP89">
        <f t="shared" si="13"/>
        <v>6.3200000000000006E-2</v>
      </c>
      <c r="CQ89">
        <f t="shared" si="13"/>
        <v>0.17460000000000001</v>
      </c>
      <c r="CR89">
        <f t="shared" si="13"/>
        <v>0.02</v>
      </c>
      <c r="CS89">
        <f t="shared" si="13"/>
        <v>7.6200000000000004E-2</v>
      </c>
      <c r="CT89">
        <f t="shared" si="13"/>
        <v>-5.8999999999999997E-2</v>
      </c>
      <c r="CU89">
        <f t="shared" si="13"/>
        <v>-0.27250000000000002</v>
      </c>
      <c r="CV89">
        <f t="shared" si="13"/>
        <v>-3.4700000000000002E-2</v>
      </c>
      <c r="CW89">
        <f t="shared" si="13"/>
        <v>-0.18379999999999999</v>
      </c>
      <c r="CX89">
        <f t="shared" si="13"/>
        <v>-0.27710000000000001</v>
      </c>
    </row>
    <row r="90" spans="1:102" x14ac:dyDescent="0.2">
      <c r="A90" t="s">
        <v>5928</v>
      </c>
      <c r="B90" t="s">
        <v>220</v>
      </c>
      <c r="C90" t="s">
        <v>102</v>
      </c>
      <c r="D90">
        <f>D63</f>
        <v>0.11</v>
      </c>
      <c r="E90">
        <f t="shared" ref="E90:BP90" si="14">E63</f>
        <v>0.15479999999999999</v>
      </c>
      <c r="F90">
        <f t="shared" si="14"/>
        <v>0.53949999999999998</v>
      </c>
      <c r="G90">
        <f t="shared" si="14"/>
        <v>0.57430000000000003</v>
      </c>
      <c r="H90">
        <f t="shared" si="14"/>
        <v>0.72189999999999999</v>
      </c>
      <c r="I90">
        <f t="shared" si="14"/>
        <v>0.56369999999999998</v>
      </c>
      <c r="J90">
        <f t="shared" si="14"/>
        <v>0.76519999999999999</v>
      </c>
      <c r="K90">
        <f t="shared" si="14"/>
        <v>0.64259999999999995</v>
      </c>
      <c r="L90">
        <f t="shared" si="14"/>
        <v>0.64910000000000001</v>
      </c>
      <c r="M90">
        <f t="shared" si="14"/>
        <v>0.53849999999999998</v>
      </c>
      <c r="N90">
        <f t="shared" si="14"/>
        <v>0.66010000000000002</v>
      </c>
      <c r="O90">
        <f t="shared" si="14"/>
        <v>0.79530000000000001</v>
      </c>
      <c r="P90">
        <f t="shared" si="14"/>
        <v>0.74719999999999998</v>
      </c>
      <c r="Q90">
        <f t="shared" si="14"/>
        <v>0.62690000000000001</v>
      </c>
      <c r="R90">
        <f t="shared" si="14"/>
        <v>0.41320000000000001</v>
      </c>
      <c r="S90">
        <f t="shared" si="14"/>
        <v>0.34110000000000001</v>
      </c>
      <c r="T90">
        <f t="shared" si="14"/>
        <v>0.3548</v>
      </c>
      <c r="U90">
        <f t="shared" si="14"/>
        <v>0.34699999999999998</v>
      </c>
      <c r="V90">
        <f t="shared" si="14"/>
        <v>0.29310000000000003</v>
      </c>
      <c r="W90">
        <f t="shared" si="14"/>
        <v>0.2717</v>
      </c>
      <c r="X90">
        <f t="shared" si="14"/>
        <v>0.26790000000000003</v>
      </c>
      <c r="Y90">
        <f t="shared" si="14"/>
        <v>0.29599999999999999</v>
      </c>
      <c r="Z90">
        <f t="shared" si="14"/>
        <v>0.31190000000000001</v>
      </c>
      <c r="AA90">
        <f t="shared" si="14"/>
        <v>0.30940000000000001</v>
      </c>
      <c r="AB90">
        <f t="shared" si="14"/>
        <v>0.27789999999999998</v>
      </c>
      <c r="AC90">
        <f t="shared" si="14"/>
        <v>0.2379</v>
      </c>
      <c r="AD90">
        <f t="shared" si="14"/>
        <v>0.20430000000000001</v>
      </c>
      <c r="AE90">
        <f t="shared" si="14"/>
        <v>0.18809999999999999</v>
      </c>
      <c r="AF90">
        <f t="shared" si="14"/>
        <v>0.1694</v>
      </c>
      <c r="AG90">
        <f t="shared" si="14"/>
        <v>0.15290000000000001</v>
      </c>
      <c r="AH90">
        <f t="shared" si="14"/>
        <v>0.15820000000000001</v>
      </c>
      <c r="AI90">
        <f t="shared" si="14"/>
        <v>0.15060000000000001</v>
      </c>
      <c r="AJ90">
        <f t="shared" si="14"/>
        <v>0.128</v>
      </c>
      <c r="AK90">
        <f t="shared" si="14"/>
        <v>0.1026</v>
      </c>
      <c r="AL90">
        <f t="shared" si="14"/>
        <v>9.3899999999999997E-2</v>
      </c>
      <c r="AM90">
        <f t="shared" si="14"/>
        <v>9.2299999999999993E-2</v>
      </c>
      <c r="AN90">
        <f t="shared" si="14"/>
        <v>0.1048</v>
      </c>
      <c r="AO90">
        <f t="shared" si="14"/>
        <v>0.1188</v>
      </c>
      <c r="AP90">
        <f t="shared" si="14"/>
        <v>0.16880000000000001</v>
      </c>
      <c r="AQ90">
        <f t="shared" si="14"/>
        <v>0.22140000000000001</v>
      </c>
      <c r="AR90">
        <f t="shared" si="14"/>
        <v>0.22259999999999999</v>
      </c>
      <c r="AS90">
        <f t="shared" si="14"/>
        <v>0.23080000000000001</v>
      </c>
      <c r="AT90">
        <f t="shared" si="14"/>
        <v>0.2114</v>
      </c>
      <c r="AU90">
        <f t="shared" si="14"/>
        <v>0.20319999999999999</v>
      </c>
      <c r="AV90">
        <f t="shared" si="14"/>
        <v>0.15290000000000001</v>
      </c>
      <c r="AW90">
        <f t="shared" si="14"/>
        <v>0.1113</v>
      </c>
      <c r="AX90">
        <f t="shared" si="14"/>
        <v>8.4500000000000006E-2</v>
      </c>
      <c r="AY90">
        <f t="shared" si="14"/>
        <v>9.5000000000000001E-2</v>
      </c>
      <c r="AZ90">
        <f t="shared" si="14"/>
        <v>9.3100000000000002E-2</v>
      </c>
      <c r="BA90">
        <f t="shared" si="14"/>
        <v>0.1007</v>
      </c>
      <c r="BB90">
        <f t="shared" si="14"/>
        <v>0.14960000000000001</v>
      </c>
      <c r="BC90">
        <f t="shared" si="14"/>
        <v>0.21579999999999999</v>
      </c>
      <c r="BD90">
        <f t="shared" si="14"/>
        <v>0.24790000000000001</v>
      </c>
      <c r="BE90">
        <f t="shared" si="14"/>
        <v>0.2611</v>
      </c>
      <c r="BF90">
        <f t="shared" si="14"/>
        <v>0.25659999999999999</v>
      </c>
      <c r="BG90">
        <f t="shared" si="14"/>
        <v>0.26889999999999997</v>
      </c>
      <c r="BH90">
        <f t="shared" si="14"/>
        <v>0.23930000000000001</v>
      </c>
      <c r="BI90">
        <f t="shared" si="14"/>
        <v>0.17460000000000001</v>
      </c>
      <c r="BJ90">
        <f t="shared" si="14"/>
        <v>0.14729999999999999</v>
      </c>
      <c r="BK90">
        <f t="shared" si="14"/>
        <v>0.13389999999999999</v>
      </c>
      <c r="BL90">
        <f t="shared" si="14"/>
        <v>0.13300000000000001</v>
      </c>
      <c r="BM90">
        <f t="shared" si="14"/>
        <v>0.13189999999999999</v>
      </c>
      <c r="BN90">
        <f t="shared" si="14"/>
        <v>0.15790000000000001</v>
      </c>
      <c r="BO90">
        <f t="shared" si="14"/>
        <v>0.2175</v>
      </c>
      <c r="BP90">
        <f t="shared" si="14"/>
        <v>0.25009999999999999</v>
      </c>
      <c r="BQ90">
        <f t="shared" ref="BQ90:CX90" si="15">BQ63</f>
        <v>0.23549999999999999</v>
      </c>
      <c r="BR90">
        <f t="shared" si="15"/>
        <v>0.2001</v>
      </c>
      <c r="BS90">
        <f t="shared" si="15"/>
        <v>0.1835</v>
      </c>
      <c r="BT90">
        <f t="shared" si="15"/>
        <v>0.15210000000000001</v>
      </c>
      <c r="BU90">
        <f t="shared" si="15"/>
        <v>0.10630000000000001</v>
      </c>
      <c r="BV90">
        <f t="shared" si="15"/>
        <v>0.10979999999999999</v>
      </c>
      <c r="BW90">
        <f t="shared" si="15"/>
        <v>0.1043</v>
      </c>
      <c r="BX90">
        <f t="shared" si="15"/>
        <v>0.13969999999999999</v>
      </c>
      <c r="BY90">
        <f t="shared" si="15"/>
        <v>0.17630000000000001</v>
      </c>
      <c r="BZ90">
        <f t="shared" si="15"/>
        <v>0.2752</v>
      </c>
      <c r="CA90">
        <f t="shared" si="15"/>
        <v>0.30909999999999999</v>
      </c>
      <c r="CB90">
        <f t="shared" si="15"/>
        <v>0.28420000000000001</v>
      </c>
      <c r="CC90">
        <f t="shared" si="15"/>
        <v>0.30049999999999999</v>
      </c>
      <c r="CD90">
        <f t="shared" si="15"/>
        <v>0.27750000000000002</v>
      </c>
      <c r="CE90">
        <f t="shared" si="15"/>
        <v>0.1166</v>
      </c>
      <c r="CF90">
        <f t="shared" si="15"/>
        <v>7.7600000000000002E-2</v>
      </c>
      <c r="CG90">
        <f t="shared" si="15"/>
        <v>8.9099999999999999E-2</v>
      </c>
      <c r="CH90">
        <f t="shared" si="15"/>
        <v>2.5999999999999999E-2</v>
      </c>
      <c r="CI90">
        <f t="shared" si="15"/>
        <v>6.6400000000000001E-2</v>
      </c>
      <c r="CJ90">
        <f t="shared" si="15"/>
        <v>7.0900000000000005E-2</v>
      </c>
      <c r="CK90">
        <f t="shared" si="15"/>
        <v>0.38769999999999999</v>
      </c>
      <c r="CL90">
        <f t="shared" si="15"/>
        <v>0.33639999999999998</v>
      </c>
      <c r="CM90">
        <f t="shared" si="15"/>
        <v>0.2387</v>
      </c>
      <c r="CN90">
        <f t="shared" si="15"/>
        <v>0.14030000000000001</v>
      </c>
      <c r="CO90">
        <f t="shared" si="15"/>
        <v>0.1273</v>
      </c>
      <c r="CP90">
        <f t="shared" si="15"/>
        <v>0.29930000000000001</v>
      </c>
      <c r="CQ90">
        <f t="shared" si="15"/>
        <v>0.43219999999999997</v>
      </c>
      <c r="CR90">
        <f t="shared" si="15"/>
        <v>0.37930000000000003</v>
      </c>
      <c r="CS90">
        <f t="shared" si="15"/>
        <v>0.34910000000000002</v>
      </c>
      <c r="CT90">
        <f t="shared" si="15"/>
        <v>0.17030000000000001</v>
      </c>
      <c r="CU90">
        <f t="shared" si="15"/>
        <v>-4.7899999999999998E-2</v>
      </c>
      <c r="CV90">
        <f t="shared" si="15"/>
        <v>0.214</v>
      </c>
      <c r="CW90">
        <f t="shared" si="15"/>
        <v>9.5500000000000002E-2</v>
      </c>
      <c r="CX90">
        <f t="shared" si="15"/>
        <v>5.7099999999999998E-2</v>
      </c>
    </row>
    <row r="91" spans="1:102" x14ac:dyDescent="0.2">
      <c r="A91" s="3" t="s">
        <v>203</v>
      </c>
      <c r="B91" t="s">
        <v>217</v>
      </c>
      <c r="C91" t="s">
        <v>221</v>
      </c>
      <c r="D91">
        <f>'2015_2020'!B2</f>
        <v>0.19</v>
      </c>
      <c r="E91">
        <f>'2015_2020'!C2</f>
        <v>0.48399999999999999</v>
      </c>
      <c r="F91">
        <f>'2015_2020'!D2</f>
        <v>0.70499999999999996</v>
      </c>
      <c r="G91">
        <f>'2015_2020'!E2</f>
        <v>0.88800000000000001</v>
      </c>
      <c r="H91">
        <f>'2015_2020'!F2</f>
        <v>0.997</v>
      </c>
      <c r="I91">
        <f>'2015_2020'!G2</f>
        <v>1.111</v>
      </c>
      <c r="J91">
        <f>'2015_2020'!H2</f>
        <v>1.1970000000000001</v>
      </c>
      <c r="K91">
        <f>'2015_2020'!I2</f>
        <v>1.292</v>
      </c>
      <c r="L91">
        <f>'2015_2020'!J2</f>
        <v>1.3879999999999999</v>
      </c>
      <c r="M91">
        <f>'2015_2020'!K2</f>
        <v>1.4219999999999999</v>
      </c>
      <c r="N91">
        <f>'2015_2020'!L2</f>
        <v>1.492</v>
      </c>
      <c r="O91">
        <f>'2015_2020'!M2</f>
        <v>1.575</v>
      </c>
      <c r="P91">
        <f>'2015_2020'!N2</f>
        <v>1.583</v>
      </c>
      <c r="Q91">
        <f>'2015_2020'!O2</f>
        <v>1.613</v>
      </c>
      <c r="R91">
        <f>'2015_2020'!P2</f>
        <v>1.647</v>
      </c>
      <c r="S91">
        <f>'2015_2020'!Q2</f>
        <v>1.6719999999999999</v>
      </c>
      <c r="T91">
        <f>'2015_2020'!R2</f>
        <v>1.704</v>
      </c>
      <c r="U91">
        <f>'2015_2020'!S2</f>
        <v>1.718</v>
      </c>
      <c r="V91">
        <f>'2015_2020'!T2</f>
        <v>1.744</v>
      </c>
      <c r="W91">
        <f>'2015_2020'!U2</f>
        <v>1.7509999999999999</v>
      </c>
      <c r="X91">
        <f>'2015_2020'!V2</f>
        <v>1.758</v>
      </c>
      <c r="Y91">
        <f>'2015_2020'!W2</f>
        <v>1.7949999999999999</v>
      </c>
      <c r="Z91">
        <f>'2015_2020'!X2</f>
        <v>1.802</v>
      </c>
      <c r="AA91">
        <f>'2015_2020'!Y2</f>
        <v>1.8009999999999999</v>
      </c>
      <c r="AB91">
        <f>'2015_2020'!Z2</f>
        <v>1.806</v>
      </c>
      <c r="AC91">
        <f>'2015_2020'!AA2</f>
        <v>1.8109999999999999</v>
      </c>
      <c r="AD91">
        <f>'2015_2020'!AB2</f>
        <v>1.839</v>
      </c>
      <c r="AE91">
        <f>'2015_2020'!AC2</f>
        <v>1.8440000000000001</v>
      </c>
      <c r="AF91">
        <f>'2015_2020'!AD2</f>
        <v>1.8520000000000001</v>
      </c>
      <c r="AG91">
        <f>'2015_2020'!AE2</f>
        <v>1.86</v>
      </c>
      <c r="AH91">
        <f>'2015_2020'!AF2</f>
        <v>1.881</v>
      </c>
      <c r="AI91">
        <f>'2015_2020'!AG2</f>
        <v>1.889</v>
      </c>
      <c r="AJ91">
        <f>'2015_2020'!AH2</f>
        <v>1.895</v>
      </c>
      <c r="AK91">
        <f>'2015_2020'!AI2</f>
        <v>1.9119999999999999</v>
      </c>
      <c r="AL91">
        <f>'2015_2020'!AJ2</f>
        <v>1.95</v>
      </c>
      <c r="AM91">
        <f>'2015_2020'!AK2</f>
        <v>1.9690000000000001</v>
      </c>
      <c r="AN91">
        <f>'2015_2020'!AL2</f>
        <v>1.9810000000000001</v>
      </c>
      <c r="AO91">
        <f>'2015_2020'!AM2</f>
        <v>1.9830000000000001</v>
      </c>
      <c r="AP91">
        <f>'2015_2020'!AN2</f>
        <v>1.9890000000000001</v>
      </c>
      <c r="AQ91">
        <f>'2015_2020'!AO2</f>
        <v>2.008</v>
      </c>
      <c r="AR91">
        <f>'2015_2020'!AP2</f>
        <v>2.028</v>
      </c>
      <c r="AS91">
        <f>'2015_2020'!AQ2</f>
        <v>2.0470000000000002</v>
      </c>
      <c r="AT91">
        <f>'2015_2020'!AR2</f>
        <v>2.0649999999999999</v>
      </c>
      <c r="AU91">
        <f>'2015_2020'!AS2</f>
        <v>2.089</v>
      </c>
      <c r="AV91">
        <f>'2015_2020'!AT2</f>
        <v>2.0950000000000002</v>
      </c>
      <c r="AW91">
        <f>'2015_2020'!AU2</f>
        <v>2.1139999999999999</v>
      </c>
      <c r="AX91">
        <f>'2015_2020'!AV2</f>
        <v>2.1160000000000001</v>
      </c>
      <c r="AY91">
        <f>'2015_2020'!AW2</f>
        <v>2.137</v>
      </c>
      <c r="AZ91">
        <f>'2015_2020'!AX2</f>
        <v>2.1469999999999998</v>
      </c>
      <c r="BA91">
        <f>'2015_2020'!AY2</f>
        <v>2.1760000000000002</v>
      </c>
      <c r="BB91">
        <f>'2015_2020'!AZ2</f>
        <v>2.2029999999999998</v>
      </c>
      <c r="BC91">
        <f>'2015_2020'!BA2</f>
        <v>2.2170000000000001</v>
      </c>
      <c r="BD91">
        <f>'2015_2020'!BB2</f>
        <v>2.2090000000000001</v>
      </c>
      <c r="BE91">
        <f>'2015_2020'!BC2</f>
        <v>2.2290000000000001</v>
      </c>
      <c r="BF91">
        <f>'2015_2020'!BD2</f>
        <v>2.2679999999999998</v>
      </c>
      <c r="BG91">
        <f>'2015_2020'!BE2</f>
        <v>2.2719999999999998</v>
      </c>
      <c r="BH91">
        <f>'2015_2020'!BF2</f>
        <v>2.2919999999999998</v>
      </c>
      <c r="BI91">
        <f>'2015_2020'!BG2</f>
        <v>2.3109999999999999</v>
      </c>
      <c r="BJ91">
        <f>'2015_2020'!BH2</f>
        <v>2.3180000000000001</v>
      </c>
      <c r="BK91">
        <f>'2015_2020'!BI2</f>
        <v>2.3490000000000002</v>
      </c>
      <c r="BL91">
        <f>'2015_2020'!BJ2</f>
        <v>2.39</v>
      </c>
      <c r="BM91">
        <f>'2015_2020'!BK2</f>
        <v>2.4</v>
      </c>
      <c r="BN91">
        <f>'2015_2020'!BL2</f>
        <v>2.4020000000000001</v>
      </c>
      <c r="BO91">
        <f>'2015_2020'!BM2</f>
        <v>2.4359999999999999</v>
      </c>
      <c r="BP91">
        <f>'2015_2020'!BN2</f>
        <v>2.4929999999999999</v>
      </c>
      <c r="BQ91">
        <f>'2015_2020'!BO2</f>
        <v>2.504</v>
      </c>
      <c r="BR91">
        <f>'2015_2020'!BP2</f>
        <v>2.496</v>
      </c>
      <c r="BS91">
        <f>'2015_2020'!BQ2</f>
        <v>2.5</v>
      </c>
      <c r="BT91">
        <f>'2015_2020'!BR2</f>
        <v>2.5030000000000001</v>
      </c>
      <c r="BU91">
        <f>'2015_2020'!BS2</f>
        <v>2.5379999999999998</v>
      </c>
      <c r="BV91">
        <f>'2015_2020'!BT2</f>
        <v>2.5840000000000001</v>
      </c>
      <c r="BW91">
        <f>'2015_2020'!BU2</f>
        <v>2.621</v>
      </c>
      <c r="BX91">
        <f>'2015_2020'!BV2</f>
        <v>2.6389999999999998</v>
      </c>
      <c r="BY91">
        <f>'2015_2020'!BW2</f>
        <v>2.6789999999999998</v>
      </c>
      <c r="BZ91">
        <f>'2015_2020'!BX2</f>
        <v>2.7170000000000001</v>
      </c>
      <c r="CA91">
        <f>'2015_2020'!BY2</f>
        <v>2.7210000000000001</v>
      </c>
      <c r="CB91">
        <f>'2015_2020'!BZ2</f>
        <v>2.7759999999999998</v>
      </c>
      <c r="CC91">
        <f>'2015_2020'!CA2</f>
        <v>2.8039999999999998</v>
      </c>
      <c r="CD91">
        <f>'2015_2020'!CB2</f>
        <v>2.8290000000000002</v>
      </c>
      <c r="CE91">
        <f>'2015_2020'!CC2</f>
        <v>2.8959999999999999</v>
      </c>
      <c r="CF91">
        <f>'2015_2020'!CD2</f>
        <v>2.899</v>
      </c>
      <c r="CG91">
        <f>'2015_2020'!CE2</f>
        <v>2.91</v>
      </c>
      <c r="CH91">
        <f>'2015_2020'!CF2</f>
        <v>2.9649999999999999</v>
      </c>
      <c r="CI91">
        <f>'2015_2020'!CG2</f>
        <v>3.012</v>
      </c>
      <c r="CJ91">
        <f>'2015_2020'!CH2</f>
        <v>3.0640000000000001</v>
      </c>
      <c r="CK91">
        <f>'2015_2020'!CI2</f>
        <v>3.1339999999999999</v>
      </c>
      <c r="CL91">
        <f>'2015_2020'!CJ2</f>
        <v>3.2040000000000002</v>
      </c>
      <c r="CM91">
        <f>'2015_2020'!CK2</f>
        <v>3.198</v>
      </c>
      <c r="CN91">
        <f>'2015_2020'!CL2</f>
        <v>3.2719999999999998</v>
      </c>
      <c r="CO91">
        <f>'2015_2020'!CM2</f>
        <v>3.335</v>
      </c>
      <c r="CP91">
        <f>'2015_2020'!CN2</f>
        <v>3.4140000000000001</v>
      </c>
      <c r="CQ91">
        <f>'2015_2020'!CO2</f>
        <v>3.44</v>
      </c>
      <c r="CR91">
        <f>'2015_2020'!CP2</f>
        <v>3.5590000000000002</v>
      </c>
      <c r="CS91">
        <f>'2015_2020'!CQ2</f>
        <v>3.6520000000000001</v>
      </c>
      <c r="CT91">
        <f>'2015_2020'!CR2</f>
        <v>3.76</v>
      </c>
      <c r="CU91">
        <f>'2015_2020'!CS2</f>
        <v>3.887</v>
      </c>
      <c r="CV91">
        <f>'2015_2020'!CT2</f>
        <v>4.1040000000000001</v>
      </c>
      <c r="CW91">
        <f>'2015_2020'!CU2</f>
        <v>4.2880000000000003</v>
      </c>
      <c r="CX91">
        <f>'2015_2020'!CV2</f>
        <v>4.609</v>
      </c>
    </row>
    <row r="92" spans="1:102" x14ac:dyDescent="0.2">
      <c r="A92" t="s">
        <v>204</v>
      </c>
      <c r="B92" t="s">
        <v>217</v>
      </c>
      <c r="C92" t="s">
        <v>221</v>
      </c>
      <c r="D92">
        <f>'2015_2020'!B3</f>
        <v>0.19900000000000001</v>
      </c>
      <c r="E92">
        <f>'2015_2020'!C3</f>
        <v>0.54900000000000004</v>
      </c>
      <c r="F92">
        <f>'2015_2020'!D3</f>
        <v>0.80400000000000005</v>
      </c>
      <c r="G92">
        <f>'2015_2020'!E3</f>
        <v>0.96</v>
      </c>
      <c r="H92">
        <f>'2015_2020'!F3</f>
        <v>1.1299999999999999</v>
      </c>
      <c r="I92">
        <f>'2015_2020'!G3</f>
        <v>1.1879999999999999</v>
      </c>
      <c r="J92">
        <f>'2015_2020'!H3</f>
        <v>1.3149999999999999</v>
      </c>
      <c r="K92">
        <f>'2015_2020'!I3</f>
        <v>1.3660000000000001</v>
      </c>
      <c r="L92">
        <f>'2015_2020'!J3</f>
        <v>1.4379999999999999</v>
      </c>
      <c r="M92">
        <f>'2015_2020'!K3</f>
        <v>1.5069999999999999</v>
      </c>
      <c r="N92">
        <f>'2015_2020'!L3</f>
        <v>1.5469999999999999</v>
      </c>
      <c r="O92">
        <f>'2015_2020'!M3</f>
        <v>1.5940000000000001</v>
      </c>
      <c r="P92">
        <f>'2015_2020'!N3</f>
        <v>1.6220000000000001</v>
      </c>
      <c r="Q92">
        <f>'2015_2020'!O3</f>
        <v>1.6379999999999999</v>
      </c>
      <c r="R92">
        <f>'2015_2020'!P3</f>
        <v>1.647</v>
      </c>
      <c r="S92">
        <f>'2015_2020'!Q3</f>
        <v>1.6679999999999999</v>
      </c>
      <c r="T92">
        <f>'2015_2020'!R3</f>
        <v>1.694</v>
      </c>
      <c r="U92">
        <f>'2015_2020'!S3</f>
        <v>1.7090000000000001</v>
      </c>
      <c r="V92">
        <f>'2015_2020'!T3</f>
        <v>1.7190000000000001</v>
      </c>
      <c r="W92">
        <f>'2015_2020'!U3</f>
        <v>1.73</v>
      </c>
      <c r="X92">
        <f>'2015_2020'!V3</f>
        <v>1.752</v>
      </c>
      <c r="Y92">
        <f>'2015_2020'!W3</f>
        <v>1.77</v>
      </c>
      <c r="Z92">
        <f>'2015_2020'!X3</f>
        <v>1.7949999999999999</v>
      </c>
      <c r="AA92">
        <f>'2015_2020'!Y3</f>
        <v>1.8069999999999999</v>
      </c>
      <c r="AB92">
        <f>'2015_2020'!Z3</f>
        <v>1.8069999999999999</v>
      </c>
      <c r="AC92">
        <f>'2015_2020'!AA3</f>
        <v>1.8180000000000001</v>
      </c>
      <c r="AD92">
        <f>'2015_2020'!AB3</f>
        <v>1.823</v>
      </c>
      <c r="AE92">
        <f>'2015_2020'!AC3</f>
        <v>1.827</v>
      </c>
      <c r="AF92">
        <f>'2015_2020'!AD3</f>
        <v>1.8380000000000001</v>
      </c>
      <c r="AG92">
        <f>'2015_2020'!AE3</f>
        <v>1.8520000000000001</v>
      </c>
      <c r="AH92">
        <f>'2015_2020'!AF3</f>
        <v>1.8620000000000001</v>
      </c>
      <c r="AI92">
        <f>'2015_2020'!AG3</f>
        <v>1.877</v>
      </c>
      <c r="AJ92">
        <f>'2015_2020'!AH3</f>
        <v>1.903</v>
      </c>
      <c r="AK92">
        <f>'2015_2020'!AI3</f>
        <v>1.9239999999999999</v>
      </c>
      <c r="AL92">
        <f>'2015_2020'!AJ3</f>
        <v>1.9370000000000001</v>
      </c>
      <c r="AM92">
        <f>'2015_2020'!AK3</f>
        <v>1.952</v>
      </c>
      <c r="AN92">
        <f>'2015_2020'!AL3</f>
        <v>1.96</v>
      </c>
      <c r="AO92">
        <f>'2015_2020'!AM3</f>
        <v>1.9750000000000001</v>
      </c>
      <c r="AP92">
        <f>'2015_2020'!AN3</f>
        <v>2.0059999999999998</v>
      </c>
      <c r="AQ92">
        <f>'2015_2020'!AO3</f>
        <v>2.0369999999999999</v>
      </c>
      <c r="AR92">
        <f>'2015_2020'!AP3</f>
        <v>2.0409999999999999</v>
      </c>
      <c r="AS92">
        <f>'2015_2020'!AQ3</f>
        <v>2.048</v>
      </c>
      <c r="AT92">
        <f>'2015_2020'!AR3</f>
        <v>2.0579999999999998</v>
      </c>
      <c r="AU92">
        <f>'2015_2020'!AS3</f>
        <v>2.0720000000000001</v>
      </c>
      <c r="AV92">
        <f>'2015_2020'!AT3</f>
        <v>2.0699999999999998</v>
      </c>
      <c r="AW92">
        <f>'2015_2020'!AU3</f>
        <v>2.097</v>
      </c>
      <c r="AX92">
        <f>'2015_2020'!AV3</f>
        <v>2.121</v>
      </c>
      <c r="AY92">
        <f>'2015_2020'!AW3</f>
        <v>2.1339999999999999</v>
      </c>
      <c r="AZ92">
        <f>'2015_2020'!AX3</f>
        <v>2.1469999999999998</v>
      </c>
      <c r="BA92">
        <f>'2015_2020'!AY3</f>
        <v>2.1629999999999998</v>
      </c>
      <c r="BB92">
        <f>'2015_2020'!AZ3</f>
        <v>2.1970000000000001</v>
      </c>
      <c r="BC92">
        <f>'2015_2020'!BA3</f>
        <v>2.222</v>
      </c>
      <c r="BD92">
        <f>'2015_2020'!BB3</f>
        <v>2.2269999999999999</v>
      </c>
      <c r="BE92">
        <f>'2015_2020'!BC3</f>
        <v>2.2469999999999999</v>
      </c>
      <c r="BF92">
        <f>'2015_2020'!BD3</f>
        <v>2.2450000000000001</v>
      </c>
      <c r="BG92">
        <f>'2015_2020'!BE3</f>
        <v>2.2719999999999998</v>
      </c>
      <c r="BH92">
        <f>'2015_2020'!BF3</f>
        <v>2.2890000000000001</v>
      </c>
      <c r="BI92">
        <f>'2015_2020'!BG3</f>
        <v>2.3130000000000002</v>
      </c>
      <c r="BJ92">
        <f>'2015_2020'!BH3</f>
        <v>2.3290000000000002</v>
      </c>
      <c r="BK92">
        <f>'2015_2020'!BI3</f>
        <v>2.35</v>
      </c>
      <c r="BL92">
        <f>'2015_2020'!BJ3</f>
        <v>2.3610000000000002</v>
      </c>
      <c r="BM92">
        <f>'2015_2020'!BK3</f>
        <v>2.3879999999999999</v>
      </c>
      <c r="BN92">
        <f>'2015_2020'!BL3</f>
        <v>2.41</v>
      </c>
      <c r="BO92">
        <f>'2015_2020'!BM3</f>
        <v>2.4409999999999998</v>
      </c>
      <c r="BP92">
        <f>'2015_2020'!BN3</f>
        <v>2.4500000000000002</v>
      </c>
      <c r="BQ92">
        <f>'2015_2020'!BO3</f>
        <v>2.472</v>
      </c>
      <c r="BR92">
        <f>'2015_2020'!BP3</f>
        <v>2.476</v>
      </c>
      <c r="BS92">
        <f>'2015_2020'!BQ3</f>
        <v>2.5110000000000001</v>
      </c>
      <c r="BT92">
        <f>'2015_2020'!BR3</f>
        <v>2.5310000000000001</v>
      </c>
      <c r="BU92">
        <f>'2015_2020'!BS3</f>
        <v>2.5529999999999999</v>
      </c>
      <c r="BV92">
        <f>'2015_2020'!BT3</f>
        <v>2.577</v>
      </c>
      <c r="BW92">
        <f>'2015_2020'!BU3</f>
        <v>2.6070000000000002</v>
      </c>
      <c r="BX92">
        <f>'2015_2020'!BV3</f>
        <v>2.6360000000000001</v>
      </c>
      <c r="BY92">
        <f>'2015_2020'!BW3</f>
        <v>2.657</v>
      </c>
      <c r="BZ92">
        <f>'2015_2020'!BX3</f>
        <v>2.71</v>
      </c>
      <c r="CA92">
        <f>'2015_2020'!BY3</f>
        <v>2.7410000000000001</v>
      </c>
      <c r="CB92">
        <f>'2015_2020'!BZ3</f>
        <v>2.7519999999999998</v>
      </c>
      <c r="CC92">
        <f>'2015_2020'!CA3</f>
        <v>2.7789999999999999</v>
      </c>
      <c r="CD92">
        <f>'2015_2020'!CB3</f>
        <v>2.7829999999999999</v>
      </c>
      <c r="CE92">
        <f>'2015_2020'!CC3</f>
        <v>2.84</v>
      </c>
      <c r="CF92">
        <f>'2015_2020'!CD3</f>
        <v>2.879</v>
      </c>
      <c r="CG92">
        <f>'2015_2020'!CE3</f>
        <v>2.9359999999999999</v>
      </c>
      <c r="CH92">
        <f>'2015_2020'!CF3</f>
        <v>2.9710000000000001</v>
      </c>
      <c r="CI92">
        <f>'2015_2020'!CG3</f>
        <v>3.0030000000000001</v>
      </c>
      <c r="CJ92">
        <f>'2015_2020'!CH3</f>
        <v>3.0510000000000002</v>
      </c>
      <c r="CK92">
        <f>'2015_2020'!CI3</f>
        <v>3.1179999999999999</v>
      </c>
      <c r="CL92">
        <f>'2015_2020'!CJ3</f>
        <v>3.1560000000000001</v>
      </c>
      <c r="CM92">
        <f>'2015_2020'!CK3</f>
        <v>3.1930000000000001</v>
      </c>
      <c r="CN92">
        <f>'2015_2020'!CL3</f>
        <v>3.27</v>
      </c>
      <c r="CO92">
        <f>'2015_2020'!CM3</f>
        <v>3.3290000000000002</v>
      </c>
      <c r="CP92">
        <f>'2015_2020'!CN3</f>
        <v>3.427</v>
      </c>
      <c r="CQ92">
        <f>'2015_2020'!CO3</f>
        <v>3.4489999999999998</v>
      </c>
      <c r="CR92">
        <f>'2015_2020'!CP3</f>
        <v>3.5630000000000002</v>
      </c>
      <c r="CS92">
        <f>'2015_2020'!CQ3</f>
        <v>3.66</v>
      </c>
      <c r="CT92">
        <f>'2015_2020'!CR3</f>
        <v>3.7480000000000002</v>
      </c>
      <c r="CU92">
        <f>'2015_2020'!CS3</f>
        <v>3.8969999999999998</v>
      </c>
      <c r="CV92">
        <f>'2015_2020'!CT3</f>
        <v>4.0730000000000004</v>
      </c>
      <c r="CW92">
        <f>'2015_2020'!CU3</f>
        <v>4.2949999999999999</v>
      </c>
      <c r="CX92">
        <f>'2015_2020'!CV3</f>
        <v>4.6260000000000003</v>
      </c>
    </row>
    <row r="93" spans="1:102" x14ac:dyDescent="0.2">
      <c r="A93" t="s">
        <v>205</v>
      </c>
      <c r="B93" t="s">
        <v>217</v>
      </c>
      <c r="C93" t="s">
        <v>221</v>
      </c>
      <c r="D93">
        <f>'2015_2020'!B4</f>
        <v>-9.3200000000000002E-3</v>
      </c>
      <c r="E93">
        <f>'2015_2020'!C4</f>
        <v>-6.4600000000000005E-2</v>
      </c>
      <c r="F93">
        <f>'2015_2020'!D4</f>
        <v>-9.9500000000000005E-2</v>
      </c>
      <c r="G93">
        <f>'2015_2020'!E4</f>
        <v>-7.2300000000000003E-2</v>
      </c>
      <c r="H93">
        <f>'2015_2020'!F4</f>
        <v>-0.13300000000000001</v>
      </c>
      <c r="I93">
        <f>'2015_2020'!G4</f>
        <v>-7.6799999999999993E-2</v>
      </c>
      <c r="J93">
        <f>'2015_2020'!H4</f>
        <v>-0.11799999999999999</v>
      </c>
      <c r="K93">
        <f>'2015_2020'!I4</f>
        <v>-7.3999999999999996E-2</v>
      </c>
      <c r="L93">
        <f>'2015_2020'!J4</f>
        <v>-5.04E-2</v>
      </c>
      <c r="M93">
        <f>'2015_2020'!K4</f>
        <v>-8.5300000000000001E-2</v>
      </c>
      <c r="N93">
        <f>'2015_2020'!L4</f>
        <v>-5.45E-2</v>
      </c>
      <c r="O93">
        <f>'2015_2020'!M4</f>
        <v>-1.8800000000000001E-2</v>
      </c>
      <c r="P93">
        <f>'2015_2020'!N4</f>
        <v>-3.8800000000000001E-2</v>
      </c>
      <c r="Q93">
        <f>'2015_2020'!O4</f>
        <v>-2.4199999999999999E-2</v>
      </c>
      <c r="R93">
        <f>'2015_2020'!P4</f>
        <v>-8.25E-4</v>
      </c>
      <c r="S93">
        <f>'2015_2020'!Q4</f>
        <v>3.2100000000000002E-3</v>
      </c>
      <c r="T93">
        <f>'2015_2020'!R4</f>
        <v>9.7199999999999995E-3</v>
      </c>
      <c r="U93">
        <f>'2015_2020'!S4</f>
        <v>8.7200000000000003E-3</v>
      </c>
      <c r="V93">
        <f>'2015_2020'!T4</f>
        <v>2.5100000000000001E-2</v>
      </c>
      <c r="W93">
        <f>'2015_2020'!U4</f>
        <v>2.1499999999999998E-2</v>
      </c>
      <c r="X93">
        <f>'2015_2020'!V4</f>
        <v>6.7099999999999998E-3</v>
      </c>
      <c r="Y93">
        <f>'2015_2020'!W4</f>
        <v>2.5399999999999999E-2</v>
      </c>
      <c r="Z93">
        <f>'2015_2020'!X4</f>
        <v>7.4999999999999997E-3</v>
      </c>
      <c r="AA93">
        <f>'2015_2020'!Y4</f>
        <v>-5.2100000000000002E-3</v>
      </c>
      <c r="AB93">
        <f>'2015_2020'!Z4</f>
        <v>-8.4699999999999999E-4</v>
      </c>
      <c r="AC93">
        <f>'2015_2020'!AA4</f>
        <v>-6.6600000000000001E-3</v>
      </c>
      <c r="AD93">
        <f>'2015_2020'!AB4</f>
        <v>1.6299999999999999E-2</v>
      </c>
      <c r="AE93">
        <f>'2015_2020'!AC4</f>
        <v>1.6799999999999999E-2</v>
      </c>
      <c r="AF93">
        <f>'2015_2020'!AD4</f>
        <v>1.4E-2</v>
      </c>
      <c r="AG93">
        <f>'2015_2020'!AE4</f>
        <v>7.3200000000000001E-3</v>
      </c>
      <c r="AH93">
        <f>'2015_2020'!AF4</f>
        <v>1.9099999999999999E-2</v>
      </c>
      <c r="AI93">
        <f>'2015_2020'!AG4</f>
        <v>1.1900000000000001E-2</v>
      </c>
      <c r="AJ93">
        <f>'2015_2020'!AH4</f>
        <v>-8.09E-3</v>
      </c>
      <c r="AK93">
        <f>'2015_2020'!AI4</f>
        <v>-1.21E-2</v>
      </c>
      <c r="AL93">
        <f>'2015_2020'!AJ4</f>
        <v>1.26E-2</v>
      </c>
      <c r="AM93">
        <f>'2015_2020'!AK4</f>
        <v>1.7100000000000001E-2</v>
      </c>
      <c r="AN93">
        <f>'2015_2020'!AL4</f>
        <v>2.1299999999999999E-2</v>
      </c>
      <c r="AO93">
        <f>'2015_2020'!AM4</f>
        <v>8.6E-3</v>
      </c>
      <c r="AP93">
        <f>'2015_2020'!AN4</f>
        <v>-1.67E-2</v>
      </c>
      <c r="AQ93">
        <f>'2015_2020'!AO4</f>
        <v>-2.8199999999999999E-2</v>
      </c>
      <c r="AR93">
        <f>'2015_2020'!AP4</f>
        <v>-1.23E-2</v>
      </c>
      <c r="AS93">
        <f>'2015_2020'!AQ4</f>
        <v>-1.1299999999999999E-3</v>
      </c>
      <c r="AT93">
        <f>'2015_2020'!AR4</f>
        <v>7.0200000000000002E-3</v>
      </c>
      <c r="AU93">
        <f>'2015_2020'!AS4</f>
        <v>1.6500000000000001E-2</v>
      </c>
      <c r="AV93">
        <f>'2015_2020'!AT4</f>
        <v>2.4799999999999999E-2</v>
      </c>
      <c r="AW93">
        <f>'2015_2020'!AU4</f>
        <v>1.77E-2</v>
      </c>
      <c r="AX93">
        <f>'2015_2020'!AV4</f>
        <v>-4.9899999999999996E-3</v>
      </c>
      <c r="AY93">
        <f>'2015_2020'!AW4</f>
        <v>2.31E-3</v>
      </c>
      <c r="AZ93">
        <f>'2015_2020'!AX4</f>
        <v>7.4100000000000001E-4</v>
      </c>
      <c r="BA93">
        <f>'2015_2020'!AY4</f>
        <v>1.2699999999999999E-2</v>
      </c>
      <c r="BB93">
        <f>'2015_2020'!AZ4</f>
        <v>5.8199999999999997E-3</v>
      </c>
      <c r="BC93">
        <f>'2015_2020'!BA4</f>
        <v>-5.3800000000000002E-3</v>
      </c>
      <c r="BD93">
        <f>'2015_2020'!BB4</f>
        <v>-1.7999999999999999E-2</v>
      </c>
      <c r="BE93">
        <f>'2015_2020'!BC4</f>
        <v>-1.7999999999999999E-2</v>
      </c>
      <c r="BF93">
        <f>'2015_2020'!BD4</f>
        <v>2.3400000000000001E-2</v>
      </c>
      <c r="BG93">
        <f>'2015_2020'!BE4</f>
        <v>3.3300000000000002E-4</v>
      </c>
      <c r="BH93">
        <f>'2015_2020'!BF4</f>
        <v>3.2399999999999998E-3</v>
      </c>
      <c r="BI93">
        <f>'2015_2020'!BG4</f>
        <v>-2.33E-3</v>
      </c>
      <c r="BJ93">
        <f>'2015_2020'!BH4</f>
        <v>-1.0200000000000001E-2</v>
      </c>
      <c r="BK93">
        <f>'2015_2020'!BI4</f>
        <v>-1.39E-3</v>
      </c>
      <c r="BL93">
        <f>'2015_2020'!BJ4</f>
        <v>2.8299999999999999E-2</v>
      </c>
      <c r="BM93">
        <f>'2015_2020'!BK4</f>
        <v>1.2800000000000001E-2</v>
      </c>
      <c r="BN93">
        <f>'2015_2020'!BL4</f>
        <v>-8.3000000000000001E-3</v>
      </c>
      <c r="BO93">
        <f>'2015_2020'!BM4</f>
        <v>-4.1000000000000003E-3</v>
      </c>
      <c r="BP93">
        <f>'2015_2020'!BN4</f>
        <v>4.2500000000000003E-2</v>
      </c>
      <c r="BQ93">
        <f>'2015_2020'!BO4</f>
        <v>3.2199999999999999E-2</v>
      </c>
      <c r="BR93">
        <f>'2015_2020'!BP4</f>
        <v>1.9099999999999999E-2</v>
      </c>
      <c r="BS93">
        <f>'2015_2020'!BQ4</f>
        <v>-1.09E-2</v>
      </c>
      <c r="BT93">
        <f>'2015_2020'!BR4</f>
        <v>-2.8199999999999999E-2</v>
      </c>
      <c r="BU93">
        <f>'2015_2020'!BS4</f>
        <v>-1.47E-2</v>
      </c>
      <c r="BV93">
        <f>'2015_2020'!BT4</f>
        <v>6.2500000000000003E-3</v>
      </c>
      <c r="BW93">
        <f>'2015_2020'!BU4</f>
        <v>1.41E-2</v>
      </c>
      <c r="BX93">
        <f>'2015_2020'!BV4</f>
        <v>2.64E-3</v>
      </c>
      <c r="BY93">
        <f>'2015_2020'!BW4</f>
        <v>2.2499999999999999E-2</v>
      </c>
      <c r="BZ93">
        <f>'2015_2020'!BX4</f>
        <v>7.6800000000000002E-3</v>
      </c>
      <c r="CA93">
        <f>'2015_2020'!BY4</f>
        <v>-2.01E-2</v>
      </c>
      <c r="CB93">
        <f>'2015_2020'!BZ4</f>
        <v>2.4199999999999999E-2</v>
      </c>
      <c r="CC93">
        <f>'2015_2020'!CA4</f>
        <v>2.52E-2</v>
      </c>
      <c r="CD93">
        <f>'2015_2020'!CB4</f>
        <v>4.5900000000000003E-2</v>
      </c>
      <c r="CE93">
        <f>'2015_2020'!CC4</f>
        <v>5.5599999999999997E-2</v>
      </c>
      <c r="CF93">
        <f>'2015_2020'!CD4</f>
        <v>0.02</v>
      </c>
      <c r="CG93">
        <f>'2015_2020'!CE4</f>
        <v>-2.5600000000000001E-2</v>
      </c>
      <c r="CH93">
        <f>'2015_2020'!CF4</f>
        <v>-6.2599999999999999E-3</v>
      </c>
      <c r="CI93">
        <f>'2015_2020'!CG4</f>
        <v>9.5999999999999992E-3</v>
      </c>
      <c r="CJ93">
        <f>'2015_2020'!CH4</f>
        <v>1.26E-2</v>
      </c>
      <c r="CK93">
        <f>'2015_2020'!CI4</f>
        <v>1.55E-2</v>
      </c>
      <c r="CL93">
        <f>'2015_2020'!CJ4</f>
        <v>4.7500000000000001E-2</v>
      </c>
      <c r="CM93">
        <f>'2015_2020'!CK4</f>
        <v>5.4900000000000001E-3</v>
      </c>
      <c r="CN93">
        <f>'2015_2020'!CL4</f>
        <v>1.5E-3</v>
      </c>
      <c r="CO93">
        <f>'2015_2020'!CM4</f>
        <v>6.5500000000000003E-3</v>
      </c>
      <c r="CP93">
        <f>'2015_2020'!CN4</f>
        <v>-1.32E-2</v>
      </c>
      <c r="CQ93">
        <f>'2015_2020'!CO4</f>
        <v>-8.5900000000000004E-3</v>
      </c>
      <c r="CR93">
        <f>'2015_2020'!CP4</f>
        <v>-4.0800000000000003E-3</v>
      </c>
      <c r="CS93">
        <f>'2015_2020'!CQ4</f>
        <v>-8.2799999999999992E-3</v>
      </c>
      <c r="CT93">
        <f>'2015_2020'!CR4</f>
        <v>1.23E-2</v>
      </c>
      <c r="CU93">
        <f>'2015_2020'!CS4</f>
        <v>-9.8600000000000007E-3</v>
      </c>
      <c r="CV93">
        <f>'2015_2020'!CT4</f>
        <v>3.09E-2</v>
      </c>
      <c r="CW93">
        <f>'2015_2020'!CU4</f>
        <v>-6.3600000000000002E-3</v>
      </c>
      <c r="CX93">
        <f>'2015_2020'!CV4</f>
        <v>-1.7600000000000001E-2</v>
      </c>
    </row>
    <row r="94" spans="1:102" x14ac:dyDescent="0.2">
      <c r="A94" t="s">
        <v>206</v>
      </c>
      <c r="B94" t="s">
        <v>217</v>
      </c>
      <c r="C94" t="s">
        <v>221</v>
      </c>
      <c r="D94">
        <f>'2015_2020'!B5</f>
        <v>4.1799999999999997E-2</v>
      </c>
      <c r="E94">
        <f>'2015_2020'!C5</f>
        <v>4.9799999999999997E-2</v>
      </c>
      <c r="F94">
        <f>'2015_2020'!D5</f>
        <v>3.9100000000000003E-2</v>
      </c>
      <c r="G94">
        <f>'2015_2020'!E5</f>
        <v>3.73E-2</v>
      </c>
      <c r="H94">
        <f>'2015_2020'!F5</f>
        <v>2.98E-2</v>
      </c>
      <c r="I94">
        <f>'2015_2020'!G5</f>
        <v>3.3300000000000003E-2</v>
      </c>
      <c r="J94">
        <f>'2015_2020'!H5</f>
        <v>2.75E-2</v>
      </c>
      <c r="K94">
        <f>'2015_2020'!I5</f>
        <v>2.5999999999999999E-2</v>
      </c>
      <c r="L94">
        <f>'2015_2020'!J5</f>
        <v>2.6200000000000001E-2</v>
      </c>
      <c r="M94">
        <f>'2015_2020'!K5</f>
        <v>2.12E-2</v>
      </c>
      <c r="N94">
        <f>'2015_2020'!L5</f>
        <v>1.89E-2</v>
      </c>
      <c r="O94">
        <f>'2015_2020'!M5</f>
        <v>1.6199999999999999E-2</v>
      </c>
      <c r="P94">
        <f>'2015_2020'!N5</f>
        <v>1.6E-2</v>
      </c>
      <c r="Q94">
        <f>'2015_2020'!O5</f>
        <v>1.6299999999999999E-2</v>
      </c>
      <c r="R94">
        <f>'2015_2020'!P5</f>
        <v>1.7899999999999999E-2</v>
      </c>
      <c r="S94">
        <f>'2015_2020'!Q5</f>
        <v>1.78E-2</v>
      </c>
      <c r="T94">
        <f>'2015_2020'!R5</f>
        <v>1.8100000000000002E-2</v>
      </c>
      <c r="U94">
        <f>'2015_2020'!S5</f>
        <v>1.9400000000000001E-2</v>
      </c>
      <c r="V94">
        <f>'2015_2020'!T5</f>
        <v>2.12E-2</v>
      </c>
      <c r="W94">
        <f>'2015_2020'!U5</f>
        <v>2.2599999999999999E-2</v>
      </c>
      <c r="X94">
        <f>'2015_2020'!V5</f>
        <v>2.3199999999999998E-2</v>
      </c>
      <c r="Y94">
        <f>'2015_2020'!W5</f>
        <v>2.35E-2</v>
      </c>
      <c r="Z94">
        <f>'2015_2020'!X5</f>
        <v>2.3599999999999999E-2</v>
      </c>
      <c r="AA94">
        <f>'2015_2020'!Y5</f>
        <v>2.46E-2</v>
      </c>
      <c r="AB94">
        <f>'2015_2020'!Z5</f>
        <v>2.64E-2</v>
      </c>
      <c r="AC94">
        <f>'2015_2020'!AA5</f>
        <v>2.76E-2</v>
      </c>
      <c r="AD94">
        <f>'2015_2020'!AB5</f>
        <v>2.8199999999999999E-2</v>
      </c>
      <c r="AE94">
        <f>'2015_2020'!AC5</f>
        <v>3.0700000000000002E-2</v>
      </c>
      <c r="AF94">
        <f>'2015_2020'!AD5</f>
        <v>3.2199999999999999E-2</v>
      </c>
      <c r="AG94">
        <f>'2015_2020'!AE5</f>
        <v>3.39E-2</v>
      </c>
      <c r="AH94">
        <f>'2015_2020'!AF5</f>
        <v>3.6299999999999999E-2</v>
      </c>
      <c r="AI94">
        <f>'2015_2020'!AG5</f>
        <v>3.8699999999999998E-2</v>
      </c>
      <c r="AJ94">
        <f>'2015_2020'!AH5</f>
        <v>4.2999999999999997E-2</v>
      </c>
      <c r="AK94">
        <f>'2015_2020'!AI5</f>
        <v>4.6100000000000002E-2</v>
      </c>
      <c r="AL94">
        <f>'2015_2020'!AJ5</f>
        <v>4.8899999999999999E-2</v>
      </c>
      <c r="AM94">
        <f>'2015_2020'!AK5</f>
        <v>5.0799999999999998E-2</v>
      </c>
      <c r="AN94">
        <f>'2015_2020'!AL5</f>
        <v>5.2900000000000003E-2</v>
      </c>
      <c r="AO94">
        <f>'2015_2020'!AM5</f>
        <v>5.4899999999999997E-2</v>
      </c>
      <c r="AP94">
        <f>'2015_2020'!AN5</f>
        <v>5.45E-2</v>
      </c>
      <c r="AQ94">
        <f>'2015_2020'!AO5</f>
        <v>5.4100000000000002E-2</v>
      </c>
      <c r="AR94">
        <f>'2015_2020'!AP5</f>
        <v>5.4699999999999999E-2</v>
      </c>
      <c r="AS94">
        <f>'2015_2020'!AQ5</f>
        <v>5.4800000000000001E-2</v>
      </c>
      <c r="AT94">
        <f>'2015_2020'!AR5</f>
        <v>5.6300000000000003E-2</v>
      </c>
      <c r="AU94">
        <f>'2015_2020'!AS5</f>
        <v>5.6300000000000003E-2</v>
      </c>
      <c r="AV94">
        <f>'2015_2020'!AT5</f>
        <v>5.9400000000000001E-2</v>
      </c>
      <c r="AW94">
        <f>'2015_2020'!AU5</f>
        <v>6.25E-2</v>
      </c>
      <c r="AX94">
        <f>'2015_2020'!AV5</f>
        <v>6.6400000000000001E-2</v>
      </c>
      <c r="AY94">
        <f>'2015_2020'!AW5</f>
        <v>6.93E-2</v>
      </c>
      <c r="AZ94">
        <f>'2015_2020'!AX5</f>
        <v>7.22E-2</v>
      </c>
      <c r="BA94">
        <f>'2015_2020'!AY5</f>
        <v>7.51E-2</v>
      </c>
      <c r="BB94">
        <f>'2015_2020'!AZ5</f>
        <v>7.5899999999999995E-2</v>
      </c>
      <c r="BC94">
        <f>'2015_2020'!BA5</f>
        <v>7.6100000000000001E-2</v>
      </c>
      <c r="BD94">
        <f>'2015_2020'!BB5</f>
        <v>7.6499999999999999E-2</v>
      </c>
      <c r="BE94">
        <f>'2015_2020'!BC5</f>
        <v>7.7100000000000002E-2</v>
      </c>
      <c r="BF94">
        <f>'2015_2020'!BD5</f>
        <v>7.9299999999999995E-2</v>
      </c>
      <c r="BG94">
        <f>'2015_2020'!BE5</f>
        <v>7.9799999999999996E-2</v>
      </c>
      <c r="BH94">
        <f>'2015_2020'!BF5</f>
        <v>8.1199999999999994E-2</v>
      </c>
      <c r="BI94">
        <f>'2015_2020'!BG5</f>
        <v>8.4400000000000003E-2</v>
      </c>
      <c r="BJ94">
        <f>'2015_2020'!BH5</f>
        <v>8.6900000000000005E-2</v>
      </c>
      <c r="BK94">
        <f>'2015_2020'!BI5</f>
        <v>8.8599999999999998E-2</v>
      </c>
      <c r="BL94">
        <f>'2015_2020'!BJ5</f>
        <v>8.9899999999999994E-2</v>
      </c>
      <c r="BM94">
        <f>'2015_2020'!BK5</f>
        <v>9.1999999999999998E-2</v>
      </c>
      <c r="BN94">
        <f>'2015_2020'!BL5</f>
        <v>9.3299999999999994E-2</v>
      </c>
      <c r="BO94">
        <f>'2015_2020'!BM5</f>
        <v>9.35E-2</v>
      </c>
      <c r="BP94">
        <f>'2015_2020'!BN5</f>
        <v>9.3100000000000002E-2</v>
      </c>
      <c r="BQ94">
        <f>'2015_2020'!BO5</f>
        <v>9.3700000000000006E-2</v>
      </c>
      <c r="BR94">
        <f>'2015_2020'!BP5</f>
        <v>9.4700000000000006E-2</v>
      </c>
      <c r="BS94">
        <f>'2015_2020'!BQ5</f>
        <v>9.98E-2</v>
      </c>
      <c r="BT94">
        <f>'2015_2020'!BR5</f>
        <v>0.10299999999999999</v>
      </c>
      <c r="BU94">
        <f>'2015_2020'!BS5</f>
        <v>0.11</v>
      </c>
      <c r="BV94">
        <f>'2015_2020'!BT5</f>
        <v>0.114</v>
      </c>
      <c r="BW94">
        <f>'2015_2020'!BU5</f>
        <v>0.124</v>
      </c>
      <c r="BX94">
        <f>'2015_2020'!BV5</f>
        <v>0.127</v>
      </c>
      <c r="BY94">
        <f>'2015_2020'!BW5</f>
        <v>0.126</v>
      </c>
      <c r="BZ94">
        <f>'2015_2020'!BX5</f>
        <v>0.11600000000000001</v>
      </c>
      <c r="CA94">
        <f>'2015_2020'!BY5</f>
        <v>0.113</v>
      </c>
      <c r="CB94">
        <f>'2015_2020'!BZ5</f>
        <v>0.111</v>
      </c>
      <c r="CC94">
        <f>'2015_2020'!CA5</f>
        <v>0.111</v>
      </c>
      <c r="CD94">
        <f>'2015_2020'!CB5</f>
        <v>0.11700000000000001</v>
      </c>
      <c r="CE94">
        <f>'2015_2020'!CC5</f>
        <v>0.14699999999999999</v>
      </c>
      <c r="CF94">
        <f>'2015_2020'!CD5</f>
        <v>0.159</v>
      </c>
      <c r="CG94">
        <f>'2015_2020'!CE5</f>
        <v>0.154</v>
      </c>
      <c r="CH94">
        <f>'2015_2020'!CF5</f>
        <v>0.14799999999999999</v>
      </c>
      <c r="CI94">
        <f>'2015_2020'!CG5</f>
        <v>0.14799999999999999</v>
      </c>
      <c r="CJ94">
        <f>'2015_2020'!CH5</f>
        <v>0.152</v>
      </c>
      <c r="CK94">
        <f>'2015_2020'!CI5</f>
        <v>0.14599999999999999</v>
      </c>
      <c r="CL94">
        <f>'2015_2020'!CJ5</f>
        <v>0.14000000000000001</v>
      </c>
      <c r="CM94">
        <f>'2015_2020'!CK5</f>
        <v>0.14399999999999999</v>
      </c>
      <c r="CN94">
        <f>'2015_2020'!CL5</f>
        <v>0.16700000000000001</v>
      </c>
      <c r="CO94">
        <f>'2015_2020'!CM5</f>
        <v>0.16800000000000001</v>
      </c>
      <c r="CP94">
        <f>'2015_2020'!CN5</f>
        <v>0.14199999999999999</v>
      </c>
      <c r="CQ94">
        <f>'2015_2020'!CO5</f>
        <v>0.13100000000000001</v>
      </c>
      <c r="CR94">
        <f>'2015_2020'!CP5</f>
        <v>0.16700000000000001</v>
      </c>
      <c r="CS94">
        <f>'2015_2020'!CQ5</f>
        <v>0.13600000000000001</v>
      </c>
      <c r="CT94">
        <f>'2015_2020'!CR5</f>
        <v>0.16</v>
      </c>
      <c r="CU94">
        <f>'2015_2020'!CS5</f>
        <v>0.16</v>
      </c>
      <c r="CV94">
        <f>'2015_2020'!CT5</f>
        <v>0.14799999999999999</v>
      </c>
      <c r="CW94">
        <f>'2015_2020'!CU5</f>
        <v>0.152</v>
      </c>
      <c r="CX94">
        <f>'2015_2020'!CV5</f>
        <v>0.14899999999999999</v>
      </c>
    </row>
    <row r="95" spans="1:102" x14ac:dyDescent="0.2">
      <c r="A95" t="s">
        <v>207</v>
      </c>
      <c r="B95" t="s">
        <v>217</v>
      </c>
      <c r="C95" t="s">
        <v>221</v>
      </c>
      <c r="D95">
        <f>'2015_2020'!B6</f>
        <v>-5.11E-2</v>
      </c>
      <c r="E95">
        <f>'2015_2020'!C6</f>
        <v>-0.114</v>
      </c>
      <c r="F95">
        <f>'2015_2020'!D6</f>
        <v>-0.13900000000000001</v>
      </c>
      <c r="G95">
        <f>'2015_2020'!E6</f>
        <v>-0.11</v>
      </c>
      <c r="H95">
        <f>'2015_2020'!F6</f>
        <v>-0.16300000000000001</v>
      </c>
      <c r="I95">
        <f>'2015_2020'!G6</f>
        <v>-0.11</v>
      </c>
      <c r="J95">
        <f>'2015_2020'!H6</f>
        <v>-0.14499999999999999</v>
      </c>
      <c r="K95">
        <f>'2015_2020'!I6</f>
        <v>-0.1</v>
      </c>
      <c r="L95">
        <f>'2015_2020'!J6</f>
        <v>-7.6600000000000001E-2</v>
      </c>
      <c r="M95">
        <f>'2015_2020'!K6</f>
        <v>-0.107</v>
      </c>
      <c r="N95">
        <f>'2015_2020'!L6</f>
        <v>-7.3400000000000007E-2</v>
      </c>
      <c r="O95">
        <f>'2015_2020'!M6</f>
        <v>-3.5000000000000003E-2</v>
      </c>
      <c r="P95">
        <f>'2015_2020'!N6</f>
        <v>-5.4800000000000001E-2</v>
      </c>
      <c r="Q95">
        <f>'2015_2020'!O6</f>
        <v>-4.0500000000000001E-2</v>
      </c>
      <c r="R95">
        <f>'2015_2020'!P6</f>
        <v>-1.8700000000000001E-2</v>
      </c>
      <c r="S95">
        <f>'2015_2020'!Q6</f>
        <v>-1.46E-2</v>
      </c>
      <c r="T95">
        <f>'2015_2020'!R6</f>
        <v>-8.3899999999999999E-3</v>
      </c>
      <c r="U95">
        <f>'2015_2020'!S6</f>
        <v>-1.06E-2</v>
      </c>
      <c r="V95">
        <f>'2015_2020'!T6</f>
        <v>3.8700000000000002E-3</v>
      </c>
      <c r="W95">
        <f>'2015_2020'!U6</f>
        <v>-1.08E-3</v>
      </c>
      <c r="X95">
        <f>'2015_2020'!V6</f>
        <v>-1.6500000000000001E-2</v>
      </c>
      <c r="Y95">
        <f>'2015_2020'!W6</f>
        <v>1.97E-3</v>
      </c>
      <c r="Z95">
        <f>'2015_2020'!X6</f>
        <v>-1.61E-2</v>
      </c>
      <c r="AA95">
        <f>'2015_2020'!Y6</f>
        <v>-2.98E-2</v>
      </c>
      <c r="AB95">
        <f>'2015_2020'!Z6</f>
        <v>-2.7199999999999998E-2</v>
      </c>
      <c r="AC95">
        <f>'2015_2020'!AA6</f>
        <v>-3.4299999999999997E-2</v>
      </c>
      <c r="AD95">
        <f>'2015_2020'!AB6</f>
        <v>-1.1900000000000001E-2</v>
      </c>
      <c r="AE95">
        <f>'2015_2020'!AC6</f>
        <v>-1.38E-2</v>
      </c>
      <c r="AF95">
        <f>'2015_2020'!AD6</f>
        <v>-1.8200000000000001E-2</v>
      </c>
      <c r="AG95">
        <f>'2015_2020'!AE6</f>
        <v>-2.6599999999999999E-2</v>
      </c>
      <c r="AH95">
        <f>'2015_2020'!AF6</f>
        <v>-1.7100000000000001E-2</v>
      </c>
      <c r="AI95">
        <f>'2015_2020'!AG6</f>
        <v>-2.69E-2</v>
      </c>
      <c r="AJ95">
        <f>'2015_2020'!AH6</f>
        <v>-5.11E-2</v>
      </c>
      <c r="AK95">
        <f>'2015_2020'!AI6</f>
        <v>-5.8200000000000002E-2</v>
      </c>
      <c r="AL95">
        <f>'2015_2020'!AJ6</f>
        <v>-3.6299999999999999E-2</v>
      </c>
      <c r="AM95">
        <f>'2015_2020'!AK6</f>
        <v>-3.3599999999999998E-2</v>
      </c>
      <c r="AN95">
        <f>'2015_2020'!AL6</f>
        <v>-3.1600000000000003E-2</v>
      </c>
      <c r="AO95">
        <f>'2015_2020'!AM6</f>
        <v>-4.6300000000000001E-2</v>
      </c>
      <c r="AP95">
        <f>'2015_2020'!AN6</f>
        <v>-7.1199999999999999E-2</v>
      </c>
      <c r="AQ95">
        <f>'2015_2020'!AO6</f>
        <v>-8.2299999999999998E-2</v>
      </c>
      <c r="AR95">
        <f>'2015_2020'!AP6</f>
        <v>-6.7000000000000004E-2</v>
      </c>
      <c r="AS95">
        <f>'2015_2020'!AQ6</f>
        <v>-5.5899999999999998E-2</v>
      </c>
      <c r="AT95">
        <f>'2015_2020'!AR6</f>
        <v>-4.9299999999999997E-2</v>
      </c>
      <c r="AU95">
        <f>'2015_2020'!AS6</f>
        <v>-3.9800000000000002E-2</v>
      </c>
      <c r="AV95">
        <f>'2015_2020'!AT6</f>
        <v>-3.4599999999999999E-2</v>
      </c>
      <c r="AW95">
        <f>'2015_2020'!AU6</f>
        <v>-4.48E-2</v>
      </c>
      <c r="AX95">
        <f>'2015_2020'!AV6</f>
        <v>-7.1400000000000005E-2</v>
      </c>
      <c r="AY95">
        <f>'2015_2020'!AW6</f>
        <v>-6.7000000000000004E-2</v>
      </c>
      <c r="AZ95">
        <f>'2015_2020'!AX6</f>
        <v>-7.1400000000000005E-2</v>
      </c>
      <c r="BA95">
        <f>'2015_2020'!AY6</f>
        <v>-6.2399999999999997E-2</v>
      </c>
      <c r="BB95">
        <f>'2015_2020'!AZ6</f>
        <v>-7.0099999999999996E-2</v>
      </c>
      <c r="BC95">
        <f>'2015_2020'!BA6</f>
        <v>-8.1500000000000003E-2</v>
      </c>
      <c r="BD95">
        <f>'2015_2020'!BB6</f>
        <v>-9.4600000000000004E-2</v>
      </c>
      <c r="BE95">
        <f>'2015_2020'!BC6</f>
        <v>-9.5100000000000004E-2</v>
      </c>
      <c r="BF95">
        <f>'2015_2020'!BD6</f>
        <v>-5.5800000000000002E-2</v>
      </c>
      <c r="BG95">
        <f>'2015_2020'!BE6</f>
        <v>-7.9399999999999998E-2</v>
      </c>
      <c r="BH95">
        <f>'2015_2020'!BF6</f>
        <v>-7.8E-2</v>
      </c>
      <c r="BI95">
        <f>'2015_2020'!BG6</f>
        <v>-8.6699999999999999E-2</v>
      </c>
      <c r="BJ95">
        <f>'2015_2020'!BH6</f>
        <v>-9.7199999999999995E-2</v>
      </c>
      <c r="BK95">
        <f>'2015_2020'!BI6</f>
        <v>-0.09</v>
      </c>
      <c r="BL95">
        <f>'2015_2020'!BJ6</f>
        <v>-6.1499999999999999E-2</v>
      </c>
      <c r="BM95">
        <f>'2015_2020'!BK6</f>
        <v>-7.9200000000000007E-2</v>
      </c>
      <c r="BN95">
        <f>'2015_2020'!BL6</f>
        <v>-0.10199999999999999</v>
      </c>
      <c r="BO95">
        <f>'2015_2020'!BM6</f>
        <v>-9.7600000000000006E-2</v>
      </c>
      <c r="BP95">
        <f>'2015_2020'!BN6</f>
        <v>-5.0599999999999999E-2</v>
      </c>
      <c r="BQ95">
        <f>'2015_2020'!BO6</f>
        <v>-6.1499999999999999E-2</v>
      </c>
      <c r="BR95">
        <f>'2015_2020'!BP6</f>
        <v>-7.5600000000000001E-2</v>
      </c>
      <c r="BS95">
        <f>'2015_2020'!BQ6</f>
        <v>-0.111</v>
      </c>
      <c r="BT95">
        <f>'2015_2020'!BR6</f>
        <v>-0.13100000000000001</v>
      </c>
      <c r="BU95">
        <f>'2015_2020'!BS6</f>
        <v>-0.125</v>
      </c>
      <c r="BV95">
        <f>'2015_2020'!BT6</f>
        <v>-0.108</v>
      </c>
      <c r="BW95">
        <f>'2015_2020'!BU6</f>
        <v>-0.11</v>
      </c>
      <c r="BX95">
        <f>'2015_2020'!BV6</f>
        <v>-0.124</v>
      </c>
      <c r="BY95">
        <f>'2015_2020'!BW6</f>
        <v>-0.10299999999999999</v>
      </c>
      <c r="BZ95">
        <f>'2015_2020'!BX6</f>
        <v>-0.109</v>
      </c>
      <c r="CA95">
        <f>'2015_2020'!BY6</f>
        <v>-0.13300000000000001</v>
      </c>
      <c r="CB95">
        <f>'2015_2020'!BZ6</f>
        <v>-8.6999999999999994E-2</v>
      </c>
      <c r="CC95">
        <f>'2015_2020'!CA6</f>
        <v>-8.5900000000000004E-2</v>
      </c>
      <c r="CD95">
        <f>'2015_2020'!CB6</f>
        <v>-7.0999999999999994E-2</v>
      </c>
      <c r="CE95">
        <f>'2015_2020'!CC6</f>
        <v>-9.1200000000000003E-2</v>
      </c>
      <c r="CF95">
        <f>'2015_2020'!CD6</f>
        <v>-0.13900000000000001</v>
      </c>
      <c r="CG95">
        <f>'2015_2020'!CE6</f>
        <v>-0.18</v>
      </c>
      <c r="CH95">
        <f>'2015_2020'!CF6</f>
        <v>-0.154</v>
      </c>
      <c r="CI95">
        <f>'2015_2020'!CG6</f>
        <v>-0.13800000000000001</v>
      </c>
      <c r="CJ95">
        <f>'2015_2020'!CH6</f>
        <v>-0.14000000000000001</v>
      </c>
      <c r="CK95">
        <f>'2015_2020'!CI6</f>
        <v>-0.13</v>
      </c>
      <c r="CL95">
        <f>'2015_2020'!CJ6</f>
        <v>-9.2299999999999993E-2</v>
      </c>
      <c r="CM95">
        <f>'2015_2020'!CK6</f>
        <v>-0.13800000000000001</v>
      </c>
      <c r="CN95">
        <f>'2015_2020'!CL6</f>
        <v>-0.16600000000000001</v>
      </c>
      <c r="CO95">
        <f>'2015_2020'!CM6</f>
        <v>-0.16200000000000001</v>
      </c>
      <c r="CP95">
        <f>'2015_2020'!CN6</f>
        <v>-0.155</v>
      </c>
      <c r="CQ95">
        <f>'2015_2020'!CO6</f>
        <v>-0.13900000000000001</v>
      </c>
      <c r="CR95">
        <f>'2015_2020'!CP6</f>
        <v>-0.17100000000000001</v>
      </c>
      <c r="CS95">
        <f>'2015_2020'!CQ6</f>
        <v>-0.14499999999999999</v>
      </c>
      <c r="CT95">
        <f>'2015_2020'!CR6</f>
        <v>-0.14699999999999999</v>
      </c>
      <c r="CU95">
        <f>'2015_2020'!CS6</f>
        <v>-0.17</v>
      </c>
      <c r="CV95">
        <f>'2015_2020'!CT6</f>
        <v>-0.11799999999999999</v>
      </c>
      <c r="CW95">
        <f>'2015_2020'!CU6</f>
        <v>-0.158</v>
      </c>
      <c r="CX95">
        <f>'2015_2020'!CV6</f>
        <v>-0.16700000000000001</v>
      </c>
    </row>
    <row r="96" spans="1:102" x14ac:dyDescent="0.2">
      <c r="A96" t="s">
        <v>229</v>
      </c>
      <c r="B96" t="s">
        <v>217</v>
      </c>
      <c r="C96" t="s">
        <v>221</v>
      </c>
      <c r="D96">
        <f>'2015_2020 Int_Confianca'!B35</f>
        <v>-3.5099999999999999E-2</v>
      </c>
      <c r="E96">
        <f>'2015_2020 Int_Confianca'!C35</f>
        <v>-9.2499999999999999E-2</v>
      </c>
      <c r="F96">
        <f>'2015_2020 Int_Confianca'!D35</f>
        <v>-0.1242</v>
      </c>
      <c r="G96">
        <f>'2015_2020 Int_Confianca'!E35</f>
        <v>-9.06E-2</v>
      </c>
      <c r="H96">
        <f>'2015_2020 Int_Confianca'!F35</f>
        <v>-0.154</v>
      </c>
      <c r="I96">
        <f>'2015_2020 Int_Confianca'!G35</f>
        <v>-9.4299999999999995E-2</v>
      </c>
      <c r="J96">
        <f>'2015_2020 Int_Confianca'!H35</f>
        <v>-0.1353</v>
      </c>
      <c r="K96">
        <f>'2015_2020 Int_Confianca'!I35</f>
        <v>-9.0200000000000002E-2</v>
      </c>
      <c r="L96">
        <f>'2015_2020 Int_Confianca'!J35</f>
        <v>-6.5199999999999994E-2</v>
      </c>
      <c r="M96">
        <f>'2015_2020 Int_Confianca'!K35</f>
        <v>-9.9299999999999999E-2</v>
      </c>
      <c r="N96">
        <f>'2015_2020 Int_Confianca'!L35</f>
        <v>-6.7000000000000004E-2</v>
      </c>
      <c r="O96">
        <f>'2015_2020 Int_Confianca'!M35</f>
        <v>-2.7199999999999998E-2</v>
      </c>
      <c r="P96">
        <f>'2015_2020 Int_Confianca'!N35</f>
        <v>-4.7E-2</v>
      </c>
      <c r="Q96">
        <f>'2015_2020 Int_Confianca'!O35</f>
        <v>-3.1699999999999999E-2</v>
      </c>
      <c r="R96">
        <f>'2015_2020 Int_Confianca'!P35</f>
        <v>-7.7000000000000002E-3</v>
      </c>
      <c r="S96">
        <f>'2015_2020 Int_Confianca'!Q35</f>
        <v>-3.2000000000000002E-3</v>
      </c>
      <c r="T96">
        <f>'2015_2020 Int_Confianca'!R35</f>
        <v>4.1000000000000003E-3</v>
      </c>
      <c r="U96">
        <f>'2015_2020 Int_Confianca'!S35</f>
        <v>3.3E-3</v>
      </c>
      <c r="V96">
        <f>'2015_2020 Int_Confianca'!T35</f>
        <v>2.01E-2</v>
      </c>
      <c r="W96">
        <f>'2015_2020 Int_Confianca'!U35</f>
        <v>1.66E-2</v>
      </c>
      <c r="X96">
        <f>'2015_2020 Int_Confianca'!V35</f>
        <v>1.9E-3</v>
      </c>
      <c r="Y96">
        <f>'2015_2020 Int_Confianca'!W35</f>
        <v>2.1000000000000001E-2</v>
      </c>
      <c r="Z96">
        <f>'2015_2020 Int_Confianca'!X35</f>
        <v>3.0999999999999999E-3</v>
      </c>
      <c r="AA96">
        <f>'2015_2020 Int_Confianca'!Y35</f>
        <v>-9.7000000000000003E-3</v>
      </c>
      <c r="AB96">
        <f>'2015_2020 Int_Confianca'!Z35</f>
        <v>-5.4000000000000003E-3</v>
      </c>
      <c r="AC96">
        <f>'2015_2020 Int_Confianca'!AA35</f>
        <v>-1.12E-2</v>
      </c>
      <c r="AD96">
        <f>'2015_2020 Int_Confianca'!AB35</f>
        <v>1.17E-2</v>
      </c>
      <c r="AE96">
        <f>'2015_2020 Int_Confianca'!AC35</f>
        <v>1.21E-2</v>
      </c>
      <c r="AF96">
        <f>'2015_2020 Int_Confianca'!AD35</f>
        <v>9.1999999999999998E-3</v>
      </c>
      <c r="AG96">
        <f>'2015_2020 Int_Confianca'!AE35</f>
        <v>2.3999999999999998E-3</v>
      </c>
      <c r="AH96">
        <f>'2015_2020 Int_Confianca'!AF35</f>
        <v>1.3899999999999999E-2</v>
      </c>
      <c r="AI96">
        <f>'2015_2020 Int_Confianca'!AG35</f>
        <v>6.4999999999999997E-3</v>
      </c>
      <c r="AJ96">
        <f>'2015_2020 Int_Confianca'!AH35</f>
        <v>-1.37E-2</v>
      </c>
      <c r="AK96">
        <f>'2015_2020 Int_Confianca'!AI35</f>
        <v>-1.8100000000000002E-2</v>
      </c>
      <c r="AL96">
        <f>'2015_2020 Int_Confianca'!AJ35</f>
        <v>6.4000000000000003E-3</v>
      </c>
      <c r="AM96">
        <f>'2015_2020 Int_Confianca'!AK35</f>
        <v>1.0699999999999999E-2</v>
      </c>
      <c r="AN96">
        <f>'2015_2020 Int_Confianca'!AL35</f>
        <v>1.4800000000000001E-2</v>
      </c>
      <c r="AO96">
        <f>'2015_2020 Int_Confianca'!AM35</f>
        <v>2E-3</v>
      </c>
      <c r="AP96">
        <f>'2015_2020 Int_Confianca'!AN35</f>
        <v>-2.3199999999999998E-2</v>
      </c>
      <c r="AQ96">
        <f>'2015_2020 Int_Confianca'!AO35</f>
        <v>-3.4700000000000002E-2</v>
      </c>
      <c r="AR96">
        <f>'2015_2020 Int_Confianca'!AP35</f>
        <v>-1.89E-2</v>
      </c>
      <c r="AS96">
        <f>'2015_2020 Int_Confianca'!AQ35</f>
        <v>-7.7999999999999996E-3</v>
      </c>
      <c r="AT96">
        <f>'2015_2020 Int_Confianca'!AR35</f>
        <v>2.9999999999999997E-4</v>
      </c>
      <c r="AU96">
        <f>'2015_2020 Int_Confianca'!AS35</f>
        <v>9.7999999999999997E-3</v>
      </c>
      <c r="AV96">
        <f>'2015_2020 Int_Confianca'!AT35</f>
        <v>1.7999999999999999E-2</v>
      </c>
      <c r="AW96">
        <f>'2015_2020 Int_Confianca'!AU35</f>
        <v>1.0800000000000001E-2</v>
      </c>
      <c r="AX96">
        <f>'2015_2020 Int_Confianca'!AV35</f>
        <v>-1.21E-2</v>
      </c>
      <c r="AY96">
        <f>'2015_2020 Int_Confianca'!AW35</f>
        <v>-4.8999999999999998E-3</v>
      </c>
      <c r="AZ96">
        <f>'2015_2020 Int_Confianca'!AX35</f>
        <v>-6.6E-3</v>
      </c>
      <c r="BA96">
        <f>'2015_2020 Int_Confianca'!AY35</f>
        <v>5.1999999999999998E-3</v>
      </c>
      <c r="BB96">
        <f>'2015_2020 Int_Confianca'!AZ35</f>
        <v>-1.8E-3</v>
      </c>
      <c r="BC96">
        <f>'2015_2020 Int_Confianca'!BA35</f>
        <v>-1.2999999999999999E-2</v>
      </c>
      <c r="BD96">
        <f>'2015_2020 Int_Confianca'!BB35</f>
        <v>-2.5600000000000001E-2</v>
      </c>
      <c r="BE96">
        <f>'2015_2020 Int_Confianca'!BC35</f>
        <v>-2.5700000000000001E-2</v>
      </c>
      <c r="BF96">
        <f>'2015_2020 Int_Confianca'!BD35</f>
        <v>1.54E-2</v>
      </c>
      <c r="BG96">
        <f>'2015_2020 Int_Confianca'!BE35</f>
        <v>-7.7000000000000002E-3</v>
      </c>
      <c r="BH96">
        <f>'2015_2020 Int_Confianca'!BF35</f>
        <v>-4.8999999999999998E-3</v>
      </c>
      <c r="BI96">
        <f>'2015_2020 Int_Confianca'!BG35</f>
        <v>-1.0800000000000001E-2</v>
      </c>
      <c r="BJ96">
        <f>'2015_2020 Int_Confianca'!BH35</f>
        <v>-1.8800000000000001E-2</v>
      </c>
      <c r="BK96">
        <f>'2015_2020 Int_Confianca'!BI35</f>
        <v>-1.0200000000000001E-2</v>
      </c>
      <c r="BL96">
        <f>'2015_2020 Int_Confianca'!BJ35</f>
        <v>1.9400000000000001E-2</v>
      </c>
      <c r="BM96">
        <f>'2015_2020 Int_Confianca'!BK35</f>
        <v>3.8999999999999998E-3</v>
      </c>
      <c r="BN96">
        <f>'2015_2020 Int_Confianca'!BL35</f>
        <v>-1.72E-2</v>
      </c>
      <c r="BO96">
        <f>'2015_2020 Int_Confianca'!BM35</f>
        <v>-1.2800000000000001E-2</v>
      </c>
      <c r="BP96">
        <f>'2015_2020 Int_Confianca'!BN35</f>
        <v>3.39E-2</v>
      </c>
      <c r="BQ96">
        <f>'2015_2020 Int_Confianca'!BO35</f>
        <v>2.3599999999999999E-2</v>
      </c>
      <c r="BR96">
        <f>'2015_2020 Int_Confianca'!BP35</f>
        <v>1.06E-2</v>
      </c>
      <c r="BS96">
        <f>'2015_2020 Int_Confianca'!BQ35</f>
        <v>-1.9599999999999999E-2</v>
      </c>
      <c r="BT96">
        <f>'2015_2020 Int_Confianca'!BR35</f>
        <v>-3.7100000000000001E-2</v>
      </c>
      <c r="BU96">
        <f>'2015_2020 Int_Confianca'!BS35</f>
        <v>-2.4400000000000002E-2</v>
      </c>
      <c r="BV96">
        <f>'2015_2020 Int_Confianca'!BT35</f>
        <v>-4.8999999999999998E-3</v>
      </c>
      <c r="BW96">
        <f>'2015_2020 Int_Confianca'!BU35</f>
        <v>2E-3</v>
      </c>
      <c r="BX96">
        <f>'2015_2020 Int_Confianca'!BV35</f>
        <v>-9.7000000000000003E-3</v>
      </c>
      <c r="BY96">
        <f>'2015_2020 Int_Confianca'!BW35</f>
        <v>1.0500000000000001E-2</v>
      </c>
      <c r="BZ96">
        <f>'2015_2020 Int_Confianca'!BX35</f>
        <v>-3.8E-3</v>
      </c>
      <c r="CA96">
        <f>'2015_2020 Int_Confianca'!BY35</f>
        <v>-3.1399999999999997E-2</v>
      </c>
      <c r="CB96">
        <f>'2015_2020 Int_Confianca'!BZ35</f>
        <v>1.2500000000000001E-2</v>
      </c>
      <c r="CC96">
        <f>'2015_2020 Int_Confianca'!CA35</f>
        <v>1.34E-2</v>
      </c>
      <c r="CD96">
        <f>'2015_2020 Int_Confianca'!CB35</f>
        <v>3.3799999999999997E-2</v>
      </c>
      <c r="CE96">
        <f>'2015_2020 Int_Confianca'!CC35</f>
        <v>4.2299999999999997E-2</v>
      </c>
      <c r="CF96">
        <f>'2015_2020 Int_Confianca'!CD35</f>
        <v>6.3E-3</v>
      </c>
      <c r="CG96">
        <f>'2015_2020 Int_Confianca'!CE35</f>
        <v>-3.9100000000000003E-2</v>
      </c>
      <c r="CH96">
        <f>'2015_2020 Int_Confianca'!CF35</f>
        <v>-2.07E-2</v>
      </c>
      <c r="CI96">
        <f>'2015_2020 Int_Confianca'!CG35</f>
        <v>-6.1000000000000004E-3</v>
      </c>
      <c r="CJ96">
        <f>'2015_2020 Int_Confianca'!CH35</f>
        <v>-4.3E-3</v>
      </c>
      <c r="CK96">
        <f>'2015_2020 Int_Confianca'!CI35</f>
        <v>-2.9999999999999997E-4</v>
      </c>
      <c r="CL96">
        <f>'2015_2020 Int_Confianca'!CJ35</f>
        <v>3.2399999999999998E-2</v>
      </c>
      <c r="CM96">
        <f>'2015_2020 Int_Confianca'!CK35</f>
        <v>-9.5999999999999992E-3</v>
      </c>
      <c r="CN96">
        <f>'2015_2020 Int_Confianca'!CL35</f>
        <v>-1.7100000000000001E-2</v>
      </c>
      <c r="CO96">
        <f>'2015_2020 Int_Confianca'!CM35</f>
        <v>-1.2800000000000001E-2</v>
      </c>
      <c r="CP96">
        <f>'2015_2020 Int_Confianca'!CN35</f>
        <v>-3.0599999999999999E-2</v>
      </c>
      <c r="CQ96">
        <f>'2015_2020 Int_Confianca'!CO35</f>
        <v>-2.6100000000000002E-2</v>
      </c>
      <c r="CR96">
        <f>'2015_2020 Int_Confianca'!CP35</f>
        <v>-2.8500000000000001E-2</v>
      </c>
      <c r="CS96">
        <f>'2015_2020 Int_Confianca'!CQ35</f>
        <v>-3.2599999999999997E-2</v>
      </c>
      <c r="CT96">
        <f>'2015_2020 Int_Confianca'!CR35</f>
        <v>-1.5900000000000001E-2</v>
      </c>
      <c r="CU96">
        <f>'2015_2020 Int_Confianca'!CS35</f>
        <v>-3.9600000000000003E-2</v>
      </c>
      <c r="CV96">
        <f>'2015_2020 Int_Confianca'!CT35</f>
        <v>1.5E-3</v>
      </c>
      <c r="CW96">
        <f>'2015_2020 Int_Confianca'!CU35</f>
        <v>-4.7300000000000002E-2</v>
      </c>
      <c r="CX96">
        <f>'2015_2020 Int_Confianca'!CV35</f>
        <v>-6.2199999999999998E-2</v>
      </c>
    </row>
    <row r="97" spans="1:102" x14ac:dyDescent="0.2">
      <c r="A97" t="s">
        <v>228</v>
      </c>
      <c r="B97" t="s">
        <v>217</v>
      </c>
      <c r="C97" t="s">
        <v>221</v>
      </c>
      <c r="D97">
        <f>'2015_2020 Int_Confianca'!B36</f>
        <v>1.6400000000000001E-2</v>
      </c>
      <c r="E97">
        <f>'2015_2020 Int_Confianca'!C36</f>
        <v>-3.6700000000000003E-2</v>
      </c>
      <c r="F97">
        <f>'2015_2020 Int_Confianca'!D36</f>
        <v>-7.4899999999999994E-2</v>
      </c>
      <c r="G97">
        <f>'2015_2020 Int_Confianca'!E36</f>
        <v>-5.3999999999999999E-2</v>
      </c>
      <c r="H97">
        <f>'2015_2020 Int_Confianca'!F36</f>
        <v>-0.11260000000000001</v>
      </c>
      <c r="I97">
        <f>'2015_2020 Int_Confianca'!G36</f>
        <v>-5.9400000000000001E-2</v>
      </c>
      <c r="J97">
        <f>'2015_2020 Int_Confianca'!H36</f>
        <v>-0.10059999999999999</v>
      </c>
      <c r="K97">
        <f>'2015_2020 Int_Confianca'!I36</f>
        <v>-5.79E-2</v>
      </c>
      <c r="L97">
        <f>'2015_2020 Int_Confianca'!J36</f>
        <v>-3.56E-2</v>
      </c>
      <c r="M97">
        <f>'2015_2020 Int_Confianca'!K36</f>
        <v>-7.1300000000000002E-2</v>
      </c>
      <c r="N97">
        <f>'2015_2020 Int_Confianca'!L36</f>
        <v>-4.2000000000000003E-2</v>
      </c>
      <c r="O97">
        <f>'2015_2020 Int_Confianca'!M36</f>
        <v>-1.04E-2</v>
      </c>
      <c r="P97">
        <f>'2015_2020 Int_Confianca'!N36</f>
        <v>-3.0599999999999999E-2</v>
      </c>
      <c r="Q97">
        <f>'2015_2020 Int_Confianca'!O36</f>
        <v>-1.67E-2</v>
      </c>
      <c r="R97">
        <f>'2015_2020 Int_Confianca'!P36</f>
        <v>6.1000000000000004E-3</v>
      </c>
      <c r="S97">
        <f>'2015_2020 Int_Confianca'!Q36</f>
        <v>9.5999999999999992E-3</v>
      </c>
      <c r="T97">
        <f>'2015_2020 Int_Confianca'!R36</f>
        <v>1.54E-2</v>
      </c>
      <c r="U97">
        <f>'2015_2020 Int_Confianca'!S36</f>
        <v>1.41E-2</v>
      </c>
      <c r="V97">
        <f>'2015_2020 Int_Confianca'!T36</f>
        <v>3.0099999999999998E-2</v>
      </c>
      <c r="W97">
        <f>'2015_2020 Int_Confianca'!U36</f>
        <v>2.6499999999999999E-2</v>
      </c>
      <c r="X97">
        <f>'2015_2020 Int_Confianca'!V36</f>
        <v>1.15E-2</v>
      </c>
      <c r="Y97">
        <f>'2015_2020 Int_Confianca'!W36</f>
        <v>2.9899999999999999E-2</v>
      </c>
      <c r="Z97">
        <f>'2015_2020 Int_Confianca'!X36</f>
        <v>1.1900000000000001E-2</v>
      </c>
      <c r="AA97">
        <f>'2015_2020 Int_Confianca'!Y36</f>
        <v>-6.9999999999999999E-4</v>
      </c>
      <c r="AB97">
        <f>'2015_2020 Int_Confianca'!Z36</f>
        <v>3.7000000000000002E-3</v>
      </c>
      <c r="AC97">
        <f>'2015_2020 Int_Confianca'!AA36</f>
        <v>-2.0999999999999999E-3</v>
      </c>
      <c r="AD97">
        <f>'2015_2020 Int_Confianca'!AB36</f>
        <v>2.0899999999999998E-2</v>
      </c>
      <c r="AE97">
        <f>'2015_2020 Int_Confianca'!AC36</f>
        <v>2.1600000000000001E-2</v>
      </c>
      <c r="AF97">
        <f>'2015_2020 Int_Confianca'!AD36</f>
        <v>1.8800000000000001E-2</v>
      </c>
      <c r="AG97">
        <f>'2015_2020 Int_Confianca'!AE36</f>
        <v>1.23E-2</v>
      </c>
      <c r="AH97">
        <f>'2015_2020 Int_Confianca'!AF36</f>
        <v>2.4299999999999999E-2</v>
      </c>
      <c r="AI97">
        <f>'2015_2020 Int_Confianca'!AG36</f>
        <v>1.7299999999999999E-2</v>
      </c>
      <c r="AJ97">
        <f>'2015_2020 Int_Confianca'!AH36</f>
        <v>-2.3999999999999998E-3</v>
      </c>
      <c r="AK97">
        <f>'2015_2020 Int_Confianca'!AI36</f>
        <v>-6.1000000000000004E-3</v>
      </c>
      <c r="AL97">
        <f>'2015_2020 Int_Confianca'!AJ36</f>
        <v>1.89E-2</v>
      </c>
      <c r="AM97">
        <f>'2015_2020 Int_Confianca'!AK36</f>
        <v>2.3599999999999999E-2</v>
      </c>
      <c r="AN97">
        <f>'2015_2020 Int_Confianca'!AL36</f>
        <v>2.7799999999999998E-2</v>
      </c>
      <c r="AO97">
        <f>'2015_2020 Int_Confianca'!AM36</f>
        <v>1.52E-2</v>
      </c>
      <c r="AP97">
        <f>'2015_2020 Int_Confianca'!AN36</f>
        <v>-1.01E-2</v>
      </c>
      <c r="AQ97">
        <f>'2015_2020 Int_Confianca'!AO36</f>
        <v>-2.1700000000000001E-2</v>
      </c>
      <c r="AR97">
        <f>'2015_2020 Int_Confianca'!AP36</f>
        <v>-5.7000000000000002E-3</v>
      </c>
      <c r="AS97">
        <f>'2015_2020 Int_Confianca'!AQ36</f>
        <v>5.4999999999999997E-3</v>
      </c>
      <c r="AT97">
        <f>'2015_2020 Int_Confianca'!AR36</f>
        <v>1.37E-2</v>
      </c>
      <c r="AU97">
        <f>'2015_2020 Int_Confianca'!AS36</f>
        <v>2.3199999999999998E-2</v>
      </c>
      <c r="AV97">
        <f>'2015_2020 Int_Confianca'!AT36</f>
        <v>3.1600000000000003E-2</v>
      </c>
      <c r="AW97">
        <f>'2015_2020 Int_Confianca'!AU36</f>
        <v>2.46E-2</v>
      </c>
      <c r="AX97">
        <f>'2015_2020 Int_Confianca'!AV36</f>
        <v>2.0999999999999999E-3</v>
      </c>
      <c r="AY97">
        <f>'2015_2020 Int_Confianca'!AW36</f>
        <v>9.4999999999999998E-3</v>
      </c>
      <c r="AZ97">
        <f>'2015_2020 Int_Confianca'!AX36</f>
        <v>8.0999999999999996E-3</v>
      </c>
      <c r="BA97">
        <f>'2015_2020 Int_Confianca'!AY36</f>
        <v>2.01E-2</v>
      </c>
      <c r="BB97">
        <f>'2015_2020 Int_Confianca'!AZ36</f>
        <v>1.34E-2</v>
      </c>
      <c r="BC97">
        <f>'2015_2020 Int_Confianca'!BA36</f>
        <v>2.2000000000000001E-3</v>
      </c>
      <c r="BD97">
        <f>'2015_2020 Int_Confianca'!BB36</f>
        <v>-1.04E-2</v>
      </c>
      <c r="BE97">
        <f>'2015_2020 Int_Confianca'!BC36</f>
        <v>-1.03E-2</v>
      </c>
      <c r="BF97">
        <f>'2015_2020 Int_Confianca'!BD36</f>
        <v>3.1399999999999997E-2</v>
      </c>
      <c r="BG97">
        <f>'2015_2020 Int_Confianca'!BE36</f>
        <v>8.3000000000000001E-3</v>
      </c>
      <c r="BH97">
        <f>'2015_2020 Int_Confianca'!BF36</f>
        <v>1.14E-2</v>
      </c>
      <c r="BI97">
        <f>'2015_2020 Int_Confianca'!BG36</f>
        <v>6.1000000000000004E-3</v>
      </c>
      <c r="BJ97">
        <f>'2015_2020 Int_Confianca'!BH36</f>
        <v>-1.6999999999999999E-3</v>
      </c>
      <c r="BK97">
        <f>'2015_2020 Int_Confianca'!BI36</f>
        <v>7.4000000000000003E-3</v>
      </c>
      <c r="BL97">
        <f>'2015_2020 Int_Confianca'!BJ36</f>
        <v>3.7199999999999997E-2</v>
      </c>
      <c r="BM97">
        <f>'2015_2020 Int_Confianca'!BK36</f>
        <v>2.18E-2</v>
      </c>
      <c r="BN97">
        <f>'2015_2020 Int_Confianca'!BL36</f>
        <v>5.9999999999999995E-4</v>
      </c>
      <c r="BO97">
        <f>'2015_2020 Int_Confianca'!BM36</f>
        <v>4.5999999999999999E-3</v>
      </c>
      <c r="BP97">
        <f>'2015_2020 Int_Confianca'!BN36</f>
        <v>5.0999999999999997E-2</v>
      </c>
      <c r="BQ97">
        <f>'2015_2020 Int_Confianca'!BO36</f>
        <v>4.07E-2</v>
      </c>
      <c r="BR97">
        <f>'2015_2020 Int_Confianca'!BP36</f>
        <v>2.76E-2</v>
      </c>
      <c r="BS97">
        <f>'2015_2020 Int_Confianca'!BQ36</f>
        <v>-2.2000000000000001E-3</v>
      </c>
      <c r="BT97">
        <f>'2015_2020 Int_Confianca'!BR36</f>
        <v>-1.9300000000000001E-2</v>
      </c>
      <c r="BU97">
        <f>'2015_2020 Int_Confianca'!BS36</f>
        <v>-5.1000000000000004E-3</v>
      </c>
      <c r="BV97">
        <f>'2015_2020 Int_Confianca'!BT36</f>
        <v>1.7399999999999999E-2</v>
      </c>
      <c r="BW97">
        <f>'2015_2020 Int_Confianca'!BU36</f>
        <v>2.63E-2</v>
      </c>
      <c r="BX97">
        <f>'2015_2020 Int_Confianca'!BV36</f>
        <v>1.49E-2</v>
      </c>
      <c r="BY97">
        <f>'2015_2020 Int_Confianca'!BW36</f>
        <v>3.4500000000000003E-2</v>
      </c>
      <c r="BZ97">
        <f>'2015_2020 Int_Confianca'!BX36</f>
        <v>1.9199999999999998E-2</v>
      </c>
      <c r="CA97">
        <f>'2015_2020 Int_Confianca'!BY36</f>
        <v>-8.6999999999999994E-3</v>
      </c>
      <c r="CB97">
        <f>'2015_2020 Int_Confianca'!BZ36</f>
        <v>3.5799999999999998E-2</v>
      </c>
      <c r="CC97">
        <f>'2015_2020 Int_Confianca'!CA36</f>
        <v>3.6999999999999998E-2</v>
      </c>
      <c r="CD97">
        <f>'2015_2020 Int_Confianca'!CB36</f>
        <v>5.79E-2</v>
      </c>
      <c r="CE97">
        <f>'2015_2020 Int_Confianca'!CC36</f>
        <v>6.8900000000000003E-2</v>
      </c>
      <c r="CF97">
        <f>'2015_2020 Int_Confianca'!CD36</f>
        <v>3.3700000000000001E-2</v>
      </c>
      <c r="CG97">
        <f>'2015_2020 Int_Confianca'!CE36</f>
        <v>-1.2E-2</v>
      </c>
      <c r="CH97">
        <f>'2015_2020 Int_Confianca'!CF36</f>
        <v>8.2000000000000007E-3</v>
      </c>
      <c r="CI97">
        <f>'2015_2020 Int_Confianca'!CG36</f>
        <v>2.53E-2</v>
      </c>
      <c r="CJ97">
        <f>'2015_2020 Int_Confianca'!CH36</f>
        <v>2.9399999999999999E-2</v>
      </c>
      <c r="CK97">
        <f>'2015_2020 Int_Confianca'!CI36</f>
        <v>3.1399999999999997E-2</v>
      </c>
      <c r="CL97">
        <f>'2015_2020 Int_Confianca'!CJ36</f>
        <v>6.2600000000000003E-2</v>
      </c>
      <c r="CM97">
        <f>'2015_2020 Int_Confianca'!CK36</f>
        <v>2.06E-2</v>
      </c>
      <c r="CN97">
        <f>'2015_2020 Int_Confianca'!CL36</f>
        <v>2.01E-2</v>
      </c>
      <c r="CO97">
        <f>'2015_2020 Int_Confianca'!CM36</f>
        <v>2.5899999999999999E-2</v>
      </c>
      <c r="CP97">
        <f>'2015_2020 Int_Confianca'!CN36</f>
        <v>4.1000000000000003E-3</v>
      </c>
      <c r="CQ97">
        <f>'2015_2020 Int_Confianca'!CO36</f>
        <v>8.8999999999999999E-3</v>
      </c>
      <c r="CR97">
        <f>'2015_2020 Int_Confianca'!CP36</f>
        <v>2.0299999999999999E-2</v>
      </c>
      <c r="CS97">
        <f>'2015_2020 Int_Confianca'!CQ36</f>
        <v>1.6E-2</v>
      </c>
      <c r="CT97">
        <f>'2015_2020 Int_Confianca'!CR36</f>
        <v>4.0500000000000001E-2</v>
      </c>
      <c r="CU97">
        <f>'2015_2020 Int_Confianca'!CS36</f>
        <v>1.9900000000000001E-2</v>
      </c>
      <c r="CV97">
        <f>'2015_2020 Int_Confianca'!CT36</f>
        <v>6.0299999999999999E-2</v>
      </c>
      <c r="CW97">
        <f>'2015_2020 Int_Confianca'!CU36</f>
        <v>3.4599999999999999E-2</v>
      </c>
      <c r="CX97">
        <f>'2015_2020 Int_Confianca'!CV36</f>
        <v>2.7099999999999999E-2</v>
      </c>
    </row>
    <row r="98" spans="1:102" x14ac:dyDescent="0.2">
      <c r="A98" t="s">
        <v>231</v>
      </c>
      <c r="B98" t="s">
        <v>217</v>
      </c>
      <c r="C98" t="s">
        <v>221</v>
      </c>
      <c r="D98">
        <f>'2015_2020 Int_Confianca'!B37</f>
        <v>3.2300000000000002E-2</v>
      </c>
      <c r="E98">
        <f>'2015_2020 Int_Confianca'!C37</f>
        <v>3.8800000000000001E-2</v>
      </c>
      <c r="F98">
        <f>'2015_2020 Int_Confianca'!D37</f>
        <v>0.03</v>
      </c>
      <c r="G98">
        <f>'2015_2020 Int_Confianca'!E37</f>
        <v>2.8400000000000002E-2</v>
      </c>
      <c r="H98">
        <f>'2015_2020 Int_Confianca'!F37</f>
        <v>2.2499999999999999E-2</v>
      </c>
      <c r="I98">
        <f>'2015_2020 Int_Confianca'!G37</f>
        <v>2.4899999999999999E-2</v>
      </c>
      <c r="J98">
        <f>'2015_2020 Int_Confianca'!H37</f>
        <v>2.01E-2</v>
      </c>
      <c r="K98">
        <f>'2015_2020 Int_Confianca'!I37</f>
        <v>1.9E-2</v>
      </c>
      <c r="L98">
        <f>'2015_2020 Int_Confianca'!J37</f>
        <v>1.9199999999999998E-2</v>
      </c>
      <c r="M98">
        <f>'2015_2020 Int_Confianca'!K37</f>
        <v>1.5599999999999999E-2</v>
      </c>
      <c r="N98">
        <f>'2015_2020 Int_Confianca'!L37</f>
        <v>1.43E-2</v>
      </c>
      <c r="O98">
        <f>'2015_2020 Int_Confianca'!M37</f>
        <v>1.26E-2</v>
      </c>
      <c r="P98">
        <f>'2015_2020 Int_Confianca'!N37</f>
        <v>1.2800000000000001E-2</v>
      </c>
      <c r="Q98">
        <f>'2015_2020 Int_Confianca'!O37</f>
        <v>1.3299999999999999E-2</v>
      </c>
      <c r="R98">
        <f>'2015_2020 Int_Confianca'!P37</f>
        <v>1.49E-2</v>
      </c>
      <c r="S98">
        <f>'2015_2020 Int_Confianca'!Q37</f>
        <v>1.4999999999999999E-2</v>
      </c>
      <c r="T98">
        <f>'2015_2020 Int_Confianca'!R37</f>
        <v>1.54E-2</v>
      </c>
      <c r="U98">
        <f>'2015_2020 Int_Confianca'!S37</f>
        <v>1.67E-2</v>
      </c>
      <c r="V98">
        <f>'2015_2020 Int_Confianca'!T37</f>
        <v>1.8599999999999998E-2</v>
      </c>
      <c r="W98">
        <f>'2015_2020 Int_Confianca'!U37</f>
        <v>0.02</v>
      </c>
      <c r="X98">
        <f>'2015_2020 Int_Confianca'!V37</f>
        <v>2.0799999999999999E-2</v>
      </c>
      <c r="Y98">
        <f>'2015_2020 Int_Confianca'!W37</f>
        <v>2.1000000000000001E-2</v>
      </c>
      <c r="Z98">
        <f>'2015_2020 Int_Confianca'!X37</f>
        <v>2.1299999999999999E-2</v>
      </c>
      <c r="AA98">
        <f>'2015_2020 Int_Confianca'!Y37</f>
        <v>2.23E-2</v>
      </c>
      <c r="AB98">
        <f>'2015_2020 Int_Confianca'!Z37</f>
        <v>2.4E-2</v>
      </c>
      <c r="AC98">
        <f>'2015_2020 Int_Confianca'!AA37</f>
        <v>2.52E-2</v>
      </c>
      <c r="AD98">
        <f>'2015_2020 Int_Confianca'!AB37</f>
        <v>2.58E-2</v>
      </c>
      <c r="AE98">
        <f>'2015_2020 Int_Confianca'!AC37</f>
        <v>2.8199999999999999E-2</v>
      </c>
      <c r="AF98">
        <f>'2015_2020 Int_Confianca'!AD37</f>
        <v>2.9600000000000001E-2</v>
      </c>
      <c r="AG98">
        <f>'2015_2020 Int_Confianca'!AE37</f>
        <v>3.1300000000000001E-2</v>
      </c>
      <c r="AH98">
        <f>'2015_2020 Int_Confianca'!AF37</f>
        <v>3.3500000000000002E-2</v>
      </c>
      <c r="AI98">
        <f>'2015_2020 Int_Confianca'!AG37</f>
        <v>3.5799999999999998E-2</v>
      </c>
      <c r="AJ98">
        <f>'2015_2020 Int_Confianca'!AH37</f>
        <v>3.9800000000000002E-2</v>
      </c>
      <c r="AK98">
        <f>'2015_2020 Int_Confianca'!AI37</f>
        <v>4.2799999999999998E-2</v>
      </c>
      <c r="AL98">
        <f>'2015_2020 Int_Confianca'!AJ37</f>
        <v>4.5499999999999999E-2</v>
      </c>
      <c r="AM98">
        <f>'2015_2020 Int_Confianca'!AK37</f>
        <v>4.7199999999999999E-2</v>
      </c>
      <c r="AN98">
        <f>'2015_2020 Int_Confianca'!AL37</f>
        <v>4.9399999999999999E-2</v>
      </c>
      <c r="AO98">
        <f>'2015_2020 Int_Confianca'!AM37</f>
        <v>5.1299999999999998E-2</v>
      </c>
      <c r="AP98">
        <f>'2015_2020 Int_Confianca'!AN37</f>
        <v>5.0999999999999997E-2</v>
      </c>
      <c r="AQ98">
        <f>'2015_2020 Int_Confianca'!AO37</f>
        <v>5.0599999999999999E-2</v>
      </c>
      <c r="AR98">
        <f>'2015_2020 Int_Confianca'!AP37</f>
        <v>5.1200000000000002E-2</v>
      </c>
      <c r="AS98">
        <f>'2015_2020 Int_Confianca'!AQ37</f>
        <v>5.1299999999999998E-2</v>
      </c>
      <c r="AT98">
        <f>'2015_2020 Int_Confianca'!AR37</f>
        <v>5.2699999999999997E-2</v>
      </c>
      <c r="AU98">
        <f>'2015_2020 Int_Confianca'!AS37</f>
        <v>5.2699999999999997E-2</v>
      </c>
      <c r="AV98">
        <f>'2015_2020 Int_Confianca'!AT37</f>
        <v>5.5800000000000002E-2</v>
      </c>
      <c r="AW98">
        <f>'2015_2020 Int_Confianca'!AU37</f>
        <v>5.8700000000000002E-2</v>
      </c>
      <c r="AX98">
        <f>'2015_2020 Int_Confianca'!AV37</f>
        <v>6.2300000000000001E-2</v>
      </c>
      <c r="AY98">
        <f>'2015_2020 Int_Confianca'!AW37</f>
        <v>6.5100000000000005E-2</v>
      </c>
      <c r="AZ98">
        <f>'2015_2020 Int_Confianca'!AX37</f>
        <v>6.7900000000000002E-2</v>
      </c>
      <c r="BA98">
        <f>'2015_2020 Int_Confianca'!AY37</f>
        <v>7.0699999999999999E-2</v>
      </c>
      <c r="BB98">
        <f>'2015_2020 Int_Confianca'!AZ37</f>
        <v>7.1499999999999994E-2</v>
      </c>
      <c r="BC98">
        <f>'2015_2020 Int_Confianca'!BA37</f>
        <v>7.17E-2</v>
      </c>
      <c r="BD98">
        <f>'2015_2020 Int_Confianca'!BB37</f>
        <v>7.2099999999999997E-2</v>
      </c>
      <c r="BE98">
        <f>'2015_2020 Int_Confianca'!BC37</f>
        <v>7.2599999999999998E-2</v>
      </c>
      <c r="BF98">
        <f>'2015_2020 Int_Confianca'!BD37</f>
        <v>7.4800000000000005E-2</v>
      </c>
      <c r="BG98">
        <f>'2015_2020 Int_Confianca'!BE37</f>
        <v>7.5300000000000006E-2</v>
      </c>
      <c r="BH98">
        <f>'2015_2020 Int_Confianca'!BF37</f>
        <v>7.6600000000000001E-2</v>
      </c>
      <c r="BI98">
        <f>'2015_2020 Int_Confianca'!BG37</f>
        <v>7.9699999999999993E-2</v>
      </c>
      <c r="BJ98">
        <f>'2015_2020 Int_Confianca'!BH37</f>
        <v>8.2100000000000006E-2</v>
      </c>
      <c r="BK98">
        <f>'2015_2020 Int_Confianca'!BI37</f>
        <v>8.3599999999999994E-2</v>
      </c>
      <c r="BL98">
        <f>'2015_2020 Int_Confianca'!BJ37</f>
        <v>8.48E-2</v>
      </c>
      <c r="BM98">
        <f>'2015_2020 Int_Confianca'!BK37</f>
        <v>8.6900000000000005E-2</v>
      </c>
      <c r="BN98">
        <f>'2015_2020 Int_Confianca'!BL37</f>
        <v>8.8099999999999998E-2</v>
      </c>
      <c r="BO98">
        <f>'2015_2020 Int_Confianca'!BM37</f>
        <v>8.8300000000000003E-2</v>
      </c>
      <c r="BP98">
        <f>'2015_2020 Int_Confianca'!BN37</f>
        <v>8.7900000000000006E-2</v>
      </c>
      <c r="BQ98">
        <f>'2015_2020 Int_Confianca'!BO37</f>
        <v>8.8400000000000006E-2</v>
      </c>
      <c r="BR98">
        <f>'2015_2020 Int_Confianca'!BP37</f>
        <v>8.9399999999999993E-2</v>
      </c>
      <c r="BS98">
        <f>'2015_2020 Int_Confianca'!BQ37</f>
        <v>9.4200000000000006E-2</v>
      </c>
      <c r="BT98">
        <f>'2015_2020 Int_Confianca'!BR37</f>
        <v>9.7299999999999998E-2</v>
      </c>
      <c r="BU98">
        <f>'2015_2020 Int_Confianca'!BS37</f>
        <v>0.104</v>
      </c>
      <c r="BV98">
        <f>'2015_2020 Int_Confianca'!BT37</f>
        <v>0.10780000000000001</v>
      </c>
      <c r="BW98">
        <f>'2015_2020 Int_Confianca'!BU37</f>
        <v>0.1167</v>
      </c>
      <c r="BX98">
        <f>'2015_2020 Int_Confianca'!BV37</f>
        <v>0.1193</v>
      </c>
      <c r="BY98">
        <f>'2015_2020 Int_Confianca'!BW37</f>
        <v>0.1186</v>
      </c>
      <c r="BZ98">
        <f>'2015_2020 Int_Confianca'!BX37</f>
        <v>0.1096</v>
      </c>
      <c r="CA98">
        <f>'2015_2020 Int_Confianca'!BY37</f>
        <v>0.10639999999999999</v>
      </c>
      <c r="CB98">
        <f>'2015_2020 Int_Confianca'!BZ37</f>
        <v>0.1046</v>
      </c>
      <c r="CC98">
        <f>'2015_2020 Int_Confianca'!CA37</f>
        <v>0.1046</v>
      </c>
      <c r="CD98">
        <f>'2015_2020 Int_Confianca'!CB37</f>
        <v>0.11</v>
      </c>
      <c r="CE98">
        <f>'2015_2020 Int_Confianca'!CC37</f>
        <v>0.1381</v>
      </c>
      <c r="CF98">
        <f>'2015_2020 Int_Confianca'!CD37</f>
        <v>0.14990000000000001</v>
      </c>
      <c r="CG98">
        <f>'2015_2020 Int_Confianca'!CE37</f>
        <v>0.14499999999999999</v>
      </c>
      <c r="CH98">
        <f>'2015_2020 Int_Confianca'!CF37</f>
        <v>0.13850000000000001</v>
      </c>
      <c r="CI98">
        <f>'2015_2020 Int_Confianca'!CG37</f>
        <v>0.1384</v>
      </c>
      <c r="CJ98">
        <f>'2015_2020 Int_Confianca'!CH37</f>
        <v>0.14249999999999999</v>
      </c>
      <c r="CK98">
        <f>'2015_2020 Int_Confianca'!CI37</f>
        <v>0.13619999999999999</v>
      </c>
      <c r="CL98">
        <f>'2015_2020 Int_Confianca'!CJ37</f>
        <v>0.13070000000000001</v>
      </c>
      <c r="CM98">
        <f>'2015_2020 Int_Confianca'!CK37</f>
        <v>0.1343</v>
      </c>
      <c r="CN98">
        <f>'2015_2020 Int_Confianca'!CL37</f>
        <v>0.15609999999999999</v>
      </c>
      <c r="CO98">
        <f>'2015_2020 Int_Confianca'!CM37</f>
        <v>0.15679999999999999</v>
      </c>
      <c r="CP98">
        <f>'2015_2020 Int_Confianca'!CN37</f>
        <v>0.13170000000000001</v>
      </c>
      <c r="CQ98">
        <f>'2015_2020 Int_Confianca'!CO37</f>
        <v>0.1216</v>
      </c>
      <c r="CR98">
        <f>'2015_2020 Int_Confianca'!CP37</f>
        <v>0.15479999999999999</v>
      </c>
      <c r="CS98">
        <f>'2015_2020 Int_Confianca'!CQ37</f>
        <v>0.12640000000000001</v>
      </c>
      <c r="CT98">
        <f>'2015_2020 Int_Confianca'!CR37</f>
        <v>0.14749999999999999</v>
      </c>
      <c r="CU98">
        <f>'2015_2020 Int_Confianca'!CS37</f>
        <v>0.1474</v>
      </c>
      <c r="CV98">
        <f>'2015_2020 Int_Confianca'!CT37</f>
        <v>0.13600000000000001</v>
      </c>
      <c r="CW98">
        <f>'2015_2020 Int_Confianca'!CU37</f>
        <v>0.13819999999999999</v>
      </c>
      <c r="CX98">
        <f>'2015_2020 Int_Confianca'!CV37</f>
        <v>0.13339999999999999</v>
      </c>
    </row>
    <row r="99" spans="1:102" x14ac:dyDescent="0.2">
      <c r="A99" t="s">
        <v>230</v>
      </c>
      <c r="B99" t="s">
        <v>217</v>
      </c>
      <c r="C99" t="s">
        <v>221</v>
      </c>
      <c r="D99">
        <f>'2015_2020 Int_Confianca'!B38</f>
        <v>5.1299999999999998E-2</v>
      </c>
      <c r="E99">
        <f>'2015_2020 Int_Confianca'!C38</f>
        <v>6.08E-2</v>
      </c>
      <c r="F99">
        <f>'2015_2020 Int_Confianca'!D38</f>
        <v>4.8099999999999997E-2</v>
      </c>
      <c r="G99">
        <f>'2015_2020 Int_Confianca'!E38</f>
        <v>4.6199999999999998E-2</v>
      </c>
      <c r="H99">
        <f>'2015_2020 Int_Confianca'!F38</f>
        <v>3.7199999999999997E-2</v>
      </c>
      <c r="I99">
        <f>'2015_2020 Int_Confianca'!G38</f>
        <v>4.1599999999999998E-2</v>
      </c>
      <c r="J99">
        <f>'2015_2020 Int_Confianca'!H38</f>
        <v>3.5000000000000003E-2</v>
      </c>
      <c r="K99">
        <f>'2015_2020 Int_Confianca'!I38</f>
        <v>3.3099999999999997E-2</v>
      </c>
      <c r="L99">
        <f>'2015_2020 Int_Confianca'!J38</f>
        <v>3.3099999999999997E-2</v>
      </c>
      <c r="M99">
        <f>'2015_2020 Int_Confianca'!K38</f>
        <v>2.6800000000000001E-2</v>
      </c>
      <c r="N99">
        <f>'2015_2020 Int_Confianca'!L38</f>
        <v>2.3599999999999999E-2</v>
      </c>
      <c r="O99">
        <f>'2015_2020 Int_Confianca'!M38</f>
        <v>1.9699999999999999E-2</v>
      </c>
      <c r="P99">
        <f>'2015_2020 Int_Confianca'!N38</f>
        <v>1.9099999999999999E-2</v>
      </c>
      <c r="Q99">
        <f>'2015_2020 Int_Confianca'!O38</f>
        <v>1.9300000000000001E-2</v>
      </c>
      <c r="R99">
        <f>'2015_2020 Int_Confianca'!P38</f>
        <v>2.0799999999999999E-2</v>
      </c>
      <c r="S99">
        <f>'2015_2020 Int_Confianca'!Q38</f>
        <v>2.07E-2</v>
      </c>
      <c r="T99">
        <f>'2015_2020 Int_Confianca'!R38</f>
        <v>2.0799999999999999E-2</v>
      </c>
      <c r="U99">
        <f>'2015_2020 Int_Confianca'!S38</f>
        <v>2.1999999999999999E-2</v>
      </c>
      <c r="V99">
        <f>'2015_2020 Int_Confianca'!T38</f>
        <v>2.3800000000000002E-2</v>
      </c>
      <c r="W99">
        <f>'2015_2020 Int_Confianca'!U38</f>
        <v>2.52E-2</v>
      </c>
      <c r="X99">
        <f>'2015_2020 Int_Confianca'!V38</f>
        <v>2.5700000000000001E-2</v>
      </c>
      <c r="Y99">
        <f>'2015_2020 Int_Confianca'!W38</f>
        <v>2.5899999999999999E-2</v>
      </c>
      <c r="Z99">
        <f>'2015_2020 Int_Confianca'!X38</f>
        <v>2.5999999999999999E-2</v>
      </c>
      <c r="AA99">
        <f>'2015_2020 Int_Confianca'!Y38</f>
        <v>2.7E-2</v>
      </c>
      <c r="AB99">
        <f>'2015_2020 Int_Confianca'!Z38</f>
        <v>2.87E-2</v>
      </c>
      <c r="AC99">
        <f>'2015_2020 Int_Confianca'!AA38</f>
        <v>0.03</v>
      </c>
      <c r="AD99">
        <f>'2015_2020 Int_Confianca'!AB38</f>
        <v>3.0599999999999999E-2</v>
      </c>
      <c r="AE99">
        <f>'2015_2020 Int_Confianca'!AC38</f>
        <v>3.32E-2</v>
      </c>
      <c r="AF99">
        <f>'2015_2020 Int_Confianca'!AD38</f>
        <v>3.4700000000000002E-2</v>
      </c>
      <c r="AG99">
        <f>'2015_2020 Int_Confianca'!AE38</f>
        <v>3.6600000000000001E-2</v>
      </c>
      <c r="AH99">
        <f>'2015_2020 Int_Confianca'!AF38</f>
        <v>3.9E-2</v>
      </c>
      <c r="AI99">
        <f>'2015_2020 Int_Confianca'!AG38</f>
        <v>4.1700000000000001E-2</v>
      </c>
      <c r="AJ99">
        <f>'2015_2020 Int_Confianca'!AH38</f>
        <v>4.6199999999999998E-2</v>
      </c>
      <c r="AK99">
        <f>'2015_2020 Int_Confianca'!AI38</f>
        <v>4.9500000000000002E-2</v>
      </c>
      <c r="AL99">
        <f>'2015_2020 Int_Confianca'!AJ38</f>
        <v>5.2400000000000002E-2</v>
      </c>
      <c r="AM99">
        <f>'2015_2020 Int_Confianca'!AK38</f>
        <v>5.4300000000000001E-2</v>
      </c>
      <c r="AN99">
        <f>'2015_2020 Int_Confianca'!AL38</f>
        <v>5.6500000000000002E-2</v>
      </c>
      <c r="AO99">
        <f>'2015_2020 Int_Confianca'!AM38</f>
        <v>5.8500000000000003E-2</v>
      </c>
      <c r="AP99">
        <f>'2015_2020 Int_Confianca'!AN38</f>
        <v>5.8000000000000003E-2</v>
      </c>
      <c r="AQ99">
        <f>'2015_2020 Int_Confianca'!AO38</f>
        <v>5.7599999999999998E-2</v>
      </c>
      <c r="AR99">
        <f>'2015_2020 Int_Confianca'!AP38</f>
        <v>5.8200000000000002E-2</v>
      </c>
      <c r="AS99">
        <f>'2015_2020 Int_Confianca'!AQ38</f>
        <v>5.8299999999999998E-2</v>
      </c>
      <c r="AT99">
        <f>'2015_2020 Int_Confianca'!AR38</f>
        <v>5.9900000000000002E-2</v>
      </c>
      <c r="AU99">
        <f>'2015_2020 Int_Confianca'!AS38</f>
        <v>5.9900000000000002E-2</v>
      </c>
      <c r="AV99">
        <f>'2015_2020 Int_Confianca'!AT38</f>
        <v>6.3E-2</v>
      </c>
      <c r="AW99">
        <f>'2015_2020 Int_Confianca'!AU38</f>
        <v>6.6299999999999998E-2</v>
      </c>
      <c r="AX99">
        <f>'2015_2020 Int_Confianca'!AV38</f>
        <v>7.0400000000000004E-2</v>
      </c>
      <c r="AY99">
        <f>'2015_2020 Int_Confianca'!AW38</f>
        <v>7.3499999999999996E-2</v>
      </c>
      <c r="AZ99">
        <f>'2015_2020 Int_Confianca'!AX38</f>
        <v>7.6399999999999996E-2</v>
      </c>
      <c r="BA99">
        <f>'2015_2020 Int_Confianca'!AY38</f>
        <v>7.9500000000000001E-2</v>
      </c>
      <c r="BB99">
        <f>'2015_2020 Int_Confianca'!AZ38</f>
        <v>8.0299999999999996E-2</v>
      </c>
      <c r="BC99">
        <f>'2015_2020 Int_Confianca'!BA38</f>
        <v>8.0500000000000002E-2</v>
      </c>
      <c r="BD99">
        <f>'2015_2020 Int_Confianca'!BB38</f>
        <v>8.09E-2</v>
      </c>
      <c r="BE99">
        <f>'2015_2020 Int_Confianca'!BC38</f>
        <v>8.1500000000000003E-2</v>
      </c>
      <c r="BF99">
        <f>'2015_2020 Int_Confianca'!BD38</f>
        <v>8.3699999999999997E-2</v>
      </c>
      <c r="BG99">
        <f>'2015_2020 Int_Confianca'!BE38</f>
        <v>8.4199999999999997E-2</v>
      </c>
      <c r="BH99">
        <f>'2015_2020 Int_Confianca'!BF38</f>
        <v>8.5800000000000001E-2</v>
      </c>
      <c r="BI99">
        <f>'2015_2020 Int_Confianca'!BG38</f>
        <v>8.9099999999999999E-2</v>
      </c>
      <c r="BJ99">
        <f>'2015_2020 Int_Confianca'!BH38</f>
        <v>9.1800000000000007E-2</v>
      </c>
      <c r="BK99">
        <f>'2015_2020 Int_Confianca'!BI38</f>
        <v>9.35E-2</v>
      </c>
      <c r="BL99">
        <f>'2015_2020 Int_Confianca'!BJ38</f>
        <v>9.4899999999999998E-2</v>
      </c>
      <c r="BM99">
        <f>'2015_2020 Int_Confianca'!BK38</f>
        <v>9.7199999999999995E-2</v>
      </c>
      <c r="BN99">
        <f>'2015_2020 Int_Confianca'!BL38</f>
        <v>9.8500000000000004E-2</v>
      </c>
      <c r="BO99">
        <f>'2015_2020 Int_Confianca'!BM38</f>
        <v>9.8799999999999999E-2</v>
      </c>
      <c r="BP99">
        <f>'2015_2020 Int_Confianca'!BN38</f>
        <v>9.8400000000000001E-2</v>
      </c>
      <c r="BQ99">
        <f>'2015_2020 Int_Confianca'!BO38</f>
        <v>9.8900000000000002E-2</v>
      </c>
      <c r="BR99">
        <f>'2015_2020 Int_Confianca'!BP38</f>
        <v>0.1</v>
      </c>
      <c r="BS99">
        <f>'2015_2020 Int_Confianca'!BQ38</f>
        <v>0.10539999999999999</v>
      </c>
      <c r="BT99">
        <f>'2015_2020 Int_Confianca'!BR38</f>
        <v>0.1089</v>
      </c>
      <c r="BU99">
        <f>'2015_2020 Int_Confianca'!BS38</f>
        <v>0.1163</v>
      </c>
      <c r="BV99">
        <f>'2015_2020 Int_Confianca'!BT38</f>
        <v>0.1207</v>
      </c>
      <c r="BW99">
        <f>'2015_2020 Int_Confianca'!BU38</f>
        <v>0.1308</v>
      </c>
      <c r="BX99">
        <f>'2015_2020 Int_Confianca'!BV38</f>
        <v>0.1338</v>
      </c>
      <c r="BY99">
        <f>'2015_2020 Int_Confianca'!BW38</f>
        <v>0.13300000000000001</v>
      </c>
      <c r="BZ99">
        <f>'2015_2020 Int_Confianca'!BX38</f>
        <v>0.123</v>
      </c>
      <c r="CA99">
        <f>'2015_2020 Int_Confianca'!BY38</f>
        <v>0.1195</v>
      </c>
      <c r="CB99">
        <f>'2015_2020 Int_Confianca'!BZ38</f>
        <v>0.1177</v>
      </c>
      <c r="CC99">
        <f>'2015_2020 Int_Confianca'!CA38</f>
        <v>0.1177</v>
      </c>
      <c r="CD99">
        <f>'2015_2020 Int_Confianca'!CB38</f>
        <v>0.12379999999999999</v>
      </c>
      <c r="CE99">
        <f>'2015_2020 Int_Confianca'!CC38</f>
        <v>0.15559999999999999</v>
      </c>
      <c r="CF99">
        <f>'2015_2020 Int_Confianca'!CD38</f>
        <v>0.1691</v>
      </c>
      <c r="CG99">
        <f>'2015_2020 Int_Confianca'!CE38</f>
        <v>0.16370000000000001</v>
      </c>
      <c r="CH99">
        <f>'2015_2020 Int_Confianca'!CF38</f>
        <v>0.15679999999999999</v>
      </c>
      <c r="CI99">
        <f>'2015_2020 Int_Confianca'!CG38</f>
        <v>0.15679999999999999</v>
      </c>
      <c r="CJ99">
        <f>'2015_2020 Int_Confianca'!CH38</f>
        <v>0.1618</v>
      </c>
      <c r="CK99">
        <f>'2015_2020 Int_Confianca'!CI38</f>
        <v>0.15490000000000001</v>
      </c>
      <c r="CL99">
        <f>'2015_2020 Int_Confianca'!CJ38</f>
        <v>0.14899999999999999</v>
      </c>
      <c r="CM99">
        <f>'2015_2020 Int_Confianca'!CK38</f>
        <v>0.1532</v>
      </c>
      <c r="CN99">
        <f>'2015_2020 Int_Confianca'!CL38</f>
        <v>0.17849999999999999</v>
      </c>
      <c r="CO99">
        <f>'2015_2020 Int_Confianca'!CM38</f>
        <v>0.17979999999999999</v>
      </c>
      <c r="CP99">
        <f>'2015_2020 Int_Confianca'!CN38</f>
        <v>0.1515</v>
      </c>
      <c r="CQ99">
        <f>'2015_2020 Int_Confianca'!CO38</f>
        <v>0.14000000000000001</v>
      </c>
      <c r="CR99">
        <f>'2015_2020 Int_Confianca'!CP38</f>
        <v>0.17899999999999999</v>
      </c>
      <c r="CS99">
        <f>'2015_2020 Int_Confianca'!CQ38</f>
        <v>0.14649999999999999</v>
      </c>
      <c r="CT99">
        <f>'2015_2020 Int_Confianca'!CR38</f>
        <v>0.17180000000000001</v>
      </c>
      <c r="CU99">
        <f>'2015_2020 Int_Confianca'!CS38</f>
        <v>0.1729</v>
      </c>
      <c r="CV99">
        <f>'2015_2020 Int_Confianca'!CT38</f>
        <v>0.16089999999999999</v>
      </c>
      <c r="CW99">
        <f>'2015_2020 Int_Confianca'!CU38</f>
        <v>0.1651</v>
      </c>
      <c r="CX99">
        <f>'2015_2020 Int_Confianca'!CV38</f>
        <v>0.16520000000000001</v>
      </c>
    </row>
    <row r="100" spans="1:102" x14ac:dyDescent="0.2">
      <c r="A100" t="s">
        <v>233</v>
      </c>
      <c r="B100" t="s">
        <v>217</v>
      </c>
      <c r="C100" t="s">
        <v>221</v>
      </c>
      <c r="D100">
        <f>'2015_2020 Int_Confianca'!B39</f>
        <v>-7.5499999999999998E-2</v>
      </c>
      <c r="E100">
        <f>'2015_2020 Int_Confianca'!C39</f>
        <v>-0.1406</v>
      </c>
      <c r="F100">
        <f>'2015_2020 Int_Confianca'!D39</f>
        <v>-0.1618</v>
      </c>
      <c r="G100">
        <f>'2015_2020 Int_Confianca'!E39</f>
        <v>-0.12670000000000001</v>
      </c>
      <c r="H100">
        <f>'2015_2020 Int_Confianca'!F39</f>
        <v>-0.18229999999999999</v>
      </c>
      <c r="I100">
        <f>'2015_2020 Int_Confianca'!G39</f>
        <v>-0.12609999999999999</v>
      </c>
      <c r="J100">
        <f>'2015_2020 Int_Confianca'!H39</f>
        <v>-0.1613</v>
      </c>
      <c r="K100">
        <f>'2015_2020 Int_Confianca'!I39</f>
        <v>-0.1147</v>
      </c>
      <c r="L100">
        <f>'2015_2020 Int_Confianca'!J39</f>
        <v>-8.9899999999999994E-2</v>
      </c>
      <c r="M100">
        <f>'2015_2020 Int_Confianca'!K39</f>
        <v>-0.1191</v>
      </c>
      <c r="N100">
        <f>'2015_2020 Int_Confianca'!L39</f>
        <v>-8.4699999999999998E-2</v>
      </c>
      <c r="O100">
        <f>'2015_2020 Int_Confianca'!M39</f>
        <v>-4.2500000000000003E-2</v>
      </c>
      <c r="P100">
        <f>'2015_2020 Int_Confianca'!N39</f>
        <v>-6.2100000000000002E-2</v>
      </c>
      <c r="Q100">
        <f>'2015_2020 Int_Confianca'!O39</f>
        <v>-4.7100000000000003E-2</v>
      </c>
      <c r="R100">
        <f>'2015_2020 Int_Confianca'!P39</f>
        <v>-2.4799999999999999E-2</v>
      </c>
      <c r="S100">
        <f>'2015_2020 Int_Confianca'!Q39</f>
        <v>-2.0199999999999999E-2</v>
      </c>
      <c r="T100">
        <f>'2015_2020 Int_Confianca'!R39</f>
        <v>-1.3299999999999999E-2</v>
      </c>
      <c r="U100">
        <f>'2015_2020 Int_Confianca'!S39</f>
        <v>-1.5299999999999999E-2</v>
      </c>
      <c r="V100">
        <f>'2015_2020 Int_Confianca'!T39</f>
        <v>-5.0000000000000001E-4</v>
      </c>
      <c r="W100">
        <f>'2015_2020 Int_Confianca'!U39</f>
        <v>-5.4000000000000003E-3</v>
      </c>
      <c r="X100">
        <f>'2015_2020 Int_Confianca'!V39</f>
        <v>-2.07E-2</v>
      </c>
      <c r="Y100">
        <f>'2015_2020 Int_Confianca'!W39</f>
        <v>-1.9E-3</v>
      </c>
      <c r="Z100">
        <f>'2015_2020 Int_Confianca'!X39</f>
        <v>-0.02</v>
      </c>
      <c r="AA100">
        <f>'2015_2020 Int_Confianca'!Y39</f>
        <v>-3.3799999999999997E-2</v>
      </c>
      <c r="AB100">
        <f>'2015_2020 Int_Confianca'!Z39</f>
        <v>-3.1199999999999999E-2</v>
      </c>
      <c r="AC100">
        <f>'2015_2020 Int_Confianca'!AA39</f>
        <v>-3.8199999999999998E-2</v>
      </c>
      <c r="AD100">
        <f>'2015_2020 Int_Confianca'!AB39</f>
        <v>-1.5900000000000001E-2</v>
      </c>
      <c r="AE100">
        <f>'2015_2020 Int_Confianca'!AC39</f>
        <v>-1.7899999999999999E-2</v>
      </c>
      <c r="AF100">
        <f>'2015_2020 Int_Confianca'!AD39</f>
        <v>-2.23E-2</v>
      </c>
      <c r="AG100">
        <f>'2015_2020 Int_Confianca'!AE39</f>
        <v>-3.09E-2</v>
      </c>
      <c r="AH100">
        <f>'2015_2020 Int_Confianca'!AF39</f>
        <v>-2.1600000000000001E-2</v>
      </c>
      <c r="AI100">
        <f>'2015_2020 Int_Confianca'!AG39</f>
        <v>-3.15E-2</v>
      </c>
      <c r="AJ100">
        <f>'2015_2020 Int_Confianca'!AH39</f>
        <v>-5.5899999999999998E-2</v>
      </c>
      <c r="AK100">
        <f>'2015_2020 Int_Confianca'!AI39</f>
        <v>-6.3399999999999998E-2</v>
      </c>
      <c r="AL100">
        <f>'2015_2020 Int_Confianca'!AJ39</f>
        <v>-4.1700000000000001E-2</v>
      </c>
      <c r="AM100">
        <f>'2015_2020 Int_Confianca'!AK39</f>
        <v>-3.9100000000000003E-2</v>
      </c>
      <c r="AN100">
        <f>'2015_2020 Int_Confianca'!AL39</f>
        <v>-3.7199999999999997E-2</v>
      </c>
      <c r="AO100">
        <f>'2015_2020 Int_Confianca'!AM39</f>
        <v>-5.1900000000000002E-2</v>
      </c>
      <c r="AP100">
        <f>'2015_2020 Int_Confianca'!AN39</f>
        <v>-7.6799999999999993E-2</v>
      </c>
      <c r="AQ100">
        <f>'2015_2020 Int_Confianca'!AO39</f>
        <v>-8.7900000000000006E-2</v>
      </c>
      <c r="AR100">
        <f>'2015_2020 Int_Confianca'!AP39</f>
        <v>-7.2599999999999998E-2</v>
      </c>
      <c r="AS100">
        <f>'2015_2020 Int_Confianca'!AQ39</f>
        <v>-6.1600000000000002E-2</v>
      </c>
      <c r="AT100">
        <f>'2015_2020 Int_Confianca'!AR39</f>
        <v>-5.5E-2</v>
      </c>
      <c r="AU100">
        <f>'2015_2020 Int_Confianca'!AS39</f>
        <v>-4.5600000000000002E-2</v>
      </c>
      <c r="AV100">
        <f>'2015_2020 Int_Confianca'!AT39</f>
        <v>-4.0399999999999998E-2</v>
      </c>
      <c r="AW100">
        <f>'2015_2020 Int_Confianca'!AU39</f>
        <v>-5.0700000000000002E-2</v>
      </c>
      <c r="AX100">
        <f>'2015_2020 Int_Confianca'!AV39</f>
        <v>-7.7399999999999997E-2</v>
      </c>
      <c r="AY100">
        <f>'2015_2020 Int_Confianca'!AW39</f>
        <v>-7.3200000000000001E-2</v>
      </c>
      <c r="AZ100">
        <f>'2015_2020 Int_Confianca'!AX39</f>
        <v>-7.7700000000000005E-2</v>
      </c>
      <c r="BA100">
        <f>'2015_2020 Int_Confianca'!AY39</f>
        <v>-6.88E-2</v>
      </c>
      <c r="BB100">
        <f>'2015_2020 Int_Confianca'!AZ39</f>
        <v>-7.6499999999999999E-2</v>
      </c>
      <c r="BC100">
        <f>'2015_2020 Int_Confianca'!BA39</f>
        <v>-8.7900000000000006E-2</v>
      </c>
      <c r="BD100">
        <f>'2015_2020 Int_Confianca'!BB39</f>
        <v>-0.10100000000000001</v>
      </c>
      <c r="BE100">
        <f>'2015_2020 Int_Confianca'!BC39</f>
        <v>-0.1016</v>
      </c>
      <c r="BF100">
        <f>'2015_2020 Int_Confianca'!BD39</f>
        <v>-6.2600000000000003E-2</v>
      </c>
      <c r="BG100">
        <f>'2015_2020 Int_Confianca'!BE39</f>
        <v>-8.6199999999999999E-2</v>
      </c>
      <c r="BH100">
        <f>'2015_2020 Int_Confianca'!BF39</f>
        <v>-8.4900000000000003E-2</v>
      </c>
      <c r="BI100">
        <f>'2015_2020 Int_Confianca'!BG39</f>
        <v>-9.3799999999999994E-2</v>
      </c>
      <c r="BJ100">
        <f>'2015_2020 Int_Confianca'!BH39</f>
        <v>-0.10440000000000001</v>
      </c>
      <c r="BK100">
        <f>'2015_2020 Int_Confianca'!BI39</f>
        <v>-9.74E-2</v>
      </c>
      <c r="BL100">
        <f>'2015_2020 Int_Confianca'!BJ39</f>
        <v>-6.9099999999999995E-2</v>
      </c>
      <c r="BM100">
        <f>'2015_2020 Int_Confianca'!BK39</f>
        <v>-8.6800000000000002E-2</v>
      </c>
      <c r="BN100">
        <f>'2015_2020 Int_Confianca'!BL39</f>
        <v>-0.1091</v>
      </c>
      <c r="BO100">
        <f>'2015_2020 Int_Confianca'!BM39</f>
        <v>-0.105</v>
      </c>
      <c r="BP100">
        <f>'2015_2020 Int_Confianca'!BN39</f>
        <v>-5.79E-2</v>
      </c>
      <c r="BQ100">
        <f>'2015_2020 Int_Confianca'!BO39</f>
        <v>-6.88E-2</v>
      </c>
      <c r="BR100">
        <f>'2015_2020 Int_Confianca'!BP39</f>
        <v>-8.2799999999999999E-2</v>
      </c>
      <c r="BS100">
        <f>'2015_2020 Int_Confianca'!BQ39</f>
        <v>-0.1181</v>
      </c>
      <c r="BT100">
        <f>'2015_2020 Int_Confianca'!BR39</f>
        <v>-0.13880000000000001</v>
      </c>
      <c r="BU100">
        <f>'2015_2020 Int_Confianca'!BS39</f>
        <v>-0.1331</v>
      </c>
      <c r="BV100">
        <f>'2015_2020 Int_Confianca'!BT39</f>
        <v>-0.1174</v>
      </c>
      <c r="BW100">
        <f>'2015_2020 Int_Confianca'!BU39</f>
        <v>-0.1198</v>
      </c>
      <c r="BX100">
        <f>'2015_2020 Int_Confianca'!BV39</f>
        <v>-0.1343</v>
      </c>
      <c r="BY100">
        <f>'2015_2020 Int_Confianca'!BW39</f>
        <v>-0.1135</v>
      </c>
      <c r="BZ100">
        <f>'2015_2020 Int_Confianca'!BX39</f>
        <v>-0.11840000000000001</v>
      </c>
      <c r="CA100">
        <f>'2015_2020 Int_Confianca'!BY39</f>
        <v>-0.1426</v>
      </c>
      <c r="CB100">
        <f>'2015_2020 Int_Confianca'!BZ39</f>
        <v>-9.69E-2</v>
      </c>
      <c r="CC100">
        <f>'2015_2020 Int_Confianca'!CA39</f>
        <v>-9.5899999999999999E-2</v>
      </c>
      <c r="CD100">
        <f>'2015_2020 Int_Confianca'!CB39</f>
        <v>-8.14E-2</v>
      </c>
      <c r="CE100">
        <f>'2015_2020 Int_Confianca'!CC39</f>
        <v>-0.10290000000000001</v>
      </c>
      <c r="CF100">
        <f>'2015_2020 Int_Confianca'!CD39</f>
        <v>-0.15179999999999999</v>
      </c>
      <c r="CG100">
        <f>'2015_2020 Int_Confianca'!CE39</f>
        <v>-0.19220000000000001</v>
      </c>
      <c r="CH100">
        <f>'2015_2020 Int_Confianca'!CF39</f>
        <v>-0.1668</v>
      </c>
      <c r="CI100">
        <f>'2015_2020 Int_Confianca'!CG39</f>
        <v>-0.152</v>
      </c>
      <c r="CJ100">
        <f>'2015_2020 Int_Confianca'!CH39</f>
        <v>-0.15459999999999999</v>
      </c>
      <c r="CK100">
        <f>'2015_2020 Int_Confianca'!CI39</f>
        <v>-0.1444</v>
      </c>
      <c r="CL100">
        <f>'2015_2020 Int_Confianca'!CJ39</f>
        <v>-0.10630000000000001</v>
      </c>
      <c r="CM100">
        <f>'2015_2020 Int_Confianca'!CK39</f>
        <v>-0.15260000000000001</v>
      </c>
      <c r="CN100">
        <f>'2015_2020 Int_Confianca'!CL39</f>
        <v>-0.1835</v>
      </c>
      <c r="CO100">
        <f>'2015_2020 Int_Confianca'!CM39</f>
        <v>-0.18049999999999999</v>
      </c>
      <c r="CP100">
        <f>'2015_2020 Int_Confianca'!CN39</f>
        <v>-0.17169999999999999</v>
      </c>
      <c r="CQ100">
        <f>'2015_2020 Int_Confianca'!CO39</f>
        <v>-0.15659999999999999</v>
      </c>
      <c r="CR100">
        <f>'2015_2020 Int_Confianca'!CP39</f>
        <v>-0.1951</v>
      </c>
      <c r="CS100">
        <f>'2015_2020 Int_Confianca'!CQ39</f>
        <v>-0.16880000000000001</v>
      </c>
      <c r="CT100">
        <f>'2015_2020 Int_Confianca'!CR39</f>
        <v>-0.17610000000000001</v>
      </c>
      <c r="CU100">
        <f>'2015_2020 Int_Confianca'!CS39</f>
        <v>-0.2011</v>
      </c>
      <c r="CV100">
        <f>'2015_2020 Int_Confianca'!CT39</f>
        <v>-0.14940000000000001</v>
      </c>
      <c r="CW100">
        <f>'2015_2020 Int_Confianca'!CU39</f>
        <v>-0.2021</v>
      </c>
      <c r="CX100">
        <f>'2015_2020 Int_Confianca'!CV39</f>
        <v>-0.21870000000000001</v>
      </c>
    </row>
    <row r="101" spans="1:102" x14ac:dyDescent="0.2">
      <c r="A101" t="s">
        <v>232</v>
      </c>
      <c r="B101" t="s">
        <v>217</v>
      </c>
      <c r="C101" t="s">
        <v>221</v>
      </c>
      <c r="D101">
        <f>'2015_2020 Int_Confianca'!B40</f>
        <v>-2.6700000000000002E-2</v>
      </c>
      <c r="E101">
        <f>'2015_2020 Int_Confianca'!C40</f>
        <v>-8.8099999999999998E-2</v>
      </c>
      <c r="F101">
        <f>'2015_2020 Int_Confianca'!D40</f>
        <v>-0.1154</v>
      </c>
      <c r="G101">
        <f>'2015_2020 Int_Confianca'!E40</f>
        <v>-9.2499999999999999E-2</v>
      </c>
      <c r="H101">
        <f>'2015_2020 Int_Confianca'!F40</f>
        <v>-0.14399999999999999</v>
      </c>
      <c r="I101">
        <f>'2015_2020 Int_Confianca'!G40</f>
        <v>-9.4100000000000003E-2</v>
      </c>
      <c r="J101">
        <f>'2015_2020 Int_Confianca'!H40</f>
        <v>-0.12970000000000001</v>
      </c>
      <c r="K101">
        <f>'2015_2020 Int_Confianca'!I40</f>
        <v>-8.5400000000000004E-2</v>
      </c>
      <c r="L101">
        <f>'2015_2020 Int_Confianca'!J40</f>
        <v>-6.3299999999999995E-2</v>
      </c>
      <c r="M101">
        <f>'2015_2020 Int_Confianca'!K40</f>
        <v>-9.3899999999999997E-2</v>
      </c>
      <c r="N101">
        <f>'2015_2020 Int_Confianca'!L40</f>
        <v>-6.2199999999999998E-2</v>
      </c>
      <c r="O101">
        <f>'2015_2020 Int_Confianca'!M40</f>
        <v>-2.76E-2</v>
      </c>
      <c r="P101">
        <f>'2015_2020 Int_Confianca'!N40</f>
        <v>-4.7500000000000001E-2</v>
      </c>
      <c r="Q101">
        <f>'2015_2020 Int_Confianca'!O40</f>
        <v>-3.39E-2</v>
      </c>
      <c r="R101">
        <f>'2015_2020 Int_Confianca'!P40</f>
        <v>-1.26E-2</v>
      </c>
      <c r="S101">
        <f>'2015_2020 Int_Confianca'!Q40</f>
        <v>-8.9999999999999993E-3</v>
      </c>
      <c r="T101">
        <f>'2015_2020 Int_Confianca'!R40</f>
        <v>-3.5000000000000001E-3</v>
      </c>
      <c r="U101">
        <f>'2015_2020 Int_Confianca'!S40</f>
        <v>-5.8999999999999999E-3</v>
      </c>
      <c r="V101">
        <f>'2015_2020 Int_Confianca'!T40</f>
        <v>8.2000000000000007E-3</v>
      </c>
      <c r="W101">
        <f>'2015_2020 Int_Confianca'!U40</f>
        <v>3.2000000000000002E-3</v>
      </c>
      <c r="X101">
        <f>'2015_2020 Int_Confianca'!V40</f>
        <v>-1.23E-2</v>
      </c>
      <c r="Y101">
        <f>'2015_2020 Int_Confianca'!W40</f>
        <v>5.7999999999999996E-3</v>
      </c>
      <c r="Z101">
        <f>'2015_2020 Int_Confianca'!X40</f>
        <v>-1.23E-2</v>
      </c>
      <c r="AA101">
        <f>'2015_2020 Int_Confianca'!Y40</f>
        <v>-2.5899999999999999E-2</v>
      </c>
      <c r="AB101">
        <f>'2015_2020 Int_Confianca'!Z40</f>
        <v>-2.3300000000000001E-2</v>
      </c>
      <c r="AC101">
        <f>'2015_2020 Int_Confianca'!AA40</f>
        <v>-3.0300000000000001E-2</v>
      </c>
      <c r="AD101">
        <f>'2015_2020 Int_Confianca'!AB40</f>
        <v>-7.9000000000000008E-3</v>
      </c>
      <c r="AE101">
        <f>'2015_2020 Int_Confianca'!AC40</f>
        <v>-9.7999999999999997E-3</v>
      </c>
      <c r="AF101">
        <f>'2015_2020 Int_Confianca'!AD40</f>
        <v>-1.4E-2</v>
      </c>
      <c r="AG101">
        <f>'2015_2020 Int_Confianca'!AE40</f>
        <v>-2.24E-2</v>
      </c>
      <c r="AH101">
        <f>'2015_2020 Int_Confianca'!AF40</f>
        <v>-1.2699999999999999E-2</v>
      </c>
      <c r="AI101">
        <f>'2015_2020 Int_Confianca'!AG40</f>
        <v>-2.2200000000000001E-2</v>
      </c>
      <c r="AJ101">
        <f>'2015_2020 Int_Confianca'!AH40</f>
        <v>-4.6199999999999998E-2</v>
      </c>
      <c r="AK101">
        <f>'2015_2020 Int_Confianca'!AI40</f>
        <v>-5.3100000000000001E-2</v>
      </c>
      <c r="AL101">
        <f>'2015_2020 Int_Confianca'!AJ40</f>
        <v>-3.09E-2</v>
      </c>
      <c r="AM101">
        <f>'2015_2020 Int_Confianca'!AK40</f>
        <v>-2.81E-2</v>
      </c>
      <c r="AN101">
        <f>'2015_2020 Int_Confianca'!AL40</f>
        <v>-2.5999999999999999E-2</v>
      </c>
      <c r="AO101">
        <f>'2015_2020 Int_Confianca'!AM40</f>
        <v>-4.0599999999999997E-2</v>
      </c>
      <c r="AP101">
        <f>'2015_2020 Int_Confianca'!AN40</f>
        <v>-6.5600000000000006E-2</v>
      </c>
      <c r="AQ101">
        <f>'2015_2020 Int_Confianca'!AO40</f>
        <v>-7.6700000000000004E-2</v>
      </c>
      <c r="AR101">
        <f>'2015_2020 Int_Confianca'!AP40</f>
        <v>-6.13E-2</v>
      </c>
      <c r="AS101">
        <f>'2015_2020 Int_Confianca'!AQ40</f>
        <v>-5.0299999999999997E-2</v>
      </c>
      <c r="AT101">
        <f>'2015_2020 Int_Confianca'!AR40</f>
        <v>-4.36E-2</v>
      </c>
      <c r="AU101">
        <f>'2015_2020 Int_Confianca'!AS40</f>
        <v>-3.4099999999999998E-2</v>
      </c>
      <c r="AV101">
        <f>'2015_2020 Int_Confianca'!AT40</f>
        <v>-2.8799999999999999E-2</v>
      </c>
      <c r="AW101">
        <f>'2015_2020 Int_Confianca'!AU40</f>
        <v>-3.8899999999999997E-2</v>
      </c>
      <c r="AX101">
        <f>'2015_2020 Int_Confianca'!AV40</f>
        <v>-6.5299999999999997E-2</v>
      </c>
      <c r="AY101">
        <f>'2015_2020 Int_Confianca'!AW40</f>
        <v>-6.08E-2</v>
      </c>
      <c r="AZ101">
        <f>'2015_2020 Int_Confianca'!AX40</f>
        <v>-6.5199999999999994E-2</v>
      </c>
      <c r="BA101">
        <f>'2015_2020 Int_Confianca'!AY40</f>
        <v>-5.6099999999999997E-2</v>
      </c>
      <c r="BB101">
        <f>'2015_2020 Int_Confianca'!AZ40</f>
        <v>-6.3600000000000004E-2</v>
      </c>
      <c r="BC101">
        <f>'2015_2020 Int_Confianca'!BA40</f>
        <v>-7.51E-2</v>
      </c>
      <c r="BD101">
        <f>'2015_2020 Int_Confianca'!BB40</f>
        <v>-8.8099999999999998E-2</v>
      </c>
      <c r="BE101">
        <f>'2015_2020 Int_Confianca'!BC40</f>
        <v>-8.8499999999999995E-2</v>
      </c>
      <c r="BF101">
        <f>'2015_2020 Int_Confianca'!BD40</f>
        <v>-4.9099999999999998E-2</v>
      </c>
      <c r="BG101">
        <f>'2015_2020 Int_Confianca'!BE40</f>
        <v>-7.2700000000000001E-2</v>
      </c>
      <c r="BH101">
        <f>'2015_2020 Int_Confianca'!BF40</f>
        <v>-7.1099999999999997E-2</v>
      </c>
      <c r="BI101">
        <f>'2015_2020 Int_Confianca'!BG40</f>
        <v>-7.9600000000000004E-2</v>
      </c>
      <c r="BJ101">
        <f>'2015_2020 Int_Confianca'!BH40</f>
        <v>-0.09</v>
      </c>
      <c r="BK101">
        <f>'2015_2020 Int_Confianca'!BI40</f>
        <v>-8.2600000000000007E-2</v>
      </c>
      <c r="BL101">
        <f>'2015_2020 Int_Confianca'!BJ40</f>
        <v>-5.3999999999999999E-2</v>
      </c>
      <c r="BM101">
        <f>'2015_2020 Int_Confianca'!BK40</f>
        <v>-7.17E-2</v>
      </c>
      <c r="BN101">
        <f>'2015_2020 Int_Confianca'!BL40</f>
        <v>-9.4100000000000003E-2</v>
      </c>
      <c r="BO101">
        <f>'2015_2020 Int_Confianca'!BM40</f>
        <v>-9.0300000000000005E-2</v>
      </c>
      <c r="BP101">
        <f>'2015_2020 Int_Confianca'!BN40</f>
        <v>-4.3400000000000001E-2</v>
      </c>
      <c r="BQ101">
        <f>'2015_2020 Int_Confianca'!BO40</f>
        <v>-5.4199999999999998E-2</v>
      </c>
      <c r="BR101">
        <f>'2015_2020 Int_Confianca'!BP40</f>
        <v>-6.83E-2</v>
      </c>
      <c r="BS101">
        <f>'2015_2020 Int_Confianca'!BQ40</f>
        <v>-0.1033</v>
      </c>
      <c r="BT101">
        <f>'2015_2020 Int_Confianca'!BR40</f>
        <v>-0.1237</v>
      </c>
      <c r="BU101">
        <f>'2015_2020 Int_Confianca'!BS40</f>
        <v>-0.1166</v>
      </c>
      <c r="BV101">
        <f>'2015_2020 Int_Confianca'!BT40</f>
        <v>-9.8599999999999993E-2</v>
      </c>
      <c r="BW101">
        <f>'2015_2020 Int_Confianca'!BU40</f>
        <v>-9.9400000000000002E-2</v>
      </c>
      <c r="BX101">
        <f>'2015_2020 Int_Confianca'!BV40</f>
        <v>-0.1135</v>
      </c>
      <c r="BY101">
        <f>'2015_2020 Int_Confianca'!BW40</f>
        <v>-9.3200000000000005E-2</v>
      </c>
      <c r="BZ101">
        <f>'2015_2020 Int_Confianca'!BX40</f>
        <v>-9.8900000000000002E-2</v>
      </c>
      <c r="CA101">
        <f>'2015_2020 Int_Confianca'!BY40</f>
        <v>-0.1234</v>
      </c>
      <c r="CB101">
        <f>'2015_2020 Int_Confianca'!BZ40</f>
        <v>-7.7100000000000002E-2</v>
      </c>
      <c r="CC101">
        <f>'2015_2020 Int_Confianca'!CA40</f>
        <v>-7.5899999999999995E-2</v>
      </c>
      <c r="CD101">
        <f>'2015_2020 Int_Confianca'!CB40</f>
        <v>-6.0699999999999997E-2</v>
      </c>
      <c r="CE101">
        <f>'2015_2020 Int_Confianca'!CC40</f>
        <v>-7.9500000000000001E-2</v>
      </c>
      <c r="CF101">
        <f>'2015_2020 Int_Confianca'!CD40</f>
        <v>-0.12720000000000001</v>
      </c>
      <c r="CG101">
        <f>'2015_2020 Int_Confianca'!CE40</f>
        <v>-0.16769999999999999</v>
      </c>
      <c r="CH101">
        <f>'2015_2020 Int_Confianca'!CF40</f>
        <v>-0.14099999999999999</v>
      </c>
      <c r="CI101">
        <f>'2015_2020 Int_Confianca'!CG40</f>
        <v>-0.1241</v>
      </c>
      <c r="CJ101">
        <f>'2015_2020 Int_Confianca'!CH40</f>
        <v>-0.1245</v>
      </c>
      <c r="CK101">
        <f>'2015_2020 Int_Confianca'!CI40</f>
        <v>-0.11559999999999999</v>
      </c>
      <c r="CL101">
        <f>'2015_2020 Int_Confianca'!CJ40</f>
        <v>-7.8399999999999997E-2</v>
      </c>
      <c r="CM101">
        <f>'2015_2020 Int_Confianca'!CK40</f>
        <v>-0.1239</v>
      </c>
      <c r="CN101">
        <f>'2015_2020 Int_Confianca'!CL40</f>
        <v>-0.14810000000000001</v>
      </c>
      <c r="CO101">
        <f>'2015_2020 Int_Confianca'!CM40</f>
        <v>-0.14299999999999999</v>
      </c>
      <c r="CP101">
        <f>'2015_2020 Int_Confianca'!CN40</f>
        <v>-0.13789999999999999</v>
      </c>
      <c r="CQ101">
        <f>'2015_2020 Int_Confianca'!CO40</f>
        <v>-0.1222</v>
      </c>
      <c r="CR101">
        <f>'2015_2020 Int_Confianca'!CP40</f>
        <v>-0.14680000000000001</v>
      </c>
      <c r="CS101">
        <f>'2015_2020 Int_Confianca'!CQ40</f>
        <v>-0.1208</v>
      </c>
      <c r="CT101">
        <f>'2015_2020 Int_Confianca'!CR40</f>
        <v>-0.1186</v>
      </c>
      <c r="CU101">
        <f>'2015_2020 Int_Confianca'!CS40</f>
        <v>-0.1389</v>
      </c>
      <c r="CV101">
        <f>'2015_2020 Int_Confianca'!CT40</f>
        <v>-8.5699999999999998E-2</v>
      </c>
      <c r="CW101">
        <f>'2015_2020 Int_Confianca'!CU40</f>
        <v>-0.1139</v>
      </c>
      <c r="CX101">
        <f>'2015_2020 Int_Confianca'!CV40</f>
        <v>-0.11509999999999999</v>
      </c>
    </row>
    <row r="102" spans="1:102" x14ac:dyDescent="0.2">
      <c r="A102" t="s">
        <v>208</v>
      </c>
      <c r="B102" t="s">
        <v>218</v>
      </c>
      <c r="C102" t="s">
        <v>221</v>
      </c>
      <c r="D102">
        <f>'2015_2020'!B7</f>
        <v>4.1700000000000001E-2</v>
      </c>
      <c r="E102">
        <f>'2015_2020'!C7</f>
        <v>5.1999999999999998E-2</v>
      </c>
      <c r="F102">
        <f>'2015_2020'!D7</f>
        <v>4.41E-2</v>
      </c>
      <c r="G102">
        <f>'2015_2020'!E7</f>
        <v>4.53E-2</v>
      </c>
      <c r="H102">
        <f>'2015_2020'!F7</f>
        <v>3.7900000000000003E-2</v>
      </c>
      <c r="I102">
        <f>'2015_2020'!G7</f>
        <v>4.4499999999999998E-2</v>
      </c>
      <c r="J102">
        <f>'2015_2020'!H7</f>
        <v>4.0099999999999997E-2</v>
      </c>
      <c r="K102">
        <f>'2015_2020'!I7</f>
        <v>3.9800000000000002E-2</v>
      </c>
      <c r="L102">
        <f>'2015_2020'!J7</f>
        <v>4.0300000000000002E-2</v>
      </c>
      <c r="M102">
        <f>'2015_2020'!K7</f>
        <v>3.3799999999999997E-2</v>
      </c>
      <c r="N102">
        <f>'2015_2020'!L7</f>
        <v>2.9399999999999999E-2</v>
      </c>
      <c r="O102">
        <f>'2015_2020'!M7</f>
        <v>2.3400000000000001E-2</v>
      </c>
      <c r="P102">
        <f>'2015_2020'!N7</f>
        <v>2.18E-2</v>
      </c>
      <c r="Q102">
        <f>'2015_2020'!O7</f>
        <v>2.1700000000000001E-2</v>
      </c>
      <c r="R102">
        <f>'2015_2020'!P7</f>
        <v>2.24E-2</v>
      </c>
      <c r="S102">
        <f>'2015_2020'!Q7</f>
        <v>2.1999999999999999E-2</v>
      </c>
      <c r="T102">
        <f>'2015_2020'!R7</f>
        <v>2.1499999999999998E-2</v>
      </c>
      <c r="U102">
        <f>'2015_2020'!S7</f>
        <v>2.18E-2</v>
      </c>
      <c r="V102">
        <f>'2015_2020'!T7</f>
        <v>2.2800000000000001E-2</v>
      </c>
      <c r="W102">
        <f>'2015_2020'!U7</f>
        <v>2.3199999999999998E-2</v>
      </c>
      <c r="X102">
        <f>'2015_2020'!V7</f>
        <v>2.3E-2</v>
      </c>
      <c r="Y102">
        <f>'2015_2020'!W7</f>
        <v>2.3099999999999999E-2</v>
      </c>
      <c r="Z102">
        <f>'2015_2020'!X7</f>
        <v>2.3E-2</v>
      </c>
      <c r="AA102">
        <f>'2015_2020'!Y7</f>
        <v>2.3599999999999999E-2</v>
      </c>
      <c r="AB102">
        <f>'2015_2020'!Z7</f>
        <v>2.53E-2</v>
      </c>
      <c r="AC102">
        <f>'2015_2020'!AA7</f>
        <v>2.6499999999999999E-2</v>
      </c>
      <c r="AD102">
        <f>'2015_2020'!AB7</f>
        <v>2.7300000000000001E-2</v>
      </c>
      <c r="AE102">
        <f>'2015_2020'!AC7</f>
        <v>2.8799999999999999E-2</v>
      </c>
      <c r="AF102">
        <f>'2015_2020'!AD7</f>
        <v>3.0200000000000001E-2</v>
      </c>
      <c r="AG102">
        <f>'2015_2020'!AE7</f>
        <v>3.1600000000000003E-2</v>
      </c>
      <c r="AH102">
        <f>'2015_2020'!AF7</f>
        <v>3.3500000000000002E-2</v>
      </c>
      <c r="AI102">
        <f>'2015_2020'!AG7</f>
        <v>3.5799999999999998E-2</v>
      </c>
      <c r="AJ102">
        <f>'2015_2020'!AH7</f>
        <v>3.9600000000000003E-2</v>
      </c>
      <c r="AK102">
        <f>'2015_2020'!AI7</f>
        <v>4.2700000000000002E-2</v>
      </c>
      <c r="AL102">
        <f>'2015_2020'!AJ7</f>
        <v>4.5100000000000001E-2</v>
      </c>
      <c r="AM102">
        <f>'2015_2020'!AK7</f>
        <v>4.65E-2</v>
      </c>
      <c r="AN102">
        <f>'2015_2020'!AL7</f>
        <v>4.8099999999999997E-2</v>
      </c>
      <c r="AO102">
        <f>'2015_2020'!AM7</f>
        <v>4.9399999999999999E-2</v>
      </c>
      <c r="AP102">
        <f>'2015_2020'!AN7</f>
        <v>4.9099999999999998E-2</v>
      </c>
      <c r="AQ102">
        <f>'2015_2020'!AO7</f>
        <v>4.87E-2</v>
      </c>
      <c r="AR102">
        <f>'2015_2020'!AP7</f>
        <v>4.9299999999999997E-2</v>
      </c>
      <c r="AS102">
        <f>'2015_2020'!AQ7</f>
        <v>4.99E-2</v>
      </c>
      <c r="AT102">
        <f>'2015_2020'!AR7</f>
        <v>5.11E-2</v>
      </c>
      <c r="AU102">
        <f>'2015_2020'!AS7</f>
        <v>5.11E-2</v>
      </c>
      <c r="AV102">
        <f>'2015_2020'!AT7</f>
        <v>5.3400000000000003E-2</v>
      </c>
      <c r="AW102">
        <f>'2015_2020'!AU7</f>
        <v>5.6599999999999998E-2</v>
      </c>
      <c r="AX102">
        <f>'2015_2020'!AV7</f>
        <v>6.0199999999999997E-2</v>
      </c>
      <c r="AY102">
        <f>'2015_2020'!AW7</f>
        <v>6.2600000000000003E-2</v>
      </c>
      <c r="AZ102">
        <f>'2015_2020'!AX7</f>
        <v>6.4899999999999999E-2</v>
      </c>
      <c r="BA102">
        <f>'2015_2020'!AY7</f>
        <v>6.7100000000000007E-2</v>
      </c>
      <c r="BB102">
        <f>'2015_2020'!AZ7</f>
        <v>6.83E-2</v>
      </c>
      <c r="BC102">
        <f>'2015_2020'!BA7</f>
        <v>6.8099999999999994E-2</v>
      </c>
      <c r="BD102">
        <f>'2015_2020'!BB7</f>
        <v>6.8599999999999994E-2</v>
      </c>
      <c r="BE102">
        <f>'2015_2020'!BC7</f>
        <v>6.8900000000000003E-2</v>
      </c>
      <c r="BF102">
        <f>'2015_2020'!BD7</f>
        <v>7.0199999999999999E-2</v>
      </c>
      <c r="BG102">
        <f>'2015_2020'!BE7</f>
        <v>7.0900000000000005E-2</v>
      </c>
      <c r="BH102">
        <f>'2015_2020'!BF7</f>
        <v>7.2300000000000003E-2</v>
      </c>
      <c r="BI102">
        <f>'2015_2020'!BG7</f>
        <v>7.4899999999999994E-2</v>
      </c>
      <c r="BJ102">
        <f>'2015_2020'!BH7</f>
        <v>7.7200000000000005E-2</v>
      </c>
      <c r="BK102">
        <f>'2015_2020'!BI7</f>
        <v>7.9299999999999995E-2</v>
      </c>
      <c r="BL102">
        <f>'2015_2020'!BJ7</f>
        <v>8.0699999999999994E-2</v>
      </c>
      <c r="BM102">
        <f>'2015_2020'!BK7</f>
        <v>8.2400000000000001E-2</v>
      </c>
      <c r="BN102">
        <f>'2015_2020'!BL7</f>
        <v>8.3500000000000005E-2</v>
      </c>
      <c r="BO102">
        <f>'2015_2020'!BM7</f>
        <v>8.3799999999999999E-2</v>
      </c>
      <c r="BP102">
        <f>'2015_2020'!BN7</f>
        <v>8.3699999999999997E-2</v>
      </c>
      <c r="BQ102">
        <f>'2015_2020'!BO7</f>
        <v>8.4099999999999994E-2</v>
      </c>
      <c r="BR102">
        <f>'2015_2020'!BP7</f>
        <v>8.4400000000000003E-2</v>
      </c>
      <c r="BS102">
        <f>'2015_2020'!BQ7</f>
        <v>8.9300000000000004E-2</v>
      </c>
      <c r="BT102">
        <f>'2015_2020'!BR7</f>
        <v>9.2799999999999994E-2</v>
      </c>
      <c r="BU102">
        <f>'2015_2020'!BS7</f>
        <v>9.8900000000000002E-2</v>
      </c>
      <c r="BV102">
        <f>'2015_2020'!BT7</f>
        <v>0.10299999999999999</v>
      </c>
      <c r="BW102">
        <f>'2015_2020'!BU7</f>
        <v>0.113</v>
      </c>
      <c r="BX102">
        <f>'2015_2020'!BV7</f>
        <v>0.115</v>
      </c>
      <c r="BY102">
        <f>'2015_2020'!BW7</f>
        <v>0.114</v>
      </c>
      <c r="BZ102">
        <f>'2015_2020'!BX7</f>
        <v>0.105</v>
      </c>
      <c r="CA102">
        <f>'2015_2020'!BY7</f>
        <v>0.10299999999999999</v>
      </c>
      <c r="CB102">
        <f>'2015_2020'!BZ7</f>
        <v>0.10199999999999999</v>
      </c>
      <c r="CC102">
        <f>'2015_2020'!CA7</f>
        <v>0.10199999999999999</v>
      </c>
      <c r="CD102">
        <f>'2015_2020'!CB7</f>
        <v>0.107</v>
      </c>
      <c r="CE102">
        <f>'2015_2020'!CC7</f>
        <v>0.13500000000000001</v>
      </c>
      <c r="CF102">
        <f>'2015_2020'!CD7</f>
        <v>0.14699999999999999</v>
      </c>
      <c r="CG102">
        <f>'2015_2020'!CE7</f>
        <v>0.14299999999999999</v>
      </c>
      <c r="CH102">
        <f>'2015_2020'!CF7</f>
        <v>0.13800000000000001</v>
      </c>
      <c r="CI102">
        <f>'2015_2020'!CG7</f>
        <v>0.13800000000000001</v>
      </c>
      <c r="CJ102">
        <f>'2015_2020'!CH7</f>
        <v>0.14399999999999999</v>
      </c>
      <c r="CK102">
        <f>'2015_2020'!CI7</f>
        <v>0.13800000000000001</v>
      </c>
      <c r="CL102">
        <f>'2015_2020'!CJ7</f>
        <v>0.13400000000000001</v>
      </c>
      <c r="CM102">
        <f>'2015_2020'!CK7</f>
        <v>0.13700000000000001</v>
      </c>
      <c r="CN102">
        <f>'2015_2020'!CL7</f>
        <v>0.16200000000000001</v>
      </c>
      <c r="CO102">
        <f>'2015_2020'!CM7</f>
        <v>0.16400000000000001</v>
      </c>
      <c r="CP102">
        <f>'2015_2020'!CN7</f>
        <v>0.13900000000000001</v>
      </c>
      <c r="CQ102">
        <f>'2015_2020'!CO7</f>
        <v>0.13</v>
      </c>
      <c r="CR102">
        <f>'2015_2020'!CP7</f>
        <v>0.16600000000000001</v>
      </c>
      <c r="CS102">
        <f>'2015_2020'!CQ7</f>
        <v>0.13700000000000001</v>
      </c>
      <c r="CT102">
        <f>'2015_2020'!CR7</f>
        <v>0.161</v>
      </c>
      <c r="CU102">
        <f>'2015_2020'!CS7</f>
        <v>0.16400000000000001</v>
      </c>
      <c r="CV102">
        <f>'2015_2020'!CT7</f>
        <v>0.153</v>
      </c>
      <c r="CW102">
        <f>'2015_2020'!CU7</f>
        <v>0.153</v>
      </c>
      <c r="CX102">
        <f>'2015_2020'!CV7</f>
        <v>0.14899999999999999</v>
      </c>
    </row>
    <row r="103" spans="1:102" x14ac:dyDescent="0.2">
      <c r="A103" t="s">
        <v>209</v>
      </c>
      <c r="B103" t="s">
        <v>218</v>
      </c>
      <c r="C103" t="s">
        <v>221</v>
      </c>
      <c r="D103">
        <f>'2015_2020'!B8</f>
        <v>2.8700000000000002E-3</v>
      </c>
      <c r="E103">
        <f>'2015_2020'!C8</f>
        <v>6.1700000000000001E-3</v>
      </c>
      <c r="F103">
        <f>'2015_2020'!D8</f>
        <v>6.11E-3</v>
      </c>
      <c r="G103">
        <f>'2015_2020'!E8</f>
        <v>6.4599999999999996E-3</v>
      </c>
      <c r="H103">
        <f>'2015_2020'!F8</f>
        <v>5.7200000000000003E-3</v>
      </c>
      <c r="I103">
        <f>'2015_2020'!G8</f>
        <v>7.1399999999999996E-3</v>
      </c>
      <c r="J103">
        <f>'2015_2020'!H8</f>
        <v>6.2599999999999999E-3</v>
      </c>
      <c r="K103">
        <f>'2015_2020'!I8</f>
        <v>6.2700000000000004E-3</v>
      </c>
      <c r="L103">
        <f>'2015_2020'!J8</f>
        <v>6.3800000000000003E-3</v>
      </c>
      <c r="M103">
        <f>'2015_2020'!K8</f>
        <v>5.1399999999999996E-3</v>
      </c>
      <c r="N103">
        <f>'2015_2020'!L8</f>
        <v>4.5599999999999998E-3</v>
      </c>
      <c r="O103">
        <f>'2015_2020'!M8</f>
        <v>3.6800000000000001E-3</v>
      </c>
      <c r="P103">
        <f>'2015_2020'!N8</f>
        <v>3.4099999999999998E-3</v>
      </c>
      <c r="Q103">
        <f>'2015_2020'!O8</f>
        <v>3.48E-3</v>
      </c>
      <c r="R103">
        <f>'2015_2020'!P8</f>
        <v>3.6600000000000001E-3</v>
      </c>
      <c r="S103">
        <f>'2015_2020'!Q8</f>
        <v>3.64E-3</v>
      </c>
      <c r="T103">
        <f>'2015_2020'!R8</f>
        <v>3.5799999999999998E-3</v>
      </c>
      <c r="U103">
        <f>'2015_2020'!S8</f>
        <v>3.6900000000000001E-3</v>
      </c>
      <c r="V103">
        <f>'2015_2020'!T8</f>
        <v>3.8800000000000002E-3</v>
      </c>
      <c r="W103">
        <f>'2015_2020'!U8</f>
        <v>3.9899999999999996E-3</v>
      </c>
      <c r="X103">
        <f>'2015_2020'!V8</f>
        <v>3.9399999999999999E-3</v>
      </c>
      <c r="Y103">
        <f>'2015_2020'!W8</f>
        <v>3.9100000000000003E-3</v>
      </c>
      <c r="Z103">
        <f>'2015_2020'!X8</f>
        <v>3.9399999999999999E-3</v>
      </c>
      <c r="AA103">
        <f>'2015_2020'!Y8</f>
        <v>3.9300000000000003E-3</v>
      </c>
      <c r="AB103">
        <f>'2015_2020'!Z8</f>
        <v>4.1200000000000004E-3</v>
      </c>
      <c r="AC103">
        <f>'2015_2020'!AA8</f>
        <v>4.3200000000000001E-3</v>
      </c>
      <c r="AD103">
        <f>'2015_2020'!AB8</f>
        <v>4.3899999999999998E-3</v>
      </c>
      <c r="AE103">
        <f>'2015_2020'!AC8</f>
        <v>4.5599999999999998E-3</v>
      </c>
      <c r="AF103">
        <f>'2015_2020'!AD8</f>
        <v>4.7400000000000003E-3</v>
      </c>
      <c r="AG103">
        <f>'2015_2020'!AE8</f>
        <v>5.0000000000000001E-3</v>
      </c>
      <c r="AH103">
        <f>'2015_2020'!AF8</f>
        <v>5.2199999999999998E-3</v>
      </c>
      <c r="AI103">
        <f>'2015_2020'!AG8</f>
        <v>5.5500000000000002E-3</v>
      </c>
      <c r="AJ103">
        <f>'2015_2020'!AH8</f>
        <v>6.0400000000000002E-3</v>
      </c>
      <c r="AK103">
        <f>'2015_2020'!AI8</f>
        <v>6.45E-3</v>
      </c>
      <c r="AL103">
        <f>'2015_2020'!AJ8</f>
        <v>6.7799999999999996E-3</v>
      </c>
      <c r="AM103">
        <f>'2015_2020'!AK8</f>
        <v>7.0600000000000003E-3</v>
      </c>
      <c r="AN103">
        <f>'2015_2020'!AL8</f>
        <v>7.2399999999999999E-3</v>
      </c>
      <c r="AO103">
        <f>'2015_2020'!AM8</f>
        <v>7.4200000000000004E-3</v>
      </c>
      <c r="AP103">
        <f>'2015_2020'!AN8</f>
        <v>7.3299999999999997E-3</v>
      </c>
      <c r="AQ103">
        <f>'2015_2020'!AO8</f>
        <v>7.28E-3</v>
      </c>
      <c r="AR103">
        <f>'2015_2020'!AP8</f>
        <v>7.3000000000000001E-3</v>
      </c>
      <c r="AS103">
        <f>'2015_2020'!AQ8</f>
        <v>7.3400000000000002E-3</v>
      </c>
      <c r="AT103">
        <f>'2015_2020'!AR8</f>
        <v>7.5700000000000003E-3</v>
      </c>
      <c r="AU103">
        <f>'2015_2020'!AS8</f>
        <v>7.5700000000000003E-3</v>
      </c>
      <c r="AV103">
        <f>'2015_2020'!AT8</f>
        <v>7.8399999999999997E-3</v>
      </c>
      <c r="AW103">
        <f>'2015_2020'!AU8</f>
        <v>8.1899999999999994E-3</v>
      </c>
      <c r="AX103">
        <f>'2015_2020'!AV8</f>
        <v>8.6999999999999994E-3</v>
      </c>
      <c r="AY103">
        <f>'2015_2020'!AW8</f>
        <v>9.0100000000000006E-3</v>
      </c>
      <c r="AZ103">
        <f>'2015_2020'!AX8</f>
        <v>9.3200000000000002E-3</v>
      </c>
      <c r="BA103">
        <f>'2015_2020'!AY8</f>
        <v>9.5999999999999992E-3</v>
      </c>
      <c r="BB103">
        <f>'2015_2020'!AZ8</f>
        <v>9.58E-3</v>
      </c>
      <c r="BC103">
        <f>'2015_2020'!BA8</f>
        <v>9.4699999999999993E-3</v>
      </c>
      <c r="BD103">
        <f>'2015_2020'!BB8</f>
        <v>9.4599999999999997E-3</v>
      </c>
      <c r="BE103">
        <f>'2015_2020'!BC8</f>
        <v>9.4999999999999998E-3</v>
      </c>
      <c r="BF103">
        <f>'2015_2020'!BD8</f>
        <v>9.6500000000000006E-3</v>
      </c>
      <c r="BG103">
        <f>'2015_2020'!BE8</f>
        <v>9.6200000000000001E-3</v>
      </c>
      <c r="BH103">
        <f>'2015_2020'!BF8</f>
        <v>9.7099999999999999E-3</v>
      </c>
      <c r="BI103">
        <f>'2015_2020'!BG8</f>
        <v>0.01</v>
      </c>
      <c r="BJ103">
        <f>'2015_2020'!BH8</f>
        <v>1.03E-2</v>
      </c>
      <c r="BK103">
        <f>'2015_2020'!BI8</f>
        <v>1.04E-2</v>
      </c>
      <c r="BL103">
        <f>'2015_2020'!BJ8</f>
        <v>1.0500000000000001E-2</v>
      </c>
      <c r="BM103">
        <f>'2015_2020'!BK8</f>
        <v>1.06E-2</v>
      </c>
      <c r="BN103">
        <f>'2015_2020'!BL8</f>
        <v>1.0699999999999999E-2</v>
      </c>
      <c r="BO103">
        <f>'2015_2020'!BM8</f>
        <v>1.06E-2</v>
      </c>
      <c r="BP103">
        <f>'2015_2020'!BN8</f>
        <v>1.0500000000000001E-2</v>
      </c>
      <c r="BQ103">
        <f>'2015_2020'!BO8</f>
        <v>1.0500000000000001E-2</v>
      </c>
      <c r="BR103">
        <f>'2015_2020'!BP8</f>
        <v>1.0500000000000001E-2</v>
      </c>
      <c r="BS103">
        <f>'2015_2020'!BQ8</f>
        <v>1.0999999999999999E-2</v>
      </c>
      <c r="BT103">
        <f>'2015_2020'!BR8</f>
        <v>1.14E-2</v>
      </c>
      <c r="BU103">
        <f>'2015_2020'!BS8</f>
        <v>1.2200000000000001E-2</v>
      </c>
      <c r="BV103">
        <f>'2015_2020'!BT8</f>
        <v>1.2500000000000001E-2</v>
      </c>
      <c r="BW103">
        <f>'2015_2020'!BU8</f>
        <v>1.3299999999999999E-2</v>
      </c>
      <c r="BX103">
        <f>'2015_2020'!BV8</f>
        <v>1.3599999999999999E-2</v>
      </c>
      <c r="BY103">
        <f>'2015_2020'!BW8</f>
        <v>1.34E-2</v>
      </c>
      <c r="BZ103">
        <f>'2015_2020'!BX8</f>
        <v>1.2200000000000001E-2</v>
      </c>
      <c r="CA103">
        <f>'2015_2020'!BY8</f>
        <v>1.1900000000000001E-2</v>
      </c>
      <c r="CB103">
        <f>'2015_2020'!BZ8</f>
        <v>1.17E-2</v>
      </c>
      <c r="CC103">
        <f>'2015_2020'!CA8</f>
        <v>1.17E-2</v>
      </c>
      <c r="CD103">
        <f>'2015_2020'!CB8</f>
        <v>1.2200000000000001E-2</v>
      </c>
      <c r="CE103">
        <f>'2015_2020'!CC8</f>
        <v>1.5299999999999999E-2</v>
      </c>
      <c r="CF103">
        <f>'2015_2020'!CD8</f>
        <v>1.6400000000000001E-2</v>
      </c>
      <c r="CG103">
        <f>'2015_2020'!CE8</f>
        <v>1.5900000000000001E-2</v>
      </c>
      <c r="CH103">
        <f>'2015_2020'!CF8</f>
        <v>1.52E-2</v>
      </c>
      <c r="CI103">
        <f>'2015_2020'!CG8</f>
        <v>1.4999999999999999E-2</v>
      </c>
      <c r="CJ103">
        <f>'2015_2020'!CH8</f>
        <v>1.55E-2</v>
      </c>
      <c r="CK103">
        <f>'2015_2020'!CI8</f>
        <v>1.4800000000000001E-2</v>
      </c>
      <c r="CL103">
        <f>'2015_2020'!CJ8</f>
        <v>1.43E-2</v>
      </c>
      <c r="CM103">
        <f>'2015_2020'!CK8</f>
        <v>1.4800000000000001E-2</v>
      </c>
      <c r="CN103">
        <f>'2015_2020'!CL8</f>
        <v>1.7399999999999999E-2</v>
      </c>
      <c r="CO103">
        <f>'2015_2020'!CM8</f>
        <v>1.7600000000000001E-2</v>
      </c>
      <c r="CP103">
        <f>'2015_2020'!CN8</f>
        <v>1.4800000000000001E-2</v>
      </c>
      <c r="CQ103">
        <f>'2015_2020'!CO8</f>
        <v>1.43E-2</v>
      </c>
      <c r="CR103">
        <f>'2015_2020'!CP8</f>
        <v>1.8100000000000002E-2</v>
      </c>
      <c r="CS103">
        <f>'2015_2020'!CQ8</f>
        <v>1.5100000000000001E-2</v>
      </c>
      <c r="CT103">
        <f>'2015_2020'!CR8</f>
        <v>1.7999999999999999E-2</v>
      </c>
      <c r="CU103">
        <f>'2015_2020'!CS8</f>
        <v>1.8499999999999999E-2</v>
      </c>
      <c r="CV103">
        <f>'2015_2020'!CT8</f>
        <v>1.7899999999999999E-2</v>
      </c>
      <c r="CW103">
        <f>'2015_2020'!CU8</f>
        <v>1.9300000000000001E-2</v>
      </c>
      <c r="CX103">
        <f>'2015_2020'!CV8</f>
        <v>2.01E-2</v>
      </c>
    </row>
    <row r="104" spans="1:102" x14ac:dyDescent="0.2">
      <c r="A104" t="s">
        <v>210</v>
      </c>
      <c r="B104" t="s">
        <v>218</v>
      </c>
      <c r="C104" t="s">
        <v>221</v>
      </c>
      <c r="D104">
        <f>'2015_2020'!B9</f>
        <v>-4.4299999999999999E-3</v>
      </c>
      <c r="E104">
        <f>'2015_2020'!C9</f>
        <v>-5.4400000000000004E-3</v>
      </c>
      <c r="F104">
        <f>'2015_2020'!D9</f>
        <v>-4.3699999999999998E-3</v>
      </c>
      <c r="G104">
        <f>'2015_2020'!E9</f>
        <v>-4.0499999999999998E-3</v>
      </c>
      <c r="H104">
        <f>'2015_2020'!F9</f>
        <v>-3.0699999999999998E-3</v>
      </c>
      <c r="I104">
        <f>'2015_2020'!G9</f>
        <v>-3.3999999999999998E-3</v>
      </c>
      <c r="J104">
        <f>'2015_2020'!H9</f>
        <v>-2.81E-3</v>
      </c>
      <c r="K104">
        <f>'2015_2020'!I9</f>
        <v>-2.5100000000000001E-3</v>
      </c>
      <c r="L104">
        <f>'2015_2020'!J9</f>
        <v>-2.4499999999999999E-3</v>
      </c>
      <c r="M104">
        <f>'2015_2020'!K9</f>
        <v>-1.91E-3</v>
      </c>
      <c r="N104">
        <f>'2015_2020'!L9</f>
        <v>-1.5499999999999999E-3</v>
      </c>
      <c r="O104">
        <f>'2015_2020'!M9</f>
        <v>-1.17E-3</v>
      </c>
      <c r="P104">
        <f>'2015_2020'!N9</f>
        <v>-1.0399999999999999E-3</v>
      </c>
      <c r="Q104">
        <f>'2015_2020'!O9</f>
        <v>-1.0499999999999999E-3</v>
      </c>
      <c r="R104">
        <f>'2015_2020'!P9</f>
        <v>-1.0300000000000001E-3</v>
      </c>
      <c r="S104">
        <f>'2015_2020'!Q9</f>
        <v>-1.0399999999999999E-3</v>
      </c>
      <c r="T104">
        <f>'2015_2020'!R9</f>
        <v>-1.01E-3</v>
      </c>
      <c r="U104">
        <f>'2015_2020'!S9</f>
        <v>-1.0200000000000001E-3</v>
      </c>
      <c r="V104">
        <f>'2015_2020'!T9</f>
        <v>-1.09E-3</v>
      </c>
      <c r="W104">
        <f>'2015_2020'!U9</f>
        <v>-1.08E-3</v>
      </c>
      <c r="X104">
        <f>'2015_2020'!V9</f>
        <v>-1.06E-3</v>
      </c>
      <c r="Y104">
        <f>'2015_2020'!W9</f>
        <v>-1.08E-3</v>
      </c>
      <c r="Z104">
        <f>'2015_2020'!X9</f>
        <v>-1.08E-3</v>
      </c>
      <c r="AA104">
        <f>'2015_2020'!Y9</f>
        <v>-1.1199999999999999E-3</v>
      </c>
      <c r="AB104">
        <f>'2015_2020'!Z9</f>
        <v>-1.23E-3</v>
      </c>
      <c r="AC104">
        <f>'2015_2020'!AA9</f>
        <v>-1.2999999999999999E-3</v>
      </c>
      <c r="AD104">
        <f>'2015_2020'!AB9</f>
        <v>-1.3699999999999999E-3</v>
      </c>
      <c r="AE104">
        <f>'2015_2020'!AC9</f>
        <v>-1.4400000000000001E-3</v>
      </c>
      <c r="AF104">
        <f>'2015_2020'!AD9</f>
        <v>-1.5499999999999999E-3</v>
      </c>
      <c r="AG104">
        <f>'2015_2020'!AE9</f>
        <v>-1.6299999999999999E-3</v>
      </c>
      <c r="AH104">
        <f>'2015_2020'!AF9</f>
        <v>-1.6999999999999999E-3</v>
      </c>
      <c r="AI104">
        <f>'2015_2020'!AG9</f>
        <v>-1.83E-3</v>
      </c>
      <c r="AJ104">
        <f>'2015_2020'!AH9</f>
        <v>-2.0300000000000001E-3</v>
      </c>
      <c r="AK104">
        <f>'2015_2020'!AI9</f>
        <v>-2.1700000000000001E-3</v>
      </c>
      <c r="AL104">
        <f>'2015_2020'!AJ9</f>
        <v>-2.31E-3</v>
      </c>
      <c r="AM104">
        <f>'2015_2020'!AK9</f>
        <v>-2.3999999999999998E-3</v>
      </c>
      <c r="AN104">
        <f>'2015_2020'!AL9</f>
        <v>-2.48E-3</v>
      </c>
      <c r="AO104">
        <f>'2015_2020'!AM9</f>
        <v>-2.5899999999999999E-3</v>
      </c>
      <c r="AP104">
        <f>'2015_2020'!AN9</f>
        <v>-2.5600000000000002E-3</v>
      </c>
      <c r="AQ104">
        <f>'2015_2020'!AO9</f>
        <v>-2.5400000000000002E-3</v>
      </c>
      <c r="AR104">
        <f>'2015_2020'!AP9</f>
        <v>-2.5300000000000001E-3</v>
      </c>
      <c r="AS104">
        <f>'2015_2020'!AQ9</f>
        <v>-2.5500000000000002E-3</v>
      </c>
      <c r="AT104">
        <f>'2015_2020'!AR9</f>
        <v>-2.5899999999999999E-3</v>
      </c>
      <c r="AU104">
        <f>'2015_2020'!AS9</f>
        <v>-2.5899999999999999E-3</v>
      </c>
      <c r="AV104">
        <f>'2015_2020'!AT9</f>
        <v>-2.7100000000000002E-3</v>
      </c>
      <c r="AW104">
        <f>'2015_2020'!AU9</f>
        <v>-2.8999999999999998E-3</v>
      </c>
      <c r="AX104">
        <f>'2015_2020'!AV9</f>
        <v>-3.0799999999999998E-3</v>
      </c>
      <c r="AY104">
        <f>'2015_2020'!AW9</f>
        <v>-3.1700000000000001E-3</v>
      </c>
      <c r="AZ104">
        <f>'2015_2020'!AX9</f>
        <v>-3.2399999999999998E-3</v>
      </c>
      <c r="BA104">
        <f>'2015_2020'!AY9</f>
        <v>-3.3300000000000001E-3</v>
      </c>
      <c r="BB104">
        <f>'2015_2020'!AZ9</f>
        <v>-3.3600000000000001E-3</v>
      </c>
      <c r="BC104">
        <f>'2015_2020'!BA9</f>
        <v>-3.2799999999999999E-3</v>
      </c>
      <c r="BD104">
        <f>'2015_2020'!BB9</f>
        <v>-3.2599999999999999E-3</v>
      </c>
      <c r="BE104">
        <f>'2015_2020'!BC9</f>
        <v>-3.2699999999999999E-3</v>
      </c>
      <c r="BF104">
        <f>'2015_2020'!BD9</f>
        <v>-3.3E-3</v>
      </c>
      <c r="BG104">
        <f>'2015_2020'!BE9</f>
        <v>-3.2699999999999999E-3</v>
      </c>
      <c r="BH104">
        <f>'2015_2020'!BF9</f>
        <v>-3.2200000000000002E-3</v>
      </c>
      <c r="BI104">
        <f>'2015_2020'!BG9</f>
        <v>-3.29E-3</v>
      </c>
      <c r="BJ104">
        <f>'2015_2020'!BH9</f>
        <v>-3.3300000000000001E-3</v>
      </c>
      <c r="BK104">
        <f>'2015_2020'!BI9</f>
        <v>-3.3899999999999998E-3</v>
      </c>
      <c r="BL104">
        <f>'2015_2020'!BJ9</f>
        <v>-3.3999999999999998E-3</v>
      </c>
      <c r="BM104">
        <f>'2015_2020'!BK9</f>
        <v>-3.4099999999999998E-3</v>
      </c>
      <c r="BN104">
        <f>'2015_2020'!BL9</f>
        <v>-3.3899999999999998E-3</v>
      </c>
      <c r="BO104">
        <f>'2015_2020'!BM9</f>
        <v>-3.3300000000000001E-3</v>
      </c>
      <c r="BP104">
        <f>'2015_2020'!BN9</f>
        <v>-3.29E-3</v>
      </c>
      <c r="BQ104">
        <f>'2015_2020'!BO9</f>
        <v>-3.29E-3</v>
      </c>
      <c r="BR104">
        <f>'2015_2020'!BP9</f>
        <v>-3.2399999999999998E-3</v>
      </c>
      <c r="BS104">
        <f>'2015_2020'!BQ9</f>
        <v>-3.3999999999999998E-3</v>
      </c>
      <c r="BT104">
        <f>'2015_2020'!BR9</f>
        <v>-3.5300000000000002E-3</v>
      </c>
      <c r="BU104">
        <f>'2015_2020'!BS9</f>
        <v>-3.7000000000000002E-3</v>
      </c>
      <c r="BV104">
        <f>'2015_2020'!BT9</f>
        <v>-3.7699999999999999E-3</v>
      </c>
      <c r="BW104">
        <f>'2015_2020'!BU9</f>
        <v>-3.98E-3</v>
      </c>
      <c r="BX104">
        <f>'2015_2020'!BV9</f>
        <v>-4.0099999999999997E-3</v>
      </c>
      <c r="BY104">
        <f>'2015_2020'!BW9</f>
        <v>-3.8899999999999998E-3</v>
      </c>
      <c r="BZ104">
        <f>'2015_2020'!BX9</f>
        <v>-3.5100000000000001E-3</v>
      </c>
      <c r="CA104">
        <f>'2015_2020'!BY9</f>
        <v>-3.4199999999999999E-3</v>
      </c>
      <c r="CB104">
        <f>'2015_2020'!BZ9</f>
        <v>-3.4099999999999998E-3</v>
      </c>
      <c r="CC104">
        <f>'2015_2020'!CA9</f>
        <v>-3.4099999999999998E-3</v>
      </c>
      <c r="CD104">
        <f>'2015_2020'!CB9</f>
        <v>-3.5300000000000002E-3</v>
      </c>
      <c r="CE104">
        <f>'2015_2020'!CC9</f>
        <v>-4.3800000000000002E-3</v>
      </c>
      <c r="CF104">
        <f>'2015_2020'!CD9</f>
        <v>-4.6299999999999996E-3</v>
      </c>
      <c r="CG104">
        <f>'2015_2020'!CE9</f>
        <v>-4.47E-3</v>
      </c>
      <c r="CH104">
        <f>'2015_2020'!CF9</f>
        <v>-4.2199999999999998E-3</v>
      </c>
      <c r="CI104">
        <f>'2015_2020'!CG9</f>
        <v>-4.2500000000000003E-3</v>
      </c>
      <c r="CJ104">
        <f>'2015_2020'!CH9</f>
        <v>-4.4099999999999999E-3</v>
      </c>
      <c r="CK104">
        <f>'2015_2020'!CI9</f>
        <v>-4.1700000000000001E-3</v>
      </c>
      <c r="CL104">
        <f>'2015_2020'!CJ9</f>
        <v>-4.0299999999999997E-3</v>
      </c>
      <c r="CM104">
        <f>'2015_2020'!CK9</f>
        <v>-4.1200000000000004E-3</v>
      </c>
      <c r="CN104">
        <f>'2015_2020'!CL9</f>
        <v>-4.8700000000000002E-3</v>
      </c>
      <c r="CO104">
        <f>'2015_2020'!CM9</f>
        <v>-4.9100000000000003E-3</v>
      </c>
      <c r="CP104">
        <f>'2015_2020'!CN9</f>
        <v>-4.13E-3</v>
      </c>
      <c r="CQ104">
        <f>'2015_2020'!CO9</f>
        <v>-4.0800000000000003E-3</v>
      </c>
      <c r="CR104">
        <f>'2015_2020'!CP9</f>
        <v>-5.2700000000000004E-3</v>
      </c>
      <c r="CS104">
        <f>'2015_2020'!CQ9</f>
        <v>-4.4900000000000001E-3</v>
      </c>
      <c r="CT104">
        <f>'2015_2020'!CR9</f>
        <v>-5.5199999999999997E-3</v>
      </c>
      <c r="CU104">
        <f>'2015_2020'!CS9</f>
        <v>-5.7200000000000003E-3</v>
      </c>
      <c r="CV104">
        <f>'2015_2020'!CT9</f>
        <v>-5.6699999999999997E-3</v>
      </c>
      <c r="CW104">
        <f>'2015_2020'!CU9</f>
        <v>-5.8100000000000001E-3</v>
      </c>
      <c r="CX104">
        <f>'2015_2020'!CV9</f>
        <v>-5.4799999999999996E-3</v>
      </c>
    </row>
    <row r="105" spans="1:102" x14ac:dyDescent="0.2">
      <c r="A105" t="s">
        <v>211</v>
      </c>
      <c r="B105" t="s">
        <v>218</v>
      </c>
      <c r="C105" t="s">
        <v>221</v>
      </c>
      <c r="D105">
        <f>'2015_2020'!B10</f>
        <v>-1.4E-3</v>
      </c>
      <c r="E105">
        <f>'2015_2020'!C10</f>
        <v>-1.8500000000000001E-3</v>
      </c>
      <c r="F105">
        <f>'2015_2020'!D10</f>
        <v>-1.2099999999999999E-3</v>
      </c>
      <c r="G105">
        <f>'2015_2020'!E10</f>
        <v>-1.3500000000000001E-3</v>
      </c>
      <c r="H105">
        <f>'2015_2020'!F10</f>
        <v>-1.0399999999999999E-3</v>
      </c>
      <c r="I105">
        <f>'2015_2020'!G10</f>
        <v>-1.2099999999999999E-3</v>
      </c>
      <c r="J105">
        <f>'2015_2020'!H10</f>
        <v>-1.2899999999999999E-3</v>
      </c>
      <c r="K105">
        <f>'2015_2020'!I10</f>
        <v>-1.24E-3</v>
      </c>
      <c r="L105">
        <f>'2015_2020'!J10</f>
        <v>-1.2899999999999999E-3</v>
      </c>
      <c r="M105">
        <f>'2015_2020'!K10</f>
        <v>-1.06E-3</v>
      </c>
      <c r="N105">
        <f>'2015_2020'!L10</f>
        <v>-8.6899999999999998E-4</v>
      </c>
      <c r="O105">
        <f>'2015_2020'!M10</f>
        <v>-6.0599999999999998E-4</v>
      </c>
      <c r="P105">
        <f>'2015_2020'!N10</f>
        <v>-6.5399999999999996E-4</v>
      </c>
      <c r="Q105">
        <f>'2015_2020'!O10</f>
        <v>-7.3700000000000002E-4</v>
      </c>
      <c r="R105">
        <f>'2015_2020'!P10</f>
        <v>-6.8000000000000005E-4</v>
      </c>
      <c r="S105">
        <f>'2015_2020'!Q10</f>
        <v>-6.0300000000000002E-4</v>
      </c>
      <c r="T105">
        <f>'2015_2020'!R10</f>
        <v>-6.5099999999999999E-4</v>
      </c>
      <c r="U105">
        <f>'2015_2020'!S10</f>
        <v>-6.5899999999999997E-4</v>
      </c>
      <c r="V105">
        <f>'2015_2020'!T10</f>
        <v>-7.2400000000000003E-4</v>
      </c>
      <c r="W105">
        <f>'2015_2020'!U10</f>
        <v>-7.2900000000000005E-4</v>
      </c>
      <c r="X105">
        <f>'2015_2020'!V10</f>
        <v>-6.6200000000000005E-4</v>
      </c>
      <c r="Y105">
        <f>'2015_2020'!W10</f>
        <v>-6.9499999999999998E-4</v>
      </c>
      <c r="Z105">
        <f>'2015_2020'!X10</f>
        <v>-6.9200000000000002E-4</v>
      </c>
      <c r="AA105">
        <f>'2015_2020'!Y10</f>
        <v>-7.5100000000000004E-4</v>
      </c>
      <c r="AB105">
        <f>'2015_2020'!Z10</f>
        <v>-9.1100000000000003E-4</v>
      </c>
      <c r="AC105">
        <f>'2015_2020'!AA10</f>
        <v>-9.7900000000000005E-4</v>
      </c>
      <c r="AD105">
        <f>'2015_2020'!AB10</f>
        <v>-9.7400000000000004E-4</v>
      </c>
      <c r="AE105">
        <f>'2015_2020'!AC10</f>
        <v>-9.7499999999999996E-4</v>
      </c>
      <c r="AF105">
        <f>'2015_2020'!AD10</f>
        <v>-9.3999999999999997E-4</v>
      </c>
      <c r="AG105">
        <f>'2015_2020'!AE10</f>
        <v>-1E-3</v>
      </c>
      <c r="AH105">
        <f>'2015_2020'!AF10</f>
        <v>-1.08E-3</v>
      </c>
      <c r="AI105">
        <f>'2015_2020'!AG10</f>
        <v>-1.16E-3</v>
      </c>
      <c r="AJ105">
        <f>'2015_2020'!AH10</f>
        <v>-1.2899999999999999E-3</v>
      </c>
      <c r="AK105">
        <f>'2015_2020'!AI10</f>
        <v>-1.4E-3</v>
      </c>
      <c r="AL105">
        <f>'2015_2020'!AJ10</f>
        <v>-1.5E-3</v>
      </c>
      <c r="AM105">
        <f>'2015_2020'!AK10</f>
        <v>-1.57E-3</v>
      </c>
      <c r="AN105">
        <f>'2015_2020'!AL10</f>
        <v>-1.5900000000000001E-3</v>
      </c>
      <c r="AO105">
        <f>'2015_2020'!AM10</f>
        <v>-1.5E-3</v>
      </c>
      <c r="AP105">
        <f>'2015_2020'!AN10</f>
        <v>-1.5100000000000001E-3</v>
      </c>
      <c r="AQ105">
        <f>'2015_2020'!AO10</f>
        <v>-1.5E-3</v>
      </c>
      <c r="AR105">
        <f>'2015_2020'!AP10</f>
        <v>-1.6299999999999999E-3</v>
      </c>
      <c r="AS105">
        <f>'2015_2020'!AQ10</f>
        <v>-1.7099999999999999E-3</v>
      </c>
      <c r="AT105">
        <f>'2015_2020'!AR10</f>
        <v>-1.72E-3</v>
      </c>
      <c r="AU105">
        <f>'2015_2020'!AS10</f>
        <v>-1.72E-3</v>
      </c>
      <c r="AV105">
        <f>'2015_2020'!AT10</f>
        <v>-1.6000000000000001E-3</v>
      </c>
      <c r="AW105">
        <f>'2015_2020'!AU10</f>
        <v>-1.6900000000000001E-3</v>
      </c>
      <c r="AX105">
        <f>'2015_2020'!AV10</f>
        <v>-1.7700000000000001E-3</v>
      </c>
      <c r="AY105">
        <f>'2015_2020'!AW10</f>
        <v>-1.8699999999999999E-3</v>
      </c>
      <c r="AZ105">
        <f>'2015_2020'!AX10</f>
        <v>-1.9E-3</v>
      </c>
      <c r="BA105">
        <f>'2015_2020'!AY10</f>
        <v>-1.89E-3</v>
      </c>
      <c r="BB105">
        <f>'2015_2020'!AZ10</f>
        <v>-1.9499999999999999E-3</v>
      </c>
      <c r="BC105">
        <f>'2015_2020'!BA10</f>
        <v>-1.97E-3</v>
      </c>
      <c r="BD105">
        <f>'2015_2020'!BB10</f>
        <v>-2.0799999999999998E-3</v>
      </c>
      <c r="BE105">
        <f>'2015_2020'!BC10</f>
        <v>-2.0799999999999998E-3</v>
      </c>
      <c r="BF105">
        <f>'2015_2020'!BD10</f>
        <v>-1.92E-3</v>
      </c>
      <c r="BG105">
        <f>'2015_2020'!BE10</f>
        <v>-2E-3</v>
      </c>
      <c r="BH105">
        <f>'2015_2020'!BF10</f>
        <v>-2E-3</v>
      </c>
      <c r="BI105">
        <f>'2015_2020'!BG10</f>
        <v>-2.1199999999999999E-3</v>
      </c>
      <c r="BJ105">
        <f>'2015_2020'!BH10</f>
        <v>-2.1800000000000001E-3</v>
      </c>
      <c r="BK105">
        <f>'2015_2020'!BI10</f>
        <v>-2.2300000000000002E-3</v>
      </c>
      <c r="BL105">
        <f>'2015_2020'!BJ10</f>
        <v>-2.2100000000000002E-3</v>
      </c>
      <c r="BM105">
        <f>'2015_2020'!BK10</f>
        <v>-2.2699999999999999E-3</v>
      </c>
      <c r="BN105">
        <f>'2015_2020'!BL10</f>
        <v>-2.2300000000000002E-3</v>
      </c>
      <c r="BO105">
        <f>'2015_2020'!BM10</f>
        <v>-2.2399999999999998E-3</v>
      </c>
      <c r="BP105">
        <f>'2015_2020'!BN10</f>
        <v>-2.4099999999999998E-3</v>
      </c>
      <c r="BQ105">
        <f>'2015_2020'!BO10</f>
        <v>-2.4199999999999998E-3</v>
      </c>
      <c r="BR105">
        <f>'2015_2020'!BP10</f>
        <v>-2.2699999999999999E-3</v>
      </c>
      <c r="BS105">
        <f>'2015_2020'!BQ10</f>
        <v>-2.4499999999999999E-3</v>
      </c>
      <c r="BT105">
        <f>'2015_2020'!BR10</f>
        <v>-2.5999999999999999E-3</v>
      </c>
      <c r="BU105">
        <f>'2015_2020'!BS10</f>
        <v>-2.6700000000000001E-3</v>
      </c>
      <c r="BV105">
        <f>'2015_2020'!BT10</f>
        <v>-2.8400000000000001E-3</v>
      </c>
      <c r="BW105">
        <f>'2015_2020'!BU10</f>
        <v>-3.0599999999999998E-3</v>
      </c>
      <c r="BX105">
        <f>'2015_2020'!BV10</f>
        <v>-3.2200000000000002E-3</v>
      </c>
      <c r="BY105">
        <f>'2015_2020'!BW10</f>
        <v>-3.2100000000000002E-3</v>
      </c>
      <c r="BZ105">
        <f>'2015_2020'!BX10</f>
        <v>-2.8999999999999998E-3</v>
      </c>
      <c r="CA105">
        <f>'2015_2020'!BY10</f>
        <v>-3.0000000000000001E-3</v>
      </c>
      <c r="CB105">
        <f>'2015_2020'!BZ10</f>
        <v>-3.0500000000000002E-3</v>
      </c>
      <c r="CC105">
        <f>'2015_2020'!CA10</f>
        <v>-3.0500000000000002E-3</v>
      </c>
      <c r="CD105">
        <f>'2015_2020'!CB10</f>
        <v>-2.8E-3</v>
      </c>
      <c r="CE105">
        <f>'2015_2020'!CC10</f>
        <v>-3.5599999999999998E-3</v>
      </c>
      <c r="CF105">
        <f>'2015_2020'!CD10</f>
        <v>-3.8500000000000001E-3</v>
      </c>
      <c r="CG105">
        <f>'2015_2020'!CE10</f>
        <v>-3.7499999999999999E-3</v>
      </c>
      <c r="CH105">
        <f>'2015_2020'!CF10</f>
        <v>-3.82E-3</v>
      </c>
      <c r="CI105">
        <f>'2015_2020'!CG10</f>
        <v>-3.79E-3</v>
      </c>
      <c r="CJ105">
        <f>'2015_2020'!CH10</f>
        <v>-3.9300000000000003E-3</v>
      </c>
      <c r="CK105">
        <f>'2015_2020'!CI10</f>
        <v>-3.79E-3</v>
      </c>
      <c r="CL105">
        <f>'2015_2020'!CJ10</f>
        <v>-4.0200000000000001E-3</v>
      </c>
      <c r="CM105">
        <f>'2015_2020'!CK10</f>
        <v>-3.9899999999999996E-3</v>
      </c>
      <c r="CN105">
        <f>'2015_2020'!CL10</f>
        <v>-4.8700000000000002E-3</v>
      </c>
      <c r="CO105">
        <f>'2015_2020'!CM10</f>
        <v>-5.0600000000000003E-3</v>
      </c>
      <c r="CP105">
        <f>'2015_2020'!CN10</f>
        <v>-4.62E-3</v>
      </c>
      <c r="CQ105">
        <f>'2015_2020'!CO10</f>
        <v>-4.2100000000000002E-3</v>
      </c>
      <c r="CR105">
        <f>'2015_2020'!CP10</f>
        <v>-5.4900000000000001E-3</v>
      </c>
      <c r="CS105">
        <f>'2015_2020'!CQ10</f>
        <v>-4.5500000000000002E-3</v>
      </c>
      <c r="CT105">
        <f>'2015_2020'!CR10</f>
        <v>-5.3800000000000002E-3</v>
      </c>
      <c r="CU105">
        <f>'2015_2020'!CS10</f>
        <v>-5.8799999999999998E-3</v>
      </c>
      <c r="CV105">
        <f>'2015_2020'!CT10</f>
        <v>-5.94E-3</v>
      </c>
      <c r="CW105">
        <f>'2015_2020'!CU10</f>
        <v>-6.0899999999999999E-3</v>
      </c>
      <c r="CX105">
        <f>'2015_2020'!CV10</f>
        <v>-5.9899999999999997E-3</v>
      </c>
    </row>
    <row r="106" spans="1:102" x14ac:dyDescent="0.2">
      <c r="A106" t="s">
        <v>212</v>
      </c>
      <c r="B106" t="s">
        <v>218</v>
      </c>
      <c r="C106" t="s">
        <v>221</v>
      </c>
      <c r="D106">
        <f>'2015_2020'!B11</f>
        <v>7.3499999999999998E-3</v>
      </c>
      <c r="E106">
        <f>'2015_2020'!C11</f>
        <v>8.7399999999999995E-3</v>
      </c>
      <c r="F106">
        <f>'2015_2020'!D11</f>
        <v>7.1999999999999998E-3</v>
      </c>
      <c r="G106">
        <f>'2015_2020'!E11</f>
        <v>7.0099999999999997E-3</v>
      </c>
      <c r="H106">
        <f>'2015_2020'!F11</f>
        <v>5.5399999999999998E-3</v>
      </c>
      <c r="I106">
        <f>'2015_2020'!G11</f>
        <v>5.7299999999999999E-3</v>
      </c>
      <c r="J106">
        <f>'2015_2020'!H11</f>
        <v>4.9899999999999996E-3</v>
      </c>
      <c r="K106">
        <f>'2015_2020'!I11</f>
        <v>4.5799999999999999E-3</v>
      </c>
      <c r="L106">
        <f>'2015_2020'!J11</f>
        <v>4.3600000000000002E-3</v>
      </c>
      <c r="M106">
        <f>'2015_2020'!K11</f>
        <v>3.3800000000000002E-3</v>
      </c>
      <c r="N106">
        <f>'2015_2020'!L11</f>
        <v>2.6800000000000001E-3</v>
      </c>
      <c r="O106">
        <f>'2015_2020'!M11</f>
        <v>2.0100000000000001E-3</v>
      </c>
      <c r="P106">
        <f>'2015_2020'!N11</f>
        <v>1.75E-3</v>
      </c>
      <c r="Q106">
        <f>'2015_2020'!O11</f>
        <v>1.6100000000000001E-3</v>
      </c>
      <c r="R106">
        <f>'2015_2020'!P11</f>
        <v>1.5200000000000001E-3</v>
      </c>
      <c r="S106">
        <f>'2015_2020'!Q11</f>
        <v>1.3799999999999999E-3</v>
      </c>
      <c r="T106">
        <f>'2015_2020'!R11</f>
        <v>1.24E-3</v>
      </c>
      <c r="U106">
        <f>'2015_2020'!S11</f>
        <v>1.1299999999999999E-3</v>
      </c>
      <c r="V106">
        <f>'2015_2020'!T11</f>
        <v>1.1100000000000001E-3</v>
      </c>
      <c r="W106">
        <f>'2015_2020'!U11</f>
        <v>1.07E-3</v>
      </c>
      <c r="X106">
        <f>'2015_2020'!V11</f>
        <v>1.0200000000000001E-3</v>
      </c>
      <c r="Y106">
        <f>'2015_2020'!W11</f>
        <v>9.7099999999999997E-4</v>
      </c>
      <c r="Z106">
        <f>'2015_2020'!X11</f>
        <v>9.2299999999999999E-4</v>
      </c>
      <c r="AA106">
        <f>'2015_2020'!Y11</f>
        <v>9.3099999999999997E-4</v>
      </c>
      <c r="AB106">
        <f>'2015_2020'!Z11</f>
        <v>9.5100000000000002E-4</v>
      </c>
      <c r="AC106">
        <f>'2015_2020'!AA11</f>
        <v>9.5E-4</v>
      </c>
      <c r="AD106">
        <f>'2015_2020'!AB11</f>
        <v>9.3999999999999997E-4</v>
      </c>
      <c r="AE106">
        <f>'2015_2020'!AC11</f>
        <v>9.3800000000000003E-4</v>
      </c>
      <c r="AF106">
        <f>'2015_2020'!AD11</f>
        <v>9.2299999999999999E-4</v>
      </c>
      <c r="AG106">
        <f>'2015_2020'!AE11</f>
        <v>9.1399999999999999E-4</v>
      </c>
      <c r="AH106">
        <f>'2015_2020'!AF11</f>
        <v>9.3199999999999999E-4</v>
      </c>
      <c r="AI106">
        <f>'2015_2020'!AG11</f>
        <v>9.4799999999999995E-4</v>
      </c>
      <c r="AJ106">
        <f>'2015_2020'!AH11</f>
        <v>1.0300000000000001E-3</v>
      </c>
      <c r="AK106">
        <f>'2015_2020'!AI11</f>
        <v>1.0399999999999999E-3</v>
      </c>
      <c r="AL106">
        <f>'2015_2020'!AJ11</f>
        <v>1.0300000000000001E-3</v>
      </c>
      <c r="AM106">
        <f>'2015_2020'!AK11</f>
        <v>1.0200000000000001E-3</v>
      </c>
      <c r="AN106">
        <f>'2015_2020'!AL11</f>
        <v>1E-3</v>
      </c>
      <c r="AO106">
        <f>'2015_2020'!AM11</f>
        <v>9.9400000000000009E-4</v>
      </c>
      <c r="AP106">
        <f>'2015_2020'!AN11</f>
        <v>9.5500000000000001E-4</v>
      </c>
      <c r="AQ106">
        <f>'2015_2020'!AO11</f>
        <v>9.7199999999999999E-4</v>
      </c>
      <c r="AR106">
        <f>'2015_2020'!AP11</f>
        <v>9.6400000000000001E-4</v>
      </c>
      <c r="AS106">
        <f>'2015_2020'!AQ11</f>
        <v>9.41E-4</v>
      </c>
      <c r="AT106">
        <f>'2015_2020'!AR11</f>
        <v>9.3499999999999996E-4</v>
      </c>
      <c r="AU106">
        <f>'2015_2020'!AS11</f>
        <v>9.3499999999999996E-4</v>
      </c>
      <c r="AV106">
        <f>'2015_2020'!AT11</f>
        <v>8.6399999999999997E-4</v>
      </c>
      <c r="AW106">
        <f>'2015_2020'!AU11</f>
        <v>8.9899999999999995E-4</v>
      </c>
      <c r="AX106">
        <f>'2015_2020'!AV11</f>
        <v>9.2199999999999997E-4</v>
      </c>
      <c r="AY106">
        <f>'2015_2020'!AW11</f>
        <v>9.2400000000000002E-4</v>
      </c>
      <c r="AZ106">
        <f>'2015_2020'!AX11</f>
        <v>9.2400000000000002E-4</v>
      </c>
      <c r="BA106">
        <f>'2015_2020'!AY11</f>
        <v>9.5299999999999996E-4</v>
      </c>
      <c r="BB106">
        <f>'2015_2020'!AZ11</f>
        <v>9.6199999999999996E-4</v>
      </c>
      <c r="BC106">
        <f>'2015_2020'!BA11</f>
        <v>9.4200000000000002E-4</v>
      </c>
      <c r="BD106">
        <f>'2015_2020'!BB11</f>
        <v>9.1600000000000004E-4</v>
      </c>
      <c r="BE106">
        <f>'2015_2020'!BC11</f>
        <v>9.0300000000000005E-4</v>
      </c>
      <c r="BF106">
        <f>'2015_2020'!BD11</f>
        <v>8.4900000000000004E-4</v>
      </c>
      <c r="BG106">
        <f>'2015_2020'!BE11</f>
        <v>8.4999999999999995E-4</v>
      </c>
      <c r="BH106">
        <f>'2015_2020'!BF11</f>
        <v>8.34E-4</v>
      </c>
      <c r="BI106">
        <f>'2015_2020'!BG11</f>
        <v>8.4199999999999998E-4</v>
      </c>
      <c r="BJ106">
        <f>'2015_2020'!BH11</f>
        <v>8.3900000000000001E-4</v>
      </c>
      <c r="BK106">
        <f>'2015_2020'!BI11</f>
        <v>8.5099999999999998E-4</v>
      </c>
      <c r="BL106">
        <f>'2015_2020'!BJ11</f>
        <v>8.1999999999999998E-4</v>
      </c>
      <c r="BM106">
        <f>'2015_2020'!BK11</f>
        <v>8.1800000000000004E-4</v>
      </c>
      <c r="BN106">
        <f>'2015_2020'!BL11</f>
        <v>7.9299999999999998E-4</v>
      </c>
      <c r="BO106">
        <f>'2015_2020'!BM11</f>
        <v>7.9500000000000003E-4</v>
      </c>
      <c r="BP106">
        <f>'2015_2020'!BN11</f>
        <v>7.6199999999999998E-4</v>
      </c>
      <c r="BQ106">
        <f>'2015_2020'!BO11</f>
        <v>7.3999999999999999E-4</v>
      </c>
      <c r="BR106">
        <f>'2015_2020'!BP11</f>
        <v>6.8499999999999995E-4</v>
      </c>
      <c r="BS106">
        <f>'2015_2020'!BQ11</f>
        <v>7.2999999999999996E-4</v>
      </c>
      <c r="BT106">
        <f>'2015_2020'!BR11</f>
        <v>7.7399999999999995E-4</v>
      </c>
      <c r="BU106">
        <f>'2015_2020'!BS11</f>
        <v>7.9600000000000005E-4</v>
      </c>
      <c r="BV106">
        <f>'2015_2020'!BT11</f>
        <v>7.94E-4</v>
      </c>
      <c r="BW106">
        <f>'2015_2020'!BU11</f>
        <v>8.6700000000000004E-4</v>
      </c>
      <c r="BX106">
        <f>'2015_2020'!BV11</f>
        <v>8.8500000000000004E-4</v>
      </c>
      <c r="BY106">
        <f>'2015_2020'!BW11</f>
        <v>8.2600000000000002E-4</v>
      </c>
      <c r="BZ106">
        <f>'2015_2020'!BX11</f>
        <v>7.8200000000000003E-4</v>
      </c>
      <c r="CA106">
        <f>'2015_2020'!BY11</f>
        <v>7.2999999999999996E-4</v>
      </c>
      <c r="CB106">
        <f>'2015_2020'!BZ11</f>
        <v>6.8800000000000003E-4</v>
      </c>
      <c r="CC106">
        <f>'2015_2020'!CA11</f>
        <v>6.8800000000000003E-4</v>
      </c>
      <c r="CD106">
        <f>'2015_2020'!CB11</f>
        <v>6.7000000000000002E-4</v>
      </c>
      <c r="CE106">
        <f>'2015_2020'!CC11</f>
        <v>8.4900000000000004E-4</v>
      </c>
      <c r="CF106">
        <f>'2015_2020'!CD11</f>
        <v>8.8500000000000004E-4</v>
      </c>
      <c r="CG106">
        <f>'2015_2020'!CE11</f>
        <v>8.52E-4</v>
      </c>
      <c r="CH106">
        <f>'2015_2020'!CF11</f>
        <v>7.7700000000000002E-4</v>
      </c>
      <c r="CI106">
        <f>'2015_2020'!CG11</f>
        <v>7.4799999999999997E-4</v>
      </c>
      <c r="CJ106">
        <f>'2015_2020'!CH11</f>
        <v>6.8499999999999995E-4</v>
      </c>
      <c r="CK106">
        <f>'2015_2020'!CI11</f>
        <v>7.1400000000000001E-4</v>
      </c>
      <c r="CL106">
        <f>'2015_2020'!CJ11</f>
        <v>6.2799999999999998E-4</v>
      </c>
      <c r="CM106">
        <f>'2015_2020'!CK11</f>
        <v>6.38E-4</v>
      </c>
      <c r="CN106">
        <f>'2015_2020'!CL11</f>
        <v>7.0299999999999996E-4</v>
      </c>
      <c r="CO106">
        <f>'2015_2020'!CM11</f>
        <v>7.4600000000000003E-4</v>
      </c>
      <c r="CP106">
        <f>'2015_2020'!CN11</f>
        <v>6.8499999999999995E-4</v>
      </c>
      <c r="CQ106">
        <f>'2015_2020'!CO11</f>
        <v>5.9900000000000003E-4</v>
      </c>
      <c r="CR106">
        <f>'2015_2020'!CP11</f>
        <v>7.6000000000000004E-4</v>
      </c>
      <c r="CS106">
        <f>'2015_2020'!CQ11</f>
        <v>5.7200000000000003E-4</v>
      </c>
      <c r="CT106">
        <f>'2015_2020'!CR11</f>
        <v>6.4899999999999995E-4</v>
      </c>
      <c r="CU106">
        <f>'2015_2020'!CS11</f>
        <v>5.6400000000000005E-4</v>
      </c>
      <c r="CV106">
        <f>'2015_2020'!CT11</f>
        <v>7.1900000000000002E-4</v>
      </c>
      <c r="CW106">
        <f>'2015_2020'!CU11</f>
        <v>7.3700000000000002E-4</v>
      </c>
      <c r="CX106">
        <f>'2015_2020'!CV11</f>
        <v>9.8499999999999998E-4</v>
      </c>
    </row>
    <row r="107" spans="1:102" x14ac:dyDescent="0.2">
      <c r="A107" t="s">
        <v>213</v>
      </c>
      <c r="B107" t="s">
        <v>218</v>
      </c>
      <c r="C107" t="s">
        <v>221</v>
      </c>
      <c r="D107">
        <f>'2015_2020'!B12</f>
        <v>-2.5899999999999999E-2</v>
      </c>
      <c r="E107">
        <f>'2015_2020'!C12</f>
        <v>-3.6700000000000003E-2</v>
      </c>
      <c r="F107">
        <f>'2015_2020'!D12</f>
        <v>-3.3399999999999999E-2</v>
      </c>
      <c r="G107">
        <f>'2015_2020'!E12</f>
        <v>-3.56E-2</v>
      </c>
      <c r="H107">
        <f>'2015_2020'!F12</f>
        <v>-3.0700000000000002E-2</v>
      </c>
      <c r="I107">
        <f>'2015_2020'!G12</f>
        <v>-3.6700000000000003E-2</v>
      </c>
      <c r="J107">
        <f>'2015_2020'!H12</f>
        <v>-3.3799999999999997E-2</v>
      </c>
      <c r="K107">
        <f>'2015_2020'!I12</f>
        <v>-3.32E-2</v>
      </c>
      <c r="L107">
        <f>'2015_2020'!J12</f>
        <v>-3.3099999999999997E-2</v>
      </c>
      <c r="M107">
        <f>'2015_2020'!K12</f>
        <v>-2.6499999999999999E-2</v>
      </c>
      <c r="N107">
        <f>'2015_2020'!L12</f>
        <v>-2.18E-2</v>
      </c>
      <c r="O107">
        <f>'2015_2020'!M12</f>
        <v>-1.6400000000000001E-2</v>
      </c>
      <c r="P107">
        <f>'2015_2020'!N12</f>
        <v>-1.37E-2</v>
      </c>
      <c r="Q107">
        <f>'2015_2020'!O12</f>
        <v>-1.2500000000000001E-2</v>
      </c>
      <c r="R107">
        <f>'2015_2020'!P12</f>
        <v>-1.14E-2</v>
      </c>
      <c r="S107">
        <f>'2015_2020'!Q12</f>
        <v>-1.0699999999999999E-2</v>
      </c>
      <c r="T107">
        <f>'2015_2020'!R12</f>
        <v>-9.7000000000000003E-3</v>
      </c>
      <c r="U107">
        <f>'2015_2020'!S12</f>
        <v>-9.11E-3</v>
      </c>
      <c r="V107">
        <f>'2015_2020'!T12</f>
        <v>-8.1399999999999997E-3</v>
      </c>
      <c r="W107">
        <f>'2015_2020'!U12</f>
        <v>-7.43E-3</v>
      </c>
      <c r="X107">
        <f>'2015_2020'!V12</f>
        <v>-6.6299999999999996E-3</v>
      </c>
      <c r="Y107">
        <f>'2015_2020'!W12</f>
        <v>-6.0400000000000002E-3</v>
      </c>
      <c r="Z107">
        <f>'2015_2020'!X12</f>
        <v>-5.5399999999999998E-3</v>
      </c>
      <c r="AA107">
        <f>'2015_2020'!Y12</f>
        <v>-5.1700000000000001E-3</v>
      </c>
      <c r="AB107">
        <f>'2015_2020'!Z12</f>
        <v>-4.8799999999999998E-3</v>
      </c>
      <c r="AC107">
        <f>'2015_2020'!AA12</f>
        <v>-4.8900000000000002E-3</v>
      </c>
      <c r="AD107">
        <f>'2015_2020'!AB12</f>
        <v>-4.9800000000000001E-3</v>
      </c>
      <c r="AE107">
        <f>'2015_2020'!AC12</f>
        <v>-4.5700000000000003E-3</v>
      </c>
      <c r="AF107">
        <f>'2015_2020'!AD12</f>
        <v>-4.7000000000000002E-3</v>
      </c>
      <c r="AG107">
        <f>'2015_2020'!AE12</f>
        <v>-4.6299999999999996E-3</v>
      </c>
      <c r="AH107">
        <f>'2015_2020'!AF12</f>
        <v>-4.4200000000000003E-3</v>
      </c>
      <c r="AI107">
        <f>'2015_2020'!AG12</f>
        <v>-4.4600000000000004E-3</v>
      </c>
      <c r="AJ107">
        <f>'2015_2020'!AH12</f>
        <v>-4.4200000000000003E-3</v>
      </c>
      <c r="AK107">
        <f>'2015_2020'!AI12</f>
        <v>-4.4400000000000004E-3</v>
      </c>
      <c r="AL107">
        <f>'2015_2020'!AJ12</f>
        <v>-4.1900000000000001E-3</v>
      </c>
      <c r="AM107">
        <f>'2015_2020'!AK12</f>
        <v>-3.9399999999999999E-3</v>
      </c>
      <c r="AN107">
        <f>'2015_2020'!AL12</f>
        <v>-3.48E-3</v>
      </c>
      <c r="AO107">
        <f>'2015_2020'!AM12</f>
        <v>-3.0400000000000002E-3</v>
      </c>
      <c r="AP107">
        <f>'2015_2020'!AN12</f>
        <v>-2.7200000000000002E-3</v>
      </c>
      <c r="AQ107">
        <f>'2015_2020'!AO12</f>
        <v>-2.4499999999999999E-3</v>
      </c>
      <c r="AR107">
        <f>'2015_2020'!AP12</f>
        <v>-2.4299999999999999E-3</v>
      </c>
      <c r="AS107">
        <f>'2015_2020'!AQ12</f>
        <v>-2.4399999999999999E-3</v>
      </c>
      <c r="AT107">
        <f>'2015_2020'!AR12</f>
        <v>-2.2200000000000002E-3</v>
      </c>
      <c r="AU107">
        <f>'2015_2020'!AS12</f>
        <v>-2.2200000000000002E-3</v>
      </c>
      <c r="AV107">
        <f>'2015_2020'!AT12</f>
        <v>-2.0600000000000002E-3</v>
      </c>
      <c r="AW107">
        <f>'2015_2020'!AU12</f>
        <v>-2.1099999999999999E-3</v>
      </c>
      <c r="AX107">
        <f>'2015_2020'!AV12</f>
        <v>-2.1800000000000001E-3</v>
      </c>
      <c r="AY107">
        <f>'2015_2020'!AW12</f>
        <v>-1.9400000000000001E-3</v>
      </c>
      <c r="AZ107">
        <f>'2015_2020'!AX12</f>
        <v>-1.5200000000000001E-3</v>
      </c>
      <c r="BA107">
        <f>'2015_2020'!AY12</f>
        <v>-1.1299999999999999E-3</v>
      </c>
      <c r="BB107">
        <f>'2015_2020'!AZ12</f>
        <v>-1.0499999999999999E-3</v>
      </c>
      <c r="BC107">
        <f>'2015_2020'!BA12</f>
        <v>-6.7900000000000002E-4</v>
      </c>
      <c r="BD107">
        <f>'2015_2020'!BB12</f>
        <v>-5.8E-4</v>
      </c>
      <c r="BE107">
        <f>'2015_2020'!BC12</f>
        <v>-3.8000000000000002E-4</v>
      </c>
      <c r="BF107">
        <f>'2015_2020'!BD12</f>
        <v>3.3699999999999999E-5</v>
      </c>
      <c r="BG107">
        <f>'2015_2020'!BE12</f>
        <v>5.3300000000000001E-5</v>
      </c>
      <c r="BH107">
        <f>'2015_2020'!BF12</f>
        <v>1.1400000000000001E-4</v>
      </c>
      <c r="BI107">
        <f>'2015_2020'!BG12</f>
        <v>3.8400000000000001E-4</v>
      </c>
      <c r="BJ107">
        <f>'2015_2020'!BH12</f>
        <v>5.8399999999999999E-4</v>
      </c>
      <c r="BK107">
        <f>'2015_2020'!BI12</f>
        <v>4.9399999999999997E-4</v>
      </c>
      <c r="BL107">
        <f>'2015_2020'!BJ12</f>
        <v>4.57E-4</v>
      </c>
      <c r="BM107">
        <f>'2015_2020'!BK12</f>
        <v>6.87E-4</v>
      </c>
      <c r="BN107">
        <f>'2015_2020'!BL12</f>
        <v>8.61E-4</v>
      </c>
      <c r="BO107">
        <f>'2015_2020'!BM12</f>
        <v>1E-3</v>
      </c>
      <c r="BP107">
        <f>'2015_2020'!BN12</f>
        <v>9.7400000000000004E-4</v>
      </c>
      <c r="BQ107">
        <f>'2015_2020'!BO12</f>
        <v>1.0200000000000001E-3</v>
      </c>
      <c r="BR107">
        <f>'2015_2020'!BP12</f>
        <v>1.07E-3</v>
      </c>
      <c r="BS107">
        <f>'2015_2020'!BQ12</f>
        <v>1.1299999999999999E-3</v>
      </c>
      <c r="BT107">
        <f>'2015_2020'!BR12</f>
        <v>9.8799999999999995E-4</v>
      </c>
      <c r="BU107">
        <f>'2015_2020'!BS12</f>
        <v>1.17E-3</v>
      </c>
      <c r="BV107">
        <f>'2015_2020'!BT12</f>
        <v>1.1199999999999999E-3</v>
      </c>
      <c r="BW107">
        <f>'2015_2020'!BU12</f>
        <v>1.2899999999999999E-3</v>
      </c>
      <c r="BX107">
        <f>'2015_2020'!BV12</f>
        <v>1.41E-3</v>
      </c>
      <c r="BY107">
        <f>'2015_2020'!BW12</f>
        <v>1.8699999999999999E-3</v>
      </c>
      <c r="BZ107">
        <f>'2015_2020'!BX12</f>
        <v>1.9499999999999999E-3</v>
      </c>
      <c r="CA107">
        <f>'2015_2020'!BY12</f>
        <v>1.6000000000000001E-3</v>
      </c>
      <c r="CB107">
        <f>'2015_2020'!BZ12</f>
        <v>1.08E-3</v>
      </c>
      <c r="CC107">
        <f>'2015_2020'!CA12</f>
        <v>1.08E-3</v>
      </c>
      <c r="CD107">
        <f>'2015_2020'!CB12</f>
        <v>6.8300000000000001E-4</v>
      </c>
      <c r="CE107">
        <f>'2015_2020'!CC12</f>
        <v>8.4400000000000002E-4</v>
      </c>
      <c r="CF107">
        <f>'2015_2020'!CD12</f>
        <v>1.0499999999999999E-3</v>
      </c>
      <c r="CG107">
        <f>'2015_2020'!CE12</f>
        <v>8.2600000000000002E-4</v>
      </c>
      <c r="CH107">
        <f>'2015_2020'!CF12</f>
        <v>5.8200000000000005E-4</v>
      </c>
      <c r="CI107">
        <f>'2015_2020'!CG12</f>
        <v>4.2900000000000002E-4</v>
      </c>
      <c r="CJ107">
        <f>'2015_2020'!CH12</f>
        <v>-6.2799999999999995E-5</v>
      </c>
      <c r="CK107">
        <f>'2015_2020'!CI12</f>
        <v>-8.3200000000000003E-5</v>
      </c>
      <c r="CL107">
        <f>'2015_2020'!CJ12</f>
        <v>-2.05E-4</v>
      </c>
      <c r="CM107">
        <f>'2015_2020'!CK12</f>
        <v>-2.8299999999999999E-4</v>
      </c>
      <c r="CN107">
        <f>'2015_2020'!CL12</f>
        <v>-6.9700000000000003E-4</v>
      </c>
      <c r="CO107">
        <f>'2015_2020'!CM12</f>
        <v>-1.16E-3</v>
      </c>
      <c r="CP107">
        <f>'2015_2020'!CN12</f>
        <v>-7.9500000000000003E-4</v>
      </c>
      <c r="CQ107">
        <f>'2015_2020'!CO12</f>
        <v>-1.3600000000000001E-3</v>
      </c>
      <c r="CR107">
        <f>'2015_2020'!CP12</f>
        <v>-1.6100000000000001E-3</v>
      </c>
      <c r="CS107">
        <f>'2015_2020'!CQ12</f>
        <v>-1.08E-3</v>
      </c>
      <c r="CT107">
        <f>'2015_2020'!CR12</f>
        <v>-2.0600000000000002E-3</v>
      </c>
      <c r="CU107">
        <f>'2015_2020'!CS12</f>
        <v>-2.47E-3</v>
      </c>
      <c r="CV107">
        <f>'2015_2020'!CT12</f>
        <v>-2.49E-3</v>
      </c>
      <c r="CW107">
        <f>'2015_2020'!CU12</f>
        <v>-2.2100000000000002E-3</v>
      </c>
      <c r="CX107">
        <f>'2015_2020'!CV12</f>
        <v>-2.2799999999999999E-3</v>
      </c>
    </row>
    <row r="108" spans="1:102" x14ac:dyDescent="0.2">
      <c r="A108" t="s">
        <v>214</v>
      </c>
      <c r="B108" t="s">
        <v>218</v>
      </c>
      <c r="C108" t="s">
        <v>221</v>
      </c>
      <c r="D108">
        <f>'2015_2020'!B13</f>
        <v>1.2200000000000001E-2</v>
      </c>
      <c r="E108">
        <f>'2015_2020'!C13</f>
        <v>1.5100000000000001E-2</v>
      </c>
      <c r="F108">
        <f>'2015_2020'!D13</f>
        <v>1.24E-2</v>
      </c>
      <c r="G108">
        <f>'2015_2020'!E13</f>
        <v>1.17E-2</v>
      </c>
      <c r="H108">
        <f>'2015_2020'!F13</f>
        <v>1.0200000000000001E-2</v>
      </c>
      <c r="I108">
        <f>'2015_2020'!G13</f>
        <v>1.1299999999999999E-2</v>
      </c>
      <c r="J108">
        <f>'2015_2020'!H13</f>
        <v>9.7699999999999992E-3</v>
      </c>
      <c r="K108">
        <f>'2015_2020'!I13</f>
        <v>8.4600000000000005E-3</v>
      </c>
      <c r="L108">
        <f>'2015_2020'!J13</f>
        <v>8.5299999999999994E-3</v>
      </c>
      <c r="M108">
        <f>'2015_2020'!K13</f>
        <v>6.5900000000000004E-3</v>
      </c>
      <c r="N108">
        <f>'2015_2020'!L13</f>
        <v>5.1599999999999997E-3</v>
      </c>
      <c r="O108">
        <f>'2015_2020'!M13</f>
        <v>4.2199999999999998E-3</v>
      </c>
      <c r="P108">
        <f>'2015_2020'!N13</f>
        <v>3.7799999999999999E-3</v>
      </c>
      <c r="Q108">
        <f>'2015_2020'!O13</f>
        <v>3.3800000000000002E-3</v>
      </c>
      <c r="R108">
        <f>'2015_2020'!P13</f>
        <v>3.4099999999999998E-3</v>
      </c>
      <c r="S108">
        <f>'2015_2020'!Q13</f>
        <v>3.2799999999999999E-3</v>
      </c>
      <c r="T108">
        <f>'2015_2020'!R13</f>
        <v>3.2200000000000002E-3</v>
      </c>
      <c r="U108">
        <f>'2015_2020'!S13</f>
        <v>3.3500000000000001E-3</v>
      </c>
      <c r="V108">
        <f>'2015_2020'!T13</f>
        <v>3.0999999999999999E-3</v>
      </c>
      <c r="W108">
        <f>'2015_2020'!U13</f>
        <v>3.15E-3</v>
      </c>
      <c r="X108">
        <f>'2015_2020'!V13</f>
        <v>3.16E-3</v>
      </c>
      <c r="Y108">
        <f>'2015_2020'!W13</f>
        <v>3.0400000000000002E-3</v>
      </c>
      <c r="Z108">
        <f>'2015_2020'!X13</f>
        <v>2.9299999999999999E-3</v>
      </c>
      <c r="AA108">
        <f>'2015_2020'!Y13</f>
        <v>3.1700000000000001E-3</v>
      </c>
      <c r="AB108">
        <f>'2015_2020'!Z13</f>
        <v>2.8600000000000001E-3</v>
      </c>
      <c r="AC108">
        <f>'2015_2020'!AA13</f>
        <v>2.82E-3</v>
      </c>
      <c r="AD108">
        <f>'2015_2020'!AB13</f>
        <v>2.64E-3</v>
      </c>
      <c r="AE108">
        <f>'2015_2020'!AC13</f>
        <v>3.0599999999999998E-3</v>
      </c>
      <c r="AF108">
        <f>'2015_2020'!AD13</f>
        <v>3.0699999999999998E-3</v>
      </c>
      <c r="AG108">
        <f>'2015_2020'!AE13</f>
        <v>3.1700000000000001E-3</v>
      </c>
      <c r="AH108">
        <f>'2015_2020'!AF13</f>
        <v>3.3899999999999998E-3</v>
      </c>
      <c r="AI108">
        <f>'2015_2020'!AG13</f>
        <v>3.5300000000000002E-3</v>
      </c>
      <c r="AJ108">
        <f>'2015_2020'!AH13</f>
        <v>3.7799999999999999E-3</v>
      </c>
      <c r="AK108">
        <f>'2015_2020'!AI13</f>
        <v>3.9399999999999999E-3</v>
      </c>
      <c r="AL108">
        <f>'2015_2020'!AJ13</f>
        <v>3.9699999999999996E-3</v>
      </c>
      <c r="AM108">
        <f>'2015_2020'!AK13</f>
        <v>3.8700000000000002E-3</v>
      </c>
      <c r="AN108">
        <f>'2015_2020'!AL13</f>
        <v>3.8999999999999998E-3</v>
      </c>
      <c r="AO108">
        <f>'2015_2020'!AM13</f>
        <v>3.8500000000000001E-3</v>
      </c>
      <c r="AP108">
        <f>'2015_2020'!AN13</f>
        <v>3.7299999999999998E-3</v>
      </c>
      <c r="AQ108">
        <f>'2015_2020'!AO13</f>
        <v>3.5300000000000002E-3</v>
      </c>
      <c r="AR108">
        <f>'2015_2020'!AP13</f>
        <v>3.5799999999999998E-3</v>
      </c>
      <c r="AS108">
        <f>'2015_2020'!AQ13</f>
        <v>3.2100000000000002E-3</v>
      </c>
      <c r="AT108">
        <f>'2015_2020'!AR13</f>
        <v>3.0899999999999999E-3</v>
      </c>
      <c r="AU108">
        <f>'2015_2020'!AS13</f>
        <v>3.0899999999999999E-3</v>
      </c>
      <c r="AV108">
        <f>'2015_2020'!AT13</f>
        <v>3.2599999999999999E-3</v>
      </c>
      <c r="AW108">
        <f>'2015_2020'!AU13</f>
        <v>3.3500000000000001E-3</v>
      </c>
      <c r="AX108">
        <f>'2015_2020'!AV13</f>
        <v>3.47E-3</v>
      </c>
      <c r="AY108">
        <f>'2015_2020'!AW13</f>
        <v>3.4299999999999999E-3</v>
      </c>
      <c r="AZ108">
        <f>'2015_2020'!AX13</f>
        <v>3.4099999999999998E-3</v>
      </c>
      <c r="BA108">
        <f>'2015_2020'!AY13</f>
        <v>3.4099999999999998E-3</v>
      </c>
      <c r="BB108">
        <f>'2015_2020'!AZ13</f>
        <v>3.3500000000000001E-3</v>
      </c>
      <c r="BC108">
        <f>'2015_2020'!BA13</f>
        <v>3.3300000000000001E-3</v>
      </c>
      <c r="BD108">
        <f>'2015_2020'!BB13</f>
        <v>3.0500000000000002E-3</v>
      </c>
      <c r="BE108">
        <f>'2015_2020'!BC13</f>
        <v>2.8999999999999998E-3</v>
      </c>
      <c r="BF108">
        <f>'2015_2020'!BD13</f>
        <v>2.8999999999999998E-3</v>
      </c>
      <c r="BG108">
        <f>'2015_2020'!BE13</f>
        <v>2.8E-3</v>
      </c>
      <c r="BH108">
        <f>'2015_2020'!BF13</f>
        <v>2.8700000000000002E-3</v>
      </c>
      <c r="BI108">
        <f>'2015_2020'!BG13</f>
        <v>2.8900000000000002E-3</v>
      </c>
      <c r="BJ108">
        <f>'2015_2020'!BH13</f>
        <v>2.8900000000000002E-3</v>
      </c>
      <c r="BK108">
        <f>'2015_2020'!BI13</f>
        <v>2.7699999999999999E-3</v>
      </c>
      <c r="BL108">
        <f>'2015_2020'!BJ13</f>
        <v>2.7499999999999998E-3</v>
      </c>
      <c r="BM108">
        <f>'2015_2020'!BK13</f>
        <v>2.7200000000000002E-3</v>
      </c>
      <c r="BN108">
        <f>'2015_2020'!BL13</f>
        <v>2.65E-3</v>
      </c>
      <c r="BO108">
        <f>'2015_2020'!BM13</f>
        <v>2.5500000000000002E-3</v>
      </c>
      <c r="BP108">
        <f>'2015_2020'!BN13</f>
        <v>2.3800000000000002E-3</v>
      </c>
      <c r="BQ108">
        <f>'2015_2020'!BO13</f>
        <v>2.2499999999999998E-3</v>
      </c>
      <c r="BR108">
        <f>'2015_2020'!BP13</f>
        <v>2.2399999999999998E-3</v>
      </c>
      <c r="BS108">
        <f>'2015_2020'!BQ13</f>
        <v>2.3500000000000001E-3</v>
      </c>
      <c r="BT108">
        <f>'2015_2020'!BR13</f>
        <v>2.3E-3</v>
      </c>
      <c r="BU108">
        <f>'2015_2020'!BS13</f>
        <v>2.48E-3</v>
      </c>
      <c r="BV108">
        <f>'2015_2020'!BT13</f>
        <v>2.3600000000000001E-3</v>
      </c>
      <c r="BW108">
        <f>'2015_2020'!BU13</f>
        <v>2.47E-3</v>
      </c>
      <c r="BX108">
        <f>'2015_2020'!BV13</f>
        <v>2.3500000000000001E-3</v>
      </c>
      <c r="BY108">
        <f>'2015_2020'!BW13</f>
        <v>2.2000000000000001E-3</v>
      </c>
      <c r="BZ108">
        <f>'2015_2020'!BX13</f>
        <v>1.98E-3</v>
      </c>
      <c r="CA108">
        <f>'2015_2020'!BY13</f>
        <v>1.97E-3</v>
      </c>
      <c r="CB108">
        <f>'2015_2020'!BZ13</f>
        <v>1.4599999999999999E-3</v>
      </c>
      <c r="CC108">
        <f>'2015_2020'!CA13</f>
        <v>1.4599999999999999E-3</v>
      </c>
      <c r="CD108">
        <f>'2015_2020'!CB13</f>
        <v>1.5900000000000001E-3</v>
      </c>
      <c r="CE108">
        <f>'2015_2020'!CC13</f>
        <v>1.9E-3</v>
      </c>
      <c r="CF108">
        <f>'2015_2020'!CD13</f>
        <v>1.89E-3</v>
      </c>
      <c r="CG108">
        <f>'2015_2020'!CE13</f>
        <v>1.73E-3</v>
      </c>
      <c r="CH108">
        <f>'2015_2020'!CF13</f>
        <v>1.47E-3</v>
      </c>
      <c r="CI108">
        <f>'2015_2020'!CG13</f>
        <v>1.41E-3</v>
      </c>
      <c r="CJ108">
        <f>'2015_2020'!CH13</f>
        <v>1.39E-3</v>
      </c>
      <c r="CK108">
        <f>'2015_2020'!CI13</f>
        <v>1.2700000000000001E-3</v>
      </c>
      <c r="CL108">
        <f>'2015_2020'!CJ13</f>
        <v>8.7699999999999996E-4</v>
      </c>
      <c r="CM108">
        <f>'2015_2020'!CK13</f>
        <v>1.1199999999999999E-3</v>
      </c>
      <c r="CN108">
        <f>'2015_2020'!CL13</f>
        <v>1.1100000000000001E-3</v>
      </c>
      <c r="CO108">
        <f>'2015_2020'!CM13</f>
        <v>1.07E-3</v>
      </c>
      <c r="CP108">
        <f>'2015_2020'!CN13</f>
        <v>9.4200000000000002E-4</v>
      </c>
      <c r="CQ108">
        <f>'2015_2020'!CO13</f>
        <v>4.3199999999999998E-4</v>
      </c>
      <c r="CR108">
        <f>'2015_2020'!CP13</f>
        <v>5.3799999999999996E-4</v>
      </c>
      <c r="CS108">
        <f>'2015_2020'!CQ13</f>
        <v>2.1800000000000001E-4</v>
      </c>
      <c r="CT108">
        <f>'2015_2020'!CR13</f>
        <v>3.6999999999999999E-4</v>
      </c>
      <c r="CU108">
        <f>'2015_2020'!CS13</f>
        <v>2.9599999999999998E-4</v>
      </c>
      <c r="CV108">
        <f>'2015_2020'!CT13</f>
        <v>-2.5199999999999999E-5</v>
      </c>
      <c r="CW108">
        <f>'2015_2020'!CU13</f>
        <v>-2.34E-4</v>
      </c>
      <c r="CX108">
        <f>'2015_2020'!CV13</f>
        <v>-7.6600000000000005E-5</v>
      </c>
    </row>
    <row r="109" spans="1:102" x14ac:dyDescent="0.2">
      <c r="A109" t="s">
        <v>215</v>
      </c>
      <c r="B109" t="s">
        <v>218</v>
      </c>
      <c r="C109" t="s">
        <v>221</v>
      </c>
      <c r="D109">
        <f>'2015_2020'!B14</f>
        <v>9.4599999999999997E-3</v>
      </c>
      <c r="E109">
        <f>'2015_2020'!C14</f>
        <v>1.17E-2</v>
      </c>
      <c r="F109">
        <f>'2015_2020'!D14</f>
        <v>8.2299999999999995E-3</v>
      </c>
      <c r="G109">
        <f>'2015_2020'!E14</f>
        <v>7.77E-3</v>
      </c>
      <c r="H109">
        <f>'2015_2020'!F14</f>
        <v>5.2599999999999999E-3</v>
      </c>
      <c r="I109">
        <f>'2015_2020'!G14</f>
        <v>5.9699999999999996E-3</v>
      </c>
      <c r="J109">
        <f>'2015_2020'!H14</f>
        <v>4.28E-3</v>
      </c>
      <c r="K109">
        <f>'2015_2020'!I14</f>
        <v>3.82E-3</v>
      </c>
      <c r="L109">
        <f>'2015_2020'!J14</f>
        <v>3.4399999999999999E-3</v>
      </c>
      <c r="M109">
        <f>'2015_2020'!K14</f>
        <v>1.74E-3</v>
      </c>
      <c r="N109">
        <f>'2015_2020'!L14</f>
        <v>1.31E-3</v>
      </c>
      <c r="O109">
        <f>'2015_2020'!M14</f>
        <v>1.01E-3</v>
      </c>
      <c r="P109">
        <f>'2015_2020'!N14</f>
        <v>6.8199999999999999E-4</v>
      </c>
      <c r="Q109">
        <f>'2015_2020'!O14</f>
        <v>4.0299999999999998E-4</v>
      </c>
      <c r="R109">
        <f>'2015_2020'!P14</f>
        <v>3.0199999999999999E-5</v>
      </c>
      <c r="S109">
        <f>'2015_2020'!Q14</f>
        <v>-1.35E-4</v>
      </c>
      <c r="T109">
        <f>'2015_2020'!R14</f>
        <v>-2.8799999999999999E-5</v>
      </c>
      <c r="U109">
        <f>'2015_2020'!S14</f>
        <v>1.7200000000000001E-4</v>
      </c>
      <c r="V109">
        <f>'2015_2020'!T14</f>
        <v>2.7399999999999999E-4</v>
      </c>
      <c r="W109">
        <f>'2015_2020'!U14</f>
        <v>4.08E-4</v>
      </c>
      <c r="X109">
        <f>'2015_2020'!V14</f>
        <v>4.4700000000000002E-4</v>
      </c>
      <c r="Y109">
        <f>'2015_2020'!W14</f>
        <v>3.0499999999999999E-4</v>
      </c>
      <c r="Z109">
        <f>'2015_2020'!X14</f>
        <v>1.16E-4</v>
      </c>
      <c r="AA109">
        <f>'2015_2020'!Y14</f>
        <v>9.8599999999999998E-5</v>
      </c>
      <c r="AB109">
        <f>'2015_2020'!Z14</f>
        <v>1.36E-4</v>
      </c>
      <c r="AC109">
        <f>'2015_2020'!AA14</f>
        <v>2.0900000000000001E-4</v>
      </c>
      <c r="AD109">
        <f>'2015_2020'!AB14</f>
        <v>2.8200000000000002E-4</v>
      </c>
      <c r="AE109">
        <f>'2015_2020'!AC14</f>
        <v>3.0899999999999998E-4</v>
      </c>
      <c r="AF109">
        <f>'2015_2020'!AD14</f>
        <v>3.9800000000000002E-4</v>
      </c>
      <c r="AG109">
        <f>'2015_2020'!AE14</f>
        <v>4.7600000000000002E-4</v>
      </c>
      <c r="AH109">
        <f>'2015_2020'!AF14</f>
        <v>3.9800000000000002E-4</v>
      </c>
      <c r="AI109">
        <f>'2015_2020'!AG14</f>
        <v>3.68E-4</v>
      </c>
      <c r="AJ109">
        <f>'2015_2020'!AH14</f>
        <v>2.8899999999999998E-4</v>
      </c>
      <c r="AK109">
        <f>'2015_2020'!AI14</f>
        <v>2.5899999999999999E-5</v>
      </c>
      <c r="AL109">
        <f>'2015_2020'!AJ14</f>
        <v>3.54E-5</v>
      </c>
      <c r="AM109">
        <f>'2015_2020'!AK14</f>
        <v>1.7899999999999999E-4</v>
      </c>
      <c r="AN109">
        <f>'2015_2020'!AL14</f>
        <v>2.1499999999999999E-4</v>
      </c>
      <c r="AO109">
        <f>'2015_2020'!AM14</f>
        <v>3.7500000000000001E-4</v>
      </c>
      <c r="AP109">
        <f>'2015_2020'!AN14</f>
        <v>2.0100000000000001E-4</v>
      </c>
      <c r="AQ109">
        <f>'2015_2020'!AO14</f>
        <v>1.0399999999999999E-4</v>
      </c>
      <c r="AR109">
        <f>'2015_2020'!AP14</f>
        <v>7.1000000000000005E-5</v>
      </c>
      <c r="AS109">
        <f>'2015_2020'!AQ14</f>
        <v>1.36E-4</v>
      </c>
      <c r="AT109">
        <f>'2015_2020'!AR14</f>
        <v>1.1E-4</v>
      </c>
      <c r="AU109">
        <f>'2015_2020'!AS14</f>
        <v>1.1E-4</v>
      </c>
      <c r="AV109">
        <f>'2015_2020'!AT14</f>
        <v>4.4299999999999998E-4</v>
      </c>
      <c r="AW109">
        <f>'2015_2020'!AU14</f>
        <v>1.8000000000000001E-4</v>
      </c>
      <c r="AX109">
        <f>'2015_2020'!AV14</f>
        <v>1.02E-4</v>
      </c>
      <c r="AY109">
        <f>'2015_2020'!AW14</f>
        <v>3.0600000000000001E-4</v>
      </c>
      <c r="AZ109">
        <f>'2015_2020'!AX14</f>
        <v>3.0699999999999998E-4</v>
      </c>
      <c r="BA109">
        <f>'2015_2020'!AY14</f>
        <v>3.5799999999999997E-4</v>
      </c>
      <c r="BB109">
        <f>'2015_2020'!AZ14</f>
        <v>7.9300000000000003E-5</v>
      </c>
      <c r="BC109">
        <f>'2015_2020'!BA14</f>
        <v>1.83E-4</v>
      </c>
      <c r="BD109">
        <f>'2015_2020'!BB14</f>
        <v>4.6799999999999999E-4</v>
      </c>
      <c r="BE109">
        <f>'2015_2020'!BC14</f>
        <v>5.8799999999999998E-4</v>
      </c>
      <c r="BF109">
        <f>'2015_2020'!BD14</f>
        <v>8.7100000000000003E-4</v>
      </c>
      <c r="BG109">
        <f>'2015_2020'!BE14</f>
        <v>7.6199999999999998E-4</v>
      </c>
      <c r="BH109">
        <f>'2015_2020'!BF14</f>
        <v>5.5599999999999996E-4</v>
      </c>
      <c r="BI109">
        <f>'2015_2020'!BG14</f>
        <v>6.87E-4</v>
      </c>
      <c r="BJ109">
        <f>'2015_2020'!BH14</f>
        <v>6.5399999999999996E-4</v>
      </c>
      <c r="BK109">
        <f>'2015_2020'!BI14</f>
        <v>3.9500000000000001E-4</v>
      </c>
      <c r="BL109">
        <f>'2015_2020'!BJ14</f>
        <v>1.93E-4</v>
      </c>
      <c r="BM109">
        <f>'2015_2020'!BK14</f>
        <v>4.1800000000000002E-4</v>
      </c>
      <c r="BN109">
        <f>'2015_2020'!BL14</f>
        <v>4.0099999999999999E-4</v>
      </c>
      <c r="BO109">
        <f>'2015_2020'!BM14</f>
        <v>3.1100000000000002E-4</v>
      </c>
      <c r="BP109">
        <f>'2015_2020'!BN14</f>
        <v>5.1400000000000003E-4</v>
      </c>
      <c r="BQ109">
        <f>'2015_2020'!BO14</f>
        <v>7.0299999999999996E-4</v>
      </c>
      <c r="BR109">
        <f>'2015_2020'!BP14</f>
        <v>1.24E-3</v>
      </c>
      <c r="BS109">
        <f>'2015_2020'!BQ14</f>
        <v>1.14E-3</v>
      </c>
      <c r="BT109">
        <f>'2015_2020'!BR14</f>
        <v>8.5099999999999998E-4</v>
      </c>
      <c r="BU109">
        <f>'2015_2020'!BS14</f>
        <v>1.01E-3</v>
      </c>
      <c r="BV109">
        <f>'2015_2020'!BT14</f>
        <v>7.1299999999999998E-4</v>
      </c>
      <c r="BW109">
        <f>'2015_2020'!BU14</f>
        <v>3.1599999999999998E-4</v>
      </c>
      <c r="BX109">
        <f>'2015_2020'!BV14</f>
        <v>5.9900000000000003E-4</v>
      </c>
      <c r="BY109">
        <f>'2015_2020'!BW14</f>
        <v>9.1399999999999999E-4</v>
      </c>
      <c r="BZ109">
        <f>'2015_2020'!BX14</f>
        <v>5.5999999999999995E-4</v>
      </c>
      <c r="CA109">
        <f>'2015_2020'!BY14</f>
        <v>6.6500000000000001E-4</v>
      </c>
      <c r="CB109">
        <f>'2015_2020'!BZ14</f>
        <v>7.9900000000000001E-4</v>
      </c>
      <c r="CC109">
        <f>'2015_2020'!CA14</f>
        <v>7.9900000000000001E-4</v>
      </c>
      <c r="CD109">
        <f>'2015_2020'!CB14</f>
        <v>9.810000000000001E-4</v>
      </c>
      <c r="CE109">
        <f>'2015_2020'!CC14</f>
        <v>8.8900000000000003E-4</v>
      </c>
      <c r="CF109">
        <f>'2015_2020'!CD14</f>
        <v>8.5599999999999999E-4</v>
      </c>
      <c r="CG109">
        <f>'2015_2020'!CE14</f>
        <v>3.2299999999999999E-4</v>
      </c>
      <c r="CH109">
        <f>'2015_2020'!CF14</f>
        <v>1.38E-5</v>
      </c>
      <c r="CI109">
        <f>'2015_2020'!CG14</f>
        <v>1.2999999999999999E-4</v>
      </c>
      <c r="CJ109">
        <f>'2015_2020'!CH14</f>
        <v>-6.3699999999999998E-4</v>
      </c>
      <c r="CK109">
        <f>'2015_2020'!CI14</f>
        <v>-1.4400000000000001E-3</v>
      </c>
      <c r="CL109">
        <f>'2015_2020'!CJ14</f>
        <v>-1.5E-3</v>
      </c>
      <c r="CM109">
        <f>'2015_2020'!CK14</f>
        <v>-1.56E-3</v>
      </c>
      <c r="CN109">
        <f>'2015_2020'!CL14</f>
        <v>-3.0000000000000001E-3</v>
      </c>
      <c r="CO109">
        <f>'2015_2020'!CM14</f>
        <v>-3.65E-3</v>
      </c>
      <c r="CP109">
        <f>'2015_2020'!CN14</f>
        <v>-3.9300000000000003E-3</v>
      </c>
      <c r="CQ109">
        <f>'2015_2020'!CO14</f>
        <v>-4.3400000000000001E-3</v>
      </c>
      <c r="CR109">
        <f>'2015_2020'!CP14</f>
        <v>-6.4999999999999997E-3</v>
      </c>
      <c r="CS109">
        <f>'2015_2020'!CQ14</f>
        <v>-5.9300000000000004E-3</v>
      </c>
      <c r="CT109">
        <f>'2015_2020'!CR14</f>
        <v>-7.1599999999999997E-3</v>
      </c>
      <c r="CU109">
        <f>'2015_2020'!CS14</f>
        <v>-9.1000000000000004E-3</v>
      </c>
      <c r="CV109">
        <f>'2015_2020'!CT14</f>
        <v>-8.6099999999999996E-3</v>
      </c>
      <c r="CW109">
        <f>'2015_2020'!CU14</f>
        <v>-7.4400000000000004E-3</v>
      </c>
      <c r="CX109">
        <f>'2015_2020'!CV14</f>
        <v>-6.7999999999999996E-3</v>
      </c>
    </row>
    <row r="110" spans="1:102" x14ac:dyDescent="0.2">
      <c r="A110" t="s">
        <v>5909</v>
      </c>
      <c r="B110" t="s">
        <v>218</v>
      </c>
      <c r="C110" t="s">
        <v>221</v>
      </c>
      <c r="D110">
        <f>'2015_2020 Int_Confianca'!B43</f>
        <v>3.56E-2</v>
      </c>
      <c r="E110">
        <f>'2015_2020 Int_Confianca'!C43</f>
        <v>4.6199999999999998E-2</v>
      </c>
      <c r="F110">
        <f>'2015_2020 Int_Confianca'!D43</f>
        <v>3.9699999999999999E-2</v>
      </c>
      <c r="G110">
        <f>'2015_2020 Int_Confianca'!E43</f>
        <v>4.1300000000000003E-2</v>
      </c>
      <c r="H110">
        <f>'2015_2020 Int_Confianca'!F43</f>
        <v>3.4799999999999998E-2</v>
      </c>
      <c r="I110">
        <f>'2015_2020 Int_Confianca'!G43</f>
        <v>4.1099999999999998E-2</v>
      </c>
      <c r="J110">
        <f>'2015_2020 Int_Confianca'!H43</f>
        <v>3.7199999999999997E-2</v>
      </c>
      <c r="K110">
        <f>'2015_2020 Int_Confianca'!I43</f>
        <v>3.6999999999999998E-2</v>
      </c>
      <c r="L110">
        <f>'2015_2020 Int_Confianca'!J43</f>
        <v>3.7600000000000001E-2</v>
      </c>
      <c r="M110">
        <f>'2015_2020 Int_Confianca'!K43</f>
        <v>3.1600000000000003E-2</v>
      </c>
      <c r="N110">
        <f>'2015_2020 Int_Confianca'!L43</f>
        <v>2.76E-2</v>
      </c>
      <c r="O110">
        <f>'2015_2020 Int_Confianca'!M43</f>
        <v>2.1999999999999999E-2</v>
      </c>
      <c r="P110">
        <f>'2015_2020 Int_Confianca'!N43</f>
        <v>2.0500000000000001E-2</v>
      </c>
      <c r="Q110">
        <f>'2015_2020 Int_Confianca'!O43</f>
        <v>2.0400000000000001E-2</v>
      </c>
      <c r="R110">
        <f>'2015_2020 Int_Confianca'!P43</f>
        <v>2.1100000000000001E-2</v>
      </c>
      <c r="S110">
        <f>'2015_2020 Int_Confianca'!Q43</f>
        <v>2.0799999999999999E-2</v>
      </c>
      <c r="T110">
        <f>'2015_2020 Int_Confianca'!R43</f>
        <v>2.0299999999999999E-2</v>
      </c>
      <c r="U110">
        <f>'2015_2020 Int_Confianca'!S43</f>
        <v>2.06E-2</v>
      </c>
      <c r="V110">
        <f>'2015_2020 Int_Confianca'!T43</f>
        <v>2.1600000000000001E-2</v>
      </c>
      <c r="W110">
        <f>'2015_2020 Int_Confianca'!U43</f>
        <v>2.1999999999999999E-2</v>
      </c>
      <c r="X110">
        <f>'2015_2020 Int_Confianca'!V43</f>
        <v>2.18E-2</v>
      </c>
      <c r="Y110">
        <f>'2015_2020 Int_Confianca'!W43</f>
        <v>2.1899999999999999E-2</v>
      </c>
      <c r="Z110">
        <f>'2015_2020 Int_Confianca'!X43</f>
        <v>2.1899999999999999E-2</v>
      </c>
      <c r="AA110">
        <f>'2015_2020 Int_Confianca'!Y43</f>
        <v>2.24E-2</v>
      </c>
      <c r="AB110">
        <f>'2015_2020 Int_Confianca'!Z43</f>
        <v>2.4E-2</v>
      </c>
      <c r="AC110">
        <f>'2015_2020 Int_Confianca'!AA43</f>
        <v>2.52E-2</v>
      </c>
      <c r="AD110">
        <f>'2015_2020 Int_Confianca'!AB43</f>
        <v>2.5899999999999999E-2</v>
      </c>
      <c r="AE110">
        <f>'2015_2020 Int_Confianca'!AC43</f>
        <v>2.7300000000000001E-2</v>
      </c>
      <c r="AF110">
        <f>'2015_2020 Int_Confianca'!AD43</f>
        <v>2.87E-2</v>
      </c>
      <c r="AG110">
        <f>'2015_2020 Int_Confianca'!AE43</f>
        <v>0.03</v>
      </c>
      <c r="AH110">
        <f>'2015_2020 Int_Confianca'!AF43</f>
        <v>3.1800000000000002E-2</v>
      </c>
      <c r="AI110">
        <f>'2015_2020 Int_Confianca'!AG43</f>
        <v>3.4000000000000002E-2</v>
      </c>
      <c r="AJ110">
        <f>'2015_2020 Int_Confianca'!AH43</f>
        <v>3.7600000000000001E-2</v>
      </c>
      <c r="AK110">
        <f>'2015_2020 Int_Confianca'!AI43</f>
        <v>4.0500000000000001E-2</v>
      </c>
      <c r="AL110">
        <f>'2015_2020 Int_Confianca'!AJ43</f>
        <v>4.2799999999999998E-2</v>
      </c>
      <c r="AM110">
        <f>'2015_2020 Int_Confianca'!AK43</f>
        <v>4.4200000000000003E-2</v>
      </c>
      <c r="AN110">
        <f>'2015_2020 Int_Confianca'!AL43</f>
        <v>4.5699999999999998E-2</v>
      </c>
      <c r="AO110">
        <f>'2015_2020 Int_Confianca'!AM43</f>
        <v>4.6899999999999997E-2</v>
      </c>
      <c r="AP110">
        <f>'2015_2020 Int_Confianca'!AN43</f>
        <v>4.6600000000000003E-2</v>
      </c>
      <c r="AQ110">
        <f>'2015_2020 Int_Confianca'!AO43</f>
        <v>4.6300000000000001E-2</v>
      </c>
      <c r="AR110">
        <f>'2015_2020 Int_Confianca'!AP43</f>
        <v>4.6800000000000001E-2</v>
      </c>
      <c r="AS110">
        <f>'2015_2020 Int_Confianca'!AQ43</f>
        <v>4.7399999999999998E-2</v>
      </c>
      <c r="AT110">
        <f>'2015_2020 Int_Confianca'!AR43</f>
        <v>4.8500000000000001E-2</v>
      </c>
      <c r="AU110">
        <f>'2015_2020 Int_Confianca'!AS43</f>
        <v>4.8500000000000001E-2</v>
      </c>
      <c r="AV110">
        <f>'2015_2020 Int_Confianca'!AT43</f>
        <v>5.0700000000000002E-2</v>
      </c>
      <c r="AW110">
        <f>'2015_2020 Int_Confianca'!AU43</f>
        <v>5.3699999999999998E-2</v>
      </c>
      <c r="AX110">
        <f>'2015_2020 Int_Confianca'!AV43</f>
        <v>5.7099999999999998E-2</v>
      </c>
      <c r="AY110">
        <f>'2015_2020 Int_Confianca'!AW43</f>
        <v>5.9400000000000001E-2</v>
      </c>
      <c r="AZ110">
        <f>'2015_2020 Int_Confianca'!AX43</f>
        <v>6.1499999999999999E-2</v>
      </c>
      <c r="BA110">
        <f>'2015_2020 Int_Confianca'!AY43</f>
        <v>6.3700000000000007E-2</v>
      </c>
      <c r="BB110">
        <f>'2015_2020 Int_Confianca'!AZ43</f>
        <v>6.4699999999999994E-2</v>
      </c>
      <c r="BC110">
        <f>'2015_2020 Int_Confianca'!BA43</f>
        <v>6.4600000000000005E-2</v>
      </c>
      <c r="BD110">
        <f>'2015_2020 Int_Confianca'!BB43</f>
        <v>6.5000000000000002E-2</v>
      </c>
      <c r="BE110">
        <f>'2015_2020 Int_Confianca'!BC43</f>
        <v>6.5299999999999997E-2</v>
      </c>
      <c r="BF110">
        <f>'2015_2020 Int_Confianca'!BD43</f>
        <v>6.6500000000000004E-2</v>
      </c>
      <c r="BG110">
        <f>'2015_2020 Int_Confianca'!BE43</f>
        <v>6.7199999999999996E-2</v>
      </c>
      <c r="BH110">
        <f>'2015_2020 Int_Confianca'!BF43</f>
        <v>6.8500000000000005E-2</v>
      </c>
      <c r="BI110">
        <f>'2015_2020 Int_Confianca'!BG43</f>
        <v>7.0999999999999994E-2</v>
      </c>
      <c r="BJ110">
        <f>'2015_2020 Int_Confianca'!BH43</f>
        <v>7.3099999999999998E-2</v>
      </c>
      <c r="BK110">
        <f>'2015_2020 Int_Confianca'!BI43</f>
        <v>7.51E-2</v>
      </c>
      <c r="BL110">
        <f>'2015_2020 Int_Confianca'!BJ43</f>
        <v>7.6399999999999996E-2</v>
      </c>
      <c r="BM110">
        <f>'2015_2020 Int_Confianca'!BK43</f>
        <v>7.8E-2</v>
      </c>
      <c r="BN110">
        <f>'2015_2020 Int_Confianca'!BL43</f>
        <v>7.9000000000000001E-2</v>
      </c>
      <c r="BO110">
        <f>'2015_2020 Int_Confianca'!BM43</f>
        <v>7.9299999999999995E-2</v>
      </c>
      <c r="BP110">
        <f>'2015_2020 Int_Confianca'!BN43</f>
        <v>7.9100000000000004E-2</v>
      </c>
      <c r="BQ110">
        <f>'2015_2020 Int_Confianca'!BO43</f>
        <v>7.9500000000000001E-2</v>
      </c>
      <c r="BR110">
        <f>'2015_2020 Int_Confianca'!BP43</f>
        <v>7.9799999999999996E-2</v>
      </c>
      <c r="BS110">
        <f>'2015_2020 Int_Confianca'!BQ43</f>
        <v>8.43E-2</v>
      </c>
      <c r="BT110">
        <f>'2015_2020 Int_Confianca'!BR43</f>
        <v>8.77E-2</v>
      </c>
      <c r="BU110">
        <f>'2015_2020 Int_Confianca'!BS43</f>
        <v>9.3399999999999997E-2</v>
      </c>
      <c r="BV110">
        <f>'2015_2020 Int_Confianca'!BT43</f>
        <v>9.7600000000000006E-2</v>
      </c>
      <c r="BW110">
        <f>'2015_2020 Int_Confianca'!BU43</f>
        <v>0.1062</v>
      </c>
      <c r="BX110">
        <f>'2015_2020 Int_Confianca'!BV43</f>
        <v>0.1084</v>
      </c>
      <c r="BY110">
        <f>'2015_2020 Int_Confianca'!BW43</f>
        <v>0.1072</v>
      </c>
      <c r="BZ110">
        <f>'2015_2020 Int_Confianca'!BX43</f>
        <v>9.9199999999999997E-2</v>
      </c>
      <c r="CA110">
        <f>'2015_2020 Int_Confianca'!BY43</f>
        <v>9.6600000000000005E-2</v>
      </c>
      <c r="CB110">
        <f>'2015_2020 Int_Confianca'!BZ43</f>
        <v>9.5899999999999999E-2</v>
      </c>
      <c r="CC110">
        <f>'2015_2020 Int_Confianca'!CA43</f>
        <v>9.5899999999999999E-2</v>
      </c>
      <c r="CD110">
        <f>'2015_2020 Int_Confianca'!CB43</f>
        <v>0.1008</v>
      </c>
      <c r="CE110">
        <f>'2015_2020 Int_Confianca'!CC43</f>
        <v>0.12709999999999999</v>
      </c>
      <c r="CF110">
        <f>'2015_2020 Int_Confianca'!CD43</f>
        <v>0.13819999999999999</v>
      </c>
      <c r="CG110">
        <f>'2015_2020 Int_Confianca'!CE43</f>
        <v>0.13439999999999999</v>
      </c>
      <c r="CH110">
        <f>'2015_2020 Int_Confianca'!CF43</f>
        <v>0.1293</v>
      </c>
      <c r="CI110">
        <f>'2015_2020 Int_Confianca'!CG43</f>
        <v>0.1295</v>
      </c>
      <c r="CJ110">
        <f>'2015_2020 Int_Confianca'!CH43</f>
        <v>0.1348</v>
      </c>
      <c r="CK110">
        <f>'2015_2020 Int_Confianca'!CI43</f>
        <v>0.12970000000000001</v>
      </c>
      <c r="CL110">
        <f>'2015_2020 Int_Confianca'!CJ43</f>
        <v>0.12540000000000001</v>
      </c>
      <c r="CM110">
        <f>'2015_2020 Int_Confianca'!CK43</f>
        <v>0.1285</v>
      </c>
      <c r="CN110">
        <f>'2015_2020 Int_Confianca'!CL43</f>
        <v>0.15129999999999999</v>
      </c>
      <c r="CO110">
        <f>'2015_2020 Int_Confianca'!CM43</f>
        <v>0.15310000000000001</v>
      </c>
      <c r="CP110">
        <f>'2015_2020 Int_Confianca'!CN43</f>
        <v>0.1295</v>
      </c>
      <c r="CQ110">
        <f>'2015_2020 Int_Confianca'!CO43</f>
        <v>0.121</v>
      </c>
      <c r="CR110">
        <f>'2015_2020 Int_Confianca'!CP43</f>
        <v>0.1552</v>
      </c>
      <c r="CS110">
        <f>'2015_2020 Int_Confianca'!CQ43</f>
        <v>0.1273</v>
      </c>
      <c r="CT110">
        <f>'2015_2020 Int_Confianca'!CR43</f>
        <v>0.14960000000000001</v>
      </c>
      <c r="CU110">
        <f>'2015_2020 Int_Confianca'!CS43</f>
        <v>0.1522</v>
      </c>
      <c r="CV110">
        <f>'2015_2020 Int_Confianca'!CT43</f>
        <v>0.1411</v>
      </c>
      <c r="CW110">
        <f>'2015_2020 Int_Confianca'!CU43</f>
        <v>0.1409</v>
      </c>
      <c r="CX110">
        <f>'2015_2020 Int_Confianca'!CV43</f>
        <v>0.13420000000000001</v>
      </c>
    </row>
    <row r="111" spans="1:102" x14ac:dyDescent="0.2">
      <c r="A111" t="s">
        <v>5910</v>
      </c>
      <c r="B111" t="s">
        <v>218</v>
      </c>
      <c r="C111" t="s">
        <v>221</v>
      </c>
      <c r="D111">
        <f>'2015_2020 Int_Confianca'!B44</f>
        <v>4.7800000000000002E-2</v>
      </c>
      <c r="E111">
        <f>'2015_2020 Int_Confianca'!C44</f>
        <v>5.79E-2</v>
      </c>
      <c r="F111">
        <f>'2015_2020 Int_Confianca'!D44</f>
        <v>4.8399999999999999E-2</v>
      </c>
      <c r="G111">
        <f>'2015_2020 Int_Confianca'!E44</f>
        <v>4.9299999999999997E-2</v>
      </c>
      <c r="H111">
        <f>'2015_2020 Int_Confianca'!F44</f>
        <v>4.1000000000000002E-2</v>
      </c>
      <c r="I111">
        <f>'2015_2020 Int_Confianca'!G44</f>
        <v>4.7899999999999998E-2</v>
      </c>
      <c r="J111">
        <f>'2015_2020 Int_Confianca'!H44</f>
        <v>4.3099999999999999E-2</v>
      </c>
      <c r="K111">
        <f>'2015_2020 Int_Confianca'!I44</f>
        <v>4.2599999999999999E-2</v>
      </c>
      <c r="L111">
        <f>'2015_2020 Int_Confianca'!J44</f>
        <v>4.2999999999999997E-2</v>
      </c>
      <c r="M111">
        <f>'2015_2020 Int_Confianca'!K44</f>
        <v>3.5999999999999997E-2</v>
      </c>
      <c r="N111">
        <f>'2015_2020 Int_Confianca'!L44</f>
        <v>3.1199999999999999E-2</v>
      </c>
      <c r="O111">
        <f>'2015_2020 Int_Confianca'!M44</f>
        <v>2.4799999999999999E-2</v>
      </c>
      <c r="P111">
        <f>'2015_2020 Int_Confianca'!N44</f>
        <v>2.3099999999999999E-2</v>
      </c>
      <c r="Q111">
        <f>'2015_2020 Int_Confianca'!O44</f>
        <v>2.29E-2</v>
      </c>
      <c r="R111">
        <f>'2015_2020 Int_Confianca'!P44</f>
        <v>2.3599999999999999E-2</v>
      </c>
      <c r="S111">
        <f>'2015_2020 Int_Confianca'!Q44</f>
        <v>2.3300000000000001E-2</v>
      </c>
      <c r="T111">
        <f>'2015_2020 Int_Confianca'!R44</f>
        <v>2.2599999999999999E-2</v>
      </c>
      <c r="U111">
        <f>'2015_2020 Int_Confianca'!S44</f>
        <v>2.3E-2</v>
      </c>
      <c r="V111">
        <f>'2015_2020 Int_Confianca'!T44</f>
        <v>2.4E-2</v>
      </c>
      <c r="W111">
        <f>'2015_2020 Int_Confianca'!U44</f>
        <v>2.4500000000000001E-2</v>
      </c>
      <c r="X111">
        <f>'2015_2020 Int_Confianca'!V44</f>
        <v>2.4199999999999999E-2</v>
      </c>
      <c r="Y111">
        <f>'2015_2020 Int_Confianca'!W44</f>
        <v>2.4299999999999999E-2</v>
      </c>
      <c r="Z111">
        <f>'2015_2020 Int_Confianca'!X44</f>
        <v>2.4199999999999999E-2</v>
      </c>
      <c r="AA111">
        <f>'2015_2020 Int_Confianca'!Y44</f>
        <v>2.4799999999999999E-2</v>
      </c>
      <c r="AB111">
        <f>'2015_2020 Int_Confianca'!Z44</f>
        <v>2.6599999999999999E-2</v>
      </c>
      <c r="AC111">
        <f>'2015_2020 Int_Confianca'!AA44</f>
        <v>2.7799999999999998E-2</v>
      </c>
      <c r="AD111">
        <f>'2015_2020 Int_Confianca'!AB44</f>
        <v>2.86E-2</v>
      </c>
      <c r="AE111">
        <f>'2015_2020 Int_Confianca'!AC44</f>
        <v>3.0200000000000001E-2</v>
      </c>
      <c r="AF111">
        <f>'2015_2020 Int_Confianca'!AD44</f>
        <v>3.1699999999999999E-2</v>
      </c>
      <c r="AG111">
        <f>'2015_2020 Int_Confianca'!AE44</f>
        <v>3.32E-2</v>
      </c>
      <c r="AH111">
        <f>'2015_2020 Int_Confianca'!AF44</f>
        <v>3.5200000000000002E-2</v>
      </c>
      <c r="AI111">
        <f>'2015_2020 Int_Confianca'!AG44</f>
        <v>3.7600000000000001E-2</v>
      </c>
      <c r="AJ111">
        <f>'2015_2020 Int_Confianca'!AH44</f>
        <v>4.1599999999999998E-2</v>
      </c>
      <c r="AK111">
        <f>'2015_2020 Int_Confianca'!AI44</f>
        <v>4.48E-2</v>
      </c>
      <c r="AL111">
        <f>'2015_2020 Int_Confianca'!AJ44</f>
        <v>4.7300000000000002E-2</v>
      </c>
      <c r="AM111">
        <f>'2015_2020 Int_Confianca'!AK44</f>
        <v>4.8899999999999999E-2</v>
      </c>
      <c r="AN111">
        <f>'2015_2020 Int_Confianca'!AL44</f>
        <v>5.0500000000000003E-2</v>
      </c>
      <c r="AO111">
        <f>'2015_2020 Int_Confianca'!AM44</f>
        <v>5.1799999999999999E-2</v>
      </c>
      <c r="AP111">
        <f>'2015_2020 Int_Confianca'!AN44</f>
        <v>5.1499999999999997E-2</v>
      </c>
      <c r="AQ111">
        <f>'2015_2020 Int_Confianca'!AO44</f>
        <v>5.1200000000000002E-2</v>
      </c>
      <c r="AR111">
        <f>'2015_2020 Int_Confianca'!AP44</f>
        <v>5.1799999999999999E-2</v>
      </c>
      <c r="AS111">
        <f>'2015_2020 Int_Confianca'!AQ44</f>
        <v>5.2400000000000002E-2</v>
      </c>
      <c r="AT111">
        <f>'2015_2020 Int_Confianca'!AR44</f>
        <v>5.3699999999999998E-2</v>
      </c>
      <c r="AU111">
        <f>'2015_2020 Int_Confianca'!AS44</f>
        <v>5.3699999999999998E-2</v>
      </c>
      <c r="AV111">
        <f>'2015_2020 Int_Confianca'!AT44</f>
        <v>5.6099999999999997E-2</v>
      </c>
      <c r="AW111">
        <f>'2015_2020 Int_Confianca'!AU44</f>
        <v>5.9499999999999997E-2</v>
      </c>
      <c r="AX111">
        <f>'2015_2020 Int_Confianca'!AV44</f>
        <v>6.3299999999999995E-2</v>
      </c>
      <c r="AY111">
        <f>'2015_2020 Int_Confianca'!AW44</f>
        <v>6.5799999999999997E-2</v>
      </c>
      <c r="AZ111">
        <f>'2015_2020 Int_Confianca'!AX44</f>
        <v>6.8199999999999997E-2</v>
      </c>
      <c r="BA111">
        <f>'2015_2020 Int_Confianca'!AY44</f>
        <v>7.0599999999999996E-2</v>
      </c>
      <c r="BB111">
        <f>'2015_2020 Int_Confianca'!AZ44</f>
        <v>7.1800000000000003E-2</v>
      </c>
      <c r="BC111">
        <f>'2015_2020 Int_Confianca'!BA44</f>
        <v>7.17E-2</v>
      </c>
      <c r="BD111">
        <f>'2015_2020 Int_Confianca'!BB44</f>
        <v>7.2099999999999997E-2</v>
      </c>
      <c r="BE111">
        <f>'2015_2020 Int_Confianca'!BC44</f>
        <v>7.2499999999999995E-2</v>
      </c>
      <c r="BF111">
        <f>'2015_2020 Int_Confianca'!BD44</f>
        <v>7.3800000000000004E-2</v>
      </c>
      <c r="BG111">
        <f>'2015_2020 Int_Confianca'!BE44</f>
        <v>7.4700000000000003E-2</v>
      </c>
      <c r="BH111">
        <f>'2015_2020 Int_Confianca'!BF44</f>
        <v>7.6200000000000004E-2</v>
      </c>
      <c r="BI111">
        <f>'2015_2020 Int_Confianca'!BG44</f>
        <v>7.8899999999999998E-2</v>
      </c>
      <c r="BJ111">
        <f>'2015_2020 Int_Confianca'!BH44</f>
        <v>8.1299999999999997E-2</v>
      </c>
      <c r="BK111">
        <f>'2015_2020 Int_Confianca'!BI44</f>
        <v>8.3500000000000005E-2</v>
      </c>
      <c r="BL111">
        <f>'2015_2020 Int_Confianca'!BJ44</f>
        <v>8.5099999999999995E-2</v>
      </c>
      <c r="BM111">
        <f>'2015_2020 Int_Confianca'!BK44</f>
        <v>8.6900000000000005E-2</v>
      </c>
      <c r="BN111">
        <f>'2015_2020 Int_Confianca'!BL44</f>
        <v>8.7999999999999995E-2</v>
      </c>
      <c r="BO111">
        <f>'2015_2020 Int_Confianca'!BM44</f>
        <v>8.8300000000000003E-2</v>
      </c>
      <c r="BP111">
        <f>'2015_2020 Int_Confianca'!BN44</f>
        <v>8.8200000000000001E-2</v>
      </c>
      <c r="BQ111">
        <f>'2015_2020 Int_Confianca'!BO44</f>
        <v>8.8700000000000001E-2</v>
      </c>
      <c r="BR111">
        <f>'2015_2020 Int_Confianca'!BP44</f>
        <v>8.9099999999999999E-2</v>
      </c>
      <c r="BS111">
        <f>'2015_2020 Int_Confianca'!BQ44</f>
        <v>9.4200000000000006E-2</v>
      </c>
      <c r="BT111">
        <f>'2015_2020 Int_Confianca'!BR44</f>
        <v>9.8000000000000004E-2</v>
      </c>
      <c r="BU111">
        <f>'2015_2020 Int_Confianca'!BS44</f>
        <v>0.10440000000000001</v>
      </c>
      <c r="BV111">
        <f>'2015_2020 Int_Confianca'!BT44</f>
        <v>0.1091</v>
      </c>
      <c r="BW111">
        <f>'2015_2020 Int_Confianca'!BU44</f>
        <v>0.11890000000000001</v>
      </c>
      <c r="BX111">
        <f>'2015_2020 Int_Confianca'!BV44</f>
        <v>0.12139999999999999</v>
      </c>
      <c r="BY111">
        <f>'2015_2020 Int_Confianca'!BW44</f>
        <v>0.1202</v>
      </c>
      <c r="BZ111">
        <f>'2015_2020 Int_Confianca'!BX44</f>
        <v>0.1113</v>
      </c>
      <c r="CA111">
        <f>'2015_2020 Int_Confianca'!BY44</f>
        <v>0.1084</v>
      </c>
      <c r="CB111">
        <f>'2015_2020 Int_Confianca'!BZ44</f>
        <v>0.1077</v>
      </c>
      <c r="CC111">
        <f>'2015_2020 Int_Confianca'!CA44</f>
        <v>0.1077</v>
      </c>
      <c r="CD111">
        <f>'2015_2020 Int_Confianca'!CB44</f>
        <v>0.1133</v>
      </c>
      <c r="CE111">
        <f>'2015_2020 Int_Confianca'!CC44</f>
        <v>0.14299999999999999</v>
      </c>
      <c r="CF111">
        <f>'2015_2020 Int_Confianca'!CD44</f>
        <v>0.15559999999999999</v>
      </c>
      <c r="CG111">
        <f>'2015_2020 Int_Confianca'!CE44</f>
        <v>0.1515</v>
      </c>
      <c r="CH111">
        <f>'2015_2020 Int_Confianca'!CF44</f>
        <v>0.1459</v>
      </c>
      <c r="CI111">
        <f>'2015_2020 Int_Confianca'!CG44</f>
        <v>0.14630000000000001</v>
      </c>
      <c r="CJ111">
        <f>'2015_2020 Int_Confianca'!CH44</f>
        <v>0.15240000000000001</v>
      </c>
      <c r="CK111">
        <f>'2015_2020 Int_Confianca'!CI44</f>
        <v>0.14680000000000001</v>
      </c>
      <c r="CL111">
        <f>'2015_2020 Int_Confianca'!CJ44</f>
        <v>0.1421</v>
      </c>
      <c r="CM111">
        <f>'2015_2020 Int_Confianca'!CK44</f>
        <v>0.14580000000000001</v>
      </c>
      <c r="CN111">
        <f>'2015_2020 Int_Confianca'!CL44</f>
        <v>0.17180000000000001</v>
      </c>
      <c r="CO111">
        <f>'2015_2020 Int_Confianca'!CM44</f>
        <v>0.17419999999999999</v>
      </c>
      <c r="CP111">
        <f>'2015_2020 Int_Confianca'!CN44</f>
        <v>0.14760000000000001</v>
      </c>
      <c r="CQ111">
        <f>'2015_2020 Int_Confianca'!CO44</f>
        <v>0.13800000000000001</v>
      </c>
      <c r="CR111">
        <f>'2015_2020 Int_Confianca'!CP44</f>
        <v>0.17749999999999999</v>
      </c>
      <c r="CS111">
        <f>'2015_2020 Int_Confianca'!CQ44</f>
        <v>0.14580000000000001</v>
      </c>
      <c r="CT111">
        <f>'2015_2020 Int_Confianca'!CR44</f>
        <v>0.1719</v>
      </c>
      <c r="CU111">
        <f>'2015_2020 Int_Confianca'!CS44</f>
        <v>0.1757</v>
      </c>
      <c r="CV111">
        <f>'2015_2020 Int_Confianca'!CT44</f>
        <v>0.16400000000000001</v>
      </c>
      <c r="CW111">
        <f>'2015_2020 Int_Confianca'!CU44</f>
        <v>0.16569999999999999</v>
      </c>
      <c r="CX111">
        <f>'2015_2020 Int_Confianca'!CV44</f>
        <v>0.16339999999999999</v>
      </c>
    </row>
    <row r="112" spans="1:102" x14ac:dyDescent="0.2">
      <c r="A112" t="s">
        <v>5911</v>
      </c>
      <c r="B112" t="s">
        <v>218</v>
      </c>
      <c r="C112" t="s">
        <v>221</v>
      </c>
      <c r="D112">
        <f>'2015_2020 Int_Confianca'!B45</f>
        <v>8.9999999999999998E-4</v>
      </c>
      <c r="E112">
        <f>'2015_2020 Int_Confianca'!C45</f>
        <v>4.1000000000000003E-3</v>
      </c>
      <c r="F112">
        <f>'2015_2020 Int_Confianca'!D45</f>
        <v>4.4999999999999997E-3</v>
      </c>
      <c r="G112">
        <f>'2015_2020 Int_Confianca'!E45</f>
        <v>4.8999999999999998E-3</v>
      </c>
      <c r="H112">
        <f>'2015_2020 Int_Confianca'!F45</f>
        <v>4.4999999999999997E-3</v>
      </c>
      <c r="I112">
        <f>'2015_2020 Int_Confianca'!G45</f>
        <v>5.7000000000000002E-3</v>
      </c>
      <c r="J112">
        <f>'2015_2020 Int_Confianca'!H45</f>
        <v>5.0000000000000001E-3</v>
      </c>
      <c r="K112">
        <f>'2015_2020 Int_Confianca'!I45</f>
        <v>5.0000000000000001E-3</v>
      </c>
      <c r="L112">
        <f>'2015_2020 Int_Confianca'!J45</f>
        <v>5.1000000000000004E-3</v>
      </c>
      <c r="M112">
        <f>'2015_2020 Int_Confianca'!K45</f>
        <v>4.1000000000000003E-3</v>
      </c>
      <c r="N112">
        <f>'2015_2020 Int_Confianca'!L45</f>
        <v>3.7000000000000002E-3</v>
      </c>
      <c r="O112">
        <f>'2015_2020 Int_Confianca'!M45</f>
        <v>3.0000000000000001E-3</v>
      </c>
      <c r="P112">
        <f>'2015_2020 Int_Confianca'!N45</f>
        <v>2.8E-3</v>
      </c>
      <c r="Q112">
        <f>'2015_2020 Int_Confianca'!O45</f>
        <v>2.8E-3</v>
      </c>
      <c r="R112">
        <f>'2015_2020 Int_Confianca'!P45</f>
        <v>3.0000000000000001E-3</v>
      </c>
      <c r="S112">
        <f>'2015_2020 Int_Confianca'!Q45</f>
        <v>3.0000000000000001E-3</v>
      </c>
      <c r="T112">
        <f>'2015_2020 Int_Confianca'!R45</f>
        <v>2.8999999999999998E-3</v>
      </c>
      <c r="U112">
        <f>'2015_2020 Int_Confianca'!S45</f>
        <v>3.0000000000000001E-3</v>
      </c>
      <c r="V112">
        <f>'2015_2020 Int_Confianca'!T45</f>
        <v>3.2000000000000002E-3</v>
      </c>
      <c r="W112">
        <f>'2015_2020 Int_Confianca'!U45</f>
        <v>3.3E-3</v>
      </c>
      <c r="X112">
        <f>'2015_2020 Int_Confianca'!V45</f>
        <v>3.3E-3</v>
      </c>
      <c r="Y112">
        <f>'2015_2020 Int_Confianca'!W45</f>
        <v>3.2000000000000002E-3</v>
      </c>
      <c r="Z112">
        <f>'2015_2020 Int_Confianca'!X45</f>
        <v>3.3E-3</v>
      </c>
      <c r="AA112">
        <f>'2015_2020 Int_Confianca'!Y45</f>
        <v>3.3E-3</v>
      </c>
      <c r="AB112">
        <f>'2015_2020 Int_Confianca'!Z45</f>
        <v>3.3999999999999998E-3</v>
      </c>
      <c r="AC112">
        <f>'2015_2020 Int_Confianca'!AA45</f>
        <v>3.5999999999999999E-3</v>
      </c>
      <c r="AD112">
        <f>'2015_2020 Int_Confianca'!AB45</f>
        <v>3.5999999999999999E-3</v>
      </c>
      <c r="AE112">
        <f>'2015_2020 Int_Confianca'!AC45</f>
        <v>3.8E-3</v>
      </c>
      <c r="AF112">
        <f>'2015_2020 Int_Confianca'!AD45</f>
        <v>3.8999999999999998E-3</v>
      </c>
      <c r="AG112">
        <f>'2015_2020 Int_Confianca'!AE45</f>
        <v>4.1000000000000003E-3</v>
      </c>
      <c r="AH112">
        <f>'2015_2020 Int_Confianca'!AF45</f>
        <v>4.3E-3</v>
      </c>
      <c r="AI112">
        <f>'2015_2020 Int_Confianca'!AG45</f>
        <v>4.5999999999999999E-3</v>
      </c>
      <c r="AJ112">
        <f>'2015_2020 Int_Confianca'!AH45</f>
        <v>5.0000000000000001E-3</v>
      </c>
      <c r="AK112">
        <f>'2015_2020 Int_Confianca'!AI45</f>
        <v>5.3E-3</v>
      </c>
      <c r="AL112">
        <f>'2015_2020 Int_Confianca'!AJ45</f>
        <v>5.5999999999999999E-3</v>
      </c>
      <c r="AM112">
        <f>'2015_2020 Int_Confianca'!AK45</f>
        <v>5.8999999999999999E-3</v>
      </c>
      <c r="AN112">
        <f>'2015_2020 Int_Confianca'!AL45</f>
        <v>6.0000000000000001E-3</v>
      </c>
      <c r="AO112">
        <f>'2015_2020 Int_Confianca'!AM45</f>
        <v>6.1999999999999998E-3</v>
      </c>
      <c r="AP112">
        <f>'2015_2020 Int_Confianca'!AN45</f>
        <v>6.1000000000000004E-3</v>
      </c>
      <c r="AQ112">
        <f>'2015_2020 Int_Confianca'!AO45</f>
        <v>6.0000000000000001E-3</v>
      </c>
      <c r="AR112">
        <f>'2015_2020 Int_Confianca'!AP45</f>
        <v>6.1000000000000004E-3</v>
      </c>
      <c r="AS112">
        <f>'2015_2020 Int_Confianca'!AQ45</f>
        <v>6.1000000000000004E-3</v>
      </c>
      <c r="AT112">
        <f>'2015_2020 Int_Confianca'!AR45</f>
        <v>6.3E-3</v>
      </c>
      <c r="AU112">
        <f>'2015_2020 Int_Confianca'!AS45</f>
        <v>6.3E-3</v>
      </c>
      <c r="AV112">
        <f>'2015_2020 Int_Confianca'!AT45</f>
        <v>6.4999999999999997E-3</v>
      </c>
      <c r="AW112">
        <f>'2015_2020 Int_Confianca'!AU45</f>
        <v>6.7999999999999996E-3</v>
      </c>
      <c r="AX112">
        <f>'2015_2020 Int_Confianca'!AV45</f>
        <v>7.1999999999999998E-3</v>
      </c>
      <c r="AY112">
        <f>'2015_2020 Int_Confianca'!AW45</f>
        <v>7.4999999999999997E-3</v>
      </c>
      <c r="AZ112">
        <f>'2015_2020 Int_Confianca'!AX45</f>
        <v>7.7000000000000002E-3</v>
      </c>
      <c r="BA112">
        <f>'2015_2020 Int_Confianca'!AY45</f>
        <v>8.0000000000000002E-3</v>
      </c>
      <c r="BB112">
        <f>'2015_2020 Int_Confianca'!AZ45</f>
        <v>8.0000000000000002E-3</v>
      </c>
      <c r="BC112">
        <f>'2015_2020 Int_Confianca'!BA45</f>
        <v>7.9000000000000008E-3</v>
      </c>
      <c r="BD112">
        <f>'2015_2020 Int_Confianca'!BB45</f>
        <v>7.9000000000000008E-3</v>
      </c>
      <c r="BE112">
        <f>'2015_2020 Int_Confianca'!BC45</f>
        <v>7.9000000000000008E-3</v>
      </c>
      <c r="BF112">
        <f>'2015_2020 Int_Confianca'!BD45</f>
        <v>8.0000000000000002E-3</v>
      </c>
      <c r="BG112">
        <f>'2015_2020 Int_Confianca'!BE45</f>
        <v>8.0000000000000002E-3</v>
      </c>
      <c r="BH112">
        <f>'2015_2020 Int_Confianca'!BF45</f>
        <v>8.0999999999999996E-3</v>
      </c>
      <c r="BI112">
        <f>'2015_2020 Int_Confianca'!BG45</f>
        <v>8.3999999999999995E-3</v>
      </c>
      <c r="BJ112">
        <f>'2015_2020 Int_Confianca'!BH45</f>
        <v>8.5000000000000006E-3</v>
      </c>
      <c r="BK112">
        <f>'2015_2020 Int_Confianca'!BI45</f>
        <v>8.6E-3</v>
      </c>
      <c r="BL112">
        <f>'2015_2020 Int_Confianca'!BJ45</f>
        <v>8.6999999999999994E-3</v>
      </c>
      <c r="BM112">
        <f>'2015_2020 Int_Confianca'!BK45</f>
        <v>8.8999999999999999E-3</v>
      </c>
      <c r="BN112">
        <f>'2015_2020 Int_Confianca'!BL45</f>
        <v>8.8999999999999999E-3</v>
      </c>
      <c r="BO112">
        <f>'2015_2020 Int_Confianca'!BM45</f>
        <v>8.8000000000000005E-3</v>
      </c>
      <c r="BP112">
        <f>'2015_2020 Int_Confianca'!BN45</f>
        <v>8.6999999999999994E-3</v>
      </c>
      <c r="BQ112">
        <f>'2015_2020 Int_Confianca'!BO45</f>
        <v>8.8000000000000005E-3</v>
      </c>
      <c r="BR112">
        <f>'2015_2020 Int_Confianca'!BP45</f>
        <v>8.8000000000000005E-3</v>
      </c>
      <c r="BS112">
        <f>'2015_2020 Int_Confianca'!BQ45</f>
        <v>9.1999999999999998E-3</v>
      </c>
      <c r="BT112">
        <f>'2015_2020 Int_Confianca'!BR45</f>
        <v>9.4999999999999998E-3</v>
      </c>
      <c r="BU112">
        <f>'2015_2020 Int_Confianca'!BS45</f>
        <v>1.01E-2</v>
      </c>
      <c r="BV112">
        <f>'2015_2020 Int_Confianca'!BT45</f>
        <v>1.04E-2</v>
      </c>
      <c r="BW112">
        <f>'2015_2020 Int_Confianca'!BU45</f>
        <v>1.11E-2</v>
      </c>
      <c r="BX112">
        <f>'2015_2020 Int_Confianca'!BV45</f>
        <v>1.1299999999999999E-2</v>
      </c>
      <c r="BY112">
        <f>'2015_2020 Int_Confianca'!BW45</f>
        <v>1.11E-2</v>
      </c>
      <c r="BZ112">
        <f>'2015_2020 Int_Confianca'!BX45</f>
        <v>1.0200000000000001E-2</v>
      </c>
      <c r="CA112">
        <f>'2015_2020 Int_Confianca'!BY45</f>
        <v>9.9000000000000008E-3</v>
      </c>
      <c r="CB112">
        <f>'2015_2020 Int_Confianca'!BZ45</f>
        <v>9.7999999999999997E-3</v>
      </c>
      <c r="CC112">
        <f>'2015_2020 Int_Confianca'!CA45</f>
        <v>9.7999999999999997E-3</v>
      </c>
      <c r="CD112">
        <f>'2015_2020 Int_Confianca'!CB45</f>
        <v>1.0200000000000001E-2</v>
      </c>
      <c r="CE112">
        <f>'2015_2020 Int_Confianca'!CC45</f>
        <v>1.2699999999999999E-2</v>
      </c>
      <c r="CF112">
        <f>'2015_2020 Int_Confianca'!CD45</f>
        <v>1.3599999999999999E-2</v>
      </c>
      <c r="CG112">
        <f>'2015_2020 Int_Confianca'!CE45</f>
        <v>1.32E-2</v>
      </c>
      <c r="CH112">
        <f>'2015_2020 Int_Confianca'!CF45</f>
        <v>1.26E-2</v>
      </c>
      <c r="CI112">
        <f>'2015_2020 Int_Confianca'!CG45</f>
        <v>1.24E-2</v>
      </c>
      <c r="CJ112">
        <f>'2015_2020 Int_Confianca'!CH45</f>
        <v>1.2800000000000001E-2</v>
      </c>
      <c r="CK112">
        <f>'2015_2020 Int_Confianca'!CI45</f>
        <v>1.2200000000000001E-2</v>
      </c>
      <c r="CL112">
        <f>'2015_2020 Int_Confianca'!CJ45</f>
        <v>1.18E-2</v>
      </c>
      <c r="CM112">
        <f>'2015_2020 Int_Confianca'!CK45</f>
        <v>1.2200000000000001E-2</v>
      </c>
      <c r="CN112">
        <f>'2015_2020 Int_Confianca'!CL45</f>
        <v>1.43E-2</v>
      </c>
      <c r="CO112">
        <f>'2015_2020 Int_Confianca'!CM45</f>
        <v>1.4500000000000001E-2</v>
      </c>
      <c r="CP112">
        <f>'2015_2020 Int_Confianca'!CN45</f>
        <v>1.2200000000000001E-2</v>
      </c>
      <c r="CQ112">
        <f>'2015_2020 Int_Confianca'!CO45</f>
        <v>1.17E-2</v>
      </c>
      <c r="CR112">
        <f>'2015_2020 Int_Confianca'!CP45</f>
        <v>1.49E-2</v>
      </c>
      <c r="CS112">
        <f>'2015_2020 Int_Confianca'!CQ45</f>
        <v>1.24E-2</v>
      </c>
      <c r="CT112">
        <f>'2015_2020 Int_Confianca'!CR45</f>
        <v>1.47E-2</v>
      </c>
      <c r="CU112">
        <f>'2015_2020 Int_Confianca'!CS45</f>
        <v>1.5100000000000001E-2</v>
      </c>
      <c r="CV112">
        <f>'2015_2020 Int_Confianca'!CT45</f>
        <v>1.46E-2</v>
      </c>
      <c r="CW112">
        <f>'2015_2020 Int_Confianca'!CU45</f>
        <v>1.5599999999999999E-2</v>
      </c>
      <c r="CX112">
        <f>'2015_2020 Int_Confianca'!CV45</f>
        <v>1.6E-2</v>
      </c>
    </row>
    <row r="113" spans="1:102" x14ac:dyDescent="0.2">
      <c r="A113" t="s">
        <v>5912</v>
      </c>
      <c r="B113" t="s">
        <v>218</v>
      </c>
      <c r="C113" t="s">
        <v>221</v>
      </c>
      <c r="D113">
        <f>'2015_2020 Int_Confianca'!B46</f>
        <v>4.8999999999999998E-3</v>
      </c>
      <c r="E113">
        <f>'2015_2020 Int_Confianca'!C46</f>
        <v>8.3000000000000001E-3</v>
      </c>
      <c r="F113">
        <f>'2015_2020 Int_Confianca'!D46</f>
        <v>7.7000000000000002E-3</v>
      </c>
      <c r="G113">
        <f>'2015_2020 Int_Confianca'!E46</f>
        <v>8.0000000000000002E-3</v>
      </c>
      <c r="H113">
        <f>'2015_2020 Int_Confianca'!F46</f>
        <v>7.0000000000000001E-3</v>
      </c>
      <c r="I113">
        <f>'2015_2020 Int_Confianca'!G46</f>
        <v>8.6E-3</v>
      </c>
      <c r="J113">
        <f>'2015_2020 Int_Confianca'!H46</f>
        <v>7.4999999999999997E-3</v>
      </c>
      <c r="K113">
        <f>'2015_2020 Int_Confianca'!I46</f>
        <v>7.4999999999999997E-3</v>
      </c>
      <c r="L113">
        <f>'2015_2020 Int_Confianca'!J46</f>
        <v>7.6E-3</v>
      </c>
      <c r="M113">
        <f>'2015_2020 Int_Confianca'!K46</f>
        <v>6.1000000000000004E-3</v>
      </c>
      <c r="N113">
        <f>'2015_2020 Int_Confianca'!L46</f>
        <v>5.4000000000000003E-3</v>
      </c>
      <c r="O113">
        <f>'2015_2020 Int_Confianca'!M46</f>
        <v>4.4000000000000003E-3</v>
      </c>
      <c r="P113">
        <f>'2015_2020 Int_Confianca'!N46</f>
        <v>4.0000000000000001E-3</v>
      </c>
      <c r="Q113">
        <f>'2015_2020 Int_Confianca'!O46</f>
        <v>4.1000000000000003E-3</v>
      </c>
      <c r="R113">
        <f>'2015_2020 Int_Confianca'!P46</f>
        <v>4.3E-3</v>
      </c>
      <c r="S113">
        <f>'2015_2020 Int_Confianca'!Q46</f>
        <v>4.3E-3</v>
      </c>
      <c r="T113">
        <f>'2015_2020 Int_Confianca'!R46</f>
        <v>4.1999999999999997E-3</v>
      </c>
      <c r="U113">
        <f>'2015_2020 Int_Confianca'!S46</f>
        <v>4.3E-3</v>
      </c>
      <c r="V113">
        <f>'2015_2020 Int_Confianca'!T46</f>
        <v>4.5999999999999999E-3</v>
      </c>
      <c r="W113">
        <f>'2015_2020 Int_Confianca'!U46</f>
        <v>4.7000000000000002E-3</v>
      </c>
      <c r="X113">
        <f>'2015_2020 Int_Confianca'!V46</f>
        <v>4.5999999999999999E-3</v>
      </c>
      <c r="Y113">
        <f>'2015_2020 Int_Confianca'!W46</f>
        <v>4.5999999999999999E-3</v>
      </c>
      <c r="Z113">
        <f>'2015_2020 Int_Confianca'!X46</f>
        <v>4.5999999999999999E-3</v>
      </c>
      <c r="AA113">
        <f>'2015_2020 Int_Confianca'!Y46</f>
        <v>4.5999999999999999E-3</v>
      </c>
      <c r="AB113">
        <f>'2015_2020 Int_Confianca'!Z46</f>
        <v>4.7999999999999996E-3</v>
      </c>
      <c r="AC113">
        <f>'2015_2020 Int_Confianca'!AA46</f>
        <v>5.1000000000000004E-3</v>
      </c>
      <c r="AD113">
        <f>'2015_2020 Int_Confianca'!AB46</f>
        <v>5.1000000000000004E-3</v>
      </c>
      <c r="AE113">
        <f>'2015_2020 Int_Confianca'!AC46</f>
        <v>5.3E-3</v>
      </c>
      <c r="AF113">
        <f>'2015_2020 Int_Confianca'!AD46</f>
        <v>5.5999999999999999E-3</v>
      </c>
      <c r="AG113">
        <f>'2015_2020 Int_Confianca'!AE46</f>
        <v>5.8999999999999999E-3</v>
      </c>
      <c r="AH113">
        <f>'2015_2020 Int_Confianca'!AF46</f>
        <v>6.1000000000000004E-3</v>
      </c>
      <c r="AI113">
        <f>'2015_2020 Int_Confianca'!AG46</f>
        <v>6.4999999999999997E-3</v>
      </c>
      <c r="AJ113">
        <f>'2015_2020 Int_Confianca'!AH46</f>
        <v>7.1000000000000004E-3</v>
      </c>
      <c r="AK113">
        <f>'2015_2020 Int_Confianca'!AI46</f>
        <v>7.6E-3</v>
      </c>
      <c r="AL113">
        <f>'2015_2020 Int_Confianca'!AJ46</f>
        <v>7.9000000000000008E-3</v>
      </c>
      <c r="AM113">
        <f>'2015_2020 Int_Confianca'!AK46</f>
        <v>8.3000000000000001E-3</v>
      </c>
      <c r="AN113">
        <f>'2015_2020 Int_Confianca'!AL46</f>
        <v>8.5000000000000006E-3</v>
      </c>
      <c r="AO113">
        <f>'2015_2020 Int_Confianca'!AM46</f>
        <v>8.6999999999999994E-3</v>
      </c>
      <c r="AP113">
        <f>'2015_2020 Int_Confianca'!AN46</f>
        <v>8.6E-3</v>
      </c>
      <c r="AQ113">
        <f>'2015_2020 Int_Confianca'!AO46</f>
        <v>8.5000000000000006E-3</v>
      </c>
      <c r="AR113">
        <f>'2015_2020 Int_Confianca'!AP46</f>
        <v>8.5000000000000006E-3</v>
      </c>
      <c r="AS113">
        <f>'2015_2020 Int_Confianca'!AQ46</f>
        <v>8.6E-3</v>
      </c>
      <c r="AT113">
        <f>'2015_2020 Int_Confianca'!AR46</f>
        <v>8.8999999999999999E-3</v>
      </c>
      <c r="AU113">
        <f>'2015_2020 Int_Confianca'!AS46</f>
        <v>8.8999999999999999E-3</v>
      </c>
      <c r="AV113">
        <f>'2015_2020 Int_Confianca'!AT46</f>
        <v>9.1999999999999998E-3</v>
      </c>
      <c r="AW113">
        <f>'2015_2020 Int_Confianca'!AU46</f>
        <v>9.5999999999999992E-3</v>
      </c>
      <c r="AX113">
        <f>'2015_2020 Int_Confianca'!AV46</f>
        <v>1.0200000000000001E-2</v>
      </c>
      <c r="AY113">
        <f>'2015_2020 Int_Confianca'!AW46</f>
        <v>1.0500000000000001E-2</v>
      </c>
      <c r="AZ113">
        <f>'2015_2020 Int_Confianca'!AX46</f>
        <v>1.09E-2</v>
      </c>
      <c r="BA113">
        <f>'2015_2020 Int_Confianca'!AY46</f>
        <v>1.12E-2</v>
      </c>
      <c r="BB113">
        <f>'2015_2020 Int_Confianca'!AZ46</f>
        <v>1.12E-2</v>
      </c>
      <c r="BC113">
        <f>'2015_2020 Int_Confianca'!BA46</f>
        <v>1.11E-2</v>
      </c>
      <c r="BD113">
        <f>'2015_2020 Int_Confianca'!BB46</f>
        <v>1.11E-2</v>
      </c>
      <c r="BE113">
        <f>'2015_2020 Int_Confianca'!BC46</f>
        <v>1.11E-2</v>
      </c>
      <c r="BF113">
        <f>'2015_2020 Int_Confianca'!BD46</f>
        <v>1.1299999999999999E-2</v>
      </c>
      <c r="BG113">
        <f>'2015_2020 Int_Confianca'!BE46</f>
        <v>1.12E-2</v>
      </c>
      <c r="BH113">
        <f>'2015_2020 Int_Confianca'!BF46</f>
        <v>1.14E-2</v>
      </c>
      <c r="BI113">
        <f>'2015_2020 Int_Confianca'!BG46</f>
        <v>1.17E-2</v>
      </c>
      <c r="BJ113">
        <f>'2015_2020 Int_Confianca'!BH46</f>
        <v>1.2E-2</v>
      </c>
      <c r="BK113">
        <f>'2015_2020 Int_Confianca'!BI46</f>
        <v>1.2200000000000001E-2</v>
      </c>
      <c r="BL113">
        <f>'2015_2020 Int_Confianca'!BJ46</f>
        <v>1.23E-2</v>
      </c>
      <c r="BM113">
        <f>'2015_2020 Int_Confianca'!BK46</f>
        <v>1.24E-2</v>
      </c>
      <c r="BN113">
        <f>'2015_2020 Int_Confianca'!BL46</f>
        <v>1.26E-2</v>
      </c>
      <c r="BO113">
        <f>'2015_2020 Int_Confianca'!BM46</f>
        <v>1.24E-2</v>
      </c>
      <c r="BP113">
        <f>'2015_2020 Int_Confianca'!BN46</f>
        <v>1.23E-2</v>
      </c>
      <c r="BQ113">
        <f>'2015_2020 Int_Confianca'!BO46</f>
        <v>1.23E-2</v>
      </c>
      <c r="BR113">
        <f>'2015_2020 Int_Confianca'!BP46</f>
        <v>1.23E-2</v>
      </c>
      <c r="BS113">
        <f>'2015_2020 Int_Confianca'!BQ46</f>
        <v>1.29E-2</v>
      </c>
      <c r="BT113">
        <f>'2015_2020 Int_Confianca'!BR46</f>
        <v>1.34E-2</v>
      </c>
      <c r="BU113">
        <f>'2015_2020 Int_Confianca'!BS46</f>
        <v>1.4200000000000001E-2</v>
      </c>
      <c r="BV113">
        <f>'2015_2020 Int_Confianca'!BT46</f>
        <v>1.47E-2</v>
      </c>
      <c r="BW113">
        <f>'2015_2020 Int_Confianca'!BU46</f>
        <v>1.55E-2</v>
      </c>
      <c r="BX113">
        <f>'2015_2020 Int_Confianca'!BV46</f>
        <v>1.5900000000000001E-2</v>
      </c>
      <c r="BY113">
        <f>'2015_2020 Int_Confianca'!BW46</f>
        <v>1.5599999999999999E-2</v>
      </c>
      <c r="BZ113">
        <f>'2015_2020 Int_Confianca'!BX46</f>
        <v>1.43E-2</v>
      </c>
      <c r="CA113">
        <f>'2015_2020 Int_Confianca'!BY46</f>
        <v>1.3899999999999999E-2</v>
      </c>
      <c r="CB113">
        <f>'2015_2020 Int_Confianca'!BZ46</f>
        <v>1.37E-2</v>
      </c>
      <c r="CC113">
        <f>'2015_2020 Int_Confianca'!CA46</f>
        <v>1.37E-2</v>
      </c>
      <c r="CD113">
        <f>'2015_2020 Int_Confianca'!CB46</f>
        <v>1.43E-2</v>
      </c>
      <c r="CE113">
        <f>'2015_2020 Int_Confianca'!CC46</f>
        <v>1.7899999999999999E-2</v>
      </c>
      <c r="CF113">
        <f>'2015_2020 Int_Confianca'!CD46</f>
        <v>1.9199999999999998E-2</v>
      </c>
      <c r="CG113">
        <f>'2015_2020 Int_Confianca'!CE46</f>
        <v>1.8599999999999998E-2</v>
      </c>
      <c r="CH113">
        <f>'2015_2020 Int_Confianca'!CF46</f>
        <v>1.78E-2</v>
      </c>
      <c r="CI113">
        <f>'2015_2020 Int_Confianca'!CG46</f>
        <v>1.7600000000000001E-2</v>
      </c>
      <c r="CJ113">
        <f>'2015_2020 Int_Confianca'!CH46</f>
        <v>1.8200000000000001E-2</v>
      </c>
      <c r="CK113">
        <f>'2015_2020 Int_Confianca'!CI46</f>
        <v>1.7299999999999999E-2</v>
      </c>
      <c r="CL113">
        <f>'2015_2020 Int_Confianca'!CJ46</f>
        <v>1.6799999999999999E-2</v>
      </c>
      <c r="CM113">
        <f>'2015_2020 Int_Confianca'!CK46</f>
        <v>1.7399999999999999E-2</v>
      </c>
      <c r="CN113">
        <f>'2015_2020 Int_Confianca'!CL46</f>
        <v>2.0400000000000001E-2</v>
      </c>
      <c r="CO113">
        <f>'2015_2020 Int_Confianca'!CM46</f>
        <v>2.07E-2</v>
      </c>
      <c r="CP113">
        <f>'2015_2020 Int_Confianca'!CN46</f>
        <v>1.7500000000000002E-2</v>
      </c>
      <c r="CQ113">
        <f>'2015_2020 Int_Confianca'!CO46</f>
        <v>1.6799999999999999E-2</v>
      </c>
      <c r="CR113">
        <f>'2015_2020 Int_Confianca'!CP46</f>
        <v>2.1399999999999999E-2</v>
      </c>
      <c r="CS113">
        <f>'2015_2020 Int_Confianca'!CQ46</f>
        <v>1.7899999999999999E-2</v>
      </c>
      <c r="CT113">
        <f>'2015_2020 Int_Confianca'!CR46</f>
        <v>2.12E-2</v>
      </c>
      <c r="CU113">
        <f>'2015_2020 Int_Confianca'!CS46</f>
        <v>2.1899999999999999E-2</v>
      </c>
      <c r="CV113">
        <f>'2015_2020 Int_Confianca'!CT46</f>
        <v>2.1299999999999999E-2</v>
      </c>
      <c r="CW113">
        <f>'2015_2020 Int_Confianca'!CU46</f>
        <v>2.3E-2</v>
      </c>
      <c r="CX113">
        <f>'2015_2020 Int_Confianca'!CV46</f>
        <v>2.4199999999999999E-2</v>
      </c>
    </row>
    <row r="114" spans="1:102" x14ac:dyDescent="0.2">
      <c r="A114" t="s">
        <v>5913</v>
      </c>
      <c r="B114" t="s">
        <v>218</v>
      </c>
      <c r="C114" t="s">
        <v>221</v>
      </c>
      <c r="D114">
        <f>'2015_2020 Int_Confianca'!B47</f>
        <v>-6.1999999999999998E-3</v>
      </c>
      <c r="E114">
        <f>'2015_2020 Int_Confianca'!C47</f>
        <v>-7.4999999999999997E-3</v>
      </c>
      <c r="F114">
        <f>'2015_2020 Int_Confianca'!D47</f>
        <v>-6.0000000000000001E-3</v>
      </c>
      <c r="G114">
        <f>'2015_2020 Int_Confianca'!E47</f>
        <v>-5.5999999999999999E-3</v>
      </c>
      <c r="H114">
        <f>'2015_2020 Int_Confianca'!F47</f>
        <v>-4.1999999999999997E-3</v>
      </c>
      <c r="I114">
        <f>'2015_2020 Int_Confianca'!G47</f>
        <v>-4.7000000000000002E-3</v>
      </c>
      <c r="J114">
        <f>'2015_2020 Int_Confianca'!H47</f>
        <v>-3.8999999999999998E-3</v>
      </c>
      <c r="K114">
        <f>'2015_2020 Int_Confianca'!I47</f>
        <v>-3.5000000000000001E-3</v>
      </c>
      <c r="L114">
        <f>'2015_2020 Int_Confianca'!J47</f>
        <v>-3.3999999999999998E-3</v>
      </c>
      <c r="M114">
        <f>'2015_2020 Int_Confianca'!K47</f>
        <v>-2.5999999999999999E-3</v>
      </c>
      <c r="N114">
        <f>'2015_2020 Int_Confianca'!L47</f>
        <v>-2.0999999999999999E-3</v>
      </c>
      <c r="O114">
        <f>'2015_2020 Int_Confianca'!M47</f>
        <v>-1.6000000000000001E-3</v>
      </c>
      <c r="P114">
        <f>'2015_2020 Int_Confianca'!N47</f>
        <v>-1.4E-3</v>
      </c>
      <c r="Q114">
        <f>'2015_2020 Int_Confianca'!O47</f>
        <v>-1.4E-3</v>
      </c>
      <c r="R114">
        <f>'2015_2020 Int_Confianca'!P47</f>
        <v>-1.4E-3</v>
      </c>
      <c r="S114">
        <f>'2015_2020 Int_Confianca'!Q47</f>
        <v>-1.4E-3</v>
      </c>
      <c r="T114">
        <f>'2015_2020 Int_Confianca'!R47</f>
        <v>-1.4E-3</v>
      </c>
      <c r="U114">
        <f>'2015_2020 Int_Confianca'!S47</f>
        <v>-1.4E-3</v>
      </c>
      <c r="V114">
        <f>'2015_2020 Int_Confianca'!T47</f>
        <v>-1.5E-3</v>
      </c>
      <c r="W114">
        <f>'2015_2020 Int_Confianca'!U47</f>
        <v>-1.5E-3</v>
      </c>
      <c r="X114">
        <f>'2015_2020 Int_Confianca'!V47</f>
        <v>-1.5E-3</v>
      </c>
      <c r="Y114">
        <f>'2015_2020 Int_Confianca'!W47</f>
        <v>-1.5E-3</v>
      </c>
      <c r="Z114">
        <f>'2015_2020 Int_Confianca'!X47</f>
        <v>-1.5E-3</v>
      </c>
      <c r="AA114">
        <f>'2015_2020 Int_Confianca'!Y47</f>
        <v>-1.5E-3</v>
      </c>
      <c r="AB114">
        <f>'2015_2020 Int_Confianca'!Z47</f>
        <v>-1.6999999999999999E-3</v>
      </c>
      <c r="AC114">
        <f>'2015_2020 Int_Confianca'!AA47</f>
        <v>-1.8E-3</v>
      </c>
      <c r="AD114">
        <f>'2015_2020 Int_Confianca'!AB47</f>
        <v>-1.9E-3</v>
      </c>
      <c r="AE114">
        <f>'2015_2020 Int_Confianca'!AC47</f>
        <v>-2E-3</v>
      </c>
      <c r="AF114">
        <f>'2015_2020 Int_Confianca'!AD47</f>
        <v>-2.0999999999999999E-3</v>
      </c>
      <c r="AG114">
        <f>'2015_2020 Int_Confianca'!AE47</f>
        <v>-2.2000000000000001E-3</v>
      </c>
      <c r="AH114">
        <f>'2015_2020 Int_Confianca'!AF47</f>
        <v>-2.3E-3</v>
      </c>
      <c r="AI114">
        <f>'2015_2020 Int_Confianca'!AG47</f>
        <v>-2.5000000000000001E-3</v>
      </c>
      <c r="AJ114">
        <f>'2015_2020 Int_Confianca'!AH47</f>
        <v>-2.8E-3</v>
      </c>
      <c r="AK114">
        <f>'2015_2020 Int_Confianca'!AI47</f>
        <v>-3.0000000000000001E-3</v>
      </c>
      <c r="AL114">
        <f>'2015_2020 Int_Confianca'!AJ47</f>
        <v>-3.2000000000000002E-3</v>
      </c>
      <c r="AM114">
        <f>'2015_2020 Int_Confianca'!AK47</f>
        <v>-3.3E-3</v>
      </c>
      <c r="AN114">
        <f>'2015_2020 Int_Confianca'!AL47</f>
        <v>-3.3999999999999998E-3</v>
      </c>
      <c r="AO114">
        <f>'2015_2020 Int_Confianca'!AM47</f>
        <v>-3.5999999999999999E-3</v>
      </c>
      <c r="AP114">
        <f>'2015_2020 Int_Confianca'!AN47</f>
        <v>-3.5000000000000001E-3</v>
      </c>
      <c r="AQ114">
        <f>'2015_2020 Int_Confianca'!AO47</f>
        <v>-3.5000000000000001E-3</v>
      </c>
      <c r="AR114">
        <f>'2015_2020 Int_Confianca'!AP47</f>
        <v>-3.5000000000000001E-3</v>
      </c>
      <c r="AS114">
        <f>'2015_2020 Int_Confianca'!AQ47</f>
        <v>-3.5000000000000001E-3</v>
      </c>
      <c r="AT114">
        <f>'2015_2020 Int_Confianca'!AR47</f>
        <v>-3.5000000000000001E-3</v>
      </c>
      <c r="AU114">
        <f>'2015_2020 Int_Confianca'!AS47</f>
        <v>-3.5000000000000001E-3</v>
      </c>
      <c r="AV114">
        <f>'2015_2020 Int_Confianca'!AT47</f>
        <v>-3.7000000000000002E-3</v>
      </c>
      <c r="AW114">
        <f>'2015_2020 Int_Confianca'!AU47</f>
        <v>-4.0000000000000001E-3</v>
      </c>
      <c r="AX114">
        <f>'2015_2020 Int_Confianca'!AV47</f>
        <v>-4.1999999999999997E-3</v>
      </c>
      <c r="AY114">
        <f>'2015_2020 Int_Confianca'!AW47</f>
        <v>-4.3E-3</v>
      </c>
      <c r="AZ114">
        <f>'2015_2020 Int_Confianca'!AX47</f>
        <v>-4.4000000000000003E-3</v>
      </c>
      <c r="BA114">
        <f>'2015_2020 Int_Confianca'!AY47</f>
        <v>-4.5999999999999999E-3</v>
      </c>
      <c r="BB114">
        <f>'2015_2020 Int_Confianca'!AZ47</f>
        <v>-4.5999999999999999E-3</v>
      </c>
      <c r="BC114">
        <f>'2015_2020 Int_Confianca'!BA47</f>
        <v>-4.4999999999999997E-3</v>
      </c>
      <c r="BD114">
        <f>'2015_2020 Int_Confianca'!BB47</f>
        <v>-4.4999999999999997E-3</v>
      </c>
      <c r="BE114">
        <f>'2015_2020 Int_Confianca'!BC47</f>
        <v>-4.4999999999999997E-3</v>
      </c>
      <c r="BF114">
        <f>'2015_2020 Int_Confianca'!BD47</f>
        <v>-4.4999999999999997E-3</v>
      </c>
      <c r="BG114">
        <f>'2015_2020 Int_Confianca'!BE47</f>
        <v>-4.4999999999999997E-3</v>
      </c>
      <c r="BH114">
        <f>'2015_2020 Int_Confianca'!BF47</f>
        <v>-4.4000000000000003E-3</v>
      </c>
      <c r="BI114">
        <f>'2015_2020 Int_Confianca'!BG47</f>
        <v>-4.4999999999999997E-3</v>
      </c>
      <c r="BJ114">
        <f>'2015_2020 Int_Confianca'!BH47</f>
        <v>-4.5999999999999999E-3</v>
      </c>
      <c r="BK114">
        <f>'2015_2020 Int_Confianca'!BI47</f>
        <v>-4.7000000000000002E-3</v>
      </c>
      <c r="BL114">
        <f>'2015_2020 Int_Confianca'!BJ47</f>
        <v>-4.7000000000000002E-3</v>
      </c>
      <c r="BM114">
        <f>'2015_2020 Int_Confianca'!BK47</f>
        <v>-4.7000000000000002E-3</v>
      </c>
      <c r="BN114">
        <f>'2015_2020 Int_Confianca'!BL47</f>
        <v>-4.5999999999999999E-3</v>
      </c>
      <c r="BO114">
        <f>'2015_2020 Int_Confianca'!BM47</f>
        <v>-4.5999999999999999E-3</v>
      </c>
      <c r="BP114">
        <f>'2015_2020 Int_Confianca'!BN47</f>
        <v>-4.4999999999999997E-3</v>
      </c>
      <c r="BQ114">
        <f>'2015_2020 Int_Confianca'!BO47</f>
        <v>-4.4999999999999997E-3</v>
      </c>
      <c r="BR114">
        <f>'2015_2020 Int_Confianca'!BP47</f>
        <v>-4.4000000000000003E-3</v>
      </c>
      <c r="BS114">
        <f>'2015_2020 Int_Confianca'!BQ47</f>
        <v>-4.7000000000000002E-3</v>
      </c>
      <c r="BT114">
        <f>'2015_2020 Int_Confianca'!BR47</f>
        <v>-4.7999999999999996E-3</v>
      </c>
      <c r="BU114">
        <f>'2015_2020 Int_Confianca'!BS47</f>
        <v>-5.1000000000000004E-3</v>
      </c>
      <c r="BV114">
        <f>'2015_2020 Int_Confianca'!BT47</f>
        <v>-5.1999999999999998E-3</v>
      </c>
      <c r="BW114">
        <f>'2015_2020 Int_Confianca'!BU47</f>
        <v>-5.4999999999999997E-3</v>
      </c>
      <c r="BX114">
        <f>'2015_2020 Int_Confianca'!BV47</f>
        <v>-5.4999999999999997E-3</v>
      </c>
      <c r="BY114">
        <f>'2015_2020 Int_Confianca'!BW47</f>
        <v>-5.3E-3</v>
      </c>
      <c r="BZ114">
        <f>'2015_2020 Int_Confianca'!BX47</f>
        <v>-4.7999999999999996E-3</v>
      </c>
      <c r="CA114">
        <f>'2015_2020 Int_Confianca'!BY47</f>
        <v>-4.7000000000000002E-3</v>
      </c>
      <c r="CB114">
        <f>'2015_2020 Int_Confianca'!BZ47</f>
        <v>-4.7000000000000002E-3</v>
      </c>
      <c r="CC114">
        <f>'2015_2020 Int_Confianca'!CA47</f>
        <v>-4.7000000000000002E-3</v>
      </c>
      <c r="CD114">
        <f>'2015_2020 Int_Confianca'!CB47</f>
        <v>-4.7999999999999996E-3</v>
      </c>
      <c r="CE114">
        <f>'2015_2020 Int_Confianca'!CC47</f>
        <v>-6.0000000000000001E-3</v>
      </c>
      <c r="CF114">
        <f>'2015_2020 Int_Confianca'!CD47</f>
        <v>-6.4000000000000003E-3</v>
      </c>
      <c r="CG114">
        <f>'2015_2020 Int_Confianca'!CE47</f>
        <v>-6.1000000000000004E-3</v>
      </c>
      <c r="CH114">
        <f>'2015_2020 Int_Confianca'!CF47</f>
        <v>-5.7999999999999996E-3</v>
      </c>
      <c r="CI114">
        <f>'2015_2020 Int_Confianca'!CG47</f>
        <v>-5.7999999999999996E-3</v>
      </c>
      <c r="CJ114">
        <f>'2015_2020 Int_Confianca'!CH47</f>
        <v>-6.1000000000000004E-3</v>
      </c>
      <c r="CK114">
        <f>'2015_2020 Int_Confianca'!CI47</f>
        <v>-5.7000000000000002E-3</v>
      </c>
      <c r="CL114">
        <f>'2015_2020 Int_Confianca'!CJ47</f>
        <v>-5.4999999999999997E-3</v>
      </c>
      <c r="CM114">
        <f>'2015_2020 Int_Confianca'!CK47</f>
        <v>-5.7000000000000002E-3</v>
      </c>
      <c r="CN114">
        <f>'2015_2020 Int_Confianca'!CL47</f>
        <v>-6.7000000000000002E-3</v>
      </c>
      <c r="CO114">
        <f>'2015_2020 Int_Confianca'!CM47</f>
        <v>-6.7999999999999996E-3</v>
      </c>
      <c r="CP114">
        <f>'2015_2020 Int_Confianca'!CN47</f>
        <v>-5.7000000000000002E-3</v>
      </c>
      <c r="CQ114">
        <f>'2015_2020 Int_Confianca'!CO47</f>
        <v>-5.5999999999999999E-3</v>
      </c>
      <c r="CR114">
        <f>'2015_2020 Int_Confianca'!CP47</f>
        <v>-7.3000000000000001E-3</v>
      </c>
      <c r="CS114">
        <f>'2015_2020 Int_Confianca'!CQ47</f>
        <v>-6.1999999999999998E-3</v>
      </c>
      <c r="CT114">
        <f>'2015_2020 Int_Confianca'!CR47</f>
        <v>-7.6E-3</v>
      </c>
      <c r="CU114">
        <f>'2015_2020 Int_Confianca'!CS47</f>
        <v>-7.9000000000000008E-3</v>
      </c>
      <c r="CV114">
        <f>'2015_2020 Int_Confianca'!CT47</f>
        <v>-7.9000000000000008E-3</v>
      </c>
      <c r="CW114">
        <f>'2015_2020 Int_Confianca'!CU47</f>
        <v>-8.0999999999999996E-3</v>
      </c>
      <c r="CX114">
        <f>'2015_2020 Int_Confianca'!CV47</f>
        <v>-7.7999999999999996E-3</v>
      </c>
    </row>
    <row r="115" spans="1:102" x14ac:dyDescent="0.2">
      <c r="A115" t="s">
        <v>5914</v>
      </c>
      <c r="B115" t="s">
        <v>218</v>
      </c>
      <c r="C115" t="s">
        <v>221</v>
      </c>
      <c r="D115">
        <f>'2015_2020 Int_Confianca'!B48</f>
        <v>-2.7000000000000001E-3</v>
      </c>
      <c r="E115">
        <f>'2015_2020 Int_Confianca'!C48</f>
        <v>-3.3999999999999998E-3</v>
      </c>
      <c r="F115">
        <f>'2015_2020 Int_Confianca'!D48</f>
        <v>-2.7000000000000001E-3</v>
      </c>
      <c r="G115">
        <f>'2015_2020 Int_Confianca'!E48</f>
        <v>-2.5000000000000001E-3</v>
      </c>
      <c r="H115">
        <f>'2015_2020 Int_Confianca'!F48</f>
        <v>-1.9E-3</v>
      </c>
      <c r="I115">
        <f>'2015_2020 Int_Confianca'!G48</f>
        <v>-2.0999999999999999E-3</v>
      </c>
      <c r="J115">
        <f>'2015_2020 Int_Confianca'!H48</f>
        <v>-1.6999999999999999E-3</v>
      </c>
      <c r="K115">
        <f>'2015_2020 Int_Confianca'!I48</f>
        <v>-1.6000000000000001E-3</v>
      </c>
      <c r="L115">
        <f>'2015_2020 Int_Confianca'!J48</f>
        <v>-1.5E-3</v>
      </c>
      <c r="M115">
        <f>'2015_2020 Int_Confianca'!K48</f>
        <v>-1.1999999999999999E-3</v>
      </c>
      <c r="N115">
        <f>'2015_2020 Int_Confianca'!L48</f>
        <v>-1E-3</v>
      </c>
      <c r="O115">
        <f>'2015_2020 Int_Confianca'!M48</f>
        <v>-6.9999999999999999E-4</v>
      </c>
      <c r="P115">
        <f>'2015_2020 Int_Confianca'!N48</f>
        <v>-5.9999999999999995E-4</v>
      </c>
      <c r="Q115">
        <f>'2015_2020 Int_Confianca'!O48</f>
        <v>-5.9999999999999995E-4</v>
      </c>
      <c r="R115">
        <f>'2015_2020 Int_Confianca'!P48</f>
        <v>-5.9999999999999995E-4</v>
      </c>
      <c r="S115">
        <f>'2015_2020 Int_Confianca'!Q48</f>
        <v>-5.9999999999999995E-4</v>
      </c>
      <c r="T115">
        <f>'2015_2020 Int_Confianca'!R48</f>
        <v>-5.9999999999999995E-4</v>
      </c>
      <c r="U115">
        <f>'2015_2020 Int_Confianca'!S48</f>
        <v>-5.9999999999999995E-4</v>
      </c>
      <c r="V115">
        <f>'2015_2020 Int_Confianca'!T48</f>
        <v>-6.9999999999999999E-4</v>
      </c>
      <c r="W115">
        <f>'2015_2020 Int_Confianca'!U48</f>
        <v>-6.9999999999999999E-4</v>
      </c>
      <c r="X115">
        <f>'2015_2020 Int_Confianca'!V48</f>
        <v>-6.9999999999999999E-4</v>
      </c>
      <c r="Y115">
        <f>'2015_2020 Int_Confianca'!W48</f>
        <v>-6.9999999999999999E-4</v>
      </c>
      <c r="Z115">
        <f>'2015_2020 Int_Confianca'!X48</f>
        <v>-6.9999999999999999E-4</v>
      </c>
      <c r="AA115">
        <f>'2015_2020 Int_Confianca'!Y48</f>
        <v>-6.9999999999999999E-4</v>
      </c>
      <c r="AB115">
        <f>'2015_2020 Int_Confianca'!Z48</f>
        <v>-8.0000000000000004E-4</v>
      </c>
      <c r="AC115">
        <f>'2015_2020 Int_Confianca'!AA48</f>
        <v>-8.0000000000000004E-4</v>
      </c>
      <c r="AD115">
        <f>'2015_2020 Int_Confianca'!AB48</f>
        <v>-8.9999999999999998E-4</v>
      </c>
      <c r="AE115">
        <f>'2015_2020 Int_Confianca'!AC48</f>
        <v>-8.9999999999999998E-4</v>
      </c>
      <c r="AF115">
        <f>'2015_2020 Int_Confianca'!AD48</f>
        <v>-1E-3</v>
      </c>
      <c r="AG115">
        <f>'2015_2020 Int_Confianca'!AE48</f>
        <v>-1E-3</v>
      </c>
      <c r="AH115">
        <f>'2015_2020 Int_Confianca'!AF48</f>
        <v>-1.1000000000000001E-3</v>
      </c>
      <c r="AI115">
        <f>'2015_2020 Int_Confianca'!AG48</f>
        <v>-1.1000000000000001E-3</v>
      </c>
      <c r="AJ115">
        <f>'2015_2020 Int_Confianca'!AH48</f>
        <v>-1.2999999999999999E-3</v>
      </c>
      <c r="AK115">
        <f>'2015_2020 Int_Confianca'!AI48</f>
        <v>-1.4E-3</v>
      </c>
      <c r="AL115">
        <f>'2015_2020 Int_Confianca'!AJ48</f>
        <v>-1.4E-3</v>
      </c>
      <c r="AM115">
        <f>'2015_2020 Int_Confianca'!AK48</f>
        <v>-1.5E-3</v>
      </c>
      <c r="AN115">
        <f>'2015_2020 Int_Confianca'!AL48</f>
        <v>-1.6000000000000001E-3</v>
      </c>
      <c r="AO115">
        <f>'2015_2020 Int_Confianca'!AM48</f>
        <v>-1.6000000000000001E-3</v>
      </c>
      <c r="AP115">
        <f>'2015_2020 Int_Confianca'!AN48</f>
        <v>-1.6000000000000001E-3</v>
      </c>
      <c r="AQ115">
        <f>'2015_2020 Int_Confianca'!AO48</f>
        <v>-1.6000000000000001E-3</v>
      </c>
      <c r="AR115">
        <f>'2015_2020 Int_Confianca'!AP48</f>
        <v>-1.6000000000000001E-3</v>
      </c>
      <c r="AS115">
        <f>'2015_2020 Int_Confianca'!AQ48</f>
        <v>-1.6000000000000001E-3</v>
      </c>
      <c r="AT115">
        <f>'2015_2020 Int_Confianca'!AR48</f>
        <v>-1.6000000000000001E-3</v>
      </c>
      <c r="AU115">
        <f>'2015_2020 Int_Confianca'!AS48</f>
        <v>-1.6000000000000001E-3</v>
      </c>
      <c r="AV115">
        <f>'2015_2020 Int_Confianca'!AT48</f>
        <v>-1.6999999999999999E-3</v>
      </c>
      <c r="AW115">
        <f>'2015_2020 Int_Confianca'!AU48</f>
        <v>-1.8E-3</v>
      </c>
      <c r="AX115">
        <f>'2015_2020 Int_Confianca'!AV48</f>
        <v>-1.9E-3</v>
      </c>
      <c r="AY115">
        <f>'2015_2020 Int_Confianca'!AW48</f>
        <v>-2E-3</v>
      </c>
      <c r="AZ115">
        <f>'2015_2020 Int_Confianca'!AX48</f>
        <v>-2E-3</v>
      </c>
      <c r="BA115">
        <f>'2015_2020 Int_Confianca'!AY48</f>
        <v>-2.0999999999999999E-3</v>
      </c>
      <c r="BB115">
        <f>'2015_2020 Int_Confianca'!AZ48</f>
        <v>-2.0999999999999999E-3</v>
      </c>
      <c r="BC115">
        <f>'2015_2020 Int_Confianca'!BA48</f>
        <v>-2.0999999999999999E-3</v>
      </c>
      <c r="BD115">
        <f>'2015_2020 Int_Confianca'!BB48</f>
        <v>-2E-3</v>
      </c>
      <c r="BE115">
        <f>'2015_2020 Int_Confianca'!BC48</f>
        <v>-2.0999999999999999E-3</v>
      </c>
      <c r="BF115">
        <f>'2015_2020 Int_Confianca'!BD48</f>
        <v>-2.0999999999999999E-3</v>
      </c>
      <c r="BG115">
        <f>'2015_2020 Int_Confianca'!BE48</f>
        <v>-2.0999999999999999E-3</v>
      </c>
      <c r="BH115">
        <f>'2015_2020 Int_Confianca'!BF48</f>
        <v>-2E-3</v>
      </c>
      <c r="BI115">
        <f>'2015_2020 Int_Confianca'!BG48</f>
        <v>-2.0999999999999999E-3</v>
      </c>
      <c r="BJ115">
        <f>'2015_2020 Int_Confianca'!BH48</f>
        <v>-2.0999999999999999E-3</v>
      </c>
      <c r="BK115">
        <f>'2015_2020 Int_Confianca'!BI48</f>
        <v>-2.0999999999999999E-3</v>
      </c>
      <c r="BL115">
        <f>'2015_2020 Int_Confianca'!BJ48</f>
        <v>-2.0999999999999999E-3</v>
      </c>
      <c r="BM115">
        <f>'2015_2020 Int_Confianca'!BK48</f>
        <v>-2.0999999999999999E-3</v>
      </c>
      <c r="BN115">
        <f>'2015_2020 Int_Confianca'!BL48</f>
        <v>-2.0999999999999999E-3</v>
      </c>
      <c r="BO115">
        <f>'2015_2020 Int_Confianca'!BM48</f>
        <v>-2.0999999999999999E-3</v>
      </c>
      <c r="BP115">
        <f>'2015_2020 Int_Confianca'!BN48</f>
        <v>-2.0999999999999999E-3</v>
      </c>
      <c r="BQ115">
        <f>'2015_2020 Int_Confianca'!BO48</f>
        <v>-2.0999999999999999E-3</v>
      </c>
      <c r="BR115">
        <f>'2015_2020 Int_Confianca'!BP48</f>
        <v>-2E-3</v>
      </c>
      <c r="BS115">
        <f>'2015_2020 Int_Confianca'!BQ48</f>
        <v>-2.0999999999999999E-3</v>
      </c>
      <c r="BT115">
        <f>'2015_2020 Int_Confianca'!BR48</f>
        <v>-2.2000000000000001E-3</v>
      </c>
      <c r="BU115">
        <f>'2015_2020 Int_Confianca'!BS48</f>
        <v>-2.3E-3</v>
      </c>
      <c r="BV115">
        <f>'2015_2020 Int_Confianca'!BT48</f>
        <v>-2.3999999999999998E-3</v>
      </c>
      <c r="BW115">
        <f>'2015_2020 Int_Confianca'!BU48</f>
        <v>-2.5000000000000001E-3</v>
      </c>
      <c r="BX115">
        <f>'2015_2020 Int_Confianca'!BV48</f>
        <v>-2.5000000000000001E-3</v>
      </c>
      <c r="BY115">
        <f>'2015_2020 Int_Confianca'!BW48</f>
        <v>-2.3999999999999998E-3</v>
      </c>
      <c r="BZ115">
        <f>'2015_2020 Int_Confianca'!BX48</f>
        <v>-2.2000000000000001E-3</v>
      </c>
      <c r="CA115">
        <f>'2015_2020 Int_Confianca'!BY48</f>
        <v>-2.0999999999999999E-3</v>
      </c>
      <c r="CB115">
        <f>'2015_2020 Int_Confianca'!BZ48</f>
        <v>-2.0999999999999999E-3</v>
      </c>
      <c r="CC115">
        <f>'2015_2020 Int_Confianca'!CA48</f>
        <v>-2.0999999999999999E-3</v>
      </c>
      <c r="CD115">
        <f>'2015_2020 Int_Confianca'!CB48</f>
        <v>-2.2000000000000001E-3</v>
      </c>
      <c r="CE115">
        <f>'2015_2020 Int_Confianca'!CC48</f>
        <v>-2.7000000000000001E-3</v>
      </c>
      <c r="CF115">
        <f>'2015_2020 Int_Confianca'!CD48</f>
        <v>-2.8999999999999998E-3</v>
      </c>
      <c r="CG115">
        <f>'2015_2020 Int_Confianca'!CE48</f>
        <v>-2.8E-3</v>
      </c>
      <c r="CH115">
        <f>'2015_2020 Int_Confianca'!CF48</f>
        <v>-2.5999999999999999E-3</v>
      </c>
      <c r="CI115">
        <f>'2015_2020 Int_Confianca'!CG48</f>
        <v>-2.7000000000000001E-3</v>
      </c>
      <c r="CJ115">
        <f>'2015_2020 Int_Confianca'!CH48</f>
        <v>-2.8E-3</v>
      </c>
      <c r="CK115">
        <f>'2015_2020 Int_Confianca'!CI48</f>
        <v>-2.5999999999999999E-3</v>
      </c>
      <c r="CL115">
        <f>'2015_2020 Int_Confianca'!CJ48</f>
        <v>-2.5000000000000001E-3</v>
      </c>
      <c r="CM115">
        <f>'2015_2020 Int_Confianca'!CK48</f>
        <v>-2.5999999999999999E-3</v>
      </c>
      <c r="CN115">
        <f>'2015_2020 Int_Confianca'!CL48</f>
        <v>-3.0000000000000001E-3</v>
      </c>
      <c r="CO115">
        <f>'2015_2020 Int_Confianca'!CM48</f>
        <v>-3.0999999999999999E-3</v>
      </c>
      <c r="CP115">
        <f>'2015_2020 Int_Confianca'!CN48</f>
        <v>-2.5999999999999999E-3</v>
      </c>
      <c r="CQ115">
        <f>'2015_2020 Int_Confianca'!CO48</f>
        <v>-2.5000000000000001E-3</v>
      </c>
      <c r="CR115">
        <f>'2015_2020 Int_Confianca'!CP48</f>
        <v>-3.3E-3</v>
      </c>
      <c r="CS115">
        <f>'2015_2020 Int_Confianca'!CQ48</f>
        <v>-2.8E-3</v>
      </c>
      <c r="CT115">
        <f>'2015_2020 Int_Confianca'!CR48</f>
        <v>-3.3999999999999998E-3</v>
      </c>
      <c r="CU115">
        <f>'2015_2020 Int_Confianca'!CS48</f>
        <v>-3.5000000000000001E-3</v>
      </c>
      <c r="CV115">
        <f>'2015_2020 Int_Confianca'!CT48</f>
        <v>-3.5000000000000001E-3</v>
      </c>
      <c r="CW115">
        <f>'2015_2020 Int_Confianca'!CU48</f>
        <v>-3.5000000000000001E-3</v>
      </c>
      <c r="CX115">
        <f>'2015_2020 Int_Confianca'!CV48</f>
        <v>-3.2000000000000002E-3</v>
      </c>
    </row>
    <row r="116" spans="1:102" x14ac:dyDescent="0.2">
      <c r="A116" t="s">
        <v>5915</v>
      </c>
      <c r="B116" t="s">
        <v>218</v>
      </c>
      <c r="C116" t="s">
        <v>221</v>
      </c>
      <c r="D116">
        <f>'2015_2020 Int_Confianca'!B49</f>
        <v>-2.2000000000000001E-3</v>
      </c>
      <c r="E116">
        <f>'2015_2020 Int_Confianca'!C49</f>
        <v>-2.7000000000000001E-3</v>
      </c>
      <c r="F116">
        <f>'2015_2020 Int_Confianca'!D49</f>
        <v>-1.8E-3</v>
      </c>
      <c r="G116">
        <f>'2015_2020 Int_Confianca'!E49</f>
        <v>-2E-3</v>
      </c>
      <c r="H116">
        <f>'2015_2020 Int_Confianca'!F49</f>
        <v>-1.5E-3</v>
      </c>
      <c r="I116">
        <f>'2015_2020 Int_Confianca'!G49</f>
        <v>-1.6999999999999999E-3</v>
      </c>
      <c r="J116">
        <f>'2015_2020 Int_Confianca'!H49</f>
        <v>-1.8E-3</v>
      </c>
      <c r="K116">
        <f>'2015_2020 Int_Confianca'!I49</f>
        <v>-1.6999999999999999E-3</v>
      </c>
      <c r="L116">
        <f>'2015_2020 Int_Confianca'!J49</f>
        <v>-1.6999999999999999E-3</v>
      </c>
      <c r="M116">
        <f>'2015_2020 Int_Confianca'!K49</f>
        <v>-1.4E-3</v>
      </c>
      <c r="N116">
        <f>'2015_2020 Int_Confianca'!L49</f>
        <v>-1.1999999999999999E-3</v>
      </c>
      <c r="O116">
        <f>'2015_2020 Int_Confianca'!M49</f>
        <v>-8.0000000000000004E-4</v>
      </c>
      <c r="P116">
        <f>'2015_2020 Int_Confianca'!N49</f>
        <v>-8.9999999999999998E-4</v>
      </c>
      <c r="Q116">
        <f>'2015_2020 Int_Confianca'!O49</f>
        <v>-1E-3</v>
      </c>
      <c r="R116">
        <f>'2015_2020 Int_Confianca'!P49</f>
        <v>-8.9999999999999998E-4</v>
      </c>
      <c r="S116">
        <f>'2015_2020 Int_Confianca'!Q49</f>
        <v>-8.0000000000000004E-4</v>
      </c>
      <c r="T116">
        <f>'2015_2020 Int_Confianca'!R49</f>
        <v>-8.0000000000000004E-4</v>
      </c>
      <c r="U116">
        <f>'2015_2020 Int_Confianca'!S49</f>
        <v>-8.9999999999999998E-4</v>
      </c>
      <c r="V116">
        <f>'2015_2020 Int_Confianca'!T49</f>
        <v>-8.9999999999999998E-4</v>
      </c>
      <c r="W116">
        <f>'2015_2020 Int_Confianca'!U49</f>
        <v>-8.9999999999999998E-4</v>
      </c>
      <c r="X116">
        <f>'2015_2020 Int_Confianca'!V49</f>
        <v>-8.9999999999999998E-4</v>
      </c>
      <c r="Y116">
        <f>'2015_2020 Int_Confianca'!W49</f>
        <v>-8.9999999999999998E-4</v>
      </c>
      <c r="Z116">
        <f>'2015_2020 Int_Confianca'!X49</f>
        <v>-8.9999999999999998E-4</v>
      </c>
      <c r="AA116">
        <f>'2015_2020 Int_Confianca'!Y49</f>
        <v>-1E-3</v>
      </c>
      <c r="AB116">
        <f>'2015_2020 Int_Confianca'!Z49</f>
        <v>-1.1000000000000001E-3</v>
      </c>
      <c r="AC116">
        <f>'2015_2020 Int_Confianca'!AA49</f>
        <v>-1.1999999999999999E-3</v>
      </c>
      <c r="AD116">
        <f>'2015_2020 Int_Confianca'!AB49</f>
        <v>-1.1999999999999999E-3</v>
      </c>
      <c r="AE116">
        <f>'2015_2020 Int_Confianca'!AC49</f>
        <v>-1.1999999999999999E-3</v>
      </c>
      <c r="AF116">
        <f>'2015_2020 Int_Confianca'!AD49</f>
        <v>-1.1999999999999999E-3</v>
      </c>
      <c r="AG116">
        <f>'2015_2020 Int_Confianca'!AE49</f>
        <v>-1.2999999999999999E-3</v>
      </c>
      <c r="AH116">
        <f>'2015_2020 Int_Confianca'!AF49</f>
        <v>-1.4E-3</v>
      </c>
      <c r="AI116">
        <f>'2015_2020 Int_Confianca'!AG49</f>
        <v>-1.5E-3</v>
      </c>
      <c r="AJ116">
        <f>'2015_2020 Int_Confianca'!AH49</f>
        <v>-1.6000000000000001E-3</v>
      </c>
      <c r="AK116">
        <f>'2015_2020 Int_Confianca'!AI49</f>
        <v>-1.8E-3</v>
      </c>
      <c r="AL116">
        <f>'2015_2020 Int_Confianca'!AJ49</f>
        <v>-1.9E-3</v>
      </c>
      <c r="AM116">
        <f>'2015_2020 Int_Confianca'!AK49</f>
        <v>-2E-3</v>
      </c>
      <c r="AN116">
        <f>'2015_2020 Int_Confianca'!AL49</f>
        <v>-2E-3</v>
      </c>
      <c r="AO116">
        <f>'2015_2020 Int_Confianca'!AM49</f>
        <v>-1.9E-3</v>
      </c>
      <c r="AP116">
        <f>'2015_2020 Int_Confianca'!AN49</f>
        <v>-1.9E-3</v>
      </c>
      <c r="AQ116">
        <f>'2015_2020 Int_Confianca'!AO49</f>
        <v>-1.9E-3</v>
      </c>
      <c r="AR116">
        <f>'2015_2020 Int_Confianca'!AP49</f>
        <v>-2E-3</v>
      </c>
      <c r="AS116">
        <f>'2015_2020 Int_Confianca'!AQ49</f>
        <v>-2.0999999999999999E-3</v>
      </c>
      <c r="AT116">
        <f>'2015_2020 Int_Confianca'!AR49</f>
        <v>-2.0999999999999999E-3</v>
      </c>
      <c r="AU116">
        <f>'2015_2020 Int_Confianca'!AS49</f>
        <v>-2.0999999999999999E-3</v>
      </c>
      <c r="AV116">
        <f>'2015_2020 Int_Confianca'!AT49</f>
        <v>-2E-3</v>
      </c>
      <c r="AW116">
        <f>'2015_2020 Int_Confianca'!AU49</f>
        <v>-2.0999999999999999E-3</v>
      </c>
      <c r="AX116">
        <f>'2015_2020 Int_Confianca'!AV49</f>
        <v>-2.2000000000000001E-3</v>
      </c>
      <c r="AY116">
        <f>'2015_2020 Int_Confianca'!AW49</f>
        <v>-2.3E-3</v>
      </c>
      <c r="AZ116">
        <f>'2015_2020 Int_Confianca'!AX49</f>
        <v>-2.3999999999999998E-3</v>
      </c>
      <c r="BA116">
        <f>'2015_2020 Int_Confianca'!AY49</f>
        <v>-2.3999999999999998E-3</v>
      </c>
      <c r="BB116">
        <f>'2015_2020 Int_Confianca'!AZ49</f>
        <v>-2.3999999999999998E-3</v>
      </c>
      <c r="BC116">
        <f>'2015_2020 Int_Confianca'!BA49</f>
        <v>-2.5000000000000001E-3</v>
      </c>
      <c r="BD116">
        <f>'2015_2020 Int_Confianca'!BB49</f>
        <v>-2.5999999999999999E-3</v>
      </c>
      <c r="BE116">
        <f>'2015_2020 Int_Confianca'!BC49</f>
        <v>-2.5999999999999999E-3</v>
      </c>
      <c r="BF116">
        <f>'2015_2020 Int_Confianca'!BD49</f>
        <v>-2.3999999999999998E-3</v>
      </c>
      <c r="BG116">
        <f>'2015_2020 Int_Confianca'!BE49</f>
        <v>-2.5000000000000001E-3</v>
      </c>
      <c r="BH116">
        <f>'2015_2020 Int_Confianca'!BF49</f>
        <v>-2.5000000000000001E-3</v>
      </c>
      <c r="BI116">
        <f>'2015_2020 Int_Confianca'!BG49</f>
        <v>-2.7000000000000001E-3</v>
      </c>
      <c r="BJ116">
        <f>'2015_2020 Int_Confianca'!BH49</f>
        <v>-2.7000000000000001E-3</v>
      </c>
      <c r="BK116">
        <f>'2015_2020 Int_Confianca'!BI49</f>
        <v>-2.8E-3</v>
      </c>
      <c r="BL116">
        <f>'2015_2020 Int_Confianca'!BJ49</f>
        <v>-2.8E-3</v>
      </c>
      <c r="BM116">
        <f>'2015_2020 Int_Confianca'!BK49</f>
        <v>-2.8E-3</v>
      </c>
      <c r="BN116">
        <f>'2015_2020 Int_Confianca'!BL49</f>
        <v>-2.8E-3</v>
      </c>
      <c r="BO116">
        <f>'2015_2020 Int_Confianca'!BM49</f>
        <v>-2.8E-3</v>
      </c>
      <c r="BP116">
        <f>'2015_2020 Int_Confianca'!BN49</f>
        <v>-3.0000000000000001E-3</v>
      </c>
      <c r="BQ116">
        <f>'2015_2020 Int_Confianca'!BO49</f>
        <v>-3.0000000000000001E-3</v>
      </c>
      <c r="BR116">
        <f>'2015_2020 Int_Confianca'!BP49</f>
        <v>-2.8E-3</v>
      </c>
      <c r="BS116">
        <f>'2015_2020 Int_Confianca'!BQ49</f>
        <v>-3.0999999999999999E-3</v>
      </c>
      <c r="BT116">
        <f>'2015_2020 Int_Confianca'!BR49</f>
        <v>-3.2000000000000002E-3</v>
      </c>
      <c r="BU116">
        <f>'2015_2020 Int_Confianca'!BS49</f>
        <v>-3.3E-3</v>
      </c>
      <c r="BV116">
        <f>'2015_2020 Int_Confianca'!BT49</f>
        <v>-3.5000000000000001E-3</v>
      </c>
      <c r="BW116">
        <f>'2015_2020 Int_Confianca'!BU49</f>
        <v>-3.8E-3</v>
      </c>
      <c r="BX116">
        <f>'2015_2020 Int_Confianca'!BV49</f>
        <v>-4.0000000000000001E-3</v>
      </c>
      <c r="BY116">
        <f>'2015_2020 Int_Confianca'!BW49</f>
        <v>-4.0000000000000001E-3</v>
      </c>
      <c r="BZ116">
        <f>'2015_2020 Int_Confianca'!BX49</f>
        <v>-3.5999999999999999E-3</v>
      </c>
      <c r="CA116">
        <f>'2015_2020 Int_Confianca'!BY49</f>
        <v>-3.7000000000000002E-3</v>
      </c>
      <c r="CB116">
        <f>'2015_2020 Int_Confianca'!BZ49</f>
        <v>-3.8E-3</v>
      </c>
      <c r="CC116">
        <f>'2015_2020 Int_Confianca'!CA49</f>
        <v>-3.8E-3</v>
      </c>
      <c r="CD116">
        <f>'2015_2020 Int_Confianca'!CB49</f>
        <v>-3.5000000000000001E-3</v>
      </c>
      <c r="CE116">
        <f>'2015_2020 Int_Confianca'!CC49</f>
        <v>-4.4000000000000003E-3</v>
      </c>
      <c r="CF116">
        <f>'2015_2020 Int_Confianca'!CD49</f>
        <v>-4.7999999999999996E-3</v>
      </c>
      <c r="CG116">
        <f>'2015_2020 Int_Confianca'!CE49</f>
        <v>-4.7000000000000002E-3</v>
      </c>
      <c r="CH116">
        <f>'2015_2020 Int_Confianca'!CF49</f>
        <v>-4.7999999999999996E-3</v>
      </c>
      <c r="CI116">
        <f>'2015_2020 Int_Confianca'!CG49</f>
        <v>-4.7000000000000002E-3</v>
      </c>
      <c r="CJ116">
        <f>'2015_2020 Int_Confianca'!CH49</f>
        <v>-4.8999999999999998E-3</v>
      </c>
      <c r="CK116">
        <f>'2015_2020 Int_Confianca'!CI49</f>
        <v>-4.7000000000000002E-3</v>
      </c>
      <c r="CL116">
        <f>'2015_2020 Int_Confianca'!CJ49</f>
        <v>-5.0000000000000001E-3</v>
      </c>
      <c r="CM116">
        <f>'2015_2020 Int_Confianca'!CK49</f>
        <v>-5.0000000000000001E-3</v>
      </c>
      <c r="CN116">
        <f>'2015_2020 Int_Confianca'!CL49</f>
        <v>-6.1000000000000004E-3</v>
      </c>
      <c r="CO116">
        <f>'2015_2020 Int_Confianca'!CM49</f>
        <v>-6.3E-3</v>
      </c>
      <c r="CP116">
        <f>'2015_2020 Int_Confianca'!CN49</f>
        <v>-5.7999999999999996E-3</v>
      </c>
      <c r="CQ116">
        <f>'2015_2020 Int_Confianca'!CO49</f>
        <v>-5.3E-3</v>
      </c>
      <c r="CR116">
        <f>'2015_2020 Int_Confianca'!CP49</f>
        <v>-6.8999999999999999E-3</v>
      </c>
      <c r="CS116">
        <f>'2015_2020 Int_Confianca'!CQ49</f>
        <v>-5.7000000000000002E-3</v>
      </c>
      <c r="CT116">
        <f>'2015_2020 Int_Confianca'!CR49</f>
        <v>-6.7999999999999996E-3</v>
      </c>
      <c r="CU116">
        <f>'2015_2020 Int_Confianca'!CS49</f>
        <v>-7.4000000000000003E-3</v>
      </c>
      <c r="CV116">
        <f>'2015_2020 Int_Confianca'!CT49</f>
        <v>-7.4999999999999997E-3</v>
      </c>
      <c r="CW116">
        <f>'2015_2020 Int_Confianca'!CU49</f>
        <v>-7.7000000000000002E-3</v>
      </c>
      <c r="CX116">
        <f>'2015_2020 Int_Confianca'!CV49</f>
        <v>-7.7000000000000002E-3</v>
      </c>
    </row>
    <row r="117" spans="1:102" x14ac:dyDescent="0.2">
      <c r="A117" t="s">
        <v>5916</v>
      </c>
      <c r="B117" t="s">
        <v>218</v>
      </c>
      <c r="C117" t="s">
        <v>221</v>
      </c>
      <c r="D117">
        <f>'2015_2020 Int_Confianca'!B50</f>
        <v>-5.9999999999999995E-4</v>
      </c>
      <c r="E117">
        <f>'2015_2020 Int_Confianca'!C50</f>
        <v>-1E-3</v>
      </c>
      <c r="F117">
        <f>'2015_2020 Int_Confianca'!D50</f>
        <v>-5.9999999999999995E-4</v>
      </c>
      <c r="G117">
        <f>'2015_2020 Int_Confianca'!E50</f>
        <v>-8.0000000000000004E-4</v>
      </c>
      <c r="H117">
        <f>'2015_2020 Int_Confianca'!F50</f>
        <v>-5.9999999999999995E-4</v>
      </c>
      <c r="I117">
        <f>'2015_2020 Int_Confianca'!G50</f>
        <v>-6.9999999999999999E-4</v>
      </c>
      <c r="J117">
        <f>'2015_2020 Int_Confianca'!H50</f>
        <v>-8.0000000000000004E-4</v>
      </c>
      <c r="K117">
        <f>'2015_2020 Int_Confianca'!I50</f>
        <v>-8.0000000000000004E-4</v>
      </c>
      <c r="L117">
        <f>'2015_2020 Int_Confianca'!J50</f>
        <v>-8.9999999999999998E-4</v>
      </c>
      <c r="M117">
        <f>'2015_2020 Int_Confianca'!K50</f>
        <v>-6.9999999999999999E-4</v>
      </c>
      <c r="N117">
        <f>'2015_2020 Int_Confianca'!L50</f>
        <v>-5.9999999999999995E-4</v>
      </c>
      <c r="O117">
        <f>'2015_2020 Int_Confianca'!M50</f>
        <v>-4.0000000000000002E-4</v>
      </c>
      <c r="P117">
        <f>'2015_2020 Int_Confianca'!N50</f>
        <v>-4.0000000000000002E-4</v>
      </c>
      <c r="Q117">
        <f>'2015_2020 Int_Confianca'!O50</f>
        <v>-5.0000000000000001E-4</v>
      </c>
      <c r="R117">
        <f>'2015_2020 Int_Confianca'!P50</f>
        <v>-5.0000000000000001E-4</v>
      </c>
      <c r="S117">
        <f>'2015_2020 Int_Confianca'!Q50</f>
        <v>-4.0000000000000002E-4</v>
      </c>
      <c r="T117">
        <f>'2015_2020 Int_Confianca'!R50</f>
        <v>-5.0000000000000001E-4</v>
      </c>
      <c r="U117">
        <f>'2015_2020 Int_Confianca'!S50</f>
        <v>-5.0000000000000001E-4</v>
      </c>
      <c r="V117">
        <f>'2015_2020 Int_Confianca'!T50</f>
        <v>-5.0000000000000001E-4</v>
      </c>
      <c r="W117">
        <f>'2015_2020 Int_Confianca'!U50</f>
        <v>-5.0000000000000001E-4</v>
      </c>
      <c r="X117">
        <f>'2015_2020 Int_Confianca'!V50</f>
        <v>-5.0000000000000001E-4</v>
      </c>
      <c r="Y117">
        <f>'2015_2020 Int_Confianca'!W50</f>
        <v>-5.0000000000000001E-4</v>
      </c>
      <c r="Z117">
        <f>'2015_2020 Int_Confianca'!X50</f>
        <v>-5.0000000000000001E-4</v>
      </c>
      <c r="AA117">
        <f>'2015_2020 Int_Confianca'!Y50</f>
        <v>-5.0000000000000001E-4</v>
      </c>
      <c r="AB117">
        <f>'2015_2020 Int_Confianca'!Z50</f>
        <v>-6.9999999999999999E-4</v>
      </c>
      <c r="AC117">
        <f>'2015_2020 Int_Confianca'!AA50</f>
        <v>-6.9999999999999999E-4</v>
      </c>
      <c r="AD117">
        <f>'2015_2020 Int_Confianca'!AB50</f>
        <v>-6.9999999999999999E-4</v>
      </c>
      <c r="AE117">
        <f>'2015_2020 Int_Confianca'!AC50</f>
        <v>-6.9999999999999999E-4</v>
      </c>
      <c r="AF117">
        <f>'2015_2020 Int_Confianca'!AD50</f>
        <v>-6.9999999999999999E-4</v>
      </c>
      <c r="AG117">
        <f>'2015_2020 Int_Confianca'!AE50</f>
        <v>-6.9999999999999999E-4</v>
      </c>
      <c r="AH117">
        <f>'2015_2020 Int_Confianca'!AF50</f>
        <v>-8.0000000000000004E-4</v>
      </c>
      <c r="AI117">
        <f>'2015_2020 Int_Confianca'!AG50</f>
        <v>-8.9999999999999998E-4</v>
      </c>
      <c r="AJ117">
        <f>'2015_2020 Int_Confianca'!AH50</f>
        <v>-1E-3</v>
      </c>
      <c r="AK117">
        <f>'2015_2020 Int_Confianca'!AI50</f>
        <v>-1E-3</v>
      </c>
      <c r="AL117">
        <f>'2015_2020 Int_Confianca'!AJ50</f>
        <v>-1.1000000000000001E-3</v>
      </c>
      <c r="AM117">
        <f>'2015_2020 Int_Confianca'!AK50</f>
        <v>-1.1999999999999999E-3</v>
      </c>
      <c r="AN117">
        <f>'2015_2020 Int_Confianca'!AL50</f>
        <v>-1.1999999999999999E-3</v>
      </c>
      <c r="AO117">
        <f>'2015_2020 Int_Confianca'!AM50</f>
        <v>-1.1000000000000001E-3</v>
      </c>
      <c r="AP117">
        <f>'2015_2020 Int_Confianca'!AN50</f>
        <v>-1.1000000000000001E-3</v>
      </c>
      <c r="AQ117">
        <f>'2015_2020 Int_Confianca'!AO50</f>
        <v>-1.1000000000000001E-3</v>
      </c>
      <c r="AR117">
        <f>'2015_2020 Int_Confianca'!AP50</f>
        <v>-1.1999999999999999E-3</v>
      </c>
      <c r="AS117">
        <f>'2015_2020 Int_Confianca'!AQ50</f>
        <v>-1.2999999999999999E-3</v>
      </c>
      <c r="AT117">
        <f>'2015_2020 Int_Confianca'!AR50</f>
        <v>-1.2999999999999999E-3</v>
      </c>
      <c r="AU117">
        <f>'2015_2020 Int_Confianca'!AS50</f>
        <v>-1.2999999999999999E-3</v>
      </c>
      <c r="AV117">
        <f>'2015_2020 Int_Confianca'!AT50</f>
        <v>-1.1999999999999999E-3</v>
      </c>
      <c r="AW117">
        <f>'2015_2020 Int_Confianca'!AU50</f>
        <v>-1.2999999999999999E-3</v>
      </c>
      <c r="AX117">
        <f>'2015_2020 Int_Confianca'!AV50</f>
        <v>-1.2999999999999999E-3</v>
      </c>
      <c r="AY117">
        <f>'2015_2020 Int_Confianca'!AW50</f>
        <v>-1.4E-3</v>
      </c>
      <c r="AZ117">
        <f>'2015_2020 Int_Confianca'!AX50</f>
        <v>-1.4E-3</v>
      </c>
      <c r="BA117">
        <f>'2015_2020 Int_Confianca'!AY50</f>
        <v>-1.4E-3</v>
      </c>
      <c r="BB117">
        <f>'2015_2020 Int_Confianca'!AZ50</f>
        <v>-1.5E-3</v>
      </c>
      <c r="BC117">
        <f>'2015_2020 Int_Confianca'!BA50</f>
        <v>-1.5E-3</v>
      </c>
      <c r="BD117">
        <f>'2015_2020 Int_Confianca'!BB50</f>
        <v>-1.6000000000000001E-3</v>
      </c>
      <c r="BE117">
        <f>'2015_2020 Int_Confianca'!BC50</f>
        <v>-1.6000000000000001E-3</v>
      </c>
      <c r="BF117">
        <f>'2015_2020 Int_Confianca'!BD50</f>
        <v>-1.4E-3</v>
      </c>
      <c r="BG117">
        <f>'2015_2020 Int_Confianca'!BE50</f>
        <v>-1.5E-3</v>
      </c>
      <c r="BH117">
        <f>'2015_2020 Int_Confianca'!BF50</f>
        <v>-1.5E-3</v>
      </c>
      <c r="BI117">
        <f>'2015_2020 Int_Confianca'!BG50</f>
        <v>-1.6000000000000001E-3</v>
      </c>
      <c r="BJ117">
        <f>'2015_2020 Int_Confianca'!BH50</f>
        <v>-1.6000000000000001E-3</v>
      </c>
      <c r="BK117">
        <f>'2015_2020 Int_Confianca'!BI50</f>
        <v>-1.6999999999999999E-3</v>
      </c>
      <c r="BL117">
        <f>'2015_2020 Int_Confianca'!BJ50</f>
        <v>-1.6999999999999999E-3</v>
      </c>
      <c r="BM117">
        <f>'2015_2020 Int_Confianca'!BK50</f>
        <v>-1.6999999999999999E-3</v>
      </c>
      <c r="BN117">
        <f>'2015_2020 Int_Confianca'!BL50</f>
        <v>-1.6999999999999999E-3</v>
      </c>
      <c r="BO117">
        <f>'2015_2020 Int_Confianca'!BM50</f>
        <v>-1.6999999999999999E-3</v>
      </c>
      <c r="BP117">
        <f>'2015_2020 Int_Confianca'!BN50</f>
        <v>-1.8E-3</v>
      </c>
      <c r="BQ117">
        <f>'2015_2020 Int_Confianca'!BO50</f>
        <v>-1.8E-3</v>
      </c>
      <c r="BR117">
        <f>'2015_2020 Int_Confianca'!BP50</f>
        <v>-1.6999999999999999E-3</v>
      </c>
      <c r="BS117">
        <f>'2015_2020 Int_Confianca'!BQ50</f>
        <v>-1.8E-3</v>
      </c>
      <c r="BT117">
        <f>'2015_2020 Int_Confianca'!BR50</f>
        <v>-2E-3</v>
      </c>
      <c r="BU117">
        <f>'2015_2020 Int_Confianca'!BS50</f>
        <v>-2E-3</v>
      </c>
      <c r="BV117">
        <f>'2015_2020 Int_Confianca'!BT50</f>
        <v>-2.0999999999999999E-3</v>
      </c>
      <c r="BW117">
        <f>'2015_2020 Int_Confianca'!BU50</f>
        <v>-2.3E-3</v>
      </c>
      <c r="BX117">
        <f>'2015_2020 Int_Confianca'!BV50</f>
        <v>-2.3999999999999998E-3</v>
      </c>
      <c r="BY117">
        <f>'2015_2020 Int_Confianca'!BW50</f>
        <v>-2.3999999999999998E-3</v>
      </c>
      <c r="BZ117">
        <f>'2015_2020 Int_Confianca'!BX50</f>
        <v>-2.2000000000000001E-3</v>
      </c>
      <c r="CA117">
        <f>'2015_2020 Int_Confianca'!BY50</f>
        <v>-2.3E-3</v>
      </c>
      <c r="CB117">
        <f>'2015_2020 Int_Confianca'!BZ50</f>
        <v>-2.3E-3</v>
      </c>
      <c r="CC117">
        <f>'2015_2020 Int_Confianca'!CA50</f>
        <v>-2.3E-3</v>
      </c>
      <c r="CD117">
        <f>'2015_2020 Int_Confianca'!CB50</f>
        <v>-2.0999999999999999E-3</v>
      </c>
      <c r="CE117">
        <f>'2015_2020 Int_Confianca'!CC50</f>
        <v>-2.7000000000000001E-3</v>
      </c>
      <c r="CF117">
        <f>'2015_2020 Int_Confianca'!CD50</f>
        <v>-2.8999999999999998E-3</v>
      </c>
      <c r="CG117">
        <f>'2015_2020 Int_Confianca'!CE50</f>
        <v>-2.8E-3</v>
      </c>
      <c r="CH117">
        <f>'2015_2020 Int_Confianca'!CF50</f>
        <v>-2.8999999999999998E-3</v>
      </c>
      <c r="CI117">
        <f>'2015_2020 Int_Confianca'!CG50</f>
        <v>-2.8E-3</v>
      </c>
      <c r="CJ117">
        <f>'2015_2020 Int_Confianca'!CH50</f>
        <v>-2.8999999999999998E-3</v>
      </c>
      <c r="CK117">
        <f>'2015_2020 Int_Confianca'!CI50</f>
        <v>-2.8E-3</v>
      </c>
      <c r="CL117">
        <f>'2015_2020 Int_Confianca'!CJ50</f>
        <v>-3.0000000000000001E-3</v>
      </c>
      <c r="CM117">
        <f>'2015_2020 Int_Confianca'!CK50</f>
        <v>-3.0000000000000001E-3</v>
      </c>
      <c r="CN117">
        <f>'2015_2020 Int_Confianca'!CL50</f>
        <v>-3.7000000000000002E-3</v>
      </c>
      <c r="CO117">
        <f>'2015_2020 Int_Confianca'!CM50</f>
        <v>-3.8E-3</v>
      </c>
      <c r="CP117">
        <f>'2015_2020 Int_Confianca'!CN50</f>
        <v>-3.5000000000000001E-3</v>
      </c>
      <c r="CQ117">
        <f>'2015_2020 Int_Confianca'!CO50</f>
        <v>-3.2000000000000002E-3</v>
      </c>
      <c r="CR117">
        <f>'2015_2020 Int_Confianca'!CP50</f>
        <v>-4.1000000000000003E-3</v>
      </c>
      <c r="CS117">
        <f>'2015_2020 Int_Confianca'!CQ50</f>
        <v>-3.3999999999999998E-3</v>
      </c>
      <c r="CT117">
        <f>'2015_2020 Int_Confianca'!CR50</f>
        <v>-4.0000000000000001E-3</v>
      </c>
      <c r="CU117">
        <f>'2015_2020 Int_Confianca'!CS50</f>
        <v>-4.4000000000000003E-3</v>
      </c>
      <c r="CV117">
        <f>'2015_2020 Int_Confianca'!CT50</f>
        <v>-4.4000000000000003E-3</v>
      </c>
      <c r="CW117">
        <f>'2015_2020 Int_Confianca'!CU50</f>
        <v>-4.4999999999999997E-3</v>
      </c>
      <c r="CX117">
        <f>'2015_2020 Int_Confianca'!CV50</f>
        <v>-4.1999999999999997E-3</v>
      </c>
    </row>
    <row r="118" spans="1:102" x14ac:dyDescent="0.2">
      <c r="A118" t="s">
        <v>5917</v>
      </c>
      <c r="B118" t="s">
        <v>218</v>
      </c>
      <c r="C118" t="s">
        <v>221</v>
      </c>
      <c r="D118">
        <f>'2015_2020 Int_Confianca'!B51</f>
        <v>5.5999999999999999E-3</v>
      </c>
      <c r="E118">
        <f>'2015_2020 Int_Confianca'!C51</f>
        <v>6.7999999999999996E-3</v>
      </c>
      <c r="F118">
        <f>'2015_2020 Int_Confianca'!D51</f>
        <v>5.7000000000000002E-3</v>
      </c>
      <c r="G118">
        <f>'2015_2020 Int_Confianca'!E51</f>
        <v>5.5999999999999999E-3</v>
      </c>
      <c r="H118">
        <f>'2015_2020 Int_Confianca'!F51</f>
        <v>4.4000000000000003E-3</v>
      </c>
      <c r="I118">
        <f>'2015_2020 Int_Confianca'!G51</f>
        <v>4.5999999999999999E-3</v>
      </c>
      <c r="J118">
        <f>'2015_2020 Int_Confianca'!H51</f>
        <v>4.0000000000000001E-3</v>
      </c>
      <c r="K118">
        <f>'2015_2020 Int_Confianca'!I51</f>
        <v>3.7000000000000002E-3</v>
      </c>
      <c r="L118">
        <f>'2015_2020 Int_Confianca'!J51</f>
        <v>3.5000000000000001E-3</v>
      </c>
      <c r="M118">
        <f>'2015_2020 Int_Confianca'!K51</f>
        <v>2.7000000000000001E-3</v>
      </c>
      <c r="N118">
        <f>'2015_2020 Int_Confianca'!L51</f>
        <v>2.0999999999999999E-3</v>
      </c>
      <c r="O118">
        <f>'2015_2020 Int_Confianca'!M51</f>
        <v>1.6000000000000001E-3</v>
      </c>
      <c r="P118">
        <f>'2015_2020 Int_Confianca'!N51</f>
        <v>1.4E-3</v>
      </c>
      <c r="Q118">
        <f>'2015_2020 Int_Confianca'!O51</f>
        <v>1.2999999999999999E-3</v>
      </c>
      <c r="R118">
        <f>'2015_2020 Int_Confianca'!P51</f>
        <v>1.1999999999999999E-3</v>
      </c>
      <c r="S118">
        <f>'2015_2020 Int_Confianca'!Q51</f>
        <v>1.1000000000000001E-3</v>
      </c>
      <c r="T118">
        <f>'2015_2020 Int_Confianca'!R51</f>
        <v>1E-3</v>
      </c>
      <c r="U118">
        <f>'2015_2020 Int_Confianca'!S51</f>
        <v>8.9999999999999998E-4</v>
      </c>
      <c r="V118">
        <f>'2015_2020 Int_Confianca'!T51</f>
        <v>8.9999999999999998E-4</v>
      </c>
      <c r="W118">
        <f>'2015_2020 Int_Confianca'!U51</f>
        <v>8.0000000000000004E-4</v>
      </c>
      <c r="X118">
        <f>'2015_2020 Int_Confianca'!V51</f>
        <v>8.0000000000000004E-4</v>
      </c>
      <c r="Y118">
        <f>'2015_2020 Int_Confianca'!W51</f>
        <v>8.0000000000000004E-4</v>
      </c>
      <c r="Z118">
        <f>'2015_2020 Int_Confianca'!X51</f>
        <v>6.9999999999999999E-4</v>
      </c>
      <c r="AA118">
        <f>'2015_2020 Int_Confianca'!Y51</f>
        <v>6.9999999999999999E-4</v>
      </c>
      <c r="AB118">
        <f>'2015_2020 Int_Confianca'!Z51</f>
        <v>8.0000000000000004E-4</v>
      </c>
      <c r="AC118">
        <f>'2015_2020 Int_Confianca'!AA51</f>
        <v>8.0000000000000004E-4</v>
      </c>
      <c r="AD118">
        <f>'2015_2020 Int_Confianca'!AB51</f>
        <v>6.9999999999999999E-4</v>
      </c>
      <c r="AE118">
        <f>'2015_2020 Int_Confianca'!AC51</f>
        <v>6.9999999999999999E-4</v>
      </c>
      <c r="AF118">
        <f>'2015_2020 Int_Confianca'!AD51</f>
        <v>6.9999999999999999E-4</v>
      </c>
      <c r="AG118">
        <f>'2015_2020 Int_Confianca'!AE51</f>
        <v>6.9999999999999999E-4</v>
      </c>
      <c r="AH118">
        <f>'2015_2020 Int_Confianca'!AF51</f>
        <v>6.9999999999999999E-4</v>
      </c>
      <c r="AI118">
        <f>'2015_2020 Int_Confianca'!AG51</f>
        <v>6.9999999999999999E-4</v>
      </c>
      <c r="AJ118">
        <f>'2015_2020 Int_Confianca'!AH51</f>
        <v>8.0000000000000004E-4</v>
      </c>
      <c r="AK118">
        <f>'2015_2020 Int_Confianca'!AI51</f>
        <v>8.0000000000000004E-4</v>
      </c>
      <c r="AL118">
        <f>'2015_2020 Int_Confianca'!AJ51</f>
        <v>8.0000000000000004E-4</v>
      </c>
      <c r="AM118">
        <f>'2015_2020 Int_Confianca'!AK51</f>
        <v>8.0000000000000004E-4</v>
      </c>
      <c r="AN118">
        <f>'2015_2020 Int_Confianca'!AL51</f>
        <v>8.0000000000000004E-4</v>
      </c>
      <c r="AO118">
        <f>'2015_2020 Int_Confianca'!AM51</f>
        <v>8.0000000000000004E-4</v>
      </c>
      <c r="AP118">
        <f>'2015_2020 Int_Confianca'!AN51</f>
        <v>8.0000000000000004E-4</v>
      </c>
      <c r="AQ118">
        <f>'2015_2020 Int_Confianca'!AO51</f>
        <v>8.0000000000000004E-4</v>
      </c>
      <c r="AR118">
        <f>'2015_2020 Int_Confianca'!AP51</f>
        <v>8.0000000000000004E-4</v>
      </c>
      <c r="AS118">
        <f>'2015_2020 Int_Confianca'!AQ51</f>
        <v>6.9999999999999999E-4</v>
      </c>
      <c r="AT118">
        <f>'2015_2020 Int_Confianca'!AR51</f>
        <v>6.9999999999999999E-4</v>
      </c>
      <c r="AU118">
        <f>'2015_2020 Int_Confianca'!AS51</f>
        <v>6.9999999999999999E-4</v>
      </c>
      <c r="AV118">
        <f>'2015_2020 Int_Confianca'!AT51</f>
        <v>6.9999999999999999E-4</v>
      </c>
      <c r="AW118">
        <f>'2015_2020 Int_Confianca'!AU51</f>
        <v>6.9999999999999999E-4</v>
      </c>
      <c r="AX118">
        <f>'2015_2020 Int_Confianca'!AV51</f>
        <v>6.9999999999999999E-4</v>
      </c>
      <c r="AY118">
        <f>'2015_2020 Int_Confianca'!AW51</f>
        <v>6.9999999999999999E-4</v>
      </c>
      <c r="AZ118">
        <f>'2015_2020 Int_Confianca'!AX51</f>
        <v>6.9999999999999999E-4</v>
      </c>
      <c r="BA118">
        <f>'2015_2020 Int_Confianca'!AY51</f>
        <v>6.9999999999999999E-4</v>
      </c>
      <c r="BB118">
        <f>'2015_2020 Int_Confianca'!AZ51</f>
        <v>8.0000000000000004E-4</v>
      </c>
      <c r="BC118">
        <f>'2015_2020 Int_Confianca'!BA51</f>
        <v>6.9999999999999999E-4</v>
      </c>
      <c r="BD118">
        <f>'2015_2020 Int_Confianca'!BB51</f>
        <v>6.9999999999999999E-4</v>
      </c>
      <c r="BE118">
        <f>'2015_2020 Int_Confianca'!BC51</f>
        <v>6.9999999999999999E-4</v>
      </c>
      <c r="BF118">
        <f>'2015_2020 Int_Confianca'!BD51</f>
        <v>6.9999999999999999E-4</v>
      </c>
      <c r="BG118">
        <f>'2015_2020 Int_Confianca'!BE51</f>
        <v>6.9999999999999999E-4</v>
      </c>
      <c r="BH118">
        <f>'2015_2020 Int_Confianca'!BF51</f>
        <v>5.9999999999999995E-4</v>
      </c>
      <c r="BI118">
        <f>'2015_2020 Int_Confianca'!BG51</f>
        <v>6.9999999999999999E-4</v>
      </c>
      <c r="BJ118">
        <f>'2015_2020 Int_Confianca'!BH51</f>
        <v>5.9999999999999995E-4</v>
      </c>
      <c r="BK118">
        <f>'2015_2020 Int_Confianca'!BI51</f>
        <v>6.9999999999999999E-4</v>
      </c>
      <c r="BL118">
        <f>'2015_2020 Int_Confianca'!BJ51</f>
        <v>5.9999999999999995E-4</v>
      </c>
      <c r="BM118">
        <f>'2015_2020 Int_Confianca'!BK51</f>
        <v>5.9999999999999995E-4</v>
      </c>
      <c r="BN118">
        <f>'2015_2020 Int_Confianca'!BL51</f>
        <v>5.9999999999999995E-4</v>
      </c>
      <c r="BO118">
        <f>'2015_2020 Int_Confianca'!BM51</f>
        <v>5.9999999999999995E-4</v>
      </c>
      <c r="BP118">
        <f>'2015_2020 Int_Confianca'!BN51</f>
        <v>5.9999999999999995E-4</v>
      </c>
      <c r="BQ118">
        <f>'2015_2020 Int_Confianca'!BO51</f>
        <v>5.9999999999999995E-4</v>
      </c>
      <c r="BR118">
        <f>'2015_2020 Int_Confianca'!BP51</f>
        <v>5.0000000000000001E-4</v>
      </c>
      <c r="BS118">
        <f>'2015_2020 Int_Confianca'!BQ51</f>
        <v>5.9999999999999995E-4</v>
      </c>
      <c r="BT118">
        <f>'2015_2020 Int_Confianca'!BR51</f>
        <v>5.9999999999999995E-4</v>
      </c>
      <c r="BU118">
        <f>'2015_2020 Int_Confianca'!BS51</f>
        <v>5.9999999999999995E-4</v>
      </c>
      <c r="BV118">
        <f>'2015_2020 Int_Confianca'!BT51</f>
        <v>5.9999999999999995E-4</v>
      </c>
      <c r="BW118">
        <f>'2015_2020 Int_Confianca'!BU51</f>
        <v>6.9999999999999999E-4</v>
      </c>
      <c r="BX118">
        <f>'2015_2020 Int_Confianca'!BV51</f>
        <v>6.9999999999999999E-4</v>
      </c>
      <c r="BY118">
        <f>'2015_2020 Int_Confianca'!BW51</f>
        <v>5.9999999999999995E-4</v>
      </c>
      <c r="BZ118">
        <f>'2015_2020 Int_Confianca'!BX51</f>
        <v>5.9999999999999995E-4</v>
      </c>
      <c r="CA118">
        <f>'2015_2020 Int_Confianca'!BY51</f>
        <v>5.0000000000000001E-4</v>
      </c>
      <c r="CB118">
        <f>'2015_2020 Int_Confianca'!BZ51</f>
        <v>5.0000000000000001E-4</v>
      </c>
      <c r="CC118">
        <f>'2015_2020 Int_Confianca'!CA51</f>
        <v>5.0000000000000001E-4</v>
      </c>
      <c r="CD118">
        <f>'2015_2020 Int_Confianca'!CB51</f>
        <v>5.0000000000000001E-4</v>
      </c>
      <c r="CE118">
        <f>'2015_2020 Int_Confianca'!CC51</f>
        <v>5.9999999999999995E-4</v>
      </c>
      <c r="CF118">
        <f>'2015_2020 Int_Confianca'!CD51</f>
        <v>5.9999999999999995E-4</v>
      </c>
      <c r="CG118">
        <f>'2015_2020 Int_Confianca'!CE51</f>
        <v>5.9999999999999995E-4</v>
      </c>
      <c r="CH118">
        <f>'2015_2020 Int_Confianca'!CF51</f>
        <v>5.9999999999999995E-4</v>
      </c>
      <c r="CI118">
        <f>'2015_2020 Int_Confianca'!CG51</f>
        <v>5.0000000000000001E-4</v>
      </c>
      <c r="CJ118">
        <f>'2015_2020 Int_Confianca'!CH51</f>
        <v>5.0000000000000001E-4</v>
      </c>
      <c r="CK118">
        <f>'2015_2020 Int_Confianca'!CI51</f>
        <v>5.0000000000000001E-4</v>
      </c>
      <c r="CL118">
        <f>'2015_2020 Int_Confianca'!CJ51</f>
        <v>4.0000000000000002E-4</v>
      </c>
      <c r="CM118">
        <f>'2015_2020 Int_Confianca'!CK51</f>
        <v>4.0000000000000002E-4</v>
      </c>
      <c r="CN118">
        <f>'2015_2020 Int_Confianca'!CL51</f>
        <v>5.0000000000000001E-4</v>
      </c>
      <c r="CO118">
        <f>'2015_2020 Int_Confianca'!CM51</f>
        <v>5.0000000000000001E-4</v>
      </c>
      <c r="CP118">
        <f>'2015_2020 Int_Confianca'!CN51</f>
        <v>5.0000000000000001E-4</v>
      </c>
      <c r="CQ118">
        <f>'2015_2020 Int_Confianca'!CO51</f>
        <v>4.0000000000000002E-4</v>
      </c>
      <c r="CR118">
        <f>'2015_2020 Int_Confianca'!CP51</f>
        <v>5.0000000000000001E-4</v>
      </c>
      <c r="CS118">
        <f>'2015_2020 Int_Confianca'!CQ51</f>
        <v>2.9999999999999997E-4</v>
      </c>
      <c r="CT118">
        <f>'2015_2020 Int_Confianca'!CR51</f>
        <v>4.0000000000000002E-4</v>
      </c>
      <c r="CU118">
        <f>'2015_2020 Int_Confianca'!CS51</f>
        <v>2.0000000000000001E-4</v>
      </c>
      <c r="CV118">
        <f>'2015_2020 Int_Confianca'!CT51</f>
        <v>4.0000000000000002E-4</v>
      </c>
      <c r="CW118">
        <f>'2015_2020 Int_Confianca'!CU51</f>
        <v>2.9999999999999997E-4</v>
      </c>
      <c r="CX118">
        <f>'2015_2020 Int_Confianca'!CV51</f>
        <v>5.0000000000000001E-4</v>
      </c>
    </row>
    <row r="119" spans="1:102" x14ac:dyDescent="0.2">
      <c r="A119" t="s">
        <v>5918</v>
      </c>
      <c r="B119" t="s">
        <v>218</v>
      </c>
      <c r="C119" t="s">
        <v>221</v>
      </c>
      <c r="D119">
        <f>'2015_2020 Int_Confianca'!B52</f>
        <v>9.1000000000000004E-3</v>
      </c>
      <c r="E119">
        <f>'2015_2020 Int_Confianca'!C52</f>
        <v>1.0699999999999999E-2</v>
      </c>
      <c r="F119">
        <f>'2015_2020 Int_Confianca'!D52</f>
        <v>8.6999999999999994E-3</v>
      </c>
      <c r="G119">
        <f>'2015_2020 Int_Confianca'!E52</f>
        <v>8.5000000000000006E-3</v>
      </c>
      <c r="H119">
        <f>'2015_2020 Int_Confianca'!F52</f>
        <v>6.7000000000000002E-3</v>
      </c>
      <c r="I119">
        <f>'2015_2020 Int_Confianca'!G52</f>
        <v>6.8999999999999999E-3</v>
      </c>
      <c r="J119">
        <f>'2015_2020 Int_Confianca'!H52</f>
        <v>6.0000000000000001E-3</v>
      </c>
      <c r="K119">
        <f>'2015_2020 Int_Confianca'!I52</f>
        <v>5.4999999999999997E-3</v>
      </c>
      <c r="L119">
        <f>'2015_2020 Int_Confianca'!J52</f>
        <v>5.1999999999999998E-3</v>
      </c>
      <c r="M119">
        <f>'2015_2020 Int_Confianca'!K52</f>
        <v>4.1000000000000003E-3</v>
      </c>
      <c r="N119">
        <f>'2015_2020 Int_Confianca'!L52</f>
        <v>3.2000000000000002E-3</v>
      </c>
      <c r="O119">
        <f>'2015_2020 Int_Confianca'!M52</f>
        <v>2.3999999999999998E-3</v>
      </c>
      <c r="P119">
        <f>'2015_2020 Int_Confianca'!N52</f>
        <v>2.0999999999999999E-3</v>
      </c>
      <c r="Q119">
        <f>'2015_2020 Int_Confianca'!O52</f>
        <v>1.9E-3</v>
      </c>
      <c r="R119">
        <f>'2015_2020 Int_Confianca'!P52</f>
        <v>1.8E-3</v>
      </c>
      <c r="S119">
        <f>'2015_2020 Int_Confianca'!Q52</f>
        <v>1.6999999999999999E-3</v>
      </c>
      <c r="T119">
        <f>'2015_2020 Int_Confianca'!R52</f>
        <v>1.5E-3</v>
      </c>
      <c r="U119">
        <f>'2015_2020 Int_Confianca'!S52</f>
        <v>1.4E-3</v>
      </c>
      <c r="V119">
        <f>'2015_2020 Int_Confianca'!T52</f>
        <v>1.2999999999999999E-3</v>
      </c>
      <c r="W119">
        <f>'2015_2020 Int_Confianca'!U52</f>
        <v>1.2999999999999999E-3</v>
      </c>
      <c r="X119">
        <f>'2015_2020 Int_Confianca'!V52</f>
        <v>1.1999999999999999E-3</v>
      </c>
      <c r="Y119">
        <f>'2015_2020 Int_Confianca'!W52</f>
        <v>1.1999999999999999E-3</v>
      </c>
      <c r="Z119">
        <f>'2015_2020 Int_Confianca'!X52</f>
        <v>1.1000000000000001E-3</v>
      </c>
      <c r="AA119">
        <f>'2015_2020 Int_Confianca'!Y52</f>
        <v>1.1000000000000001E-3</v>
      </c>
      <c r="AB119">
        <f>'2015_2020 Int_Confianca'!Z52</f>
        <v>1.1000000000000001E-3</v>
      </c>
      <c r="AC119">
        <f>'2015_2020 Int_Confianca'!AA52</f>
        <v>1.1000000000000001E-3</v>
      </c>
      <c r="AD119">
        <f>'2015_2020 Int_Confianca'!AB52</f>
        <v>1.1000000000000001E-3</v>
      </c>
      <c r="AE119">
        <f>'2015_2020 Int_Confianca'!AC52</f>
        <v>1.1000000000000001E-3</v>
      </c>
      <c r="AF119">
        <f>'2015_2020 Int_Confianca'!AD52</f>
        <v>1.1000000000000001E-3</v>
      </c>
      <c r="AG119">
        <f>'2015_2020 Int_Confianca'!AE52</f>
        <v>1.1000000000000001E-3</v>
      </c>
      <c r="AH119">
        <f>'2015_2020 Int_Confianca'!AF52</f>
        <v>1.1000000000000001E-3</v>
      </c>
      <c r="AI119">
        <f>'2015_2020 Int_Confianca'!AG52</f>
        <v>1.1000000000000001E-3</v>
      </c>
      <c r="AJ119">
        <f>'2015_2020 Int_Confianca'!AH52</f>
        <v>1.1999999999999999E-3</v>
      </c>
      <c r="AK119">
        <f>'2015_2020 Int_Confianca'!AI52</f>
        <v>1.2999999999999999E-3</v>
      </c>
      <c r="AL119">
        <f>'2015_2020 Int_Confianca'!AJ52</f>
        <v>1.2999999999999999E-3</v>
      </c>
      <c r="AM119">
        <f>'2015_2020 Int_Confianca'!AK52</f>
        <v>1.1999999999999999E-3</v>
      </c>
      <c r="AN119">
        <f>'2015_2020 Int_Confianca'!AL52</f>
        <v>1.1999999999999999E-3</v>
      </c>
      <c r="AO119">
        <f>'2015_2020 Int_Confianca'!AM52</f>
        <v>1.1999999999999999E-3</v>
      </c>
      <c r="AP119">
        <f>'2015_2020 Int_Confianca'!AN52</f>
        <v>1.1999999999999999E-3</v>
      </c>
      <c r="AQ119">
        <f>'2015_2020 Int_Confianca'!AO52</f>
        <v>1.1999999999999999E-3</v>
      </c>
      <c r="AR119">
        <f>'2015_2020 Int_Confianca'!AP52</f>
        <v>1.1999999999999999E-3</v>
      </c>
      <c r="AS119">
        <f>'2015_2020 Int_Confianca'!AQ52</f>
        <v>1.1000000000000001E-3</v>
      </c>
      <c r="AT119">
        <f>'2015_2020 Int_Confianca'!AR52</f>
        <v>1.1000000000000001E-3</v>
      </c>
      <c r="AU119">
        <f>'2015_2020 Int_Confianca'!AS52</f>
        <v>1.1000000000000001E-3</v>
      </c>
      <c r="AV119">
        <f>'2015_2020 Int_Confianca'!AT52</f>
        <v>1.1000000000000001E-3</v>
      </c>
      <c r="AW119">
        <f>'2015_2020 Int_Confianca'!AU52</f>
        <v>1.1000000000000001E-3</v>
      </c>
      <c r="AX119">
        <f>'2015_2020 Int_Confianca'!AV52</f>
        <v>1.1000000000000001E-3</v>
      </c>
      <c r="AY119">
        <f>'2015_2020 Int_Confianca'!AW52</f>
        <v>1.1000000000000001E-3</v>
      </c>
      <c r="AZ119">
        <f>'2015_2020 Int_Confianca'!AX52</f>
        <v>1.1000000000000001E-3</v>
      </c>
      <c r="BA119">
        <f>'2015_2020 Int_Confianca'!AY52</f>
        <v>1.1999999999999999E-3</v>
      </c>
      <c r="BB119">
        <f>'2015_2020 Int_Confianca'!AZ52</f>
        <v>1.1999999999999999E-3</v>
      </c>
      <c r="BC119">
        <f>'2015_2020 Int_Confianca'!BA52</f>
        <v>1.1000000000000001E-3</v>
      </c>
      <c r="BD119">
        <f>'2015_2020 Int_Confianca'!BB52</f>
        <v>1.1000000000000001E-3</v>
      </c>
      <c r="BE119">
        <f>'2015_2020 Int_Confianca'!BC52</f>
        <v>1.1000000000000001E-3</v>
      </c>
      <c r="BF119">
        <f>'2015_2020 Int_Confianca'!BD52</f>
        <v>1E-3</v>
      </c>
      <c r="BG119">
        <f>'2015_2020 Int_Confianca'!BE52</f>
        <v>1E-3</v>
      </c>
      <c r="BH119">
        <f>'2015_2020 Int_Confianca'!BF52</f>
        <v>1E-3</v>
      </c>
      <c r="BI119">
        <f>'2015_2020 Int_Confianca'!BG52</f>
        <v>1E-3</v>
      </c>
      <c r="BJ119">
        <f>'2015_2020 Int_Confianca'!BH52</f>
        <v>1E-3</v>
      </c>
      <c r="BK119">
        <f>'2015_2020 Int_Confianca'!BI52</f>
        <v>1E-3</v>
      </c>
      <c r="BL119">
        <f>'2015_2020 Int_Confianca'!BJ52</f>
        <v>1E-3</v>
      </c>
      <c r="BM119">
        <f>'2015_2020 Int_Confianca'!BK52</f>
        <v>1E-3</v>
      </c>
      <c r="BN119">
        <f>'2015_2020 Int_Confianca'!BL52</f>
        <v>1E-3</v>
      </c>
      <c r="BO119">
        <f>'2015_2020 Int_Confianca'!BM52</f>
        <v>1E-3</v>
      </c>
      <c r="BP119">
        <f>'2015_2020 Int_Confianca'!BN52</f>
        <v>8.9999999999999998E-4</v>
      </c>
      <c r="BQ119">
        <f>'2015_2020 Int_Confianca'!BO52</f>
        <v>8.9999999999999998E-4</v>
      </c>
      <c r="BR119">
        <f>'2015_2020 Int_Confianca'!BP52</f>
        <v>8.9999999999999998E-4</v>
      </c>
      <c r="BS119">
        <f>'2015_2020 Int_Confianca'!BQ52</f>
        <v>8.9999999999999998E-4</v>
      </c>
      <c r="BT119">
        <f>'2015_2020 Int_Confianca'!BR52</f>
        <v>1E-3</v>
      </c>
      <c r="BU119">
        <f>'2015_2020 Int_Confianca'!BS52</f>
        <v>1E-3</v>
      </c>
      <c r="BV119">
        <f>'2015_2020 Int_Confianca'!BT52</f>
        <v>1E-3</v>
      </c>
      <c r="BW119">
        <f>'2015_2020 Int_Confianca'!BU52</f>
        <v>1.1000000000000001E-3</v>
      </c>
      <c r="BX119">
        <f>'2015_2020 Int_Confianca'!BV52</f>
        <v>1.1000000000000001E-3</v>
      </c>
      <c r="BY119">
        <f>'2015_2020 Int_Confianca'!BW52</f>
        <v>1E-3</v>
      </c>
      <c r="BZ119">
        <f>'2015_2020 Int_Confianca'!BX52</f>
        <v>1E-3</v>
      </c>
      <c r="CA119">
        <f>'2015_2020 Int_Confianca'!BY52</f>
        <v>8.9999999999999998E-4</v>
      </c>
      <c r="CB119">
        <f>'2015_2020 Int_Confianca'!BZ52</f>
        <v>8.9999999999999998E-4</v>
      </c>
      <c r="CC119">
        <f>'2015_2020 Int_Confianca'!CA52</f>
        <v>8.9999999999999998E-4</v>
      </c>
      <c r="CD119">
        <f>'2015_2020 Int_Confianca'!CB52</f>
        <v>8.0000000000000004E-4</v>
      </c>
      <c r="CE119">
        <f>'2015_2020 Int_Confianca'!CC52</f>
        <v>1.1000000000000001E-3</v>
      </c>
      <c r="CF119">
        <f>'2015_2020 Int_Confianca'!CD52</f>
        <v>1.1000000000000001E-3</v>
      </c>
      <c r="CG119">
        <f>'2015_2020 Int_Confianca'!CE52</f>
        <v>1.1000000000000001E-3</v>
      </c>
      <c r="CH119">
        <f>'2015_2020 Int_Confianca'!CF52</f>
        <v>1E-3</v>
      </c>
      <c r="CI119">
        <f>'2015_2020 Int_Confianca'!CG52</f>
        <v>1E-3</v>
      </c>
      <c r="CJ119">
        <f>'2015_2020 Int_Confianca'!CH52</f>
        <v>8.9999999999999998E-4</v>
      </c>
      <c r="CK119">
        <f>'2015_2020 Int_Confianca'!CI52</f>
        <v>8.9999999999999998E-4</v>
      </c>
      <c r="CL119">
        <f>'2015_2020 Int_Confianca'!CJ52</f>
        <v>8.0000000000000004E-4</v>
      </c>
      <c r="CM119">
        <f>'2015_2020 Int_Confianca'!CK52</f>
        <v>8.9999999999999998E-4</v>
      </c>
      <c r="CN119">
        <f>'2015_2020 Int_Confianca'!CL52</f>
        <v>1E-3</v>
      </c>
      <c r="CO119">
        <f>'2015_2020 Int_Confianca'!CM52</f>
        <v>1E-3</v>
      </c>
      <c r="CP119">
        <f>'2015_2020 Int_Confianca'!CN52</f>
        <v>8.9999999999999998E-4</v>
      </c>
      <c r="CQ119">
        <f>'2015_2020 Int_Confianca'!CO52</f>
        <v>8.0000000000000004E-4</v>
      </c>
      <c r="CR119">
        <f>'2015_2020 Int_Confianca'!CP52</f>
        <v>1E-3</v>
      </c>
      <c r="CS119">
        <f>'2015_2020 Int_Confianca'!CQ52</f>
        <v>8.0000000000000004E-4</v>
      </c>
      <c r="CT119">
        <f>'2015_2020 Int_Confianca'!CR52</f>
        <v>8.9999999999999998E-4</v>
      </c>
      <c r="CU119">
        <f>'2015_2020 Int_Confianca'!CS52</f>
        <v>8.9999999999999998E-4</v>
      </c>
      <c r="CV119">
        <f>'2015_2020 Int_Confianca'!CT52</f>
        <v>1.1000000000000001E-3</v>
      </c>
      <c r="CW119">
        <f>'2015_2020 Int_Confianca'!CU52</f>
        <v>1.1999999999999999E-3</v>
      </c>
      <c r="CX119">
        <f>'2015_2020 Int_Confianca'!CV52</f>
        <v>1.5E-3</v>
      </c>
    </row>
    <row r="120" spans="1:102" x14ac:dyDescent="0.2">
      <c r="A120" t="s">
        <v>5919</v>
      </c>
      <c r="B120" t="s">
        <v>218</v>
      </c>
      <c r="C120" t="s">
        <v>221</v>
      </c>
      <c r="D120">
        <f>'2015_2020 Int_Confianca'!B53</f>
        <v>-2.92E-2</v>
      </c>
      <c r="E120">
        <f>'2015_2020 Int_Confianca'!C53</f>
        <v>-4.1000000000000002E-2</v>
      </c>
      <c r="F120">
        <f>'2015_2020 Int_Confianca'!D53</f>
        <v>-3.7199999999999997E-2</v>
      </c>
      <c r="G120">
        <f>'2015_2020 Int_Confianca'!E53</f>
        <v>-3.9600000000000003E-2</v>
      </c>
      <c r="H120">
        <f>'2015_2020 Int_Confianca'!F53</f>
        <v>-3.4099999999999998E-2</v>
      </c>
      <c r="I120">
        <f>'2015_2020 Int_Confianca'!G53</f>
        <v>-4.0800000000000003E-2</v>
      </c>
      <c r="J120">
        <f>'2015_2020 Int_Confianca'!H53</f>
        <v>-3.7499999999999999E-2</v>
      </c>
      <c r="K120">
        <f>'2015_2020 Int_Confianca'!I53</f>
        <v>-3.6799999999999999E-2</v>
      </c>
      <c r="L120">
        <f>'2015_2020 Int_Confianca'!J53</f>
        <v>-3.6799999999999999E-2</v>
      </c>
      <c r="M120">
        <f>'2015_2020 Int_Confianca'!K53</f>
        <v>-2.9399999999999999E-2</v>
      </c>
      <c r="N120">
        <f>'2015_2020 Int_Confianca'!L53</f>
        <v>-2.4199999999999999E-2</v>
      </c>
      <c r="O120">
        <f>'2015_2020 Int_Confianca'!M53</f>
        <v>-1.8200000000000001E-2</v>
      </c>
      <c r="P120">
        <f>'2015_2020 Int_Confianca'!N53</f>
        <v>-1.5299999999999999E-2</v>
      </c>
      <c r="Q120">
        <f>'2015_2020 Int_Confianca'!O53</f>
        <v>-1.38E-2</v>
      </c>
      <c r="R120">
        <f>'2015_2020 Int_Confianca'!P53</f>
        <v>-1.2699999999999999E-2</v>
      </c>
      <c r="S120">
        <f>'2015_2020 Int_Confianca'!Q53</f>
        <v>-1.1900000000000001E-2</v>
      </c>
      <c r="T120">
        <f>'2015_2020 Int_Confianca'!R53</f>
        <v>-1.0800000000000001E-2</v>
      </c>
      <c r="U120">
        <f>'2015_2020 Int_Confianca'!S53</f>
        <v>-1.01E-2</v>
      </c>
      <c r="V120">
        <f>'2015_2020 Int_Confianca'!T53</f>
        <v>-9.1000000000000004E-3</v>
      </c>
      <c r="W120">
        <f>'2015_2020 Int_Confianca'!U53</f>
        <v>-8.3000000000000001E-3</v>
      </c>
      <c r="X120">
        <f>'2015_2020 Int_Confianca'!V53</f>
        <v>-7.4000000000000003E-3</v>
      </c>
      <c r="Y120">
        <f>'2015_2020 Int_Confianca'!W53</f>
        <v>-6.7000000000000002E-3</v>
      </c>
      <c r="Z120">
        <f>'2015_2020 Int_Confianca'!X53</f>
        <v>-6.1999999999999998E-3</v>
      </c>
      <c r="AA120">
        <f>'2015_2020 Int_Confianca'!Y53</f>
        <v>-5.7999999999999996E-3</v>
      </c>
      <c r="AB120">
        <f>'2015_2020 Int_Confianca'!Z53</f>
        <v>-5.4999999999999997E-3</v>
      </c>
      <c r="AC120">
        <f>'2015_2020 Int_Confianca'!AA53</f>
        <v>-5.4999999999999997E-3</v>
      </c>
      <c r="AD120">
        <f>'2015_2020 Int_Confianca'!AB53</f>
        <v>-5.5999999999999999E-3</v>
      </c>
      <c r="AE120">
        <f>'2015_2020 Int_Confianca'!AC53</f>
        <v>-5.1000000000000004E-3</v>
      </c>
      <c r="AF120">
        <f>'2015_2020 Int_Confianca'!AD53</f>
        <v>-5.3E-3</v>
      </c>
      <c r="AG120">
        <f>'2015_2020 Int_Confianca'!AE53</f>
        <v>-5.1999999999999998E-3</v>
      </c>
      <c r="AH120">
        <f>'2015_2020 Int_Confianca'!AF53</f>
        <v>-5.0000000000000001E-3</v>
      </c>
      <c r="AI120">
        <f>'2015_2020 Int_Confianca'!AG53</f>
        <v>-5.0000000000000001E-3</v>
      </c>
      <c r="AJ120">
        <f>'2015_2020 Int_Confianca'!AH53</f>
        <v>-5.0000000000000001E-3</v>
      </c>
      <c r="AK120">
        <f>'2015_2020 Int_Confianca'!AI53</f>
        <v>-5.0000000000000001E-3</v>
      </c>
      <c r="AL120">
        <f>'2015_2020 Int_Confianca'!AJ53</f>
        <v>-4.7000000000000002E-3</v>
      </c>
      <c r="AM120">
        <f>'2015_2020 Int_Confianca'!AK53</f>
        <v>-4.4999999999999997E-3</v>
      </c>
      <c r="AN120">
        <f>'2015_2020 Int_Confianca'!AL53</f>
        <v>-4.0000000000000001E-3</v>
      </c>
      <c r="AO120">
        <f>'2015_2020 Int_Confianca'!AM53</f>
        <v>-3.5000000000000001E-3</v>
      </c>
      <c r="AP120">
        <f>'2015_2020 Int_Confianca'!AN53</f>
        <v>-3.2000000000000002E-3</v>
      </c>
      <c r="AQ120">
        <f>'2015_2020 Int_Confianca'!AO53</f>
        <v>-2.8999999999999998E-3</v>
      </c>
      <c r="AR120">
        <f>'2015_2020 Int_Confianca'!AP53</f>
        <v>-2.8E-3</v>
      </c>
      <c r="AS120">
        <f>'2015_2020 Int_Confianca'!AQ53</f>
        <v>-2.8999999999999998E-3</v>
      </c>
      <c r="AT120">
        <f>'2015_2020 Int_Confianca'!AR53</f>
        <v>-2.5999999999999999E-3</v>
      </c>
      <c r="AU120">
        <f>'2015_2020 Int_Confianca'!AS53</f>
        <v>-2.5999999999999999E-3</v>
      </c>
      <c r="AV120">
        <f>'2015_2020 Int_Confianca'!AT53</f>
        <v>-2.5000000000000001E-3</v>
      </c>
      <c r="AW120">
        <f>'2015_2020 Int_Confianca'!AU53</f>
        <v>-2.5000000000000001E-3</v>
      </c>
      <c r="AX120">
        <f>'2015_2020 Int_Confianca'!AV53</f>
        <v>-2.5999999999999999E-3</v>
      </c>
      <c r="AY120">
        <f>'2015_2020 Int_Confianca'!AW53</f>
        <v>-2.3999999999999998E-3</v>
      </c>
      <c r="AZ120">
        <f>'2015_2020 Int_Confianca'!AX53</f>
        <v>-1.9E-3</v>
      </c>
      <c r="BA120">
        <f>'2015_2020 Int_Confianca'!AY53</f>
        <v>-1.5E-3</v>
      </c>
      <c r="BB120">
        <f>'2015_2020 Int_Confianca'!AZ53</f>
        <v>-1.4E-3</v>
      </c>
      <c r="BC120">
        <f>'2015_2020 Int_Confianca'!BA53</f>
        <v>-1.1000000000000001E-3</v>
      </c>
      <c r="BD120">
        <f>'2015_2020 Int_Confianca'!BB53</f>
        <v>-1E-3</v>
      </c>
      <c r="BE120">
        <f>'2015_2020 Int_Confianca'!BC53</f>
        <v>-8.0000000000000004E-4</v>
      </c>
      <c r="BF120">
        <f>'2015_2020 Int_Confianca'!BD53</f>
        <v>-2.9999999999999997E-4</v>
      </c>
      <c r="BG120">
        <f>'2015_2020 Int_Confianca'!BE53</f>
        <v>-2.9999999999999997E-4</v>
      </c>
      <c r="BH120">
        <f>'2015_2020 Int_Confianca'!BF53</f>
        <v>-2.9999999999999997E-4</v>
      </c>
      <c r="BI120">
        <f>'2015_2020 Int_Confianca'!BG53</f>
        <v>0</v>
      </c>
      <c r="BJ120">
        <f>'2015_2020 Int_Confianca'!BH53</f>
        <v>2.0000000000000001E-4</v>
      </c>
      <c r="BK120">
        <f>'2015_2020 Int_Confianca'!BI53</f>
        <v>1E-4</v>
      </c>
      <c r="BL120">
        <f>'2015_2020 Int_Confianca'!BJ53</f>
        <v>0</v>
      </c>
      <c r="BM120">
        <f>'2015_2020 Int_Confianca'!BK53</f>
        <v>2.9999999999999997E-4</v>
      </c>
      <c r="BN120">
        <f>'2015_2020 Int_Confianca'!BL53</f>
        <v>4.0000000000000002E-4</v>
      </c>
      <c r="BO120">
        <f>'2015_2020 Int_Confianca'!BM53</f>
        <v>5.9999999999999995E-4</v>
      </c>
      <c r="BP120">
        <f>'2015_2020 Int_Confianca'!BN53</f>
        <v>5.0000000000000001E-4</v>
      </c>
      <c r="BQ120">
        <f>'2015_2020 Int_Confianca'!BO53</f>
        <v>5.9999999999999995E-4</v>
      </c>
      <c r="BR120">
        <f>'2015_2020 Int_Confianca'!BP53</f>
        <v>5.9999999999999995E-4</v>
      </c>
      <c r="BS120">
        <f>'2015_2020 Int_Confianca'!BQ53</f>
        <v>6.9999999999999999E-4</v>
      </c>
      <c r="BT120">
        <f>'2015_2020 Int_Confianca'!BR53</f>
        <v>5.0000000000000001E-4</v>
      </c>
      <c r="BU120">
        <f>'2015_2020 Int_Confianca'!BS53</f>
        <v>6.9999999999999999E-4</v>
      </c>
      <c r="BV120">
        <f>'2015_2020 Int_Confianca'!BT53</f>
        <v>5.9999999999999995E-4</v>
      </c>
      <c r="BW120">
        <f>'2015_2020 Int_Confianca'!BU53</f>
        <v>6.9999999999999999E-4</v>
      </c>
      <c r="BX120">
        <f>'2015_2020 Int_Confianca'!BV53</f>
        <v>8.0000000000000004E-4</v>
      </c>
      <c r="BY120">
        <f>'2015_2020 Int_Confianca'!BW53</f>
        <v>1.2999999999999999E-3</v>
      </c>
      <c r="BZ120">
        <f>'2015_2020 Int_Confianca'!BX53</f>
        <v>1.4E-3</v>
      </c>
      <c r="CA120">
        <f>'2015_2020 Int_Confianca'!BY53</f>
        <v>1.1000000000000001E-3</v>
      </c>
      <c r="CB120">
        <f>'2015_2020 Int_Confianca'!BZ53</f>
        <v>5.9999999999999995E-4</v>
      </c>
      <c r="CC120">
        <f>'2015_2020 Int_Confianca'!CA53</f>
        <v>5.9999999999999995E-4</v>
      </c>
      <c r="CD120">
        <f>'2015_2020 Int_Confianca'!CB53</f>
        <v>2.0000000000000001E-4</v>
      </c>
      <c r="CE120">
        <f>'2015_2020 Int_Confianca'!CC53</f>
        <v>2.0000000000000001E-4</v>
      </c>
      <c r="CF120">
        <f>'2015_2020 Int_Confianca'!CD53</f>
        <v>2.9999999999999997E-4</v>
      </c>
      <c r="CG120">
        <f>'2015_2020 Int_Confianca'!CE53</f>
        <v>1E-4</v>
      </c>
      <c r="CH120">
        <f>'2015_2020 Int_Confianca'!CF53</f>
        <v>-1E-4</v>
      </c>
      <c r="CI120">
        <f>'2015_2020 Int_Confianca'!CG53</f>
        <v>-2.9999999999999997E-4</v>
      </c>
      <c r="CJ120">
        <f>'2015_2020 Int_Confianca'!CH53</f>
        <v>-8.0000000000000004E-4</v>
      </c>
      <c r="CK120">
        <f>'2015_2020 Int_Confianca'!CI53</f>
        <v>-8.0000000000000004E-4</v>
      </c>
      <c r="CL120">
        <f>'2015_2020 Int_Confianca'!CJ53</f>
        <v>-8.9999999999999998E-4</v>
      </c>
      <c r="CM120">
        <f>'2015_2020 Int_Confianca'!CK53</f>
        <v>-1.1000000000000001E-3</v>
      </c>
      <c r="CN120">
        <f>'2015_2020 Int_Confianca'!CL53</f>
        <v>-1.6000000000000001E-3</v>
      </c>
      <c r="CO120">
        <f>'2015_2020 Int_Confianca'!CM53</f>
        <v>-2.2000000000000001E-3</v>
      </c>
      <c r="CP120">
        <f>'2015_2020 Int_Confianca'!CN53</f>
        <v>-1.6999999999999999E-3</v>
      </c>
      <c r="CQ120">
        <f>'2015_2020 Int_Confianca'!CO53</f>
        <v>-2.2000000000000001E-3</v>
      </c>
      <c r="CR120">
        <f>'2015_2020 Int_Confianca'!CP53</f>
        <v>-2.8E-3</v>
      </c>
      <c r="CS120">
        <f>'2015_2020 Int_Confianca'!CQ53</f>
        <v>-2.0999999999999999E-3</v>
      </c>
      <c r="CT120">
        <f>'2015_2020 Int_Confianca'!CR53</f>
        <v>-3.3999999999999998E-3</v>
      </c>
      <c r="CU120">
        <f>'2015_2020 Int_Confianca'!CS53</f>
        <v>-4.0000000000000001E-3</v>
      </c>
      <c r="CV120">
        <f>'2015_2020 Int_Confianca'!CT53</f>
        <v>-4.1000000000000003E-3</v>
      </c>
      <c r="CW120">
        <f>'2015_2020 Int_Confianca'!CU53</f>
        <v>-4.1999999999999997E-3</v>
      </c>
      <c r="CX120">
        <f>'2015_2020 Int_Confianca'!CV53</f>
        <v>-5.1000000000000004E-3</v>
      </c>
    </row>
    <row r="121" spans="1:102" x14ac:dyDescent="0.2">
      <c r="A121" t="s">
        <v>5920</v>
      </c>
      <c r="B121" t="s">
        <v>218</v>
      </c>
      <c r="C121" t="s">
        <v>221</v>
      </c>
      <c r="D121">
        <f>'2015_2020 Int_Confianca'!B54</f>
        <v>-2.2700000000000001E-2</v>
      </c>
      <c r="E121">
        <f>'2015_2020 Int_Confianca'!C54</f>
        <v>-3.2399999999999998E-2</v>
      </c>
      <c r="F121">
        <f>'2015_2020 Int_Confianca'!D54</f>
        <v>-2.9600000000000001E-2</v>
      </c>
      <c r="G121">
        <f>'2015_2020 Int_Confianca'!E54</f>
        <v>-3.1600000000000003E-2</v>
      </c>
      <c r="H121">
        <f>'2015_2020 Int_Confianca'!F54</f>
        <v>-2.7300000000000001E-2</v>
      </c>
      <c r="I121">
        <f>'2015_2020 Int_Confianca'!G54</f>
        <v>-3.27E-2</v>
      </c>
      <c r="J121">
        <f>'2015_2020 Int_Confianca'!H54</f>
        <v>-0.03</v>
      </c>
      <c r="K121">
        <f>'2015_2020 Int_Confianca'!I54</f>
        <v>-2.9499999999999998E-2</v>
      </c>
      <c r="L121">
        <f>'2015_2020 Int_Confianca'!J54</f>
        <v>-2.9499999999999998E-2</v>
      </c>
      <c r="M121">
        <f>'2015_2020 Int_Confianca'!K54</f>
        <v>-2.35E-2</v>
      </c>
      <c r="N121">
        <f>'2015_2020 Int_Confianca'!L54</f>
        <v>-1.9400000000000001E-2</v>
      </c>
      <c r="O121">
        <f>'2015_2020 Int_Confianca'!M54</f>
        <v>-1.46E-2</v>
      </c>
      <c r="P121">
        <f>'2015_2020 Int_Confianca'!N54</f>
        <v>-1.2200000000000001E-2</v>
      </c>
      <c r="Q121">
        <f>'2015_2020 Int_Confianca'!O54</f>
        <v>-1.11E-2</v>
      </c>
      <c r="R121">
        <f>'2015_2020 Int_Confianca'!P54</f>
        <v>-1.01E-2</v>
      </c>
      <c r="S121">
        <f>'2015_2020 Int_Confianca'!Q54</f>
        <v>-9.4999999999999998E-3</v>
      </c>
      <c r="T121">
        <f>'2015_2020 Int_Confianca'!R54</f>
        <v>-8.6E-3</v>
      </c>
      <c r="U121">
        <f>'2015_2020 Int_Confianca'!S54</f>
        <v>-8.0999999999999996E-3</v>
      </c>
      <c r="V121">
        <f>'2015_2020 Int_Confianca'!T54</f>
        <v>-7.1999999999999998E-3</v>
      </c>
      <c r="W121">
        <f>'2015_2020 Int_Confianca'!U54</f>
        <v>-6.6E-3</v>
      </c>
      <c r="X121">
        <f>'2015_2020 Int_Confianca'!V54</f>
        <v>-5.8999999999999999E-3</v>
      </c>
      <c r="Y121">
        <f>'2015_2020 Int_Confianca'!W54</f>
        <v>-5.3E-3</v>
      </c>
      <c r="Z121">
        <f>'2015_2020 Int_Confianca'!X54</f>
        <v>-4.8999999999999998E-3</v>
      </c>
      <c r="AA121">
        <f>'2015_2020 Int_Confianca'!Y54</f>
        <v>-4.5999999999999999E-3</v>
      </c>
      <c r="AB121">
        <f>'2015_2020 Int_Confianca'!Z54</f>
        <v>-4.3E-3</v>
      </c>
      <c r="AC121">
        <f>'2015_2020 Int_Confianca'!AA54</f>
        <v>-4.3E-3</v>
      </c>
      <c r="AD121">
        <f>'2015_2020 Int_Confianca'!AB54</f>
        <v>-4.4000000000000003E-3</v>
      </c>
      <c r="AE121">
        <f>'2015_2020 Int_Confianca'!AC54</f>
        <v>-4.0000000000000001E-3</v>
      </c>
      <c r="AF121">
        <f>'2015_2020 Int_Confianca'!AD54</f>
        <v>-4.1000000000000003E-3</v>
      </c>
      <c r="AG121">
        <f>'2015_2020 Int_Confianca'!AE54</f>
        <v>-4.1000000000000003E-3</v>
      </c>
      <c r="AH121">
        <f>'2015_2020 Int_Confianca'!AF54</f>
        <v>-3.8999999999999998E-3</v>
      </c>
      <c r="AI121">
        <f>'2015_2020 Int_Confianca'!AG54</f>
        <v>-3.8999999999999998E-3</v>
      </c>
      <c r="AJ121">
        <f>'2015_2020 Int_Confianca'!AH54</f>
        <v>-3.8999999999999998E-3</v>
      </c>
      <c r="AK121">
        <f>'2015_2020 Int_Confianca'!AI54</f>
        <v>-3.8999999999999998E-3</v>
      </c>
      <c r="AL121">
        <f>'2015_2020 Int_Confianca'!AJ54</f>
        <v>-3.5999999999999999E-3</v>
      </c>
      <c r="AM121">
        <f>'2015_2020 Int_Confianca'!AK54</f>
        <v>-3.3999999999999998E-3</v>
      </c>
      <c r="AN121">
        <f>'2015_2020 Int_Confianca'!AL54</f>
        <v>-3.0000000000000001E-3</v>
      </c>
      <c r="AO121">
        <f>'2015_2020 Int_Confianca'!AM54</f>
        <v>-2.5999999999999999E-3</v>
      </c>
      <c r="AP121">
        <f>'2015_2020 Int_Confianca'!AN54</f>
        <v>-2.3E-3</v>
      </c>
      <c r="AQ121">
        <f>'2015_2020 Int_Confianca'!AO54</f>
        <v>-2E-3</v>
      </c>
      <c r="AR121">
        <f>'2015_2020 Int_Confianca'!AP54</f>
        <v>-2E-3</v>
      </c>
      <c r="AS121">
        <f>'2015_2020 Int_Confianca'!AQ54</f>
        <v>-2E-3</v>
      </c>
      <c r="AT121">
        <f>'2015_2020 Int_Confianca'!AR54</f>
        <v>-1.8E-3</v>
      </c>
      <c r="AU121">
        <f>'2015_2020 Int_Confianca'!AS54</f>
        <v>-1.8E-3</v>
      </c>
      <c r="AV121">
        <f>'2015_2020 Int_Confianca'!AT54</f>
        <v>-1.6999999999999999E-3</v>
      </c>
      <c r="AW121">
        <f>'2015_2020 Int_Confianca'!AU54</f>
        <v>-1.6999999999999999E-3</v>
      </c>
      <c r="AX121">
        <f>'2015_2020 Int_Confianca'!AV54</f>
        <v>-1.6999999999999999E-3</v>
      </c>
      <c r="AY121">
        <f>'2015_2020 Int_Confianca'!AW54</f>
        <v>-1.5E-3</v>
      </c>
      <c r="AZ121">
        <f>'2015_2020 Int_Confianca'!AX54</f>
        <v>-1.1000000000000001E-3</v>
      </c>
      <c r="BA121">
        <f>'2015_2020 Int_Confianca'!AY54</f>
        <v>-6.9999999999999999E-4</v>
      </c>
      <c r="BB121">
        <f>'2015_2020 Int_Confianca'!AZ54</f>
        <v>-5.9999999999999995E-4</v>
      </c>
      <c r="BC121">
        <f>'2015_2020 Int_Confianca'!BA54</f>
        <v>-2.9999999999999997E-4</v>
      </c>
      <c r="BD121">
        <f>'2015_2020 Int_Confianca'!BB54</f>
        <v>-2.0000000000000001E-4</v>
      </c>
      <c r="BE121">
        <f>'2015_2020 Int_Confianca'!BC54</f>
        <v>0</v>
      </c>
      <c r="BF121">
        <f>'2015_2020 Int_Confianca'!BD54</f>
        <v>4.0000000000000002E-4</v>
      </c>
      <c r="BG121">
        <f>'2015_2020 Int_Confianca'!BE54</f>
        <v>4.0000000000000002E-4</v>
      </c>
      <c r="BH121">
        <f>'2015_2020 Int_Confianca'!BF54</f>
        <v>5.0000000000000001E-4</v>
      </c>
      <c r="BI121">
        <f>'2015_2020 Int_Confianca'!BG54</f>
        <v>8.0000000000000004E-4</v>
      </c>
      <c r="BJ121">
        <f>'2015_2020 Int_Confianca'!BH54</f>
        <v>1E-3</v>
      </c>
      <c r="BK121">
        <f>'2015_2020 Int_Confianca'!BI54</f>
        <v>8.9999999999999998E-4</v>
      </c>
      <c r="BL121">
        <f>'2015_2020 Int_Confianca'!BJ54</f>
        <v>8.9999999999999998E-4</v>
      </c>
      <c r="BM121">
        <f>'2015_2020 Int_Confianca'!BK54</f>
        <v>1.1000000000000001E-3</v>
      </c>
      <c r="BN121">
        <f>'2015_2020 Int_Confianca'!BL54</f>
        <v>1.2999999999999999E-3</v>
      </c>
      <c r="BO121">
        <f>'2015_2020 Int_Confianca'!BM54</f>
        <v>1.4E-3</v>
      </c>
      <c r="BP121">
        <f>'2015_2020 Int_Confianca'!BN54</f>
        <v>1.4E-3</v>
      </c>
      <c r="BQ121">
        <f>'2015_2020 Int_Confianca'!BO54</f>
        <v>1.5E-3</v>
      </c>
      <c r="BR121">
        <f>'2015_2020 Int_Confianca'!BP54</f>
        <v>1.5E-3</v>
      </c>
      <c r="BS121">
        <f>'2015_2020 Int_Confianca'!BQ54</f>
        <v>1.6000000000000001E-3</v>
      </c>
      <c r="BT121">
        <f>'2015_2020 Int_Confianca'!BR54</f>
        <v>1.5E-3</v>
      </c>
      <c r="BU121">
        <f>'2015_2020 Int_Confianca'!BS54</f>
        <v>1.6999999999999999E-3</v>
      </c>
      <c r="BV121">
        <f>'2015_2020 Int_Confianca'!BT54</f>
        <v>1.6000000000000001E-3</v>
      </c>
      <c r="BW121">
        <f>'2015_2020 Int_Confianca'!BU54</f>
        <v>1.8E-3</v>
      </c>
      <c r="BX121">
        <f>'2015_2020 Int_Confianca'!BV54</f>
        <v>2E-3</v>
      </c>
      <c r="BY121">
        <f>'2015_2020 Int_Confianca'!BW54</f>
        <v>2.3999999999999998E-3</v>
      </c>
      <c r="BZ121">
        <f>'2015_2020 Int_Confianca'!BX54</f>
        <v>2.5000000000000001E-3</v>
      </c>
      <c r="CA121">
        <f>'2015_2020 Int_Confianca'!BY54</f>
        <v>2.0999999999999999E-3</v>
      </c>
      <c r="CB121">
        <f>'2015_2020 Int_Confianca'!BZ54</f>
        <v>1.6000000000000001E-3</v>
      </c>
      <c r="CC121">
        <f>'2015_2020 Int_Confianca'!CA54</f>
        <v>1.6000000000000001E-3</v>
      </c>
      <c r="CD121">
        <f>'2015_2020 Int_Confianca'!CB54</f>
        <v>1.1999999999999999E-3</v>
      </c>
      <c r="CE121">
        <f>'2015_2020 Int_Confianca'!CC54</f>
        <v>1.5E-3</v>
      </c>
      <c r="CF121">
        <f>'2015_2020 Int_Confianca'!CD54</f>
        <v>1.8E-3</v>
      </c>
      <c r="CG121">
        <f>'2015_2020 Int_Confianca'!CE54</f>
        <v>1.5E-3</v>
      </c>
      <c r="CH121">
        <f>'2015_2020 Int_Confianca'!CF54</f>
        <v>1.2999999999999999E-3</v>
      </c>
      <c r="CI121">
        <f>'2015_2020 Int_Confianca'!CG54</f>
        <v>1.1000000000000001E-3</v>
      </c>
      <c r="CJ121">
        <f>'2015_2020 Int_Confianca'!CH54</f>
        <v>6.9999999999999999E-4</v>
      </c>
      <c r="CK121">
        <f>'2015_2020 Int_Confianca'!CI54</f>
        <v>5.9999999999999995E-4</v>
      </c>
      <c r="CL121">
        <f>'2015_2020 Int_Confianca'!CJ54</f>
        <v>5.0000000000000001E-4</v>
      </c>
      <c r="CM121">
        <f>'2015_2020 Int_Confianca'!CK54</f>
        <v>5.0000000000000001E-4</v>
      </c>
      <c r="CN121">
        <f>'2015_2020 Int_Confianca'!CL54</f>
        <v>2.9999999999999997E-4</v>
      </c>
      <c r="CO121">
        <f>'2015_2020 Int_Confianca'!CM54</f>
        <v>-2.0000000000000001E-4</v>
      </c>
      <c r="CP121">
        <f>'2015_2020 Int_Confianca'!CN54</f>
        <v>1E-4</v>
      </c>
      <c r="CQ121">
        <f>'2015_2020 Int_Confianca'!CO54</f>
        <v>-5.0000000000000001E-4</v>
      </c>
      <c r="CR121">
        <f>'2015_2020 Int_Confianca'!CP54</f>
        <v>-4.0000000000000002E-4</v>
      </c>
      <c r="CS121">
        <f>'2015_2020 Int_Confianca'!CQ54</f>
        <v>0</v>
      </c>
      <c r="CT121">
        <f>'2015_2020 Int_Confianca'!CR54</f>
        <v>-6.9999999999999999E-4</v>
      </c>
      <c r="CU121">
        <f>'2015_2020 Int_Confianca'!CS54</f>
        <v>-1E-3</v>
      </c>
      <c r="CV121">
        <f>'2015_2020 Int_Confianca'!CT54</f>
        <v>-8.9999999999999998E-4</v>
      </c>
      <c r="CW121">
        <f>'2015_2020 Int_Confianca'!CU54</f>
        <v>-2.0000000000000001E-4</v>
      </c>
      <c r="CX121">
        <f>'2015_2020 Int_Confianca'!CV54</f>
        <v>5.0000000000000001E-4</v>
      </c>
    </row>
    <row r="122" spans="1:102" x14ac:dyDescent="0.2">
      <c r="A122" t="s">
        <v>5921</v>
      </c>
      <c r="B122" t="s">
        <v>218</v>
      </c>
      <c r="C122" t="s">
        <v>221</v>
      </c>
      <c r="D122">
        <f>'2015_2020 Int_Confianca'!B55</f>
        <v>8.9999999999999993E-3</v>
      </c>
      <c r="E122">
        <f>'2015_2020 Int_Confianca'!C55</f>
        <v>1.0999999999999999E-2</v>
      </c>
      <c r="F122">
        <f>'2015_2020 Int_Confianca'!D55</f>
        <v>8.9999999999999993E-3</v>
      </c>
      <c r="G122">
        <f>'2015_2020 Int_Confianca'!E55</f>
        <v>8.3999999999999995E-3</v>
      </c>
      <c r="H122">
        <f>'2015_2020 Int_Confianca'!F55</f>
        <v>7.3000000000000001E-3</v>
      </c>
      <c r="I122">
        <f>'2015_2020 Int_Confianca'!G55</f>
        <v>8.0000000000000002E-3</v>
      </c>
      <c r="J122">
        <f>'2015_2020 Int_Confianca'!H55</f>
        <v>6.8999999999999999E-3</v>
      </c>
      <c r="K122">
        <f>'2015_2020 Int_Confianca'!I55</f>
        <v>5.8999999999999999E-3</v>
      </c>
      <c r="L122">
        <f>'2015_2020 Int_Confianca'!J55</f>
        <v>6.0000000000000001E-3</v>
      </c>
      <c r="M122">
        <f>'2015_2020 Int_Confianca'!K55</f>
        <v>4.5999999999999999E-3</v>
      </c>
      <c r="N122">
        <f>'2015_2020 Int_Confianca'!L55</f>
        <v>3.5999999999999999E-3</v>
      </c>
      <c r="O122">
        <f>'2015_2020 Int_Confianca'!M55</f>
        <v>3.0000000000000001E-3</v>
      </c>
      <c r="P122">
        <f>'2015_2020 Int_Confianca'!N55</f>
        <v>2.7000000000000001E-3</v>
      </c>
      <c r="Q122">
        <f>'2015_2020 Int_Confianca'!O55</f>
        <v>2.3E-3</v>
      </c>
      <c r="R122">
        <f>'2015_2020 Int_Confianca'!P55</f>
        <v>2.3E-3</v>
      </c>
      <c r="S122">
        <f>'2015_2020 Int_Confianca'!Q55</f>
        <v>2.3E-3</v>
      </c>
      <c r="T122">
        <f>'2015_2020 Int_Confianca'!R55</f>
        <v>2.2000000000000001E-3</v>
      </c>
      <c r="U122">
        <f>'2015_2020 Int_Confianca'!S55</f>
        <v>2.3E-3</v>
      </c>
      <c r="V122">
        <f>'2015_2020 Int_Confianca'!T55</f>
        <v>2.0999999999999999E-3</v>
      </c>
      <c r="W122">
        <f>'2015_2020 Int_Confianca'!U55</f>
        <v>2.2000000000000001E-3</v>
      </c>
      <c r="X122">
        <f>'2015_2020 Int_Confianca'!V55</f>
        <v>2.2000000000000001E-3</v>
      </c>
      <c r="Y122">
        <f>'2015_2020 Int_Confianca'!W55</f>
        <v>2.0999999999999999E-3</v>
      </c>
      <c r="Z122">
        <f>'2015_2020 Int_Confianca'!X55</f>
        <v>2E-3</v>
      </c>
      <c r="AA122">
        <f>'2015_2020 Int_Confianca'!Y55</f>
        <v>2.2000000000000001E-3</v>
      </c>
      <c r="AB122">
        <f>'2015_2020 Int_Confianca'!Z55</f>
        <v>2E-3</v>
      </c>
      <c r="AC122">
        <f>'2015_2020 Int_Confianca'!AA55</f>
        <v>1.9E-3</v>
      </c>
      <c r="AD122">
        <f>'2015_2020 Int_Confianca'!AB55</f>
        <v>1.8E-3</v>
      </c>
      <c r="AE122">
        <f>'2015_2020 Int_Confianca'!AC55</f>
        <v>2.0999999999999999E-3</v>
      </c>
      <c r="AF122">
        <f>'2015_2020 Int_Confianca'!AD55</f>
        <v>2.0999999999999999E-3</v>
      </c>
      <c r="AG122">
        <f>'2015_2020 Int_Confianca'!AE55</f>
        <v>2.2000000000000001E-3</v>
      </c>
      <c r="AH122">
        <f>'2015_2020 Int_Confianca'!AF55</f>
        <v>2.3E-3</v>
      </c>
      <c r="AI122">
        <f>'2015_2020 Int_Confianca'!AG55</f>
        <v>2.5000000000000001E-3</v>
      </c>
      <c r="AJ122">
        <f>'2015_2020 Int_Confianca'!AH55</f>
        <v>2.5999999999999999E-3</v>
      </c>
      <c r="AK122">
        <f>'2015_2020 Int_Confianca'!AI55</f>
        <v>2.7000000000000001E-3</v>
      </c>
      <c r="AL122">
        <f>'2015_2020 Int_Confianca'!AJ55</f>
        <v>2.8E-3</v>
      </c>
      <c r="AM122">
        <f>'2015_2020 Int_Confianca'!AK55</f>
        <v>2.7000000000000001E-3</v>
      </c>
      <c r="AN122">
        <f>'2015_2020 Int_Confianca'!AL55</f>
        <v>2.7000000000000001E-3</v>
      </c>
      <c r="AO122">
        <f>'2015_2020 Int_Confianca'!AM55</f>
        <v>2.7000000000000001E-3</v>
      </c>
      <c r="AP122">
        <f>'2015_2020 Int_Confianca'!AN55</f>
        <v>2.5999999999999999E-3</v>
      </c>
      <c r="AQ122">
        <f>'2015_2020 Int_Confianca'!AO55</f>
        <v>2.5000000000000001E-3</v>
      </c>
      <c r="AR122">
        <f>'2015_2020 Int_Confianca'!AP55</f>
        <v>2.5000000000000001E-3</v>
      </c>
      <c r="AS122">
        <f>'2015_2020 Int_Confianca'!AQ55</f>
        <v>2.2000000000000001E-3</v>
      </c>
      <c r="AT122">
        <f>'2015_2020 Int_Confianca'!AR55</f>
        <v>2.0999999999999999E-3</v>
      </c>
      <c r="AU122">
        <f>'2015_2020 Int_Confianca'!AS55</f>
        <v>2.0999999999999999E-3</v>
      </c>
      <c r="AV122">
        <f>'2015_2020 Int_Confianca'!AT55</f>
        <v>2.3E-3</v>
      </c>
      <c r="AW122">
        <f>'2015_2020 Int_Confianca'!AU55</f>
        <v>2.3999999999999998E-3</v>
      </c>
      <c r="AX122">
        <f>'2015_2020 Int_Confianca'!AV55</f>
        <v>2.3999999999999998E-3</v>
      </c>
      <c r="AY122">
        <f>'2015_2020 Int_Confianca'!AW55</f>
        <v>2.3999999999999998E-3</v>
      </c>
      <c r="AZ122">
        <f>'2015_2020 Int_Confianca'!AX55</f>
        <v>2.3999999999999998E-3</v>
      </c>
      <c r="BA122">
        <f>'2015_2020 Int_Confianca'!AY55</f>
        <v>2.3999999999999998E-3</v>
      </c>
      <c r="BB122">
        <f>'2015_2020 Int_Confianca'!AZ55</f>
        <v>2.3999999999999998E-3</v>
      </c>
      <c r="BC122">
        <f>'2015_2020 Int_Confianca'!BA55</f>
        <v>2.3E-3</v>
      </c>
      <c r="BD122">
        <f>'2015_2020 Int_Confianca'!BB55</f>
        <v>2.0999999999999999E-3</v>
      </c>
      <c r="BE122">
        <f>'2015_2020 Int_Confianca'!BC55</f>
        <v>2E-3</v>
      </c>
      <c r="BF122">
        <f>'2015_2020 Int_Confianca'!BD55</f>
        <v>2.0999999999999999E-3</v>
      </c>
      <c r="BG122">
        <f>'2015_2020 Int_Confianca'!BE55</f>
        <v>2E-3</v>
      </c>
      <c r="BH122">
        <f>'2015_2020 Int_Confianca'!BF55</f>
        <v>2E-3</v>
      </c>
      <c r="BI122">
        <f>'2015_2020 Int_Confianca'!BG55</f>
        <v>2.0999999999999999E-3</v>
      </c>
      <c r="BJ122">
        <f>'2015_2020 Int_Confianca'!BH55</f>
        <v>2.0999999999999999E-3</v>
      </c>
      <c r="BK122">
        <f>'2015_2020 Int_Confianca'!BI55</f>
        <v>2E-3</v>
      </c>
      <c r="BL122">
        <f>'2015_2020 Int_Confianca'!BJ55</f>
        <v>2E-3</v>
      </c>
      <c r="BM122">
        <f>'2015_2020 Int_Confianca'!BK55</f>
        <v>1.9E-3</v>
      </c>
      <c r="BN122">
        <f>'2015_2020 Int_Confianca'!BL55</f>
        <v>1.9E-3</v>
      </c>
      <c r="BO122">
        <f>'2015_2020 Int_Confianca'!BM55</f>
        <v>1.8E-3</v>
      </c>
      <c r="BP122">
        <f>'2015_2020 Int_Confianca'!BN55</f>
        <v>1.6999999999999999E-3</v>
      </c>
      <c r="BQ122">
        <f>'2015_2020 Int_Confianca'!BO55</f>
        <v>1.6000000000000001E-3</v>
      </c>
      <c r="BR122">
        <f>'2015_2020 Int_Confianca'!BP55</f>
        <v>1.6000000000000001E-3</v>
      </c>
      <c r="BS122">
        <f>'2015_2020 Int_Confianca'!BQ55</f>
        <v>1.6999999999999999E-3</v>
      </c>
      <c r="BT122">
        <f>'2015_2020 Int_Confianca'!BR55</f>
        <v>1.6000000000000001E-3</v>
      </c>
      <c r="BU122">
        <f>'2015_2020 Int_Confianca'!BS55</f>
        <v>1.8E-3</v>
      </c>
      <c r="BV122">
        <f>'2015_2020 Int_Confianca'!BT55</f>
        <v>1.6999999999999999E-3</v>
      </c>
      <c r="BW122">
        <f>'2015_2020 Int_Confianca'!BU55</f>
        <v>1.8E-3</v>
      </c>
      <c r="BX122">
        <f>'2015_2020 Int_Confianca'!BV55</f>
        <v>1.6999999999999999E-3</v>
      </c>
      <c r="BY122">
        <f>'2015_2020 Int_Confianca'!BW55</f>
        <v>1.6000000000000001E-3</v>
      </c>
      <c r="BZ122">
        <f>'2015_2020 Int_Confianca'!BX55</f>
        <v>1.4E-3</v>
      </c>
      <c r="CA122">
        <f>'2015_2020 Int_Confianca'!BY55</f>
        <v>1.4E-3</v>
      </c>
      <c r="CB122">
        <f>'2015_2020 Int_Confianca'!BZ55</f>
        <v>1E-3</v>
      </c>
      <c r="CC122">
        <f>'2015_2020 Int_Confianca'!CA55</f>
        <v>1E-3</v>
      </c>
      <c r="CD122">
        <f>'2015_2020 Int_Confianca'!CB55</f>
        <v>1.1999999999999999E-3</v>
      </c>
      <c r="CE122">
        <f>'2015_2020 Int_Confianca'!CC55</f>
        <v>1.4E-3</v>
      </c>
      <c r="CF122">
        <f>'2015_2020 Int_Confianca'!CD55</f>
        <v>1.4E-3</v>
      </c>
      <c r="CG122">
        <f>'2015_2020 Int_Confianca'!CE55</f>
        <v>1.1999999999999999E-3</v>
      </c>
      <c r="CH122">
        <f>'2015_2020 Int_Confianca'!CF55</f>
        <v>1E-3</v>
      </c>
      <c r="CI122">
        <f>'2015_2020 Int_Confianca'!CG55</f>
        <v>1E-3</v>
      </c>
      <c r="CJ122">
        <f>'2015_2020 Int_Confianca'!CH55</f>
        <v>1E-3</v>
      </c>
      <c r="CK122">
        <f>'2015_2020 Int_Confianca'!CI55</f>
        <v>8.9999999999999998E-4</v>
      </c>
      <c r="CL122">
        <f>'2015_2020 Int_Confianca'!CJ55</f>
        <v>5.0000000000000001E-4</v>
      </c>
      <c r="CM122">
        <f>'2015_2020 Int_Confianca'!CK55</f>
        <v>6.9999999999999999E-4</v>
      </c>
      <c r="CN122">
        <f>'2015_2020 Int_Confianca'!CL55</f>
        <v>6.9999999999999999E-4</v>
      </c>
      <c r="CO122">
        <f>'2015_2020 Int_Confianca'!CM55</f>
        <v>5.9999999999999995E-4</v>
      </c>
      <c r="CP122">
        <f>'2015_2020 Int_Confianca'!CN55</f>
        <v>5.0000000000000001E-4</v>
      </c>
      <c r="CQ122">
        <f>'2015_2020 Int_Confianca'!CO55</f>
        <v>0</v>
      </c>
      <c r="CR122">
        <f>'2015_2020 Int_Confianca'!CP55</f>
        <v>0</v>
      </c>
      <c r="CS122">
        <f>'2015_2020 Int_Confianca'!CQ55</f>
        <v>-2.0000000000000001E-4</v>
      </c>
      <c r="CT122">
        <f>'2015_2020 Int_Confianca'!CR55</f>
        <v>-2.0000000000000001E-4</v>
      </c>
      <c r="CU122">
        <f>'2015_2020 Int_Confianca'!CS55</f>
        <v>-4.0000000000000002E-4</v>
      </c>
      <c r="CV122">
        <f>'2015_2020 Int_Confianca'!CT55</f>
        <v>-6.9999999999999999E-4</v>
      </c>
      <c r="CW122">
        <f>'2015_2020 Int_Confianca'!CU55</f>
        <v>-1E-3</v>
      </c>
      <c r="CX122">
        <f>'2015_2020 Int_Confianca'!CV55</f>
        <v>-8.9999999999999998E-4</v>
      </c>
    </row>
    <row r="123" spans="1:102" x14ac:dyDescent="0.2">
      <c r="A123" t="s">
        <v>5922</v>
      </c>
      <c r="B123" t="s">
        <v>218</v>
      </c>
      <c r="C123" t="s">
        <v>221</v>
      </c>
      <c r="D123">
        <f>'2015_2020 Int_Confianca'!B56</f>
        <v>1.54E-2</v>
      </c>
      <c r="E123">
        <f>'2015_2020 Int_Confianca'!C56</f>
        <v>1.9300000000000001E-2</v>
      </c>
      <c r="F123">
        <f>'2015_2020 Int_Confianca'!D56</f>
        <v>1.5900000000000001E-2</v>
      </c>
      <c r="G123">
        <f>'2015_2020 Int_Confianca'!E56</f>
        <v>1.5100000000000001E-2</v>
      </c>
      <c r="H123">
        <f>'2015_2020 Int_Confianca'!F56</f>
        <v>1.3100000000000001E-2</v>
      </c>
      <c r="I123">
        <f>'2015_2020 Int_Confianca'!G56</f>
        <v>1.4500000000000001E-2</v>
      </c>
      <c r="J123">
        <f>'2015_2020 Int_Confianca'!H56</f>
        <v>1.26E-2</v>
      </c>
      <c r="K123">
        <f>'2015_2020 Int_Confianca'!I56</f>
        <v>1.0999999999999999E-2</v>
      </c>
      <c r="L123">
        <f>'2015_2020 Int_Confianca'!J56</f>
        <v>1.0999999999999999E-2</v>
      </c>
      <c r="M123">
        <f>'2015_2020 Int_Confianca'!K56</f>
        <v>8.6E-3</v>
      </c>
      <c r="N123">
        <f>'2015_2020 Int_Confianca'!L56</f>
        <v>6.7000000000000002E-3</v>
      </c>
      <c r="O123">
        <f>'2015_2020 Int_Confianca'!M56</f>
        <v>5.4999999999999997E-3</v>
      </c>
      <c r="P123">
        <f>'2015_2020 Int_Confianca'!N56</f>
        <v>4.8999999999999998E-3</v>
      </c>
      <c r="Q123">
        <f>'2015_2020 Int_Confianca'!O56</f>
        <v>4.4000000000000003E-3</v>
      </c>
      <c r="R123">
        <f>'2015_2020 Int_Confianca'!P56</f>
        <v>4.4999999999999997E-3</v>
      </c>
      <c r="S123">
        <f>'2015_2020 Int_Confianca'!Q56</f>
        <v>4.3E-3</v>
      </c>
      <c r="T123">
        <f>'2015_2020 Int_Confianca'!R56</f>
        <v>4.1999999999999997E-3</v>
      </c>
      <c r="U123">
        <f>'2015_2020 Int_Confianca'!S56</f>
        <v>4.4000000000000003E-3</v>
      </c>
      <c r="V123">
        <f>'2015_2020 Int_Confianca'!T56</f>
        <v>4.1000000000000003E-3</v>
      </c>
      <c r="W123">
        <f>'2015_2020 Int_Confianca'!U56</f>
        <v>4.1999999999999997E-3</v>
      </c>
      <c r="X123">
        <f>'2015_2020 Int_Confianca'!V56</f>
        <v>4.1999999999999997E-3</v>
      </c>
      <c r="Y123">
        <f>'2015_2020 Int_Confianca'!W56</f>
        <v>4.0000000000000001E-3</v>
      </c>
      <c r="Z123">
        <f>'2015_2020 Int_Confianca'!X56</f>
        <v>3.8E-3</v>
      </c>
      <c r="AA123">
        <f>'2015_2020 Int_Confianca'!Y56</f>
        <v>4.1000000000000003E-3</v>
      </c>
      <c r="AB123">
        <f>'2015_2020 Int_Confianca'!Z56</f>
        <v>3.8E-3</v>
      </c>
      <c r="AC123">
        <f>'2015_2020 Int_Confianca'!AA56</f>
        <v>3.7000000000000002E-3</v>
      </c>
      <c r="AD123">
        <f>'2015_2020 Int_Confianca'!AB56</f>
        <v>3.5000000000000001E-3</v>
      </c>
      <c r="AE123">
        <f>'2015_2020 Int_Confianca'!AC56</f>
        <v>4.0000000000000001E-3</v>
      </c>
      <c r="AF123">
        <f>'2015_2020 Int_Confianca'!AD56</f>
        <v>4.0000000000000001E-3</v>
      </c>
      <c r="AG123">
        <f>'2015_2020 Int_Confianca'!AE56</f>
        <v>4.1999999999999997E-3</v>
      </c>
      <c r="AH123">
        <f>'2015_2020 Int_Confianca'!AF56</f>
        <v>4.4000000000000003E-3</v>
      </c>
      <c r="AI123">
        <f>'2015_2020 Int_Confianca'!AG56</f>
        <v>4.5999999999999999E-3</v>
      </c>
      <c r="AJ123">
        <f>'2015_2020 Int_Confianca'!AH56</f>
        <v>4.8999999999999998E-3</v>
      </c>
      <c r="AK123">
        <f>'2015_2020 Int_Confianca'!AI56</f>
        <v>5.1000000000000004E-3</v>
      </c>
      <c r="AL123">
        <f>'2015_2020 Int_Confianca'!AJ56</f>
        <v>5.1999999999999998E-3</v>
      </c>
      <c r="AM123">
        <f>'2015_2020 Int_Confianca'!AK56</f>
        <v>5.1000000000000004E-3</v>
      </c>
      <c r="AN123">
        <f>'2015_2020 Int_Confianca'!AL56</f>
        <v>5.1000000000000004E-3</v>
      </c>
      <c r="AO123">
        <f>'2015_2020 Int_Confianca'!AM56</f>
        <v>5.0000000000000001E-3</v>
      </c>
      <c r="AP123">
        <f>'2015_2020 Int_Confianca'!AN56</f>
        <v>4.8999999999999998E-3</v>
      </c>
      <c r="AQ123">
        <f>'2015_2020 Int_Confianca'!AO56</f>
        <v>4.5999999999999999E-3</v>
      </c>
      <c r="AR123">
        <f>'2015_2020 Int_Confianca'!AP56</f>
        <v>4.5999999999999999E-3</v>
      </c>
      <c r="AS123">
        <f>'2015_2020 Int_Confianca'!AQ56</f>
        <v>4.1999999999999997E-3</v>
      </c>
      <c r="AT123">
        <f>'2015_2020 Int_Confianca'!AR56</f>
        <v>4.0000000000000001E-3</v>
      </c>
      <c r="AU123">
        <f>'2015_2020 Int_Confianca'!AS56</f>
        <v>4.0000000000000001E-3</v>
      </c>
      <c r="AV123">
        <f>'2015_2020 Int_Confianca'!AT56</f>
        <v>4.1999999999999997E-3</v>
      </c>
      <c r="AW123">
        <f>'2015_2020 Int_Confianca'!AU56</f>
        <v>4.3E-3</v>
      </c>
      <c r="AX123">
        <f>'2015_2020 Int_Confianca'!AV56</f>
        <v>4.4999999999999997E-3</v>
      </c>
      <c r="AY123">
        <f>'2015_2020 Int_Confianca'!AW56</f>
        <v>4.4999999999999997E-3</v>
      </c>
      <c r="AZ123">
        <f>'2015_2020 Int_Confianca'!AX56</f>
        <v>4.4000000000000003E-3</v>
      </c>
      <c r="BA123">
        <f>'2015_2020 Int_Confianca'!AY56</f>
        <v>4.4000000000000003E-3</v>
      </c>
      <c r="BB123">
        <f>'2015_2020 Int_Confianca'!AZ56</f>
        <v>4.4000000000000003E-3</v>
      </c>
      <c r="BC123">
        <f>'2015_2020 Int_Confianca'!BA56</f>
        <v>4.3E-3</v>
      </c>
      <c r="BD123">
        <f>'2015_2020 Int_Confianca'!BB56</f>
        <v>4.0000000000000001E-3</v>
      </c>
      <c r="BE123">
        <f>'2015_2020 Int_Confianca'!BC56</f>
        <v>3.8E-3</v>
      </c>
      <c r="BF123">
        <f>'2015_2020 Int_Confianca'!BD56</f>
        <v>3.7000000000000002E-3</v>
      </c>
      <c r="BG123">
        <f>'2015_2020 Int_Confianca'!BE56</f>
        <v>3.5999999999999999E-3</v>
      </c>
      <c r="BH123">
        <f>'2015_2020 Int_Confianca'!BF56</f>
        <v>3.7000000000000002E-3</v>
      </c>
      <c r="BI123">
        <f>'2015_2020 Int_Confianca'!BG56</f>
        <v>3.7000000000000002E-3</v>
      </c>
      <c r="BJ123">
        <f>'2015_2020 Int_Confianca'!BH56</f>
        <v>3.7000000000000002E-3</v>
      </c>
      <c r="BK123">
        <f>'2015_2020 Int_Confianca'!BI56</f>
        <v>3.5999999999999999E-3</v>
      </c>
      <c r="BL123">
        <f>'2015_2020 Int_Confianca'!BJ56</f>
        <v>3.5999999999999999E-3</v>
      </c>
      <c r="BM123">
        <f>'2015_2020 Int_Confianca'!BK56</f>
        <v>3.5000000000000001E-3</v>
      </c>
      <c r="BN123">
        <f>'2015_2020 Int_Confianca'!BL56</f>
        <v>3.3999999999999998E-3</v>
      </c>
      <c r="BO123">
        <f>'2015_2020 Int_Confianca'!BM56</f>
        <v>3.3E-3</v>
      </c>
      <c r="BP123">
        <f>'2015_2020 Int_Confianca'!BN56</f>
        <v>3.0999999999999999E-3</v>
      </c>
      <c r="BQ123">
        <f>'2015_2020 Int_Confianca'!BO56</f>
        <v>2.8999999999999998E-3</v>
      </c>
      <c r="BR123">
        <f>'2015_2020 Int_Confianca'!BP56</f>
        <v>2.8999999999999998E-3</v>
      </c>
      <c r="BS123">
        <f>'2015_2020 Int_Confianca'!BQ56</f>
        <v>3.0000000000000001E-3</v>
      </c>
      <c r="BT123">
        <f>'2015_2020 Int_Confianca'!BR56</f>
        <v>3.0000000000000001E-3</v>
      </c>
      <c r="BU123">
        <f>'2015_2020 Int_Confianca'!BS56</f>
        <v>3.2000000000000002E-3</v>
      </c>
      <c r="BV123">
        <f>'2015_2020 Int_Confianca'!BT56</f>
        <v>3.0000000000000001E-3</v>
      </c>
      <c r="BW123">
        <f>'2015_2020 Int_Confianca'!BU56</f>
        <v>3.2000000000000002E-3</v>
      </c>
      <c r="BX123">
        <f>'2015_2020 Int_Confianca'!BV56</f>
        <v>3.0000000000000001E-3</v>
      </c>
      <c r="BY123">
        <f>'2015_2020 Int_Confianca'!BW56</f>
        <v>2.8E-3</v>
      </c>
      <c r="BZ123">
        <f>'2015_2020 Int_Confianca'!BX56</f>
        <v>2.5000000000000001E-3</v>
      </c>
      <c r="CA123">
        <f>'2015_2020 Int_Confianca'!BY56</f>
        <v>2.5000000000000001E-3</v>
      </c>
      <c r="CB123">
        <f>'2015_2020 Int_Confianca'!BZ56</f>
        <v>1.9E-3</v>
      </c>
      <c r="CC123">
        <f>'2015_2020 Int_Confianca'!CA56</f>
        <v>1.9E-3</v>
      </c>
      <c r="CD123">
        <f>'2015_2020 Int_Confianca'!CB56</f>
        <v>2E-3</v>
      </c>
      <c r="CE123">
        <f>'2015_2020 Int_Confianca'!CC56</f>
        <v>2.3999999999999998E-3</v>
      </c>
      <c r="CF123">
        <f>'2015_2020 Int_Confianca'!CD56</f>
        <v>2.3999999999999998E-3</v>
      </c>
      <c r="CG123">
        <f>'2015_2020 Int_Confianca'!CE56</f>
        <v>2.2000000000000001E-3</v>
      </c>
      <c r="CH123">
        <f>'2015_2020 Int_Confianca'!CF56</f>
        <v>1.9E-3</v>
      </c>
      <c r="CI123">
        <f>'2015_2020 Int_Confianca'!CG56</f>
        <v>1.8E-3</v>
      </c>
      <c r="CJ123">
        <f>'2015_2020 Int_Confianca'!CH56</f>
        <v>1.8E-3</v>
      </c>
      <c r="CK123">
        <f>'2015_2020 Int_Confianca'!CI56</f>
        <v>1.6999999999999999E-3</v>
      </c>
      <c r="CL123">
        <f>'2015_2020 Int_Confianca'!CJ56</f>
        <v>1.1999999999999999E-3</v>
      </c>
      <c r="CM123">
        <f>'2015_2020 Int_Confianca'!CK56</f>
        <v>1.5E-3</v>
      </c>
      <c r="CN123">
        <f>'2015_2020 Int_Confianca'!CL56</f>
        <v>1.6000000000000001E-3</v>
      </c>
      <c r="CO123">
        <f>'2015_2020 Int_Confianca'!CM56</f>
        <v>1.5E-3</v>
      </c>
      <c r="CP123">
        <f>'2015_2020 Int_Confianca'!CN56</f>
        <v>1.2999999999999999E-3</v>
      </c>
      <c r="CQ123">
        <f>'2015_2020 Int_Confianca'!CO56</f>
        <v>8.0000000000000004E-4</v>
      </c>
      <c r="CR123">
        <f>'2015_2020 Int_Confianca'!CP56</f>
        <v>1.1000000000000001E-3</v>
      </c>
      <c r="CS123">
        <f>'2015_2020 Int_Confianca'!CQ56</f>
        <v>5.9999999999999995E-4</v>
      </c>
      <c r="CT123">
        <f>'2015_2020 Int_Confianca'!CR56</f>
        <v>1E-3</v>
      </c>
      <c r="CU123">
        <f>'2015_2020 Int_Confianca'!CS56</f>
        <v>1E-3</v>
      </c>
      <c r="CV123">
        <f>'2015_2020 Int_Confianca'!CT56</f>
        <v>6.9999999999999999E-4</v>
      </c>
      <c r="CW123">
        <f>'2015_2020 Int_Confianca'!CU56</f>
        <v>5.0000000000000001E-4</v>
      </c>
      <c r="CX123">
        <f>'2015_2020 Int_Confianca'!CV56</f>
        <v>8.0000000000000004E-4</v>
      </c>
    </row>
    <row r="124" spans="1:102" x14ac:dyDescent="0.2">
      <c r="A124" t="s">
        <v>5923</v>
      </c>
      <c r="B124" t="s">
        <v>218</v>
      </c>
      <c r="C124" t="s">
        <v>221</v>
      </c>
      <c r="D124">
        <f>'2015_2020 Int_Confianca'!B57</f>
        <v>5.7999999999999996E-3</v>
      </c>
      <c r="E124">
        <f>'2015_2020 Int_Confianca'!C57</f>
        <v>7.6E-3</v>
      </c>
      <c r="F124">
        <f>'2015_2020 Int_Confianca'!D57</f>
        <v>5.0000000000000001E-3</v>
      </c>
      <c r="G124">
        <f>'2015_2020 Int_Confianca'!E57</f>
        <v>4.5999999999999999E-3</v>
      </c>
      <c r="H124">
        <f>'2015_2020 Int_Confianca'!F57</f>
        <v>2.7000000000000001E-3</v>
      </c>
      <c r="I124">
        <f>'2015_2020 Int_Confianca'!G57</f>
        <v>3.2000000000000002E-3</v>
      </c>
      <c r="J124">
        <f>'2015_2020 Int_Confianca'!H57</f>
        <v>1.8E-3</v>
      </c>
      <c r="K124">
        <f>'2015_2020 Int_Confianca'!I57</f>
        <v>1.5E-3</v>
      </c>
      <c r="L124">
        <f>'2015_2020 Int_Confianca'!J57</f>
        <v>1.1999999999999999E-3</v>
      </c>
      <c r="M124">
        <f>'2015_2020 Int_Confianca'!K57</f>
        <v>-1E-4</v>
      </c>
      <c r="N124">
        <f>'2015_2020 Int_Confianca'!L57</f>
        <v>-2.0000000000000001E-4</v>
      </c>
      <c r="O124">
        <f>'2015_2020 Int_Confianca'!M57</f>
        <v>-2.0000000000000001E-4</v>
      </c>
      <c r="P124">
        <f>'2015_2020 Int_Confianca'!N57</f>
        <v>-4.0000000000000002E-4</v>
      </c>
      <c r="Q124">
        <f>'2015_2020 Int_Confianca'!O57</f>
        <v>-5.9999999999999995E-4</v>
      </c>
      <c r="R124">
        <f>'2015_2020 Int_Confianca'!P57</f>
        <v>-1E-3</v>
      </c>
      <c r="S124">
        <f>'2015_2020 Int_Confianca'!Q57</f>
        <v>-1.1000000000000001E-3</v>
      </c>
      <c r="T124">
        <f>'2015_2020 Int_Confianca'!R57</f>
        <v>-1E-3</v>
      </c>
      <c r="U124">
        <f>'2015_2020 Int_Confianca'!S57</f>
        <v>-8.0000000000000004E-4</v>
      </c>
      <c r="V124">
        <f>'2015_2020 Int_Confianca'!T57</f>
        <v>-6.9999999999999999E-4</v>
      </c>
      <c r="W124">
        <f>'2015_2020 Int_Confianca'!U57</f>
        <v>-5.0000000000000001E-4</v>
      </c>
      <c r="X124">
        <f>'2015_2020 Int_Confianca'!V57</f>
        <v>-5.0000000000000001E-4</v>
      </c>
      <c r="Y124">
        <f>'2015_2020 Int_Confianca'!W57</f>
        <v>-5.9999999999999995E-4</v>
      </c>
      <c r="Z124">
        <f>'2015_2020 Int_Confianca'!X57</f>
        <v>-8.0000000000000004E-4</v>
      </c>
      <c r="AA124">
        <f>'2015_2020 Int_Confianca'!Y57</f>
        <v>-8.0000000000000004E-4</v>
      </c>
      <c r="AB124">
        <f>'2015_2020 Int_Confianca'!Z57</f>
        <v>-6.9999999999999999E-4</v>
      </c>
      <c r="AC124">
        <f>'2015_2020 Int_Confianca'!AA57</f>
        <v>-5.9999999999999995E-4</v>
      </c>
      <c r="AD124">
        <f>'2015_2020 Int_Confianca'!AB57</f>
        <v>-5.0000000000000001E-4</v>
      </c>
      <c r="AE124">
        <f>'2015_2020 Int_Confianca'!AC57</f>
        <v>-5.0000000000000001E-4</v>
      </c>
      <c r="AF124">
        <f>'2015_2020 Int_Confianca'!AD57</f>
        <v>-4.0000000000000002E-4</v>
      </c>
      <c r="AG124">
        <f>'2015_2020 Int_Confianca'!AE57</f>
        <v>-2.9999999999999997E-4</v>
      </c>
      <c r="AH124">
        <f>'2015_2020 Int_Confianca'!AF57</f>
        <v>-4.0000000000000002E-4</v>
      </c>
      <c r="AI124">
        <f>'2015_2020 Int_Confianca'!AG57</f>
        <v>-5.0000000000000001E-4</v>
      </c>
      <c r="AJ124">
        <f>'2015_2020 Int_Confianca'!AH57</f>
        <v>-5.9999999999999995E-4</v>
      </c>
      <c r="AK124">
        <f>'2015_2020 Int_Confianca'!AI57</f>
        <v>-8.9999999999999998E-4</v>
      </c>
      <c r="AL124">
        <f>'2015_2020 Int_Confianca'!AJ57</f>
        <v>-8.9999999999999998E-4</v>
      </c>
      <c r="AM124">
        <f>'2015_2020 Int_Confianca'!AK57</f>
        <v>-8.0000000000000004E-4</v>
      </c>
      <c r="AN124">
        <f>'2015_2020 Int_Confianca'!AL57</f>
        <v>-6.9999999999999999E-4</v>
      </c>
      <c r="AO124">
        <f>'2015_2020 Int_Confianca'!AM57</f>
        <v>-5.9999999999999995E-4</v>
      </c>
      <c r="AP124">
        <f>'2015_2020 Int_Confianca'!AN57</f>
        <v>-6.9999999999999999E-4</v>
      </c>
      <c r="AQ124">
        <f>'2015_2020 Int_Confianca'!AO57</f>
        <v>-8.0000000000000004E-4</v>
      </c>
      <c r="AR124">
        <f>'2015_2020 Int_Confianca'!AP57</f>
        <v>-8.0000000000000004E-4</v>
      </c>
      <c r="AS124">
        <f>'2015_2020 Int_Confianca'!AQ57</f>
        <v>-8.0000000000000004E-4</v>
      </c>
      <c r="AT124">
        <f>'2015_2020 Int_Confianca'!AR57</f>
        <v>-8.0000000000000004E-4</v>
      </c>
      <c r="AU124">
        <f>'2015_2020 Int_Confianca'!AS57</f>
        <v>-8.0000000000000004E-4</v>
      </c>
      <c r="AV124">
        <f>'2015_2020 Int_Confianca'!AT57</f>
        <v>-5.0000000000000001E-4</v>
      </c>
      <c r="AW124">
        <f>'2015_2020 Int_Confianca'!AU57</f>
        <v>-6.9999999999999999E-4</v>
      </c>
      <c r="AX124">
        <f>'2015_2020 Int_Confianca'!AV57</f>
        <v>-8.0000000000000004E-4</v>
      </c>
      <c r="AY124">
        <f>'2015_2020 Int_Confianca'!AW57</f>
        <v>-5.9999999999999995E-4</v>
      </c>
      <c r="AZ124">
        <f>'2015_2020 Int_Confianca'!AX57</f>
        <v>-5.9999999999999995E-4</v>
      </c>
      <c r="BA124">
        <f>'2015_2020 Int_Confianca'!AY57</f>
        <v>-5.9999999999999995E-4</v>
      </c>
      <c r="BB124">
        <f>'2015_2020 Int_Confianca'!AZ57</f>
        <v>-8.9999999999999998E-4</v>
      </c>
      <c r="BC124">
        <f>'2015_2020 Int_Confianca'!BA57</f>
        <v>-8.0000000000000004E-4</v>
      </c>
      <c r="BD124">
        <f>'2015_2020 Int_Confianca'!BB57</f>
        <v>-5.0000000000000001E-4</v>
      </c>
      <c r="BE124">
        <f>'2015_2020 Int_Confianca'!BC57</f>
        <v>-2.9999999999999997E-4</v>
      </c>
      <c r="BF124">
        <f>'2015_2020 Int_Confianca'!BD57</f>
        <v>0</v>
      </c>
      <c r="BG124">
        <f>'2015_2020 Int_Confianca'!BE57</f>
        <v>-1E-4</v>
      </c>
      <c r="BH124">
        <f>'2015_2020 Int_Confianca'!BF57</f>
        <v>-2.9999999999999997E-4</v>
      </c>
      <c r="BI124">
        <f>'2015_2020 Int_Confianca'!BG57</f>
        <v>-2.0000000000000001E-4</v>
      </c>
      <c r="BJ124">
        <f>'2015_2020 Int_Confianca'!BH57</f>
        <v>-2.0000000000000001E-4</v>
      </c>
      <c r="BK124">
        <f>'2015_2020 Int_Confianca'!BI57</f>
        <v>-5.0000000000000001E-4</v>
      </c>
      <c r="BL124">
        <f>'2015_2020 Int_Confianca'!BJ57</f>
        <v>-6.9999999999999999E-4</v>
      </c>
      <c r="BM124">
        <f>'2015_2020 Int_Confianca'!BK57</f>
        <v>-5.0000000000000001E-4</v>
      </c>
      <c r="BN124">
        <f>'2015_2020 Int_Confianca'!BL57</f>
        <v>-5.0000000000000001E-4</v>
      </c>
      <c r="BO124">
        <f>'2015_2020 Int_Confianca'!BM57</f>
        <v>-5.9999999999999995E-4</v>
      </c>
      <c r="BP124">
        <f>'2015_2020 Int_Confianca'!BN57</f>
        <v>-4.0000000000000002E-4</v>
      </c>
      <c r="BQ124">
        <f>'2015_2020 Int_Confianca'!BO57</f>
        <v>-2.0000000000000001E-4</v>
      </c>
      <c r="BR124">
        <f>'2015_2020 Int_Confianca'!BP57</f>
        <v>2.9999999999999997E-4</v>
      </c>
      <c r="BS124">
        <f>'2015_2020 Int_Confianca'!BQ57</f>
        <v>2.0000000000000001E-4</v>
      </c>
      <c r="BT124">
        <f>'2015_2020 Int_Confianca'!BR57</f>
        <v>-1E-4</v>
      </c>
      <c r="BU124">
        <f>'2015_2020 Int_Confianca'!BS57</f>
        <v>0</v>
      </c>
      <c r="BV124">
        <f>'2015_2020 Int_Confianca'!BT57</f>
        <v>-2.9999999999999997E-4</v>
      </c>
      <c r="BW124">
        <f>'2015_2020 Int_Confianca'!BU57</f>
        <v>-8.0000000000000004E-4</v>
      </c>
      <c r="BX124">
        <f>'2015_2020 Int_Confianca'!BV57</f>
        <v>-5.0000000000000001E-4</v>
      </c>
      <c r="BY124">
        <f>'2015_2020 Int_Confianca'!BW57</f>
        <v>-2.0000000000000001E-4</v>
      </c>
      <c r="BZ124">
        <f>'2015_2020 Int_Confianca'!BX57</f>
        <v>-5.0000000000000001E-4</v>
      </c>
      <c r="CA124">
        <f>'2015_2020 Int_Confianca'!BY57</f>
        <v>-4.0000000000000002E-4</v>
      </c>
      <c r="CB124">
        <f>'2015_2020 Int_Confianca'!BZ57</f>
        <v>-2.0000000000000001E-4</v>
      </c>
      <c r="CC124">
        <f>'2015_2020 Int_Confianca'!CA57</f>
        <v>-2.0000000000000001E-4</v>
      </c>
      <c r="CD124">
        <f>'2015_2020 Int_Confianca'!CB57</f>
        <v>-1E-4</v>
      </c>
      <c r="CE124">
        <f>'2015_2020 Int_Confianca'!CC57</f>
        <v>-5.0000000000000001E-4</v>
      </c>
      <c r="CF124">
        <f>'2015_2020 Int_Confianca'!CD57</f>
        <v>-5.9999999999999995E-4</v>
      </c>
      <c r="CG124">
        <f>'2015_2020 Int_Confianca'!CE57</f>
        <v>-1.1000000000000001E-3</v>
      </c>
      <c r="CH124">
        <f>'2015_2020 Int_Confianca'!CF57</f>
        <v>-1.4E-3</v>
      </c>
      <c r="CI124">
        <f>'2015_2020 Int_Confianca'!CG57</f>
        <v>-1.2999999999999999E-3</v>
      </c>
      <c r="CJ124">
        <f>'2015_2020 Int_Confianca'!CH57</f>
        <v>-2.2000000000000001E-3</v>
      </c>
      <c r="CK124">
        <f>'2015_2020 Int_Confianca'!CI57</f>
        <v>-3.0000000000000001E-3</v>
      </c>
      <c r="CL124">
        <f>'2015_2020 Int_Confianca'!CJ57</f>
        <v>-3.0999999999999999E-3</v>
      </c>
      <c r="CM124">
        <f>'2015_2020 Int_Confianca'!CK57</f>
        <v>-3.2000000000000002E-3</v>
      </c>
      <c r="CN124">
        <f>'2015_2020 Int_Confianca'!CL57</f>
        <v>-5.0000000000000001E-3</v>
      </c>
      <c r="CO124">
        <f>'2015_2020 Int_Confianca'!CM57</f>
        <v>-5.7999999999999996E-3</v>
      </c>
      <c r="CP124">
        <f>'2015_2020 Int_Confianca'!CN57</f>
        <v>-5.7999999999999996E-3</v>
      </c>
      <c r="CQ124">
        <f>'2015_2020 Int_Confianca'!CO57</f>
        <v>-6.1000000000000004E-3</v>
      </c>
      <c r="CR124">
        <f>'2015_2020 Int_Confianca'!CP57</f>
        <v>-8.8999999999999999E-3</v>
      </c>
      <c r="CS124">
        <f>'2015_2020 Int_Confianca'!CQ57</f>
        <v>-8.0000000000000002E-3</v>
      </c>
      <c r="CT124">
        <f>'2015_2020 Int_Confianca'!CR57</f>
        <v>-9.7999999999999997E-3</v>
      </c>
      <c r="CU124">
        <f>'2015_2020 Int_Confianca'!CS57</f>
        <v>-1.2E-2</v>
      </c>
      <c r="CV124">
        <f>'2015_2020 Int_Confianca'!CT57</f>
        <v>-1.15E-2</v>
      </c>
      <c r="CW124">
        <f>'2015_2020 Int_Confianca'!CU57</f>
        <v>-1.0699999999999999E-2</v>
      </c>
      <c r="CX124">
        <f>'2015_2020 Int_Confianca'!CV57</f>
        <v>-1.11E-2</v>
      </c>
    </row>
    <row r="125" spans="1:102" x14ac:dyDescent="0.2">
      <c r="A125" t="s">
        <v>5924</v>
      </c>
      <c r="B125" t="s">
        <v>218</v>
      </c>
      <c r="C125" t="s">
        <v>221</v>
      </c>
      <c r="D125">
        <f>'2015_2020 Int_Confianca'!B58</f>
        <v>1.3100000000000001E-2</v>
      </c>
      <c r="E125">
        <f>'2015_2020 Int_Confianca'!C58</f>
        <v>1.5800000000000002E-2</v>
      </c>
      <c r="F125">
        <f>'2015_2020 Int_Confianca'!D58</f>
        <v>1.15E-2</v>
      </c>
      <c r="G125">
        <f>'2015_2020 Int_Confianca'!E58</f>
        <v>1.09E-2</v>
      </c>
      <c r="H125">
        <f>'2015_2020 Int_Confianca'!F58</f>
        <v>7.7999999999999996E-3</v>
      </c>
      <c r="I125">
        <f>'2015_2020 Int_Confianca'!G58</f>
        <v>8.8000000000000005E-3</v>
      </c>
      <c r="J125">
        <f>'2015_2020 Int_Confianca'!H58</f>
        <v>6.7999999999999996E-3</v>
      </c>
      <c r="K125">
        <f>'2015_2020 Int_Confianca'!I58</f>
        <v>6.1000000000000004E-3</v>
      </c>
      <c r="L125">
        <f>'2015_2020 Int_Confianca'!J58</f>
        <v>5.7000000000000002E-3</v>
      </c>
      <c r="M125">
        <f>'2015_2020 Int_Confianca'!K58</f>
        <v>3.5999999999999999E-3</v>
      </c>
      <c r="N125">
        <f>'2015_2020 Int_Confianca'!L58</f>
        <v>2.8E-3</v>
      </c>
      <c r="O125">
        <f>'2015_2020 Int_Confianca'!M58</f>
        <v>2.2000000000000001E-3</v>
      </c>
      <c r="P125">
        <f>'2015_2020 Int_Confianca'!N58</f>
        <v>1.6999999999999999E-3</v>
      </c>
      <c r="Q125">
        <f>'2015_2020 Int_Confianca'!O58</f>
        <v>1.5E-3</v>
      </c>
      <c r="R125">
        <f>'2015_2020 Int_Confianca'!P58</f>
        <v>1.1000000000000001E-3</v>
      </c>
      <c r="S125">
        <f>'2015_2020 Int_Confianca'!Q58</f>
        <v>8.9999999999999998E-4</v>
      </c>
      <c r="T125">
        <f>'2015_2020 Int_Confianca'!R58</f>
        <v>8.9999999999999998E-4</v>
      </c>
      <c r="U125">
        <f>'2015_2020 Int_Confianca'!S58</f>
        <v>1.1000000000000001E-3</v>
      </c>
      <c r="V125">
        <f>'2015_2020 Int_Confianca'!T58</f>
        <v>1.1999999999999999E-3</v>
      </c>
      <c r="W125">
        <f>'2015_2020 Int_Confianca'!U58</f>
        <v>1.4E-3</v>
      </c>
      <c r="X125">
        <f>'2015_2020 Int_Confianca'!V58</f>
        <v>1.2999999999999999E-3</v>
      </c>
      <c r="Y125">
        <f>'2015_2020 Int_Confianca'!W58</f>
        <v>1.1999999999999999E-3</v>
      </c>
      <c r="Z125">
        <f>'2015_2020 Int_Confianca'!X58</f>
        <v>1E-3</v>
      </c>
      <c r="AA125">
        <f>'2015_2020 Int_Confianca'!Y58</f>
        <v>1E-3</v>
      </c>
      <c r="AB125">
        <f>'2015_2020 Int_Confianca'!Z58</f>
        <v>1E-3</v>
      </c>
      <c r="AC125">
        <f>'2015_2020 Int_Confianca'!AA58</f>
        <v>1E-3</v>
      </c>
      <c r="AD125">
        <f>'2015_2020 Int_Confianca'!AB58</f>
        <v>1.1000000000000001E-3</v>
      </c>
      <c r="AE125">
        <f>'2015_2020 Int_Confianca'!AC58</f>
        <v>1.1000000000000001E-3</v>
      </c>
      <c r="AF125">
        <f>'2015_2020 Int_Confianca'!AD58</f>
        <v>1.1999999999999999E-3</v>
      </c>
      <c r="AG125">
        <f>'2015_2020 Int_Confianca'!AE58</f>
        <v>1.1999999999999999E-3</v>
      </c>
      <c r="AH125">
        <f>'2015_2020 Int_Confianca'!AF58</f>
        <v>1.1999999999999999E-3</v>
      </c>
      <c r="AI125">
        <f>'2015_2020 Int_Confianca'!AG58</f>
        <v>1.1999999999999999E-3</v>
      </c>
      <c r="AJ125">
        <f>'2015_2020 Int_Confianca'!AH58</f>
        <v>1.1999999999999999E-3</v>
      </c>
      <c r="AK125">
        <f>'2015_2020 Int_Confianca'!AI58</f>
        <v>1E-3</v>
      </c>
      <c r="AL125">
        <f>'2015_2020 Int_Confianca'!AJ58</f>
        <v>1E-3</v>
      </c>
      <c r="AM125">
        <f>'2015_2020 Int_Confianca'!AK58</f>
        <v>1.1000000000000001E-3</v>
      </c>
      <c r="AN125">
        <f>'2015_2020 Int_Confianca'!AL58</f>
        <v>1.1999999999999999E-3</v>
      </c>
      <c r="AO125">
        <f>'2015_2020 Int_Confianca'!AM58</f>
        <v>1.4E-3</v>
      </c>
      <c r="AP125">
        <f>'2015_2020 Int_Confianca'!AN58</f>
        <v>1.1000000000000001E-3</v>
      </c>
      <c r="AQ125">
        <f>'2015_2020 Int_Confianca'!AO58</f>
        <v>1E-3</v>
      </c>
      <c r="AR125">
        <f>'2015_2020 Int_Confianca'!AP58</f>
        <v>1E-3</v>
      </c>
      <c r="AS125">
        <f>'2015_2020 Int_Confianca'!AQ58</f>
        <v>1E-3</v>
      </c>
      <c r="AT125">
        <f>'2015_2020 Int_Confianca'!AR58</f>
        <v>1E-3</v>
      </c>
      <c r="AU125">
        <f>'2015_2020 Int_Confianca'!AS58</f>
        <v>1E-3</v>
      </c>
      <c r="AV125">
        <f>'2015_2020 Int_Confianca'!AT58</f>
        <v>1.2999999999999999E-3</v>
      </c>
      <c r="AW125">
        <f>'2015_2020 Int_Confianca'!AU58</f>
        <v>1.1000000000000001E-3</v>
      </c>
      <c r="AX125">
        <f>'2015_2020 Int_Confianca'!AV58</f>
        <v>1E-3</v>
      </c>
      <c r="AY125">
        <f>'2015_2020 Int_Confianca'!AW58</f>
        <v>1.1999999999999999E-3</v>
      </c>
      <c r="AZ125">
        <f>'2015_2020 Int_Confianca'!AX58</f>
        <v>1.2999999999999999E-3</v>
      </c>
      <c r="BA125">
        <f>'2015_2020 Int_Confianca'!AY58</f>
        <v>1.2999999999999999E-3</v>
      </c>
      <c r="BB125">
        <f>'2015_2020 Int_Confianca'!AZ58</f>
        <v>1E-3</v>
      </c>
      <c r="BC125">
        <f>'2015_2020 Int_Confianca'!BA58</f>
        <v>1.1000000000000001E-3</v>
      </c>
      <c r="BD125">
        <f>'2015_2020 Int_Confianca'!BB58</f>
        <v>1.4E-3</v>
      </c>
      <c r="BE125">
        <f>'2015_2020 Int_Confianca'!BC58</f>
        <v>1.5E-3</v>
      </c>
      <c r="BF125">
        <f>'2015_2020 Int_Confianca'!BD58</f>
        <v>1.6999999999999999E-3</v>
      </c>
      <c r="BG125">
        <f>'2015_2020 Int_Confianca'!BE58</f>
        <v>1.6000000000000001E-3</v>
      </c>
      <c r="BH125">
        <f>'2015_2020 Int_Confianca'!BF58</f>
        <v>1.4E-3</v>
      </c>
      <c r="BI125">
        <f>'2015_2020 Int_Confianca'!BG58</f>
        <v>1.6000000000000001E-3</v>
      </c>
      <c r="BJ125">
        <f>'2015_2020 Int_Confianca'!BH58</f>
        <v>1.6000000000000001E-3</v>
      </c>
      <c r="BK125">
        <f>'2015_2020 Int_Confianca'!BI58</f>
        <v>1.2999999999999999E-3</v>
      </c>
      <c r="BL125">
        <f>'2015_2020 Int_Confianca'!BJ58</f>
        <v>1.1000000000000001E-3</v>
      </c>
      <c r="BM125">
        <f>'2015_2020 Int_Confianca'!BK58</f>
        <v>1.4E-3</v>
      </c>
      <c r="BN125">
        <f>'2015_2020 Int_Confianca'!BL58</f>
        <v>1.2999999999999999E-3</v>
      </c>
      <c r="BO125">
        <f>'2015_2020 Int_Confianca'!BM58</f>
        <v>1.1999999999999999E-3</v>
      </c>
      <c r="BP125">
        <f>'2015_2020 Int_Confianca'!BN58</f>
        <v>1.4E-3</v>
      </c>
      <c r="BQ125">
        <f>'2015_2020 Int_Confianca'!BO58</f>
        <v>1.6000000000000001E-3</v>
      </c>
      <c r="BR125">
        <f>'2015_2020 Int_Confianca'!BP58</f>
        <v>2.2000000000000001E-3</v>
      </c>
      <c r="BS125">
        <f>'2015_2020 Int_Confianca'!BQ58</f>
        <v>2.0999999999999999E-3</v>
      </c>
      <c r="BT125">
        <f>'2015_2020 Int_Confianca'!BR58</f>
        <v>1.8E-3</v>
      </c>
      <c r="BU125">
        <f>'2015_2020 Int_Confianca'!BS58</f>
        <v>2E-3</v>
      </c>
      <c r="BV125">
        <f>'2015_2020 Int_Confianca'!BT58</f>
        <v>1.6999999999999999E-3</v>
      </c>
      <c r="BW125">
        <f>'2015_2020 Int_Confianca'!BU58</f>
        <v>1.4E-3</v>
      </c>
      <c r="BX125">
        <f>'2015_2020 Int_Confianca'!BV58</f>
        <v>1.6999999999999999E-3</v>
      </c>
      <c r="BY125">
        <f>'2015_2020 Int_Confianca'!BW58</f>
        <v>2E-3</v>
      </c>
      <c r="BZ125">
        <f>'2015_2020 Int_Confianca'!BX58</f>
        <v>1.6000000000000001E-3</v>
      </c>
      <c r="CA125">
        <f>'2015_2020 Int_Confianca'!BY58</f>
        <v>1.6999999999999999E-3</v>
      </c>
      <c r="CB125">
        <f>'2015_2020 Int_Confianca'!BZ58</f>
        <v>1.8E-3</v>
      </c>
      <c r="CC125">
        <f>'2015_2020 Int_Confianca'!CA58</f>
        <v>1.8E-3</v>
      </c>
      <c r="CD125">
        <f>'2015_2020 Int_Confianca'!CB58</f>
        <v>2.0999999999999999E-3</v>
      </c>
      <c r="CE125">
        <f>'2015_2020 Int_Confianca'!CC58</f>
        <v>2.3E-3</v>
      </c>
      <c r="CF125">
        <f>'2015_2020 Int_Confianca'!CD58</f>
        <v>2.3E-3</v>
      </c>
      <c r="CG125">
        <f>'2015_2020 Int_Confianca'!CE58</f>
        <v>1.8E-3</v>
      </c>
      <c r="CH125">
        <f>'2015_2020 Int_Confianca'!CF58</f>
        <v>1.5E-3</v>
      </c>
      <c r="CI125">
        <f>'2015_2020 Int_Confianca'!CG58</f>
        <v>1.6000000000000001E-3</v>
      </c>
      <c r="CJ125">
        <f>'2015_2020 Int_Confianca'!CH58</f>
        <v>8.9999999999999998E-4</v>
      </c>
      <c r="CK125">
        <f>'2015_2020 Int_Confianca'!CI58</f>
        <v>2.0000000000000001E-4</v>
      </c>
      <c r="CL125">
        <f>'2015_2020 Int_Confianca'!CJ58</f>
        <v>1E-4</v>
      </c>
      <c r="CM125">
        <f>'2015_2020 Int_Confianca'!CK58</f>
        <v>1E-4</v>
      </c>
      <c r="CN125">
        <f>'2015_2020 Int_Confianca'!CL58</f>
        <v>-1E-3</v>
      </c>
      <c r="CO125">
        <f>'2015_2020 Int_Confianca'!CM58</f>
        <v>-1.5E-3</v>
      </c>
      <c r="CP125">
        <f>'2015_2020 Int_Confianca'!CN58</f>
        <v>-2.0999999999999999E-3</v>
      </c>
      <c r="CQ125">
        <f>'2015_2020 Int_Confianca'!CO58</f>
        <v>-2.5000000000000001E-3</v>
      </c>
      <c r="CR125">
        <f>'2015_2020 Int_Confianca'!CP58</f>
        <v>-4.1000000000000003E-3</v>
      </c>
      <c r="CS125">
        <f>'2015_2020 Int_Confianca'!CQ58</f>
        <v>-3.8999999999999998E-3</v>
      </c>
      <c r="CT125">
        <f>'2015_2020 Int_Confianca'!CR58</f>
        <v>-4.4999999999999997E-3</v>
      </c>
      <c r="CU125">
        <f>'2015_2020 Int_Confianca'!CS58</f>
        <v>-6.1999999999999998E-3</v>
      </c>
      <c r="CV125">
        <f>'2015_2020 Int_Confianca'!CT58</f>
        <v>-5.7000000000000002E-3</v>
      </c>
      <c r="CW125">
        <f>'2015_2020 Int_Confianca'!CU58</f>
        <v>-4.1999999999999997E-3</v>
      </c>
      <c r="CX125">
        <f>'2015_2020 Int_Confianca'!CV58</f>
        <v>-2.5000000000000001E-3</v>
      </c>
    </row>
    <row r="126" spans="1:102" x14ac:dyDescent="0.2">
      <c r="A126" t="s">
        <v>208</v>
      </c>
      <c r="B126" t="s">
        <v>219</v>
      </c>
      <c r="C126" t="s">
        <v>221</v>
      </c>
      <c r="D126">
        <f>'2015_2020'!B15</f>
        <v>-0.41299999999999998</v>
      </c>
      <c r="E126">
        <f>'2015_2020'!C15</f>
        <v>0.24199999999999999</v>
      </c>
      <c r="F126">
        <f>'2015_2020'!D15</f>
        <v>0.77</v>
      </c>
      <c r="G126">
        <f>'2015_2020'!E15</f>
        <v>5.96E-2</v>
      </c>
      <c r="H126">
        <f>'2015_2020'!F15</f>
        <v>1.026</v>
      </c>
      <c r="I126">
        <f>'2015_2020'!G15</f>
        <v>0.35599999999999998</v>
      </c>
      <c r="J126">
        <f>'2015_2020'!H15</f>
        <v>0.65500000000000003</v>
      </c>
      <c r="K126">
        <f>'2015_2020'!I15</f>
        <v>0.51500000000000001</v>
      </c>
      <c r="L126">
        <f>'2015_2020'!J15</f>
        <v>0.374</v>
      </c>
      <c r="M126">
        <f>'2015_2020'!K15</f>
        <v>0.59399999999999997</v>
      </c>
      <c r="N126">
        <f>'2015_2020'!L15</f>
        <v>0.57499999999999996</v>
      </c>
      <c r="O126">
        <f>'2015_2020'!M15</f>
        <v>0.31</v>
      </c>
      <c r="P126">
        <f>'2015_2020'!N15</f>
        <v>0.35699999999999998</v>
      </c>
      <c r="Q126">
        <f>'2015_2020'!O15</f>
        <v>0.29899999999999999</v>
      </c>
      <c r="R126">
        <f>'2015_2020'!P15</f>
        <v>0.23699999999999999</v>
      </c>
      <c r="S126">
        <f>'2015_2020'!Q15</f>
        <v>0.20300000000000001</v>
      </c>
      <c r="T126">
        <f>'2015_2020'!R15</f>
        <v>0.14000000000000001</v>
      </c>
      <c r="U126">
        <f>'2015_2020'!S15</f>
        <v>0.112</v>
      </c>
      <c r="V126">
        <f>'2015_2020'!T15</f>
        <v>5.3999999999999999E-2</v>
      </c>
      <c r="W126">
        <f>'2015_2020'!U15</f>
        <v>4.7100000000000003E-2</v>
      </c>
      <c r="X126">
        <f>'2015_2020'!V15</f>
        <v>5.5100000000000003E-2</v>
      </c>
      <c r="Y126">
        <f>'2015_2020'!W15</f>
        <v>2.4299999999999999E-2</v>
      </c>
      <c r="Z126">
        <f>'2015_2020'!X15</f>
        <v>3.5000000000000003E-2</v>
      </c>
      <c r="AA126">
        <f>'2015_2020'!Y15</f>
        <v>4.1300000000000003E-2</v>
      </c>
      <c r="AB126">
        <f>'2015_2020'!Z15</f>
        <v>3.15E-2</v>
      </c>
      <c r="AC126">
        <f>'2015_2020'!AA15</f>
        <v>1.7899999999999999E-2</v>
      </c>
      <c r="AD126">
        <f>'2015_2020'!AB15</f>
        <v>1.6299999999999999E-2</v>
      </c>
      <c r="AE126">
        <f>'2015_2020'!AC15</f>
        <v>1.9800000000000002E-2</v>
      </c>
      <c r="AF126">
        <f>'2015_2020'!AD15</f>
        <v>1.34E-2</v>
      </c>
      <c r="AG126">
        <f>'2015_2020'!AE15</f>
        <v>9.0900000000000009E-3</v>
      </c>
      <c r="AH126">
        <f>'2015_2020'!AF15</f>
        <v>1.03E-2</v>
      </c>
      <c r="AI126">
        <f>'2015_2020'!AG15</f>
        <v>8.6800000000000002E-3</v>
      </c>
      <c r="AJ126">
        <f>'2015_2020'!AH15</f>
        <v>-5.8700000000000002E-3</v>
      </c>
      <c r="AK126">
        <f>'2015_2020'!AI15</f>
        <v>-1.18E-2</v>
      </c>
      <c r="AL126">
        <f>'2015_2020'!AJ15</f>
        <v>-2.0500000000000002E-3</v>
      </c>
      <c r="AM126">
        <f>'2015_2020'!AK15</f>
        <v>8.1600000000000006E-3</v>
      </c>
      <c r="AN126">
        <f>'2015_2020'!AL15</f>
        <v>4.0600000000000002E-3</v>
      </c>
      <c r="AO126">
        <f>'2015_2020'!AM15</f>
        <v>4.17E-4</v>
      </c>
      <c r="AP126">
        <f>'2015_2020'!AN15</f>
        <v>1.2200000000000001E-2</v>
      </c>
      <c r="AQ126">
        <f>'2015_2020'!AO15</f>
        <v>2.4500000000000001E-2</v>
      </c>
      <c r="AR126">
        <f>'2015_2020'!AP15</f>
        <v>2.9399999999999999E-2</v>
      </c>
      <c r="AS126">
        <f>'2015_2020'!AQ15</f>
        <v>2.5000000000000001E-2</v>
      </c>
      <c r="AT126">
        <f>'2015_2020'!AR15</f>
        <v>2.24E-2</v>
      </c>
      <c r="AU126">
        <f>'2015_2020'!AS15</f>
        <v>2.29E-2</v>
      </c>
      <c r="AV126">
        <f>'2015_2020'!AT15</f>
        <v>1.0200000000000001E-2</v>
      </c>
      <c r="AW126">
        <f>'2015_2020'!AU15</f>
        <v>-1.2E-2</v>
      </c>
      <c r="AX126">
        <f>'2015_2020'!AV15</f>
        <v>-2.69E-2</v>
      </c>
      <c r="AY126">
        <f>'2015_2020'!AW15</f>
        <v>-4.07E-2</v>
      </c>
      <c r="AZ126">
        <f>'2015_2020'!AX15</f>
        <v>-4.6800000000000001E-2</v>
      </c>
      <c r="BA126">
        <f>'2015_2020'!AY15</f>
        <v>-5.8099999999999999E-2</v>
      </c>
      <c r="BB126">
        <f>'2015_2020'!AZ15</f>
        <v>-4.7899999999999998E-2</v>
      </c>
      <c r="BC126">
        <f>'2015_2020'!BA15</f>
        <v>-3.5700000000000003E-2</v>
      </c>
      <c r="BD126">
        <f>'2015_2020'!BB15</f>
        <v>-3.7199999999999997E-2</v>
      </c>
      <c r="BE126">
        <f>'2015_2020'!BC15</f>
        <v>-3.6200000000000003E-2</v>
      </c>
      <c r="BF126">
        <f>'2015_2020'!BD15</f>
        <v>-9.4699999999999993E-3</v>
      </c>
      <c r="BG126">
        <f>'2015_2020'!BE15</f>
        <v>-3.3600000000000001E-3</v>
      </c>
      <c r="BH126">
        <f>'2015_2020'!BF15</f>
        <v>4.3299999999999996E-3</v>
      </c>
      <c r="BI126">
        <f>'2015_2020'!BG15</f>
        <v>-9.6900000000000003E-4</v>
      </c>
      <c r="BJ126">
        <f>'2015_2020'!BH15</f>
        <v>-9.1199999999999996E-3</v>
      </c>
      <c r="BK126">
        <f>'2015_2020'!BI15</f>
        <v>-6.3400000000000001E-3</v>
      </c>
      <c r="BL126">
        <f>'2015_2020'!BJ15</f>
        <v>-4.15E-3</v>
      </c>
      <c r="BM126">
        <f>'2015_2020'!BK15</f>
        <v>-2.07E-2</v>
      </c>
      <c r="BN126">
        <f>'2015_2020'!BL15</f>
        <v>-3.9699999999999999E-2</v>
      </c>
      <c r="BO126">
        <f>'2015_2020'!BM15</f>
        <v>-6.0499999999999998E-2</v>
      </c>
      <c r="BP126">
        <f>'2015_2020'!BN15</f>
        <v>-7.0699999999999999E-2</v>
      </c>
      <c r="BQ126">
        <f>'2015_2020'!BO15</f>
        <v>-7.9000000000000001E-2</v>
      </c>
      <c r="BR126">
        <f>'2015_2020'!BP15</f>
        <v>-7.8200000000000006E-2</v>
      </c>
      <c r="BS126">
        <f>'2015_2020'!BQ15</f>
        <v>-0.11700000000000001</v>
      </c>
      <c r="BT126">
        <f>'2015_2020'!BR15</f>
        <v>-0.14799999999999999</v>
      </c>
      <c r="BU126">
        <f>'2015_2020'!BS15</f>
        <v>-0.14000000000000001</v>
      </c>
      <c r="BV126">
        <f>'2015_2020'!BT15</f>
        <v>-4.7199999999999999E-2</v>
      </c>
      <c r="BW126">
        <f>'2015_2020'!BU15</f>
        <v>-3.0099999999999998E-2</v>
      </c>
      <c r="BX126">
        <f>'2015_2020'!BV15</f>
        <v>-4.8599999999999997E-2</v>
      </c>
      <c r="BY126">
        <f>'2015_2020'!BW15</f>
        <v>-7.2499999999999995E-2</v>
      </c>
      <c r="BZ126">
        <f>'2015_2020'!BX15</f>
        <v>-3.5700000000000003E-2</v>
      </c>
      <c r="CA126">
        <f>'2015_2020'!BY15</f>
        <v>-3.1300000000000001E-2</v>
      </c>
      <c r="CB126">
        <f>'2015_2020'!BZ15</f>
        <v>-1.23E-2</v>
      </c>
      <c r="CC126">
        <f>'2015_2020'!CA15</f>
        <v>-0.02</v>
      </c>
      <c r="CD126">
        <f>'2015_2020'!CB15</f>
        <v>-5.9200000000000003E-2</v>
      </c>
      <c r="CE126">
        <f>'2015_2020'!CC15</f>
        <v>-0.23699999999999999</v>
      </c>
      <c r="CF126">
        <f>'2015_2020'!CD15</f>
        <v>-0.31900000000000001</v>
      </c>
      <c r="CG126">
        <f>'2015_2020'!CE15</f>
        <v>-0.30299999999999999</v>
      </c>
      <c r="CH126">
        <f>'2015_2020'!CF15</f>
        <v>-0.183</v>
      </c>
      <c r="CI126">
        <f>'2015_2020'!CG15</f>
        <v>-0.106</v>
      </c>
      <c r="CJ126">
        <f>'2015_2020'!CH15</f>
        <v>-0.10199999999999999</v>
      </c>
      <c r="CK126">
        <f>'2015_2020'!CI15</f>
        <v>-0.15</v>
      </c>
      <c r="CL126">
        <f>'2015_2020'!CJ15</f>
        <v>-0.183</v>
      </c>
      <c r="CM126">
        <f>'2015_2020'!CK15</f>
        <v>-0.245</v>
      </c>
      <c r="CN126">
        <f>'2015_2020'!CL15</f>
        <v>-0.29399999999999998</v>
      </c>
      <c r="CO126">
        <f>'2015_2020'!CM15</f>
        <v>-0.309</v>
      </c>
      <c r="CP126">
        <f>'2015_2020'!CN15</f>
        <v>-0.22800000000000001</v>
      </c>
      <c r="CQ126">
        <f>'2015_2020'!CO15</f>
        <v>-0.215</v>
      </c>
      <c r="CR126">
        <f>'2015_2020'!CP15</f>
        <v>-0.24</v>
      </c>
      <c r="CS126">
        <f>'2015_2020'!CQ15</f>
        <v>-0.11600000000000001</v>
      </c>
      <c r="CT126">
        <f>'2015_2020'!CR15</f>
        <v>-0.23899999999999999</v>
      </c>
      <c r="CU126">
        <f>'2015_2020'!CS15</f>
        <v>-0.28299999999999997</v>
      </c>
      <c r="CV126">
        <f>'2015_2020'!CT15</f>
        <v>-0.31900000000000001</v>
      </c>
      <c r="CW126">
        <f>'2015_2020'!CU15</f>
        <v>-0.217</v>
      </c>
      <c r="CX126">
        <f>'2015_2020'!CV15</f>
        <v>-0.27400000000000002</v>
      </c>
    </row>
    <row r="127" spans="1:102" x14ac:dyDescent="0.2">
      <c r="A127" t="s">
        <v>209</v>
      </c>
      <c r="B127" t="s">
        <v>219</v>
      </c>
      <c r="C127" t="s">
        <v>221</v>
      </c>
      <c r="D127">
        <f>'2015_2020'!B16</f>
        <v>-0.10199999999999999</v>
      </c>
      <c r="E127">
        <f>'2015_2020'!C16</f>
        <v>-0.122</v>
      </c>
      <c r="F127">
        <f>'2015_2020'!D16</f>
        <v>3.8899999999999997E-2</v>
      </c>
      <c r="G127">
        <f>'2015_2020'!E16</f>
        <v>-0.14000000000000001</v>
      </c>
      <c r="H127">
        <f>'2015_2020'!F16</f>
        <v>0.13</v>
      </c>
      <c r="I127">
        <f>'2015_2020'!G16</f>
        <v>-6.7400000000000002E-2</v>
      </c>
      <c r="J127">
        <f>'2015_2020'!H16</f>
        <v>6.6900000000000001E-2</v>
      </c>
      <c r="K127">
        <f>'2015_2020'!I16</f>
        <v>0.08</v>
      </c>
      <c r="L127">
        <f>'2015_2020'!J16</f>
        <v>3.2099999999999997E-2</v>
      </c>
      <c r="M127">
        <f>'2015_2020'!K16</f>
        <v>0.14399999999999999</v>
      </c>
      <c r="N127">
        <f>'2015_2020'!L16</f>
        <v>0.19</v>
      </c>
      <c r="O127">
        <f>'2015_2020'!M16</f>
        <v>9.5399999999999999E-2</v>
      </c>
      <c r="P127">
        <f>'2015_2020'!N16</f>
        <v>0.14199999999999999</v>
      </c>
      <c r="Q127">
        <f>'2015_2020'!O16</f>
        <v>0.11700000000000001</v>
      </c>
      <c r="R127">
        <f>'2015_2020'!P16</f>
        <v>7.8100000000000003E-2</v>
      </c>
      <c r="S127">
        <f>'2015_2020'!Q16</f>
        <v>5.9799999999999999E-2</v>
      </c>
      <c r="T127">
        <f>'2015_2020'!R16</f>
        <v>3.1600000000000003E-2</v>
      </c>
      <c r="U127">
        <f>'2015_2020'!S16</f>
        <v>2.07E-2</v>
      </c>
      <c r="V127">
        <f>'2015_2020'!T16</f>
        <v>2.3500000000000001E-3</v>
      </c>
      <c r="W127">
        <f>'2015_2020'!U16</f>
        <v>5.5700000000000003E-3</v>
      </c>
      <c r="X127">
        <f>'2015_2020'!V16</f>
        <v>1.2500000000000001E-2</v>
      </c>
      <c r="Y127">
        <f>'2015_2020'!W16</f>
        <v>-3.62E-3</v>
      </c>
      <c r="Z127">
        <f>'2015_2020'!X16</f>
        <v>-6.2100000000000002E-4</v>
      </c>
      <c r="AA127">
        <f>'2015_2020'!Y16</f>
        <v>1.54E-2</v>
      </c>
      <c r="AB127">
        <f>'2015_2020'!Z16</f>
        <v>1.37E-2</v>
      </c>
      <c r="AC127">
        <f>'2015_2020'!AA16</f>
        <v>7.4999999999999997E-3</v>
      </c>
      <c r="AD127">
        <f>'2015_2020'!AB16</f>
        <v>1.06E-2</v>
      </c>
      <c r="AE127">
        <f>'2015_2020'!AC16</f>
        <v>1.15E-2</v>
      </c>
      <c r="AF127">
        <f>'2015_2020'!AD16</f>
        <v>3.1199999999999999E-3</v>
      </c>
      <c r="AG127">
        <f>'2015_2020'!AE16</f>
        <v>1.2600000000000001E-3</v>
      </c>
      <c r="AH127">
        <f>'2015_2020'!AF16</f>
        <v>2.07E-2</v>
      </c>
      <c r="AI127">
        <f>'2015_2020'!AG16</f>
        <v>1.9300000000000001E-2</v>
      </c>
      <c r="AJ127">
        <f>'2015_2020'!AH16</f>
        <v>1.11E-2</v>
      </c>
      <c r="AK127">
        <f>'2015_2020'!AI16</f>
        <v>1.4500000000000001E-2</v>
      </c>
      <c r="AL127">
        <f>'2015_2020'!AJ16</f>
        <v>2.7199999999999998E-2</v>
      </c>
      <c r="AM127">
        <f>'2015_2020'!AK16</f>
        <v>2.18E-2</v>
      </c>
      <c r="AN127">
        <f>'2015_2020'!AL16</f>
        <v>2.5999999999999999E-2</v>
      </c>
      <c r="AO127">
        <f>'2015_2020'!AM16</f>
        <v>2.5700000000000001E-2</v>
      </c>
      <c r="AP127">
        <f>'2015_2020'!AN16</f>
        <v>4.65E-2</v>
      </c>
      <c r="AQ127">
        <f>'2015_2020'!AO16</f>
        <v>6.0900000000000003E-2</v>
      </c>
      <c r="AR127">
        <f>'2015_2020'!AP16</f>
        <v>6.4000000000000001E-2</v>
      </c>
      <c r="AS127">
        <f>'2015_2020'!AQ16</f>
        <v>6.0699999999999997E-2</v>
      </c>
      <c r="AT127">
        <f>'2015_2020'!AR16</f>
        <v>5.6099999999999997E-2</v>
      </c>
      <c r="AU127">
        <f>'2015_2020'!AS16</f>
        <v>5.8299999999999998E-2</v>
      </c>
      <c r="AV127">
        <f>'2015_2020'!AT16</f>
        <v>4.6600000000000003E-2</v>
      </c>
      <c r="AW127">
        <f>'2015_2020'!AU16</f>
        <v>2.3599999999999999E-2</v>
      </c>
      <c r="AX127">
        <f>'2015_2020'!AV16</f>
        <v>-8.6800000000000002E-3</v>
      </c>
      <c r="AY127">
        <f>'2015_2020'!AW16</f>
        <v>-1.5699999999999999E-2</v>
      </c>
      <c r="AZ127">
        <f>'2015_2020'!AX16</f>
        <v>-1.6299999999999999E-2</v>
      </c>
      <c r="BA127">
        <f>'2015_2020'!AY16</f>
        <v>-2.23E-2</v>
      </c>
      <c r="BB127">
        <f>'2015_2020'!AZ16</f>
        <v>-1.5299999999999999E-3</v>
      </c>
      <c r="BC127">
        <f>'2015_2020'!BA16</f>
        <v>5.3600000000000002E-3</v>
      </c>
      <c r="BD127">
        <f>'2015_2020'!BB16</f>
        <v>1.3899999999999999E-2</v>
      </c>
      <c r="BE127">
        <f>'2015_2020'!BC16</f>
        <v>2.1399999999999999E-2</v>
      </c>
      <c r="BF127">
        <f>'2015_2020'!BD16</f>
        <v>3.6600000000000001E-2</v>
      </c>
      <c r="BG127">
        <f>'2015_2020'!BE16</f>
        <v>4.9399999999999999E-2</v>
      </c>
      <c r="BH127">
        <f>'2015_2020'!BF16</f>
        <v>6.0100000000000001E-2</v>
      </c>
      <c r="BI127">
        <f>'2015_2020'!BG16</f>
        <v>5.91E-2</v>
      </c>
      <c r="BJ127">
        <f>'2015_2020'!BH16</f>
        <v>5.0500000000000003E-2</v>
      </c>
      <c r="BK127">
        <f>'2015_2020'!BI16</f>
        <v>6.2199999999999998E-2</v>
      </c>
      <c r="BL127">
        <f>'2015_2020'!BJ16</f>
        <v>6.4199999999999993E-2</v>
      </c>
      <c r="BM127">
        <f>'2015_2020'!BK16</f>
        <v>6.0400000000000002E-2</v>
      </c>
      <c r="BN127">
        <f>'2015_2020'!BL16</f>
        <v>3.8699999999999998E-2</v>
      </c>
      <c r="BO127">
        <f>'2015_2020'!BM16</f>
        <v>1.6899999999999998E-2</v>
      </c>
      <c r="BP127">
        <f>'2015_2020'!BN16</f>
        <v>1.23E-2</v>
      </c>
      <c r="BQ127">
        <f>'2015_2020'!BO16</f>
        <v>1.01E-2</v>
      </c>
      <c r="BR127">
        <f>'2015_2020'!BP16</f>
        <v>7.2399999999999999E-3</v>
      </c>
      <c r="BS127">
        <f>'2015_2020'!BQ16</f>
        <v>-2.2800000000000001E-2</v>
      </c>
      <c r="BT127">
        <f>'2015_2020'!BR16</f>
        <v>-4.8599999999999997E-2</v>
      </c>
      <c r="BU127">
        <f>'2015_2020'!BS16</f>
        <v>-2.5499999999999998E-2</v>
      </c>
      <c r="BV127">
        <f>'2015_2020'!BT16</f>
        <v>9.5100000000000004E-2</v>
      </c>
      <c r="BW127">
        <f>'2015_2020'!BU16</f>
        <v>0.128</v>
      </c>
      <c r="BX127">
        <f>'2015_2020'!BV16</f>
        <v>0.108</v>
      </c>
      <c r="BY127">
        <f>'2015_2020'!BW16</f>
        <v>9.8599999999999993E-2</v>
      </c>
      <c r="BZ127">
        <f>'2015_2020'!BX16</f>
        <v>0.13</v>
      </c>
      <c r="CA127">
        <f>'2015_2020'!BY16</f>
        <v>0.125</v>
      </c>
      <c r="CB127">
        <f>'2015_2020'!BZ16</f>
        <v>0.153</v>
      </c>
      <c r="CC127">
        <f>'2015_2020'!CA16</f>
        <v>0.14899999999999999</v>
      </c>
      <c r="CD127">
        <f>'2015_2020'!CB16</f>
        <v>0.10199999999999999</v>
      </c>
      <c r="CE127">
        <f>'2015_2020'!CC16</f>
        <v>-4.4299999999999999E-2</v>
      </c>
      <c r="CF127">
        <f>'2015_2020'!CD16</f>
        <v>-9.7600000000000006E-2</v>
      </c>
      <c r="CG127">
        <f>'2015_2020'!CE16</f>
        <v>-7.7899999999999997E-2</v>
      </c>
      <c r="CH127">
        <f>'2015_2020'!CF16</f>
        <v>2.6800000000000001E-2</v>
      </c>
      <c r="CI127">
        <f>'2015_2020'!CG16</f>
        <v>0.11799999999999999</v>
      </c>
      <c r="CJ127">
        <f>'2015_2020'!CH16</f>
        <v>0.154</v>
      </c>
      <c r="CK127">
        <f>'2015_2020'!CI16</f>
        <v>0.111</v>
      </c>
      <c r="CL127">
        <f>'2015_2020'!CJ16</f>
        <v>6.2600000000000003E-2</v>
      </c>
      <c r="CM127">
        <f>'2015_2020'!CK16</f>
        <v>8.1099999999999992E-3</v>
      </c>
      <c r="CN127">
        <f>'2015_2020'!CL16</f>
        <v>1.5299999999999999E-2</v>
      </c>
      <c r="CO127">
        <f>'2015_2020'!CM16</f>
        <v>-6.8700000000000002E-3</v>
      </c>
      <c r="CP127">
        <f>'2015_2020'!CN16</f>
        <v>3.8199999999999998E-2</v>
      </c>
      <c r="CQ127">
        <f>'2015_2020'!CO16</f>
        <v>5.8799999999999998E-2</v>
      </c>
      <c r="CR127">
        <f>'2015_2020'!CP16</f>
        <v>0.129</v>
      </c>
      <c r="CS127">
        <f>'2015_2020'!CQ16</f>
        <v>0.22500000000000001</v>
      </c>
      <c r="CT127">
        <f>'2015_2020'!CR16</f>
        <v>0.14000000000000001</v>
      </c>
      <c r="CU127">
        <f>'2015_2020'!CS16</f>
        <v>3.5700000000000003E-2</v>
      </c>
      <c r="CV127">
        <f>'2015_2020'!CT16</f>
        <v>-9.4000000000000004E-3</v>
      </c>
      <c r="CW127">
        <f>'2015_2020'!CU16</f>
        <v>0.123</v>
      </c>
      <c r="CX127">
        <f>'2015_2020'!CV16</f>
        <v>-4.7699999999999999E-2</v>
      </c>
    </row>
    <row r="128" spans="1:102" x14ac:dyDescent="0.2">
      <c r="A128" t="s">
        <v>210</v>
      </c>
      <c r="B128" t="s">
        <v>219</v>
      </c>
      <c r="C128" t="s">
        <v>221</v>
      </c>
      <c r="D128">
        <f>'2015_2020'!B17</f>
        <v>8.7499999999999994E-2</v>
      </c>
      <c r="E128">
        <f>'2015_2020'!C17</f>
        <v>8.5500000000000007E-2</v>
      </c>
      <c r="F128">
        <f>'2015_2020'!D17</f>
        <v>3.04E-2</v>
      </c>
      <c r="G128">
        <f>'2015_2020'!E17</f>
        <v>6.0299999999999999E-2</v>
      </c>
      <c r="H128">
        <f>'2015_2020'!F17</f>
        <v>-3.0800000000000001E-2</v>
      </c>
      <c r="I128">
        <f>'2015_2020'!G17</f>
        <v>2.1499999999999998E-2</v>
      </c>
      <c r="J128">
        <f>'2015_2020'!H17</f>
        <v>-6.0499999999999998E-3</v>
      </c>
      <c r="K128">
        <f>'2015_2020'!I17</f>
        <v>-8.5699999999999995E-3</v>
      </c>
      <c r="L128">
        <f>'2015_2020'!J17</f>
        <v>1.6899999999999999E-4</v>
      </c>
      <c r="M128">
        <f>'2015_2020'!K17</f>
        <v>-2.2599999999999999E-2</v>
      </c>
      <c r="N128">
        <f>'2015_2020'!L17</f>
        <v>-2.6499999999999999E-2</v>
      </c>
      <c r="O128">
        <f>'2015_2020'!M17</f>
        <v>-1.0200000000000001E-2</v>
      </c>
      <c r="P128">
        <f>'2015_2020'!N17</f>
        <v>-1.54E-2</v>
      </c>
      <c r="Q128">
        <f>'2015_2020'!O17</f>
        <v>-1.06E-2</v>
      </c>
      <c r="R128">
        <f>'2015_2020'!P17</f>
        <v>-5.7099999999999998E-3</v>
      </c>
      <c r="S128">
        <f>'2015_2020'!Q17</f>
        <v>-2E-3</v>
      </c>
      <c r="T128">
        <f>'2015_2020'!R17</f>
        <v>3.3300000000000001E-3</v>
      </c>
      <c r="U128">
        <f>'2015_2020'!S17</f>
        <v>4.47E-3</v>
      </c>
      <c r="V128">
        <f>'2015_2020'!T17</f>
        <v>9.4400000000000005E-3</v>
      </c>
      <c r="W128">
        <f>'2015_2020'!U17</f>
        <v>7.6800000000000002E-3</v>
      </c>
      <c r="X128">
        <f>'2015_2020'!V17</f>
        <v>5.4200000000000003E-3</v>
      </c>
      <c r="Y128">
        <f>'2015_2020'!W17</f>
        <v>8.5800000000000008E-3</v>
      </c>
      <c r="Z128">
        <f>'2015_2020'!X17</f>
        <v>7.2899999999999996E-3</v>
      </c>
      <c r="AA128">
        <f>'2015_2020'!Y17</f>
        <v>7.2700000000000004E-3</v>
      </c>
      <c r="AB128">
        <f>'2015_2020'!Z17</f>
        <v>9.75E-3</v>
      </c>
      <c r="AC128">
        <f>'2015_2020'!AA17</f>
        <v>1.1900000000000001E-2</v>
      </c>
      <c r="AD128">
        <f>'2015_2020'!AB17</f>
        <v>1.2800000000000001E-2</v>
      </c>
      <c r="AE128">
        <f>'2015_2020'!AC17</f>
        <v>1.2699999999999999E-2</v>
      </c>
      <c r="AF128">
        <f>'2015_2020'!AD17</f>
        <v>1.47E-2</v>
      </c>
      <c r="AG128">
        <f>'2015_2020'!AE17</f>
        <v>1.43E-2</v>
      </c>
      <c r="AH128">
        <f>'2015_2020'!AF17</f>
        <v>1.34E-2</v>
      </c>
      <c r="AI128">
        <f>'2015_2020'!AG17</f>
        <v>1.5100000000000001E-2</v>
      </c>
      <c r="AJ128">
        <f>'2015_2020'!AH17</f>
        <v>1.9400000000000001E-2</v>
      </c>
      <c r="AK128">
        <f>'2015_2020'!AI17</f>
        <v>1.89E-2</v>
      </c>
      <c r="AL128">
        <f>'2015_2020'!AJ17</f>
        <v>1.8100000000000002E-2</v>
      </c>
      <c r="AM128">
        <f>'2015_2020'!AK17</f>
        <v>1.8499999999999999E-2</v>
      </c>
      <c r="AN128">
        <f>'2015_2020'!AL17</f>
        <v>2.01E-2</v>
      </c>
      <c r="AO128">
        <f>'2015_2020'!AM17</f>
        <v>2.07E-2</v>
      </c>
      <c r="AP128">
        <f>'2015_2020'!AN17</f>
        <v>1.7999999999999999E-2</v>
      </c>
      <c r="AQ128">
        <f>'2015_2020'!AO17</f>
        <v>1.46E-2</v>
      </c>
      <c r="AR128">
        <f>'2015_2020'!AP17</f>
        <v>1.46E-2</v>
      </c>
      <c r="AS128">
        <f>'2015_2020'!AQ17</f>
        <v>1.5299999999999999E-2</v>
      </c>
      <c r="AT128">
        <f>'2015_2020'!AR17</f>
        <v>1.47E-2</v>
      </c>
      <c r="AU128">
        <f>'2015_2020'!AS17</f>
        <v>1.38E-2</v>
      </c>
      <c r="AV128">
        <f>'2015_2020'!AT17</f>
        <v>1.66E-2</v>
      </c>
      <c r="AW128">
        <f>'2015_2020'!AU17</f>
        <v>2.3300000000000001E-2</v>
      </c>
      <c r="AX128">
        <f>'2015_2020'!AV17</f>
        <v>2.9000000000000001E-2</v>
      </c>
      <c r="AY128">
        <f>'2015_2020'!AW17</f>
        <v>2.9899999999999999E-2</v>
      </c>
      <c r="AZ128">
        <f>'2015_2020'!AX17</f>
        <v>2.8400000000000002E-2</v>
      </c>
      <c r="BA128">
        <f>'2015_2020'!AY17</f>
        <v>2.8299999999999999E-2</v>
      </c>
      <c r="BB128">
        <f>'2015_2020'!AZ17</f>
        <v>2.6599999999999999E-2</v>
      </c>
      <c r="BC128">
        <f>'2015_2020'!BA17</f>
        <v>2.3699999999999999E-2</v>
      </c>
      <c r="BD128">
        <f>'2015_2020'!BB17</f>
        <v>1.9300000000000001E-2</v>
      </c>
      <c r="BE128">
        <f>'2015_2020'!BC17</f>
        <v>1.8200000000000001E-2</v>
      </c>
      <c r="BF128">
        <f>'2015_2020'!BD17</f>
        <v>1.4800000000000001E-2</v>
      </c>
      <c r="BG128">
        <f>'2015_2020'!BE17</f>
        <v>1.17E-2</v>
      </c>
      <c r="BH128">
        <f>'2015_2020'!BF17</f>
        <v>7.3400000000000002E-3</v>
      </c>
      <c r="BI128">
        <f>'2015_2020'!BG17</f>
        <v>9.4900000000000002E-3</v>
      </c>
      <c r="BJ128">
        <f>'2015_2020'!BH17</f>
        <v>1.2800000000000001E-2</v>
      </c>
      <c r="BK128">
        <f>'2015_2020'!BI17</f>
        <v>1.2200000000000001E-2</v>
      </c>
      <c r="BL128">
        <f>'2015_2020'!BJ17</f>
        <v>1.03E-2</v>
      </c>
      <c r="BM128">
        <f>'2015_2020'!BK17</f>
        <v>1.3100000000000001E-2</v>
      </c>
      <c r="BN128">
        <f>'2015_2020'!BL17</f>
        <v>1.55E-2</v>
      </c>
      <c r="BO128">
        <f>'2015_2020'!BM17</f>
        <v>1.95E-2</v>
      </c>
      <c r="BP128">
        <f>'2015_2020'!BN17</f>
        <v>2.2200000000000001E-2</v>
      </c>
      <c r="BQ128">
        <f>'2015_2020'!BO17</f>
        <v>2.23E-2</v>
      </c>
      <c r="BR128">
        <f>'2015_2020'!BP17</f>
        <v>2.07E-2</v>
      </c>
      <c r="BS128">
        <f>'2015_2020'!BQ17</f>
        <v>2.6200000000000001E-2</v>
      </c>
      <c r="BT128">
        <f>'2015_2020'!BR17</f>
        <v>3.0800000000000001E-2</v>
      </c>
      <c r="BU128">
        <f>'2015_2020'!BS17</f>
        <v>2.7400000000000001E-2</v>
      </c>
      <c r="BV128">
        <f>'2015_2020'!BT17</f>
        <v>5.2500000000000003E-3</v>
      </c>
      <c r="BW128">
        <f>'2015_2020'!BU17</f>
        <v>1.81E-3</v>
      </c>
      <c r="BX128">
        <f>'2015_2020'!BV17</f>
        <v>5.9699999999999996E-3</v>
      </c>
      <c r="BY128">
        <f>'2015_2020'!BW17</f>
        <v>8.5699999999999995E-3</v>
      </c>
      <c r="BZ128">
        <f>'2015_2020'!BX17</f>
        <v>1.25E-3</v>
      </c>
      <c r="CA128">
        <f>'2015_2020'!BY17</f>
        <v>2.5799999999999998E-4</v>
      </c>
      <c r="CB128">
        <f>'2015_2020'!BZ17</f>
        <v>-5.64E-3</v>
      </c>
      <c r="CC128">
        <f>'2015_2020'!CA17</f>
        <v>-9.9699999999999997E-3</v>
      </c>
      <c r="CD128">
        <f>'2015_2020'!CB17</f>
        <v>-1.6999999999999999E-3</v>
      </c>
      <c r="CE128">
        <f>'2015_2020'!CC17</f>
        <v>3.0599999999999999E-2</v>
      </c>
      <c r="CF128">
        <f>'2015_2020'!CD17</f>
        <v>4.1599999999999998E-2</v>
      </c>
      <c r="CG128">
        <f>'2015_2020'!CE17</f>
        <v>3.6600000000000001E-2</v>
      </c>
      <c r="CH128">
        <f>'2015_2020'!CF17</f>
        <v>1.18E-2</v>
      </c>
      <c r="CI128">
        <f>'2015_2020'!CG17</f>
        <v>-2.98E-3</v>
      </c>
      <c r="CJ128">
        <f>'2015_2020'!CH17</f>
        <v>-1.15E-2</v>
      </c>
      <c r="CK128">
        <f>'2015_2020'!CI17</f>
        <v>-1.49E-3</v>
      </c>
      <c r="CL128">
        <f>'2015_2020'!CJ17</f>
        <v>7.0899999999999999E-3</v>
      </c>
      <c r="CM128">
        <f>'2015_2020'!CK17</f>
        <v>1.2200000000000001E-2</v>
      </c>
      <c r="CN128">
        <f>'2015_2020'!CL17</f>
        <v>1.1299999999999999E-2</v>
      </c>
      <c r="CO128">
        <f>'2015_2020'!CM17</f>
        <v>1.7399999999999999E-2</v>
      </c>
      <c r="CP128">
        <f>'2015_2020'!CN17</f>
        <v>-1.8699999999999999E-3</v>
      </c>
      <c r="CQ128">
        <f>'2015_2020'!CO17</f>
        <v>-9.1699999999999993E-3</v>
      </c>
      <c r="CR128">
        <f>'2015_2020'!CP17</f>
        <v>-2.4199999999999999E-2</v>
      </c>
      <c r="CS128">
        <f>'2015_2020'!CQ17</f>
        <v>-5.5399999999999998E-2</v>
      </c>
      <c r="CT128">
        <f>'2015_2020'!CR17</f>
        <v>-2.9399999999999999E-2</v>
      </c>
      <c r="CU128">
        <f>'2015_2020'!CS17</f>
        <v>-1.7399999999999999E-2</v>
      </c>
      <c r="CV128">
        <f>'2015_2020'!CT17</f>
        <v>8.0499999999999999E-3</v>
      </c>
      <c r="CW128">
        <f>'2015_2020'!CU17</f>
        <v>-4.0599999999999997E-2</v>
      </c>
      <c r="CX128">
        <f>'2015_2020'!CV17</f>
        <v>2.5399999999999999E-2</v>
      </c>
    </row>
    <row r="129" spans="1:102" x14ac:dyDescent="0.2">
      <c r="A129" t="s">
        <v>211</v>
      </c>
      <c r="B129" t="s">
        <v>219</v>
      </c>
      <c r="C129" t="s">
        <v>221</v>
      </c>
      <c r="D129">
        <f>'2015_2020'!B18</f>
        <v>4.3099999999999996E-3</v>
      </c>
      <c r="E129">
        <f>'2015_2020'!C18</f>
        <v>9.5699999999999995E-4</v>
      </c>
      <c r="F129">
        <f>'2015_2020'!D18</f>
        <v>-1.04E-2</v>
      </c>
      <c r="G129">
        <f>'2015_2020'!E18</f>
        <v>1.03E-2</v>
      </c>
      <c r="H129">
        <f>'2015_2020'!F18</f>
        <v>-1.54E-2</v>
      </c>
      <c r="I129">
        <f>'2015_2020'!G18</f>
        <v>-1.2199999999999999E-3</v>
      </c>
      <c r="J129">
        <f>'2015_2020'!H18</f>
        <v>-5.5900000000000004E-3</v>
      </c>
      <c r="K129">
        <f>'2015_2020'!I18</f>
        <v>-1.65E-3</v>
      </c>
      <c r="L129">
        <f>'2015_2020'!J18</f>
        <v>7.7400000000000004E-3</v>
      </c>
      <c r="M129">
        <f>'2015_2020'!K18</f>
        <v>-1.31E-3</v>
      </c>
      <c r="N129">
        <f>'2015_2020'!L18</f>
        <v>-5.1399999999999996E-3</v>
      </c>
      <c r="O129">
        <f>'2015_2020'!M18</f>
        <v>-3.4499999999999999E-3</v>
      </c>
      <c r="P129">
        <f>'2015_2020'!N18</f>
        <v>-3.5100000000000001E-3</v>
      </c>
      <c r="Q129">
        <f>'2015_2020'!O18</f>
        <v>7.6300000000000001E-4</v>
      </c>
      <c r="R129">
        <f>'2015_2020'!P18</f>
        <v>1.47E-3</v>
      </c>
      <c r="S129">
        <f>'2015_2020'!Q18</f>
        <v>-1.82E-3</v>
      </c>
      <c r="T129">
        <f>'2015_2020'!R18</f>
        <v>4.3399999999999998E-4</v>
      </c>
      <c r="U129">
        <f>'2015_2020'!S18</f>
        <v>1.3600000000000001E-3</v>
      </c>
      <c r="V129">
        <f>'2015_2020'!T18</f>
        <v>3.1199999999999999E-3</v>
      </c>
      <c r="W129">
        <f>'2015_2020'!U18</f>
        <v>2.5100000000000001E-3</v>
      </c>
      <c r="X129">
        <f>'2015_2020'!V18</f>
        <v>-3.9300000000000001E-4</v>
      </c>
      <c r="Y129">
        <f>'2015_2020'!W18</f>
        <v>2.5000000000000001E-3</v>
      </c>
      <c r="Z129">
        <f>'2015_2020'!X18</f>
        <v>6.5099999999999999E-4</v>
      </c>
      <c r="AA129">
        <f>'2015_2020'!Y18</f>
        <v>2.8500000000000001E-3</v>
      </c>
      <c r="AB129">
        <f>'2015_2020'!Z18</f>
        <v>7.1900000000000002E-3</v>
      </c>
      <c r="AC129">
        <f>'2015_2020'!AA18</f>
        <v>7.9699999999999997E-3</v>
      </c>
      <c r="AD129">
        <f>'2015_2020'!AB18</f>
        <v>7.5799999999999999E-3</v>
      </c>
      <c r="AE129">
        <f>'2015_2020'!AC18</f>
        <v>6.3099999999999996E-3</v>
      </c>
      <c r="AF129">
        <f>'2015_2020'!AD18</f>
        <v>4.4600000000000004E-3</v>
      </c>
      <c r="AG129">
        <f>'2015_2020'!AE18</f>
        <v>4.6899999999999997E-3</v>
      </c>
      <c r="AH129">
        <f>'2015_2020'!AF18</f>
        <v>4.4900000000000001E-3</v>
      </c>
      <c r="AI129">
        <f>'2015_2020'!AG18</f>
        <v>4.6699999999999997E-3</v>
      </c>
      <c r="AJ129">
        <f>'2015_2020'!AH18</f>
        <v>5.7800000000000004E-3</v>
      </c>
      <c r="AK129">
        <f>'2015_2020'!AI18</f>
        <v>4.6499999999999996E-3</v>
      </c>
      <c r="AL129">
        <f>'2015_2020'!AJ18</f>
        <v>3.5799999999999998E-3</v>
      </c>
      <c r="AM129">
        <f>'2015_2020'!AK18</f>
        <v>4.5900000000000003E-3</v>
      </c>
      <c r="AN129">
        <f>'2015_2020'!AL18</f>
        <v>1.8600000000000001E-3</v>
      </c>
      <c r="AO129">
        <f>'2015_2020'!AM18</f>
        <v>6.4899999999999995E-4</v>
      </c>
      <c r="AP129">
        <f>'2015_2020'!AN18</f>
        <v>2.9300000000000002E-4</v>
      </c>
      <c r="AQ129">
        <f>'2015_2020'!AO18</f>
        <v>-2.5500000000000002E-3</v>
      </c>
      <c r="AR129">
        <f>'2015_2020'!AP18</f>
        <v>1.0900000000000001E-4</v>
      </c>
      <c r="AS129">
        <f>'2015_2020'!AQ18</f>
        <v>9.7099999999999997E-4</v>
      </c>
      <c r="AT129">
        <f>'2015_2020'!AR18</f>
        <v>-4.75E-4</v>
      </c>
      <c r="AU129">
        <f>'2015_2020'!AS18</f>
        <v>-2.4599999999999999E-3</v>
      </c>
      <c r="AV129">
        <f>'2015_2020'!AT18</f>
        <v>-4.8999999999999998E-3</v>
      </c>
      <c r="AW129">
        <f>'2015_2020'!AU18</f>
        <v>-3.5000000000000001E-3</v>
      </c>
      <c r="AX129">
        <f>'2015_2020'!AV18</f>
        <v>-5.6599999999999999E-4</v>
      </c>
      <c r="AY129">
        <f>'2015_2020'!AW18</f>
        <v>-1.25E-4</v>
      </c>
      <c r="AZ129">
        <f>'2015_2020'!AX18</f>
        <v>-5.4699999999999996E-4</v>
      </c>
      <c r="BA129">
        <f>'2015_2020'!AY18</f>
        <v>-3.65E-3</v>
      </c>
      <c r="BB129">
        <f>'2015_2020'!AZ18</f>
        <v>-4.7999999999999996E-3</v>
      </c>
      <c r="BC129">
        <f>'2015_2020'!BA18</f>
        <v>-6.2199999999999998E-3</v>
      </c>
      <c r="BD129">
        <f>'2015_2020'!BB18</f>
        <v>-1.4300000000000001E-3</v>
      </c>
      <c r="BE129">
        <f>'2015_2020'!BC18</f>
        <v>-4.3499999999999997E-3</v>
      </c>
      <c r="BF129">
        <f>'2015_2020'!BD18</f>
        <v>-1.37E-2</v>
      </c>
      <c r="BG129">
        <f>'2015_2020'!BE18</f>
        <v>-1.0699999999999999E-2</v>
      </c>
      <c r="BH129">
        <f>'2015_2020'!BF18</f>
        <v>-1.54E-2</v>
      </c>
      <c r="BI129">
        <f>'2015_2020'!BG18</f>
        <v>-1.5299999999999999E-2</v>
      </c>
      <c r="BJ129">
        <f>'2015_2020'!BH18</f>
        <v>-1.3599999999999999E-2</v>
      </c>
      <c r="BK129">
        <f>'2015_2020'!BI18</f>
        <v>-1.4999999999999999E-2</v>
      </c>
      <c r="BL129">
        <f>'2015_2020'!BJ18</f>
        <v>-1.78E-2</v>
      </c>
      <c r="BM129">
        <f>'2015_2020'!BK18</f>
        <v>-1.6199999999999999E-2</v>
      </c>
      <c r="BN129">
        <f>'2015_2020'!BL18</f>
        <v>-1.43E-2</v>
      </c>
      <c r="BO129">
        <f>'2015_2020'!BM18</f>
        <v>-1.11E-2</v>
      </c>
      <c r="BP129">
        <f>'2015_2020'!BN18</f>
        <v>-3.5500000000000002E-3</v>
      </c>
      <c r="BQ129">
        <f>'2015_2020'!BO18</f>
        <v>-6.2599999999999999E-3</v>
      </c>
      <c r="BR129">
        <f>'2015_2020'!BP18</f>
        <v>-3.9899999999999996E-3</v>
      </c>
      <c r="BS129">
        <f>'2015_2020'!BQ18</f>
        <v>3.79E-3</v>
      </c>
      <c r="BT129">
        <f>'2015_2020'!BR18</f>
        <v>3.6099999999999999E-3</v>
      </c>
      <c r="BU129">
        <f>'2015_2020'!BS18</f>
        <v>-2.1900000000000001E-3</v>
      </c>
      <c r="BV129">
        <f>'2015_2020'!BT18</f>
        <v>-1.7000000000000001E-2</v>
      </c>
      <c r="BW129">
        <f>'2015_2020'!BU18</f>
        <v>-2.3099999999999999E-2</v>
      </c>
      <c r="BX129">
        <f>'2015_2020'!BV18</f>
        <v>-1.8499999999999999E-2</v>
      </c>
      <c r="BY129">
        <f>'2015_2020'!BW18</f>
        <v>-1.6E-2</v>
      </c>
      <c r="BZ129">
        <f>'2015_2020'!BX18</f>
        <v>-2.3099999999999999E-2</v>
      </c>
      <c r="CA129">
        <f>'2015_2020'!BY18</f>
        <v>-1.5900000000000001E-2</v>
      </c>
      <c r="CB129">
        <f>'2015_2020'!BZ18</f>
        <v>-2.24E-2</v>
      </c>
      <c r="CC129">
        <f>'2015_2020'!CA18</f>
        <v>-2.3199999999999998E-2</v>
      </c>
      <c r="CD129">
        <f>'2015_2020'!CB18</f>
        <v>-3.0200000000000001E-2</v>
      </c>
      <c r="CE129">
        <f>'2015_2020'!CC18</f>
        <v>-8.4700000000000001E-3</v>
      </c>
      <c r="CF129">
        <f>'2015_2020'!CD18</f>
        <v>5.1999999999999998E-3</v>
      </c>
      <c r="CG129">
        <f>'2015_2020'!CE18</f>
        <v>1.73E-3</v>
      </c>
      <c r="CH129">
        <f>'2015_2020'!CF18</f>
        <v>-9.2499999999999995E-3</v>
      </c>
      <c r="CI129">
        <f>'2015_2020'!CG18</f>
        <v>-2.2700000000000001E-2</v>
      </c>
      <c r="CJ129">
        <f>'2015_2020'!CH18</f>
        <v>-3.1300000000000001E-2</v>
      </c>
      <c r="CK129">
        <f>'2015_2020'!CI18</f>
        <v>-2.2800000000000001E-2</v>
      </c>
      <c r="CL129">
        <f>'2015_2020'!CJ18</f>
        <v>-6.8199999999999997E-3</v>
      </c>
      <c r="CM129">
        <f>'2015_2020'!CK18</f>
        <v>-2.5200000000000001E-3</v>
      </c>
      <c r="CN129">
        <f>'2015_2020'!CL18</f>
        <v>-1.15E-2</v>
      </c>
      <c r="CO129">
        <f>'2015_2020'!CM18</f>
        <v>-3.15E-3</v>
      </c>
      <c r="CP129">
        <f>'2015_2020'!CN18</f>
        <v>-7.8799999999999996E-4</v>
      </c>
      <c r="CQ129">
        <f>'2015_2020'!CO18</f>
        <v>-1.0800000000000001E-2</v>
      </c>
      <c r="CR129">
        <f>'2015_2020'!CP18</f>
        <v>-1.7600000000000001E-2</v>
      </c>
      <c r="CS129">
        <f>'2015_2020'!CQ18</f>
        <v>-4.41E-2</v>
      </c>
      <c r="CT129">
        <f>'2015_2020'!CR18</f>
        <v>-3.3599999999999998E-2</v>
      </c>
      <c r="CU129">
        <f>'2015_2020'!CS18</f>
        <v>-1.6299999999999999E-2</v>
      </c>
      <c r="CV129">
        <f>'2015_2020'!CT18</f>
        <v>2.6099999999999999E-3</v>
      </c>
      <c r="CW129">
        <f>'2015_2020'!CU18</f>
        <v>-2.92E-2</v>
      </c>
      <c r="CX129">
        <f>'2015_2020'!CV18</f>
        <v>1.4E-2</v>
      </c>
    </row>
    <row r="130" spans="1:102" x14ac:dyDescent="0.2">
      <c r="A130" t="s">
        <v>212</v>
      </c>
      <c r="B130" t="s">
        <v>219</v>
      </c>
      <c r="C130" t="s">
        <v>221</v>
      </c>
      <c r="D130">
        <f>'2015_2020'!B19</f>
        <v>3.5099999999999999E-2</v>
      </c>
      <c r="E130">
        <f>'2015_2020'!C19</f>
        <v>1.6199999999999999E-2</v>
      </c>
      <c r="F130">
        <f>'2015_2020'!D19</f>
        <v>-8.1700000000000002E-3</v>
      </c>
      <c r="G130">
        <f>'2015_2020'!E19</f>
        <v>2.2499999999999999E-2</v>
      </c>
      <c r="H130">
        <f>'2015_2020'!F19</f>
        <v>-1.72E-2</v>
      </c>
      <c r="I130">
        <f>'2015_2020'!G19</f>
        <v>3.7299999999999998E-3</v>
      </c>
      <c r="J130">
        <f>'2015_2020'!H19</f>
        <v>-6.2500000000000003E-3</v>
      </c>
      <c r="K130">
        <f>'2015_2020'!I19</f>
        <v>-6.2700000000000004E-3</v>
      </c>
      <c r="L130">
        <f>'2015_2020'!J19</f>
        <v>-1.7899999999999999E-3</v>
      </c>
      <c r="M130">
        <f>'2015_2020'!K19</f>
        <v>-1.1900000000000001E-2</v>
      </c>
      <c r="N130">
        <f>'2015_2020'!L19</f>
        <v>-1.32E-2</v>
      </c>
      <c r="O130">
        <f>'2015_2020'!M19</f>
        <v>-4.45E-3</v>
      </c>
      <c r="P130">
        <f>'2015_2020'!N19</f>
        <v>-6.4400000000000004E-3</v>
      </c>
      <c r="Q130">
        <f>'2015_2020'!O19</f>
        <v>-4.5500000000000002E-3</v>
      </c>
      <c r="R130">
        <f>'2015_2020'!P19</f>
        <v>-3.3700000000000002E-3</v>
      </c>
      <c r="S130">
        <f>'2015_2020'!Q19</f>
        <v>-2.8600000000000001E-3</v>
      </c>
      <c r="T130">
        <f>'2015_2020'!R19</f>
        <v>-1.7700000000000001E-3</v>
      </c>
      <c r="U130">
        <f>'2015_2020'!S19</f>
        <v>-1.5E-3</v>
      </c>
      <c r="V130">
        <f>'2015_2020'!T19</f>
        <v>1.3E-6</v>
      </c>
      <c r="W130">
        <f>'2015_2020'!U19</f>
        <v>-1.6899999999999999E-4</v>
      </c>
      <c r="X130">
        <f>'2015_2020'!V19</f>
        <v>2.87E-5</v>
      </c>
      <c r="Y130">
        <f>'2015_2020'!W19</f>
        <v>7.9600000000000005E-4</v>
      </c>
      <c r="Z130">
        <f>'2015_2020'!X19</f>
        <v>4.5100000000000001E-4</v>
      </c>
      <c r="AA130">
        <f>'2015_2020'!Y19</f>
        <v>6.7500000000000004E-4</v>
      </c>
      <c r="AB130">
        <f>'2015_2020'!Z19</f>
        <v>1.1199999999999999E-3</v>
      </c>
      <c r="AC130">
        <f>'2015_2020'!AA19</f>
        <v>1.0300000000000001E-3</v>
      </c>
      <c r="AD130">
        <f>'2015_2020'!AB19</f>
        <v>9.1500000000000001E-4</v>
      </c>
      <c r="AE130">
        <f>'2015_2020'!AC19</f>
        <v>6.5799999999999995E-4</v>
      </c>
      <c r="AF130">
        <f>'2015_2020'!AD19</f>
        <v>2.9599999999999998E-4</v>
      </c>
      <c r="AG130">
        <f>'2015_2020'!AE19</f>
        <v>-6.6E-4</v>
      </c>
      <c r="AH130">
        <f>'2015_2020'!AF19</f>
        <v>-8.1700000000000002E-4</v>
      </c>
      <c r="AI130">
        <f>'2015_2020'!AG19</f>
        <v>-5.31E-4</v>
      </c>
      <c r="AJ130">
        <f>'2015_2020'!AH19</f>
        <v>4.2499999999999998E-4</v>
      </c>
      <c r="AK130">
        <f>'2015_2020'!AI19</f>
        <v>4.35E-4</v>
      </c>
      <c r="AL130">
        <f>'2015_2020'!AJ19</f>
        <v>-1.02E-4</v>
      </c>
      <c r="AM130">
        <f>'2015_2020'!AK19</f>
        <v>-2.4499999999999999E-4</v>
      </c>
      <c r="AN130">
        <f>'2015_2020'!AL19</f>
        <v>-4.4299999999999998E-4</v>
      </c>
      <c r="AO130">
        <f>'2015_2020'!AM19</f>
        <v>-3.4900000000000003E-4</v>
      </c>
      <c r="AP130">
        <f>'2015_2020'!AN19</f>
        <v>-2.32E-4</v>
      </c>
      <c r="AQ130">
        <f>'2015_2020'!AO19</f>
        <v>2.34E-4</v>
      </c>
      <c r="AR130">
        <f>'2015_2020'!AP19</f>
        <v>4.26E-4</v>
      </c>
      <c r="AS130">
        <f>'2015_2020'!AQ19</f>
        <v>-1.3200000000000001E-5</v>
      </c>
      <c r="AT130">
        <f>'2015_2020'!AR19</f>
        <v>1.07E-4</v>
      </c>
      <c r="AU130">
        <f>'2015_2020'!AS19</f>
        <v>3.4200000000000002E-4</v>
      </c>
      <c r="AV130">
        <f>'2015_2020'!AT19</f>
        <v>-2.9500000000000001E-4</v>
      </c>
      <c r="AW130">
        <f>'2015_2020'!AU19</f>
        <v>8.7899999999999995E-5</v>
      </c>
      <c r="AX130">
        <f>'2015_2020'!AV19</f>
        <v>5.0000000000000001E-4</v>
      </c>
      <c r="AY130">
        <f>'2015_2020'!AW19</f>
        <v>5.1999999999999995E-4</v>
      </c>
      <c r="AZ130">
        <f>'2015_2020'!AX19</f>
        <v>3.9399999999999998E-4</v>
      </c>
      <c r="BA130">
        <f>'2015_2020'!AY19</f>
        <v>3.9300000000000001E-4</v>
      </c>
      <c r="BB130">
        <f>'2015_2020'!AZ19</f>
        <v>2.0699999999999999E-4</v>
      </c>
      <c r="BC130">
        <f>'2015_2020'!BA19</f>
        <v>4.6300000000000001E-5</v>
      </c>
      <c r="BD130">
        <f>'2015_2020'!BB19</f>
        <v>2.1699999999999999E-4</v>
      </c>
      <c r="BE130">
        <f>'2015_2020'!BC19</f>
        <v>1.01E-4</v>
      </c>
      <c r="BF130">
        <f>'2015_2020'!BD19</f>
        <v>-5.9900000000000003E-4</v>
      </c>
      <c r="BG130">
        <f>'2015_2020'!BE19</f>
        <v>-2.13E-4</v>
      </c>
      <c r="BH130">
        <f>'2015_2020'!BF19</f>
        <v>-1.85E-4</v>
      </c>
      <c r="BI130">
        <f>'2015_2020'!BG19</f>
        <v>-1.54E-4</v>
      </c>
      <c r="BJ130">
        <f>'2015_2020'!BH19</f>
        <v>-2.34E-4</v>
      </c>
      <c r="BK130">
        <f>'2015_2020'!BI19</f>
        <v>1.2400000000000001E-4</v>
      </c>
      <c r="BL130">
        <f>'2015_2020'!BJ19</f>
        <v>-1.3300000000000001E-4</v>
      </c>
      <c r="BM130">
        <f>'2015_2020'!BK19</f>
        <v>2.1100000000000001E-4</v>
      </c>
      <c r="BN130">
        <f>'2015_2020'!BL19</f>
        <v>4.3399999999999998E-4</v>
      </c>
      <c r="BO130">
        <f>'2015_2020'!BM19</f>
        <v>1.23E-3</v>
      </c>
      <c r="BP130">
        <f>'2015_2020'!BN19</f>
        <v>1.1199999999999999E-3</v>
      </c>
      <c r="BQ130">
        <f>'2015_2020'!BO19</f>
        <v>1.07E-3</v>
      </c>
      <c r="BR130">
        <f>'2015_2020'!BP19</f>
        <v>9.1500000000000001E-4</v>
      </c>
      <c r="BS130">
        <f>'2015_2020'!BQ19</f>
        <v>9.3000000000000005E-4</v>
      </c>
      <c r="BT130">
        <f>'2015_2020'!BR19</f>
        <v>1.9499999999999999E-3</v>
      </c>
      <c r="BU130">
        <f>'2015_2020'!BS19</f>
        <v>1.6999999999999999E-3</v>
      </c>
      <c r="BV130">
        <f>'2015_2020'!BT19</f>
        <v>-3.1599999999999998E-4</v>
      </c>
      <c r="BW130">
        <f>'2015_2020'!BU19</f>
        <v>2.4000000000000001E-4</v>
      </c>
      <c r="BX130">
        <f>'2015_2020'!BV19</f>
        <v>4.6299999999999998E-4</v>
      </c>
      <c r="BY130">
        <f>'2015_2020'!BW19</f>
        <v>2.5300000000000002E-4</v>
      </c>
      <c r="BZ130">
        <f>'2015_2020'!BX19</f>
        <v>3.6299999999999999E-4</v>
      </c>
      <c r="CA130">
        <f>'2015_2020'!BY19</f>
        <v>8.3500000000000002E-4</v>
      </c>
      <c r="CB130">
        <f>'2015_2020'!BZ19</f>
        <v>7.2300000000000001E-4</v>
      </c>
      <c r="CC130">
        <f>'2015_2020'!CA19</f>
        <v>5.6300000000000002E-4</v>
      </c>
      <c r="CD130">
        <f>'2015_2020'!CB19</f>
        <v>9.5199999999999997E-5</v>
      </c>
      <c r="CE130">
        <f>'2015_2020'!CC19</f>
        <v>1.89E-3</v>
      </c>
      <c r="CF130">
        <f>'2015_2020'!CD19</f>
        <v>2.4099999999999998E-3</v>
      </c>
      <c r="CG130">
        <f>'2015_2020'!CE19</f>
        <v>2.5799999999999998E-3</v>
      </c>
      <c r="CH130">
        <f>'2015_2020'!CF19</f>
        <v>1.17E-3</v>
      </c>
      <c r="CI130">
        <f>'2015_2020'!CG19</f>
        <v>-1.26E-6</v>
      </c>
      <c r="CJ130">
        <f>'2015_2020'!CH19</f>
        <v>-1.01E-3</v>
      </c>
      <c r="CK130">
        <f>'2015_2020'!CI19</f>
        <v>1.37E-4</v>
      </c>
      <c r="CL130">
        <f>'2015_2020'!CJ19</f>
        <v>-2.03E-4</v>
      </c>
      <c r="CM130">
        <f>'2015_2020'!CK19</f>
        <v>7.0299999999999996E-4</v>
      </c>
      <c r="CN130">
        <f>'2015_2020'!CL19</f>
        <v>6.4899999999999995E-4</v>
      </c>
      <c r="CO130">
        <f>'2015_2020'!CM19</f>
        <v>9.2400000000000002E-4</v>
      </c>
      <c r="CP130">
        <f>'2015_2020'!CN19</f>
        <v>-3.1900000000000003E-5</v>
      </c>
      <c r="CQ130">
        <f>'2015_2020'!CO19</f>
        <v>-3.1700000000000001E-4</v>
      </c>
      <c r="CR130">
        <f>'2015_2020'!CP19</f>
        <v>-1.07E-3</v>
      </c>
      <c r="CS130">
        <f>'2015_2020'!CQ19</f>
        <v>-3.15E-3</v>
      </c>
      <c r="CT130">
        <f>'2015_2020'!CR19</f>
        <v>-2.5300000000000001E-3</v>
      </c>
      <c r="CU130">
        <f>'2015_2020'!CS19</f>
        <v>-2.8800000000000002E-3</v>
      </c>
      <c r="CV130">
        <f>'2015_2020'!CT19</f>
        <v>-1.8799999999999999E-3</v>
      </c>
      <c r="CW130">
        <f>'2015_2020'!CU19</f>
        <v>-1.39E-3</v>
      </c>
      <c r="CX130">
        <f>'2015_2020'!CV19</f>
        <v>4.0099999999999997E-3</v>
      </c>
    </row>
    <row r="131" spans="1:102" x14ac:dyDescent="0.2">
      <c r="A131" t="s">
        <v>213</v>
      </c>
      <c r="B131" t="s">
        <v>219</v>
      </c>
      <c r="C131" t="s">
        <v>221</v>
      </c>
      <c r="D131">
        <f>'2015_2020'!B20</f>
        <v>-0.13900000000000001</v>
      </c>
      <c r="E131">
        <f>'2015_2020'!C20</f>
        <v>-0.126</v>
      </c>
      <c r="F131">
        <f>'2015_2020'!D20</f>
        <v>6.2300000000000003E-3</v>
      </c>
      <c r="G131">
        <f>'2015_2020'!E20</f>
        <v>-0.14799999999999999</v>
      </c>
      <c r="H131">
        <f>'2015_2020'!F20</f>
        <v>0.13</v>
      </c>
      <c r="I131">
        <f>'2015_2020'!G20</f>
        <v>-6.3399999999999998E-2</v>
      </c>
      <c r="J131">
        <f>'2015_2020'!H20</f>
        <v>5.21E-2</v>
      </c>
      <c r="K131">
        <f>'2015_2020'!I20</f>
        <v>4.2500000000000003E-2</v>
      </c>
      <c r="L131">
        <f>'2015_2020'!J20</f>
        <v>1.49E-2</v>
      </c>
      <c r="M131">
        <f>'2015_2020'!K20</f>
        <v>0.14099999999999999</v>
      </c>
      <c r="N131">
        <f>'2015_2020'!L20</f>
        <v>0.18099999999999999</v>
      </c>
      <c r="O131">
        <f>'2015_2020'!M20</f>
        <v>9.3200000000000005E-2</v>
      </c>
      <c r="P131">
        <f>'2015_2020'!N20</f>
        <v>0.14399999999999999</v>
      </c>
      <c r="Q131">
        <f>'2015_2020'!O20</f>
        <v>0.13800000000000001</v>
      </c>
      <c r="R131">
        <f>'2015_2020'!P20</f>
        <v>0.12</v>
      </c>
      <c r="S131">
        <f>'2015_2020'!Q20</f>
        <v>8.7800000000000003E-2</v>
      </c>
      <c r="T131">
        <f>'2015_2020'!R20</f>
        <v>6.6100000000000006E-2</v>
      </c>
      <c r="U131">
        <f>'2015_2020'!S20</f>
        <v>5.6899999999999999E-2</v>
      </c>
      <c r="V131">
        <f>'2015_2020'!T20</f>
        <v>4.3799999999999999E-2</v>
      </c>
      <c r="W131">
        <f>'2015_2020'!U20</f>
        <v>3.8600000000000002E-2</v>
      </c>
      <c r="X131">
        <f>'2015_2020'!V20</f>
        <v>3.4700000000000002E-2</v>
      </c>
      <c r="Y131">
        <f>'2015_2020'!W20</f>
        <v>2.23E-2</v>
      </c>
      <c r="Z131">
        <f>'2015_2020'!X20</f>
        <v>2.9000000000000001E-2</v>
      </c>
      <c r="AA131">
        <f>'2015_2020'!Y20</f>
        <v>3.6999999999999998E-2</v>
      </c>
      <c r="AB131">
        <f>'2015_2020'!Z20</f>
        <v>4.2999999999999997E-2</v>
      </c>
      <c r="AC131">
        <f>'2015_2020'!AA20</f>
        <v>4.4299999999999999E-2</v>
      </c>
      <c r="AD131">
        <f>'2015_2020'!AB20</f>
        <v>4.0300000000000002E-2</v>
      </c>
      <c r="AE131">
        <f>'2015_2020'!AC20</f>
        <v>4.1399999999999999E-2</v>
      </c>
      <c r="AF131">
        <f>'2015_2020'!AD20</f>
        <v>3.6700000000000003E-2</v>
      </c>
      <c r="AG131">
        <f>'2015_2020'!AE20</f>
        <v>3.1899999999999998E-2</v>
      </c>
      <c r="AH131">
        <f>'2015_2020'!AF20</f>
        <v>3.9699999999999999E-2</v>
      </c>
      <c r="AI131">
        <f>'2015_2020'!AG20</f>
        <v>3.2199999999999999E-2</v>
      </c>
      <c r="AJ131">
        <f>'2015_2020'!AH20</f>
        <v>2.5999999999999999E-2</v>
      </c>
      <c r="AK131">
        <f>'2015_2020'!AI20</f>
        <v>2.4799999999999999E-2</v>
      </c>
      <c r="AL131">
        <f>'2015_2020'!AJ20</f>
        <v>2.9000000000000001E-2</v>
      </c>
      <c r="AM131">
        <f>'2015_2020'!AK20</f>
        <v>2.4899999999999999E-2</v>
      </c>
      <c r="AN131">
        <f>'2015_2020'!AL20</f>
        <v>2.6200000000000001E-2</v>
      </c>
      <c r="AO131">
        <f>'2015_2020'!AM20</f>
        <v>3.0599999999999999E-2</v>
      </c>
      <c r="AP131">
        <f>'2015_2020'!AN20</f>
        <v>3.6400000000000002E-2</v>
      </c>
      <c r="AQ131">
        <f>'2015_2020'!AO20</f>
        <v>3.7900000000000003E-2</v>
      </c>
      <c r="AR131">
        <f>'2015_2020'!AP20</f>
        <v>3.4500000000000003E-2</v>
      </c>
      <c r="AS131">
        <f>'2015_2020'!AQ20</f>
        <v>2.7199999999999998E-2</v>
      </c>
      <c r="AT131">
        <f>'2015_2020'!AR20</f>
        <v>2.3900000000000001E-2</v>
      </c>
      <c r="AU131">
        <f>'2015_2020'!AS20</f>
        <v>2.2100000000000002E-2</v>
      </c>
      <c r="AV131">
        <f>'2015_2020'!AT20</f>
        <v>3.0599999999999999E-2</v>
      </c>
      <c r="AW131">
        <f>'2015_2020'!AU20</f>
        <v>3.0800000000000001E-2</v>
      </c>
      <c r="AX131">
        <f>'2015_2020'!AV20</f>
        <v>1.9900000000000001E-2</v>
      </c>
      <c r="AY131">
        <f>'2015_2020'!AW20</f>
        <v>0.02</v>
      </c>
      <c r="AZ131">
        <f>'2015_2020'!AX20</f>
        <v>2.23E-2</v>
      </c>
      <c r="BA131">
        <f>'2015_2020'!AY20</f>
        <v>2.52E-2</v>
      </c>
      <c r="BB131">
        <f>'2015_2020'!AZ20</f>
        <v>2.06E-2</v>
      </c>
      <c r="BC131">
        <f>'2015_2020'!BA20</f>
        <v>2.5700000000000001E-2</v>
      </c>
      <c r="BD131">
        <f>'2015_2020'!BB20</f>
        <v>2.18E-2</v>
      </c>
      <c r="BE131">
        <f>'2015_2020'!BC20</f>
        <v>2.3699999999999999E-2</v>
      </c>
      <c r="BF131">
        <f>'2015_2020'!BD20</f>
        <v>2.4E-2</v>
      </c>
      <c r="BG131">
        <f>'2015_2020'!BE20</f>
        <v>2.7199999999999998E-2</v>
      </c>
      <c r="BH131">
        <f>'2015_2020'!BF20</f>
        <v>3.0499999999999999E-2</v>
      </c>
      <c r="BI131">
        <f>'2015_2020'!BG20</f>
        <v>2.6599999999999999E-2</v>
      </c>
      <c r="BJ131">
        <f>'2015_2020'!BH20</f>
        <v>0.03</v>
      </c>
      <c r="BK131">
        <f>'2015_2020'!BI20</f>
        <v>2.46E-2</v>
      </c>
      <c r="BL131">
        <f>'2015_2020'!BJ20</f>
        <v>2.3099999999999999E-2</v>
      </c>
      <c r="BM131">
        <f>'2015_2020'!BK20</f>
        <v>2.0899999999999998E-2</v>
      </c>
      <c r="BN131">
        <f>'2015_2020'!BL20</f>
        <v>1.8100000000000002E-2</v>
      </c>
      <c r="BO131">
        <f>'2015_2020'!BM20</f>
        <v>1.5299999999999999E-2</v>
      </c>
      <c r="BP131">
        <f>'2015_2020'!BN20</f>
        <v>9.7800000000000005E-3</v>
      </c>
      <c r="BQ131">
        <f>'2015_2020'!BO20</f>
        <v>1.4E-2</v>
      </c>
      <c r="BR131">
        <f>'2015_2020'!BP20</f>
        <v>1.9900000000000001E-2</v>
      </c>
      <c r="BS131">
        <f>'2015_2020'!BQ20</f>
        <v>2.4799999999999999E-2</v>
      </c>
      <c r="BT131">
        <f>'2015_2020'!BR20</f>
        <v>2.9899999999999999E-2</v>
      </c>
      <c r="BU131">
        <f>'2015_2020'!BS20</f>
        <v>3.32E-2</v>
      </c>
      <c r="BV131">
        <f>'2015_2020'!BT20</f>
        <v>3.5299999999999998E-2</v>
      </c>
      <c r="BW131">
        <f>'2015_2020'!BU20</f>
        <v>3.6600000000000001E-2</v>
      </c>
      <c r="BX131">
        <f>'2015_2020'!BV20</f>
        <v>2.7099999999999999E-2</v>
      </c>
      <c r="BY131">
        <f>'2015_2020'!BW20</f>
        <v>3.9199999999999999E-2</v>
      </c>
      <c r="BZ131">
        <f>'2015_2020'!BX20</f>
        <v>4.0500000000000001E-2</v>
      </c>
      <c r="CA131">
        <f>'2015_2020'!BY20</f>
        <v>3.3300000000000003E-2</v>
      </c>
      <c r="CB131">
        <f>'2015_2020'!BZ20</f>
        <v>2.3599999999999999E-2</v>
      </c>
      <c r="CC131">
        <f>'2015_2020'!CA20</f>
        <v>3.49E-2</v>
      </c>
      <c r="CD131">
        <f>'2015_2020'!CB20</f>
        <v>1.9699999999999999E-2</v>
      </c>
      <c r="CE131">
        <f>'2015_2020'!CC20</f>
        <v>2.06E-2</v>
      </c>
      <c r="CF131">
        <f>'2015_2020'!CD20</f>
        <v>2.41E-2</v>
      </c>
      <c r="CG131">
        <f>'2015_2020'!CE20</f>
        <v>2.5999999999999999E-2</v>
      </c>
      <c r="CH131">
        <f>'2015_2020'!CF20</f>
        <v>2.01E-2</v>
      </c>
      <c r="CI131">
        <f>'2015_2020'!CG20</f>
        <v>2.4899999999999999E-2</v>
      </c>
      <c r="CJ131">
        <f>'2015_2020'!CH20</f>
        <v>1.4E-2</v>
      </c>
      <c r="CK131">
        <f>'2015_2020'!CI20</f>
        <v>6.1599999999999997E-3</v>
      </c>
      <c r="CL131">
        <f>'2015_2020'!CJ20</f>
        <v>2.31E-3</v>
      </c>
      <c r="CM131">
        <f>'2015_2020'!CK20</f>
        <v>1.6500000000000001E-2</v>
      </c>
      <c r="CN131">
        <f>'2015_2020'!CL20</f>
        <v>1.9699999999999999E-2</v>
      </c>
      <c r="CO131">
        <f>'2015_2020'!CM20</f>
        <v>7.6899999999999998E-3</v>
      </c>
      <c r="CP131">
        <f>'2015_2020'!CN20</f>
        <v>1.8200000000000001E-2</v>
      </c>
      <c r="CQ131">
        <f>'2015_2020'!CO20</f>
        <v>9.8200000000000006E-3</v>
      </c>
      <c r="CR131">
        <f>'2015_2020'!CP20</f>
        <v>1.38E-2</v>
      </c>
      <c r="CS131">
        <f>'2015_2020'!CQ20</f>
        <v>2.63E-2</v>
      </c>
      <c r="CT131">
        <f>'2015_2020'!CR20</f>
        <v>1.9900000000000001E-2</v>
      </c>
      <c r="CU131">
        <f>'2015_2020'!CS20</f>
        <v>1.5299999999999999E-2</v>
      </c>
      <c r="CV131">
        <f>'2015_2020'!CT20</f>
        <v>-6.6499999999999997E-3</v>
      </c>
      <c r="CW131">
        <f>'2015_2020'!CU20</f>
        <v>1.6199999999999999E-2</v>
      </c>
      <c r="CX131">
        <f>'2015_2020'!CV20</f>
        <v>1.52E-2</v>
      </c>
    </row>
    <row r="132" spans="1:102" x14ac:dyDescent="0.2">
      <c r="A132" t="s">
        <v>214</v>
      </c>
      <c r="B132" t="s">
        <v>219</v>
      </c>
      <c r="C132" t="s">
        <v>221</v>
      </c>
      <c r="D132">
        <f>'2015_2020'!B21</f>
        <v>3.6400000000000002E-2</v>
      </c>
      <c r="E132">
        <f>'2015_2020'!C21</f>
        <v>4.3700000000000003E-2</v>
      </c>
      <c r="F132">
        <f>'2015_2020'!D21</f>
        <v>2.6499999999999999E-2</v>
      </c>
      <c r="G132">
        <f>'2015_2020'!E21</f>
        <v>1.3899999999999999E-2</v>
      </c>
      <c r="H132">
        <f>'2015_2020'!F21</f>
        <v>4.0099999999999997E-2</v>
      </c>
      <c r="I132">
        <f>'2015_2020'!G21</f>
        <v>3.4099999999999998E-2</v>
      </c>
      <c r="J132">
        <f>'2015_2020'!H21</f>
        <v>2.7400000000000001E-2</v>
      </c>
      <c r="K132">
        <f>'2015_2020'!I21</f>
        <v>2.24E-2</v>
      </c>
      <c r="L132">
        <f>'2015_2020'!J21</f>
        <v>1.72E-2</v>
      </c>
      <c r="M132">
        <f>'2015_2020'!K21</f>
        <v>1.5699999999999999E-2</v>
      </c>
      <c r="N132">
        <f>'2015_2020'!L21</f>
        <v>1.2E-2</v>
      </c>
      <c r="O132">
        <f>'2015_2020'!M21</f>
        <v>1.2899999999999999E-3</v>
      </c>
      <c r="P132">
        <f>'2015_2020'!N21</f>
        <v>1.5800000000000002E-2</v>
      </c>
      <c r="Q132">
        <f>'2015_2020'!O21</f>
        <v>1.3500000000000001E-3</v>
      </c>
      <c r="R132">
        <f>'2015_2020'!P21</f>
        <v>-2.7599999999999999E-3</v>
      </c>
      <c r="S132">
        <f>'2015_2020'!Q21</f>
        <v>-1.25E-4</v>
      </c>
      <c r="T132">
        <f>'2015_2020'!R21</f>
        <v>-1.91E-3</v>
      </c>
      <c r="U132">
        <f>'2015_2020'!S21</f>
        <v>1.47E-3</v>
      </c>
      <c r="V132">
        <f>'2015_2020'!T21</f>
        <v>-2.4599999999999999E-3</v>
      </c>
      <c r="W132">
        <f>'2015_2020'!U21</f>
        <v>-3.8999999999999998E-3</v>
      </c>
      <c r="X132">
        <f>'2015_2020'!V21</f>
        <v>-3.98E-3</v>
      </c>
      <c r="Y132">
        <f>'2015_2020'!W21</f>
        <v>-5.3200000000000001E-3</v>
      </c>
      <c r="Z132">
        <f>'2015_2020'!X21</f>
        <v>-7.8300000000000002E-3</v>
      </c>
      <c r="AA132">
        <f>'2015_2020'!Y21</f>
        <v>-9.0799999999999995E-3</v>
      </c>
      <c r="AB132">
        <f>'2015_2020'!Z21</f>
        <v>2.1099999999999999E-3</v>
      </c>
      <c r="AC132">
        <f>'2015_2020'!AA21</f>
        <v>-3.4099999999999998E-3</v>
      </c>
      <c r="AD132">
        <f>'2015_2020'!AB21</f>
        <v>-3.3700000000000002E-3</v>
      </c>
      <c r="AE132">
        <f>'2015_2020'!AC21</f>
        <v>-5.7600000000000004E-3</v>
      </c>
      <c r="AF132">
        <f>'2015_2020'!AD21</f>
        <v>4.2900000000000004E-3</v>
      </c>
      <c r="AG132">
        <f>'2015_2020'!AE21</f>
        <v>-1.42E-3</v>
      </c>
      <c r="AH132">
        <f>'2015_2020'!AF21</f>
        <v>-3.1E-4</v>
      </c>
      <c r="AI132">
        <f>'2015_2020'!AG21</f>
        <v>-8.1599999999999999E-4</v>
      </c>
      <c r="AJ132">
        <f>'2015_2020'!AH21</f>
        <v>1.9799999999999999E-4</v>
      </c>
      <c r="AK132">
        <f>'2015_2020'!AI21</f>
        <v>-3.6600000000000002E-5</v>
      </c>
      <c r="AL132">
        <f>'2015_2020'!AJ21</f>
        <v>1.83E-4</v>
      </c>
      <c r="AM132">
        <f>'2015_2020'!AK21</f>
        <v>-4.0699999999999998E-3</v>
      </c>
      <c r="AN132">
        <f>'2015_2020'!AL21</f>
        <v>-2.1199999999999999E-3</v>
      </c>
      <c r="AO132">
        <f>'2015_2020'!AM21</f>
        <v>-4.47E-3</v>
      </c>
      <c r="AP132">
        <f>'2015_2020'!AN21</f>
        <v>3.7499999999999999E-3</v>
      </c>
      <c r="AQ132">
        <f>'2015_2020'!AO21</f>
        <v>4.4700000000000002E-4</v>
      </c>
      <c r="AR132">
        <f>'2015_2020'!AP21</f>
        <v>6.6800000000000002E-3</v>
      </c>
      <c r="AS132">
        <f>'2015_2020'!AQ21</f>
        <v>-3.47E-3</v>
      </c>
      <c r="AT132">
        <f>'2015_2020'!AR21</f>
        <v>-2.98E-3</v>
      </c>
      <c r="AU132">
        <f>'2015_2020'!AS21</f>
        <v>-3.7499999999999999E-3</v>
      </c>
      <c r="AV132">
        <f>'2015_2020'!AT21</f>
        <v>6.4200000000000004E-3</v>
      </c>
      <c r="AW132">
        <f>'2015_2020'!AU21</f>
        <v>6.0999999999999997E-4</v>
      </c>
      <c r="AX132">
        <f>'2015_2020'!AV21</f>
        <v>3.2399999999999998E-3</v>
      </c>
      <c r="AY132">
        <f>'2015_2020'!AW21</f>
        <v>3.86E-4</v>
      </c>
      <c r="AZ132">
        <f>'2015_2020'!AX21</f>
        <v>2.3999999999999998E-3</v>
      </c>
      <c r="BA132">
        <f>'2015_2020'!AY21</f>
        <v>1.9499999999999999E-3</v>
      </c>
      <c r="BB132">
        <f>'2015_2020'!AZ21</f>
        <v>1.49E-3</v>
      </c>
      <c r="BC132">
        <f>'2015_2020'!BA21</f>
        <v>-7.4600000000000003E-4</v>
      </c>
      <c r="BD132">
        <f>'2015_2020'!BB21</f>
        <v>5.4500000000000002E-4</v>
      </c>
      <c r="BE132">
        <f>'2015_2020'!BC21</f>
        <v>-4.1399999999999996E-3</v>
      </c>
      <c r="BF132">
        <f>'2015_2020'!BD21</f>
        <v>3.5699999999999998E-3</v>
      </c>
      <c r="BG132">
        <f>'2015_2020'!BE21</f>
        <v>5.2499999999999997E-4</v>
      </c>
      <c r="BH132">
        <f>'2015_2020'!BF21</f>
        <v>3.6700000000000001E-3</v>
      </c>
      <c r="BI132">
        <f>'2015_2020'!BG21</f>
        <v>2.3600000000000001E-3</v>
      </c>
      <c r="BJ132">
        <f>'2015_2020'!BH21</f>
        <v>6.2500000000000003E-3</v>
      </c>
      <c r="BK132">
        <f>'2015_2020'!BI21</f>
        <v>8.0000000000000004E-4</v>
      </c>
      <c r="BL132">
        <f>'2015_2020'!BJ21</f>
        <v>2.8600000000000001E-3</v>
      </c>
      <c r="BM132">
        <f>'2015_2020'!BK21</f>
        <v>9.6500000000000004E-4</v>
      </c>
      <c r="BN132">
        <f>'2015_2020'!BL21</f>
        <v>1.7700000000000001E-3</v>
      </c>
      <c r="BO132">
        <f>'2015_2020'!BM21</f>
        <v>2.4199999999999998E-3</v>
      </c>
      <c r="BP132">
        <f>'2015_2020'!BN21</f>
        <v>3.7699999999999999E-3</v>
      </c>
      <c r="BQ132">
        <f>'2015_2020'!BO21</f>
        <v>-4.0699999999999998E-3</v>
      </c>
      <c r="BR132">
        <f>'2015_2020'!BP21</f>
        <v>-9.8399999999999998E-3</v>
      </c>
      <c r="BS132">
        <f>'2015_2020'!BQ21</f>
        <v>5.1400000000000003E-4</v>
      </c>
      <c r="BT132">
        <f>'2015_2020'!BR21</f>
        <v>2.3999999999999998E-3</v>
      </c>
      <c r="BU132">
        <f>'2015_2020'!BS21</f>
        <v>6.1900000000000002E-3</v>
      </c>
      <c r="BV132">
        <f>'2015_2020'!BT21</f>
        <v>3.3999999999999998E-3</v>
      </c>
      <c r="BW132">
        <f>'2015_2020'!BU21</f>
        <v>5.0499999999999998E-3</v>
      </c>
      <c r="BX132">
        <f>'2015_2020'!BV21</f>
        <v>6.6299999999999996E-3</v>
      </c>
      <c r="BY132">
        <f>'2015_2020'!BW21</f>
        <v>6.1000000000000004E-3</v>
      </c>
      <c r="BZ132">
        <f>'2015_2020'!BX21</f>
        <v>1.3999999999999999E-4</v>
      </c>
      <c r="CA132">
        <f>'2015_2020'!BY21</f>
        <v>8.1399999999999997E-3</v>
      </c>
      <c r="CB132">
        <f>'2015_2020'!BZ21</f>
        <v>-3.0300000000000001E-3</v>
      </c>
      <c r="CC132">
        <f>'2015_2020'!CA21</f>
        <v>-5.4900000000000001E-3</v>
      </c>
      <c r="CD132">
        <f>'2015_2020'!CB21</f>
        <v>1.03E-2</v>
      </c>
      <c r="CE132">
        <f>'2015_2020'!CC21</f>
        <v>1.34E-2</v>
      </c>
      <c r="CF132">
        <f>'2015_2020'!CD21</f>
        <v>-4.8999999999999998E-4</v>
      </c>
      <c r="CG132">
        <f>'2015_2020'!CE21</f>
        <v>1.14E-2</v>
      </c>
      <c r="CH132">
        <f>'2015_2020'!CF21</f>
        <v>4.2199999999999998E-3</v>
      </c>
      <c r="CI132">
        <f>'2015_2020'!CG21</f>
        <v>1.3100000000000001E-2</v>
      </c>
      <c r="CJ132">
        <f>'2015_2020'!CH21</f>
        <v>1.01E-2</v>
      </c>
      <c r="CK132">
        <f>'2015_2020'!CI21</f>
        <v>1.1299999999999999E-2</v>
      </c>
      <c r="CL132">
        <f>'2015_2020'!CJ21</f>
        <v>2.0999999999999999E-3</v>
      </c>
      <c r="CM132">
        <f>'2015_2020'!CK21</f>
        <v>1.77E-2</v>
      </c>
      <c r="CN132">
        <f>'2015_2020'!CL21</f>
        <v>1.14E-2</v>
      </c>
      <c r="CO132">
        <f>'2015_2020'!CM21</f>
        <v>1.5900000000000001E-2</v>
      </c>
      <c r="CP132">
        <f>'2015_2020'!CN21</f>
        <v>1.03E-2</v>
      </c>
      <c r="CQ132">
        <f>'2015_2020'!CO21</f>
        <v>2.0799999999999999E-2</v>
      </c>
      <c r="CR132">
        <f>'2015_2020'!CP21</f>
        <v>1.6899999999999998E-2</v>
      </c>
      <c r="CS132">
        <f>'2015_2020'!CQ21</f>
        <v>1.2500000000000001E-2</v>
      </c>
      <c r="CT132">
        <f>'2015_2020'!CR21</f>
        <v>2.9499999999999998E-2</v>
      </c>
      <c r="CU132">
        <f>'2015_2020'!CS21</f>
        <v>3.8199999999999998E-2</v>
      </c>
      <c r="CV132">
        <f>'2015_2020'!CT21</f>
        <v>3.15E-2</v>
      </c>
      <c r="CW132">
        <f>'2015_2020'!CU21</f>
        <v>3.9199999999999999E-2</v>
      </c>
      <c r="CX132">
        <f>'2015_2020'!CV21</f>
        <v>2.9000000000000001E-2</v>
      </c>
    </row>
    <row r="133" spans="1:102" x14ac:dyDescent="0.2">
      <c r="A133" t="s">
        <v>215</v>
      </c>
      <c r="B133" t="s">
        <v>219</v>
      </c>
      <c r="C133" t="s">
        <v>221</v>
      </c>
      <c r="D133">
        <f>'2015_2020'!B22</f>
        <v>-1.24E-2</v>
      </c>
      <c r="E133">
        <f>'2015_2020'!C22</f>
        <v>-0.113</v>
      </c>
      <c r="F133">
        <f>'2015_2020'!D22</f>
        <v>-6.3700000000000007E-2</v>
      </c>
      <c r="G133">
        <f>'2015_2020'!E22</f>
        <v>-2.6100000000000002E-2</v>
      </c>
      <c r="H133">
        <f>'2015_2020'!F22</f>
        <v>3.2199999999999999E-2</v>
      </c>
      <c r="I133">
        <f>'2015_2020'!G22</f>
        <v>4.1700000000000001E-2</v>
      </c>
      <c r="J133">
        <f>'2015_2020'!H22</f>
        <v>4.07E-2</v>
      </c>
      <c r="K133">
        <f>'2015_2020'!I22</f>
        <v>1.23E-2</v>
      </c>
      <c r="L133">
        <f>'2015_2020'!J22</f>
        <v>1.3599999999999999E-2</v>
      </c>
      <c r="M133">
        <f>'2015_2020'!K22</f>
        <v>1.15E-2</v>
      </c>
      <c r="N133">
        <f>'2015_2020'!L22</f>
        <v>2.6599999999999999E-2</v>
      </c>
      <c r="O133">
        <f>'2015_2020'!M22</f>
        <v>1.5100000000000001E-2</v>
      </c>
      <c r="P133">
        <f>'2015_2020'!N22</f>
        <v>2.4E-2</v>
      </c>
      <c r="Q133">
        <f>'2015_2020'!O22</f>
        <v>2.0299999999999999E-2</v>
      </c>
      <c r="R133">
        <f>'2015_2020'!P22</f>
        <v>2.2499999999999999E-2</v>
      </c>
      <c r="S133">
        <f>'2015_2020'!Q22</f>
        <v>1.9599999999999999E-2</v>
      </c>
      <c r="T133">
        <f>'2015_2020'!R22</f>
        <v>1.9599999999999999E-2</v>
      </c>
      <c r="U133">
        <f>'2015_2020'!S22</f>
        <v>1.66E-2</v>
      </c>
      <c r="V133">
        <f>'2015_2020'!T22</f>
        <v>1.8100000000000002E-2</v>
      </c>
      <c r="W133">
        <f>'2015_2020'!U22</f>
        <v>1.7000000000000001E-2</v>
      </c>
      <c r="X133">
        <f>'2015_2020'!V22</f>
        <v>1.2500000000000001E-2</v>
      </c>
      <c r="Y133">
        <f>'2015_2020'!W22</f>
        <v>1.2699999999999999E-2</v>
      </c>
      <c r="Z133">
        <f>'2015_2020'!X22</f>
        <v>1.23E-2</v>
      </c>
      <c r="AA133">
        <f>'2015_2020'!Y22</f>
        <v>1.18E-2</v>
      </c>
      <c r="AB133">
        <f>'2015_2020'!Z22</f>
        <v>1.3299999999999999E-2</v>
      </c>
      <c r="AC133">
        <f>'2015_2020'!AA22</f>
        <v>1.2999999999999999E-2</v>
      </c>
      <c r="AD133">
        <f>'2015_2020'!AB22</f>
        <v>1.43E-2</v>
      </c>
      <c r="AE133">
        <f>'2015_2020'!AC22</f>
        <v>1.4200000000000001E-2</v>
      </c>
      <c r="AF133">
        <f>'2015_2020'!AD22</f>
        <v>1.35E-2</v>
      </c>
      <c r="AG133">
        <f>'2015_2020'!AE22</f>
        <v>1.4E-2</v>
      </c>
      <c r="AH133">
        <f>'2015_2020'!AF22</f>
        <v>1.7299999999999999E-2</v>
      </c>
      <c r="AI133">
        <f>'2015_2020'!AG22</f>
        <v>1.77E-2</v>
      </c>
      <c r="AJ133">
        <f>'2015_2020'!AH22</f>
        <v>1.23E-2</v>
      </c>
      <c r="AK133">
        <f>'2015_2020'!AI22</f>
        <v>1.64E-3</v>
      </c>
      <c r="AL133">
        <f>'2015_2020'!AJ22</f>
        <v>3.47E-3</v>
      </c>
      <c r="AM133">
        <f>'2015_2020'!AK22</f>
        <v>3.3300000000000001E-3</v>
      </c>
      <c r="AN133">
        <f>'2015_2020'!AL22</f>
        <v>2.9199999999999999E-3</v>
      </c>
      <c r="AO133">
        <f>'2015_2020'!AM22</f>
        <v>4.7600000000000003E-3</v>
      </c>
      <c r="AP133">
        <f>'2015_2020'!AN22</f>
        <v>-3.0699999999999998E-3</v>
      </c>
      <c r="AQ133">
        <f>'2015_2020'!AO22</f>
        <v>-1.6800000000000001E-3</v>
      </c>
      <c r="AR133">
        <f>'2015_2020'!AP22</f>
        <v>2.16E-3</v>
      </c>
      <c r="AS133">
        <f>'2015_2020'!AQ22</f>
        <v>2.7799999999999999E-3</v>
      </c>
      <c r="AT133">
        <f>'2015_2020'!AR22</f>
        <v>3.1099999999999999E-3</v>
      </c>
      <c r="AU133">
        <f>'2015_2020'!AS22</f>
        <v>3.6800000000000001E-3</v>
      </c>
      <c r="AV133">
        <f>'2015_2020'!AT22</f>
        <v>6.2100000000000002E-3</v>
      </c>
      <c r="AW133">
        <f>'2015_2020'!AU22</f>
        <v>6.8100000000000001E-3</v>
      </c>
      <c r="AX133">
        <f>'2015_2020'!AV22</f>
        <v>6.6E-3</v>
      </c>
      <c r="AY133">
        <f>'2015_2020'!AW22</f>
        <v>6.4999999999999997E-3</v>
      </c>
      <c r="AZ133">
        <f>'2015_2020'!AX22</f>
        <v>9.0100000000000006E-3</v>
      </c>
      <c r="BA133">
        <f>'2015_2020'!AY22</f>
        <v>1.24E-2</v>
      </c>
      <c r="BB133">
        <f>'2015_2020'!AZ22</f>
        <v>1.17E-2</v>
      </c>
      <c r="BC133">
        <f>'2015_2020'!BA22</f>
        <v>1.2699999999999999E-2</v>
      </c>
      <c r="BD133">
        <f>'2015_2020'!BB22</f>
        <v>1.6199999999999999E-2</v>
      </c>
      <c r="BE133">
        <f>'2015_2020'!BC22</f>
        <v>1.37E-2</v>
      </c>
      <c r="BF133">
        <f>'2015_2020'!BD22</f>
        <v>1.66E-2</v>
      </c>
      <c r="BG133">
        <f>'2015_2020'!BE22</f>
        <v>1.8599999999999998E-2</v>
      </c>
      <c r="BH133">
        <f>'2015_2020'!BF22</f>
        <v>2.1399999999999999E-2</v>
      </c>
      <c r="BI133">
        <f>'2015_2020'!BG22</f>
        <v>-1.0200000000000001E-2</v>
      </c>
      <c r="BJ133">
        <f>'2015_2020'!BH22</f>
        <v>-1.61E-2</v>
      </c>
      <c r="BK133">
        <f>'2015_2020'!BI22</f>
        <v>-1.5100000000000001E-2</v>
      </c>
      <c r="BL133">
        <f>'2015_2020'!BJ22</f>
        <v>-1.21E-2</v>
      </c>
      <c r="BM133">
        <f>'2015_2020'!BK22</f>
        <v>-2.1299999999999999E-2</v>
      </c>
      <c r="BN133">
        <f>'2015_2020'!BL22</f>
        <v>-2.4400000000000002E-2</v>
      </c>
      <c r="BO133">
        <f>'2015_2020'!BM22</f>
        <v>-2.4400000000000002E-2</v>
      </c>
      <c r="BP133">
        <f>'2015_2020'!BN22</f>
        <v>-2.0899999999999998E-2</v>
      </c>
      <c r="BQ133">
        <f>'2015_2020'!BO22</f>
        <v>-2.0899999999999998E-2</v>
      </c>
      <c r="BR133">
        <f>'2015_2020'!BP22</f>
        <v>-2.0500000000000001E-2</v>
      </c>
      <c r="BS133">
        <f>'2015_2020'!BQ22</f>
        <v>-1.55E-2</v>
      </c>
      <c r="BT133">
        <f>'2015_2020'!BR22</f>
        <v>-1.7299999999999999E-2</v>
      </c>
      <c r="BU133">
        <f>'2015_2020'!BS22</f>
        <v>-1.7100000000000001E-2</v>
      </c>
      <c r="BV133">
        <f>'2015_2020'!BT22</f>
        <v>-1.8499999999999999E-2</v>
      </c>
      <c r="BW133">
        <f>'2015_2020'!BU22</f>
        <v>-2.0500000000000001E-2</v>
      </c>
      <c r="BX133">
        <f>'2015_2020'!BV22</f>
        <v>-2.1899999999999999E-2</v>
      </c>
      <c r="BY133">
        <f>'2015_2020'!BW22</f>
        <v>-2.0899999999999998E-2</v>
      </c>
      <c r="BZ133">
        <f>'2015_2020'!BX22</f>
        <v>-1.7899999999999999E-2</v>
      </c>
      <c r="CA133">
        <f>'2015_2020'!BY22</f>
        <v>-3.0500000000000002E-3</v>
      </c>
      <c r="CB133">
        <f>'2015_2020'!BZ22</f>
        <v>-7.6100000000000007E-5</v>
      </c>
      <c r="CC133">
        <f>'2015_2020'!CA22</f>
        <v>1.5900000000000001E-3</v>
      </c>
      <c r="CD133">
        <f>'2015_2020'!CB22</f>
        <v>-5.9899999999999997E-3</v>
      </c>
      <c r="CE133">
        <f>'2015_2020'!CC22</f>
        <v>-4.7999999999999996E-3</v>
      </c>
      <c r="CF133">
        <f>'2015_2020'!CD22</f>
        <v>-2.7299999999999998E-3</v>
      </c>
      <c r="CG133">
        <f>'2015_2020'!CE22</f>
        <v>-2.0200000000000001E-3</v>
      </c>
      <c r="CH133">
        <f>'2015_2020'!CF22</f>
        <v>5.9100000000000005E-4</v>
      </c>
      <c r="CI133">
        <f>'2015_2020'!CG22</f>
        <v>2.98E-3</v>
      </c>
      <c r="CJ133">
        <f>'2015_2020'!CH22</f>
        <v>-1.4999999999999999E-2</v>
      </c>
      <c r="CK133">
        <f>'2015_2020'!CI22</f>
        <v>-8.0800000000000004E-3</v>
      </c>
      <c r="CL133">
        <f>'2015_2020'!CJ22</f>
        <v>-3.2499999999999999E-3</v>
      </c>
      <c r="CM133">
        <f>'2015_2020'!CK22</f>
        <v>-2.2599999999999999E-3</v>
      </c>
      <c r="CN133">
        <f>'2015_2020'!CL22</f>
        <v>-6.4900000000000005E-5</v>
      </c>
      <c r="CO133">
        <f>'2015_2020'!CM22</f>
        <v>5.3800000000000002E-3</v>
      </c>
      <c r="CP133">
        <f>'2015_2020'!CN22</f>
        <v>6.6499999999999997E-3</v>
      </c>
      <c r="CQ133">
        <f>'2015_2020'!CO22</f>
        <v>9.7400000000000004E-3</v>
      </c>
      <c r="CR133">
        <f>'2015_2020'!CP22</f>
        <v>1.78E-2</v>
      </c>
      <c r="CS133">
        <f>'2015_2020'!CQ22</f>
        <v>1.83E-2</v>
      </c>
      <c r="CT133">
        <f>'2015_2020'!CR22</f>
        <v>-7.3800000000000004E-2</v>
      </c>
      <c r="CU133">
        <f>'2015_2020'!CS22</f>
        <v>-7.9000000000000001E-2</v>
      </c>
      <c r="CV133">
        <f>'2015_2020'!CT22</f>
        <v>-6.6299999999999998E-2</v>
      </c>
      <c r="CW133">
        <f>'2015_2020'!CU22</f>
        <v>-7.6499999999999999E-2</v>
      </c>
      <c r="CX133">
        <f>'2015_2020'!CV22</f>
        <v>-7.5999999999999998E-2</v>
      </c>
    </row>
    <row r="134" spans="1:102" x14ac:dyDescent="0.2">
      <c r="A134" t="s">
        <v>216</v>
      </c>
      <c r="B134" t="s">
        <v>219</v>
      </c>
      <c r="C134" t="s">
        <v>221</v>
      </c>
      <c r="D134">
        <f>'2015_2020'!B23</f>
        <v>0.45200000000000001</v>
      </c>
      <c r="E134">
        <f>'2015_2020'!C23</f>
        <v>-0.14199999999999999</v>
      </c>
      <c r="F134">
        <f>'2015_2020'!D23</f>
        <v>-0.92800000000000005</v>
      </c>
      <c r="G134">
        <f>'2015_2020'!E23</f>
        <v>3.7900000000000003E-2</v>
      </c>
      <c r="H134">
        <f>'2015_2020'!F23</f>
        <v>-1.458</v>
      </c>
      <c r="I134">
        <f>'2015_2020'!G23</f>
        <v>-0.435</v>
      </c>
      <c r="J134">
        <f>'2015_2020'!H23</f>
        <v>-0.97</v>
      </c>
      <c r="K134">
        <f>'2015_2020'!I23</f>
        <v>-0.75600000000000001</v>
      </c>
      <c r="L134">
        <f>'2015_2020'!J23</f>
        <v>-0.53400000000000003</v>
      </c>
      <c r="M134">
        <f>'2015_2020'!K23</f>
        <v>-0.97699999999999998</v>
      </c>
      <c r="N134">
        <f>'2015_2020'!L23</f>
        <v>-1.0129999999999999</v>
      </c>
      <c r="O134">
        <f>'2015_2020'!M23</f>
        <v>-0.53200000000000003</v>
      </c>
      <c r="P134">
        <f>'2015_2020'!N23</f>
        <v>-0.71199999999999997</v>
      </c>
      <c r="Q134">
        <f>'2015_2020'!O23</f>
        <v>-0.60199999999999998</v>
      </c>
      <c r="R134">
        <f>'2015_2020'!P23</f>
        <v>-0.46600000000000003</v>
      </c>
      <c r="S134">
        <f>'2015_2020'!Q23</f>
        <v>-0.378</v>
      </c>
      <c r="T134">
        <f>'2015_2020'!R23</f>
        <v>-0.26500000000000001</v>
      </c>
      <c r="U134">
        <f>'2015_2020'!S23</f>
        <v>-0.222</v>
      </c>
      <c r="V134">
        <f>'2015_2020'!T23</f>
        <v>-0.124</v>
      </c>
      <c r="W134">
        <f>'2015_2020'!U23</f>
        <v>-0.115</v>
      </c>
      <c r="X134">
        <f>'2015_2020'!V23</f>
        <v>-0.13200000000000001</v>
      </c>
      <c r="Y134">
        <f>'2015_2020'!W23</f>
        <v>-6.0299999999999999E-2</v>
      </c>
      <c r="Z134">
        <f>'2015_2020'!X23</f>
        <v>-9.2499999999999999E-2</v>
      </c>
      <c r="AA134">
        <f>'2015_2020'!Y23</f>
        <v>-0.13700000000000001</v>
      </c>
      <c r="AB134">
        <f>'2015_2020'!Z23</f>
        <v>-0.14899999999999999</v>
      </c>
      <c r="AC134">
        <f>'2015_2020'!AA23</f>
        <v>-0.13400000000000001</v>
      </c>
      <c r="AD134">
        <f>'2015_2020'!AB23</f>
        <v>-0.111</v>
      </c>
      <c r="AE134">
        <f>'2015_2020'!AC23</f>
        <v>-0.115</v>
      </c>
      <c r="AF134">
        <f>'2015_2020'!AD23</f>
        <v>-0.109</v>
      </c>
      <c r="AG134">
        <f>'2015_2020'!AE23</f>
        <v>-9.98E-2</v>
      </c>
      <c r="AH134">
        <f>'2015_2020'!AF23</f>
        <v>-0.122</v>
      </c>
      <c r="AI134">
        <f>'2015_2020'!AG23</f>
        <v>-0.123</v>
      </c>
      <c r="AJ134">
        <f>'2015_2020'!AH23</f>
        <v>-0.12</v>
      </c>
      <c r="AK134">
        <f>'2015_2020'!AI23</f>
        <v>-0.111</v>
      </c>
      <c r="AL134">
        <f>'2015_2020'!AJ23</f>
        <v>-0.11600000000000001</v>
      </c>
      <c r="AM134">
        <f>'2015_2020'!AK23</f>
        <v>-0.111</v>
      </c>
      <c r="AN134">
        <f>'2015_2020'!AL23</f>
        <v>-0.11</v>
      </c>
      <c r="AO134">
        <f>'2015_2020'!AM23</f>
        <v>-0.124</v>
      </c>
      <c r="AP134">
        <f>'2015_2020'!AN23</f>
        <v>-0.185</v>
      </c>
      <c r="AQ134">
        <f>'2015_2020'!AO23</f>
        <v>-0.217</v>
      </c>
      <c r="AR134">
        <f>'2015_2020'!AP23</f>
        <v>-0.219</v>
      </c>
      <c r="AS134">
        <f>'2015_2020'!AQ23</f>
        <v>-0.184</v>
      </c>
      <c r="AT134">
        <f>'2015_2020'!AR23</f>
        <v>-0.16600000000000001</v>
      </c>
      <c r="AU134">
        <f>'2015_2020'!AS23</f>
        <v>-0.155</v>
      </c>
      <c r="AV134">
        <f>'2015_2020'!AT23</f>
        <v>-0.14599999999999999</v>
      </c>
      <c r="AW134">
        <f>'2015_2020'!AU23</f>
        <v>-0.114</v>
      </c>
      <c r="AX134">
        <f>'2015_2020'!AV23</f>
        <v>-9.4399999999999998E-2</v>
      </c>
      <c r="AY134">
        <f>'2015_2020'!AW23</f>
        <v>-6.7699999999999996E-2</v>
      </c>
      <c r="AZ134">
        <f>'2015_2020'!AX23</f>
        <v>-7.0400000000000004E-2</v>
      </c>
      <c r="BA134">
        <f>'2015_2020'!AY23</f>
        <v>-4.6600000000000003E-2</v>
      </c>
      <c r="BB134">
        <f>'2015_2020'!AZ23</f>
        <v>-7.6300000000000007E-2</v>
      </c>
      <c r="BC134">
        <f>'2015_2020'!BA23</f>
        <v>-0.106</v>
      </c>
      <c r="BD134">
        <f>'2015_2020'!BB23</f>
        <v>-0.128</v>
      </c>
      <c r="BE134">
        <f>'2015_2020'!BC23</f>
        <v>-0.128</v>
      </c>
      <c r="BF134">
        <f>'2015_2020'!BD23</f>
        <v>-0.128</v>
      </c>
      <c r="BG134">
        <f>'2015_2020'!BE23</f>
        <v>-0.17199999999999999</v>
      </c>
      <c r="BH134">
        <f>'2015_2020'!BF23</f>
        <v>-0.19</v>
      </c>
      <c r="BI134">
        <f>'2015_2020'!BG23</f>
        <v>-0.158</v>
      </c>
      <c r="BJ134">
        <f>'2015_2020'!BH23</f>
        <v>-0.158</v>
      </c>
      <c r="BK134">
        <f>'2015_2020'!BI23</f>
        <v>-0.153</v>
      </c>
      <c r="BL134">
        <f>'2015_2020'!BJ23</f>
        <v>-0.128</v>
      </c>
      <c r="BM134">
        <f>'2015_2020'!BK23</f>
        <v>-0.11700000000000001</v>
      </c>
      <c r="BN134">
        <f>'2015_2020'!BL23</f>
        <v>-9.7799999999999998E-2</v>
      </c>
      <c r="BO134">
        <f>'2015_2020'!BM23</f>
        <v>-5.7000000000000002E-2</v>
      </c>
      <c r="BP134">
        <f>'2015_2020'!BN23</f>
        <v>-4.7600000000000003E-3</v>
      </c>
      <c r="BQ134">
        <f>'2015_2020'!BO23</f>
        <v>1.3500000000000001E-3</v>
      </c>
      <c r="BR134">
        <f>'2015_2020'!BP23</f>
        <v>-1.17E-2</v>
      </c>
      <c r="BS134">
        <f>'2015_2020'!BQ23</f>
        <v>-1.18E-2</v>
      </c>
      <c r="BT134">
        <f>'2015_2020'!BR23</f>
        <v>1.3899999999999999E-2</v>
      </c>
      <c r="BU134">
        <f>'2015_2020'!BS23</f>
        <v>-9.0299999999999998E-3</v>
      </c>
      <c r="BV134">
        <f>'2015_2020'!BT23</f>
        <v>-0.16400000000000001</v>
      </c>
      <c r="BW134">
        <f>'2015_2020'!BU23</f>
        <v>-0.20799999999999999</v>
      </c>
      <c r="BX134">
        <f>'2015_2020'!BV23</f>
        <v>-0.183</v>
      </c>
      <c r="BY134">
        <f>'2015_2020'!BW23</f>
        <v>-0.14699999999999999</v>
      </c>
      <c r="BZ134">
        <f>'2015_2020'!BX23</f>
        <v>-0.20499999999999999</v>
      </c>
      <c r="CA134">
        <f>'2015_2020'!BY23</f>
        <v>-0.25</v>
      </c>
      <c r="CB134">
        <f>'2015_2020'!BZ23</f>
        <v>-0.221</v>
      </c>
      <c r="CC134">
        <f>'2015_2020'!CA23</f>
        <v>-0.21299999999999999</v>
      </c>
      <c r="CD134">
        <f>'2015_2020'!CB23</f>
        <v>-0.106</v>
      </c>
      <c r="CE134">
        <f>'2015_2020'!CC23</f>
        <v>0.13700000000000001</v>
      </c>
      <c r="CF134">
        <f>'2015_2020'!CD23</f>
        <v>0.20699999999999999</v>
      </c>
      <c r="CG134">
        <f>'2015_2020'!CE23</f>
        <v>0.124</v>
      </c>
      <c r="CH134">
        <f>'2015_2020'!CF23</f>
        <v>-2.63E-2</v>
      </c>
      <c r="CI134">
        <f>'2015_2020'!CG23</f>
        <v>-0.16500000000000001</v>
      </c>
      <c r="CJ134">
        <f>'2015_2020'!CH23</f>
        <v>-0.157</v>
      </c>
      <c r="CK134">
        <f>'2015_2020'!CI23</f>
        <v>-7.6499999999999999E-2</v>
      </c>
      <c r="CL134">
        <f>'2015_2020'!CJ23</f>
        <v>2.6499999999999999E-2</v>
      </c>
      <c r="CM134">
        <f>'2015_2020'!CK23</f>
        <v>5.6000000000000001E-2</v>
      </c>
      <c r="CN134">
        <f>'2015_2020'!CL23</f>
        <v>8.1500000000000003E-2</v>
      </c>
      <c r="CO134">
        <f>'2015_2020'!CM23</f>
        <v>0.11</v>
      </c>
      <c r="CP134">
        <f>'2015_2020'!CN23</f>
        <v>2.4099999999999998E-3</v>
      </c>
      <c r="CQ134">
        <f>'2015_2020'!CO23</f>
        <v>-3.1700000000000001E-3</v>
      </c>
      <c r="CR134">
        <f>'2015_2020'!CP23</f>
        <v>-6.5500000000000003E-2</v>
      </c>
      <c r="CS134">
        <f>'2015_2020'!CQ23</f>
        <v>-0.20899999999999999</v>
      </c>
      <c r="CT134">
        <f>'2015_2020'!CR23</f>
        <v>4.1000000000000002E-2</v>
      </c>
      <c r="CU134">
        <f>'2015_2020'!CS23</f>
        <v>0.14000000000000001</v>
      </c>
      <c r="CV134">
        <f>'2015_2020'!CT23</f>
        <v>0.24399999999999999</v>
      </c>
      <c r="CW134">
        <f>'2015_2020'!CU23</f>
        <v>2.87E-2</v>
      </c>
      <c r="CX134">
        <f>'2015_2020'!CV23</f>
        <v>0.14299999999999999</v>
      </c>
    </row>
    <row r="135" spans="1:102" x14ac:dyDescent="0.2">
      <c r="A135" t="s">
        <v>5909</v>
      </c>
      <c r="B135" t="s">
        <v>219</v>
      </c>
      <c r="C135" t="s">
        <v>221</v>
      </c>
      <c r="D135">
        <f>'2015_2020 Int_Confianca'!B61</f>
        <v>-0.75090000000000001</v>
      </c>
      <c r="E135">
        <f>'2015_2020 Int_Confianca'!C61</f>
        <v>-0.1137</v>
      </c>
      <c r="F135">
        <f>'2015_2020 Int_Confianca'!D61</f>
        <v>0.46410000000000001</v>
      </c>
      <c r="G135">
        <f>'2015_2020 Int_Confianca'!E61</f>
        <v>-0.14030000000000001</v>
      </c>
      <c r="H135">
        <f>'2015_2020 Int_Confianca'!F61</f>
        <v>0.7913</v>
      </c>
      <c r="I135">
        <f>'2015_2020 Int_Confianca'!G61</f>
        <v>0.17799999999999999</v>
      </c>
      <c r="J135">
        <f>'2015_2020 Int_Confianca'!H61</f>
        <v>0.48330000000000001</v>
      </c>
      <c r="K135">
        <f>'2015_2020 Int_Confianca'!I61</f>
        <v>0.36599999999999999</v>
      </c>
      <c r="L135">
        <f>'2015_2020 Int_Confianca'!J61</f>
        <v>0.24510000000000001</v>
      </c>
      <c r="M135">
        <f>'2015_2020 Int_Confianca'!K61</f>
        <v>0.4743</v>
      </c>
      <c r="N135">
        <f>'2015_2020 Int_Confianca'!L61</f>
        <v>0.47010000000000002</v>
      </c>
      <c r="O135">
        <f>'2015_2020 Int_Confianca'!M61</f>
        <v>0.24160000000000001</v>
      </c>
      <c r="P135">
        <f>'2015_2020 Int_Confianca'!N61</f>
        <v>0.29139999999999999</v>
      </c>
      <c r="Q135">
        <f>'2015_2020 Int_Confianca'!O61</f>
        <v>0.2414</v>
      </c>
      <c r="R135">
        <f>'2015_2020 Int_Confianca'!P61</f>
        <v>0.18579999999999999</v>
      </c>
      <c r="S135">
        <f>'2015_2020 Int_Confianca'!Q61</f>
        <v>0.15679999999999999</v>
      </c>
      <c r="T135">
        <f>'2015_2020 Int_Confianca'!R61</f>
        <v>9.98E-2</v>
      </c>
      <c r="U135">
        <f>'2015_2020 Int_Confianca'!S61</f>
        <v>7.4399999999999994E-2</v>
      </c>
      <c r="V135">
        <f>'2015_2020 Int_Confianca'!T61</f>
        <v>2.0299999999999999E-2</v>
      </c>
      <c r="W135">
        <f>'2015_2020 Int_Confianca'!U61</f>
        <v>1.43E-2</v>
      </c>
      <c r="X135">
        <f>'2015_2020 Int_Confianca'!V61</f>
        <v>2.3599999999999999E-2</v>
      </c>
      <c r="Y135">
        <f>'2015_2020 Int_Confianca'!W61</f>
        <v>-4.3E-3</v>
      </c>
      <c r="Z135">
        <f>'2015_2020 Int_Confianca'!X61</f>
        <v>6.7999999999999996E-3</v>
      </c>
      <c r="AA135">
        <f>'2015_2020 Int_Confianca'!Y61</f>
        <v>1.3299999999999999E-2</v>
      </c>
      <c r="AB135">
        <f>'2015_2020 Int_Confianca'!Z61</f>
        <v>3.5000000000000001E-3</v>
      </c>
      <c r="AC135">
        <f>'2015_2020 Int_Confianca'!AA61</f>
        <v>-9.7000000000000003E-3</v>
      </c>
      <c r="AD135">
        <f>'2015_2020 Int_Confianca'!AB61</f>
        <v>-1.14E-2</v>
      </c>
      <c r="AE135">
        <f>'2015_2020 Int_Confianca'!AC61</f>
        <v>-8.0999999999999996E-3</v>
      </c>
      <c r="AF135">
        <f>'2015_2020 Int_Confianca'!AD61</f>
        <v>-1.4800000000000001E-2</v>
      </c>
      <c r="AG135">
        <f>'2015_2020 Int_Confianca'!AE61</f>
        <v>-1.9699999999999999E-2</v>
      </c>
      <c r="AH135">
        <f>'2015_2020 Int_Confianca'!AF61</f>
        <v>-1.95E-2</v>
      </c>
      <c r="AI135">
        <f>'2015_2020 Int_Confianca'!AG61</f>
        <v>-2.1899999999999999E-2</v>
      </c>
      <c r="AJ135">
        <f>'2015_2020 Int_Confianca'!AH61</f>
        <v>-3.7600000000000001E-2</v>
      </c>
      <c r="AK135">
        <f>'2015_2020 Int_Confianca'!AI61</f>
        <v>-4.4900000000000002E-2</v>
      </c>
      <c r="AL135">
        <f>'2015_2020 Int_Confianca'!AJ61</f>
        <v>-3.6700000000000003E-2</v>
      </c>
      <c r="AM135">
        <f>'2015_2020 Int_Confianca'!AK61</f>
        <v>-2.6499999999999999E-2</v>
      </c>
      <c r="AN135">
        <f>'2015_2020 Int_Confianca'!AL61</f>
        <v>-3.0800000000000001E-2</v>
      </c>
      <c r="AO135">
        <f>'2015_2020 Int_Confianca'!AM61</f>
        <v>-3.4299999999999997E-2</v>
      </c>
      <c r="AP135">
        <f>'2015_2020 Int_Confianca'!AN61</f>
        <v>-2.1999999999999999E-2</v>
      </c>
      <c r="AQ135">
        <f>'2015_2020 Int_Confianca'!AO61</f>
        <v>-9.4000000000000004E-3</v>
      </c>
      <c r="AR135">
        <f>'2015_2020 Int_Confianca'!AP61</f>
        <v>-4.4999999999999997E-3</v>
      </c>
      <c r="AS135">
        <f>'2015_2020 Int_Confianca'!AQ61</f>
        <v>-8.8999999999999999E-3</v>
      </c>
      <c r="AT135">
        <f>'2015_2020 Int_Confianca'!AR61</f>
        <v>-1.14E-2</v>
      </c>
      <c r="AU135">
        <f>'2015_2020 Int_Confianca'!AS61</f>
        <v>-1.09E-2</v>
      </c>
      <c r="AV135">
        <f>'2015_2020 Int_Confianca'!AT61</f>
        <v>-2.3400000000000001E-2</v>
      </c>
      <c r="AW135">
        <f>'2015_2020 Int_Confianca'!AU61</f>
        <v>-4.6100000000000002E-2</v>
      </c>
      <c r="AX135">
        <f>'2015_2020 Int_Confianca'!AV61</f>
        <v>-6.1499999999999999E-2</v>
      </c>
      <c r="AY135">
        <f>'2015_2020 Int_Confianca'!AW61</f>
        <v>-7.5700000000000003E-2</v>
      </c>
      <c r="AZ135">
        <f>'2015_2020 Int_Confianca'!AX61</f>
        <v>-8.2100000000000006E-2</v>
      </c>
      <c r="BA135">
        <f>'2015_2020 Int_Confianca'!AY61</f>
        <v>-9.3899999999999997E-2</v>
      </c>
      <c r="BB135">
        <f>'2015_2020 Int_Confianca'!AZ61</f>
        <v>-8.43E-2</v>
      </c>
      <c r="BC135">
        <f>'2015_2020 Int_Confianca'!BA61</f>
        <v>-7.1900000000000006E-2</v>
      </c>
      <c r="BD135">
        <f>'2015_2020 Int_Confianca'!BB61</f>
        <v>-7.3200000000000001E-2</v>
      </c>
      <c r="BE135">
        <f>'2015_2020 Int_Confianca'!BC61</f>
        <v>-7.2599999999999998E-2</v>
      </c>
      <c r="BF135">
        <f>'2015_2020 Int_Confianca'!BD61</f>
        <v>-4.6800000000000001E-2</v>
      </c>
      <c r="BG135">
        <f>'2015_2020 Int_Confianca'!BE61</f>
        <v>-4.0099999999999997E-2</v>
      </c>
      <c r="BH135">
        <f>'2015_2020 Int_Confianca'!BF61</f>
        <v>-3.3099999999999997E-2</v>
      </c>
      <c r="BI135">
        <f>'2015_2020 Int_Confianca'!BG61</f>
        <v>-3.9199999999999999E-2</v>
      </c>
      <c r="BJ135">
        <f>'2015_2020 Int_Confianca'!BH61</f>
        <v>-4.7300000000000002E-2</v>
      </c>
      <c r="BK135">
        <f>'2015_2020 Int_Confianca'!BI61</f>
        <v>-4.5400000000000003E-2</v>
      </c>
      <c r="BL135">
        <f>'2015_2020 Int_Confianca'!BJ61</f>
        <v>-4.2999999999999997E-2</v>
      </c>
      <c r="BM135">
        <f>'2015_2020 Int_Confianca'!BK61</f>
        <v>-5.9499999999999997E-2</v>
      </c>
      <c r="BN135">
        <f>'2015_2020 Int_Confianca'!BL61</f>
        <v>-7.7799999999999994E-2</v>
      </c>
      <c r="BO135">
        <f>'2015_2020 Int_Confianca'!BM61</f>
        <v>-9.7199999999999995E-2</v>
      </c>
      <c r="BP135">
        <f>'2015_2020 Int_Confianca'!BN61</f>
        <v>-0.1066</v>
      </c>
      <c r="BQ135">
        <f>'2015_2020 Int_Confianca'!BO61</f>
        <v>-0.115</v>
      </c>
      <c r="BR135">
        <f>'2015_2020 Int_Confianca'!BP61</f>
        <v>-0.11260000000000001</v>
      </c>
      <c r="BS135">
        <f>'2015_2020 Int_Confianca'!BQ61</f>
        <v>-0.1515</v>
      </c>
      <c r="BT135">
        <f>'2015_2020 Int_Confianca'!BR61</f>
        <v>-0.1827</v>
      </c>
      <c r="BU135">
        <f>'2015_2020 Int_Confianca'!BS61</f>
        <v>-0.17710000000000001</v>
      </c>
      <c r="BV135">
        <f>'2015_2020 Int_Confianca'!BT61</f>
        <v>-9.0700000000000003E-2</v>
      </c>
      <c r="BW135">
        <f>'2015_2020 Int_Confianca'!BU61</f>
        <v>-7.6600000000000001E-2</v>
      </c>
      <c r="BX135">
        <f>'2015_2020 Int_Confianca'!BV61</f>
        <v>-9.5799999999999996E-2</v>
      </c>
      <c r="BY135">
        <f>'2015_2020 Int_Confianca'!BW61</f>
        <v>-0.11799999999999999</v>
      </c>
      <c r="BZ135">
        <f>'2015_2020 Int_Confianca'!BX61</f>
        <v>-7.9200000000000007E-2</v>
      </c>
      <c r="CA135">
        <f>'2015_2020 Int_Confianca'!BY61</f>
        <v>-7.4399999999999994E-2</v>
      </c>
      <c r="CB135">
        <f>'2015_2020 Int_Confianca'!BZ61</f>
        <v>-5.6399999999999999E-2</v>
      </c>
      <c r="CC135">
        <f>'2015_2020 Int_Confianca'!CA61</f>
        <v>-6.4500000000000002E-2</v>
      </c>
      <c r="CD135">
        <f>'2015_2020 Int_Confianca'!CB61</f>
        <v>-0.1038</v>
      </c>
      <c r="CE135">
        <f>'2015_2020 Int_Confianca'!CC61</f>
        <v>-0.28510000000000002</v>
      </c>
      <c r="CF135">
        <f>'2015_2020 Int_Confianca'!CD61</f>
        <v>-0.36890000000000001</v>
      </c>
      <c r="CG135">
        <f>'2015_2020 Int_Confianca'!CE61</f>
        <v>-0.35120000000000001</v>
      </c>
      <c r="CH135">
        <f>'2015_2020 Int_Confianca'!CF61</f>
        <v>-0.23069999999999999</v>
      </c>
      <c r="CI135">
        <f>'2015_2020 Int_Confianca'!CG61</f>
        <v>-0.15690000000000001</v>
      </c>
      <c r="CJ135">
        <f>'2015_2020 Int_Confianca'!CH61</f>
        <v>-0.15629999999999999</v>
      </c>
      <c r="CK135">
        <f>'2015_2020 Int_Confianca'!CI61</f>
        <v>-0.20030000000000001</v>
      </c>
      <c r="CL135">
        <f>'2015_2020 Int_Confianca'!CJ61</f>
        <v>-0.23039999999999999</v>
      </c>
      <c r="CM135">
        <f>'2015_2020 Int_Confianca'!CK61</f>
        <v>-0.29160000000000003</v>
      </c>
      <c r="CN135">
        <f>'2015_2020 Int_Confianca'!CL61</f>
        <v>-0.35210000000000002</v>
      </c>
      <c r="CO135">
        <f>'2015_2020 Int_Confianca'!CM61</f>
        <v>-0.36959999999999998</v>
      </c>
      <c r="CP135">
        <f>'2015_2020 Int_Confianca'!CN61</f>
        <v>-0.28339999999999999</v>
      </c>
      <c r="CQ135">
        <f>'2015_2020 Int_Confianca'!CO61</f>
        <v>-0.27179999999999999</v>
      </c>
      <c r="CR135">
        <f>'2015_2020 Int_Confianca'!CP61</f>
        <v>-0.31990000000000002</v>
      </c>
      <c r="CS135">
        <f>'2015_2020 Int_Confianca'!CQ61</f>
        <v>-0.19739999999999999</v>
      </c>
      <c r="CT135">
        <f>'2015_2020 Int_Confianca'!CR61</f>
        <v>-0.32840000000000003</v>
      </c>
      <c r="CU135">
        <f>'2015_2020 Int_Confianca'!CS61</f>
        <v>-0.37719999999999998</v>
      </c>
      <c r="CV135">
        <f>'2015_2020 Int_Confianca'!CT61</f>
        <v>-0.42080000000000001</v>
      </c>
      <c r="CW135">
        <f>'2015_2020 Int_Confianca'!CU61</f>
        <v>-0.37180000000000002</v>
      </c>
      <c r="CX135">
        <f>'2015_2020 Int_Confianca'!CV61</f>
        <v>-0.3896</v>
      </c>
    </row>
    <row r="136" spans="1:102" x14ac:dyDescent="0.2">
      <c r="A136" t="s">
        <v>5910</v>
      </c>
      <c r="B136" t="s">
        <v>219</v>
      </c>
      <c r="C136" t="s">
        <v>221</v>
      </c>
      <c r="D136">
        <f>'2015_2020 Int_Confianca'!B62</f>
        <v>-7.4899999999999994E-2</v>
      </c>
      <c r="E136">
        <f>'2015_2020 Int_Confianca'!C62</f>
        <v>0.59740000000000004</v>
      </c>
      <c r="F136">
        <f>'2015_2020 Int_Confianca'!D62</f>
        <v>1.0751999999999999</v>
      </c>
      <c r="G136">
        <f>'2015_2020 Int_Confianca'!E62</f>
        <v>0.25950000000000001</v>
      </c>
      <c r="H136">
        <f>'2015_2020 Int_Confianca'!F62</f>
        <v>1.2598</v>
      </c>
      <c r="I136">
        <f>'2015_2020 Int_Confianca'!G62</f>
        <v>0.5333</v>
      </c>
      <c r="J136">
        <f>'2015_2020 Int_Confianca'!H62</f>
        <v>0.8276</v>
      </c>
      <c r="K136">
        <f>'2015_2020 Int_Confianca'!I62</f>
        <v>0.66369999999999996</v>
      </c>
      <c r="L136">
        <f>'2015_2020 Int_Confianca'!J62</f>
        <v>0.50229999999999997</v>
      </c>
      <c r="M136">
        <f>'2015_2020 Int_Confianca'!K62</f>
        <v>0.71450000000000002</v>
      </c>
      <c r="N136">
        <f>'2015_2020 Int_Confianca'!L62</f>
        <v>0.67900000000000005</v>
      </c>
      <c r="O136">
        <f>'2015_2020 Int_Confianca'!M62</f>
        <v>0.3785</v>
      </c>
      <c r="P136">
        <f>'2015_2020 Int_Confianca'!N62</f>
        <v>0.42159999999999997</v>
      </c>
      <c r="Q136">
        <f>'2015_2020 Int_Confianca'!O62</f>
        <v>0.35589999999999999</v>
      </c>
      <c r="R136">
        <f>'2015_2020 Int_Confianca'!P62</f>
        <v>0.2878</v>
      </c>
      <c r="S136">
        <f>'2015_2020 Int_Confianca'!Q62</f>
        <v>0.24929999999999999</v>
      </c>
      <c r="T136">
        <f>'2015_2020 Int_Confianca'!R62</f>
        <v>0.1794</v>
      </c>
      <c r="U136">
        <f>'2015_2020 Int_Confianca'!S62</f>
        <v>0.14899999999999999</v>
      </c>
      <c r="V136">
        <f>'2015_2020 Int_Confianca'!T62</f>
        <v>8.7599999999999997E-2</v>
      </c>
      <c r="W136">
        <f>'2015_2020 Int_Confianca'!U62</f>
        <v>7.9799999999999996E-2</v>
      </c>
      <c r="X136">
        <f>'2015_2020 Int_Confianca'!V62</f>
        <v>8.6699999999999999E-2</v>
      </c>
      <c r="Y136">
        <f>'2015_2020 Int_Confianca'!W62</f>
        <v>5.2900000000000003E-2</v>
      </c>
      <c r="Z136">
        <f>'2015_2020 Int_Confianca'!X62</f>
        <v>6.3299999999999995E-2</v>
      </c>
      <c r="AA136">
        <f>'2015_2020 Int_Confianca'!Y62</f>
        <v>6.9400000000000003E-2</v>
      </c>
      <c r="AB136">
        <f>'2015_2020 Int_Confianca'!Z62</f>
        <v>5.9499999999999997E-2</v>
      </c>
      <c r="AC136">
        <f>'2015_2020 Int_Confianca'!AA62</f>
        <v>4.5600000000000002E-2</v>
      </c>
      <c r="AD136">
        <f>'2015_2020 Int_Confianca'!AB62</f>
        <v>4.3900000000000002E-2</v>
      </c>
      <c r="AE136">
        <f>'2015_2020 Int_Confianca'!AC62</f>
        <v>4.7600000000000003E-2</v>
      </c>
      <c r="AF136">
        <f>'2015_2020 Int_Confianca'!AD62</f>
        <v>4.1599999999999998E-2</v>
      </c>
      <c r="AG136">
        <f>'2015_2020 Int_Confianca'!AE62</f>
        <v>3.78E-2</v>
      </c>
      <c r="AH136">
        <f>'2015_2020 Int_Confianca'!AF62</f>
        <v>4.0099999999999997E-2</v>
      </c>
      <c r="AI136">
        <f>'2015_2020 Int_Confianca'!AG62</f>
        <v>3.9199999999999999E-2</v>
      </c>
      <c r="AJ136">
        <f>'2015_2020 Int_Confianca'!AH62</f>
        <v>2.5899999999999999E-2</v>
      </c>
      <c r="AK136">
        <f>'2015_2020 Int_Confianca'!AI62</f>
        <v>2.1399999999999999E-2</v>
      </c>
      <c r="AL136">
        <f>'2015_2020 Int_Confianca'!AJ62</f>
        <v>3.2599999999999997E-2</v>
      </c>
      <c r="AM136">
        <f>'2015_2020 Int_Confianca'!AK62</f>
        <v>4.2799999999999998E-2</v>
      </c>
      <c r="AN136">
        <f>'2015_2020 Int_Confianca'!AL62</f>
        <v>3.8899999999999997E-2</v>
      </c>
      <c r="AO136">
        <f>'2015_2020 Int_Confianca'!AM62</f>
        <v>3.5200000000000002E-2</v>
      </c>
      <c r="AP136">
        <f>'2015_2020 Int_Confianca'!AN62</f>
        <v>4.65E-2</v>
      </c>
      <c r="AQ136">
        <f>'2015_2020 Int_Confianca'!AO62</f>
        <v>5.8500000000000003E-2</v>
      </c>
      <c r="AR136">
        <f>'2015_2020 Int_Confianca'!AP62</f>
        <v>6.3200000000000006E-2</v>
      </c>
      <c r="AS136">
        <f>'2015_2020 Int_Confianca'!AQ62</f>
        <v>5.8900000000000001E-2</v>
      </c>
      <c r="AT136">
        <f>'2015_2020 Int_Confianca'!AR62</f>
        <v>5.6300000000000003E-2</v>
      </c>
      <c r="AU136">
        <f>'2015_2020 Int_Confianca'!AS62</f>
        <v>5.6800000000000003E-2</v>
      </c>
      <c r="AV136">
        <f>'2015_2020 Int_Confianca'!AT62</f>
        <v>4.3900000000000002E-2</v>
      </c>
      <c r="AW136">
        <f>'2015_2020 Int_Confianca'!AU62</f>
        <v>2.1999999999999999E-2</v>
      </c>
      <c r="AX136">
        <f>'2015_2020 Int_Confianca'!AV62</f>
        <v>7.7000000000000002E-3</v>
      </c>
      <c r="AY136">
        <f>'2015_2020 Int_Confianca'!AW62</f>
        <v>-5.7000000000000002E-3</v>
      </c>
      <c r="AZ136">
        <f>'2015_2020 Int_Confianca'!AX62</f>
        <v>-1.14E-2</v>
      </c>
      <c r="BA136">
        <f>'2015_2020 Int_Confianca'!AY62</f>
        <v>-2.24E-2</v>
      </c>
      <c r="BB136">
        <f>'2015_2020 Int_Confianca'!AZ62</f>
        <v>-1.1599999999999999E-2</v>
      </c>
      <c r="BC136">
        <f>'2015_2020 Int_Confianca'!BA62</f>
        <v>5.0000000000000001E-4</v>
      </c>
      <c r="BD136">
        <f>'2015_2020 Int_Confianca'!BB62</f>
        <v>-1.1000000000000001E-3</v>
      </c>
      <c r="BE136">
        <f>'2015_2020 Int_Confianca'!BC62</f>
        <v>2.9999999999999997E-4</v>
      </c>
      <c r="BF136">
        <f>'2015_2020 Int_Confianca'!BD62</f>
        <v>2.7900000000000001E-2</v>
      </c>
      <c r="BG136">
        <f>'2015_2020 Int_Confianca'!BE62</f>
        <v>3.3399999999999999E-2</v>
      </c>
      <c r="BH136">
        <f>'2015_2020 Int_Confianca'!BF62</f>
        <v>4.1700000000000001E-2</v>
      </c>
      <c r="BI136">
        <f>'2015_2020 Int_Confianca'!BG62</f>
        <v>3.7199999999999997E-2</v>
      </c>
      <c r="BJ136">
        <f>'2015_2020 Int_Confianca'!BH62</f>
        <v>2.9000000000000001E-2</v>
      </c>
      <c r="BK136">
        <f>'2015_2020 Int_Confianca'!BI62</f>
        <v>3.27E-2</v>
      </c>
      <c r="BL136">
        <f>'2015_2020 Int_Confianca'!BJ62</f>
        <v>3.4700000000000002E-2</v>
      </c>
      <c r="BM136">
        <f>'2015_2020 Int_Confianca'!BK62</f>
        <v>1.8100000000000002E-2</v>
      </c>
      <c r="BN136">
        <f>'2015_2020 Int_Confianca'!BL62</f>
        <v>-1.6000000000000001E-3</v>
      </c>
      <c r="BO136">
        <f>'2015_2020 Int_Confianca'!BM62</f>
        <v>-2.3800000000000002E-2</v>
      </c>
      <c r="BP136">
        <f>'2015_2020 Int_Confianca'!BN62</f>
        <v>-3.4700000000000002E-2</v>
      </c>
      <c r="BQ136">
        <f>'2015_2020 Int_Confianca'!BO62</f>
        <v>-4.3099999999999999E-2</v>
      </c>
      <c r="BR136">
        <f>'2015_2020 Int_Confianca'!BP62</f>
        <v>-4.3799999999999999E-2</v>
      </c>
      <c r="BS136">
        <f>'2015_2020 Int_Confianca'!BQ62</f>
        <v>-8.2000000000000003E-2</v>
      </c>
      <c r="BT136">
        <f>'2015_2020 Int_Confianca'!BR62</f>
        <v>-0.11310000000000001</v>
      </c>
      <c r="BU136">
        <f>'2015_2020 Int_Confianca'!BS62</f>
        <v>-0.10199999999999999</v>
      </c>
      <c r="BV136">
        <f>'2015_2020 Int_Confianca'!BT62</f>
        <v>-3.8E-3</v>
      </c>
      <c r="BW136">
        <f>'2015_2020 Int_Confianca'!BU62</f>
        <v>1.6400000000000001E-2</v>
      </c>
      <c r="BX136">
        <f>'2015_2020 Int_Confianca'!BV62</f>
        <v>-1.4E-3</v>
      </c>
      <c r="BY136">
        <f>'2015_2020 Int_Confianca'!BW62</f>
        <v>-2.7E-2</v>
      </c>
      <c r="BZ136">
        <f>'2015_2020 Int_Confianca'!BX62</f>
        <v>7.9000000000000008E-3</v>
      </c>
      <c r="CA136">
        <f>'2015_2020 Int_Confianca'!BY62</f>
        <v>1.18E-2</v>
      </c>
      <c r="CB136">
        <f>'2015_2020 Int_Confianca'!BZ62</f>
        <v>3.1800000000000002E-2</v>
      </c>
      <c r="CC136">
        <f>'2015_2020 Int_Confianca'!CA62</f>
        <v>2.4400000000000002E-2</v>
      </c>
      <c r="CD136">
        <f>'2015_2020 Int_Confianca'!CB62</f>
        <v>-1.46E-2</v>
      </c>
      <c r="CE136">
        <f>'2015_2020 Int_Confianca'!CC62</f>
        <v>-0.1885</v>
      </c>
      <c r="CF136">
        <f>'2015_2020 Int_Confianca'!CD62</f>
        <v>-0.2697</v>
      </c>
      <c r="CG136">
        <f>'2015_2020 Int_Confianca'!CE62</f>
        <v>-0.25390000000000001</v>
      </c>
      <c r="CH136">
        <f>'2015_2020 Int_Confianca'!CF62</f>
        <v>-0.13519999999999999</v>
      </c>
      <c r="CI136">
        <f>'2015_2020 Int_Confianca'!CG62</f>
        <v>-5.5899999999999998E-2</v>
      </c>
      <c r="CJ136">
        <f>'2015_2020 Int_Confianca'!CH62</f>
        <v>-4.7600000000000003E-2</v>
      </c>
      <c r="CK136">
        <f>'2015_2020 Int_Confianca'!CI62</f>
        <v>-9.9199999999999997E-2</v>
      </c>
      <c r="CL136">
        <f>'2015_2020 Int_Confianca'!CJ62</f>
        <v>-0.13489999999999999</v>
      </c>
      <c r="CM136">
        <f>'2015_2020 Int_Confianca'!CK62</f>
        <v>-0.1978</v>
      </c>
      <c r="CN136">
        <f>'2015_2020 Int_Confianca'!CL62</f>
        <v>-0.2361</v>
      </c>
      <c r="CO136">
        <f>'2015_2020 Int_Confianca'!CM62</f>
        <v>-0.2475</v>
      </c>
      <c r="CP136">
        <f>'2015_2020 Int_Confianca'!CN62</f>
        <v>-0.17219999999999999</v>
      </c>
      <c r="CQ136">
        <f>'2015_2020 Int_Confianca'!CO62</f>
        <v>-0.1585</v>
      </c>
      <c r="CR136">
        <f>'2015_2020 Int_Confianca'!CP62</f>
        <v>-0.16039999999999999</v>
      </c>
      <c r="CS136">
        <f>'2015_2020 Int_Confianca'!CQ62</f>
        <v>-3.4000000000000002E-2</v>
      </c>
      <c r="CT136">
        <f>'2015_2020 Int_Confianca'!CR62</f>
        <v>-0.14929999999999999</v>
      </c>
      <c r="CU136">
        <f>'2015_2020 Int_Confianca'!CS62</f>
        <v>-0.1893</v>
      </c>
      <c r="CV136">
        <f>'2015_2020 Int_Confianca'!CT62</f>
        <v>-0.21759999999999999</v>
      </c>
      <c r="CW136">
        <f>'2015_2020 Int_Confianca'!CU62</f>
        <v>-6.3200000000000006E-2</v>
      </c>
      <c r="CX136">
        <f>'2015_2020 Int_Confianca'!CV62</f>
        <v>-0.15870000000000001</v>
      </c>
    </row>
    <row r="137" spans="1:102" x14ac:dyDescent="0.2">
      <c r="A137" t="s">
        <v>5911</v>
      </c>
      <c r="B137" t="s">
        <v>219</v>
      </c>
      <c r="C137" t="s">
        <v>221</v>
      </c>
      <c r="D137">
        <f>'2015_2020 Int_Confianca'!B63</f>
        <v>-0.25619999999999998</v>
      </c>
      <c r="E137">
        <f>'2015_2020 Int_Confianca'!C63</f>
        <v>-0.27139999999999997</v>
      </c>
      <c r="F137">
        <f>'2015_2020 Int_Confianca'!D63</f>
        <v>-8.8999999999999996E-2</v>
      </c>
      <c r="G137">
        <f>'2015_2020 Int_Confianca'!E63</f>
        <v>-0.23089999999999999</v>
      </c>
      <c r="H137">
        <f>'2015_2020 Int_Confianca'!F63</f>
        <v>3.2199999999999999E-2</v>
      </c>
      <c r="I137">
        <f>'2015_2020 Int_Confianca'!G63</f>
        <v>-0.15079999999999999</v>
      </c>
      <c r="J137">
        <f>'2015_2020 Int_Confianca'!H63</f>
        <v>-1.47E-2</v>
      </c>
      <c r="K137">
        <f>'2015_2020 Int_Confianca'!I63</f>
        <v>-4.1999999999999997E-3</v>
      </c>
      <c r="L137">
        <f>'2015_2020 Int_Confianca'!J63</f>
        <v>-4.1200000000000001E-2</v>
      </c>
      <c r="M137">
        <f>'2015_2020 Int_Confianca'!K63</f>
        <v>7.46E-2</v>
      </c>
      <c r="N137">
        <f>'2015_2020 Int_Confianca'!L63</f>
        <v>0.128</v>
      </c>
      <c r="O137">
        <f>'2015_2020 Int_Confianca'!M63</f>
        <v>5.5199999999999999E-2</v>
      </c>
      <c r="P137">
        <f>'2015_2020 Int_Confianca'!N63</f>
        <v>0.10349999999999999</v>
      </c>
      <c r="Q137">
        <f>'2015_2020 Int_Confianca'!O63</f>
        <v>8.2799999999999999E-2</v>
      </c>
      <c r="R137">
        <f>'2015_2020 Int_Confianca'!P63</f>
        <v>4.6699999999999998E-2</v>
      </c>
      <c r="S137">
        <f>'2015_2020 Int_Confianca'!Q63</f>
        <v>3.0800000000000001E-2</v>
      </c>
      <c r="T137">
        <f>'2015_2020 Int_Confianca'!R63</f>
        <v>6.1999999999999998E-3</v>
      </c>
      <c r="U137">
        <f>'2015_2020 Int_Confianca'!S63</f>
        <v>-3.3E-3</v>
      </c>
      <c r="V137">
        <f>'2015_2020 Int_Confianca'!T63</f>
        <v>-1.9800000000000002E-2</v>
      </c>
      <c r="W137">
        <f>'2015_2020 Int_Confianca'!U63</f>
        <v>-1.6500000000000001E-2</v>
      </c>
      <c r="X137">
        <f>'2015_2020 Int_Confianca'!V63</f>
        <v>-8.8999999999999999E-3</v>
      </c>
      <c r="Y137">
        <f>'2015_2020 Int_Confianca'!W63</f>
        <v>-2.3099999999999999E-2</v>
      </c>
      <c r="Z137">
        <f>'2015_2020 Int_Confianca'!X63</f>
        <v>-1.9900000000000001E-2</v>
      </c>
      <c r="AA137">
        <f>'2015_2020 Int_Confianca'!Y63</f>
        <v>-4.1000000000000003E-3</v>
      </c>
      <c r="AB137">
        <f>'2015_2020 Int_Confianca'!Z63</f>
        <v>-5.8999999999999999E-3</v>
      </c>
      <c r="AC137">
        <f>'2015_2020 Int_Confianca'!AA63</f>
        <v>-1.2E-2</v>
      </c>
      <c r="AD137">
        <f>'2015_2020 Int_Confianca'!AB63</f>
        <v>-9.1000000000000004E-3</v>
      </c>
      <c r="AE137">
        <f>'2015_2020 Int_Confianca'!AC63</f>
        <v>-8.3999999999999995E-3</v>
      </c>
      <c r="AF137">
        <f>'2015_2020 Int_Confianca'!AD63</f>
        <v>-1.7100000000000001E-2</v>
      </c>
      <c r="AG137">
        <f>'2015_2020 Int_Confianca'!AE63</f>
        <v>-1.9400000000000001E-2</v>
      </c>
      <c r="AH137">
        <f>'2015_2020 Int_Confianca'!AF63</f>
        <v>-8.0000000000000004E-4</v>
      </c>
      <c r="AI137">
        <f>'2015_2020 Int_Confianca'!AG63</f>
        <v>-2.8E-3</v>
      </c>
      <c r="AJ137">
        <f>'2015_2020 Int_Confianca'!AH63</f>
        <v>-1.2E-2</v>
      </c>
      <c r="AK137">
        <f>'2015_2020 Int_Confianca'!AI63</f>
        <v>-9.5999999999999992E-3</v>
      </c>
      <c r="AL137">
        <f>'2015_2020 Int_Confianca'!AJ63</f>
        <v>2E-3</v>
      </c>
      <c r="AM137">
        <f>'2015_2020 Int_Confianca'!AK63</f>
        <v>-3.7000000000000002E-3</v>
      </c>
      <c r="AN137">
        <f>'2015_2020 Int_Confianca'!AL63</f>
        <v>2.9999999999999997E-4</v>
      </c>
      <c r="AO137">
        <f>'2015_2020 Int_Confianca'!AM63</f>
        <v>0</v>
      </c>
      <c r="AP137">
        <f>'2015_2020 Int_Confianca'!AN63</f>
        <v>2.1000000000000001E-2</v>
      </c>
      <c r="AQ137">
        <f>'2015_2020 Int_Confianca'!AO63</f>
        <v>3.5799999999999998E-2</v>
      </c>
      <c r="AR137">
        <f>'2015_2020 Int_Confianca'!AP63</f>
        <v>3.9100000000000003E-2</v>
      </c>
      <c r="AS137">
        <f>'2015_2020 Int_Confianca'!AQ63</f>
        <v>3.5799999999999998E-2</v>
      </c>
      <c r="AT137">
        <f>'2015_2020 Int_Confianca'!AR63</f>
        <v>3.1300000000000001E-2</v>
      </c>
      <c r="AU137">
        <f>'2015_2020 Int_Confianca'!AS63</f>
        <v>3.3500000000000002E-2</v>
      </c>
      <c r="AV137">
        <f>'2015_2020 Int_Confianca'!AT63</f>
        <v>2.1899999999999999E-2</v>
      </c>
      <c r="AW137">
        <f>'2015_2020 Int_Confianca'!AU63</f>
        <v>-1.4E-3</v>
      </c>
      <c r="AX137">
        <f>'2015_2020 Int_Confianca'!AV63</f>
        <v>-3.4099999999999998E-2</v>
      </c>
      <c r="AY137">
        <f>'2015_2020 Int_Confianca'!AW63</f>
        <v>-4.1399999999999999E-2</v>
      </c>
      <c r="AZ137">
        <f>'2015_2020 Int_Confianca'!AX63</f>
        <v>-4.2099999999999999E-2</v>
      </c>
      <c r="BA137">
        <f>'2015_2020 Int_Confianca'!AY63</f>
        <v>-4.8399999999999999E-2</v>
      </c>
      <c r="BB137">
        <f>'2015_2020 Int_Confianca'!AZ63</f>
        <v>-2.7900000000000001E-2</v>
      </c>
      <c r="BC137">
        <f>'2015_2020 Int_Confianca'!BA63</f>
        <v>-2.0899999999999998E-2</v>
      </c>
      <c r="BD137">
        <f>'2015_2020 Int_Confianca'!BB63</f>
        <v>-1.21E-2</v>
      </c>
      <c r="BE137">
        <f>'2015_2020 Int_Confianca'!BC63</f>
        <v>-4.8999999999999998E-3</v>
      </c>
      <c r="BF137">
        <f>'2015_2020 Int_Confianca'!BD63</f>
        <v>9.5999999999999992E-3</v>
      </c>
      <c r="BG137">
        <f>'2015_2020 Int_Confianca'!BE63</f>
        <v>2.2599999999999999E-2</v>
      </c>
      <c r="BH137">
        <f>'2015_2020 Int_Confianca'!BF63</f>
        <v>3.3099999999999997E-2</v>
      </c>
      <c r="BI137">
        <f>'2015_2020 Int_Confianca'!BG63</f>
        <v>3.1399999999999997E-2</v>
      </c>
      <c r="BJ137">
        <f>'2015_2020 Int_Confianca'!BH63</f>
        <v>2.2800000000000001E-2</v>
      </c>
      <c r="BK137">
        <f>'2015_2020 Int_Confianca'!BI63</f>
        <v>3.3700000000000001E-2</v>
      </c>
      <c r="BL137">
        <f>'2015_2020 Int_Confianca'!BJ63</f>
        <v>3.5499999999999997E-2</v>
      </c>
      <c r="BM137">
        <f>'2015_2020 Int_Confianca'!BK63</f>
        <v>3.1800000000000002E-2</v>
      </c>
      <c r="BN137">
        <f>'2015_2020 Int_Confianca'!BL63</f>
        <v>1.04E-2</v>
      </c>
      <c r="BO137">
        <f>'2015_2020 Int_Confianca'!BM63</f>
        <v>-1.06E-2</v>
      </c>
      <c r="BP137">
        <f>'2015_2020 Int_Confianca'!BN63</f>
        <v>-1.47E-2</v>
      </c>
      <c r="BQ137">
        <f>'2015_2020 Int_Confianca'!BO63</f>
        <v>-1.7000000000000001E-2</v>
      </c>
      <c r="BR137">
        <f>'2015_2020 Int_Confianca'!BP63</f>
        <v>-1.9199999999999998E-2</v>
      </c>
      <c r="BS137">
        <f>'2015_2020 Int_Confianca'!BQ63</f>
        <v>-4.9599999999999998E-2</v>
      </c>
      <c r="BT137">
        <f>'2015_2020 Int_Confianca'!BR63</f>
        <v>-7.5700000000000003E-2</v>
      </c>
      <c r="BU137">
        <f>'2015_2020 Int_Confianca'!BS63</f>
        <v>-5.4800000000000001E-2</v>
      </c>
      <c r="BV137">
        <f>'2015_2020 Int_Confianca'!BT63</f>
        <v>6.1600000000000002E-2</v>
      </c>
      <c r="BW137">
        <f>'2015_2020 Int_Confianca'!BU63</f>
        <v>9.1499999999999998E-2</v>
      </c>
      <c r="BX137">
        <f>'2015_2020 Int_Confianca'!BV63</f>
        <v>7.0900000000000005E-2</v>
      </c>
      <c r="BY137">
        <f>'2015_2020 Int_Confianca'!BW63</f>
        <v>6.3100000000000003E-2</v>
      </c>
      <c r="BZ137">
        <f>'2015_2020 Int_Confianca'!BX63</f>
        <v>9.6699999999999994E-2</v>
      </c>
      <c r="CA137">
        <f>'2015_2020 Int_Confianca'!BY63</f>
        <v>9.1899999999999996E-2</v>
      </c>
      <c r="CB137">
        <f>'2015_2020 Int_Confianca'!BZ63</f>
        <v>0.11890000000000001</v>
      </c>
      <c r="CC137">
        <f>'2015_2020 Int_Confianca'!CA63</f>
        <v>0.1147</v>
      </c>
      <c r="CD137">
        <f>'2015_2020 Int_Confianca'!CB63</f>
        <v>6.7000000000000004E-2</v>
      </c>
      <c r="CE137">
        <f>'2015_2020 Int_Confianca'!CC63</f>
        <v>-8.2699999999999996E-2</v>
      </c>
      <c r="CF137">
        <f>'2015_2020 Int_Confianca'!CD63</f>
        <v>-0.13700000000000001</v>
      </c>
      <c r="CG137">
        <f>'2015_2020 Int_Confianca'!CE63</f>
        <v>-0.1169</v>
      </c>
      <c r="CH137">
        <f>'2015_2020 Int_Confianca'!CF63</f>
        <v>-1.4500000000000001E-2</v>
      </c>
      <c r="CI137">
        <f>'2015_2020 Int_Confianca'!CG63</f>
        <v>7.3700000000000002E-2</v>
      </c>
      <c r="CJ137">
        <f>'2015_2020 Int_Confianca'!CH63</f>
        <v>0.10580000000000001</v>
      </c>
      <c r="CK137">
        <f>'2015_2020 Int_Confianca'!CI63</f>
        <v>6.6199999999999995E-2</v>
      </c>
      <c r="CL137">
        <f>'2015_2020 Int_Confianca'!CJ63</f>
        <v>1.9900000000000001E-2</v>
      </c>
      <c r="CM137">
        <f>'2015_2020 Int_Confianca'!CK63</f>
        <v>-3.3399999999999999E-2</v>
      </c>
      <c r="CN137">
        <f>'2015_2020 Int_Confianca'!CL63</f>
        <v>-3.5200000000000002E-2</v>
      </c>
      <c r="CO137">
        <f>'2015_2020 Int_Confianca'!CM63</f>
        <v>-5.8500000000000003E-2</v>
      </c>
      <c r="CP137">
        <f>'2015_2020 Int_Confianca'!CN63</f>
        <v>-8.3999999999999995E-3</v>
      </c>
      <c r="CQ137">
        <f>'2015_2020 Int_Confianca'!CO63</f>
        <v>1.2800000000000001E-2</v>
      </c>
      <c r="CR137">
        <f>'2015_2020 Int_Confianca'!CP63</f>
        <v>6.6000000000000003E-2</v>
      </c>
      <c r="CS137">
        <f>'2015_2020 Int_Confianca'!CQ63</f>
        <v>0.16420000000000001</v>
      </c>
      <c r="CT137">
        <f>'2015_2020 Int_Confianca'!CR63</f>
        <v>7.1300000000000002E-2</v>
      </c>
      <c r="CU137">
        <f>'2015_2020 Int_Confianca'!CS63</f>
        <v>-3.49E-2</v>
      </c>
      <c r="CV137">
        <f>'2015_2020 Int_Confianca'!CT63</f>
        <v>-8.0600000000000005E-2</v>
      </c>
      <c r="CW137">
        <f>'2015_2020 Int_Confianca'!CU63</f>
        <v>3.0200000000000001E-2</v>
      </c>
      <c r="CX137">
        <f>'2015_2020 Int_Confianca'!CV63</f>
        <v>-0.1467</v>
      </c>
    </row>
    <row r="138" spans="1:102" x14ac:dyDescent="0.2">
      <c r="A138" t="s">
        <v>5912</v>
      </c>
      <c r="B138" t="s">
        <v>219</v>
      </c>
      <c r="C138" t="s">
        <v>221</v>
      </c>
      <c r="D138">
        <f>'2015_2020 Int_Confianca'!B64</f>
        <v>5.1999999999999998E-2</v>
      </c>
      <c r="E138">
        <f>'2015_2020 Int_Confianca'!C64</f>
        <v>2.7400000000000001E-2</v>
      </c>
      <c r="F138">
        <f>'2015_2020 Int_Confianca'!D64</f>
        <v>0.1668</v>
      </c>
      <c r="G138">
        <f>'2015_2020 Int_Confianca'!E64</f>
        <v>-4.9399999999999999E-2</v>
      </c>
      <c r="H138">
        <f>'2015_2020 Int_Confianca'!F64</f>
        <v>0.22839999999999999</v>
      </c>
      <c r="I138">
        <f>'2015_2020 Int_Confianca'!G64</f>
        <v>1.6E-2</v>
      </c>
      <c r="J138">
        <f>'2015_2020 Int_Confianca'!H64</f>
        <v>0.14849999999999999</v>
      </c>
      <c r="K138">
        <f>'2015_2020 Int_Confianca'!I64</f>
        <v>0.1641</v>
      </c>
      <c r="L138">
        <f>'2015_2020 Int_Confianca'!J64</f>
        <v>0.10539999999999999</v>
      </c>
      <c r="M138">
        <f>'2015_2020 Int_Confianca'!K64</f>
        <v>0.214</v>
      </c>
      <c r="N138">
        <f>'2015_2020 Int_Confianca'!L64</f>
        <v>0.25159999999999999</v>
      </c>
      <c r="O138">
        <f>'2015_2020 Int_Confianca'!M64</f>
        <v>0.13550000000000001</v>
      </c>
      <c r="P138">
        <f>'2015_2020 Int_Confianca'!N64</f>
        <v>0.1812</v>
      </c>
      <c r="Q138">
        <f>'2015_2020 Int_Confianca'!O64</f>
        <v>0.15210000000000001</v>
      </c>
      <c r="R138">
        <f>'2015_2020 Int_Confianca'!P64</f>
        <v>0.1095</v>
      </c>
      <c r="S138">
        <f>'2015_2020 Int_Confianca'!Q64</f>
        <v>8.8700000000000001E-2</v>
      </c>
      <c r="T138">
        <f>'2015_2020 Int_Confianca'!R64</f>
        <v>5.6899999999999999E-2</v>
      </c>
      <c r="U138">
        <f>'2015_2020 Int_Confianca'!S64</f>
        <v>4.4699999999999997E-2</v>
      </c>
      <c r="V138">
        <f>'2015_2020 Int_Confianca'!T64</f>
        <v>2.4500000000000001E-2</v>
      </c>
      <c r="W138">
        <f>'2015_2020 Int_Confianca'!U64</f>
        <v>2.7699999999999999E-2</v>
      </c>
      <c r="X138">
        <f>'2015_2020 Int_Confianca'!V64</f>
        <v>3.39E-2</v>
      </c>
      <c r="Y138">
        <f>'2015_2020 Int_Confianca'!W64</f>
        <v>1.5900000000000001E-2</v>
      </c>
      <c r="Z138">
        <f>'2015_2020 Int_Confianca'!X64</f>
        <v>1.8599999999999998E-2</v>
      </c>
      <c r="AA138">
        <f>'2015_2020 Int_Confianca'!Y64</f>
        <v>3.4799999999999998E-2</v>
      </c>
      <c r="AB138">
        <f>'2015_2020 Int_Confianca'!Z64</f>
        <v>3.32E-2</v>
      </c>
      <c r="AC138">
        <f>'2015_2020 Int_Confianca'!AA64</f>
        <v>2.7E-2</v>
      </c>
      <c r="AD138">
        <f>'2015_2020 Int_Confianca'!AB64</f>
        <v>3.0200000000000001E-2</v>
      </c>
      <c r="AE138">
        <f>'2015_2020 Int_Confianca'!AC64</f>
        <v>3.1399999999999997E-2</v>
      </c>
      <c r="AF138">
        <f>'2015_2020 Int_Confianca'!AD64</f>
        <v>2.3300000000000001E-2</v>
      </c>
      <c r="AG138">
        <f>'2015_2020 Int_Confianca'!AE64</f>
        <v>2.1899999999999999E-2</v>
      </c>
      <c r="AH138">
        <f>'2015_2020 Int_Confianca'!AF64</f>
        <v>4.2200000000000001E-2</v>
      </c>
      <c r="AI138">
        <f>'2015_2020 Int_Confianca'!AG64</f>
        <v>4.1500000000000002E-2</v>
      </c>
      <c r="AJ138">
        <f>'2015_2020 Int_Confianca'!AH64</f>
        <v>3.4099999999999998E-2</v>
      </c>
      <c r="AK138">
        <f>'2015_2020 Int_Confianca'!AI64</f>
        <v>3.85E-2</v>
      </c>
      <c r="AL138">
        <f>'2015_2020 Int_Confianca'!AJ64</f>
        <v>5.2400000000000002E-2</v>
      </c>
      <c r="AM138">
        <f>'2015_2020 Int_Confianca'!AK64</f>
        <v>4.7300000000000002E-2</v>
      </c>
      <c r="AN138">
        <f>'2015_2020 Int_Confianca'!AL64</f>
        <v>5.1799999999999999E-2</v>
      </c>
      <c r="AO138">
        <f>'2015_2020 Int_Confianca'!AM64</f>
        <v>5.1400000000000001E-2</v>
      </c>
      <c r="AP138">
        <f>'2015_2020 Int_Confianca'!AN64</f>
        <v>7.1900000000000006E-2</v>
      </c>
      <c r="AQ138">
        <f>'2015_2020 Int_Confianca'!AO64</f>
        <v>8.6099999999999996E-2</v>
      </c>
      <c r="AR138">
        <f>'2015_2020 Int_Confianca'!AP64</f>
        <v>8.8900000000000007E-2</v>
      </c>
      <c r="AS138">
        <f>'2015_2020 Int_Confianca'!AQ64</f>
        <v>8.5500000000000007E-2</v>
      </c>
      <c r="AT138">
        <f>'2015_2020 Int_Confianca'!AR64</f>
        <v>8.09E-2</v>
      </c>
      <c r="AU138">
        <f>'2015_2020 Int_Confianca'!AS64</f>
        <v>8.3099999999999993E-2</v>
      </c>
      <c r="AV138">
        <f>'2015_2020 Int_Confianca'!AT64</f>
        <v>7.1400000000000005E-2</v>
      </c>
      <c r="AW138">
        <f>'2015_2020 Int_Confianca'!AU64</f>
        <v>4.8599999999999997E-2</v>
      </c>
      <c r="AX138">
        <f>'2015_2020 Int_Confianca'!AV64</f>
        <v>1.67E-2</v>
      </c>
      <c r="AY138">
        <f>'2015_2020 Int_Confianca'!AW64</f>
        <v>0.01</v>
      </c>
      <c r="AZ138">
        <f>'2015_2020 Int_Confianca'!AX64</f>
        <v>9.5999999999999992E-3</v>
      </c>
      <c r="BA138">
        <f>'2015_2020 Int_Confianca'!AY64</f>
        <v>3.8E-3</v>
      </c>
      <c r="BB138">
        <f>'2015_2020 Int_Confianca'!AZ64</f>
        <v>2.4899999999999999E-2</v>
      </c>
      <c r="BC138">
        <f>'2015_2020 Int_Confianca'!BA64</f>
        <v>3.1600000000000003E-2</v>
      </c>
      <c r="BD138">
        <f>'2015_2020 Int_Confianca'!BB64</f>
        <v>3.9899999999999998E-2</v>
      </c>
      <c r="BE138">
        <f>'2015_2020 Int_Confianca'!BC64</f>
        <v>4.7699999999999999E-2</v>
      </c>
      <c r="BF138">
        <f>'2015_2020 Int_Confianca'!BD64</f>
        <v>6.3600000000000004E-2</v>
      </c>
      <c r="BG138">
        <f>'2015_2020 Int_Confianca'!BE64</f>
        <v>7.6100000000000001E-2</v>
      </c>
      <c r="BH138">
        <f>'2015_2020 Int_Confianca'!BF64</f>
        <v>8.72E-2</v>
      </c>
      <c r="BI138">
        <f>'2015_2020 Int_Confianca'!BG64</f>
        <v>8.6800000000000002E-2</v>
      </c>
      <c r="BJ138">
        <f>'2015_2020 Int_Confianca'!BH64</f>
        <v>7.8299999999999995E-2</v>
      </c>
      <c r="BK138">
        <f>'2015_2020 Int_Confianca'!BI64</f>
        <v>9.0700000000000003E-2</v>
      </c>
      <c r="BL138">
        <f>'2015_2020 Int_Confianca'!BJ64</f>
        <v>9.2899999999999996E-2</v>
      </c>
      <c r="BM138">
        <f>'2015_2020 Int_Confianca'!BK64</f>
        <v>8.8999999999999996E-2</v>
      </c>
      <c r="BN138">
        <f>'2015_2020 Int_Confianca'!BL64</f>
        <v>6.6900000000000001E-2</v>
      </c>
      <c r="BO138">
        <f>'2015_2020 Int_Confianca'!BM64</f>
        <v>4.4400000000000002E-2</v>
      </c>
      <c r="BP138">
        <f>'2015_2020 Int_Confianca'!BN64</f>
        <v>3.9300000000000002E-2</v>
      </c>
      <c r="BQ138">
        <f>'2015_2020 Int_Confianca'!BO64</f>
        <v>3.7100000000000001E-2</v>
      </c>
      <c r="BR138">
        <f>'2015_2020 Int_Confianca'!BP64</f>
        <v>3.3700000000000001E-2</v>
      </c>
      <c r="BS138">
        <f>'2015_2020 Int_Confianca'!BQ64</f>
        <v>4.0000000000000001E-3</v>
      </c>
      <c r="BT138">
        <f>'2015_2020 Int_Confianca'!BR64</f>
        <v>-2.1499999999999998E-2</v>
      </c>
      <c r="BU138">
        <f>'2015_2020 Int_Confianca'!BS64</f>
        <v>3.8999999999999998E-3</v>
      </c>
      <c r="BV138">
        <f>'2015_2020 Int_Confianca'!BT64</f>
        <v>0.12870000000000001</v>
      </c>
      <c r="BW138">
        <f>'2015_2020 Int_Confianca'!BU64</f>
        <v>0.1648</v>
      </c>
      <c r="BX138">
        <f>'2015_2020 Int_Confianca'!BV64</f>
        <v>0.14499999999999999</v>
      </c>
      <c r="BY138">
        <f>'2015_2020 Int_Confianca'!BW64</f>
        <v>0.13400000000000001</v>
      </c>
      <c r="BZ138">
        <f>'2015_2020 Int_Confianca'!BX64</f>
        <v>0.16420000000000001</v>
      </c>
      <c r="CA138">
        <f>'2015_2020 Int_Confianca'!BY64</f>
        <v>0.1583</v>
      </c>
      <c r="CB138">
        <f>'2015_2020 Int_Confianca'!BZ64</f>
        <v>0.18709999999999999</v>
      </c>
      <c r="CC138">
        <f>'2015_2020 Int_Confianca'!CA64</f>
        <v>0.18379999999999999</v>
      </c>
      <c r="CD138">
        <f>'2015_2020 Int_Confianca'!CB64</f>
        <v>0.1371</v>
      </c>
      <c r="CE138">
        <f>'2015_2020 Int_Confianca'!CC64</f>
        <v>-5.8999999999999999E-3</v>
      </c>
      <c r="CF138">
        <f>'2015_2020 Int_Confianca'!CD64</f>
        <v>-5.8099999999999999E-2</v>
      </c>
      <c r="CG138">
        <f>'2015_2020 Int_Confianca'!CE64</f>
        <v>-3.9E-2</v>
      </c>
      <c r="CH138">
        <f>'2015_2020 Int_Confianca'!CF64</f>
        <v>6.8000000000000005E-2</v>
      </c>
      <c r="CI138">
        <f>'2015_2020 Int_Confianca'!CG64</f>
        <v>0.1633</v>
      </c>
      <c r="CJ138">
        <f>'2015_2020 Int_Confianca'!CH64</f>
        <v>0.2016</v>
      </c>
      <c r="CK138">
        <f>'2015_2020 Int_Confianca'!CI64</f>
        <v>0.156</v>
      </c>
      <c r="CL138">
        <f>'2015_2020 Int_Confianca'!CJ64</f>
        <v>0.1053</v>
      </c>
      <c r="CM138">
        <f>'2015_2020 Int_Confianca'!CK64</f>
        <v>4.9700000000000001E-2</v>
      </c>
      <c r="CN138">
        <f>'2015_2020 Int_Confianca'!CL64</f>
        <v>6.59E-2</v>
      </c>
      <c r="CO138">
        <f>'2015_2020 Int_Confianca'!CM64</f>
        <v>4.48E-2</v>
      </c>
      <c r="CP138">
        <f>'2015_2020 Int_Confianca'!CN64</f>
        <v>8.48E-2</v>
      </c>
      <c r="CQ138">
        <f>'2015_2020 Int_Confianca'!CO64</f>
        <v>0.1048</v>
      </c>
      <c r="CR138">
        <f>'2015_2020 Int_Confianca'!CP64</f>
        <v>0.19220000000000001</v>
      </c>
      <c r="CS138">
        <f>'2015_2020 Int_Confianca'!CQ64</f>
        <v>0.28610000000000002</v>
      </c>
      <c r="CT138">
        <f>'2015_2020 Int_Confianca'!CR64</f>
        <v>0.20930000000000001</v>
      </c>
      <c r="CU138">
        <f>'2015_2020 Int_Confianca'!CS64</f>
        <v>0.10639999999999999</v>
      </c>
      <c r="CV138">
        <f>'2015_2020 Int_Confianca'!CT64</f>
        <v>6.1800000000000001E-2</v>
      </c>
      <c r="CW138">
        <f>'2015_2020 Int_Confianca'!CU64</f>
        <v>0.21590000000000001</v>
      </c>
      <c r="CX138">
        <f>'2015_2020 Int_Confianca'!CV64</f>
        <v>5.1200000000000002E-2</v>
      </c>
    </row>
    <row r="139" spans="1:102" x14ac:dyDescent="0.2">
      <c r="A139" t="s">
        <v>5913</v>
      </c>
      <c r="B139" t="s">
        <v>219</v>
      </c>
      <c r="C139" t="s">
        <v>221</v>
      </c>
      <c r="D139">
        <f>'2015_2020 Int_Confianca'!B65</f>
        <v>6.1100000000000002E-2</v>
      </c>
      <c r="E139">
        <f>'2015_2020 Int_Confianca'!C65</f>
        <v>5.8700000000000002E-2</v>
      </c>
      <c r="F139">
        <f>'2015_2020 Int_Confianca'!D65</f>
        <v>7.6E-3</v>
      </c>
      <c r="G139">
        <f>'2015_2020 Int_Confianca'!E65</f>
        <v>4.36E-2</v>
      </c>
      <c r="H139">
        <f>'2015_2020 Int_Confianca'!F65</f>
        <v>-4.9500000000000002E-2</v>
      </c>
      <c r="I139">
        <f>'2015_2020 Int_Confianca'!G65</f>
        <v>6.1000000000000004E-3</v>
      </c>
      <c r="J139">
        <f>'2015_2020 Int_Confianca'!H65</f>
        <v>-2.12E-2</v>
      </c>
      <c r="K139">
        <f>'2015_2020 Int_Confianca'!I65</f>
        <v>-2.2599999999999999E-2</v>
      </c>
      <c r="L139">
        <f>'2015_2020 Int_Confianca'!J65</f>
        <v>-1.24E-2</v>
      </c>
      <c r="M139">
        <f>'2015_2020 Int_Confianca'!K65</f>
        <v>-3.4500000000000003E-2</v>
      </c>
      <c r="N139">
        <f>'2015_2020 Int_Confianca'!L65</f>
        <v>-3.7199999999999997E-2</v>
      </c>
      <c r="O139">
        <f>'2015_2020 Int_Confianca'!M65</f>
        <v>-1.7299999999999999E-2</v>
      </c>
      <c r="P139">
        <f>'2015_2020 Int_Confianca'!N65</f>
        <v>-2.23E-2</v>
      </c>
      <c r="Q139">
        <f>'2015_2020 Int_Confianca'!O65</f>
        <v>-1.6899999999999998E-2</v>
      </c>
      <c r="R139">
        <f>'2015_2020 Int_Confianca'!P65</f>
        <v>-1.15E-2</v>
      </c>
      <c r="S139">
        <f>'2015_2020 Int_Confianca'!Q65</f>
        <v>-7.4999999999999997E-3</v>
      </c>
      <c r="T139">
        <f>'2015_2020 Int_Confianca'!R65</f>
        <v>-1.5E-3</v>
      </c>
      <c r="U139">
        <f>'2015_2020 Int_Confianca'!S65</f>
        <v>-2.0000000000000001E-4</v>
      </c>
      <c r="V139">
        <f>'2015_2020 Int_Confianca'!T65</f>
        <v>5.1000000000000004E-3</v>
      </c>
      <c r="W139">
        <f>'2015_2020 Int_Confianca'!U65</f>
        <v>3.3999999999999998E-3</v>
      </c>
      <c r="X139">
        <f>'2015_2020 Int_Confianca'!V65</f>
        <v>1.1999999999999999E-3</v>
      </c>
      <c r="Y139">
        <f>'2015_2020 Int_Confianca'!W65</f>
        <v>4.7000000000000002E-3</v>
      </c>
      <c r="Z139">
        <f>'2015_2020 Int_Confianca'!X65</f>
        <v>3.3999999999999998E-3</v>
      </c>
      <c r="AA139">
        <f>'2015_2020 Int_Confianca'!Y65</f>
        <v>3.3E-3</v>
      </c>
      <c r="AB139">
        <f>'2015_2020 Int_Confianca'!Z65</f>
        <v>5.7999999999999996E-3</v>
      </c>
      <c r="AC139">
        <f>'2015_2020 Int_Confianca'!AA65</f>
        <v>7.9000000000000008E-3</v>
      </c>
      <c r="AD139">
        <f>'2015_2020 Int_Confianca'!AB65</f>
        <v>8.6999999999999994E-3</v>
      </c>
      <c r="AE139">
        <f>'2015_2020 Int_Confianca'!AC65</f>
        <v>8.6E-3</v>
      </c>
      <c r="AF139">
        <f>'2015_2020 Int_Confianca'!AD65</f>
        <v>1.0500000000000001E-2</v>
      </c>
      <c r="AG139">
        <f>'2015_2020 Int_Confianca'!AE65</f>
        <v>0.01</v>
      </c>
      <c r="AH139">
        <f>'2015_2020 Int_Confianca'!AF65</f>
        <v>8.8999999999999999E-3</v>
      </c>
      <c r="AI139">
        <f>'2015_2020 Int_Confianca'!AG65</f>
        <v>1.04E-2</v>
      </c>
      <c r="AJ139">
        <f>'2015_2020 Int_Confianca'!AH65</f>
        <v>1.4500000000000001E-2</v>
      </c>
      <c r="AK139">
        <f>'2015_2020 Int_Confianca'!AI65</f>
        <v>1.3599999999999999E-2</v>
      </c>
      <c r="AL139">
        <f>'2015_2020 Int_Confianca'!AJ65</f>
        <v>1.26E-2</v>
      </c>
      <c r="AM139">
        <f>'2015_2020 Int_Confianca'!AK65</f>
        <v>1.29E-2</v>
      </c>
      <c r="AN139">
        <f>'2015_2020 Int_Confianca'!AL65</f>
        <v>1.44E-2</v>
      </c>
      <c r="AO139">
        <f>'2015_2020 Int_Confianca'!AM65</f>
        <v>1.4999999999999999E-2</v>
      </c>
      <c r="AP139">
        <f>'2015_2020 Int_Confianca'!AN65</f>
        <v>1.23E-2</v>
      </c>
      <c r="AQ139">
        <f>'2015_2020 Int_Confianca'!AO65</f>
        <v>8.8999999999999999E-3</v>
      </c>
      <c r="AR139">
        <f>'2015_2020 Int_Confianca'!AP65</f>
        <v>8.8999999999999999E-3</v>
      </c>
      <c r="AS139">
        <f>'2015_2020 Int_Confianca'!AQ65</f>
        <v>9.4999999999999998E-3</v>
      </c>
      <c r="AT139">
        <f>'2015_2020 Int_Confianca'!AR65</f>
        <v>8.9999999999999993E-3</v>
      </c>
      <c r="AU139">
        <f>'2015_2020 Int_Confianca'!AS65</f>
        <v>8.0000000000000002E-3</v>
      </c>
      <c r="AV139">
        <f>'2015_2020 Int_Confianca'!AT65</f>
        <v>1.0800000000000001E-2</v>
      </c>
      <c r="AW139">
        <f>'2015_2020 Int_Confianca'!AU65</f>
        <v>1.7299999999999999E-2</v>
      </c>
      <c r="AX139">
        <f>'2015_2020 Int_Confianca'!AV65</f>
        <v>2.29E-2</v>
      </c>
      <c r="AY139">
        <f>'2015_2020 Int_Confianca'!AW65</f>
        <v>2.3699999999999999E-2</v>
      </c>
      <c r="AZ139">
        <f>'2015_2020 Int_Confianca'!AX65</f>
        <v>2.2200000000000001E-2</v>
      </c>
      <c r="BA139">
        <f>'2015_2020 Int_Confianca'!AY65</f>
        <v>2.1999999999999999E-2</v>
      </c>
      <c r="BB139">
        <f>'2015_2020 Int_Confianca'!AZ65</f>
        <v>2.0199999999999999E-2</v>
      </c>
      <c r="BC139">
        <f>'2015_2020 Int_Confianca'!BA65</f>
        <v>1.7399999999999999E-2</v>
      </c>
      <c r="BD139">
        <f>'2015_2020 Int_Confianca'!BB65</f>
        <v>1.2999999999999999E-2</v>
      </c>
      <c r="BE139">
        <f>'2015_2020 Int_Confianca'!BC65</f>
        <v>1.18E-2</v>
      </c>
      <c r="BF139">
        <f>'2015_2020 Int_Confianca'!BD65</f>
        <v>8.0999999999999996E-3</v>
      </c>
      <c r="BG139">
        <f>'2015_2020 Int_Confianca'!BE65</f>
        <v>5.0000000000000001E-3</v>
      </c>
      <c r="BH139">
        <f>'2015_2020 Int_Confianca'!BF65</f>
        <v>5.0000000000000001E-4</v>
      </c>
      <c r="BI139">
        <f>'2015_2020 Int_Confianca'!BG65</f>
        <v>2.5000000000000001E-3</v>
      </c>
      <c r="BJ139">
        <f>'2015_2020 Int_Confianca'!BH65</f>
        <v>5.7000000000000002E-3</v>
      </c>
      <c r="BK139">
        <f>'2015_2020 Int_Confianca'!BI65</f>
        <v>4.8999999999999998E-3</v>
      </c>
      <c r="BL139">
        <f>'2015_2020 Int_Confianca'!BJ65</f>
        <v>3.0000000000000001E-3</v>
      </c>
      <c r="BM139">
        <f>'2015_2020 Int_Confianca'!BK65</f>
        <v>5.7000000000000002E-3</v>
      </c>
      <c r="BN139">
        <f>'2015_2020 Int_Confianca'!BL65</f>
        <v>8.0999999999999996E-3</v>
      </c>
      <c r="BO139">
        <f>'2015_2020 Int_Confianca'!BM65</f>
        <v>1.23E-2</v>
      </c>
      <c r="BP139">
        <f>'2015_2020 Int_Confianca'!BN65</f>
        <v>1.52E-2</v>
      </c>
      <c r="BQ139">
        <f>'2015_2020 Int_Confianca'!BO65</f>
        <v>1.52E-2</v>
      </c>
      <c r="BR139">
        <f>'2015_2020 Int_Confianca'!BP65</f>
        <v>1.3599999999999999E-2</v>
      </c>
      <c r="BS139">
        <f>'2015_2020 Int_Confianca'!BQ65</f>
        <v>1.9E-2</v>
      </c>
      <c r="BT139">
        <f>'2015_2020 Int_Confianca'!BR65</f>
        <v>2.35E-2</v>
      </c>
      <c r="BU139">
        <f>'2015_2020 Int_Confianca'!BS65</f>
        <v>1.9400000000000001E-2</v>
      </c>
      <c r="BV139">
        <f>'2015_2020 Int_Confianca'!BT65</f>
        <v>-4.0000000000000001E-3</v>
      </c>
      <c r="BW139">
        <f>'2015_2020 Int_Confianca'!BU65</f>
        <v>-8.2000000000000007E-3</v>
      </c>
      <c r="BX139">
        <f>'2015_2020 Int_Confianca'!BV65</f>
        <v>-4.1999999999999997E-3</v>
      </c>
      <c r="BY139">
        <f>'2015_2020 Int_Confianca'!BW65</f>
        <v>-1.4E-3</v>
      </c>
      <c r="BZ139">
        <f>'2015_2020 Int_Confianca'!BX65</f>
        <v>-8.2000000000000007E-3</v>
      </c>
      <c r="CA139">
        <f>'2015_2020 Int_Confianca'!BY65</f>
        <v>-9.1999999999999998E-3</v>
      </c>
      <c r="CB139">
        <f>'2015_2020 Int_Confianca'!BZ65</f>
        <v>-1.54E-2</v>
      </c>
      <c r="CC139">
        <f>'2015_2020 Int_Confianca'!CA65</f>
        <v>-1.9900000000000001E-2</v>
      </c>
      <c r="CD139">
        <f>'2015_2020 Int_Confianca'!CB65</f>
        <v>-1.1900000000000001E-2</v>
      </c>
      <c r="CE139">
        <f>'2015_2020 Int_Confianca'!CC65</f>
        <v>1.9300000000000001E-2</v>
      </c>
      <c r="CF139">
        <f>'2015_2020 Int_Confianca'!CD65</f>
        <v>2.98E-2</v>
      </c>
      <c r="CG139">
        <f>'2015_2020 Int_Confianca'!CE65</f>
        <v>2.4899999999999999E-2</v>
      </c>
      <c r="CH139">
        <f>'2015_2020 Int_Confianca'!CF65</f>
        <v>-8.9999999999999998E-4</v>
      </c>
      <c r="CI139">
        <f>'2015_2020 Int_Confianca'!CG65</f>
        <v>-1.6899999999999998E-2</v>
      </c>
      <c r="CJ139">
        <f>'2015_2020 Int_Confianca'!CH65</f>
        <v>-2.6599999999999999E-2</v>
      </c>
      <c r="CK139">
        <f>'2015_2020 Int_Confianca'!CI65</f>
        <v>-1.5900000000000001E-2</v>
      </c>
      <c r="CL139">
        <f>'2015_2020 Int_Confianca'!CJ65</f>
        <v>-6.7999999999999996E-3</v>
      </c>
      <c r="CM139">
        <f>'2015_2020 Int_Confianca'!CK65</f>
        <v>-1.8E-3</v>
      </c>
      <c r="CN139">
        <f>'2015_2020 Int_Confianca'!CL65</f>
        <v>-6.3E-3</v>
      </c>
      <c r="CO139">
        <f>'2015_2020 Int_Confianca'!CM65</f>
        <v>-1.1999999999999999E-3</v>
      </c>
      <c r="CP139">
        <f>'2015_2020 Int_Confianca'!CN65</f>
        <v>-1.8700000000000001E-2</v>
      </c>
      <c r="CQ139">
        <f>'2015_2020 Int_Confianca'!CO65</f>
        <v>-2.6499999999999999E-2</v>
      </c>
      <c r="CR139">
        <f>'2015_2020 Int_Confianca'!CP65</f>
        <v>-4.8800000000000003E-2</v>
      </c>
      <c r="CS139">
        <f>'2015_2020 Int_Confianca'!CQ65</f>
        <v>-8.0299999999999996E-2</v>
      </c>
      <c r="CT139">
        <f>'2015_2020 Int_Confianca'!CR65</f>
        <v>-5.8799999999999998E-2</v>
      </c>
      <c r="CU139">
        <f>'2015_2020 Int_Confianca'!CS65</f>
        <v>-4.8800000000000003E-2</v>
      </c>
      <c r="CV139">
        <f>'2015_2020 Int_Confianca'!CT65</f>
        <v>-2.35E-2</v>
      </c>
      <c r="CW139">
        <f>'2015_2020 Int_Confianca'!CU65</f>
        <v>-8.48E-2</v>
      </c>
      <c r="CX139">
        <f>'2015_2020 Int_Confianca'!CV65</f>
        <v>-2.5999999999999999E-2</v>
      </c>
    </row>
    <row r="140" spans="1:102" x14ac:dyDescent="0.2">
      <c r="A140" t="s">
        <v>5914</v>
      </c>
      <c r="B140" t="s">
        <v>219</v>
      </c>
      <c r="C140" t="s">
        <v>221</v>
      </c>
      <c r="D140">
        <f>'2015_2020 Int_Confianca'!B66</f>
        <v>0.1139</v>
      </c>
      <c r="E140">
        <f>'2015_2020 Int_Confianca'!C66</f>
        <v>0.1124</v>
      </c>
      <c r="F140">
        <f>'2015_2020 Int_Confianca'!D66</f>
        <v>5.33E-2</v>
      </c>
      <c r="G140">
        <f>'2015_2020 Int_Confianca'!E66</f>
        <v>7.7100000000000002E-2</v>
      </c>
      <c r="H140">
        <f>'2015_2020 Int_Confianca'!F66</f>
        <v>-1.2200000000000001E-2</v>
      </c>
      <c r="I140">
        <f>'2015_2020 Int_Confianca'!G66</f>
        <v>3.6799999999999999E-2</v>
      </c>
      <c r="J140">
        <f>'2015_2020 Int_Confianca'!H66</f>
        <v>9.1000000000000004E-3</v>
      </c>
      <c r="K140">
        <f>'2015_2020 Int_Confianca'!I66</f>
        <v>5.4999999999999997E-3</v>
      </c>
      <c r="L140">
        <f>'2015_2020 Int_Confianca'!J66</f>
        <v>1.2800000000000001E-2</v>
      </c>
      <c r="M140">
        <f>'2015_2020 Int_Confianca'!K66</f>
        <v>-1.06E-2</v>
      </c>
      <c r="N140">
        <f>'2015_2020 Int_Confianca'!L66</f>
        <v>-1.5900000000000001E-2</v>
      </c>
      <c r="O140">
        <f>'2015_2020 Int_Confianca'!M66</f>
        <v>-3.0999999999999999E-3</v>
      </c>
      <c r="P140">
        <f>'2015_2020 Int_Confianca'!N66</f>
        <v>-8.5000000000000006E-3</v>
      </c>
      <c r="Q140">
        <f>'2015_2020 Int_Confianca'!O66</f>
        <v>-4.3E-3</v>
      </c>
      <c r="R140">
        <f>'2015_2020 Int_Confianca'!P66</f>
        <v>1E-4</v>
      </c>
      <c r="S140">
        <f>'2015_2020 Int_Confianca'!Q66</f>
        <v>3.5000000000000001E-3</v>
      </c>
      <c r="T140">
        <f>'2015_2020 Int_Confianca'!R66</f>
        <v>8.2000000000000007E-3</v>
      </c>
      <c r="U140">
        <f>'2015_2020 Int_Confianca'!S66</f>
        <v>9.1000000000000004E-3</v>
      </c>
      <c r="V140">
        <f>'2015_2020 Int_Confianca'!T66</f>
        <v>1.38E-2</v>
      </c>
      <c r="W140">
        <f>'2015_2020 Int_Confianca'!U66</f>
        <v>1.2E-2</v>
      </c>
      <c r="X140">
        <f>'2015_2020 Int_Confianca'!V66</f>
        <v>9.7000000000000003E-3</v>
      </c>
      <c r="Y140">
        <f>'2015_2020 Int_Confianca'!W66</f>
        <v>1.2500000000000001E-2</v>
      </c>
      <c r="Z140">
        <f>'2015_2020 Int_Confianca'!X66</f>
        <v>1.12E-2</v>
      </c>
      <c r="AA140">
        <f>'2015_2020 Int_Confianca'!Y66</f>
        <v>1.12E-2</v>
      </c>
      <c r="AB140">
        <f>'2015_2020 Int_Confianca'!Z66</f>
        <v>1.37E-2</v>
      </c>
      <c r="AC140">
        <f>'2015_2020 Int_Confianca'!AA66</f>
        <v>1.5900000000000001E-2</v>
      </c>
      <c r="AD140">
        <f>'2015_2020 Int_Confianca'!AB66</f>
        <v>1.6799999999999999E-2</v>
      </c>
      <c r="AE140">
        <f>'2015_2020 Int_Confianca'!AC66</f>
        <v>1.6799999999999999E-2</v>
      </c>
      <c r="AF140">
        <f>'2015_2020 Int_Confianca'!AD66</f>
        <v>1.89E-2</v>
      </c>
      <c r="AG140">
        <f>'2015_2020 Int_Confianca'!AE66</f>
        <v>1.8599999999999998E-2</v>
      </c>
      <c r="AH140">
        <f>'2015_2020 Int_Confianca'!AF66</f>
        <v>1.7899999999999999E-2</v>
      </c>
      <c r="AI140">
        <f>'2015_2020 Int_Confianca'!AG66</f>
        <v>1.9900000000000001E-2</v>
      </c>
      <c r="AJ140">
        <f>'2015_2020 Int_Confianca'!AH66</f>
        <v>2.4400000000000002E-2</v>
      </c>
      <c r="AK140">
        <f>'2015_2020 Int_Confianca'!AI66</f>
        <v>2.41E-2</v>
      </c>
      <c r="AL140">
        <f>'2015_2020 Int_Confianca'!AJ66</f>
        <v>2.3599999999999999E-2</v>
      </c>
      <c r="AM140">
        <f>'2015_2020 Int_Confianca'!AK66</f>
        <v>2.41E-2</v>
      </c>
      <c r="AN140">
        <f>'2015_2020 Int_Confianca'!AL66</f>
        <v>2.58E-2</v>
      </c>
      <c r="AO140">
        <f>'2015_2020 Int_Confianca'!AM66</f>
        <v>2.6499999999999999E-2</v>
      </c>
      <c r="AP140">
        <f>'2015_2020 Int_Confianca'!AN66</f>
        <v>2.3699999999999999E-2</v>
      </c>
      <c r="AQ140">
        <f>'2015_2020 Int_Confianca'!AO66</f>
        <v>2.0199999999999999E-2</v>
      </c>
      <c r="AR140">
        <f>'2015_2020 Int_Confianca'!AP66</f>
        <v>2.0400000000000001E-2</v>
      </c>
      <c r="AS140">
        <f>'2015_2020 Int_Confianca'!AQ66</f>
        <v>2.1100000000000001E-2</v>
      </c>
      <c r="AT140">
        <f>'2015_2020 Int_Confianca'!AR66</f>
        <v>2.0500000000000001E-2</v>
      </c>
      <c r="AU140">
        <f>'2015_2020 Int_Confianca'!AS66</f>
        <v>1.9599999999999999E-2</v>
      </c>
      <c r="AV140">
        <f>'2015_2020 Int_Confianca'!AT66</f>
        <v>2.2499999999999999E-2</v>
      </c>
      <c r="AW140">
        <f>'2015_2020 Int_Confianca'!AU66</f>
        <v>2.92E-2</v>
      </c>
      <c r="AX140">
        <f>'2015_2020 Int_Confianca'!AV66</f>
        <v>3.5099999999999999E-2</v>
      </c>
      <c r="AY140">
        <f>'2015_2020 Int_Confianca'!AW66</f>
        <v>3.5999999999999997E-2</v>
      </c>
      <c r="AZ140">
        <f>'2015_2020 Int_Confianca'!AX66</f>
        <v>3.4599999999999999E-2</v>
      </c>
      <c r="BA140">
        <f>'2015_2020 Int_Confianca'!AY66</f>
        <v>3.4599999999999999E-2</v>
      </c>
      <c r="BB140">
        <f>'2015_2020 Int_Confianca'!AZ66</f>
        <v>3.2899999999999999E-2</v>
      </c>
      <c r="BC140">
        <f>'2015_2020 Int_Confianca'!BA66</f>
        <v>3.0099999999999998E-2</v>
      </c>
      <c r="BD140">
        <f>'2015_2020 Int_Confianca'!BB66</f>
        <v>2.5700000000000001E-2</v>
      </c>
      <c r="BE140">
        <f>'2015_2020 Int_Confianca'!BC66</f>
        <v>2.47E-2</v>
      </c>
      <c r="BF140">
        <f>'2015_2020 Int_Confianca'!BD66</f>
        <v>2.1399999999999999E-2</v>
      </c>
      <c r="BG140">
        <f>'2015_2020 Int_Confianca'!BE66</f>
        <v>1.83E-2</v>
      </c>
      <c r="BH140">
        <f>'2015_2020 Int_Confianca'!BF66</f>
        <v>1.41E-2</v>
      </c>
      <c r="BI140">
        <f>'2015_2020 Int_Confianca'!BG66</f>
        <v>1.6500000000000001E-2</v>
      </c>
      <c r="BJ140">
        <f>'2015_2020 Int_Confianca'!BH66</f>
        <v>1.9800000000000002E-2</v>
      </c>
      <c r="BK140">
        <f>'2015_2020 Int_Confianca'!BI66</f>
        <v>1.9400000000000001E-2</v>
      </c>
      <c r="BL140">
        <f>'2015_2020 Int_Confianca'!BJ66</f>
        <v>1.7600000000000001E-2</v>
      </c>
      <c r="BM140">
        <f>'2015_2020 Int_Confianca'!BK66</f>
        <v>2.0500000000000001E-2</v>
      </c>
      <c r="BN140">
        <f>'2015_2020 Int_Confianca'!BL66</f>
        <v>2.2800000000000001E-2</v>
      </c>
      <c r="BO140">
        <f>'2015_2020 Int_Confianca'!BM66</f>
        <v>2.6700000000000002E-2</v>
      </c>
      <c r="BP140">
        <f>'2015_2020 Int_Confianca'!BN66</f>
        <v>2.93E-2</v>
      </c>
      <c r="BQ140">
        <f>'2015_2020 Int_Confianca'!BO66</f>
        <v>2.9399999999999999E-2</v>
      </c>
      <c r="BR140">
        <f>'2015_2020 Int_Confianca'!BP66</f>
        <v>2.7699999999999999E-2</v>
      </c>
      <c r="BS140">
        <f>'2015_2020 Int_Confianca'!BQ66</f>
        <v>3.3399999999999999E-2</v>
      </c>
      <c r="BT140">
        <f>'2015_2020 Int_Confianca'!BR66</f>
        <v>3.8199999999999998E-2</v>
      </c>
      <c r="BU140">
        <f>'2015_2020 Int_Confianca'!BS66</f>
        <v>3.5400000000000001E-2</v>
      </c>
      <c r="BV140">
        <f>'2015_2020 Int_Confianca'!BT66</f>
        <v>1.44E-2</v>
      </c>
      <c r="BW140">
        <f>'2015_2020 Int_Confianca'!BU66</f>
        <v>1.1900000000000001E-2</v>
      </c>
      <c r="BX140">
        <f>'2015_2020 Int_Confianca'!BV66</f>
        <v>1.6199999999999999E-2</v>
      </c>
      <c r="BY140">
        <f>'2015_2020 Int_Confianca'!BW66</f>
        <v>1.8599999999999998E-2</v>
      </c>
      <c r="BZ140">
        <f>'2015_2020 Int_Confianca'!BX66</f>
        <v>1.0699999999999999E-2</v>
      </c>
      <c r="CA140">
        <f>'2015_2020 Int_Confianca'!BY66</f>
        <v>9.7000000000000003E-3</v>
      </c>
      <c r="CB140">
        <f>'2015_2020 Int_Confianca'!BZ66</f>
        <v>4.1000000000000003E-3</v>
      </c>
      <c r="CC140">
        <f>'2015_2020 Int_Confianca'!CA66</f>
        <v>-1E-4</v>
      </c>
      <c r="CD140">
        <f>'2015_2020 Int_Confianca'!CB66</f>
        <v>8.5000000000000006E-3</v>
      </c>
      <c r="CE140">
        <f>'2015_2020 Int_Confianca'!CC66</f>
        <v>4.1799999999999997E-2</v>
      </c>
      <c r="CF140">
        <f>'2015_2020 Int_Confianca'!CD66</f>
        <v>5.33E-2</v>
      </c>
      <c r="CG140">
        <f>'2015_2020 Int_Confianca'!CE66</f>
        <v>4.8399999999999999E-2</v>
      </c>
      <c r="CH140">
        <f>'2015_2020 Int_Confianca'!CF66</f>
        <v>2.4500000000000001E-2</v>
      </c>
      <c r="CI140">
        <f>'2015_2020 Int_Confianca'!CG66</f>
        <v>1.09E-2</v>
      </c>
      <c r="CJ140">
        <f>'2015_2020 Int_Confianca'!CH66</f>
        <v>3.7000000000000002E-3</v>
      </c>
      <c r="CK140">
        <f>'2015_2020 Int_Confianca'!CI66</f>
        <v>1.29E-2</v>
      </c>
      <c r="CL140">
        <f>'2015_2020 Int_Confianca'!CJ66</f>
        <v>2.0899999999999998E-2</v>
      </c>
      <c r="CM140">
        <f>'2015_2020 Int_Confianca'!CK66</f>
        <v>2.63E-2</v>
      </c>
      <c r="CN140">
        <f>'2015_2020 Int_Confianca'!CL66</f>
        <v>2.8799999999999999E-2</v>
      </c>
      <c r="CO140">
        <f>'2015_2020 Int_Confianca'!CM66</f>
        <v>3.5900000000000001E-2</v>
      </c>
      <c r="CP140">
        <f>'2015_2020 Int_Confianca'!CN66</f>
        <v>1.4999999999999999E-2</v>
      </c>
      <c r="CQ140">
        <f>'2015_2020 Int_Confianca'!CO66</f>
        <v>8.0999999999999996E-3</v>
      </c>
      <c r="CR140">
        <f>'2015_2020 Int_Confianca'!CP66</f>
        <v>4.0000000000000002E-4</v>
      </c>
      <c r="CS140">
        <f>'2015_2020 Int_Confianca'!CQ66</f>
        <v>-3.0499999999999999E-2</v>
      </c>
      <c r="CT140">
        <f>'2015_2020 Int_Confianca'!CR66</f>
        <v>0</v>
      </c>
      <c r="CU140">
        <f>'2015_2020 Int_Confianca'!CS66</f>
        <v>1.3899999999999999E-2</v>
      </c>
      <c r="CV140">
        <f>'2015_2020 Int_Confianca'!CT66</f>
        <v>3.9600000000000003E-2</v>
      </c>
      <c r="CW140">
        <f>'2015_2020 Int_Confianca'!CU66</f>
        <v>3.7000000000000002E-3</v>
      </c>
      <c r="CX140">
        <f>'2015_2020 Int_Confianca'!CV66</f>
        <v>7.6700000000000004E-2</v>
      </c>
    </row>
    <row r="141" spans="1:102" x14ac:dyDescent="0.2">
      <c r="A141" t="s">
        <v>5915</v>
      </c>
      <c r="B141" t="s">
        <v>219</v>
      </c>
      <c r="C141" t="s">
        <v>221</v>
      </c>
      <c r="D141">
        <f>'2015_2020 Int_Confianca'!B67</f>
        <v>-2.35E-2</v>
      </c>
      <c r="E141">
        <f>'2015_2020 Int_Confianca'!C67</f>
        <v>-2.8500000000000001E-2</v>
      </c>
      <c r="F141">
        <f>'2015_2020 Int_Confianca'!D67</f>
        <v>-3.6999999999999998E-2</v>
      </c>
      <c r="G141">
        <f>'2015_2020 Int_Confianca'!E67</f>
        <v>-9.4000000000000004E-3</v>
      </c>
      <c r="H141">
        <f>'2015_2020 Int_Confianca'!F67</f>
        <v>-3.7400000000000003E-2</v>
      </c>
      <c r="I141">
        <f>'2015_2020 Int_Confianca'!G67</f>
        <v>-1.9800000000000002E-2</v>
      </c>
      <c r="J141">
        <f>'2015_2020 Int_Confianca'!H67</f>
        <v>-2.3800000000000002E-2</v>
      </c>
      <c r="K141">
        <f>'2015_2020 Int_Confianca'!I67</f>
        <v>-1.9E-2</v>
      </c>
      <c r="L141">
        <f>'2015_2020 Int_Confianca'!J67</f>
        <v>-8.3000000000000001E-3</v>
      </c>
      <c r="M141">
        <f>'2015_2020 Int_Confianca'!K67</f>
        <v>-1.6500000000000001E-2</v>
      </c>
      <c r="N141">
        <f>'2015_2020 Int_Confianca'!L67</f>
        <v>-1.8599999999999998E-2</v>
      </c>
      <c r="O141">
        <f>'2015_2020 Int_Confianca'!M67</f>
        <v>-1.2500000000000001E-2</v>
      </c>
      <c r="P141">
        <f>'2015_2020 Int_Confianca'!N67</f>
        <v>-1.23E-2</v>
      </c>
      <c r="Q141">
        <f>'2015_2020 Int_Confianca'!O67</f>
        <v>-7.1999999999999998E-3</v>
      </c>
      <c r="R141">
        <f>'2015_2020 Int_Confianca'!P67</f>
        <v>-5.8999999999999999E-3</v>
      </c>
      <c r="S141">
        <f>'2015_2020 Int_Confianca'!Q67</f>
        <v>-8.6E-3</v>
      </c>
      <c r="T141">
        <f>'2015_2020 Int_Confianca'!R67</f>
        <v>-5.5999999999999999E-3</v>
      </c>
      <c r="U141">
        <f>'2015_2020 Int_Confianca'!S67</f>
        <v>-4.4000000000000003E-3</v>
      </c>
      <c r="V141">
        <f>'2015_2020 Int_Confianca'!T67</f>
        <v>-2.2000000000000001E-3</v>
      </c>
      <c r="W141">
        <f>'2015_2020 Int_Confianca'!U67</f>
        <v>-2.8E-3</v>
      </c>
      <c r="X141">
        <f>'2015_2020 Int_Confianca'!V67</f>
        <v>-5.5999999999999999E-3</v>
      </c>
      <c r="Y141">
        <f>'2015_2020 Int_Confianca'!W67</f>
        <v>-2.3E-3</v>
      </c>
      <c r="Z141">
        <f>'2015_2020 Int_Confianca'!X67</f>
        <v>-4.1000000000000003E-3</v>
      </c>
      <c r="AA141">
        <f>'2015_2020 Int_Confianca'!Y67</f>
        <v>-2E-3</v>
      </c>
      <c r="AB141">
        <f>'2015_2020 Int_Confianca'!Z67</f>
        <v>2.3E-3</v>
      </c>
      <c r="AC141">
        <f>'2015_2020 Int_Confianca'!AA67</f>
        <v>3.0000000000000001E-3</v>
      </c>
      <c r="AD141">
        <f>'2015_2020 Int_Confianca'!AB67</f>
        <v>2.5999999999999999E-3</v>
      </c>
      <c r="AE141">
        <f>'2015_2020 Int_Confianca'!AC67</f>
        <v>1.1999999999999999E-3</v>
      </c>
      <c r="AF141">
        <f>'2015_2020 Int_Confianca'!AD67</f>
        <v>-6.9999999999999999E-4</v>
      </c>
      <c r="AG141">
        <f>'2015_2020 Int_Confianca'!AE67</f>
        <v>-5.9999999999999995E-4</v>
      </c>
      <c r="AH141">
        <f>'2015_2020 Int_Confianca'!AF67</f>
        <v>-1.1000000000000001E-3</v>
      </c>
      <c r="AI141">
        <f>'2015_2020 Int_Confianca'!AG67</f>
        <v>-1.1999999999999999E-3</v>
      </c>
      <c r="AJ141">
        <f>'2015_2020 Int_Confianca'!AH67</f>
        <v>-2.9999999999999997E-4</v>
      </c>
      <c r="AK141">
        <f>'2015_2020 Int_Confianca'!AI67</f>
        <v>-1.8E-3</v>
      </c>
      <c r="AL141">
        <f>'2015_2020 Int_Confianca'!AJ67</f>
        <v>-3.2000000000000002E-3</v>
      </c>
      <c r="AM141">
        <f>'2015_2020 Int_Confianca'!AK67</f>
        <v>-2.3999999999999998E-3</v>
      </c>
      <c r="AN141">
        <f>'2015_2020 Int_Confianca'!AL67</f>
        <v>-5.1999999999999998E-3</v>
      </c>
      <c r="AO141">
        <f>'2015_2020 Int_Confianca'!AM67</f>
        <v>-6.4999999999999997E-3</v>
      </c>
      <c r="AP141">
        <f>'2015_2020 Int_Confianca'!AN67</f>
        <v>-6.7999999999999996E-3</v>
      </c>
      <c r="AQ141">
        <f>'2015_2020 Int_Confianca'!AO67</f>
        <v>-9.5999999999999992E-3</v>
      </c>
      <c r="AR141">
        <f>'2015_2020 Int_Confianca'!AP67</f>
        <v>-7.0000000000000001E-3</v>
      </c>
      <c r="AS141">
        <f>'2015_2020 Int_Confianca'!AQ67</f>
        <v>-6.1999999999999998E-3</v>
      </c>
      <c r="AT141">
        <f>'2015_2020 Int_Confianca'!AR67</f>
        <v>-7.7000000000000002E-3</v>
      </c>
      <c r="AU141">
        <f>'2015_2020 Int_Confianca'!AS67</f>
        <v>-9.7000000000000003E-3</v>
      </c>
      <c r="AV141">
        <f>'2015_2020 Int_Confianca'!AT67</f>
        <v>-1.2200000000000001E-2</v>
      </c>
      <c r="AW141">
        <f>'2015_2020 Int_Confianca'!AU67</f>
        <v>-1.09E-2</v>
      </c>
      <c r="AX141">
        <f>'2015_2020 Int_Confianca'!AV67</f>
        <v>-8.2000000000000007E-3</v>
      </c>
      <c r="AY141">
        <f>'2015_2020 Int_Confianca'!AW67</f>
        <v>-7.9000000000000008E-3</v>
      </c>
      <c r="AZ141">
        <f>'2015_2020 Int_Confianca'!AX67</f>
        <v>-8.3999999999999995E-3</v>
      </c>
      <c r="BA141">
        <f>'2015_2020 Int_Confianca'!AY67</f>
        <v>-1.1599999999999999E-2</v>
      </c>
      <c r="BB141">
        <f>'2015_2020 Int_Confianca'!AZ67</f>
        <v>-1.29E-2</v>
      </c>
      <c r="BC141">
        <f>'2015_2020 Int_Confianca'!BA67</f>
        <v>-1.43E-2</v>
      </c>
      <c r="BD141">
        <f>'2015_2020 Int_Confianca'!BB67</f>
        <v>-9.4999999999999998E-3</v>
      </c>
      <c r="BE141">
        <f>'2015_2020 Int_Confianca'!BC67</f>
        <v>-1.26E-2</v>
      </c>
      <c r="BF141">
        <f>'2015_2020 Int_Confianca'!BD67</f>
        <v>-2.2100000000000002E-2</v>
      </c>
      <c r="BG141">
        <f>'2015_2020 Int_Confianca'!BE67</f>
        <v>-1.9199999999999998E-2</v>
      </c>
      <c r="BH141">
        <f>'2015_2020 Int_Confianca'!BF67</f>
        <v>-2.4E-2</v>
      </c>
      <c r="BI141">
        <f>'2015_2020 Int_Confianca'!BG67</f>
        <v>-2.4199999999999999E-2</v>
      </c>
      <c r="BJ141">
        <f>'2015_2020 Int_Confianca'!BH67</f>
        <v>-2.2599999999999999E-2</v>
      </c>
      <c r="BK141">
        <f>'2015_2020 Int_Confianca'!BI67</f>
        <v>-2.4199999999999999E-2</v>
      </c>
      <c r="BL141">
        <f>'2015_2020 Int_Confianca'!BJ67</f>
        <v>-2.7099999999999999E-2</v>
      </c>
      <c r="BM141">
        <f>'2015_2020 Int_Confianca'!BK67</f>
        <v>-2.5499999999999998E-2</v>
      </c>
      <c r="BN141">
        <f>'2015_2020 Int_Confianca'!BL67</f>
        <v>-2.35E-2</v>
      </c>
      <c r="BO141">
        <f>'2015_2020 Int_Confianca'!BM67</f>
        <v>-2.01E-2</v>
      </c>
      <c r="BP141">
        <f>'2015_2020 Int_Confianca'!BN67</f>
        <v>-1.2500000000000001E-2</v>
      </c>
      <c r="BQ141">
        <f>'2015_2020 Int_Confianca'!BO67</f>
        <v>-1.52E-2</v>
      </c>
      <c r="BR141">
        <f>'2015_2020 Int_Confianca'!BP67</f>
        <v>-1.2800000000000001E-2</v>
      </c>
      <c r="BS141">
        <f>'2015_2020 Int_Confianca'!BQ67</f>
        <v>-5.1999999999999998E-3</v>
      </c>
      <c r="BT141">
        <f>'2015_2020 Int_Confianca'!BR67</f>
        <v>-5.4999999999999997E-3</v>
      </c>
      <c r="BU141">
        <f>'2015_2020 Int_Confianca'!BS67</f>
        <v>-1.21E-2</v>
      </c>
      <c r="BV141">
        <f>'2015_2020 Int_Confianca'!BT67</f>
        <v>-2.8400000000000002E-2</v>
      </c>
      <c r="BW141">
        <f>'2015_2020 Int_Confianca'!BU67</f>
        <v>-3.5400000000000001E-2</v>
      </c>
      <c r="BX141">
        <f>'2015_2020 Int_Confianca'!BV67</f>
        <v>-3.1E-2</v>
      </c>
      <c r="BY141">
        <f>'2015_2020 Int_Confianca'!BW67</f>
        <v>-2.81E-2</v>
      </c>
      <c r="BZ141">
        <f>'2015_2020 Int_Confianca'!BX67</f>
        <v>-3.4700000000000002E-2</v>
      </c>
      <c r="CA141">
        <f>'2015_2020 Int_Confianca'!BY67</f>
        <v>-2.7300000000000001E-2</v>
      </c>
      <c r="CB141">
        <f>'2015_2020 Int_Confianca'!BZ67</f>
        <v>-3.4099999999999998E-2</v>
      </c>
      <c r="CC141">
        <f>'2015_2020 Int_Confianca'!CA67</f>
        <v>-3.5099999999999999E-2</v>
      </c>
      <c r="CD141">
        <f>'2015_2020 Int_Confianca'!CB67</f>
        <v>-4.2200000000000001E-2</v>
      </c>
      <c r="CE141">
        <f>'2015_2020 Int_Confianca'!CC67</f>
        <v>-2.18E-2</v>
      </c>
      <c r="CF141">
        <f>'2015_2020 Int_Confianca'!CD67</f>
        <v>-8.5000000000000006E-3</v>
      </c>
      <c r="CG141">
        <f>'2015_2020 Int_Confianca'!CE67</f>
        <v>-1.18E-2</v>
      </c>
      <c r="CH141">
        <f>'2015_2020 Int_Confianca'!CF67</f>
        <v>-2.3699999999999999E-2</v>
      </c>
      <c r="CI141">
        <f>'2015_2020 Int_Confianca'!CG67</f>
        <v>-3.8199999999999998E-2</v>
      </c>
      <c r="CJ141">
        <f>'2015_2020 Int_Confianca'!CH67</f>
        <v>-4.7899999999999998E-2</v>
      </c>
      <c r="CK141">
        <f>'2015_2020 Int_Confianca'!CI67</f>
        <v>-3.8399999999999997E-2</v>
      </c>
      <c r="CL141">
        <f>'2015_2020 Int_Confianca'!CJ67</f>
        <v>-2.18E-2</v>
      </c>
      <c r="CM141">
        <f>'2015_2020 Int_Confianca'!CK67</f>
        <v>-1.7500000000000002E-2</v>
      </c>
      <c r="CN141">
        <f>'2015_2020 Int_Confianca'!CL67</f>
        <v>-0.03</v>
      </c>
      <c r="CO141">
        <f>'2015_2020 Int_Confianca'!CM67</f>
        <v>-2.2200000000000001E-2</v>
      </c>
      <c r="CP141">
        <f>'2015_2020 Int_Confianca'!CN67</f>
        <v>-1.7999999999999999E-2</v>
      </c>
      <c r="CQ141">
        <f>'2015_2020 Int_Confianca'!CO67</f>
        <v>-2.81E-2</v>
      </c>
      <c r="CR141">
        <f>'2015_2020 Int_Confianca'!CP67</f>
        <v>-4.1700000000000001E-2</v>
      </c>
      <c r="CS141">
        <f>'2015_2020 Int_Confianca'!CQ67</f>
        <v>-6.8099999999999994E-2</v>
      </c>
      <c r="CT141">
        <f>'2015_2020 Int_Confianca'!CR67</f>
        <v>-6.1400000000000003E-2</v>
      </c>
      <c r="CU141">
        <f>'2015_2020 Int_Confianca'!CS67</f>
        <v>-4.53E-2</v>
      </c>
      <c r="CV141">
        <f>'2015_2020 Int_Confianca'!CT67</f>
        <v>-2.64E-2</v>
      </c>
      <c r="CW141">
        <f>'2015_2020 Int_Confianca'!CU67</f>
        <v>-7.0400000000000004E-2</v>
      </c>
      <c r="CX141">
        <f>'2015_2020 Int_Confianca'!CV67</f>
        <v>-3.0099999999999998E-2</v>
      </c>
    </row>
    <row r="142" spans="1:102" x14ac:dyDescent="0.2">
      <c r="A142" t="s">
        <v>5916</v>
      </c>
      <c r="B142" t="s">
        <v>219</v>
      </c>
      <c r="C142" t="s">
        <v>221</v>
      </c>
      <c r="D142">
        <f>'2015_2020 Int_Confianca'!B68</f>
        <v>3.2099999999999997E-2</v>
      </c>
      <c r="E142">
        <f>'2015_2020 Int_Confianca'!C68</f>
        <v>3.04E-2</v>
      </c>
      <c r="F142">
        <f>'2015_2020 Int_Confianca'!D68</f>
        <v>1.61E-2</v>
      </c>
      <c r="G142">
        <f>'2015_2020 Int_Confianca'!E68</f>
        <v>0.03</v>
      </c>
      <c r="H142">
        <f>'2015_2020 Int_Confianca'!F68</f>
        <v>6.4999999999999997E-3</v>
      </c>
      <c r="I142">
        <f>'2015_2020 Int_Confianca'!G68</f>
        <v>1.7299999999999999E-2</v>
      </c>
      <c r="J142">
        <f>'2015_2020 Int_Confianca'!H68</f>
        <v>1.2699999999999999E-2</v>
      </c>
      <c r="K142">
        <f>'2015_2020 Int_Confianca'!I68</f>
        <v>1.5699999999999999E-2</v>
      </c>
      <c r="L142">
        <f>'2015_2020 Int_Confianca'!J68</f>
        <v>2.3800000000000002E-2</v>
      </c>
      <c r="M142">
        <f>'2015_2020 Int_Confianca'!K68</f>
        <v>1.38E-2</v>
      </c>
      <c r="N142">
        <f>'2015_2020 Int_Confianca'!L68</f>
        <v>8.3000000000000001E-3</v>
      </c>
      <c r="O142">
        <f>'2015_2020 Int_Confianca'!M68</f>
        <v>5.5999999999999999E-3</v>
      </c>
      <c r="P142">
        <f>'2015_2020 Int_Confianca'!N68</f>
        <v>5.3E-3</v>
      </c>
      <c r="Q142">
        <f>'2015_2020 Int_Confianca'!O68</f>
        <v>8.6999999999999994E-3</v>
      </c>
      <c r="R142">
        <f>'2015_2020 Int_Confianca'!P68</f>
        <v>8.8000000000000005E-3</v>
      </c>
      <c r="S142">
        <f>'2015_2020 Int_Confianca'!Q68</f>
        <v>5.0000000000000001E-3</v>
      </c>
      <c r="T142">
        <f>'2015_2020 Int_Confianca'!R68</f>
        <v>6.4000000000000003E-3</v>
      </c>
      <c r="U142">
        <f>'2015_2020 Int_Confianca'!S68</f>
        <v>7.1000000000000004E-3</v>
      </c>
      <c r="V142">
        <f>'2015_2020 Int_Confianca'!T68</f>
        <v>8.5000000000000006E-3</v>
      </c>
      <c r="W142">
        <f>'2015_2020 Int_Confianca'!U68</f>
        <v>7.7999999999999996E-3</v>
      </c>
      <c r="X142">
        <f>'2015_2020 Int_Confianca'!V68</f>
        <v>4.7999999999999996E-3</v>
      </c>
      <c r="Y142">
        <f>'2015_2020 Int_Confianca'!W68</f>
        <v>7.3000000000000001E-3</v>
      </c>
      <c r="Z142">
        <f>'2015_2020 Int_Confianca'!X68</f>
        <v>5.4000000000000003E-3</v>
      </c>
      <c r="AA142">
        <f>'2015_2020 Int_Confianca'!Y68</f>
        <v>7.7000000000000002E-3</v>
      </c>
      <c r="AB142">
        <f>'2015_2020 Int_Confianca'!Z68</f>
        <v>1.21E-2</v>
      </c>
      <c r="AC142">
        <f>'2015_2020 Int_Confianca'!AA68</f>
        <v>1.29E-2</v>
      </c>
      <c r="AD142">
        <f>'2015_2020 Int_Confianca'!AB68</f>
        <v>1.26E-2</v>
      </c>
      <c r="AE142">
        <f>'2015_2020 Int_Confianca'!AC68</f>
        <v>1.14E-2</v>
      </c>
      <c r="AF142">
        <f>'2015_2020 Int_Confianca'!AD68</f>
        <v>9.5999999999999992E-3</v>
      </c>
      <c r="AG142">
        <f>'2015_2020 Int_Confianca'!AE68</f>
        <v>0.01</v>
      </c>
      <c r="AH142">
        <f>'2015_2020 Int_Confianca'!AF68</f>
        <v>1.01E-2</v>
      </c>
      <c r="AI142">
        <f>'2015_2020 Int_Confianca'!AG68</f>
        <v>1.0500000000000001E-2</v>
      </c>
      <c r="AJ142">
        <f>'2015_2020 Int_Confianca'!AH68</f>
        <v>1.1900000000000001E-2</v>
      </c>
      <c r="AK142">
        <f>'2015_2020 Int_Confianca'!AI68</f>
        <v>1.11E-2</v>
      </c>
      <c r="AL142">
        <f>'2015_2020 Int_Confianca'!AJ68</f>
        <v>1.04E-2</v>
      </c>
      <c r="AM142">
        <f>'2015_2020 Int_Confianca'!AK68</f>
        <v>1.15E-2</v>
      </c>
      <c r="AN142">
        <f>'2015_2020 Int_Confianca'!AL68</f>
        <v>8.8999999999999999E-3</v>
      </c>
      <c r="AO142">
        <f>'2015_2020 Int_Confianca'!AM68</f>
        <v>7.7999999999999996E-3</v>
      </c>
      <c r="AP142">
        <f>'2015_2020 Int_Confianca'!AN68</f>
        <v>7.4000000000000003E-3</v>
      </c>
      <c r="AQ142">
        <f>'2015_2020 Int_Confianca'!AO68</f>
        <v>4.4999999999999997E-3</v>
      </c>
      <c r="AR142">
        <f>'2015_2020 Int_Confianca'!AP68</f>
        <v>7.1999999999999998E-3</v>
      </c>
      <c r="AS142">
        <f>'2015_2020 Int_Confianca'!AQ68</f>
        <v>8.0999999999999996E-3</v>
      </c>
      <c r="AT142">
        <f>'2015_2020 Int_Confianca'!AR68</f>
        <v>6.7000000000000002E-3</v>
      </c>
      <c r="AU142">
        <f>'2015_2020 Int_Confianca'!AS68</f>
        <v>4.7999999999999996E-3</v>
      </c>
      <c r="AV142">
        <f>'2015_2020 Int_Confianca'!AT68</f>
        <v>2.3999999999999998E-3</v>
      </c>
      <c r="AW142">
        <f>'2015_2020 Int_Confianca'!AU68</f>
        <v>3.8999999999999998E-3</v>
      </c>
      <c r="AX142">
        <f>'2015_2020 Int_Confianca'!AV68</f>
        <v>7.0000000000000001E-3</v>
      </c>
      <c r="AY142">
        <f>'2015_2020 Int_Confianca'!AW68</f>
        <v>7.6E-3</v>
      </c>
      <c r="AZ142">
        <f>'2015_2020 Int_Confianca'!AX68</f>
        <v>7.3000000000000001E-3</v>
      </c>
      <c r="BA142">
        <f>'2015_2020 Int_Confianca'!AY68</f>
        <v>4.3E-3</v>
      </c>
      <c r="BB142">
        <f>'2015_2020 Int_Confianca'!AZ68</f>
        <v>3.3E-3</v>
      </c>
      <c r="BC142">
        <f>'2015_2020 Int_Confianca'!BA68</f>
        <v>1.9E-3</v>
      </c>
      <c r="BD142">
        <f>'2015_2020 Int_Confianca'!BB68</f>
        <v>6.7000000000000002E-3</v>
      </c>
      <c r="BE142">
        <f>'2015_2020 Int_Confianca'!BC68</f>
        <v>3.8999999999999998E-3</v>
      </c>
      <c r="BF142">
        <f>'2015_2020 Int_Confianca'!BD68</f>
        <v>-5.1999999999999998E-3</v>
      </c>
      <c r="BG142">
        <f>'2015_2020 Int_Confianca'!BE68</f>
        <v>-2.3E-3</v>
      </c>
      <c r="BH142">
        <f>'2015_2020 Int_Confianca'!BF68</f>
        <v>-6.7000000000000002E-3</v>
      </c>
      <c r="BI142">
        <f>'2015_2020 Int_Confianca'!BG68</f>
        <v>-6.4000000000000003E-3</v>
      </c>
      <c r="BJ142">
        <f>'2015_2020 Int_Confianca'!BH68</f>
        <v>-4.5999999999999999E-3</v>
      </c>
      <c r="BK142">
        <f>'2015_2020 Int_Confianca'!BI68</f>
        <v>-5.7999999999999996E-3</v>
      </c>
      <c r="BL142">
        <f>'2015_2020 Int_Confianca'!BJ68</f>
        <v>-8.3999999999999995E-3</v>
      </c>
      <c r="BM142">
        <f>'2015_2020 Int_Confianca'!BK68</f>
        <v>-6.7999999999999996E-3</v>
      </c>
      <c r="BN142">
        <f>'2015_2020 Int_Confianca'!BL68</f>
        <v>-5.0000000000000001E-3</v>
      </c>
      <c r="BO142">
        <f>'2015_2020 Int_Confianca'!BM68</f>
        <v>-2E-3</v>
      </c>
      <c r="BP142">
        <f>'2015_2020 Int_Confianca'!BN68</f>
        <v>5.4000000000000003E-3</v>
      </c>
      <c r="BQ142">
        <f>'2015_2020 Int_Confianca'!BO68</f>
        <v>2.7000000000000001E-3</v>
      </c>
      <c r="BR142">
        <f>'2015_2020 Int_Confianca'!BP68</f>
        <v>4.7999999999999996E-3</v>
      </c>
      <c r="BS142">
        <f>'2015_2020 Int_Confianca'!BQ68</f>
        <v>1.2800000000000001E-2</v>
      </c>
      <c r="BT142">
        <f>'2015_2020 Int_Confianca'!BR68</f>
        <v>1.2699999999999999E-2</v>
      </c>
      <c r="BU142">
        <f>'2015_2020 Int_Confianca'!BS68</f>
        <v>7.7000000000000002E-3</v>
      </c>
      <c r="BV142">
        <f>'2015_2020 Int_Confianca'!BT68</f>
        <v>-5.5999999999999999E-3</v>
      </c>
      <c r="BW142">
        <f>'2015_2020 Int_Confianca'!BU68</f>
        <v>-1.0800000000000001E-2</v>
      </c>
      <c r="BX142">
        <f>'2015_2020 Int_Confianca'!BV68</f>
        <v>-6.0000000000000001E-3</v>
      </c>
      <c r="BY142">
        <f>'2015_2020 Int_Confianca'!BW68</f>
        <v>-3.8E-3</v>
      </c>
      <c r="BZ142">
        <f>'2015_2020 Int_Confianca'!BX68</f>
        <v>-1.15E-2</v>
      </c>
      <c r="CA142">
        <f>'2015_2020 Int_Confianca'!BY68</f>
        <v>-4.4999999999999997E-3</v>
      </c>
      <c r="CB142">
        <f>'2015_2020 Int_Confianca'!BZ68</f>
        <v>-1.0699999999999999E-2</v>
      </c>
      <c r="CC142">
        <f>'2015_2020 Int_Confianca'!CA68</f>
        <v>-1.14E-2</v>
      </c>
      <c r="CD142">
        <f>'2015_2020 Int_Confianca'!CB68</f>
        <v>-1.8100000000000002E-2</v>
      </c>
      <c r="CE142">
        <f>'2015_2020 Int_Confianca'!CC68</f>
        <v>4.8999999999999998E-3</v>
      </c>
      <c r="CF142">
        <f>'2015_2020 Int_Confianca'!CD68</f>
        <v>1.89E-2</v>
      </c>
      <c r="CG142">
        <f>'2015_2020 Int_Confianca'!CE68</f>
        <v>1.5299999999999999E-2</v>
      </c>
      <c r="CH142">
        <f>'2015_2020 Int_Confianca'!CF68</f>
        <v>5.1999999999999998E-3</v>
      </c>
      <c r="CI142">
        <f>'2015_2020 Int_Confianca'!CG68</f>
        <v>-7.1999999999999998E-3</v>
      </c>
      <c r="CJ142">
        <f>'2015_2020 Int_Confianca'!CH68</f>
        <v>-1.46E-2</v>
      </c>
      <c r="CK142">
        <f>'2015_2020 Int_Confianca'!CI68</f>
        <v>-7.1000000000000004E-3</v>
      </c>
      <c r="CL142">
        <f>'2015_2020 Int_Confianca'!CJ68</f>
        <v>8.0999999999999996E-3</v>
      </c>
      <c r="CM142">
        <f>'2015_2020 Int_Confianca'!CK68</f>
        <v>1.2500000000000001E-2</v>
      </c>
      <c r="CN142">
        <f>'2015_2020 Int_Confianca'!CL68</f>
        <v>6.8999999999999999E-3</v>
      </c>
      <c r="CO142">
        <f>'2015_2020 Int_Confianca'!CM68</f>
        <v>1.5900000000000001E-2</v>
      </c>
      <c r="CP142">
        <f>'2015_2020 Int_Confianca'!CN68</f>
        <v>1.6400000000000001E-2</v>
      </c>
      <c r="CQ142">
        <f>'2015_2020 Int_Confianca'!CO68</f>
        <v>6.6E-3</v>
      </c>
      <c r="CR142">
        <f>'2015_2020 Int_Confianca'!CP68</f>
        <v>6.4999999999999997E-3</v>
      </c>
      <c r="CS142">
        <f>'2015_2020 Int_Confianca'!CQ68</f>
        <v>-2.0199999999999999E-2</v>
      </c>
      <c r="CT142">
        <f>'2015_2020 Int_Confianca'!CR68</f>
        <v>-5.7000000000000002E-3</v>
      </c>
      <c r="CU142">
        <f>'2015_2020 Int_Confianca'!CS68</f>
        <v>1.2800000000000001E-2</v>
      </c>
      <c r="CV142">
        <f>'2015_2020 Int_Confianca'!CT68</f>
        <v>3.1699999999999999E-2</v>
      </c>
      <c r="CW142">
        <f>'2015_2020 Int_Confianca'!CU68</f>
        <v>1.2E-2</v>
      </c>
      <c r="CX142">
        <f>'2015_2020 Int_Confianca'!CV68</f>
        <v>5.8099999999999999E-2</v>
      </c>
    </row>
    <row r="143" spans="1:102" x14ac:dyDescent="0.2">
      <c r="A143" t="s">
        <v>5917</v>
      </c>
      <c r="B143" t="s">
        <v>219</v>
      </c>
      <c r="C143" t="s">
        <v>221</v>
      </c>
      <c r="D143">
        <f>'2015_2020 Int_Confianca'!B69</f>
        <v>2.1299999999999999E-2</v>
      </c>
      <c r="E143">
        <f>'2015_2020 Int_Confianca'!C69</f>
        <v>1.4E-3</v>
      </c>
      <c r="F143">
        <f>'2015_2020 Int_Confianca'!D69</f>
        <v>-2.07E-2</v>
      </c>
      <c r="G143">
        <f>'2015_2020 Int_Confianca'!E69</f>
        <v>1.38E-2</v>
      </c>
      <c r="H143">
        <f>'2015_2020 Int_Confianca'!F69</f>
        <v>-2.6800000000000001E-2</v>
      </c>
      <c r="I143">
        <f>'2015_2020 Int_Confianca'!G69</f>
        <v>-3.8999999999999998E-3</v>
      </c>
      <c r="J143">
        <f>'2015_2020 Int_Confianca'!H69</f>
        <v>-1.35E-2</v>
      </c>
      <c r="K143">
        <f>'2015_2020 Int_Confianca'!I69</f>
        <v>-1.2699999999999999E-2</v>
      </c>
      <c r="L143">
        <f>'2015_2020 Int_Confianca'!J69</f>
        <v>-7.4999999999999997E-3</v>
      </c>
      <c r="M143">
        <f>'2015_2020 Int_Confianca'!K69</f>
        <v>-1.72E-2</v>
      </c>
      <c r="N143">
        <f>'2015_2020 Int_Confianca'!L69</f>
        <v>-1.78E-2</v>
      </c>
      <c r="O143">
        <f>'2015_2020 Int_Confianca'!M69</f>
        <v>-7.4999999999999997E-3</v>
      </c>
      <c r="P143">
        <f>'2015_2020 Int_Confianca'!N69</f>
        <v>-9.2999999999999992E-3</v>
      </c>
      <c r="Q143">
        <f>'2015_2020 Int_Confianca'!O69</f>
        <v>-7.1000000000000004E-3</v>
      </c>
      <c r="R143">
        <f>'2015_2020 Int_Confianca'!P69</f>
        <v>-5.7999999999999996E-3</v>
      </c>
      <c r="S143">
        <f>'2015_2020 Int_Confianca'!Q69</f>
        <v>-5.1000000000000004E-3</v>
      </c>
      <c r="T143">
        <f>'2015_2020 Int_Confianca'!R69</f>
        <v>-3.7000000000000002E-3</v>
      </c>
      <c r="U143">
        <f>'2015_2020 Int_Confianca'!S69</f>
        <v>-3.3E-3</v>
      </c>
      <c r="V143">
        <f>'2015_2020 Int_Confianca'!T69</f>
        <v>-1.6000000000000001E-3</v>
      </c>
      <c r="W143">
        <f>'2015_2020 Int_Confianca'!U69</f>
        <v>-1.6999999999999999E-3</v>
      </c>
      <c r="X143">
        <f>'2015_2020 Int_Confianca'!V69</f>
        <v>-1.5E-3</v>
      </c>
      <c r="Y143">
        <f>'2015_2020 Int_Confianca'!W69</f>
        <v>-5.9999999999999995E-4</v>
      </c>
      <c r="Z143">
        <f>'2015_2020 Int_Confianca'!X69</f>
        <v>-8.9999999999999998E-4</v>
      </c>
      <c r="AA143">
        <f>'2015_2020 Int_Confianca'!Y69</f>
        <v>-6.9999999999999999E-4</v>
      </c>
      <c r="AB143">
        <f>'2015_2020 Int_Confianca'!Z69</f>
        <v>-2.0000000000000001E-4</v>
      </c>
      <c r="AC143">
        <f>'2015_2020 Int_Confianca'!AA69</f>
        <v>-2.9999999999999997E-4</v>
      </c>
      <c r="AD143">
        <f>'2015_2020 Int_Confianca'!AB69</f>
        <v>-4.0000000000000002E-4</v>
      </c>
      <c r="AE143">
        <f>'2015_2020 Int_Confianca'!AC69</f>
        <v>-6.9999999999999999E-4</v>
      </c>
      <c r="AF143">
        <f>'2015_2020 Int_Confianca'!AD69</f>
        <v>-1.1000000000000001E-3</v>
      </c>
      <c r="AG143">
        <f>'2015_2020 Int_Confianca'!AE69</f>
        <v>-2E-3</v>
      </c>
      <c r="AH143">
        <f>'2015_2020 Int_Confianca'!AF69</f>
        <v>-2.3E-3</v>
      </c>
      <c r="AI143">
        <f>'2015_2020 Int_Confianca'!AG69</f>
        <v>-2E-3</v>
      </c>
      <c r="AJ143">
        <f>'2015_2020 Int_Confianca'!AH69</f>
        <v>-1.1000000000000001E-3</v>
      </c>
      <c r="AK143">
        <f>'2015_2020 Int_Confianca'!AI69</f>
        <v>-1.1999999999999999E-3</v>
      </c>
      <c r="AL143">
        <f>'2015_2020 Int_Confianca'!AJ69</f>
        <v>-1.8E-3</v>
      </c>
      <c r="AM143">
        <f>'2015_2020 Int_Confianca'!AK69</f>
        <v>-1.9E-3</v>
      </c>
      <c r="AN143">
        <f>'2015_2020 Int_Confianca'!AL69</f>
        <v>-2.0999999999999999E-3</v>
      </c>
      <c r="AO143">
        <f>'2015_2020 Int_Confianca'!AM69</f>
        <v>-2E-3</v>
      </c>
      <c r="AP143">
        <f>'2015_2020 Int_Confianca'!AN69</f>
        <v>-1.9E-3</v>
      </c>
      <c r="AQ143">
        <f>'2015_2020 Int_Confianca'!AO69</f>
        <v>-1.4E-3</v>
      </c>
      <c r="AR143">
        <f>'2015_2020 Int_Confianca'!AP69</f>
        <v>-1.1999999999999999E-3</v>
      </c>
      <c r="AS143">
        <f>'2015_2020 Int_Confianca'!AQ69</f>
        <v>-1.6000000000000001E-3</v>
      </c>
      <c r="AT143">
        <f>'2015_2020 Int_Confianca'!AR69</f>
        <v>-1.5E-3</v>
      </c>
      <c r="AU143">
        <f>'2015_2020 Int_Confianca'!AS69</f>
        <v>-1.2999999999999999E-3</v>
      </c>
      <c r="AV143">
        <f>'2015_2020 Int_Confianca'!AT69</f>
        <v>-1.9E-3</v>
      </c>
      <c r="AW143">
        <f>'2015_2020 Int_Confianca'!AU69</f>
        <v>-1.5E-3</v>
      </c>
      <c r="AX143">
        <f>'2015_2020 Int_Confianca'!AV69</f>
        <v>-1.1999999999999999E-3</v>
      </c>
      <c r="AY143">
        <f>'2015_2020 Int_Confianca'!AW69</f>
        <v>-1.1999999999999999E-3</v>
      </c>
      <c r="AZ143">
        <f>'2015_2020 Int_Confianca'!AX69</f>
        <v>-1.2999999999999999E-3</v>
      </c>
      <c r="BA143">
        <f>'2015_2020 Int_Confianca'!AY69</f>
        <v>-1.2999999999999999E-3</v>
      </c>
      <c r="BB143">
        <f>'2015_2020 Int_Confianca'!AZ69</f>
        <v>-1.5E-3</v>
      </c>
      <c r="BC143">
        <f>'2015_2020 Int_Confianca'!BA69</f>
        <v>-1.6999999999999999E-3</v>
      </c>
      <c r="BD143">
        <f>'2015_2020 Int_Confianca'!BB69</f>
        <v>-1.5E-3</v>
      </c>
      <c r="BE143">
        <f>'2015_2020 Int_Confianca'!BC69</f>
        <v>-1.6000000000000001E-3</v>
      </c>
      <c r="BF143">
        <f>'2015_2020 Int_Confianca'!BD69</f>
        <v>-2.3999999999999998E-3</v>
      </c>
      <c r="BG143">
        <f>'2015_2020 Int_Confianca'!BE69</f>
        <v>-2E-3</v>
      </c>
      <c r="BH143">
        <f>'2015_2020 Int_Confianca'!BF69</f>
        <v>-2E-3</v>
      </c>
      <c r="BI143">
        <f>'2015_2020 Int_Confianca'!BG69</f>
        <v>-2E-3</v>
      </c>
      <c r="BJ143">
        <f>'2015_2020 Int_Confianca'!BH69</f>
        <v>-2.0999999999999999E-3</v>
      </c>
      <c r="BK143">
        <f>'2015_2020 Int_Confianca'!BI69</f>
        <v>-1.6999999999999999E-3</v>
      </c>
      <c r="BL143">
        <f>'2015_2020 Int_Confianca'!BJ69</f>
        <v>-2E-3</v>
      </c>
      <c r="BM143">
        <f>'2015_2020 Int_Confianca'!BK69</f>
        <v>-1.6000000000000001E-3</v>
      </c>
      <c r="BN143">
        <f>'2015_2020 Int_Confianca'!BL69</f>
        <v>-1.4E-3</v>
      </c>
      <c r="BO143">
        <f>'2015_2020 Int_Confianca'!BM69</f>
        <v>-5.0000000000000001E-4</v>
      </c>
      <c r="BP143">
        <f>'2015_2020 Int_Confianca'!BN69</f>
        <v>-5.9999999999999995E-4</v>
      </c>
      <c r="BQ143">
        <f>'2015_2020 Int_Confianca'!BO69</f>
        <v>-6.9999999999999999E-4</v>
      </c>
      <c r="BR143">
        <f>'2015_2020 Int_Confianca'!BP69</f>
        <v>-8.0000000000000004E-4</v>
      </c>
      <c r="BS143">
        <f>'2015_2020 Int_Confianca'!BQ69</f>
        <v>-8.0000000000000004E-4</v>
      </c>
      <c r="BT143">
        <f>'2015_2020 Int_Confianca'!BR69</f>
        <v>2.0000000000000001E-4</v>
      </c>
      <c r="BU143">
        <f>'2015_2020 Int_Confianca'!BS69</f>
        <v>-2.0000000000000001E-4</v>
      </c>
      <c r="BV143">
        <f>'2015_2020 Int_Confianca'!BT69</f>
        <v>-2.5000000000000001E-3</v>
      </c>
      <c r="BW143">
        <f>'2015_2020 Int_Confianca'!BU69</f>
        <v>-2.0999999999999999E-3</v>
      </c>
      <c r="BX143">
        <f>'2015_2020 Int_Confianca'!BV69</f>
        <v>-1.9E-3</v>
      </c>
      <c r="BY143">
        <f>'2015_2020 Int_Confianca'!BW69</f>
        <v>-2E-3</v>
      </c>
      <c r="BZ143">
        <f>'2015_2020 Int_Confianca'!BX69</f>
        <v>-1.8E-3</v>
      </c>
      <c r="CA143">
        <f>'2015_2020 Int_Confianca'!BY69</f>
        <v>-1.2999999999999999E-3</v>
      </c>
      <c r="CB143">
        <f>'2015_2020 Int_Confianca'!BZ69</f>
        <v>-1.4E-3</v>
      </c>
      <c r="CC143">
        <f>'2015_2020 Int_Confianca'!CA69</f>
        <v>-1.6000000000000001E-3</v>
      </c>
      <c r="CD143">
        <f>'2015_2020 Int_Confianca'!CB69</f>
        <v>-2.0999999999999999E-3</v>
      </c>
      <c r="CE143">
        <f>'2015_2020 Int_Confianca'!CC69</f>
        <v>-5.0000000000000001E-4</v>
      </c>
      <c r="CF143">
        <f>'2015_2020 Int_Confianca'!CD69</f>
        <v>-1E-4</v>
      </c>
      <c r="CG143">
        <f>'2015_2020 Int_Confianca'!CE69</f>
        <v>2.0000000000000001E-4</v>
      </c>
      <c r="CH143">
        <f>'2015_2020 Int_Confianca'!CF69</f>
        <v>-1.4E-3</v>
      </c>
      <c r="CI143">
        <f>'2015_2020 Int_Confianca'!CG69</f>
        <v>-2.7000000000000001E-3</v>
      </c>
      <c r="CJ143">
        <f>'2015_2020 Int_Confianca'!CH69</f>
        <v>-3.8999999999999998E-3</v>
      </c>
      <c r="CK143">
        <f>'2015_2020 Int_Confianca'!CI69</f>
        <v>-2.5999999999999999E-3</v>
      </c>
      <c r="CL143">
        <f>'2015_2020 Int_Confianca'!CJ69</f>
        <v>-2.8E-3</v>
      </c>
      <c r="CM143">
        <f>'2015_2020 Int_Confianca'!CK69</f>
        <v>-1.8E-3</v>
      </c>
      <c r="CN143">
        <f>'2015_2020 Int_Confianca'!CL69</f>
        <v>-2.3999999999999998E-3</v>
      </c>
      <c r="CO143">
        <f>'2015_2020 Int_Confianca'!CM69</f>
        <v>-2.2000000000000001E-3</v>
      </c>
      <c r="CP143">
        <f>'2015_2020 Int_Confianca'!CN69</f>
        <v>-2.8E-3</v>
      </c>
      <c r="CQ143">
        <f>'2015_2020 Int_Confianca'!CO69</f>
        <v>-3.0000000000000001E-3</v>
      </c>
      <c r="CR143">
        <f>'2015_2020 Int_Confianca'!CP69</f>
        <v>-4.7999999999999996E-3</v>
      </c>
      <c r="CS143">
        <f>'2015_2020 Int_Confianca'!CQ69</f>
        <v>-6.7999999999999996E-3</v>
      </c>
      <c r="CT143">
        <f>'2015_2020 Int_Confianca'!CR69</f>
        <v>-6.7000000000000002E-3</v>
      </c>
      <c r="CU143">
        <f>'2015_2020 Int_Confianca'!CS69</f>
        <v>-7.1999999999999998E-3</v>
      </c>
      <c r="CV143">
        <f>'2015_2020 Int_Confianca'!CT69</f>
        <v>-6.3E-3</v>
      </c>
      <c r="CW143">
        <f>'2015_2020 Int_Confianca'!CU69</f>
        <v>-7.3000000000000001E-3</v>
      </c>
      <c r="CX143">
        <f>'2015_2020 Int_Confianca'!CV69</f>
        <v>-2.8999999999999998E-3</v>
      </c>
    </row>
    <row r="144" spans="1:102" x14ac:dyDescent="0.2">
      <c r="A144" t="s">
        <v>5918</v>
      </c>
      <c r="B144" t="s">
        <v>219</v>
      </c>
      <c r="C144" t="s">
        <v>221</v>
      </c>
      <c r="D144">
        <f>'2015_2020 Int_Confianca'!B70</f>
        <v>4.8800000000000003E-2</v>
      </c>
      <c r="E144">
        <f>'2015_2020 Int_Confianca'!C70</f>
        <v>3.1E-2</v>
      </c>
      <c r="F144">
        <f>'2015_2020 Int_Confianca'!D70</f>
        <v>4.3E-3</v>
      </c>
      <c r="G144">
        <f>'2015_2020 Int_Confianca'!E70</f>
        <v>3.1300000000000001E-2</v>
      </c>
      <c r="H144">
        <f>'2015_2020 Int_Confianca'!F70</f>
        <v>-7.6E-3</v>
      </c>
      <c r="I144">
        <f>'2015_2020 Int_Confianca'!G70</f>
        <v>1.1299999999999999E-2</v>
      </c>
      <c r="J144">
        <f>'2015_2020 Int_Confianca'!H70</f>
        <v>1E-3</v>
      </c>
      <c r="K144">
        <f>'2015_2020 Int_Confianca'!I70</f>
        <v>1E-4</v>
      </c>
      <c r="L144">
        <f>'2015_2020 Int_Confianca'!J70</f>
        <v>3.8999999999999998E-3</v>
      </c>
      <c r="M144">
        <f>'2015_2020 Int_Confianca'!K70</f>
        <v>-6.7000000000000002E-3</v>
      </c>
      <c r="N144">
        <f>'2015_2020 Int_Confianca'!L70</f>
        <v>-8.6999999999999994E-3</v>
      </c>
      <c r="O144">
        <f>'2015_2020 Int_Confianca'!M70</f>
        <v>-1.4E-3</v>
      </c>
      <c r="P144">
        <f>'2015_2020 Int_Confianca'!N70</f>
        <v>-3.5999999999999999E-3</v>
      </c>
      <c r="Q144">
        <f>'2015_2020 Int_Confianca'!O70</f>
        <v>-2E-3</v>
      </c>
      <c r="R144">
        <f>'2015_2020 Int_Confianca'!P70</f>
        <v>-8.9999999999999998E-4</v>
      </c>
      <c r="S144">
        <f>'2015_2020 Int_Confianca'!Q70</f>
        <v>-6.9999999999999999E-4</v>
      </c>
      <c r="T144">
        <f>'2015_2020 Int_Confianca'!R70</f>
        <v>1E-4</v>
      </c>
      <c r="U144">
        <f>'2015_2020 Int_Confianca'!S70</f>
        <v>2.9999999999999997E-4</v>
      </c>
      <c r="V144">
        <f>'2015_2020 Int_Confianca'!T70</f>
        <v>1.6000000000000001E-3</v>
      </c>
      <c r="W144">
        <f>'2015_2020 Int_Confianca'!U70</f>
        <v>1.4E-3</v>
      </c>
      <c r="X144">
        <f>'2015_2020 Int_Confianca'!V70</f>
        <v>1.5E-3</v>
      </c>
      <c r="Y144">
        <f>'2015_2020 Int_Confianca'!W70</f>
        <v>2.2000000000000001E-3</v>
      </c>
      <c r="Z144">
        <f>'2015_2020 Int_Confianca'!X70</f>
        <v>1.8E-3</v>
      </c>
      <c r="AA144">
        <f>'2015_2020 Int_Confianca'!Y70</f>
        <v>2E-3</v>
      </c>
      <c r="AB144">
        <f>'2015_2020 Int_Confianca'!Z70</f>
        <v>2.5000000000000001E-3</v>
      </c>
      <c r="AC144">
        <f>'2015_2020 Int_Confianca'!AA70</f>
        <v>2.3999999999999998E-3</v>
      </c>
      <c r="AD144">
        <f>'2015_2020 Int_Confianca'!AB70</f>
        <v>2.3E-3</v>
      </c>
      <c r="AE144">
        <f>'2015_2020 Int_Confianca'!AC70</f>
        <v>2E-3</v>
      </c>
      <c r="AF144">
        <f>'2015_2020 Int_Confianca'!AD70</f>
        <v>1.6999999999999999E-3</v>
      </c>
      <c r="AG144">
        <f>'2015_2020 Int_Confianca'!AE70</f>
        <v>6.9999999999999999E-4</v>
      </c>
      <c r="AH144">
        <f>'2015_2020 Int_Confianca'!AF70</f>
        <v>5.9999999999999995E-4</v>
      </c>
      <c r="AI144">
        <f>'2015_2020 Int_Confianca'!AG70</f>
        <v>8.9999999999999998E-4</v>
      </c>
      <c r="AJ144">
        <f>'2015_2020 Int_Confianca'!AH70</f>
        <v>2E-3</v>
      </c>
      <c r="AK144">
        <f>'2015_2020 Int_Confianca'!AI70</f>
        <v>2E-3</v>
      </c>
      <c r="AL144">
        <f>'2015_2020 Int_Confianca'!AJ70</f>
        <v>1.6000000000000001E-3</v>
      </c>
      <c r="AM144">
        <f>'2015_2020 Int_Confianca'!AK70</f>
        <v>1.4E-3</v>
      </c>
      <c r="AN144">
        <f>'2015_2020 Int_Confianca'!AL70</f>
        <v>1.1999999999999999E-3</v>
      </c>
      <c r="AO144">
        <f>'2015_2020 Int_Confianca'!AM70</f>
        <v>1.2999999999999999E-3</v>
      </c>
      <c r="AP144">
        <f>'2015_2020 Int_Confianca'!AN70</f>
        <v>1.4E-3</v>
      </c>
      <c r="AQ144">
        <f>'2015_2020 Int_Confianca'!AO70</f>
        <v>1.9E-3</v>
      </c>
      <c r="AR144">
        <f>'2015_2020 Int_Confianca'!AP70</f>
        <v>2.0999999999999999E-3</v>
      </c>
      <c r="AS144">
        <f>'2015_2020 Int_Confianca'!AQ70</f>
        <v>1.6000000000000001E-3</v>
      </c>
      <c r="AT144">
        <f>'2015_2020 Int_Confianca'!AR70</f>
        <v>1.6999999999999999E-3</v>
      </c>
      <c r="AU144">
        <f>'2015_2020 Int_Confianca'!AS70</f>
        <v>2E-3</v>
      </c>
      <c r="AV144">
        <f>'2015_2020 Int_Confianca'!AT70</f>
        <v>1.2999999999999999E-3</v>
      </c>
      <c r="AW144">
        <f>'2015_2020 Int_Confianca'!AU70</f>
        <v>1.6999999999999999E-3</v>
      </c>
      <c r="AX144">
        <f>'2015_2020 Int_Confianca'!AV70</f>
        <v>2.2000000000000001E-3</v>
      </c>
      <c r="AY144">
        <f>'2015_2020 Int_Confianca'!AW70</f>
        <v>2.2000000000000001E-3</v>
      </c>
      <c r="AZ144">
        <f>'2015_2020 Int_Confianca'!AX70</f>
        <v>2.0999999999999999E-3</v>
      </c>
      <c r="BA144">
        <f>'2015_2020 Int_Confianca'!AY70</f>
        <v>2.0999999999999999E-3</v>
      </c>
      <c r="BB144">
        <f>'2015_2020 Int_Confianca'!AZ70</f>
        <v>1.9E-3</v>
      </c>
      <c r="BC144">
        <f>'2015_2020 Int_Confianca'!BA70</f>
        <v>1.8E-3</v>
      </c>
      <c r="BD144">
        <f>'2015_2020 Int_Confianca'!BB70</f>
        <v>1.9E-3</v>
      </c>
      <c r="BE144">
        <f>'2015_2020 Int_Confianca'!BC70</f>
        <v>1.8E-3</v>
      </c>
      <c r="BF144">
        <f>'2015_2020 Int_Confianca'!BD70</f>
        <v>1.1999999999999999E-3</v>
      </c>
      <c r="BG144">
        <f>'2015_2020 Int_Confianca'!BE70</f>
        <v>1.5E-3</v>
      </c>
      <c r="BH144">
        <f>'2015_2020 Int_Confianca'!BF70</f>
        <v>1.6000000000000001E-3</v>
      </c>
      <c r="BI144">
        <f>'2015_2020 Int_Confianca'!BG70</f>
        <v>1.6999999999999999E-3</v>
      </c>
      <c r="BJ144">
        <f>'2015_2020 Int_Confianca'!BH70</f>
        <v>1.6000000000000001E-3</v>
      </c>
      <c r="BK144">
        <f>'2015_2020 Int_Confianca'!BI70</f>
        <v>2E-3</v>
      </c>
      <c r="BL144">
        <f>'2015_2020 Int_Confianca'!BJ70</f>
        <v>1.6999999999999999E-3</v>
      </c>
      <c r="BM144">
        <f>'2015_2020 Int_Confianca'!BK70</f>
        <v>2.0999999999999999E-3</v>
      </c>
      <c r="BN144">
        <f>'2015_2020 Int_Confianca'!BL70</f>
        <v>2.3E-3</v>
      </c>
      <c r="BO144">
        <f>'2015_2020 Int_Confianca'!BM70</f>
        <v>3.0000000000000001E-3</v>
      </c>
      <c r="BP144">
        <f>'2015_2020 Int_Confianca'!BN70</f>
        <v>2.8E-3</v>
      </c>
      <c r="BQ144">
        <f>'2015_2020 Int_Confianca'!BO70</f>
        <v>2.8E-3</v>
      </c>
      <c r="BR144">
        <f>'2015_2020 Int_Confianca'!BP70</f>
        <v>2.5999999999999999E-3</v>
      </c>
      <c r="BS144">
        <f>'2015_2020 Int_Confianca'!BQ70</f>
        <v>2.7000000000000001E-3</v>
      </c>
      <c r="BT144">
        <f>'2015_2020 Int_Confianca'!BR70</f>
        <v>3.7000000000000002E-3</v>
      </c>
      <c r="BU144">
        <f>'2015_2020 Int_Confianca'!BS70</f>
        <v>3.5999999999999999E-3</v>
      </c>
      <c r="BV144">
        <f>'2015_2020 Int_Confianca'!BT70</f>
        <v>1.8E-3</v>
      </c>
      <c r="BW144">
        <f>'2015_2020 Int_Confianca'!BU70</f>
        <v>2.5999999999999999E-3</v>
      </c>
      <c r="BX144">
        <f>'2015_2020 Int_Confianca'!BV70</f>
        <v>2.8E-3</v>
      </c>
      <c r="BY144">
        <f>'2015_2020 Int_Confianca'!BW70</f>
        <v>2.5000000000000001E-3</v>
      </c>
      <c r="BZ144">
        <f>'2015_2020 Int_Confianca'!BX70</f>
        <v>2.5000000000000001E-3</v>
      </c>
      <c r="CA144">
        <f>'2015_2020 Int_Confianca'!BY70</f>
        <v>2.8999999999999998E-3</v>
      </c>
      <c r="CB144">
        <f>'2015_2020 Int_Confianca'!BZ70</f>
        <v>2.8999999999999998E-3</v>
      </c>
      <c r="CC144">
        <f>'2015_2020 Int_Confianca'!CA70</f>
        <v>2.7000000000000001E-3</v>
      </c>
      <c r="CD144">
        <f>'2015_2020 Int_Confianca'!CB70</f>
        <v>2.3E-3</v>
      </c>
      <c r="CE144">
        <f>'2015_2020 Int_Confianca'!CC70</f>
        <v>4.3E-3</v>
      </c>
      <c r="CF144">
        <f>'2015_2020 Int_Confianca'!CD70</f>
        <v>4.8999999999999998E-3</v>
      </c>
      <c r="CG144">
        <f>'2015_2020 Int_Confianca'!CE70</f>
        <v>5.0000000000000001E-3</v>
      </c>
      <c r="CH144">
        <f>'2015_2020 Int_Confianca'!CF70</f>
        <v>3.7000000000000002E-3</v>
      </c>
      <c r="CI144">
        <f>'2015_2020 Int_Confianca'!CG70</f>
        <v>2.7000000000000001E-3</v>
      </c>
      <c r="CJ144">
        <f>'2015_2020 Int_Confianca'!CH70</f>
        <v>1.9E-3</v>
      </c>
      <c r="CK144">
        <f>'2015_2020 Int_Confianca'!CI70</f>
        <v>2.8E-3</v>
      </c>
      <c r="CL144">
        <f>'2015_2020 Int_Confianca'!CJ70</f>
        <v>2.3999999999999998E-3</v>
      </c>
      <c r="CM144">
        <f>'2015_2020 Int_Confianca'!CK70</f>
        <v>3.2000000000000002E-3</v>
      </c>
      <c r="CN144">
        <f>'2015_2020 Int_Confianca'!CL70</f>
        <v>3.7000000000000002E-3</v>
      </c>
      <c r="CO144">
        <f>'2015_2020 Int_Confianca'!CM70</f>
        <v>4.0000000000000001E-3</v>
      </c>
      <c r="CP144">
        <f>'2015_2020 Int_Confianca'!CN70</f>
        <v>2.7000000000000001E-3</v>
      </c>
      <c r="CQ144">
        <f>'2015_2020 Int_Confianca'!CO70</f>
        <v>2.3999999999999998E-3</v>
      </c>
      <c r="CR144">
        <f>'2015_2020 Int_Confianca'!CP70</f>
        <v>2.7000000000000001E-3</v>
      </c>
      <c r="CS144">
        <f>'2015_2020 Int_Confianca'!CQ70</f>
        <v>5.0000000000000001E-4</v>
      </c>
      <c r="CT144">
        <f>'2015_2020 Int_Confianca'!CR70</f>
        <v>1.6000000000000001E-3</v>
      </c>
      <c r="CU144">
        <f>'2015_2020 Int_Confianca'!CS70</f>
        <v>1.5E-3</v>
      </c>
      <c r="CV144">
        <f>'2015_2020 Int_Confianca'!CT70</f>
        <v>2.5000000000000001E-3</v>
      </c>
      <c r="CW144">
        <f>'2015_2020 Int_Confianca'!CU70</f>
        <v>4.4999999999999997E-3</v>
      </c>
      <c r="CX144">
        <f>'2015_2020 Int_Confianca'!CV70</f>
        <v>1.09E-2</v>
      </c>
    </row>
    <row r="145" spans="1:102" x14ac:dyDescent="0.2">
      <c r="A145" t="s">
        <v>5919</v>
      </c>
      <c r="B145" t="s">
        <v>219</v>
      </c>
      <c r="C145" t="s">
        <v>221</v>
      </c>
      <c r="D145">
        <f>'2015_2020 Int_Confianca'!B71</f>
        <v>-0.1661</v>
      </c>
      <c r="E145">
        <f>'2015_2020 Int_Confianca'!C71</f>
        <v>-0.15379999999999999</v>
      </c>
      <c r="F145">
        <f>'2015_2020 Int_Confianca'!D71</f>
        <v>-1.8499999999999999E-2</v>
      </c>
      <c r="G145">
        <f>'2015_2020 Int_Confianca'!E71</f>
        <v>-0.1671</v>
      </c>
      <c r="H145">
        <f>'2015_2020 Int_Confianca'!F71</f>
        <v>0.1086</v>
      </c>
      <c r="I145">
        <f>'2015_2020 Int_Confianca'!G71</f>
        <v>-8.2100000000000006E-2</v>
      </c>
      <c r="J145">
        <f>'2015_2020 Int_Confianca'!H71</f>
        <v>3.3599999999999998E-2</v>
      </c>
      <c r="K145">
        <f>'2015_2020 Int_Confianca'!I71</f>
        <v>2.4799999999999999E-2</v>
      </c>
      <c r="L145">
        <f>'2015_2020 Int_Confianca'!J71</f>
        <v>-1.2999999999999999E-3</v>
      </c>
      <c r="M145">
        <f>'2015_2020 Int_Confianca'!K71</f>
        <v>0.12540000000000001</v>
      </c>
      <c r="N145">
        <f>'2015_2020 Int_Confianca'!L71</f>
        <v>0.1676</v>
      </c>
      <c r="O145">
        <f>'2015_2020 Int_Confianca'!M71</f>
        <v>8.3799999999999999E-2</v>
      </c>
      <c r="P145">
        <f>'2015_2020 Int_Confianca'!N71</f>
        <v>0.13469999999999999</v>
      </c>
      <c r="Q145">
        <f>'2015_2020 Int_Confianca'!O71</f>
        <v>0.12959999999999999</v>
      </c>
      <c r="R145">
        <f>'2015_2020 Int_Confianca'!P71</f>
        <v>0.1124</v>
      </c>
      <c r="S145">
        <f>'2015_2020 Int_Confianca'!Q71</f>
        <v>8.0600000000000005E-2</v>
      </c>
      <c r="T145">
        <f>'2015_2020 Int_Confianca'!R71</f>
        <v>5.9799999999999999E-2</v>
      </c>
      <c r="U145">
        <f>'2015_2020 Int_Confianca'!S71</f>
        <v>5.0799999999999998E-2</v>
      </c>
      <c r="V145">
        <f>'2015_2020 Int_Confianca'!T71</f>
        <v>3.8100000000000002E-2</v>
      </c>
      <c r="W145">
        <f>'2015_2020 Int_Confianca'!U71</f>
        <v>3.2899999999999999E-2</v>
      </c>
      <c r="X145">
        <f>'2015_2020 Int_Confianca'!V71</f>
        <v>2.92E-2</v>
      </c>
      <c r="Y145">
        <f>'2015_2020 Int_Confianca'!W71</f>
        <v>1.72E-2</v>
      </c>
      <c r="Z145">
        <f>'2015_2020 Int_Confianca'!X71</f>
        <v>2.4E-2</v>
      </c>
      <c r="AA145">
        <f>'2015_2020 Int_Confianca'!Y71</f>
        <v>3.1899999999999998E-2</v>
      </c>
      <c r="AB145">
        <f>'2015_2020 Int_Confianca'!Z71</f>
        <v>3.78E-2</v>
      </c>
      <c r="AC145">
        <f>'2015_2020 Int_Confianca'!AA71</f>
        <v>3.9100000000000003E-2</v>
      </c>
      <c r="AD145">
        <f>'2015_2020 Int_Confianca'!AB71</f>
        <v>3.5000000000000003E-2</v>
      </c>
      <c r="AE145">
        <f>'2015_2020 Int_Confianca'!AC71</f>
        <v>3.61E-2</v>
      </c>
      <c r="AF145">
        <f>'2015_2020 Int_Confianca'!AD71</f>
        <v>3.1199999999999999E-2</v>
      </c>
      <c r="AG145">
        <f>'2015_2020 Int_Confianca'!AE71</f>
        <v>2.63E-2</v>
      </c>
      <c r="AH145">
        <f>'2015_2020 Int_Confianca'!AF71</f>
        <v>3.3799999999999997E-2</v>
      </c>
      <c r="AI145">
        <f>'2015_2020 Int_Confianca'!AG71</f>
        <v>2.6200000000000001E-2</v>
      </c>
      <c r="AJ145">
        <f>'2015_2020 Int_Confianca'!AH71</f>
        <v>1.9699999999999999E-2</v>
      </c>
      <c r="AK145">
        <f>'2015_2020 Int_Confianca'!AI71</f>
        <v>1.8200000000000001E-2</v>
      </c>
      <c r="AL145">
        <f>'2015_2020 Int_Confianca'!AJ71</f>
        <v>2.1999999999999999E-2</v>
      </c>
      <c r="AM145">
        <f>'2015_2020 Int_Confianca'!AK71</f>
        <v>1.78E-2</v>
      </c>
      <c r="AN145">
        <f>'2015_2020 Int_Confianca'!AL71</f>
        <v>1.9099999999999999E-2</v>
      </c>
      <c r="AO145">
        <f>'2015_2020 Int_Confianca'!AM71</f>
        <v>2.3400000000000001E-2</v>
      </c>
      <c r="AP145">
        <f>'2015_2020 Int_Confianca'!AN71</f>
        <v>2.93E-2</v>
      </c>
      <c r="AQ145">
        <f>'2015_2020 Int_Confianca'!AO71</f>
        <v>3.09E-2</v>
      </c>
      <c r="AR145">
        <f>'2015_2020 Int_Confianca'!AP71</f>
        <v>2.7300000000000001E-2</v>
      </c>
      <c r="AS145">
        <f>'2015_2020 Int_Confianca'!AQ71</f>
        <v>2.01E-2</v>
      </c>
      <c r="AT145">
        <f>'2015_2020 Int_Confianca'!AR71</f>
        <v>1.67E-2</v>
      </c>
      <c r="AU145">
        <f>'2015_2020 Int_Confianca'!AS71</f>
        <v>1.4800000000000001E-2</v>
      </c>
      <c r="AV145">
        <f>'2015_2020 Int_Confianca'!AT71</f>
        <v>2.3400000000000001E-2</v>
      </c>
      <c r="AW145">
        <f>'2015_2020 Int_Confianca'!AU71</f>
        <v>2.3400000000000001E-2</v>
      </c>
      <c r="AX145">
        <f>'2015_2020 Int_Confianca'!AV71</f>
        <v>1.23E-2</v>
      </c>
      <c r="AY145">
        <f>'2015_2020 Int_Confianca'!AW71</f>
        <v>1.23E-2</v>
      </c>
      <c r="AZ145">
        <f>'2015_2020 Int_Confianca'!AX71</f>
        <v>1.4500000000000001E-2</v>
      </c>
      <c r="BA145">
        <f>'2015_2020 Int_Confianca'!AY71</f>
        <v>1.7299999999999999E-2</v>
      </c>
      <c r="BB145">
        <f>'2015_2020 Int_Confianca'!AZ71</f>
        <v>1.26E-2</v>
      </c>
      <c r="BC145">
        <f>'2015_2020 Int_Confianca'!BA71</f>
        <v>1.77E-2</v>
      </c>
      <c r="BD145">
        <f>'2015_2020 Int_Confianca'!BB71</f>
        <v>1.38E-2</v>
      </c>
      <c r="BE145">
        <f>'2015_2020 Int_Confianca'!BC71</f>
        <v>1.5599999999999999E-2</v>
      </c>
      <c r="BF145">
        <f>'2015_2020 Int_Confianca'!BD71</f>
        <v>1.5599999999999999E-2</v>
      </c>
      <c r="BG145">
        <f>'2015_2020 Int_Confianca'!BE71</f>
        <v>1.89E-2</v>
      </c>
      <c r="BH145">
        <f>'2015_2020 Int_Confianca'!BF71</f>
        <v>2.1999999999999999E-2</v>
      </c>
      <c r="BI145">
        <f>'2015_2020 Int_Confianca'!BG71</f>
        <v>1.7899999999999999E-2</v>
      </c>
      <c r="BJ145">
        <f>'2015_2020 Int_Confianca'!BH71</f>
        <v>2.12E-2</v>
      </c>
      <c r="BK145">
        <f>'2015_2020 Int_Confianca'!BI71</f>
        <v>1.55E-2</v>
      </c>
      <c r="BL145">
        <f>'2015_2020 Int_Confianca'!BJ71</f>
        <v>1.3899999999999999E-2</v>
      </c>
      <c r="BM145">
        <f>'2015_2020 Int_Confianca'!BK71</f>
        <v>1.17E-2</v>
      </c>
      <c r="BN145">
        <f>'2015_2020 Int_Confianca'!BL71</f>
        <v>8.9999999999999993E-3</v>
      </c>
      <c r="BO145">
        <f>'2015_2020 Int_Confianca'!BM71</f>
        <v>6.4000000000000003E-3</v>
      </c>
      <c r="BP145">
        <f>'2015_2020 Int_Confianca'!BN71</f>
        <v>1E-3</v>
      </c>
      <c r="BQ145">
        <f>'2015_2020 Int_Confianca'!BO71</f>
        <v>5.1999999999999998E-3</v>
      </c>
      <c r="BR145">
        <f>'2015_2020 Int_Confianca'!BP71</f>
        <v>1.12E-2</v>
      </c>
      <c r="BS145">
        <f>'2015_2020 Int_Confianca'!BQ71</f>
        <v>1.5900000000000001E-2</v>
      </c>
      <c r="BT145">
        <f>'2015_2020 Int_Confianca'!BR71</f>
        <v>2.0899999999999998E-2</v>
      </c>
      <c r="BU145">
        <f>'2015_2020 Int_Confianca'!BS71</f>
        <v>2.3400000000000001E-2</v>
      </c>
      <c r="BV145">
        <f>'2015_2020 Int_Confianca'!BT71</f>
        <v>2.4E-2</v>
      </c>
      <c r="BW145">
        <f>'2015_2020 Int_Confianca'!BU71</f>
        <v>2.4400000000000002E-2</v>
      </c>
      <c r="BX145">
        <f>'2015_2020 Int_Confianca'!BV71</f>
        <v>1.47E-2</v>
      </c>
      <c r="BY145">
        <f>'2015_2020 Int_Confianca'!BW71</f>
        <v>2.7099999999999999E-2</v>
      </c>
      <c r="BZ145">
        <f>'2015_2020 Int_Confianca'!BX71</f>
        <v>2.9000000000000001E-2</v>
      </c>
      <c r="CA145">
        <f>'2015_2020 Int_Confianca'!BY71</f>
        <v>2.1899999999999999E-2</v>
      </c>
      <c r="CB145">
        <f>'2015_2020 Int_Confianca'!BZ71</f>
        <v>1.1900000000000001E-2</v>
      </c>
      <c r="CC145">
        <f>'2015_2020 Int_Confianca'!CA71</f>
        <v>2.29E-2</v>
      </c>
      <c r="CD145">
        <f>'2015_2020 Int_Confianca'!CB71</f>
        <v>7.4999999999999997E-3</v>
      </c>
      <c r="CE145">
        <f>'2015_2020 Int_Confianca'!CC71</f>
        <v>7.1000000000000004E-3</v>
      </c>
      <c r="CF145">
        <f>'2015_2020 Int_Confianca'!CD71</f>
        <v>1.0200000000000001E-2</v>
      </c>
      <c r="CG145">
        <f>'2015_2020 Int_Confianca'!CE71</f>
        <v>1.2200000000000001E-2</v>
      </c>
      <c r="CH145">
        <f>'2015_2020 Int_Confianca'!CF71</f>
        <v>5.1999999999999998E-3</v>
      </c>
      <c r="CI145">
        <f>'2015_2020 Int_Confianca'!CG71</f>
        <v>8.6999999999999994E-3</v>
      </c>
      <c r="CJ145">
        <f>'2015_2020 Int_Confianca'!CH71</f>
        <v>-3.5000000000000001E-3</v>
      </c>
      <c r="CK145">
        <f>'2015_2020 Int_Confianca'!CI71</f>
        <v>-1.04E-2</v>
      </c>
      <c r="CL145">
        <f>'2015_2020 Int_Confianca'!CJ71</f>
        <v>-1.3599999999999999E-2</v>
      </c>
      <c r="CM145">
        <f>'2015_2020 Int_Confianca'!CK71</f>
        <v>5.0000000000000001E-4</v>
      </c>
      <c r="CN145">
        <f>'2015_2020 Int_Confianca'!CL71</f>
        <v>-1E-4</v>
      </c>
      <c r="CO145">
        <f>'2015_2020 Int_Confianca'!CM71</f>
        <v>-1.2999999999999999E-2</v>
      </c>
      <c r="CP145">
        <f>'2015_2020 Int_Confianca'!CN71</f>
        <v>0</v>
      </c>
      <c r="CQ145">
        <f>'2015_2020 Int_Confianca'!CO71</f>
        <v>-8.6E-3</v>
      </c>
      <c r="CR145">
        <f>'2015_2020 Int_Confianca'!CP71</f>
        <v>-1.2E-2</v>
      </c>
      <c r="CS145">
        <f>'2015_2020 Int_Confianca'!CQ71</f>
        <v>6.9999999999999999E-4</v>
      </c>
      <c r="CT145">
        <f>'2015_2020 Int_Confianca'!CR71</f>
        <v>-9.7999999999999997E-3</v>
      </c>
      <c r="CU145">
        <f>'2015_2020 Int_Confianca'!CS71</f>
        <v>-1.5699999999999999E-2</v>
      </c>
      <c r="CV145">
        <f>'2015_2020 Int_Confianca'!CT71</f>
        <v>-3.9199999999999999E-2</v>
      </c>
      <c r="CW145">
        <f>'2015_2020 Int_Confianca'!CU71</f>
        <v>-3.0099999999999998E-2</v>
      </c>
      <c r="CX145">
        <f>'2015_2020 Int_Confianca'!CV71</f>
        <v>-3.6799999999999999E-2</v>
      </c>
    </row>
    <row r="146" spans="1:102" x14ac:dyDescent="0.2">
      <c r="A146" t="s">
        <v>5920</v>
      </c>
      <c r="B146" t="s">
        <v>219</v>
      </c>
      <c r="C146" t="s">
        <v>221</v>
      </c>
      <c r="D146">
        <f>'2015_2020 Int_Confianca'!B72</f>
        <v>-0.1124</v>
      </c>
      <c r="E146">
        <f>'2015_2020 Int_Confianca'!C72</f>
        <v>-9.7500000000000003E-2</v>
      </c>
      <c r="F146">
        <f>'2015_2020 Int_Confianca'!D72</f>
        <v>3.09E-2</v>
      </c>
      <c r="G146">
        <f>'2015_2020 Int_Confianca'!E72</f>
        <v>-0.12870000000000001</v>
      </c>
      <c r="H146">
        <f>'2015_2020 Int_Confianca'!F72</f>
        <v>0.15110000000000001</v>
      </c>
      <c r="I146">
        <f>'2015_2020 Int_Confianca'!G72</f>
        <v>-4.48E-2</v>
      </c>
      <c r="J146">
        <f>'2015_2020 Int_Confianca'!H72</f>
        <v>7.0599999999999996E-2</v>
      </c>
      <c r="K146">
        <f>'2015_2020 Int_Confianca'!I72</f>
        <v>6.0299999999999999E-2</v>
      </c>
      <c r="L146">
        <f>'2015_2020 Int_Confianca'!J72</f>
        <v>3.1099999999999999E-2</v>
      </c>
      <c r="M146">
        <f>'2015_2020 Int_Confianca'!K72</f>
        <v>0.15620000000000001</v>
      </c>
      <c r="N146">
        <f>'2015_2020 Int_Confianca'!L72</f>
        <v>0.19520000000000001</v>
      </c>
      <c r="O146">
        <f>'2015_2020 Int_Confianca'!M72</f>
        <v>0.10249999999999999</v>
      </c>
      <c r="P146">
        <f>'2015_2020 Int_Confianca'!N72</f>
        <v>0.153</v>
      </c>
      <c r="Q146">
        <f>'2015_2020 Int_Confianca'!O72</f>
        <v>0.14630000000000001</v>
      </c>
      <c r="R146">
        <f>'2015_2020 Int_Confianca'!P72</f>
        <v>0.1278</v>
      </c>
      <c r="S146">
        <f>'2015_2020 Int_Confianca'!Q72</f>
        <v>9.5000000000000001E-2</v>
      </c>
      <c r="T146">
        <f>'2015_2020 Int_Confianca'!R72</f>
        <v>7.2499999999999995E-2</v>
      </c>
      <c r="U146">
        <f>'2015_2020 Int_Confianca'!S72</f>
        <v>6.3E-2</v>
      </c>
      <c r="V146">
        <f>'2015_2020 Int_Confianca'!T72</f>
        <v>4.9500000000000002E-2</v>
      </c>
      <c r="W146">
        <f>'2015_2020 Int_Confianca'!U72</f>
        <v>4.4200000000000003E-2</v>
      </c>
      <c r="X146">
        <f>'2015_2020 Int_Confianca'!V72</f>
        <v>4.02E-2</v>
      </c>
      <c r="Y146">
        <f>'2015_2020 Int_Confianca'!W72</f>
        <v>2.7400000000000001E-2</v>
      </c>
      <c r="Z146">
        <f>'2015_2020 Int_Confianca'!X72</f>
        <v>3.4099999999999998E-2</v>
      </c>
      <c r="AA146">
        <f>'2015_2020 Int_Confianca'!Y72</f>
        <v>4.2200000000000001E-2</v>
      </c>
      <c r="AB146">
        <f>'2015_2020 Int_Confianca'!Z72</f>
        <v>4.82E-2</v>
      </c>
      <c r="AC146">
        <f>'2015_2020 Int_Confianca'!AA72</f>
        <v>4.9500000000000002E-2</v>
      </c>
      <c r="AD146">
        <f>'2015_2020 Int_Confianca'!AB72</f>
        <v>4.5600000000000002E-2</v>
      </c>
      <c r="AE146">
        <f>'2015_2020 Int_Confianca'!AC72</f>
        <v>4.6800000000000001E-2</v>
      </c>
      <c r="AF146">
        <f>'2015_2020 Int_Confianca'!AD72</f>
        <v>4.2099999999999999E-2</v>
      </c>
      <c r="AG146">
        <f>'2015_2020 Int_Confianca'!AE72</f>
        <v>3.7400000000000003E-2</v>
      </c>
      <c r="AH146">
        <f>'2015_2020 Int_Confianca'!AF72</f>
        <v>4.5499999999999999E-2</v>
      </c>
      <c r="AI146">
        <f>'2015_2020 Int_Confianca'!AG72</f>
        <v>3.8199999999999998E-2</v>
      </c>
      <c r="AJ146">
        <f>'2015_2020 Int_Confianca'!AH72</f>
        <v>3.2300000000000002E-2</v>
      </c>
      <c r="AK146">
        <f>'2015_2020 Int_Confianca'!AI72</f>
        <v>3.1399999999999997E-2</v>
      </c>
      <c r="AL146">
        <f>'2015_2020 Int_Confianca'!AJ72</f>
        <v>3.5900000000000001E-2</v>
      </c>
      <c r="AM146">
        <f>'2015_2020 Int_Confianca'!AK72</f>
        <v>3.2000000000000001E-2</v>
      </c>
      <c r="AN146">
        <f>'2015_2020 Int_Confianca'!AL72</f>
        <v>3.3399999999999999E-2</v>
      </c>
      <c r="AO146">
        <f>'2015_2020 Int_Confianca'!AM72</f>
        <v>3.78E-2</v>
      </c>
      <c r="AP146">
        <f>'2015_2020 Int_Confianca'!AN72</f>
        <v>4.36E-2</v>
      </c>
      <c r="AQ146">
        <f>'2015_2020 Int_Confianca'!AO72</f>
        <v>4.4999999999999998E-2</v>
      </c>
      <c r="AR146">
        <f>'2015_2020 Int_Confianca'!AP72</f>
        <v>4.1599999999999998E-2</v>
      </c>
      <c r="AS146">
        <f>'2015_2020 Int_Confianca'!AQ72</f>
        <v>3.44E-2</v>
      </c>
      <c r="AT146">
        <f>'2015_2020 Int_Confianca'!AR72</f>
        <v>3.1099999999999999E-2</v>
      </c>
      <c r="AU146">
        <f>'2015_2020 Int_Confianca'!AS72</f>
        <v>2.93E-2</v>
      </c>
      <c r="AV146">
        <f>'2015_2020 Int_Confianca'!AT72</f>
        <v>3.7900000000000003E-2</v>
      </c>
      <c r="AW146">
        <f>'2015_2020 Int_Confianca'!AU72</f>
        <v>3.8199999999999998E-2</v>
      </c>
      <c r="AX146">
        <f>'2015_2020 Int_Confianca'!AV72</f>
        <v>2.75E-2</v>
      </c>
      <c r="AY146">
        <f>'2015_2020 Int_Confianca'!AW72</f>
        <v>2.7699999999999999E-2</v>
      </c>
      <c r="AZ146">
        <f>'2015_2020 Int_Confianca'!AX72</f>
        <v>3.0099999999999998E-2</v>
      </c>
      <c r="BA146">
        <f>'2015_2020 Int_Confianca'!AY72</f>
        <v>3.3000000000000002E-2</v>
      </c>
      <c r="BB146">
        <f>'2015_2020 Int_Confianca'!AZ72</f>
        <v>2.8500000000000001E-2</v>
      </c>
      <c r="BC146">
        <f>'2015_2020 Int_Confianca'!BA72</f>
        <v>3.3599999999999998E-2</v>
      </c>
      <c r="BD146">
        <f>'2015_2020 Int_Confianca'!BB72</f>
        <v>2.98E-2</v>
      </c>
      <c r="BE146">
        <f>'2015_2020 Int_Confianca'!BC72</f>
        <v>3.1699999999999999E-2</v>
      </c>
      <c r="BF146">
        <f>'2015_2020 Int_Confianca'!BD72</f>
        <v>3.2300000000000002E-2</v>
      </c>
      <c r="BG146">
        <f>'2015_2020 Int_Confianca'!BE72</f>
        <v>3.5499999999999997E-2</v>
      </c>
      <c r="BH146">
        <f>'2015_2020 Int_Confianca'!BF72</f>
        <v>3.9E-2</v>
      </c>
      <c r="BI146">
        <f>'2015_2020 Int_Confianca'!BG72</f>
        <v>3.5299999999999998E-2</v>
      </c>
      <c r="BJ146">
        <f>'2015_2020 Int_Confianca'!BH72</f>
        <v>3.8899999999999997E-2</v>
      </c>
      <c r="BK146">
        <f>'2015_2020 Int_Confianca'!BI72</f>
        <v>3.3700000000000001E-2</v>
      </c>
      <c r="BL146">
        <f>'2015_2020 Int_Confianca'!BJ72</f>
        <v>3.2300000000000002E-2</v>
      </c>
      <c r="BM146">
        <f>'2015_2020 Int_Confianca'!BK72</f>
        <v>3.0099999999999998E-2</v>
      </c>
      <c r="BN146">
        <f>'2015_2020 Int_Confianca'!BL72</f>
        <v>2.7300000000000001E-2</v>
      </c>
      <c r="BO146">
        <f>'2015_2020 Int_Confianca'!BM72</f>
        <v>2.4199999999999999E-2</v>
      </c>
      <c r="BP146">
        <f>'2015_2020 Int_Confianca'!BN72</f>
        <v>1.8499999999999999E-2</v>
      </c>
      <c r="BQ146">
        <f>'2015_2020 Int_Confianca'!BO72</f>
        <v>2.2800000000000001E-2</v>
      </c>
      <c r="BR146">
        <f>'2015_2020 Int_Confianca'!BP72</f>
        <v>2.8500000000000001E-2</v>
      </c>
      <c r="BS146">
        <f>'2015_2020 Int_Confianca'!BQ72</f>
        <v>3.3599999999999998E-2</v>
      </c>
      <c r="BT146">
        <f>'2015_2020 Int_Confianca'!BR72</f>
        <v>3.8899999999999997E-2</v>
      </c>
      <c r="BU146">
        <f>'2015_2020 Int_Confianca'!BS72</f>
        <v>4.2999999999999997E-2</v>
      </c>
      <c r="BV146">
        <f>'2015_2020 Int_Confianca'!BT72</f>
        <v>4.6600000000000003E-2</v>
      </c>
      <c r="BW146">
        <f>'2015_2020 Int_Confianca'!BU72</f>
        <v>4.8899999999999999E-2</v>
      </c>
      <c r="BX146">
        <f>'2015_2020 Int_Confianca'!BV72</f>
        <v>3.95E-2</v>
      </c>
      <c r="BY146">
        <f>'2015_2020 Int_Confianca'!BW72</f>
        <v>5.1299999999999998E-2</v>
      </c>
      <c r="BZ146">
        <f>'2015_2020 Int_Confianca'!BX72</f>
        <v>5.21E-2</v>
      </c>
      <c r="CA146">
        <f>'2015_2020 Int_Confianca'!BY72</f>
        <v>4.4699999999999997E-2</v>
      </c>
      <c r="CB146">
        <f>'2015_2020 Int_Confianca'!BZ72</f>
        <v>3.5400000000000001E-2</v>
      </c>
      <c r="CC146">
        <f>'2015_2020 Int_Confianca'!CA72</f>
        <v>4.6800000000000001E-2</v>
      </c>
      <c r="CD146">
        <f>'2015_2020 Int_Confianca'!CB72</f>
        <v>3.2000000000000001E-2</v>
      </c>
      <c r="CE146">
        <f>'2015_2020 Int_Confianca'!CC72</f>
        <v>3.4099999999999998E-2</v>
      </c>
      <c r="CF146">
        <f>'2015_2020 Int_Confianca'!CD72</f>
        <v>3.8100000000000002E-2</v>
      </c>
      <c r="CG146">
        <f>'2015_2020 Int_Confianca'!CE72</f>
        <v>3.9899999999999998E-2</v>
      </c>
      <c r="CH146">
        <f>'2015_2020 Int_Confianca'!CF72</f>
        <v>3.49E-2</v>
      </c>
      <c r="CI146">
        <f>'2015_2020 Int_Confianca'!CG72</f>
        <v>4.1000000000000002E-2</v>
      </c>
      <c r="CJ146">
        <f>'2015_2020 Int_Confianca'!CH72</f>
        <v>3.15E-2</v>
      </c>
      <c r="CK146">
        <f>'2015_2020 Int_Confianca'!CI72</f>
        <v>2.2700000000000001E-2</v>
      </c>
      <c r="CL146">
        <f>'2015_2020 Int_Confianca'!CJ72</f>
        <v>1.8200000000000001E-2</v>
      </c>
      <c r="CM146">
        <f>'2015_2020 Int_Confianca'!CK72</f>
        <v>3.2399999999999998E-2</v>
      </c>
      <c r="CN146">
        <f>'2015_2020 Int_Confianca'!CL72</f>
        <v>3.95E-2</v>
      </c>
      <c r="CO146">
        <f>'2015_2020 Int_Confianca'!CM72</f>
        <v>2.8400000000000002E-2</v>
      </c>
      <c r="CP146">
        <f>'2015_2020 Int_Confianca'!CN72</f>
        <v>3.6400000000000002E-2</v>
      </c>
      <c r="CQ146">
        <f>'2015_2020 Int_Confianca'!CO72</f>
        <v>2.8299999999999999E-2</v>
      </c>
      <c r="CR146">
        <f>'2015_2020 Int_Confianca'!CP72</f>
        <v>3.95E-2</v>
      </c>
      <c r="CS146">
        <f>'2015_2020 Int_Confianca'!CQ72</f>
        <v>5.1999999999999998E-2</v>
      </c>
      <c r="CT146">
        <f>'2015_2020 Int_Confianca'!CR72</f>
        <v>4.9599999999999998E-2</v>
      </c>
      <c r="CU146">
        <f>'2015_2020 Int_Confianca'!CS72</f>
        <v>4.6300000000000001E-2</v>
      </c>
      <c r="CV146">
        <f>'2015_2020 Int_Confianca'!CT72</f>
        <v>2.5899999999999999E-2</v>
      </c>
      <c r="CW146">
        <f>'2015_2020 Int_Confianca'!CU72</f>
        <v>6.25E-2</v>
      </c>
      <c r="CX146">
        <f>'2015_2020 Int_Confianca'!CV72</f>
        <v>6.7100000000000007E-2</v>
      </c>
    </row>
    <row r="147" spans="1:102" x14ac:dyDescent="0.2">
      <c r="A147" t="s">
        <v>5921</v>
      </c>
      <c r="B147" t="s">
        <v>219</v>
      </c>
      <c r="C147" t="s">
        <v>221</v>
      </c>
      <c r="D147">
        <f>'2015_2020 Int_Confianca'!B73</f>
        <v>2.1100000000000001E-2</v>
      </c>
      <c r="E147">
        <f>'2015_2020 Int_Confianca'!C73</f>
        <v>2.6100000000000002E-2</v>
      </c>
      <c r="F147">
        <f>'2015_2020 Int_Confianca'!D73</f>
        <v>1.0999999999999999E-2</v>
      </c>
      <c r="G147">
        <f>'2015_2020 Int_Confianca'!E73</f>
        <v>2.5000000000000001E-3</v>
      </c>
      <c r="H147">
        <f>'2015_2020 Int_Confianca'!F73</f>
        <v>2.7E-2</v>
      </c>
      <c r="I147">
        <f>'2015_2020 Int_Confianca'!G73</f>
        <v>2.3199999999999998E-2</v>
      </c>
      <c r="J147">
        <f>'2015_2020 Int_Confianca'!H73</f>
        <v>1.67E-2</v>
      </c>
      <c r="K147">
        <f>'2015_2020 Int_Confianca'!I73</f>
        <v>1.26E-2</v>
      </c>
      <c r="L147">
        <f>'2015_2020 Int_Confianca'!J73</f>
        <v>8.3000000000000001E-3</v>
      </c>
      <c r="M147">
        <f>'2015_2020 Int_Confianca'!K73</f>
        <v>7.3000000000000001E-3</v>
      </c>
      <c r="N147">
        <f>'2015_2020 Int_Confianca'!L73</f>
        <v>4.5999999999999999E-3</v>
      </c>
      <c r="O147">
        <f>'2015_2020 Int_Confianca'!M73</f>
        <v>-3.5999999999999999E-3</v>
      </c>
      <c r="P147">
        <f>'2015_2020 Int_Confianca'!N73</f>
        <v>1.0999999999999999E-2</v>
      </c>
      <c r="Q147">
        <f>'2015_2020 Int_Confianca'!O73</f>
        <v>-3.0000000000000001E-3</v>
      </c>
      <c r="R147">
        <f>'2015_2020 Int_Confianca'!P73</f>
        <v>-6.7999999999999996E-3</v>
      </c>
      <c r="S147">
        <f>'2015_2020 Int_Confianca'!Q73</f>
        <v>-3.8999999999999998E-3</v>
      </c>
      <c r="T147">
        <f>'2015_2020 Int_Confianca'!R73</f>
        <v>-5.1999999999999998E-3</v>
      </c>
      <c r="U147">
        <f>'2015_2020 Int_Confianca'!S73</f>
        <v>-1.6999999999999999E-3</v>
      </c>
      <c r="V147">
        <f>'2015_2020 Int_Confianca'!T73</f>
        <v>-5.4000000000000003E-3</v>
      </c>
      <c r="W147">
        <f>'2015_2020 Int_Confianca'!U73</f>
        <v>-6.7999999999999996E-3</v>
      </c>
      <c r="X147">
        <f>'2015_2020 Int_Confianca'!V73</f>
        <v>-6.7999999999999996E-3</v>
      </c>
      <c r="Y147">
        <f>'2015_2020 Int_Confianca'!W73</f>
        <v>-7.9000000000000008E-3</v>
      </c>
      <c r="Z147">
        <f>'2015_2020 Int_Confianca'!X73</f>
        <v>-1.04E-2</v>
      </c>
      <c r="AA147">
        <f>'2015_2020 Int_Confianca'!Y73</f>
        <v>-1.17E-2</v>
      </c>
      <c r="AB147">
        <f>'2015_2020 Int_Confianca'!Z73</f>
        <v>-5.0000000000000001E-4</v>
      </c>
      <c r="AC147">
        <f>'2015_2020 Int_Confianca'!AA73</f>
        <v>-6.0000000000000001E-3</v>
      </c>
      <c r="AD147">
        <f>'2015_2020 Int_Confianca'!AB73</f>
        <v>-6.0000000000000001E-3</v>
      </c>
      <c r="AE147">
        <f>'2015_2020 Int_Confianca'!AC73</f>
        <v>-8.3999999999999995E-3</v>
      </c>
      <c r="AF147">
        <f>'2015_2020 Int_Confianca'!AD73</f>
        <v>1.6000000000000001E-3</v>
      </c>
      <c r="AG147">
        <f>'2015_2020 Int_Confianca'!AE73</f>
        <v>-4.1999999999999997E-3</v>
      </c>
      <c r="AH147">
        <f>'2015_2020 Int_Confianca'!AF73</f>
        <v>-3.2000000000000002E-3</v>
      </c>
      <c r="AI147">
        <f>'2015_2020 Int_Confianca'!AG73</f>
        <v>-3.8999999999999998E-3</v>
      </c>
      <c r="AJ147">
        <f>'2015_2020 Int_Confianca'!AH73</f>
        <v>-3.0000000000000001E-3</v>
      </c>
      <c r="AK147">
        <f>'2015_2020 Int_Confianca'!AI73</f>
        <v>-3.3999999999999998E-3</v>
      </c>
      <c r="AL147">
        <f>'2015_2020 Int_Confianca'!AJ73</f>
        <v>-3.3E-3</v>
      </c>
      <c r="AM147">
        <f>'2015_2020 Int_Confianca'!AK73</f>
        <v>-7.7000000000000002E-3</v>
      </c>
      <c r="AN147">
        <f>'2015_2020 Int_Confianca'!AL73</f>
        <v>-5.7999999999999996E-3</v>
      </c>
      <c r="AO147">
        <f>'2015_2020 Int_Confianca'!AM73</f>
        <v>-8.0999999999999996E-3</v>
      </c>
      <c r="AP147">
        <f>'2015_2020 Int_Confianca'!AN73</f>
        <v>1E-4</v>
      </c>
      <c r="AQ147">
        <f>'2015_2020 Int_Confianca'!AO73</f>
        <v>-3.2000000000000002E-3</v>
      </c>
      <c r="AR147">
        <f>'2015_2020 Int_Confianca'!AP73</f>
        <v>3.0000000000000001E-3</v>
      </c>
      <c r="AS147">
        <f>'2015_2020 Int_Confianca'!AQ73</f>
        <v>-7.1000000000000004E-3</v>
      </c>
      <c r="AT147">
        <f>'2015_2020 Int_Confianca'!AR73</f>
        <v>-6.6E-3</v>
      </c>
      <c r="AU147">
        <f>'2015_2020 Int_Confianca'!AS73</f>
        <v>-7.4000000000000003E-3</v>
      </c>
      <c r="AV147">
        <f>'2015_2020 Int_Confianca'!AT73</f>
        <v>2.7000000000000001E-3</v>
      </c>
      <c r="AW147">
        <f>'2015_2020 Int_Confianca'!AU73</f>
        <v>-3.2000000000000002E-3</v>
      </c>
      <c r="AX147">
        <f>'2015_2020 Int_Confianca'!AV73</f>
        <v>-5.9999999999999995E-4</v>
      </c>
      <c r="AY147">
        <f>'2015_2020 Int_Confianca'!AW73</f>
        <v>-3.5000000000000001E-3</v>
      </c>
      <c r="AZ147">
        <f>'2015_2020 Int_Confianca'!AX73</f>
        <v>-1.6000000000000001E-3</v>
      </c>
      <c r="BA147">
        <f>'2015_2020 Int_Confianca'!AY73</f>
        <v>-2.0999999999999999E-3</v>
      </c>
      <c r="BB147">
        <f>'2015_2020 Int_Confianca'!AZ73</f>
        <v>-2.5999999999999999E-3</v>
      </c>
      <c r="BC147">
        <f>'2015_2020 Int_Confianca'!BA73</f>
        <v>-4.7999999999999996E-3</v>
      </c>
      <c r="BD147">
        <f>'2015_2020 Int_Confianca'!BB73</f>
        <v>-3.5999999999999999E-3</v>
      </c>
      <c r="BE147">
        <f>'2015_2020 Int_Confianca'!BC73</f>
        <v>-8.3000000000000001E-3</v>
      </c>
      <c r="BF147">
        <f>'2015_2020 Int_Confianca'!BD73</f>
        <v>-6.9999999999999999E-4</v>
      </c>
      <c r="BG147">
        <f>'2015_2020 Int_Confianca'!BE73</f>
        <v>-3.8E-3</v>
      </c>
      <c r="BH147">
        <f>'2015_2020 Int_Confianca'!BF73</f>
        <v>-6.9999999999999999E-4</v>
      </c>
      <c r="BI147">
        <f>'2015_2020 Int_Confianca'!BG73</f>
        <v>-2.0999999999999999E-3</v>
      </c>
      <c r="BJ147">
        <f>'2015_2020 Int_Confianca'!BH73</f>
        <v>1.6999999999999999E-3</v>
      </c>
      <c r="BK147">
        <f>'2015_2020 Int_Confianca'!BI73</f>
        <v>-3.8999999999999998E-3</v>
      </c>
      <c r="BL147">
        <f>'2015_2020 Int_Confianca'!BJ73</f>
        <v>-1.9E-3</v>
      </c>
      <c r="BM147">
        <f>'2015_2020 Int_Confianca'!BK73</f>
        <v>-3.8E-3</v>
      </c>
      <c r="BN147">
        <f>'2015_2020 Int_Confianca'!BL73</f>
        <v>-2.8999999999999998E-3</v>
      </c>
      <c r="BO147">
        <f>'2015_2020 Int_Confianca'!BM73</f>
        <v>-2.2000000000000001E-3</v>
      </c>
      <c r="BP147">
        <f>'2015_2020 Int_Confianca'!BN73</f>
        <v>-6.9999999999999999E-4</v>
      </c>
      <c r="BQ147">
        <f>'2015_2020 Int_Confianca'!BO73</f>
        <v>-8.6E-3</v>
      </c>
      <c r="BR147">
        <f>'2015_2020 Int_Confianca'!BP73</f>
        <v>-1.43E-2</v>
      </c>
      <c r="BS147">
        <f>'2015_2020 Int_Confianca'!BQ73</f>
        <v>-4.0000000000000001E-3</v>
      </c>
      <c r="BT147">
        <f>'2015_2020 Int_Confianca'!BR73</f>
        <v>-2.2000000000000001E-3</v>
      </c>
      <c r="BU147">
        <f>'2015_2020 Int_Confianca'!BS73</f>
        <v>1.1999999999999999E-3</v>
      </c>
      <c r="BV147">
        <f>'2015_2020 Int_Confianca'!BT73</f>
        <v>-2.3999999999999998E-3</v>
      </c>
      <c r="BW147">
        <f>'2015_2020 Int_Confianca'!BU73</f>
        <v>-1.1999999999999999E-3</v>
      </c>
      <c r="BX147">
        <f>'2015_2020 Int_Confianca'!BV73</f>
        <v>2.9999999999999997E-4</v>
      </c>
      <c r="BY147">
        <f>'2015_2020 Int_Confianca'!BW73</f>
        <v>-1E-4</v>
      </c>
      <c r="BZ147">
        <f>'2015_2020 Int_Confianca'!BX73</f>
        <v>-5.7000000000000002E-3</v>
      </c>
      <c r="CA147">
        <f>'2015_2020 Int_Confianca'!BY73</f>
        <v>2.3999999999999998E-3</v>
      </c>
      <c r="CB147">
        <f>'2015_2020 Int_Confianca'!BZ73</f>
        <v>-8.8999999999999999E-3</v>
      </c>
      <c r="CC147">
        <f>'2015_2020 Int_Confianca'!CA73</f>
        <v>-1.14E-2</v>
      </c>
      <c r="CD147">
        <f>'2015_2020 Int_Confianca'!CB73</f>
        <v>4.3E-3</v>
      </c>
      <c r="CE147">
        <f>'2015_2020 Int_Confianca'!CC73</f>
        <v>6.7000000000000002E-3</v>
      </c>
      <c r="CF147">
        <f>'2015_2020 Int_Confianca'!CD73</f>
        <v>-7.4000000000000003E-3</v>
      </c>
      <c r="CG147">
        <f>'2015_2020 Int_Confianca'!CE73</f>
        <v>4.5999999999999999E-3</v>
      </c>
      <c r="CH147">
        <f>'2015_2020 Int_Confianca'!CF73</f>
        <v>-3.0999999999999999E-3</v>
      </c>
      <c r="CI147">
        <f>'2015_2020 Int_Confianca'!CG73</f>
        <v>5.3E-3</v>
      </c>
      <c r="CJ147">
        <f>'2015_2020 Int_Confianca'!CH73</f>
        <v>1.6000000000000001E-3</v>
      </c>
      <c r="CK147">
        <f>'2015_2020 Int_Confianca'!CI73</f>
        <v>3.2000000000000002E-3</v>
      </c>
      <c r="CL147">
        <f>'2015_2020 Int_Confianca'!CJ73</f>
        <v>-5.5999999999999999E-3</v>
      </c>
      <c r="CM147">
        <f>'2015_2020 Int_Confianca'!CK73</f>
        <v>9.9000000000000008E-3</v>
      </c>
      <c r="CN147">
        <f>'2015_2020 Int_Confianca'!CL73</f>
        <v>1.8E-3</v>
      </c>
      <c r="CO147">
        <f>'2015_2020 Int_Confianca'!CM73</f>
        <v>5.7999999999999996E-3</v>
      </c>
      <c r="CP147">
        <f>'2015_2020 Int_Confianca'!CN73</f>
        <v>1.1999999999999999E-3</v>
      </c>
      <c r="CQ147">
        <f>'2015_2020 Int_Confianca'!CO73</f>
        <v>1.15E-2</v>
      </c>
      <c r="CR147">
        <f>'2015_2020 Int_Confianca'!CP73</f>
        <v>3.8999999999999998E-3</v>
      </c>
      <c r="CS147">
        <f>'2015_2020 Int_Confianca'!CQ73</f>
        <v>-5.0000000000000001E-4</v>
      </c>
      <c r="CT147">
        <f>'2015_2020 Int_Confianca'!CR73</f>
        <v>1.44E-2</v>
      </c>
      <c r="CU147">
        <f>'2015_2020 Int_Confianca'!CS73</f>
        <v>2.2200000000000001E-2</v>
      </c>
      <c r="CV147">
        <f>'2015_2020 Int_Confianca'!CT73</f>
        <v>1.61E-2</v>
      </c>
      <c r="CW147">
        <f>'2015_2020 Int_Confianca'!CU73</f>
        <v>1.7999999999999999E-2</v>
      </c>
      <c r="CX147">
        <f>'2015_2020 Int_Confianca'!CV73</f>
        <v>5.1000000000000004E-3</v>
      </c>
    </row>
    <row r="148" spans="1:102" x14ac:dyDescent="0.2">
      <c r="A148" t="s">
        <v>5922</v>
      </c>
      <c r="B148" t="s">
        <v>219</v>
      </c>
      <c r="C148" t="s">
        <v>221</v>
      </c>
      <c r="D148">
        <f>'2015_2020 Int_Confianca'!B74</f>
        <v>5.1799999999999999E-2</v>
      </c>
      <c r="E148">
        <f>'2015_2020 Int_Confianca'!C74</f>
        <v>6.1400000000000003E-2</v>
      </c>
      <c r="F148">
        <f>'2015_2020 Int_Confianca'!D74</f>
        <v>4.2099999999999999E-2</v>
      </c>
      <c r="G148">
        <f>'2015_2020 Int_Confianca'!E74</f>
        <v>2.53E-2</v>
      </c>
      <c r="H148">
        <f>'2015_2020 Int_Confianca'!F74</f>
        <v>5.33E-2</v>
      </c>
      <c r="I148">
        <f>'2015_2020 Int_Confianca'!G74</f>
        <v>4.4999999999999998E-2</v>
      </c>
      <c r="J148">
        <f>'2015_2020 Int_Confianca'!H74</f>
        <v>3.8100000000000002E-2</v>
      </c>
      <c r="K148">
        <f>'2015_2020 Int_Confianca'!I74</f>
        <v>3.2300000000000002E-2</v>
      </c>
      <c r="L148">
        <f>'2015_2020 Int_Confianca'!J74</f>
        <v>2.6100000000000002E-2</v>
      </c>
      <c r="M148">
        <f>'2015_2020 Int_Confianca'!K74</f>
        <v>2.41E-2</v>
      </c>
      <c r="N148">
        <f>'2015_2020 Int_Confianca'!L74</f>
        <v>1.95E-2</v>
      </c>
      <c r="O148">
        <f>'2015_2020 Int_Confianca'!M74</f>
        <v>6.1999999999999998E-3</v>
      </c>
      <c r="P148">
        <f>'2015_2020 Int_Confianca'!N74</f>
        <v>2.07E-2</v>
      </c>
      <c r="Q148">
        <f>'2015_2020 Int_Confianca'!O74</f>
        <v>5.7000000000000002E-3</v>
      </c>
      <c r="R148">
        <f>'2015_2020 Int_Confianca'!P74</f>
        <v>1.2999999999999999E-3</v>
      </c>
      <c r="S148">
        <f>'2015_2020 Int_Confianca'!Q74</f>
        <v>3.5999999999999999E-3</v>
      </c>
      <c r="T148">
        <f>'2015_2020 Int_Confianca'!R74</f>
        <v>1.4E-3</v>
      </c>
      <c r="U148">
        <f>'2015_2020 Int_Confianca'!S74</f>
        <v>4.5999999999999999E-3</v>
      </c>
      <c r="V148">
        <f>'2015_2020 Int_Confianca'!T74</f>
        <v>4.0000000000000002E-4</v>
      </c>
      <c r="W148">
        <f>'2015_2020 Int_Confianca'!U74</f>
        <v>-1E-3</v>
      </c>
      <c r="X148">
        <f>'2015_2020 Int_Confianca'!V74</f>
        <v>-1.1999999999999999E-3</v>
      </c>
      <c r="Y148">
        <f>'2015_2020 Int_Confianca'!W74</f>
        <v>-2.7000000000000001E-3</v>
      </c>
      <c r="Z148">
        <f>'2015_2020 Int_Confianca'!X74</f>
        <v>-5.3E-3</v>
      </c>
      <c r="AA148">
        <f>'2015_2020 Int_Confianca'!Y74</f>
        <v>-6.4999999999999997E-3</v>
      </c>
      <c r="AB148">
        <f>'2015_2020 Int_Confianca'!Z74</f>
        <v>4.7000000000000002E-3</v>
      </c>
      <c r="AC148">
        <f>'2015_2020 Int_Confianca'!AA74</f>
        <v>-8.0000000000000004E-4</v>
      </c>
      <c r="AD148">
        <f>'2015_2020 Int_Confianca'!AB74</f>
        <v>-6.9999999999999999E-4</v>
      </c>
      <c r="AE148">
        <f>'2015_2020 Int_Confianca'!AC74</f>
        <v>-3.0999999999999999E-3</v>
      </c>
      <c r="AF148">
        <f>'2015_2020 Int_Confianca'!AD74</f>
        <v>7.0000000000000001E-3</v>
      </c>
      <c r="AG148">
        <f>'2015_2020 Int_Confianca'!AE74</f>
        <v>1.4E-3</v>
      </c>
      <c r="AH148">
        <f>'2015_2020 Int_Confianca'!AF74</f>
        <v>2.5999999999999999E-3</v>
      </c>
      <c r="AI148">
        <f>'2015_2020 Int_Confianca'!AG74</f>
        <v>2.2000000000000001E-3</v>
      </c>
      <c r="AJ148">
        <f>'2015_2020 Int_Confianca'!AH74</f>
        <v>3.3999999999999998E-3</v>
      </c>
      <c r="AK148">
        <f>'2015_2020 Int_Confianca'!AI74</f>
        <v>3.3E-3</v>
      </c>
      <c r="AL148">
        <f>'2015_2020 Int_Confianca'!AJ74</f>
        <v>3.7000000000000002E-3</v>
      </c>
      <c r="AM148">
        <f>'2015_2020 Int_Confianca'!AK74</f>
        <v>-5.0000000000000001E-4</v>
      </c>
      <c r="AN148">
        <f>'2015_2020 Int_Confianca'!AL74</f>
        <v>1.5E-3</v>
      </c>
      <c r="AO148">
        <f>'2015_2020 Int_Confianca'!AM74</f>
        <v>-8.0000000000000004E-4</v>
      </c>
      <c r="AP148">
        <f>'2015_2020 Int_Confianca'!AN74</f>
        <v>7.4000000000000003E-3</v>
      </c>
      <c r="AQ148">
        <f>'2015_2020 Int_Confianca'!AO74</f>
        <v>4.1000000000000003E-3</v>
      </c>
      <c r="AR148">
        <f>'2015_2020 Int_Confianca'!AP74</f>
        <v>1.03E-2</v>
      </c>
      <c r="AS148">
        <f>'2015_2020 Int_Confianca'!AQ74</f>
        <v>2.0000000000000001E-4</v>
      </c>
      <c r="AT148">
        <f>'2015_2020 Int_Confianca'!AR74</f>
        <v>6.9999999999999999E-4</v>
      </c>
      <c r="AU148">
        <f>'2015_2020 Int_Confianca'!AS74</f>
        <v>-1E-4</v>
      </c>
      <c r="AV148">
        <f>'2015_2020 Int_Confianca'!AT74</f>
        <v>1.01E-2</v>
      </c>
      <c r="AW148">
        <f>'2015_2020 Int_Confianca'!AU74</f>
        <v>4.4000000000000003E-3</v>
      </c>
      <c r="AX148">
        <f>'2015_2020 Int_Confianca'!AV74</f>
        <v>7.1000000000000004E-3</v>
      </c>
      <c r="AY148">
        <f>'2015_2020 Int_Confianca'!AW74</f>
        <v>4.3E-3</v>
      </c>
      <c r="AZ148">
        <f>'2015_2020 Int_Confianca'!AX74</f>
        <v>6.4000000000000003E-3</v>
      </c>
      <c r="BA148">
        <f>'2015_2020 Int_Confianca'!AY74</f>
        <v>6.0000000000000001E-3</v>
      </c>
      <c r="BB148">
        <f>'2015_2020 Int_Confianca'!AZ74</f>
        <v>5.5999999999999999E-3</v>
      </c>
      <c r="BC148">
        <f>'2015_2020 Int_Confianca'!BA74</f>
        <v>3.3999999999999998E-3</v>
      </c>
      <c r="BD148">
        <f>'2015_2020 Int_Confianca'!BB74</f>
        <v>4.5999999999999999E-3</v>
      </c>
      <c r="BE148">
        <f>'2015_2020 Int_Confianca'!BC74</f>
        <v>0</v>
      </c>
      <c r="BF148">
        <f>'2015_2020 Int_Confianca'!BD74</f>
        <v>7.9000000000000008E-3</v>
      </c>
      <c r="BG148">
        <f>'2015_2020 Int_Confianca'!BE74</f>
        <v>4.7999999999999996E-3</v>
      </c>
      <c r="BH148">
        <f>'2015_2020 Int_Confianca'!BF74</f>
        <v>8.0000000000000002E-3</v>
      </c>
      <c r="BI148">
        <f>'2015_2020 Int_Confianca'!BG74</f>
        <v>6.8999999999999999E-3</v>
      </c>
      <c r="BJ148">
        <f>'2015_2020 Int_Confianca'!BH74</f>
        <v>1.0800000000000001E-2</v>
      </c>
      <c r="BK148">
        <f>'2015_2020 Int_Confianca'!BI74</f>
        <v>5.4999999999999997E-3</v>
      </c>
      <c r="BL148">
        <f>'2015_2020 Int_Confianca'!BJ74</f>
        <v>7.6E-3</v>
      </c>
      <c r="BM148">
        <f>'2015_2020 Int_Confianca'!BK74</f>
        <v>5.7000000000000002E-3</v>
      </c>
      <c r="BN148">
        <f>'2015_2020 Int_Confianca'!BL74</f>
        <v>6.4999999999999997E-3</v>
      </c>
      <c r="BO148">
        <f>'2015_2020 Int_Confianca'!BM74</f>
        <v>7.0000000000000001E-3</v>
      </c>
      <c r="BP148">
        <f>'2015_2020 Int_Confianca'!BN74</f>
        <v>8.3000000000000001E-3</v>
      </c>
      <c r="BQ148">
        <f>'2015_2020 Int_Confianca'!BO74</f>
        <v>4.0000000000000002E-4</v>
      </c>
      <c r="BR148">
        <f>'2015_2020 Int_Confianca'!BP74</f>
        <v>-5.4000000000000003E-3</v>
      </c>
      <c r="BS148">
        <f>'2015_2020 Int_Confianca'!BQ74</f>
        <v>5.1000000000000004E-3</v>
      </c>
      <c r="BT148">
        <f>'2015_2020 Int_Confianca'!BR74</f>
        <v>7.0000000000000001E-3</v>
      </c>
      <c r="BU148">
        <f>'2015_2020 Int_Confianca'!BS74</f>
        <v>1.12E-2</v>
      </c>
      <c r="BV148">
        <f>'2015_2020 Int_Confianca'!BT74</f>
        <v>9.1999999999999998E-3</v>
      </c>
      <c r="BW148">
        <f>'2015_2020 Int_Confianca'!BU74</f>
        <v>1.1299999999999999E-2</v>
      </c>
      <c r="BX148">
        <f>'2015_2020 Int_Confianca'!BV74</f>
        <v>1.2999999999999999E-2</v>
      </c>
      <c r="BY148">
        <f>'2015_2020 Int_Confianca'!BW74</f>
        <v>1.23E-2</v>
      </c>
      <c r="BZ148">
        <f>'2015_2020 Int_Confianca'!BX74</f>
        <v>6.0000000000000001E-3</v>
      </c>
      <c r="CA148">
        <f>'2015_2020 Int_Confianca'!BY74</f>
        <v>1.3899999999999999E-2</v>
      </c>
      <c r="CB148">
        <f>'2015_2020 Int_Confianca'!BZ74</f>
        <v>2.8E-3</v>
      </c>
      <c r="CC148">
        <f>'2015_2020 Int_Confianca'!CA74</f>
        <v>4.0000000000000002E-4</v>
      </c>
      <c r="CD148">
        <f>'2015_2020 Int_Confianca'!CB74</f>
        <v>1.6400000000000001E-2</v>
      </c>
      <c r="CE148">
        <f>'2015_2020 Int_Confianca'!CC74</f>
        <v>2.01E-2</v>
      </c>
      <c r="CF148">
        <f>'2015_2020 Int_Confianca'!CD74</f>
        <v>6.4000000000000003E-3</v>
      </c>
      <c r="CG148">
        <f>'2015_2020 Int_Confianca'!CE74</f>
        <v>1.8200000000000001E-2</v>
      </c>
      <c r="CH148">
        <f>'2015_2020 Int_Confianca'!CF74</f>
        <v>1.15E-2</v>
      </c>
      <c r="CI148">
        <f>'2015_2020 Int_Confianca'!CG74</f>
        <v>2.1000000000000001E-2</v>
      </c>
      <c r="CJ148">
        <f>'2015_2020 Int_Confianca'!CH74</f>
        <v>1.8599999999999998E-2</v>
      </c>
      <c r="CK148">
        <f>'2015_2020 Int_Confianca'!CI74</f>
        <v>1.9300000000000001E-2</v>
      </c>
      <c r="CL148">
        <f>'2015_2020 Int_Confianca'!CJ74</f>
        <v>9.7999999999999997E-3</v>
      </c>
      <c r="CM148">
        <f>'2015_2020 Int_Confianca'!CK74</f>
        <v>2.5399999999999999E-2</v>
      </c>
      <c r="CN148">
        <f>'2015_2020 Int_Confianca'!CL74</f>
        <v>2.1100000000000001E-2</v>
      </c>
      <c r="CO148">
        <f>'2015_2020 Int_Confianca'!CM74</f>
        <v>2.5999999999999999E-2</v>
      </c>
      <c r="CP148">
        <f>'2015_2020 Int_Confianca'!CN74</f>
        <v>1.9400000000000001E-2</v>
      </c>
      <c r="CQ148">
        <f>'2015_2020 Int_Confianca'!CO74</f>
        <v>3.0099999999999998E-2</v>
      </c>
      <c r="CR148">
        <f>'2015_2020 Int_Confianca'!CP74</f>
        <v>2.9899999999999999E-2</v>
      </c>
      <c r="CS148">
        <f>'2015_2020 Int_Confianca'!CQ74</f>
        <v>2.5399999999999999E-2</v>
      </c>
      <c r="CT148">
        <f>'2015_2020 Int_Confianca'!CR74</f>
        <v>4.4699999999999997E-2</v>
      </c>
      <c r="CU148">
        <f>'2015_2020 Int_Confianca'!CS74</f>
        <v>5.4199999999999998E-2</v>
      </c>
      <c r="CV148">
        <f>'2015_2020 Int_Confianca'!CT74</f>
        <v>4.7E-2</v>
      </c>
      <c r="CW148">
        <f>'2015_2020 Int_Confianca'!CU74</f>
        <v>6.0499999999999998E-2</v>
      </c>
      <c r="CX148">
        <f>'2015_2020 Int_Confianca'!CV74</f>
        <v>5.2900000000000003E-2</v>
      </c>
    </row>
    <row r="149" spans="1:102" x14ac:dyDescent="0.2">
      <c r="A149" t="s">
        <v>5923</v>
      </c>
      <c r="B149" t="s">
        <v>219</v>
      </c>
      <c r="C149" t="s">
        <v>221</v>
      </c>
      <c r="D149">
        <f>'2015_2020 Int_Confianca'!B75</f>
        <v>-4.5400000000000003E-2</v>
      </c>
      <c r="E149">
        <f>'2015_2020 Int_Confianca'!C75</f>
        <v>-0.31709999999999999</v>
      </c>
      <c r="F149">
        <f>'2015_2020 Int_Confianca'!D75</f>
        <v>-0.2041</v>
      </c>
      <c r="G149">
        <f>'2015_2020 Int_Confianca'!E75</f>
        <v>-0.1371</v>
      </c>
      <c r="H149">
        <f>'2015_2020 Int_Confianca'!F75</f>
        <v>-8.9399999999999993E-2</v>
      </c>
      <c r="I149">
        <f>'2015_2020 Int_Confianca'!G75</f>
        <v>-5.7200000000000001E-2</v>
      </c>
      <c r="J149">
        <f>'2015_2020 Int_Confianca'!H75</f>
        <v>-5.0299999999999997E-2</v>
      </c>
      <c r="K149">
        <f>'2015_2020 Int_Confianca'!I75</f>
        <v>-7.0499999999999993E-2</v>
      </c>
      <c r="L149">
        <f>'2015_2020 Int_Confianca'!J75</f>
        <v>-5.9799999999999999E-2</v>
      </c>
      <c r="M149">
        <f>'2015_2020 Int_Confianca'!K75</f>
        <v>-5.2499999999999998E-2</v>
      </c>
      <c r="N149">
        <f>'2015_2020 Int_Confianca'!L75</f>
        <v>-3.4000000000000002E-2</v>
      </c>
      <c r="O149">
        <f>'2015_2020 Int_Confianca'!M75</f>
        <v>-2.46E-2</v>
      </c>
      <c r="P149">
        <f>'2015_2020 Int_Confianca'!N75</f>
        <v>-1.4200000000000001E-2</v>
      </c>
      <c r="Q149">
        <f>'2015_2020 Int_Confianca'!O75</f>
        <v>-1.41E-2</v>
      </c>
      <c r="R149">
        <f>'2015_2020 Int_Confianca'!P75</f>
        <v>-8.3999999999999995E-3</v>
      </c>
      <c r="S149">
        <f>'2015_2020 Int_Confianca'!Q75</f>
        <v>-8.5000000000000006E-3</v>
      </c>
      <c r="T149">
        <f>'2015_2020 Int_Confianca'!R75</f>
        <v>-5.3E-3</v>
      </c>
      <c r="U149">
        <f>'2015_2020 Int_Confianca'!S75</f>
        <v>-7.0000000000000001E-3</v>
      </c>
      <c r="V149">
        <f>'2015_2020 Int_Confianca'!T75</f>
        <v>-3.5000000000000001E-3</v>
      </c>
      <c r="W149">
        <f>'2015_2020 Int_Confianca'!U75</f>
        <v>-4.0000000000000001E-3</v>
      </c>
      <c r="X149">
        <f>'2015_2020 Int_Confianca'!V75</f>
        <v>-8.5000000000000006E-3</v>
      </c>
      <c r="Y149">
        <f>'2015_2020 Int_Confianca'!W75</f>
        <v>-6.7999999999999996E-3</v>
      </c>
      <c r="Z149">
        <f>'2015_2020 Int_Confianca'!X75</f>
        <v>-7.4999999999999997E-3</v>
      </c>
      <c r="AA149">
        <f>'2015_2020 Int_Confianca'!Y75</f>
        <v>-7.9000000000000008E-3</v>
      </c>
      <c r="AB149">
        <f>'2015_2020 Int_Confianca'!Z75</f>
        <v>-6.4999999999999997E-3</v>
      </c>
      <c r="AC149">
        <f>'2015_2020 Int_Confianca'!AA75</f>
        <v>-6.7000000000000002E-3</v>
      </c>
      <c r="AD149">
        <f>'2015_2020 Int_Confianca'!AB75</f>
        <v>-5.3E-3</v>
      </c>
      <c r="AE149">
        <f>'2015_2020 Int_Confianca'!AC75</f>
        <v>-5.7999999999999996E-3</v>
      </c>
      <c r="AF149">
        <f>'2015_2020 Int_Confianca'!AD75</f>
        <v>-6.7000000000000002E-3</v>
      </c>
      <c r="AG149">
        <f>'2015_2020 Int_Confianca'!AE75</f>
        <v>-6.6E-3</v>
      </c>
      <c r="AH149">
        <f>'2015_2020 Int_Confianca'!AF75</f>
        <v>-4.1999999999999997E-3</v>
      </c>
      <c r="AI149">
        <f>'2015_2020 Int_Confianca'!AG75</f>
        <v>-4.4999999999999997E-3</v>
      </c>
      <c r="AJ149">
        <f>'2015_2020 Int_Confianca'!AH75</f>
        <v>-1.15E-2</v>
      </c>
      <c r="AK149">
        <f>'2015_2020 Int_Confianca'!AI75</f>
        <v>-2.35E-2</v>
      </c>
      <c r="AL149">
        <f>'2015_2020 Int_Confianca'!AJ75</f>
        <v>-2.2599999999999999E-2</v>
      </c>
      <c r="AM149">
        <f>'2015_2020 Int_Confianca'!AK75</f>
        <v>-2.3099999999999999E-2</v>
      </c>
      <c r="AN149">
        <f>'2015_2020 Int_Confianca'!AL75</f>
        <v>-2.3699999999999999E-2</v>
      </c>
      <c r="AO149">
        <f>'2015_2020 Int_Confianca'!AM75</f>
        <v>-2.18E-2</v>
      </c>
      <c r="AP149">
        <f>'2015_2020 Int_Confianca'!AN75</f>
        <v>-3.0700000000000002E-2</v>
      </c>
      <c r="AQ149">
        <f>'2015_2020 Int_Confianca'!AO75</f>
        <v>-2.8799999999999999E-2</v>
      </c>
      <c r="AR149">
        <f>'2015_2020 Int_Confianca'!AP75</f>
        <v>-2.5600000000000001E-2</v>
      </c>
      <c r="AS149">
        <f>'2015_2020 Int_Confianca'!AQ75</f>
        <v>-2.5100000000000001E-2</v>
      </c>
      <c r="AT149">
        <f>'2015_2020 Int_Confianca'!AR75</f>
        <v>-2.4899999999999999E-2</v>
      </c>
      <c r="AU149">
        <f>'2015_2020 Int_Confianca'!AS75</f>
        <v>-2.4299999999999999E-2</v>
      </c>
      <c r="AV149">
        <f>'2015_2020 Int_Confianca'!AT75</f>
        <v>-2.2200000000000001E-2</v>
      </c>
      <c r="AW149">
        <f>'2015_2020 Int_Confianca'!AU75</f>
        <v>-2.23E-2</v>
      </c>
      <c r="AX149">
        <f>'2015_2020 Int_Confianca'!AV75</f>
        <v>-2.3599999999999999E-2</v>
      </c>
      <c r="AY149">
        <f>'2015_2020 Int_Confianca'!AW75</f>
        <v>-2.4400000000000002E-2</v>
      </c>
      <c r="AZ149">
        <f>'2015_2020 Int_Confianca'!AX75</f>
        <v>-2.2700000000000001E-2</v>
      </c>
      <c r="BA149">
        <f>'2015_2020 Int_Confianca'!AY75</f>
        <v>-2.0199999999999999E-2</v>
      </c>
      <c r="BB149">
        <f>'2015_2020 Int_Confianca'!AZ75</f>
        <v>-2.1499999999999998E-2</v>
      </c>
      <c r="BC149">
        <f>'2015_2020 Int_Confianca'!BA75</f>
        <v>-2.0299999999999999E-2</v>
      </c>
      <c r="BD149">
        <f>'2015_2020 Int_Confianca'!BB75</f>
        <v>-1.7600000000000001E-2</v>
      </c>
      <c r="BE149">
        <f>'2015_2020 Int_Confianca'!BC75</f>
        <v>-2.0400000000000001E-2</v>
      </c>
      <c r="BF149">
        <f>'2015_2020 Int_Confianca'!BD75</f>
        <v>-1.8800000000000001E-2</v>
      </c>
      <c r="BG149">
        <f>'2015_2020 Int_Confianca'!BE75</f>
        <v>-1.72E-2</v>
      </c>
      <c r="BH149">
        <f>'2015_2020 Int_Confianca'!BF75</f>
        <v>-1.54E-2</v>
      </c>
      <c r="BI149">
        <f>'2015_2020 Int_Confianca'!BG75</f>
        <v>-5.4300000000000001E-2</v>
      </c>
      <c r="BJ149">
        <f>'2015_2020 Int_Confianca'!BH75</f>
        <v>-5.8999999999999997E-2</v>
      </c>
      <c r="BK149">
        <f>'2015_2020 Int_Confianca'!BI75</f>
        <v>-5.91E-2</v>
      </c>
      <c r="BL149">
        <f>'2015_2020 Int_Confianca'!BJ75</f>
        <v>-5.67E-2</v>
      </c>
      <c r="BM149">
        <f>'2015_2020 Int_Confianca'!BK75</f>
        <v>-6.1199999999999997E-2</v>
      </c>
      <c r="BN149">
        <f>'2015_2020 Int_Confianca'!BL75</f>
        <v>-6.4199999999999993E-2</v>
      </c>
      <c r="BO149">
        <f>'2015_2020 Int_Confianca'!BM75</f>
        <v>-6.3600000000000004E-2</v>
      </c>
      <c r="BP149">
        <f>'2015_2020 Int_Confianca'!BN75</f>
        <v>-6.0100000000000001E-2</v>
      </c>
      <c r="BQ149">
        <f>'2015_2020 Int_Confianca'!BO75</f>
        <v>-6.0299999999999999E-2</v>
      </c>
      <c r="BR149">
        <f>'2015_2020 Int_Confianca'!BP75</f>
        <v>-5.9900000000000002E-2</v>
      </c>
      <c r="BS149">
        <f>'2015_2020 Int_Confianca'!BQ75</f>
        <v>-5.67E-2</v>
      </c>
      <c r="BT149">
        <f>'2015_2020 Int_Confianca'!BR75</f>
        <v>-5.9299999999999999E-2</v>
      </c>
      <c r="BU149">
        <f>'2015_2020 Int_Confianca'!BS75</f>
        <v>-6.2700000000000006E-2</v>
      </c>
      <c r="BV149">
        <f>'2015_2020 Int_Confianca'!BT75</f>
        <v>-7.0099999999999996E-2</v>
      </c>
      <c r="BW149">
        <f>'2015_2020 Int_Confianca'!BU75</f>
        <v>-7.7200000000000005E-2</v>
      </c>
      <c r="BX149">
        <f>'2015_2020 Int_Confianca'!BV75</f>
        <v>-7.9899999999999999E-2</v>
      </c>
      <c r="BY149">
        <f>'2015_2020 Int_Confianca'!BW75</f>
        <v>-7.8299999999999995E-2</v>
      </c>
      <c r="BZ149">
        <f>'2015_2020 Int_Confianca'!BX75</f>
        <v>-7.3200000000000001E-2</v>
      </c>
      <c r="CA149">
        <f>'2015_2020 Int_Confianca'!BY75</f>
        <v>-5.3600000000000002E-2</v>
      </c>
      <c r="CB149">
        <f>'2015_2020 Int_Confianca'!BZ75</f>
        <v>-5.2600000000000001E-2</v>
      </c>
      <c r="CC149">
        <f>'2015_2020 Int_Confianca'!CA75</f>
        <v>-5.1900000000000002E-2</v>
      </c>
      <c r="CD149">
        <f>'2015_2020 Int_Confianca'!CB75</f>
        <v>-5.8500000000000003E-2</v>
      </c>
      <c r="CE149">
        <f>'2015_2020 Int_Confianca'!CC75</f>
        <v>-6.5199999999999994E-2</v>
      </c>
      <c r="CF149">
        <f>'2015_2020 Int_Confianca'!CD75</f>
        <v>-6.7500000000000004E-2</v>
      </c>
      <c r="CG149">
        <f>'2015_2020 Int_Confianca'!CE75</f>
        <v>-6.7000000000000004E-2</v>
      </c>
      <c r="CH149">
        <f>'2015_2020 Int_Confianca'!CF75</f>
        <v>-6.9400000000000003E-2</v>
      </c>
      <c r="CI149">
        <f>'2015_2020 Int_Confianca'!CG75</f>
        <v>-7.3899999999999993E-2</v>
      </c>
      <c r="CJ149">
        <f>'2015_2020 Int_Confianca'!CH75</f>
        <v>-9.7799999999999998E-2</v>
      </c>
      <c r="CK149">
        <f>'2015_2020 Int_Confianca'!CI75</f>
        <v>-8.9300000000000004E-2</v>
      </c>
      <c r="CL149">
        <f>'2015_2020 Int_Confianca'!CJ75</f>
        <v>-8.3799999999999999E-2</v>
      </c>
      <c r="CM149">
        <f>'2015_2020 Int_Confianca'!CK75</f>
        <v>-8.8200000000000001E-2</v>
      </c>
      <c r="CN149">
        <f>'2015_2020 Int_Confianca'!CL75</f>
        <v>-0.1091</v>
      </c>
      <c r="CO149">
        <f>'2015_2020 Int_Confianca'!CM75</f>
        <v>-0.1149</v>
      </c>
      <c r="CP149">
        <f>'2015_2020 Int_Confianca'!CN75</f>
        <v>-0.108</v>
      </c>
      <c r="CQ149">
        <f>'2015_2020 Int_Confianca'!CO75</f>
        <v>-0.11260000000000001</v>
      </c>
      <c r="CR149">
        <f>'2015_2020 Int_Confianca'!CP75</f>
        <v>-0.16289999999999999</v>
      </c>
      <c r="CS149">
        <f>'2015_2020 Int_Confianca'!CQ75</f>
        <v>-9.6500000000000002E-2</v>
      </c>
      <c r="CT149">
        <f>'2015_2020 Int_Confianca'!CR75</f>
        <v>-0.1381</v>
      </c>
      <c r="CU149">
        <f>'2015_2020 Int_Confianca'!CS75</f>
        <v>-0.1459</v>
      </c>
      <c r="CV149">
        <f>'2015_2020 Int_Confianca'!CT75</f>
        <v>-0.12970000000000001</v>
      </c>
      <c r="CW149">
        <f>'2015_2020 Int_Confianca'!CU75</f>
        <v>-0.14180000000000001</v>
      </c>
      <c r="CX149">
        <f>'2015_2020 Int_Confianca'!CV75</f>
        <v>-0.14130000000000001</v>
      </c>
    </row>
    <row r="150" spans="1:102" x14ac:dyDescent="0.2">
      <c r="A150" t="s">
        <v>5924</v>
      </c>
      <c r="B150" t="s">
        <v>219</v>
      </c>
      <c r="C150" t="s">
        <v>221</v>
      </c>
      <c r="D150">
        <f>'2015_2020 Int_Confianca'!B76</f>
        <v>2.0500000000000001E-2</v>
      </c>
      <c r="E150">
        <f>'2015_2020 Int_Confianca'!C76</f>
        <v>9.11E-2</v>
      </c>
      <c r="F150">
        <f>'2015_2020 Int_Confianca'!D76</f>
        <v>7.6600000000000001E-2</v>
      </c>
      <c r="G150">
        <f>'2015_2020 Int_Confianca'!E76</f>
        <v>8.4900000000000003E-2</v>
      </c>
      <c r="H150">
        <f>'2015_2020 Int_Confianca'!F76</f>
        <v>0.15390000000000001</v>
      </c>
      <c r="I150">
        <f>'2015_2020 Int_Confianca'!G76</f>
        <v>0.1406</v>
      </c>
      <c r="J150">
        <f>'2015_2020 Int_Confianca'!H76</f>
        <v>0.1318</v>
      </c>
      <c r="K150">
        <f>'2015_2020 Int_Confianca'!I76</f>
        <v>9.5100000000000004E-2</v>
      </c>
      <c r="L150">
        <f>'2015_2020 Int_Confianca'!J76</f>
        <v>8.6999999999999994E-2</v>
      </c>
      <c r="M150">
        <f>'2015_2020 Int_Confianca'!K76</f>
        <v>7.5499999999999998E-2</v>
      </c>
      <c r="N150">
        <f>'2015_2020 Int_Confianca'!L76</f>
        <v>8.7300000000000003E-2</v>
      </c>
      <c r="O150">
        <f>'2015_2020 Int_Confianca'!M76</f>
        <v>5.4800000000000001E-2</v>
      </c>
      <c r="P150">
        <f>'2015_2020 Int_Confianca'!N76</f>
        <v>6.2199999999999998E-2</v>
      </c>
      <c r="Q150">
        <f>'2015_2020 Int_Confianca'!O76</f>
        <v>5.4600000000000003E-2</v>
      </c>
      <c r="R150">
        <f>'2015_2020 Int_Confianca'!P76</f>
        <v>5.3499999999999999E-2</v>
      </c>
      <c r="S150">
        <f>'2015_2020 Int_Confianca'!Q76</f>
        <v>4.7699999999999999E-2</v>
      </c>
      <c r="T150">
        <f>'2015_2020 Int_Confianca'!R76</f>
        <v>4.4499999999999998E-2</v>
      </c>
      <c r="U150">
        <f>'2015_2020 Int_Confianca'!S76</f>
        <v>4.0099999999999997E-2</v>
      </c>
      <c r="V150">
        <f>'2015_2020 Int_Confianca'!T76</f>
        <v>3.9600000000000003E-2</v>
      </c>
      <c r="W150">
        <f>'2015_2020 Int_Confianca'!U76</f>
        <v>3.7900000000000003E-2</v>
      </c>
      <c r="X150">
        <f>'2015_2020 Int_Confianca'!V76</f>
        <v>3.3500000000000002E-2</v>
      </c>
      <c r="Y150">
        <f>'2015_2020 Int_Confianca'!W76</f>
        <v>3.2199999999999999E-2</v>
      </c>
      <c r="Z150">
        <f>'2015_2020 Int_Confianca'!X76</f>
        <v>3.2099999999999997E-2</v>
      </c>
      <c r="AA150">
        <f>'2015_2020 Int_Confianca'!Y76</f>
        <v>3.1600000000000003E-2</v>
      </c>
      <c r="AB150">
        <f>'2015_2020 Int_Confianca'!Z76</f>
        <v>3.3000000000000002E-2</v>
      </c>
      <c r="AC150">
        <f>'2015_2020 Int_Confianca'!AA76</f>
        <v>3.27E-2</v>
      </c>
      <c r="AD150">
        <f>'2015_2020 Int_Confianca'!AB76</f>
        <v>3.4000000000000002E-2</v>
      </c>
      <c r="AE150">
        <f>'2015_2020 Int_Confianca'!AC76</f>
        <v>3.4099999999999998E-2</v>
      </c>
      <c r="AF150">
        <f>'2015_2020 Int_Confianca'!AD76</f>
        <v>3.3799999999999997E-2</v>
      </c>
      <c r="AG150">
        <f>'2015_2020 Int_Confianca'!AE76</f>
        <v>3.4700000000000002E-2</v>
      </c>
      <c r="AH150">
        <f>'2015_2020 Int_Confianca'!AF76</f>
        <v>3.8800000000000001E-2</v>
      </c>
      <c r="AI150">
        <f>'2015_2020 Int_Confianca'!AG76</f>
        <v>0.04</v>
      </c>
      <c r="AJ150">
        <f>'2015_2020 Int_Confianca'!AH76</f>
        <v>3.6200000000000003E-2</v>
      </c>
      <c r="AK150">
        <f>'2015_2020 Int_Confianca'!AI76</f>
        <v>2.6800000000000001E-2</v>
      </c>
      <c r="AL150">
        <f>'2015_2020 Int_Confianca'!AJ76</f>
        <v>2.9499999999999998E-2</v>
      </c>
      <c r="AM150">
        <f>'2015_2020 Int_Confianca'!AK76</f>
        <v>2.98E-2</v>
      </c>
      <c r="AN150">
        <f>'2015_2020 Int_Confianca'!AL76</f>
        <v>2.9499999999999998E-2</v>
      </c>
      <c r="AO150">
        <f>'2015_2020 Int_Confianca'!AM76</f>
        <v>3.1300000000000001E-2</v>
      </c>
      <c r="AP150">
        <f>'2015_2020 Int_Confianca'!AN76</f>
        <v>2.46E-2</v>
      </c>
      <c r="AQ150">
        <f>'2015_2020 Int_Confianca'!AO76</f>
        <v>2.5499999999999998E-2</v>
      </c>
      <c r="AR150">
        <f>'2015_2020 Int_Confianca'!AP76</f>
        <v>2.9899999999999999E-2</v>
      </c>
      <c r="AS150">
        <f>'2015_2020 Int_Confianca'!AQ76</f>
        <v>3.0599999999999999E-2</v>
      </c>
      <c r="AT150">
        <f>'2015_2020 Int_Confianca'!AR76</f>
        <v>3.1099999999999999E-2</v>
      </c>
      <c r="AU150">
        <f>'2015_2020 Int_Confianca'!AS76</f>
        <v>3.1600000000000003E-2</v>
      </c>
      <c r="AV150">
        <f>'2015_2020 Int_Confianca'!AT76</f>
        <v>3.4599999999999999E-2</v>
      </c>
      <c r="AW150">
        <f>'2015_2020 Int_Confianca'!AU76</f>
        <v>3.5900000000000001E-2</v>
      </c>
      <c r="AX150">
        <f>'2015_2020 Int_Confianca'!AV76</f>
        <v>3.6799999999999999E-2</v>
      </c>
      <c r="AY150">
        <f>'2015_2020 Int_Confianca'!AW76</f>
        <v>3.7400000000000003E-2</v>
      </c>
      <c r="AZ150">
        <f>'2015_2020 Int_Confianca'!AX76</f>
        <v>4.07E-2</v>
      </c>
      <c r="BA150">
        <f>'2015_2020 Int_Confianca'!AY76</f>
        <v>4.4999999999999998E-2</v>
      </c>
      <c r="BB150">
        <f>'2015_2020 Int_Confianca'!AZ76</f>
        <v>4.4900000000000002E-2</v>
      </c>
      <c r="BC150">
        <f>'2015_2020 Int_Confianca'!BA76</f>
        <v>4.58E-2</v>
      </c>
      <c r="BD150">
        <f>'2015_2020 Int_Confianca'!BB76</f>
        <v>0.05</v>
      </c>
      <c r="BE150">
        <f>'2015_2020 Int_Confianca'!BC76</f>
        <v>4.7800000000000002E-2</v>
      </c>
      <c r="BF150">
        <f>'2015_2020 Int_Confianca'!BD76</f>
        <v>5.1999999999999998E-2</v>
      </c>
      <c r="BG150">
        <f>'2015_2020 Int_Confianca'!BE76</f>
        <v>5.4399999999999997E-2</v>
      </c>
      <c r="BH150">
        <f>'2015_2020 Int_Confianca'!BF76</f>
        <v>5.8200000000000002E-2</v>
      </c>
      <c r="BI150">
        <f>'2015_2020 Int_Confianca'!BG76</f>
        <v>3.4000000000000002E-2</v>
      </c>
      <c r="BJ150">
        <f>'2015_2020 Int_Confianca'!BH76</f>
        <v>2.6700000000000002E-2</v>
      </c>
      <c r="BK150">
        <f>'2015_2020 Int_Confianca'!BI76</f>
        <v>2.8799999999999999E-2</v>
      </c>
      <c r="BL150">
        <f>'2015_2020 Int_Confianca'!BJ76</f>
        <v>3.2399999999999998E-2</v>
      </c>
      <c r="BM150">
        <f>'2015_2020 Int_Confianca'!BK76</f>
        <v>1.8499999999999999E-2</v>
      </c>
      <c r="BN150">
        <f>'2015_2020 Int_Confianca'!BL76</f>
        <v>1.55E-2</v>
      </c>
      <c r="BO150">
        <f>'2015_2020 Int_Confianca'!BM76</f>
        <v>1.47E-2</v>
      </c>
      <c r="BP150">
        <f>'2015_2020 Int_Confianca'!BN76</f>
        <v>1.83E-2</v>
      </c>
      <c r="BQ150">
        <f>'2015_2020 Int_Confianca'!BO76</f>
        <v>1.8499999999999999E-2</v>
      </c>
      <c r="BR150">
        <f>'2015_2020 Int_Confianca'!BP76</f>
        <v>1.8800000000000001E-2</v>
      </c>
      <c r="BS150">
        <f>'2015_2020 Int_Confianca'!BQ76</f>
        <v>2.5700000000000001E-2</v>
      </c>
      <c r="BT150">
        <f>'2015_2020 Int_Confianca'!BR76</f>
        <v>2.47E-2</v>
      </c>
      <c r="BU150">
        <f>'2015_2020 Int_Confianca'!BS76</f>
        <v>2.8500000000000001E-2</v>
      </c>
      <c r="BV150">
        <f>'2015_2020 Int_Confianca'!BT76</f>
        <v>3.32E-2</v>
      </c>
      <c r="BW150">
        <f>'2015_2020 Int_Confianca'!BU76</f>
        <v>3.61E-2</v>
      </c>
      <c r="BX150">
        <f>'2015_2020 Int_Confianca'!BV76</f>
        <v>3.6200000000000003E-2</v>
      </c>
      <c r="BY150">
        <f>'2015_2020 Int_Confianca'!BW76</f>
        <v>3.6600000000000001E-2</v>
      </c>
      <c r="BZ150">
        <f>'2015_2020 Int_Confianca'!BX76</f>
        <v>3.7400000000000003E-2</v>
      </c>
      <c r="CA150">
        <f>'2015_2020 Int_Confianca'!BY76</f>
        <v>4.7500000000000001E-2</v>
      </c>
      <c r="CB150">
        <f>'2015_2020 Int_Confianca'!BZ76</f>
        <v>5.2400000000000002E-2</v>
      </c>
      <c r="CC150">
        <f>'2015_2020 Int_Confianca'!CA76</f>
        <v>5.5E-2</v>
      </c>
      <c r="CD150">
        <f>'2015_2020 Int_Confianca'!CB76</f>
        <v>4.65E-2</v>
      </c>
      <c r="CE150">
        <f>'2015_2020 Int_Confianca'!CC76</f>
        <v>5.5599999999999997E-2</v>
      </c>
      <c r="CF150">
        <f>'2015_2020 Int_Confianca'!CD76</f>
        <v>6.2E-2</v>
      </c>
      <c r="CG150">
        <f>'2015_2020 Int_Confianca'!CE76</f>
        <v>6.3E-2</v>
      </c>
      <c r="CH150">
        <f>'2015_2020 Int_Confianca'!CF76</f>
        <v>7.0599999999999996E-2</v>
      </c>
      <c r="CI150">
        <f>'2015_2020 Int_Confianca'!CG76</f>
        <v>7.9799999999999996E-2</v>
      </c>
      <c r="CJ150">
        <f>'2015_2020 Int_Confianca'!CH76</f>
        <v>6.7699999999999996E-2</v>
      </c>
      <c r="CK150">
        <f>'2015_2020 Int_Confianca'!CI76</f>
        <v>7.3099999999999998E-2</v>
      </c>
      <c r="CL150">
        <f>'2015_2020 Int_Confianca'!CJ76</f>
        <v>7.7299999999999994E-2</v>
      </c>
      <c r="CM150">
        <f>'2015_2020 Int_Confianca'!CK76</f>
        <v>8.3699999999999997E-2</v>
      </c>
      <c r="CN150">
        <f>'2015_2020 Int_Confianca'!CL76</f>
        <v>0.1089</v>
      </c>
      <c r="CO150">
        <f>'2015_2020 Int_Confianca'!CM76</f>
        <v>0.12559999999999999</v>
      </c>
      <c r="CP150">
        <f>'2015_2020 Int_Confianca'!CN76</f>
        <v>0.12130000000000001</v>
      </c>
      <c r="CQ150">
        <f>'2015_2020 Int_Confianca'!CO76</f>
        <v>0.1321</v>
      </c>
      <c r="CR150">
        <f>'2015_2020 Int_Confianca'!CP76</f>
        <v>0.1986</v>
      </c>
      <c r="CS150">
        <f>'2015_2020 Int_Confianca'!CQ76</f>
        <v>0.1331</v>
      </c>
      <c r="CT150">
        <f>'2015_2020 Int_Confianca'!CR76</f>
        <v>-9.4000000000000004E-3</v>
      </c>
      <c r="CU150">
        <f>'2015_2020 Int_Confianca'!CS76</f>
        <v>-1.2200000000000001E-2</v>
      </c>
      <c r="CV150">
        <f>'2015_2020 Int_Confianca'!CT76</f>
        <v>-2.8999999999999998E-3</v>
      </c>
      <c r="CW150">
        <f>'2015_2020 Int_Confianca'!CU76</f>
        <v>-1.12E-2</v>
      </c>
      <c r="CX150">
        <f>'2015_2020 Int_Confianca'!CV76</f>
        <v>-1.06E-2</v>
      </c>
    </row>
    <row r="151" spans="1:102" x14ac:dyDescent="0.2">
      <c r="A151" t="s">
        <v>5927</v>
      </c>
      <c r="B151" t="s">
        <v>219</v>
      </c>
      <c r="C151" t="s">
        <v>221</v>
      </c>
      <c r="D151">
        <f>'2015_2020 Int_Confianca'!B77</f>
        <v>6.7400000000000002E-2</v>
      </c>
      <c r="E151">
        <f>'2015_2020 Int_Confianca'!C77</f>
        <v>-0.59099999999999997</v>
      </c>
      <c r="F151">
        <f>'2015_2020 Int_Confianca'!D77</f>
        <v>-1.2982</v>
      </c>
      <c r="G151">
        <f>'2015_2020 Int_Confianca'!E77</f>
        <v>-0.21590000000000001</v>
      </c>
      <c r="H151">
        <f>'2015_2020 Int_Confianca'!F77</f>
        <v>-1.7484</v>
      </c>
      <c r="I151">
        <f>'2015_2020 Int_Confianca'!G77</f>
        <v>-0.66259999999999997</v>
      </c>
      <c r="J151">
        <f>'2015_2020 Int_Confianca'!H77</f>
        <v>-1.1892</v>
      </c>
      <c r="K151">
        <f>'2015_2020 Int_Confianca'!I77</f>
        <v>-0.95820000000000005</v>
      </c>
      <c r="L151">
        <f>'2015_2020 Int_Confianca'!J77</f>
        <v>-0.71040000000000003</v>
      </c>
      <c r="M151">
        <f>'2015_2020 Int_Confianca'!K77</f>
        <v>-1.1405000000000001</v>
      </c>
      <c r="N151">
        <f>'2015_2020 Int_Confianca'!L77</f>
        <v>-1.1575</v>
      </c>
      <c r="O151">
        <f>'2015_2020 Int_Confianca'!M77</f>
        <v>-0.626</v>
      </c>
      <c r="P151">
        <f>'2015_2020 Int_Confianca'!N77</f>
        <v>-0.80200000000000005</v>
      </c>
      <c r="Q151">
        <f>'2015_2020 Int_Confianca'!O77</f>
        <v>-0.68149999999999999</v>
      </c>
      <c r="R151">
        <f>'2015_2020 Int_Confianca'!P77</f>
        <v>-0.5373</v>
      </c>
      <c r="S151">
        <f>'2015_2020 Int_Confianca'!Q77</f>
        <v>-0.443</v>
      </c>
      <c r="T151">
        <f>'2015_2020 Int_Confianca'!R77</f>
        <v>-0.32169999999999999</v>
      </c>
      <c r="U151">
        <f>'2015_2020 Int_Confianca'!S77</f>
        <v>-0.2752</v>
      </c>
      <c r="V151">
        <f>'2015_2020 Int_Confianca'!T77</f>
        <v>-0.17249999999999999</v>
      </c>
      <c r="W151">
        <f>'2015_2020 Int_Confianca'!U77</f>
        <v>-0.16250000000000001</v>
      </c>
      <c r="X151">
        <f>'2015_2020 Int_Confianca'!V77</f>
        <v>-0.1782</v>
      </c>
      <c r="Y151">
        <f>'2015_2020 Int_Confianca'!W77</f>
        <v>-0.1021</v>
      </c>
      <c r="Z151">
        <f>'2015_2020 Int_Confianca'!X77</f>
        <v>-0.13400000000000001</v>
      </c>
      <c r="AA151">
        <f>'2015_2020 Int_Confianca'!Y77</f>
        <v>-0.17849999999999999</v>
      </c>
      <c r="AB151">
        <f>'2015_2020 Int_Confianca'!Z77</f>
        <v>-0.19020000000000001</v>
      </c>
      <c r="AC151">
        <f>'2015_2020 Int_Confianca'!AA77</f>
        <v>-0.17549999999999999</v>
      </c>
      <c r="AD151">
        <f>'2015_2020 Int_Confianca'!AB77</f>
        <v>-0.15240000000000001</v>
      </c>
      <c r="AE151">
        <f>'2015_2020 Int_Confianca'!AC77</f>
        <v>-0.15609999999999999</v>
      </c>
      <c r="AF151">
        <f>'2015_2020 Int_Confianca'!AD77</f>
        <v>-0.1507</v>
      </c>
      <c r="AG151">
        <f>'2015_2020 Int_Confianca'!AE77</f>
        <v>-0.14269999999999999</v>
      </c>
      <c r="AH151">
        <f>'2015_2020 Int_Confianca'!AF77</f>
        <v>-0.16650000000000001</v>
      </c>
      <c r="AI151">
        <f>'2015_2020 Int_Confianca'!AG77</f>
        <v>-0.16919999999999999</v>
      </c>
      <c r="AJ151">
        <f>'2015_2020 Int_Confianca'!AH77</f>
        <v>-0.16850000000000001</v>
      </c>
      <c r="AK151">
        <f>'2015_2020 Int_Confianca'!AI77</f>
        <v>-0.16159999999999999</v>
      </c>
      <c r="AL151">
        <f>'2015_2020 Int_Confianca'!AJ77</f>
        <v>-0.1681</v>
      </c>
      <c r="AM151">
        <f>'2015_2020 Int_Confianca'!AK77</f>
        <v>-0.16350000000000001</v>
      </c>
      <c r="AN151">
        <f>'2015_2020 Int_Confianca'!AL77</f>
        <v>-0.16350000000000001</v>
      </c>
      <c r="AO151">
        <f>'2015_2020 Int_Confianca'!AM77</f>
        <v>-0.17749999999999999</v>
      </c>
      <c r="AP151">
        <f>'2015_2020 Int_Confianca'!AN77</f>
        <v>-0.2382</v>
      </c>
      <c r="AQ151">
        <f>'2015_2020 Int_Confianca'!AO77</f>
        <v>-0.26929999999999998</v>
      </c>
      <c r="AR151">
        <f>'2015_2020 Int_Confianca'!AP77</f>
        <v>-0.27139999999999997</v>
      </c>
      <c r="AS151">
        <f>'2015_2020 Int_Confianca'!AQ77</f>
        <v>-0.23719999999999999</v>
      </c>
      <c r="AT151">
        <f>'2015_2020 Int_Confianca'!AR77</f>
        <v>-0.21890000000000001</v>
      </c>
      <c r="AU151">
        <f>'2015_2020 Int_Confianca'!AS77</f>
        <v>-0.20749999999999999</v>
      </c>
      <c r="AV151">
        <f>'2015_2020 Int_Confianca'!AT77</f>
        <v>-0.19900000000000001</v>
      </c>
      <c r="AW151">
        <f>'2015_2020 Int_Confianca'!AU77</f>
        <v>-0.1681</v>
      </c>
      <c r="AX151">
        <f>'2015_2020 Int_Confianca'!AV77</f>
        <v>-0.14929999999999999</v>
      </c>
      <c r="AY151">
        <f>'2015_2020 Int_Confianca'!AW77</f>
        <v>-0.1234</v>
      </c>
      <c r="AZ151">
        <f>'2015_2020 Int_Confianca'!AX77</f>
        <v>-0.1268</v>
      </c>
      <c r="BA151">
        <f>'2015_2020 Int_Confianca'!AY77</f>
        <v>-0.1037</v>
      </c>
      <c r="BB151">
        <f>'2015_2020 Int_Confianca'!AZ77</f>
        <v>-0.1343</v>
      </c>
      <c r="BC151">
        <f>'2015_2020 Int_Confianca'!BA77</f>
        <v>-0.1641</v>
      </c>
      <c r="BD151">
        <f>'2015_2020 Int_Confianca'!BB77</f>
        <v>-0.18590000000000001</v>
      </c>
      <c r="BE151">
        <f>'2015_2020 Int_Confianca'!BC77</f>
        <v>-0.186</v>
      </c>
      <c r="BF151">
        <f>'2015_2020 Int_Confianca'!BD77</f>
        <v>-0.18779999999999999</v>
      </c>
      <c r="BG151">
        <f>'2015_2020 Int_Confianca'!BE77</f>
        <v>-0.2324</v>
      </c>
      <c r="BH151">
        <f>'2015_2020 Int_Confianca'!BF77</f>
        <v>-0.25090000000000001</v>
      </c>
      <c r="BI151">
        <f>'2015_2020 Int_Confianca'!BG77</f>
        <v>-0.22439999999999999</v>
      </c>
      <c r="BJ151">
        <f>'2015_2020 Int_Confianca'!BH77</f>
        <v>-0.2235</v>
      </c>
      <c r="BK151">
        <f>'2015_2020 Int_Confianca'!BI77</f>
        <v>-0.2208</v>
      </c>
      <c r="BL151">
        <f>'2015_2020 Int_Confianca'!BJ77</f>
        <v>-0.1956</v>
      </c>
      <c r="BM151">
        <f>'2015_2020 Int_Confianca'!BK77</f>
        <v>-0.1812</v>
      </c>
      <c r="BN151">
        <f>'2015_2020 Int_Confianca'!BL77</f>
        <v>-0.1618</v>
      </c>
      <c r="BO151">
        <f>'2015_2020 Int_Confianca'!BM77</f>
        <v>-0.1193</v>
      </c>
      <c r="BP151">
        <f>'2015_2020 Int_Confianca'!BN77</f>
        <v>-6.6400000000000001E-2</v>
      </c>
      <c r="BQ151">
        <f>'2015_2020 Int_Confianca'!BO77</f>
        <v>-6.0400000000000002E-2</v>
      </c>
      <c r="BR151">
        <f>'2015_2020 Int_Confianca'!BP77</f>
        <v>-7.22E-2</v>
      </c>
      <c r="BS151">
        <f>'2015_2020 Int_Confianca'!BQ77</f>
        <v>-7.3999999999999996E-2</v>
      </c>
      <c r="BT151">
        <f>'2015_2020 Int_Confianca'!BR77</f>
        <v>-4.9000000000000002E-2</v>
      </c>
      <c r="BU151">
        <f>'2015_2020 Int_Confianca'!BS77</f>
        <v>-7.7100000000000002E-2</v>
      </c>
      <c r="BV151">
        <f>'2015_2020 Int_Confianca'!BT77</f>
        <v>-0.2419</v>
      </c>
      <c r="BW151">
        <f>'2015_2020 Int_Confianca'!BU77</f>
        <v>-0.29239999999999999</v>
      </c>
      <c r="BX151">
        <f>'2015_2020 Int_Confianca'!BV77</f>
        <v>-0.26919999999999999</v>
      </c>
      <c r="BY151">
        <f>'2015_2020 Int_Confianca'!BW77</f>
        <v>-0.2306</v>
      </c>
      <c r="BZ151">
        <f>'2015_2020 Int_Confianca'!BX77</f>
        <v>-0.2853</v>
      </c>
      <c r="CA151">
        <f>'2015_2020 Int_Confianca'!BY77</f>
        <v>-0.32740000000000002</v>
      </c>
      <c r="CB151">
        <f>'2015_2020 Int_Confianca'!BZ77</f>
        <v>-0.30009999999999998</v>
      </c>
      <c r="CC151">
        <f>'2015_2020 Int_Confianca'!CA77</f>
        <v>-0.29380000000000001</v>
      </c>
      <c r="CD151">
        <f>'2015_2020 Int_Confianca'!CB77</f>
        <v>-0.18609999999999999</v>
      </c>
      <c r="CE151">
        <f>'2015_2020 Int_Confianca'!CC77</f>
        <v>4.7500000000000001E-2</v>
      </c>
      <c r="CF151">
        <f>'2015_2020 Int_Confianca'!CD77</f>
        <v>0.1138</v>
      </c>
      <c r="CG151">
        <f>'2015_2020 Int_Confianca'!CE77</f>
        <v>3.1300000000000001E-2</v>
      </c>
      <c r="CH151">
        <f>'2015_2020 Int_Confianca'!CF77</f>
        <v>-0.1232</v>
      </c>
      <c r="CI151">
        <f>'2015_2020 Int_Confianca'!CG77</f>
        <v>-0.27029999999999998</v>
      </c>
      <c r="CJ151">
        <f>'2015_2020 Int_Confianca'!CH77</f>
        <v>-0.26919999999999999</v>
      </c>
      <c r="CK151">
        <f>'2015_2020 Int_Confianca'!CI77</f>
        <v>-0.1845</v>
      </c>
      <c r="CL151">
        <f>'2015_2020 Int_Confianca'!CJ77</f>
        <v>-7.85E-2</v>
      </c>
      <c r="CM151">
        <f>'2015_2020 Int_Confianca'!CK77</f>
        <v>-5.2400000000000002E-2</v>
      </c>
      <c r="CN151">
        <f>'2015_2020 Int_Confianca'!CL77</f>
        <v>-5.4399999999999997E-2</v>
      </c>
      <c r="CO151">
        <f>'2015_2020 Int_Confianca'!CM77</f>
        <v>-3.73E-2</v>
      </c>
      <c r="CP151">
        <f>'2015_2020 Int_Confianca'!CN77</f>
        <v>-0.1353</v>
      </c>
      <c r="CQ151">
        <f>'2015_2020 Int_Confianca'!CO77</f>
        <v>-0.1477</v>
      </c>
      <c r="CR151">
        <f>'2015_2020 Int_Confianca'!CP77</f>
        <v>-0.27560000000000001</v>
      </c>
      <c r="CS151">
        <f>'2015_2020 Int_Confianca'!CQ77</f>
        <v>-0.36680000000000001</v>
      </c>
      <c r="CT151">
        <f>'2015_2020 Int_Confianca'!CR77</f>
        <v>-9.6100000000000005E-2</v>
      </c>
      <c r="CU151">
        <f>'2015_2020 Int_Confianca'!CS77</f>
        <v>-2.5000000000000001E-3</v>
      </c>
      <c r="CV151">
        <f>'2015_2020 Int_Confianca'!CT77</f>
        <v>0.1012</v>
      </c>
      <c r="CW151">
        <f>'2015_2020 Int_Confianca'!CU77</f>
        <v>-0.1643</v>
      </c>
      <c r="CX151">
        <f>'2015_2020 Int_Confianca'!CV77</f>
        <v>-2.4400000000000002E-2</v>
      </c>
    </row>
    <row r="152" spans="1:102" x14ac:dyDescent="0.2">
      <c r="A152" t="s">
        <v>5928</v>
      </c>
      <c r="B152" t="s">
        <v>219</v>
      </c>
      <c r="C152" t="s">
        <v>221</v>
      </c>
      <c r="D152">
        <f>'2015_2020 Int_Confianca'!B78</f>
        <v>0.83709999999999996</v>
      </c>
      <c r="E152">
        <f>'2015_2020 Int_Confianca'!C78</f>
        <v>0.30719999999999997</v>
      </c>
      <c r="F152">
        <f>'2015_2020 Int_Confianca'!D78</f>
        <v>-0.55779999999999996</v>
      </c>
      <c r="G152">
        <f>'2015_2020 Int_Confianca'!E78</f>
        <v>0.29170000000000001</v>
      </c>
      <c r="H152">
        <f>'2015_2020 Int_Confianca'!F78</f>
        <v>-1.167</v>
      </c>
      <c r="I152">
        <f>'2015_2020 Int_Confianca'!G78</f>
        <v>-0.2069</v>
      </c>
      <c r="J152">
        <f>'2015_2020 Int_Confianca'!H78</f>
        <v>-0.75129999999999997</v>
      </c>
      <c r="K152">
        <f>'2015_2020 Int_Confianca'!I78</f>
        <v>-0.55320000000000003</v>
      </c>
      <c r="L152">
        <f>'2015_2020 Int_Confianca'!J78</f>
        <v>-0.35830000000000001</v>
      </c>
      <c r="M152">
        <f>'2015_2020 Int_Confianca'!K78</f>
        <v>-0.81420000000000003</v>
      </c>
      <c r="N152">
        <f>'2015_2020 Int_Confianca'!L78</f>
        <v>-0.86839999999999995</v>
      </c>
      <c r="O152">
        <f>'2015_2020 Int_Confianca'!M78</f>
        <v>-0.43780000000000002</v>
      </c>
      <c r="P152">
        <f>'2015_2020 Int_Confianca'!N78</f>
        <v>-0.62190000000000001</v>
      </c>
      <c r="Q152">
        <f>'2015_2020 Int_Confianca'!O78</f>
        <v>-0.52200000000000002</v>
      </c>
      <c r="R152">
        <f>'2015_2020 Int_Confianca'!P78</f>
        <v>-0.39450000000000002</v>
      </c>
      <c r="S152">
        <f>'2015_2020 Int_Confianca'!Q78</f>
        <v>-0.31330000000000002</v>
      </c>
      <c r="T152">
        <f>'2015_2020 Int_Confianca'!R78</f>
        <v>-0.20910000000000001</v>
      </c>
      <c r="U152">
        <f>'2015_2020 Int_Confianca'!S78</f>
        <v>-0.16930000000000001</v>
      </c>
      <c r="V152">
        <f>'2015_2020 Int_Confianca'!T78</f>
        <v>-7.6399999999999996E-2</v>
      </c>
      <c r="W152">
        <f>'2015_2020 Int_Confianca'!U78</f>
        <v>-6.83E-2</v>
      </c>
      <c r="X152">
        <f>'2015_2020 Int_Confianca'!V78</f>
        <v>-8.6599999999999996E-2</v>
      </c>
      <c r="Y152">
        <f>'2015_2020 Int_Confianca'!W78</f>
        <v>-1.8499999999999999E-2</v>
      </c>
      <c r="Z152">
        <f>'2015_2020 Int_Confianca'!X78</f>
        <v>-5.0999999999999997E-2</v>
      </c>
      <c r="AA152">
        <f>'2015_2020 Int_Confianca'!Y78</f>
        <v>-9.5799999999999996E-2</v>
      </c>
      <c r="AB152">
        <f>'2015_2020 Int_Confianca'!Z78</f>
        <v>-0.1075</v>
      </c>
      <c r="AC152">
        <f>'2015_2020 Int_Confianca'!AA78</f>
        <v>-9.35E-2</v>
      </c>
      <c r="AD152">
        <f>'2015_2020 Int_Confianca'!AB78</f>
        <v>-7.0099999999999996E-2</v>
      </c>
      <c r="AE152">
        <f>'2015_2020 Int_Confianca'!AC78</f>
        <v>-7.3099999999999998E-2</v>
      </c>
      <c r="AF152">
        <f>'2015_2020 Int_Confianca'!AD78</f>
        <v>-6.6600000000000006E-2</v>
      </c>
      <c r="AG152">
        <f>'2015_2020 Int_Confianca'!AE78</f>
        <v>-5.6899999999999999E-2</v>
      </c>
      <c r="AH152">
        <f>'2015_2020 Int_Confianca'!AF78</f>
        <v>-7.7299999999999994E-2</v>
      </c>
      <c r="AI152">
        <f>'2015_2020 Int_Confianca'!AG78</f>
        <v>-7.7399999999999997E-2</v>
      </c>
      <c r="AJ152">
        <f>'2015_2020 Int_Confianca'!AH78</f>
        <v>-7.2499999999999995E-2</v>
      </c>
      <c r="AK152">
        <f>'2015_2020 Int_Confianca'!AI78</f>
        <v>-6.0900000000000003E-2</v>
      </c>
      <c r="AL152">
        <f>'2015_2020 Int_Confianca'!AJ78</f>
        <v>-6.3100000000000003E-2</v>
      </c>
      <c r="AM152">
        <f>'2015_2020 Int_Confianca'!AK78</f>
        <v>-5.7700000000000001E-2</v>
      </c>
      <c r="AN152">
        <f>'2015_2020 Int_Confianca'!AL78</f>
        <v>-5.7000000000000002E-2</v>
      </c>
      <c r="AO152">
        <f>'2015_2020 Int_Confianca'!AM78</f>
        <v>-7.1199999999999999E-2</v>
      </c>
      <c r="AP152">
        <f>'2015_2020 Int_Confianca'!AN78</f>
        <v>-0.1318</v>
      </c>
      <c r="AQ152">
        <f>'2015_2020 Int_Confianca'!AO78</f>
        <v>-0.1641</v>
      </c>
      <c r="AR152">
        <f>'2015_2020 Int_Confianca'!AP78</f>
        <v>-0.16619999999999999</v>
      </c>
      <c r="AS152">
        <f>'2015_2020 Int_Confianca'!AQ78</f>
        <v>-0.13170000000000001</v>
      </c>
      <c r="AT152">
        <f>'2015_2020 Int_Confianca'!AR78</f>
        <v>-0.1134</v>
      </c>
      <c r="AU152">
        <f>'2015_2020 Int_Confianca'!AS78</f>
        <v>-0.10199999999999999</v>
      </c>
      <c r="AV152">
        <f>'2015_2020 Int_Confianca'!AT78</f>
        <v>-9.3399999999999997E-2</v>
      </c>
      <c r="AW152">
        <f>'2015_2020 Int_Confianca'!AU78</f>
        <v>-6.08E-2</v>
      </c>
      <c r="AX152">
        <f>'2015_2020 Int_Confianca'!AV78</f>
        <v>-3.9600000000000003E-2</v>
      </c>
      <c r="AY152">
        <f>'2015_2020 Int_Confianca'!AW78</f>
        <v>-1.21E-2</v>
      </c>
      <c r="AZ152">
        <f>'2015_2020 Int_Confianca'!AX78</f>
        <v>-1.3899999999999999E-2</v>
      </c>
      <c r="BA152">
        <f>'2015_2020 Int_Confianca'!AY78</f>
        <v>1.0500000000000001E-2</v>
      </c>
      <c r="BB152">
        <f>'2015_2020 Int_Confianca'!AZ78</f>
        <v>-1.83E-2</v>
      </c>
      <c r="BC152">
        <f>'2015_2020 Int_Confianca'!BA78</f>
        <v>-4.8599999999999997E-2</v>
      </c>
      <c r="BD152">
        <f>'2015_2020 Int_Confianca'!BB78</f>
        <v>-7.0000000000000007E-2</v>
      </c>
      <c r="BE152">
        <f>'2015_2020 Int_Confianca'!BC78</f>
        <v>-6.9099999999999995E-2</v>
      </c>
      <c r="BF152">
        <f>'2015_2020 Int_Confianca'!BD78</f>
        <v>-6.7400000000000002E-2</v>
      </c>
      <c r="BG152">
        <f>'2015_2020 Int_Confianca'!BE78</f>
        <v>-0.1125</v>
      </c>
      <c r="BH152">
        <f>'2015_2020 Int_Confianca'!BF78</f>
        <v>-0.12870000000000001</v>
      </c>
      <c r="BI152">
        <f>'2015_2020 Int_Confianca'!BG78</f>
        <v>-9.0999999999999998E-2</v>
      </c>
      <c r="BJ152">
        <f>'2015_2020 Int_Confianca'!BH78</f>
        <v>-9.1999999999999998E-2</v>
      </c>
      <c r="BK152">
        <f>'2015_2020 Int_Confianca'!BI78</f>
        <v>-8.5999999999999993E-2</v>
      </c>
      <c r="BL152">
        <f>'2015_2020 Int_Confianca'!BJ78</f>
        <v>-0.06</v>
      </c>
      <c r="BM152">
        <f>'2015_2020 Int_Confianca'!BK78</f>
        <v>-5.1900000000000002E-2</v>
      </c>
      <c r="BN152">
        <f>'2015_2020 Int_Confianca'!BL78</f>
        <v>-3.3700000000000001E-2</v>
      </c>
      <c r="BO152">
        <f>'2015_2020 Int_Confianca'!BM78</f>
        <v>5.4000000000000003E-3</v>
      </c>
      <c r="BP152">
        <f>'2015_2020 Int_Confianca'!BN78</f>
        <v>5.6800000000000003E-2</v>
      </c>
      <c r="BQ152">
        <f>'2015_2020 Int_Confianca'!BO78</f>
        <v>6.3100000000000003E-2</v>
      </c>
      <c r="BR152">
        <f>'2015_2020 Int_Confianca'!BP78</f>
        <v>4.8899999999999999E-2</v>
      </c>
      <c r="BS152">
        <f>'2015_2020 Int_Confianca'!BQ78</f>
        <v>5.04E-2</v>
      </c>
      <c r="BT152">
        <f>'2015_2020 Int_Confianca'!BR78</f>
        <v>7.6799999999999993E-2</v>
      </c>
      <c r="BU152">
        <f>'2015_2020 Int_Confianca'!BS78</f>
        <v>5.91E-2</v>
      </c>
      <c r="BV152">
        <f>'2015_2020 Int_Confianca'!BT78</f>
        <v>-8.6199999999999999E-2</v>
      </c>
      <c r="BW152">
        <f>'2015_2020 Int_Confianca'!BU78</f>
        <v>-0.1232</v>
      </c>
      <c r="BX152">
        <f>'2015_2020 Int_Confianca'!BV78</f>
        <v>-9.6799999999999997E-2</v>
      </c>
      <c r="BY152">
        <f>'2015_2020 Int_Confianca'!BW78</f>
        <v>-6.2700000000000006E-2</v>
      </c>
      <c r="BZ152">
        <f>'2015_2020 Int_Confianca'!BX78</f>
        <v>-0.1241</v>
      </c>
      <c r="CA152">
        <f>'2015_2020 Int_Confianca'!BY78</f>
        <v>-0.1736</v>
      </c>
      <c r="CB152">
        <f>'2015_2020 Int_Confianca'!BZ78</f>
        <v>-0.14169999999999999</v>
      </c>
      <c r="CC152">
        <f>'2015_2020 Int_Confianca'!CA78</f>
        <v>-0.1331</v>
      </c>
      <c r="CD152">
        <f>'2015_2020 Int_Confianca'!CB78</f>
        <v>-2.63E-2</v>
      </c>
      <c r="CE152">
        <f>'2015_2020 Int_Confianca'!CC78</f>
        <v>0.22589999999999999</v>
      </c>
      <c r="CF152">
        <f>'2015_2020 Int_Confianca'!CD78</f>
        <v>0.30080000000000001</v>
      </c>
      <c r="CG152">
        <f>'2015_2020 Int_Confianca'!CE78</f>
        <v>0.2172</v>
      </c>
      <c r="CH152">
        <f>'2015_2020 Int_Confianca'!CF78</f>
        <v>7.0599999999999996E-2</v>
      </c>
      <c r="CI152">
        <f>'2015_2020 Int_Confianca'!CG78</f>
        <v>-6.0600000000000001E-2</v>
      </c>
      <c r="CJ152">
        <f>'2015_2020 Int_Confianca'!CH78</f>
        <v>-4.3999999999999997E-2</v>
      </c>
      <c r="CK152">
        <f>'2015_2020 Int_Confianca'!CI78</f>
        <v>3.1399999999999997E-2</v>
      </c>
      <c r="CL152">
        <f>'2015_2020 Int_Confianca'!CJ78</f>
        <v>0.13139999999999999</v>
      </c>
      <c r="CM152">
        <f>'2015_2020 Int_Confianca'!CK78</f>
        <v>0.16450000000000001</v>
      </c>
      <c r="CN152">
        <f>'2015_2020 Int_Confianca'!CL78</f>
        <v>0.21740000000000001</v>
      </c>
      <c r="CO152">
        <f>'2015_2020 Int_Confianca'!CM78</f>
        <v>0.25640000000000002</v>
      </c>
      <c r="CP152">
        <f>'2015_2020 Int_Confianca'!CN78</f>
        <v>0.14019999999999999</v>
      </c>
      <c r="CQ152">
        <f>'2015_2020 Int_Confianca'!CO78</f>
        <v>0.1414</v>
      </c>
      <c r="CR152">
        <f>'2015_2020 Int_Confianca'!CP78</f>
        <v>0.14460000000000001</v>
      </c>
      <c r="CS152">
        <f>'2015_2020 Int_Confianca'!CQ78</f>
        <v>-5.0299999999999997E-2</v>
      </c>
      <c r="CT152">
        <f>'2015_2020 Int_Confianca'!CR78</f>
        <v>0.1782</v>
      </c>
      <c r="CU152">
        <f>'2015_2020 Int_Confianca'!CS78</f>
        <v>0.28179999999999999</v>
      </c>
      <c r="CV152">
        <f>'2015_2020 Int_Confianca'!CT78</f>
        <v>0.3861</v>
      </c>
      <c r="CW152">
        <f>'2015_2020 Int_Confianca'!CU78</f>
        <v>0.22170000000000001</v>
      </c>
      <c r="CX152">
        <f>'2015_2020 Int_Confianca'!CV78</f>
        <v>0.31119999999999998</v>
      </c>
    </row>
    <row r="153" spans="1:102" x14ac:dyDescent="0.2">
      <c r="A153" t="s">
        <v>208</v>
      </c>
      <c r="B153" t="s">
        <v>220</v>
      </c>
      <c r="C153" t="s">
        <v>221</v>
      </c>
      <c r="D153">
        <f>D102+D126</f>
        <v>-0.37129999999999996</v>
      </c>
      <c r="E153">
        <f>E102+E126</f>
        <v>0.29399999999999998</v>
      </c>
      <c r="F153">
        <f>F102+F126</f>
        <v>0.81410000000000005</v>
      </c>
      <c r="G153">
        <f>G102+G126</f>
        <v>0.10489999999999999</v>
      </c>
      <c r="H153">
        <f>H102+H126</f>
        <v>1.0639000000000001</v>
      </c>
      <c r="I153">
        <f>I102+I126</f>
        <v>0.40049999999999997</v>
      </c>
      <c r="J153">
        <f>J102+J126</f>
        <v>0.69510000000000005</v>
      </c>
      <c r="K153">
        <f>K102+K126</f>
        <v>0.55479999999999996</v>
      </c>
      <c r="L153">
        <f>L102+L126</f>
        <v>0.4143</v>
      </c>
      <c r="M153">
        <f>M102+M126</f>
        <v>0.62779999999999991</v>
      </c>
      <c r="N153">
        <f>N102+N126</f>
        <v>0.60439999999999994</v>
      </c>
      <c r="O153">
        <f>O102+O126</f>
        <v>0.33339999999999997</v>
      </c>
      <c r="P153">
        <f>P102+P126</f>
        <v>0.37879999999999997</v>
      </c>
      <c r="Q153">
        <f>Q102+Q126</f>
        <v>0.32069999999999999</v>
      </c>
      <c r="R153">
        <f>R102+R126</f>
        <v>0.25939999999999996</v>
      </c>
      <c r="S153">
        <f>S102+S126</f>
        <v>0.22500000000000001</v>
      </c>
      <c r="T153">
        <f>T102+T126</f>
        <v>0.1615</v>
      </c>
      <c r="U153">
        <f>U102+U126</f>
        <v>0.1338</v>
      </c>
      <c r="V153">
        <f>V102+V126</f>
        <v>7.6800000000000007E-2</v>
      </c>
      <c r="W153">
        <f>W102+W126</f>
        <v>7.0300000000000001E-2</v>
      </c>
      <c r="X153">
        <f>X102+X126</f>
        <v>7.8100000000000003E-2</v>
      </c>
      <c r="Y153">
        <f>Y102+Y126</f>
        <v>4.7399999999999998E-2</v>
      </c>
      <c r="Z153">
        <f>Z102+Z126</f>
        <v>5.8000000000000003E-2</v>
      </c>
      <c r="AA153">
        <f>AA102+AA126</f>
        <v>6.4899999999999999E-2</v>
      </c>
      <c r="AB153">
        <f>AB102+AB126</f>
        <v>5.6800000000000003E-2</v>
      </c>
      <c r="AC153">
        <f>AC102+AC126</f>
        <v>4.4399999999999995E-2</v>
      </c>
      <c r="AD153">
        <f>AD102+AD126</f>
        <v>4.36E-2</v>
      </c>
      <c r="AE153">
        <f>AE102+AE126</f>
        <v>4.8600000000000004E-2</v>
      </c>
      <c r="AF153">
        <f>AF102+AF126</f>
        <v>4.36E-2</v>
      </c>
      <c r="AG153">
        <f>AG102+AG126</f>
        <v>4.0690000000000004E-2</v>
      </c>
      <c r="AH153">
        <f>AH102+AH126</f>
        <v>4.3800000000000006E-2</v>
      </c>
      <c r="AI153">
        <f>AI102+AI126</f>
        <v>4.4479999999999999E-2</v>
      </c>
      <c r="AJ153">
        <f>AJ102+AJ126</f>
        <v>3.3730000000000003E-2</v>
      </c>
      <c r="AK153">
        <f>AK102+AK126</f>
        <v>3.0900000000000004E-2</v>
      </c>
      <c r="AL153">
        <f>AL102+AL126</f>
        <v>4.3049999999999998E-2</v>
      </c>
      <c r="AM153">
        <f>AM102+AM126</f>
        <v>5.466E-2</v>
      </c>
      <c r="AN153">
        <f>AN102+AN126</f>
        <v>5.2159999999999998E-2</v>
      </c>
      <c r="AO153">
        <f>AO102+AO126</f>
        <v>4.9817E-2</v>
      </c>
      <c r="AP153">
        <f>AP102+AP126</f>
        <v>6.13E-2</v>
      </c>
      <c r="AQ153">
        <f>AQ102+AQ126</f>
        <v>7.3200000000000001E-2</v>
      </c>
      <c r="AR153">
        <f>AR102+AR126</f>
        <v>7.8699999999999992E-2</v>
      </c>
      <c r="AS153">
        <f>AS102+AS126</f>
        <v>7.4899999999999994E-2</v>
      </c>
      <c r="AT153">
        <f>AT102+AT126</f>
        <v>7.3499999999999996E-2</v>
      </c>
      <c r="AU153">
        <f>AU102+AU126</f>
        <v>7.3999999999999996E-2</v>
      </c>
      <c r="AV153">
        <f>AV102+AV126</f>
        <v>6.3600000000000004E-2</v>
      </c>
      <c r="AW153">
        <f>AW102+AW126</f>
        <v>4.4600000000000001E-2</v>
      </c>
      <c r="AX153">
        <f>AX102+AX126</f>
        <v>3.3299999999999996E-2</v>
      </c>
      <c r="AY153">
        <f>AY102+AY126</f>
        <v>2.1900000000000003E-2</v>
      </c>
      <c r="AZ153">
        <f>AZ102+AZ126</f>
        <v>1.8099999999999998E-2</v>
      </c>
      <c r="BA153">
        <f>BA102+BA126</f>
        <v>9.000000000000008E-3</v>
      </c>
      <c r="BB153">
        <f>BB102+BB126</f>
        <v>2.0400000000000001E-2</v>
      </c>
      <c r="BC153">
        <f>BC102+BC126</f>
        <v>3.2399999999999991E-2</v>
      </c>
      <c r="BD153">
        <f>BD102+BD126</f>
        <v>3.1399999999999997E-2</v>
      </c>
      <c r="BE153">
        <f>BE102+BE126</f>
        <v>3.27E-2</v>
      </c>
      <c r="BF153">
        <f>BF102+BF126</f>
        <v>6.0729999999999999E-2</v>
      </c>
      <c r="BG153">
        <f>BG102+BG126</f>
        <v>6.7540000000000003E-2</v>
      </c>
      <c r="BH153">
        <f>BH102+BH126</f>
        <v>7.6630000000000004E-2</v>
      </c>
      <c r="BI153">
        <f>BI102+BI126</f>
        <v>7.3930999999999997E-2</v>
      </c>
      <c r="BJ153">
        <f>BJ102+BJ126</f>
        <v>6.8080000000000002E-2</v>
      </c>
      <c r="BK153">
        <f>BK102+BK126</f>
        <v>7.2959999999999997E-2</v>
      </c>
      <c r="BL153">
        <f>BL102+BL126</f>
        <v>7.6549999999999993E-2</v>
      </c>
      <c r="BM153">
        <f>BM102+BM126</f>
        <v>6.1700000000000005E-2</v>
      </c>
      <c r="BN153">
        <f>BN102+BN126</f>
        <v>4.3800000000000006E-2</v>
      </c>
      <c r="BO153">
        <f>BO102+BO126</f>
        <v>2.3300000000000001E-2</v>
      </c>
      <c r="BP153">
        <f>BP102+BP126</f>
        <v>1.2999999999999998E-2</v>
      </c>
      <c r="BQ153">
        <f>BQ102+BQ126</f>
        <v>5.0999999999999934E-3</v>
      </c>
      <c r="BR153">
        <f>BR102+BR126</f>
        <v>6.1999999999999972E-3</v>
      </c>
      <c r="BS153">
        <f>BS102+BS126</f>
        <v>-2.7700000000000002E-2</v>
      </c>
      <c r="BT153">
        <f>BT102+BT126</f>
        <v>-5.5199999999999999E-2</v>
      </c>
      <c r="BU153">
        <f>BU102+BU126</f>
        <v>-4.1100000000000012E-2</v>
      </c>
      <c r="BV153">
        <f>BV102+BV126</f>
        <v>5.5799999999999995E-2</v>
      </c>
      <c r="BW153">
        <f>BW102+BW126</f>
        <v>8.2900000000000001E-2</v>
      </c>
      <c r="BX153">
        <f>BX102+BX126</f>
        <v>6.6400000000000015E-2</v>
      </c>
      <c r="BY153">
        <f>BY102+BY126</f>
        <v>4.1500000000000009E-2</v>
      </c>
      <c r="BZ153">
        <f>BZ102+BZ126</f>
        <v>6.93E-2</v>
      </c>
      <c r="CA153">
        <f>CA102+CA126</f>
        <v>7.1699999999999986E-2</v>
      </c>
      <c r="CB153">
        <f>CB102+CB126</f>
        <v>8.9699999999999988E-2</v>
      </c>
      <c r="CC153">
        <f>CC102+CC126</f>
        <v>8.199999999999999E-2</v>
      </c>
      <c r="CD153">
        <f>CD102+CD126</f>
        <v>4.7799999999999995E-2</v>
      </c>
      <c r="CE153">
        <f>CE102+CE126</f>
        <v>-0.10199999999999998</v>
      </c>
      <c r="CF153">
        <f>CF102+CF126</f>
        <v>-0.17200000000000001</v>
      </c>
      <c r="CG153">
        <f>CG102+CG126</f>
        <v>-0.16</v>
      </c>
      <c r="CH153">
        <f>CH102+CH126</f>
        <v>-4.4999999999999984E-2</v>
      </c>
      <c r="CI153">
        <f>CI102+CI126</f>
        <v>3.2000000000000015E-2</v>
      </c>
      <c r="CJ153">
        <f>CJ102+CJ126</f>
        <v>4.1999999999999996E-2</v>
      </c>
      <c r="CK153">
        <f>CK102+CK126</f>
        <v>-1.1999999999999983E-2</v>
      </c>
      <c r="CL153">
        <f>CL102+CL126</f>
        <v>-4.8999999999999988E-2</v>
      </c>
      <c r="CM153">
        <f>CM102+CM126</f>
        <v>-0.10799999999999998</v>
      </c>
      <c r="CN153">
        <f>CN102+CN126</f>
        <v>-0.13199999999999998</v>
      </c>
      <c r="CO153">
        <f>CO102+CO126</f>
        <v>-0.14499999999999999</v>
      </c>
      <c r="CP153">
        <f>CP102+CP126</f>
        <v>-8.8999999999999996E-2</v>
      </c>
      <c r="CQ153">
        <f>CQ102+CQ126</f>
        <v>-8.4999999999999992E-2</v>
      </c>
      <c r="CR153">
        <f>CR102+CR126</f>
        <v>-7.3999999999999982E-2</v>
      </c>
      <c r="CS153">
        <f>CS102+CS126</f>
        <v>2.1000000000000005E-2</v>
      </c>
      <c r="CT153">
        <f>CT102+CT126</f>
        <v>-7.7999999999999986E-2</v>
      </c>
      <c r="CU153">
        <f>CU102+CU126</f>
        <v>-0.11899999999999997</v>
      </c>
      <c r="CV153">
        <f>CV102+CV126</f>
        <v>-0.16600000000000001</v>
      </c>
      <c r="CW153">
        <f>CW102+CW126</f>
        <v>-6.4000000000000001E-2</v>
      </c>
      <c r="CX153">
        <f>CX102+CX126</f>
        <v>-0.12500000000000003</v>
      </c>
    </row>
    <row r="154" spans="1:102" x14ac:dyDescent="0.2">
      <c r="A154" t="s">
        <v>209</v>
      </c>
      <c r="B154" t="s">
        <v>220</v>
      </c>
      <c r="C154" t="s">
        <v>221</v>
      </c>
      <c r="D154">
        <f>D103+D127</f>
        <v>-9.9129999999999996E-2</v>
      </c>
      <c r="E154">
        <f>E103+E127</f>
        <v>-0.11583</v>
      </c>
      <c r="F154">
        <f>F103+F127</f>
        <v>4.5009999999999994E-2</v>
      </c>
      <c r="G154">
        <f>G103+G127</f>
        <v>-0.13354000000000002</v>
      </c>
      <c r="H154">
        <f>H103+H127</f>
        <v>0.13572000000000001</v>
      </c>
      <c r="I154">
        <f>I103+I127</f>
        <v>-6.0260000000000001E-2</v>
      </c>
      <c r="J154">
        <f>J103+J127</f>
        <v>7.3160000000000003E-2</v>
      </c>
      <c r="K154">
        <f>K103+K127</f>
        <v>8.6269999999999999E-2</v>
      </c>
      <c r="L154">
        <f>L103+L127</f>
        <v>3.848E-2</v>
      </c>
      <c r="M154">
        <f>M103+M127</f>
        <v>0.14913999999999999</v>
      </c>
      <c r="N154">
        <f>N103+N127</f>
        <v>0.19456000000000001</v>
      </c>
      <c r="O154">
        <f>O103+O127</f>
        <v>9.9080000000000001E-2</v>
      </c>
      <c r="P154">
        <f>P103+P127</f>
        <v>0.14540999999999998</v>
      </c>
      <c r="Q154">
        <f>Q103+Q127</f>
        <v>0.12048</v>
      </c>
      <c r="R154">
        <f>R103+R127</f>
        <v>8.1759999999999999E-2</v>
      </c>
      <c r="S154">
        <f>S103+S127</f>
        <v>6.3439999999999996E-2</v>
      </c>
      <c r="T154">
        <f>T103+T127</f>
        <v>3.5180000000000003E-2</v>
      </c>
      <c r="U154">
        <f>U103+U127</f>
        <v>2.4389999999999998E-2</v>
      </c>
      <c r="V154">
        <f>V103+V127</f>
        <v>6.2300000000000003E-3</v>
      </c>
      <c r="W154">
        <f>W103+W127</f>
        <v>9.5599999999999991E-3</v>
      </c>
      <c r="X154">
        <f>X103+X127</f>
        <v>1.644E-2</v>
      </c>
      <c r="Y154">
        <f>Y103+Y127</f>
        <v>2.9000000000000033E-4</v>
      </c>
      <c r="Z154">
        <f>Z103+Z127</f>
        <v>3.3189999999999999E-3</v>
      </c>
      <c r="AA154">
        <f>AA103+AA127</f>
        <v>1.933E-2</v>
      </c>
      <c r="AB154">
        <f>AB103+AB127</f>
        <v>1.7820000000000003E-2</v>
      </c>
      <c r="AC154">
        <f>AC103+AC127</f>
        <v>1.1820000000000001E-2</v>
      </c>
      <c r="AD154">
        <f>AD103+AD127</f>
        <v>1.499E-2</v>
      </c>
      <c r="AE154">
        <f>AE103+AE127</f>
        <v>1.6059999999999998E-2</v>
      </c>
      <c r="AF154">
        <f>AF103+AF127</f>
        <v>7.8600000000000007E-3</v>
      </c>
      <c r="AG154">
        <f>AG103+AG127</f>
        <v>6.2599999999999999E-3</v>
      </c>
      <c r="AH154">
        <f>AH103+AH127</f>
        <v>2.5919999999999999E-2</v>
      </c>
      <c r="AI154">
        <f>AI103+AI127</f>
        <v>2.4850000000000001E-2</v>
      </c>
      <c r="AJ154">
        <f>AJ103+AJ127</f>
        <v>1.7140000000000002E-2</v>
      </c>
      <c r="AK154">
        <f>AK103+AK127</f>
        <v>2.095E-2</v>
      </c>
      <c r="AL154">
        <f>AL103+AL127</f>
        <v>3.3979999999999996E-2</v>
      </c>
      <c r="AM154">
        <f>AM103+AM127</f>
        <v>2.886E-2</v>
      </c>
      <c r="AN154">
        <f>AN103+AN127</f>
        <v>3.3239999999999999E-2</v>
      </c>
      <c r="AO154">
        <f>AO103+AO127</f>
        <v>3.3120000000000004E-2</v>
      </c>
      <c r="AP154">
        <f>AP103+AP127</f>
        <v>5.3830000000000003E-2</v>
      </c>
      <c r="AQ154">
        <f>AQ103+AQ127</f>
        <v>6.8180000000000004E-2</v>
      </c>
      <c r="AR154">
        <f>AR103+AR127</f>
        <v>7.1300000000000002E-2</v>
      </c>
      <c r="AS154">
        <f>AS103+AS127</f>
        <v>6.8040000000000003E-2</v>
      </c>
      <c r="AT154">
        <f>AT103+AT127</f>
        <v>6.3670000000000004E-2</v>
      </c>
      <c r="AU154">
        <f>AU103+AU127</f>
        <v>6.5869999999999998E-2</v>
      </c>
      <c r="AV154">
        <f>AV103+AV127</f>
        <v>5.4440000000000002E-2</v>
      </c>
      <c r="AW154">
        <f>AW103+AW127</f>
        <v>3.1789999999999999E-2</v>
      </c>
      <c r="AX154">
        <f>AX103+AX127</f>
        <v>1.9999999999999185E-5</v>
      </c>
      <c r="AY154">
        <f>AY103+AY127</f>
        <v>-6.689999999999998E-3</v>
      </c>
      <c r="AZ154">
        <f>AZ103+AZ127</f>
        <v>-6.9799999999999984E-3</v>
      </c>
      <c r="BA154">
        <f>BA103+BA127</f>
        <v>-1.2700000000000001E-2</v>
      </c>
      <c r="BB154">
        <f>BB103+BB127</f>
        <v>8.0499999999999999E-3</v>
      </c>
      <c r="BC154">
        <f>BC103+BC127</f>
        <v>1.4829999999999999E-2</v>
      </c>
      <c r="BD154">
        <f>BD103+BD127</f>
        <v>2.3359999999999999E-2</v>
      </c>
      <c r="BE154">
        <f>BE103+BE127</f>
        <v>3.0899999999999997E-2</v>
      </c>
      <c r="BF154">
        <f>BF103+BF127</f>
        <v>4.6249999999999999E-2</v>
      </c>
      <c r="BG154">
        <f>BG103+BG127</f>
        <v>5.9020000000000003E-2</v>
      </c>
      <c r="BH154">
        <f>BH103+BH127</f>
        <v>6.9809999999999997E-2</v>
      </c>
      <c r="BI154">
        <f>BI103+BI127</f>
        <v>6.9099999999999995E-2</v>
      </c>
      <c r="BJ154">
        <f>BJ103+BJ127</f>
        <v>6.0800000000000007E-2</v>
      </c>
      <c r="BK154">
        <f>BK103+BK127</f>
        <v>7.2599999999999998E-2</v>
      </c>
      <c r="BL154">
        <f>BL103+BL127</f>
        <v>7.4699999999999989E-2</v>
      </c>
      <c r="BM154">
        <f>BM103+BM127</f>
        <v>7.1000000000000008E-2</v>
      </c>
      <c r="BN154">
        <f>BN103+BN127</f>
        <v>4.9399999999999999E-2</v>
      </c>
      <c r="BO154">
        <f>BO103+BO127</f>
        <v>2.7499999999999997E-2</v>
      </c>
      <c r="BP154">
        <f>BP103+BP127</f>
        <v>2.2800000000000001E-2</v>
      </c>
      <c r="BQ154">
        <f>BQ103+BQ127</f>
        <v>2.06E-2</v>
      </c>
      <c r="BR154">
        <f>BR103+BR127</f>
        <v>1.7739999999999999E-2</v>
      </c>
      <c r="BS154">
        <f>BS103+BS127</f>
        <v>-1.1800000000000001E-2</v>
      </c>
      <c r="BT154">
        <f>BT103+BT127</f>
        <v>-3.7199999999999997E-2</v>
      </c>
      <c r="BU154">
        <f>BU103+BU127</f>
        <v>-1.3299999999999998E-2</v>
      </c>
      <c r="BV154">
        <f>BV103+BV127</f>
        <v>0.1076</v>
      </c>
      <c r="BW154">
        <f>BW103+BW127</f>
        <v>0.14130000000000001</v>
      </c>
      <c r="BX154">
        <f>BX103+BX127</f>
        <v>0.1216</v>
      </c>
      <c r="BY154">
        <f>BY103+BY127</f>
        <v>0.11199999999999999</v>
      </c>
      <c r="BZ154">
        <f>BZ103+BZ127</f>
        <v>0.14219999999999999</v>
      </c>
      <c r="CA154">
        <f>CA103+CA127</f>
        <v>0.13689999999999999</v>
      </c>
      <c r="CB154">
        <f>CB103+CB127</f>
        <v>0.16469999999999999</v>
      </c>
      <c r="CC154">
        <f>CC103+CC127</f>
        <v>0.16069999999999998</v>
      </c>
      <c r="CD154">
        <f>CD103+CD127</f>
        <v>0.1142</v>
      </c>
      <c r="CE154">
        <f>CE103+CE127</f>
        <v>-2.8999999999999998E-2</v>
      </c>
      <c r="CF154">
        <f>CF103+CF127</f>
        <v>-8.1200000000000008E-2</v>
      </c>
      <c r="CG154">
        <f>CG103+CG127</f>
        <v>-6.2E-2</v>
      </c>
      <c r="CH154">
        <f>CH103+CH127</f>
        <v>4.2000000000000003E-2</v>
      </c>
      <c r="CI154">
        <f>CI103+CI127</f>
        <v>0.13300000000000001</v>
      </c>
      <c r="CJ154">
        <f>CJ103+CJ127</f>
        <v>0.16949999999999998</v>
      </c>
      <c r="CK154">
        <f>CK103+CK127</f>
        <v>0.1258</v>
      </c>
      <c r="CL154">
        <f>CL103+CL127</f>
        <v>7.6899999999999996E-2</v>
      </c>
      <c r="CM154">
        <f>CM103+CM127</f>
        <v>2.291E-2</v>
      </c>
      <c r="CN154">
        <f>CN103+CN127</f>
        <v>3.27E-2</v>
      </c>
      <c r="CO154">
        <f>CO103+CO127</f>
        <v>1.073E-2</v>
      </c>
      <c r="CP154">
        <f>CP103+CP127</f>
        <v>5.2999999999999999E-2</v>
      </c>
      <c r="CQ154">
        <f>CQ103+CQ127</f>
        <v>7.3099999999999998E-2</v>
      </c>
      <c r="CR154">
        <f>CR103+CR127</f>
        <v>0.14710000000000001</v>
      </c>
      <c r="CS154">
        <f>CS103+CS127</f>
        <v>0.24010000000000001</v>
      </c>
      <c r="CT154">
        <f>CT103+CT127</f>
        <v>0.158</v>
      </c>
      <c r="CU154">
        <f>CU103+CU127</f>
        <v>5.4199999999999998E-2</v>
      </c>
      <c r="CV154">
        <f>CV103+CV127</f>
        <v>8.4999999999999989E-3</v>
      </c>
      <c r="CW154">
        <f>CW103+CW127</f>
        <v>0.14230000000000001</v>
      </c>
      <c r="CX154">
        <f>CX103+CX127</f>
        <v>-2.76E-2</v>
      </c>
    </row>
    <row r="155" spans="1:102" x14ac:dyDescent="0.2">
      <c r="A155" t="s">
        <v>210</v>
      </c>
      <c r="B155" t="s">
        <v>220</v>
      </c>
      <c r="C155" t="s">
        <v>221</v>
      </c>
      <c r="D155">
        <f>D104+D128</f>
        <v>8.3069999999999991E-2</v>
      </c>
      <c r="E155">
        <f>E104+E128</f>
        <v>8.0060000000000006E-2</v>
      </c>
      <c r="F155">
        <f>F104+F128</f>
        <v>2.6030000000000001E-2</v>
      </c>
      <c r="G155">
        <f>G104+G128</f>
        <v>5.6250000000000001E-2</v>
      </c>
      <c r="H155">
        <f>H104+H128</f>
        <v>-3.3869999999999997E-2</v>
      </c>
      <c r="I155">
        <f>I104+I128</f>
        <v>1.8099999999999998E-2</v>
      </c>
      <c r="J155">
        <f>J104+J128</f>
        <v>-8.8599999999999998E-3</v>
      </c>
      <c r="K155">
        <f>K104+K128</f>
        <v>-1.108E-2</v>
      </c>
      <c r="L155">
        <f>L104+L128</f>
        <v>-2.281E-3</v>
      </c>
      <c r="M155">
        <f>M104+M128</f>
        <v>-2.4509999999999997E-2</v>
      </c>
      <c r="N155">
        <f>N104+N128</f>
        <v>-2.8049999999999999E-2</v>
      </c>
      <c r="O155">
        <f>O104+O128</f>
        <v>-1.1370000000000002E-2</v>
      </c>
      <c r="P155">
        <f>P104+P128</f>
        <v>-1.644E-2</v>
      </c>
      <c r="Q155">
        <f>Q104+Q128</f>
        <v>-1.1650000000000001E-2</v>
      </c>
      <c r="R155">
        <f>R104+R128</f>
        <v>-6.7399999999999995E-3</v>
      </c>
      <c r="S155">
        <f>S104+S128</f>
        <v>-3.0400000000000002E-3</v>
      </c>
      <c r="T155">
        <f>T104+T128</f>
        <v>2.32E-3</v>
      </c>
      <c r="U155">
        <f>U104+U128</f>
        <v>3.4499999999999999E-3</v>
      </c>
      <c r="V155">
        <f>V104+V128</f>
        <v>8.3499999999999998E-3</v>
      </c>
      <c r="W155">
        <f>W104+W128</f>
        <v>6.6E-3</v>
      </c>
      <c r="X155">
        <f>X104+X128</f>
        <v>4.3600000000000002E-3</v>
      </c>
      <c r="Y155">
        <f>Y104+Y128</f>
        <v>7.5000000000000006E-3</v>
      </c>
      <c r="Z155">
        <f>Z104+Z128</f>
        <v>6.2099999999999994E-3</v>
      </c>
      <c r="AA155">
        <f>AA104+AA128</f>
        <v>6.150000000000001E-3</v>
      </c>
      <c r="AB155">
        <f>AB104+AB128</f>
        <v>8.5199999999999998E-3</v>
      </c>
      <c r="AC155">
        <f>AC104+AC128</f>
        <v>1.0600000000000002E-2</v>
      </c>
      <c r="AD155">
        <f>AD104+AD128</f>
        <v>1.1430000000000001E-2</v>
      </c>
      <c r="AE155">
        <f>AE104+AE128</f>
        <v>1.1259999999999999E-2</v>
      </c>
      <c r="AF155">
        <f>AF104+AF128</f>
        <v>1.315E-2</v>
      </c>
      <c r="AG155">
        <f>AG104+AG128</f>
        <v>1.2670000000000001E-2</v>
      </c>
      <c r="AH155">
        <f>AH104+AH128</f>
        <v>1.17E-2</v>
      </c>
      <c r="AI155">
        <f>AI104+AI128</f>
        <v>1.3270000000000001E-2</v>
      </c>
      <c r="AJ155">
        <f>AJ104+AJ128</f>
        <v>1.737E-2</v>
      </c>
      <c r="AK155">
        <f>AK104+AK128</f>
        <v>1.6730000000000002E-2</v>
      </c>
      <c r="AL155">
        <f>AL104+AL128</f>
        <v>1.5790000000000002E-2</v>
      </c>
      <c r="AM155">
        <f>AM104+AM128</f>
        <v>1.61E-2</v>
      </c>
      <c r="AN155">
        <f>AN104+AN128</f>
        <v>1.762E-2</v>
      </c>
      <c r="AO155">
        <f>AO104+AO128</f>
        <v>1.8110000000000001E-2</v>
      </c>
      <c r="AP155">
        <f>AP104+AP128</f>
        <v>1.5439999999999999E-2</v>
      </c>
      <c r="AQ155">
        <f>AQ104+AQ128</f>
        <v>1.206E-2</v>
      </c>
      <c r="AR155">
        <f>AR104+AR128</f>
        <v>1.2070000000000001E-2</v>
      </c>
      <c r="AS155">
        <f>AS104+AS128</f>
        <v>1.2749999999999999E-2</v>
      </c>
      <c r="AT155">
        <f>AT104+AT128</f>
        <v>1.2109999999999999E-2</v>
      </c>
      <c r="AU155">
        <f>AU104+AU128</f>
        <v>1.1209999999999999E-2</v>
      </c>
      <c r="AV155">
        <f>AV104+AV128</f>
        <v>1.389E-2</v>
      </c>
      <c r="AW155">
        <f>AW104+AW128</f>
        <v>2.0400000000000001E-2</v>
      </c>
      <c r="AX155">
        <f>AX104+AX128</f>
        <v>2.5920000000000002E-2</v>
      </c>
      <c r="AY155">
        <f>AY104+AY128</f>
        <v>2.673E-2</v>
      </c>
      <c r="AZ155">
        <f>AZ104+AZ128</f>
        <v>2.5160000000000002E-2</v>
      </c>
      <c r="BA155">
        <f>BA104+BA128</f>
        <v>2.4969999999999999E-2</v>
      </c>
      <c r="BB155">
        <f>BB104+BB128</f>
        <v>2.3239999999999997E-2</v>
      </c>
      <c r="BC155">
        <f>BC104+BC128</f>
        <v>2.0420000000000001E-2</v>
      </c>
      <c r="BD155">
        <f>BD104+BD128</f>
        <v>1.6040000000000002E-2</v>
      </c>
      <c r="BE155">
        <f>BE104+BE128</f>
        <v>1.4930000000000001E-2</v>
      </c>
      <c r="BF155">
        <f>BF104+BF128</f>
        <v>1.15E-2</v>
      </c>
      <c r="BG155">
        <f>BG104+BG128</f>
        <v>8.43E-3</v>
      </c>
      <c r="BH155">
        <f>BH104+BH128</f>
        <v>4.1200000000000004E-3</v>
      </c>
      <c r="BI155">
        <f>BI104+BI128</f>
        <v>6.2000000000000006E-3</v>
      </c>
      <c r="BJ155">
        <f>BJ104+BJ128</f>
        <v>9.470000000000001E-3</v>
      </c>
      <c r="BK155">
        <f>BK104+BK128</f>
        <v>8.8100000000000019E-3</v>
      </c>
      <c r="BL155">
        <f>BL104+BL128</f>
        <v>6.8999999999999999E-3</v>
      </c>
      <c r="BM155">
        <f>BM104+BM128</f>
        <v>9.6900000000000007E-3</v>
      </c>
      <c r="BN155">
        <f>BN104+BN128</f>
        <v>1.2109999999999999E-2</v>
      </c>
      <c r="BO155">
        <f>BO104+BO128</f>
        <v>1.617E-2</v>
      </c>
      <c r="BP155">
        <f>BP104+BP128</f>
        <v>1.891E-2</v>
      </c>
      <c r="BQ155">
        <f>BQ104+BQ128</f>
        <v>1.9009999999999999E-2</v>
      </c>
      <c r="BR155">
        <f>BR104+BR128</f>
        <v>1.746E-2</v>
      </c>
      <c r="BS155">
        <f>BS104+BS128</f>
        <v>2.2800000000000001E-2</v>
      </c>
      <c r="BT155">
        <f>BT104+BT128</f>
        <v>2.7270000000000003E-2</v>
      </c>
      <c r="BU155">
        <f>BU104+BU128</f>
        <v>2.3699999999999999E-2</v>
      </c>
      <c r="BV155">
        <f>BV104+BV128</f>
        <v>1.4800000000000004E-3</v>
      </c>
      <c r="BW155">
        <f>BW104+BW128</f>
        <v>-2.1700000000000001E-3</v>
      </c>
      <c r="BX155">
        <f>BX104+BX128</f>
        <v>1.9599999999999999E-3</v>
      </c>
      <c r="BY155">
        <f>BY104+BY128</f>
        <v>4.6800000000000001E-3</v>
      </c>
      <c r="BZ155">
        <f>BZ104+BZ128</f>
        <v>-2.2599999999999999E-3</v>
      </c>
      <c r="CA155">
        <f>CA104+CA128</f>
        <v>-3.1619999999999999E-3</v>
      </c>
      <c r="CB155">
        <f>CB104+CB128</f>
        <v>-9.049999999999999E-3</v>
      </c>
      <c r="CC155">
        <f>CC104+CC128</f>
        <v>-1.338E-2</v>
      </c>
      <c r="CD155">
        <f>CD104+CD128</f>
        <v>-5.2300000000000003E-3</v>
      </c>
      <c r="CE155">
        <f>CE104+CE128</f>
        <v>2.622E-2</v>
      </c>
      <c r="CF155">
        <f>CF104+CF128</f>
        <v>3.6969999999999996E-2</v>
      </c>
      <c r="CG155">
        <f>CG104+CG128</f>
        <v>3.2129999999999999E-2</v>
      </c>
      <c r="CH155">
        <f>CH104+CH128</f>
        <v>7.5799999999999999E-3</v>
      </c>
      <c r="CI155">
        <f>CI104+CI128</f>
        <v>-7.2300000000000003E-3</v>
      </c>
      <c r="CJ155">
        <f>CJ104+CJ128</f>
        <v>-1.5910000000000001E-2</v>
      </c>
      <c r="CK155">
        <f>CK104+CK128</f>
        <v>-5.6600000000000001E-3</v>
      </c>
      <c r="CL155">
        <f>CL104+CL128</f>
        <v>3.0600000000000002E-3</v>
      </c>
      <c r="CM155">
        <f>CM104+CM128</f>
        <v>8.0800000000000004E-3</v>
      </c>
      <c r="CN155">
        <f>CN104+CN128</f>
        <v>6.4299999999999991E-3</v>
      </c>
      <c r="CO155">
        <f>CO104+CO128</f>
        <v>1.2489999999999998E-2</v>
      </c>
      <c r="CP155">
        <f>CP104+CP128</f>
        <v>-6.0000000000000001E-3</v>
      </c>
      <c r="CQ155">
        <f>CQ104+CQ128</f>
        <v>-1.325E-2</v>
      </c>
      <c r="CR155">
        <f>CR104+CR128</f>
        <v>-2.947E-2</v>
      </c>
      <c r="CS155">
        <f>CS104+CS128</f>
        <v>-5.9889999999999999E-2</v>
      </c>
      <c r="CT155">
        <f>CT104+CT128</f>
        <v>-3.492E-2</v>
      </c>
      <c r="CU155">
        <f>CU104+CU128</f>
        <v>-2.3119999999999998E-2</v>
      </c>
      <c r="CV155">
        <f>CV104+CV128</f>
        <v>2.3800000000000002E-3</v>
      </c>
      <c r="CW155">
        <f>CW104+CW128</f>
        <v>-4.641E-2</v>
      </c>
      <c r="CX155">
        <f>CX104+CX128</f>
        <v>1.992E-2</v>
      </c>
    </row>
    <row r="156" spans="1:102" x14ac:dyDescent="0.2">
      <c r="A156" t="s">
        <v>211</v>
      </c>
      <c r="B156" t="s">
        <v>220</v>
      </c>
      <c r="C156" t="s">
        <v>221</v>
      </c>
      <c r="D156">
        <f>D105+D129</f>
        <v>2.9099999999999994E-3</v>
      </c>
      <c r="E156">
        <f>E105+E129</f>
        <v>-8.9300000000000013E-4</v>
      </c>
      <c r="F156">
        <f>F105+F129</f>
        <v>-1.1609999999999999E-2</v>
      </c>
      <c r="G156">
        <f>G105+G129</f>
        <v>8.9499999999999996E-3</v>
      </c>
      <c r="H156">
        <f>H105+H129</f>
        <v>-1.644E-2</v>
      </c>
      <c r="I156">
        <f>I105+I129</f>
        <v>-2.4299999999999999E-3</v>
      </c>
      <c r="J156">
        <f>J105+J129</f>
        <v>-6.8800000000000007E-3</v>
      </c>
      <c r="K156">
        <f>K105+K129</f>
        <v>-2.8900000000000002E-3</v>
      </c>
      <c r="L156">
        <f>L105+L129</f>
        <v>6.4500000000000009E-3</v>
      </c>
      <c r="M156">
        <f>M105+M129</f>
        <v>-2.3699999999999997E-3</v>
      </c>
      <c r="N156">
        <f>N105+N129</f>
        <v>-6.0089999999999996E-3</v>
      </c>
      <c r="O156">
        <f>O105+O129</f>
        <v>-4.0559999999999997E-3</v>
      </c>
      <c r="P156">
        <f>P105+P129</f>
        <v>-4.1640000000000002E-3</v>
      </c>
      <c r="Q156">
        <f>Q105+Q129</f>
        <v>2.5999999999999981E-5</v>
      </c>
      <c r="R156">
        <f>R105+R129</f>
        <v>7.899999999999999E-4</v>
      </c>
      <c r="S156">
        <f>S105+S129</f>
        <v>-2.4229999999999998E-3</v>
      </c>
      <c r="T156">
        <f>T105+T129</f>
        <v>-2.1700000000000002E-4</v>
      </c>
      <c r="U156">
        <f>U105+U129</f>
        <v>7.0100000000000013E-4</v>
      </c>
      <c r="V156">
        <f>V105+V129</f>
        <v>2.3959999999999997E-3</v>
      </c>
      <c r="W156">
        <f>W105+W129</f>
        <v>1.781E-3</v>
      </c>
      <c r="X156">
        <f>X105+X129</f>
        <v>-1.0549999999999999E-3</v>
      </c>
      <c r="Y156">
        <f>Y105+Y129</f>
        <v>1.8050000000000002E-3</v>
      </c>
      <c r="Z156">
        <f>Z105+Z129</f>
        <v>-4.1000000000000021E-5</v>
      </c>
      <c r="AA156">
        <f>AA105+AA129</f>
        <v>2.0990000000000002E-3</v>
      </c>
      <c r="AB156">
        <f>AB105+AB129</f>
        <v>6.2789999999999999E-3</v>
      </c>
      <c r="AC156">
        <f>AC105+AC129</f>
        <v>6.9909999999999998E-3</v>
      </c>
      <c r="AD156">
        <f>AD105+AD129</f>
        <v>6.6059999999999999E-3</v>
      </c>
      <c r="AE156">
        <f>AE105+AE129</f>
        <v>5.3349999999999995E-3</v>
      </c>
      <c r="AF156">
        <f>AF105+AF129</f>
        <v>3.5200000000000006E-3</v>
      </c>
      <c r="AG156">
        <f>AG105+AG129</f>
        <v>3.6899999999999997E-3</v>
      </c>
      <c r="AH156">
        <f>AH105+AH129</f>
        <v>3.4099999999999998E-3</v>
      </c>
      <c r="AI156">
        <f>AI105+AI129</f>
        <v>3.5099999999999997E-3</v>
      </c>
      <c r="AJ156">
        <f>AJ105+AJ129</f>
        <v>4.4900000000000009E-3</v>
      </c>
      <c r="AK156">
        <f>AK105+AK129</f>
        <v>3.2499999999999994E-3</v>
      </c>
      <c r="AL156">
        <f>AL105+AL129</f>
        <v>2.0799999999999998E-3</v>
      </c>
      <c r="AM156">
        <f>AM105+AM129</f>
        <v>3.0200000000000001E-3</v>
      </c>
      <c r="AN156">
        <f>AN105+AN129</f>
        <v>2.7000000000000006E-4</v>
      </c>
      <c r="AO156">
        <f>AO105+AO129</f>
        <v>-8.5100000000000009E-4</v>
      </c>
      <c r="AP156">
        <f>AP105+AP129</f>
        <v>-1.217E-3</v>
      </c>
      <c r="AQ156">
        <f>AQ105+AQ129</f>
        <v>-4.0499999999999998E-3</v>
      </c>
      <c r="AR156">
        <f>AR105+AR129</f>
        <v>-1.521E-3</v>
      </c>
      <c r="AS156">
        <f>AS105+AS129</f>
        <v>-7.3899999999999997E-4</v>
      </c>
      <c r="AT156">
        <f>AT105+AT129</f>
        <v>-2.1949999999999999E-3</v>
      </c>
      <c r="AU156">
        <f>AU105+AU129</f>
        <v>-4.1799999999999997E-3</v>
      </c>
      <c r="AV156">
        <f>AV105+AV129</f>
        <v>-6.4999999999999997E-3</v>
      </c>
      <c r="AW156">
        <f>AW105+AW129</f>
        <v>-5.1900000000000002E-3</v>
      </c>
      <c r="AX156">
        <f>AX105+AX129</f>
        <v>-2.336E-3</v>
      </c>
      <c r="AY156">
        <f>AY105+AY129</f>
        <v>-1.9949999999999998E-3</v>
      </c>
      <c r="AZ156">
        <f>AZ105+AZ129</f>
        <v>-2.447E-3</v>
      </c>
      <c r="BA156">
        <f>BA105+BA129</f>
        <v>-5.5399999999999998E-3</v>
      </c>
      <c r="BB156">
        <f>BB105+BB129</f>
        <v>-6.7499999999999991E-3</v>
      </c>
      <c r="BC156">
        <f>BC105+BC129</f>
        <v>-8.1899999999999994E-3</v>
      </c>
      <c r="BD156">
        <f>BD105+BD129</f>
        <v>-3.5100000000000001E-3</v>
      </c>
      <c r="BE156">
        <f>BE105+BE129</f>
        <v>-6.43E-3</v>
      </c>
      <c r="BF156">
        <f>BF105+BF129</f>
        <v>-1.562E-2</v>
      </c>
      <c r="BG156">
        <f>BG105+BG129</f>
        <v>-1.2699999999999999E-2</v>
      </c>
      <c r="BH156">
        <f>BH105+BH129</f>
        <v>-1.7399999999999999E-2</v>
      </c>
      <c r="BI156">
        <f>BI105+BI129</f>
        <v>-1.7419999999999998E-2</v>
      </c>
      <c r="BJ156">
        <f>BJ105+BJ129</f>
        <v>-1.5779999999999999E-2</v>
      </c>
      <c r="BK156">
        <f>BK105+BK129</f>
        <v>-1.7229999999999999E-2</v>
      </c>
      <c r="BL156">
        <f>BL105+BL129</f>
        <v>-2.001E-2</v>
      </c>
      <c r="BM156">
        <f>BM105+BM129</f>
        <v>-1.847E-2</v>
      </c>
      <c r="BN156">
        <f>BN105+BN129</f>
        <v>-1.653E-2</v>
      </c>
      <c r="BO156">
        <f>BO105+BO129</f>
        <v>-1.3340000000000001E-2</v>
      </c>
      <c r="BP156">
        <f>BP105+BP129</f>
        <v>-5.96E-3</v>
      </c>
      <c r="BQ156">
        <f>BQ105+BQ129</f>
        <v>-8.6800000000000002E-3</v>
      </c>
      <c r="BR156">
        <f>BR105+BR129</f>
        <v>-6.2599999999999999E-3</v>
      </c>
      <c r="BS156">
        <f>BS105+BS129</f>
        <v>1.34E-3</v>
      </c>
      <c r="BT156">
        <f>BT105+BT129</f>
        <v>1.01E-3</v>
      </c>
      <c r="BU156">
        <f>BU105+BU129</f>
        <v>-4.8599999999999997E-3</v>
      </c>
      <c r="BV156">
        <f>BV105+BV129</f>
        <v>-1.984E-2</v>
      </c>
      <c r="BW156">
        <f>BW105+BW129</f>
        <v>-2.6159999999999999E-2</v>
      </c>
      <c r="BX156">
        <f>BX105+BX129</f>
        <v>-2.172E-2</v>
      </c>
      <c r="BY156">
        <f>BY105+BY129</f>
        <v>-1.9210000000000001E-2</v>
      </c>
      <c r="BZ156">
        <f>BZ105+BZ129</f>
        <v>-2.5999999999999999E-2</v>
      </c>
      <c r="CA156">
        <f>CA105+CA129</f>
        <v>-1.89E-2</v>
      </c>
      <c r="CB156">
        <f>CB105+CB129</f>
        <v>-2.545E-2</v>
      </c>
      <c r="CC156">
        <f>CC105+CC129</f>
        <v>-2.6249999999999999E-2</v>
      </c>
      <c r="CD156">
        <f>CD105+CD129</f>
        <v>-3.3000000000000002E-2</v>
      </c>
      <c r="CE156">
        <f>CE105+CE129</f>
        <v>-1.2029999999999999E-2</v>
      </c>
      <c r="CF156">
        <f>CF105+CF129</f>
        <v>1.3499999999999996E-3</v>
      </c>
      <c r="CG156">
        <f>CG105+CG129</f>
        <v>-2.0200000000000001E-3</v>
      </c>
      <c r="CH156">
        <f>CH105+CH129</f>
        <v>-1.307E-2</v>
      </c>
      <c r="CI156">
        <f>CI105+CI129</f>
        <v>-2.649E-2</v>
      </c>
      <c r="CJ156">
        <f>CJ105+CJ129</f>
        <v>-3.5230000000000004E-2</v>
      </c>
      <c r="CK156">
        <f>CK105+CK129</f>
        <v>-2.6590000000000003E-2</v>
      </c>
      <c r="CL156">
        <f>CL105+CL129</f>
        <v>-1.0839999999999999E-2</v>
      </c>
      <c r="CM156">
        <f>CM105+CM129</f>
        <v>-6.5100000000000002E-3</v>
      </c>
      <c r="CN156">
        <f>CN105+CN129</f>
        <v>-1.6369999999999999E-2</v>
      </c>
      <c r="CO156">
        <f>CO105+CO129</f>
        <v>-8.2100000000000003E-3</v>
      </c>
      <c r="CP156">
        <f>CP105+CP129</f>
        <v>-5.4079999999999996E-3</v>
      </c>
      <c r="CQ156">
        <f>CQ105+CQ129</f>
        <v>-1.5010000000000001E-2</v>
      </c>
      <c r="CR156">
        <f>CR105+CR129</f>
        <v>-2.3089999999999999E-2</v>
      </c>
      <c r="CS156">
        <f>CS105+CS129</f>
        <v>-4.8649999999999999E-2</v>
      </c>
      <c r="CT156">
        <f>CT105+CT129</f>
        <v>-3.8980000000000001E-2</v>
      </c>
      <c r="CU156">
        <f>CU105+CU129</f>
        <v>-2.2179999999999998E-2</v>
      </c>
      <c r="CV156">
        <f>CV105+CV129</f>
        <v>-3.3300000000000001E-3</v>
      </c>
      <c r="CW156">
        <f>CW105+CW129</f>
        <v>-3.5290000000000002E-2</v>
      </c>
      <c r="CX156">
        <f>CX105+CX129</f>
        <v>8.0099999999999998E-3</v>
      </c>
    </row>
    <row r="157" spans="1:102" x14ac:dyDescent="0.2">
      <c r="A157" t="s">
        <v>212</v>
      </c>
      <c r="B157" t="s">
        <v>220</v>
      </c>
      <c r="C157" t="s">
        <v>221</v>
      </c>
      <c r="D157">
        <f>D106+D130</f>
        <v>4.2450000000000002E-2</v>
      </c>
      <c r="E157">
        <f>E106+E130</f>
        <v>2.4939999999999997E-2</v>
      </c>
      <c r="F157">
        <f>F106+F130</f>
        <v>-9.7000000000000038E-4</v>
      </c>
      <c r="G157">
        <f>G106+G130</f>
        <v>2.9509999999999998E-2</v>
      </c>
      <c r="H157">
        <f>H106+H130</f>
        <v>-1.166E-2</v>
      </c>
      <c r="I157">
        <f>I106+I130</f>
        <v>9.4599999999999997E-3</v>
      </c>
      <c r="J157">
        <f>J106+J130</f>
        <v>-1.2600000000000007E-3</v>
      </c>
      <c r="K157">
        <f>K106+K130</f>
        <v>-1.6900000000000005E-3</v>
      </c>
      <c r="L157">
        <f>L106+L130</f>
        <v>2.5700000000000002E-3</v>
      </c>
      <c r="M157">
        <f>M106+M130</f>
        <v>-8.5199999999999998E-3</v>
      </c>
      <c r="N157">
        <f>N106+N130</f>
        <v>-1.052E-2</v>
      </c>
      <c r="O157">
        <f>O106+O130</f>
        <v>-2.4399999999999999E-3</v>
      </c>
      <c r="P157">
        <f>P106+P130</f>
        <v>-4.6900000000000006E-3</v>
      </c>
      <c r="Q157">
        <f>Q106+Q130</f>
        <v>-2.9399999999999999E-3</v>
      </c>
      <c r="R157">
        <f>R106+R130</f>
        <v>-1.8500000000000001E-3</v>
      </c>
      <c r="S157">
        <f>S106+S130</f>
        <v>-1.4800000000000002E-3</v>
      </c>
      <c r="T157">
        <f>T106+T130</f>
        <v>-5.3000000000000009E-4</v>
      </c>
      <c r="U157">
        <f>U106+U130</f>
        <v>-3.700000000000001E-4</v>
      </c>
      <c r="V157">
        <f>V106+V130</f>
        <v>1.1113000000000002E-3</v>
      </c>
      <c r="W157">
        <f>W106+W130</f>
        <v>9.01E-4</v>
      </c>
      <c r="X157">
        <f>X106+X130</f>
        <v>1.0487000000000001E-3</v>
      </c>
      <c r="Y157">
        <f>Y106+Y130</f>
        <v>1.7669999999999999E-3</v>
      </c>
      <c r="Z157">
        <f>Z106+Z130</f>
        <v>1.374E-3</v>
      </c>
      <c r="AA157">
        <f>AA106+AA130</f>
        <v>1.606E-3</v>
      </c>
      <c r="AB157">
        <f>AB106+AB130</f>
        <v>2.0709999999999999E-3</v>
      </c>
      <c r="AC157">
        <f>AC106+AC130</f>
        <v>1.98E-3</v>
      </c>
      <c r="AD157">
        <f>AD106+AD130</f>
        <v>1.8549999999999999E-3</v>
      </c>
      <c r="AE157">
        <f>AE106+AE130</f>
        <v>1.596E-3</v>
      </c>
      <c r="AF157">
        <f>AF106+AF130</f>
        <v>1.219E-3</v>
      </c>
      <c r="AG157">
        <f>AG106+AG130</f>
        <v>2.5399999999999999E-4</v>
      </c>
      <c r="AH157">
        <f>AH106+AH130</f>
        <v>1.1499999999999998E-4</v>
      </c>
      <c r="AI157">
        <f>AI106+AI130</f>
        <v>4.1699999999999994E-4</v>
      </c>
      <c r="AJ157">
        <f>AJ106+AJ130</f>
        <v>1.4550000000000001E-3</v>
      </c>
      <c r="AK157">
        <f>AK106+AK130</f>
        <v>1.475E-3</v>
      </c>
      <c r="AL157">
        <f>AL106+AL130</f>
        <v>9.2800000000000011E-4</v>
      </c>
      <c r="AM157">
        <f>AM106+AM130</f>
        <v>7.7500000000000008E-4</v>
      </c>
      <c r="AN157">
        <f>AN106+AN130</f>
        <v>5.5699999999999999E-4</v>
      </c>
      <c r="AO157">
        <f>AO106+AO130</f>
        <v>6.4500000000000007E-4</v>
      </c>
      <c r="AP157">
        <f>AP106+AP130</f>
        <v>7.2300000000000001E-4</v>
      </c>
      <c r="AQ157">
        <f>AQ106+AQ130</f>
        <v>1.206E-3</v>
      </c>
      <c r="AR157">
        <f>AR106+AR130</f>
        <v>1.39E-3</v>
      </c>
      <c r="AS157">
        <f>AS106+AS130</f>
        <v>9.278E-4</v>
      </c>
      <c r="AT157">
        <f>AT106+AT130</f>
        <v>1.042E-3</v>
      </c>
      <c r="AU157">
        <f>AU106+AU130</f>
        <v>1.2769999999999999E-3</v>
      </c>
      <c r="AV157">
        <f>AV106+AV130</f>
        <v>5.6899999999999995E-4</v>
      </c>
      <c r="AW157">
        <f>AW106+AW130</f>
        <v>9.8689999999999997E-4</v>
      </c>
      <c r="AX157">
        <f>AX106+AX130</f>
        <v>1.4220000000000001E-3</v>
      </c>
      <c r="AY157">
        <f>AY106+AY130</f>
        <v>1.444E-3</v>
      </c>
      <c r="AZ157">
        <f>AZ106+AZ130</f>
        <v>1.3179999999999999E-3</v>
      </c>
      <c r="BA157">
        <f>BA106+BA130</f>
        <v>1.346E-3</v>
      </c>
      <c r="BB157">
        <f>BB106+BB130</f>
        <v>1.1689999999999999E-3</v>
      </c>
      <c r="BC157">
        <f>BC106+BC130</f>
        <v>9.8830000000000012E-4</v>
      </c>
      <c r="BD157">
        <f>BD106+BD130</f>
        <v>1.1330000000000001E-3</v>
      </c>
      <c r="BE157">
        <f>BE106+BE130</f>
        <v>1.0040000000000001E-3</v>
      </c>
      <c r="BF157">
        <f>BF106+BF130</f>
        <v>2.5000000000000001E-4</v>
      </c>
      <c r="BG157">
        <f>BG106+BG130</f>
        <v>6.3699999999999998E-4</v>
      </c>
      <c r="BH157">
        <f>BH106+BH130</f>
        <v>6.4900000000000005E-4</v>
      </c>
      <c r="BI157">
        <f>BI106+BI130</f>
        <v>6.8800000000000003E-4</v>
      </c>
      <c r="BJ157">
        <f>BJ106+BJ130</f>
        <v>6.0500000000000007E-4</v>
      </c>
      <c r="BK157">
        <f>BK106+BK130</f>
        <v>9.7499999999999996E-4</v>
      </c>
      <c r="BL157">
        <f>BL106+BL130</f>
        <v>6.87E-4</v>
      </c>
      <c r="BM157">
        <f>BM106+BM130</f>
        <v>1.029E-3</v>
      </c>
      <c r="BN157">
        <f>BN106+BN130</f>
        <v>1.227E-3</v>
      </c>
      <c r="BO157">
        <f>BO106+BO130</f>
        <v>2.0249999999999999E-3</v>
      </c>
      <c r="BP157">
        <f>BP106+BP130</f>
        <v>1.882E-3</v>
      </c>
      <c r="BQ157">
        <f>BQ106+BQ130</f>
        <v>1.81E-3</v>
      </c>
      <c r="BR157">
        <f>BR106+BR130</f>
        <v>1.5999999999999999E-3</v>
      </c>
      <c r="BS157">
        <f>BS106+BS130</f>
        <v>1.66E-3</v>
      </c>
      <c r="BT157">
        <f>BT106+BT130</f>
        <v>2.7239999999999999E-3</v>
      </c>
      <c r="BU157">
        <f>BU106+BU130</f>
        <v>2.496E-3</v>
      </c>
      <c r="BV157">
        <f>BV106+BV130</f>
        <v>4.7800000000000002E-4</v>
      </c>
      <c r="BW157">
        <f>BW106+BW130</f>
        <v>1.1070000000000001E-3</v>
      </c>
      <c r="BX157">
        <f>BX106+BX130</f>
        <v>1.348E-3</v>
      </c>
      <c r="BY157">
        <f>BY106+BY130</f>
        <v>1.0790000000000001E-3</v>
      </c>
      <c r="BZ157">
        <f>BZ106+BZ130</f>
        <v>1.145E-3</v>
      </c>
      <c r="CA157">
        <f>CA106+CA130</f>
        <v>1.565E-3</v>
      </c>
      <c r="CB157">
        <f>CB106+CB130</f>
        <v>1.4109999999999999E-3</v>
      </c>
      <c r="CC157">
        <f>CC106+CC130</f>
        <v>1.2509999999999999E-3</v>
      </c>
      <c r="CD157">
        <f>CD106+CD130</f>
        <v>7.6520000000000006E-4</v>
      </c>
      <c r="CE157">
        <f>CE106+CE130</f>
        <v>2.7390000000000001E-3</v>
      </c>
      <c r="CF157">
        <f>CF106+CF130</f>
        <v>3.2949999999999998E-3</v>
      </c>
      <c r="CG157">
        <f>CG106+CG130</f>
        <v>3.4319999999999997E-3</v>
      </c>
      <c r="CH157">
        <f>CH106+CH130</f>
        <v>1.9469999999999999E-3</v>
      </c>
      <c r="CI157">
        <f>CI106+CI130</f>
        <v>7.4673999999999997E-4</v>
      </c>
      <c r="CJ157">
        <f>CJ106+CJ130</f>
        <v>-3.2500000000000009E-4</v>
      </c>
      <c r="CK157">
        <f>CK106+CK130</f>
        <v>8.5099999999999998E-4</v>
      </c>
      <c r="CL157">
        <f>CL106+CL130</f>
        <v>4.2499999999999998E-4</v>
      </c>
      <c r="CM157">
        <f>CM106+CM130</f>
        <v>1.341E-3</v>
      </c>
      <c r="CN157">
        <f>CN106+CN130</f>
        <v>1.3519999999999999E-3</v>
      </c>
      <c r="CO157">
        <f>CO106+CO130</f>
        <v>1.67E-3</v>
      </c>
      <c r="CP157">
        <f>CP106+CP130</f>
        <v>6.5309999999999999E-4</v>
      </c>
      <c r="CQ157">
        <f>CQ106+CQ130</f>
        <v>2.8200000000000002E-4</v>
      </c>
      <c r="CR157">
        <f>CR106+CR130</f>
        <v>-3.0999999999999995E-4</v>
      </c>
      <c r="CS157">
        <f>CS106+CS130</f>
        <v>-2.578E-3</v>
      </c>
      <c r="CT157">
        <f>CT106+CT130</f>
        <v>-1.8810000000000003E-3</v>
      </c>
      <c r="CU157">
        <f>CU106+CU130</f>
        <v>-2.3160000000000004E-3</v>
      </c>
      <c r="CV157">
        <f>CV106+CV130</f>
        <v>-1.1609999999999999E-3</v>
      </c>
      <c r="CW157">
        <f>CW106+CW130</f>
        <v>-6.5299999999999993E-4</v>
      </c>
      <c r="CX157">
        <f>CX106+CX130</f>
        <v>4.9949999999999994E-3</v>
      </c>
    </row>
    <row r="158" spans="1:102" x14ac:dyDescent="0.2">
      <c r="A158" t="s">
        <v>213</v>
      </c>
      <c r="B158" t="s">
        <v>220</v>
      </c>
      <c r="C158" t="s">
        <v>221</v>
      </c>
      <c r="D158">
        <f>D107+D131</f>
        <v>-0.16490000000000002</v>
      </c>
      <c r="E158">
        <f>E107+E131</f>
        <v>-0.16270000000000001</v>
      </c>
      <c r="F158">
        <f>F107+F131</f>
        <v>-2.717E-2</v>
      </c>
      <c r="G158">
        <f>G107+G131</f>
        <v>-0.18359999999999999</v>
      </c>
      <c r="H158">
        <f>H107+H131</f>
        <v>9.9299999999999999E-2</v>
      </c>
      <c r="I158">
        <f>I107+I131</f>
        <v>-0.10009999999999999</v>
      </c>
      <c r="J158">
        <f>J107+J131</f>
        <v>1.8300000000000004E-2</v>
      </c>
      <c r="K158">
        <f>K107+K131</f>
        <v>9.3000000000000027E-3</v>
      </c>
      <c r="L158">
        <f>L107+L131</f>
        <v>-1.8199999999999997E-2</v>
      </c>
      <c r="M158">
        <f>M107+M131</f>
        <v>0.11449999999999999</v>
      </c>
      <c r="N158">
        <f>N107+N131</f>
        <v>0.15920000000000001</v>
      </c>
      <c r="O158">
        <f>O107+O131</f>
        <v>7.6800000000000007E-2</v>
      </c>
      <c r="P158">
        <f>P107+P131</f>
        <v>0.1303</v>
      </c>
      <c r="Q158">
        <f>Q107+Q131</f>
        <v>0.1255</v>
      </c>
      <c r="R158">
        <f>R107+R131</f>
        <v>0.1086</v>
      </c>
      <c r="S158">
        <f>S107+S131</f>
        <v>7.7100000000000002E-2</v>
      </c>
      <c r="T158">
        <f>T107+T131</f>
        <v>5.6400000000000006E-2</v>
      </c>
      <c r="U158">
        <f>U107+U131</f>
        <v>4.7789999999999999E-2</v>
      </c>
      <c r="V158">
        <f>V107+V131</f>
        <v>3.5659999999999997E-2</v>
      </c>
      <c r="W158">
        <f>W107+W131</f>
        <v>3.1170000000000003E-2</v>
      </c>
      <c r="X158">
        <f>X107+X131</f>
        <v>2.8070000000000001E-2</v>
      </c>
      <c r="Y158">
        <f>Y107+Y131</f>
        <v>1.626E-2</v>
      </c>
      <c r="Z158">
        <f>Z107+Z131</f>
        <v>2.3460000000000002E-2</v>
      </c>
      <c r="AA158">
        <f>AA107+AA131</f>
        <v>3.1829999999999997E-2</v>
      </c>
      <c r="AB158">
        <f>AB107+AB131</f>
        <v>3.8119999999999994E-2</v>
      </c>
      <c r="AC158">
        <f>AC107+AC131</f>
        <v>3.9410000000000001E-2</v>
      </c>
      <c r="AD158">
        <f>AD107+AD131</f>
        <v>3.5320000000000004E-2</v>
      </c>
      <c r="AE158">
        <f>AE107+AE131</f>
        <v>3.6830000000000002E-2</v>
      </c>
      <c r="AF158">
        <f>AF107+AF131</f>
        <v>3.2000000000000001E-2</v>
      </c>
      <c r="AG158">
        <f>AG107+AG131</f>
        <v>2.7269999999999999E-2</v>
      </c>
      <c r="AH158">
        <f>AH107+AH131</f>
        <v>3.5279999999999999E-2</v>
      </c>
      <c r="AI158">
        <f>AI107+AI131</f>
        <v>2.7740000000000001E-2</v>
      </c>
      <c r="AJ158">
        <f>AJ107+AJ131</f>
        <v>2.1579999999999998E-2</v>
      </c>
      <c r="AK158">
        <f>AK107+AK131</f>
        <v>2.036E-2</v>
      </c>
      <c r="AL158">
        <f>AL107+AL131</f>
        <v>2.4810000000000002E-2</v>
      </c>
      <c r="AM158">
        <f>AM107+AM131</f>
        <v>2.0959999999999999E-2</v>
      </c>
      <c r="AN158">
        <f>AN107+AN131</f>
        <v>2.2720000000000001E-2</v>
      </c>
      <c r="AO158">
        <f>AO107+AO131</f>
        <v>2.7559999999999998E-2</v>
      </c>
      <c r="AP158">
        <f>AP107+AP131</f>
        <v>3.3680000000000002E-2</v>
      </c>
      <c r="AQ158">
        <f>AQ107+AQ131</f>
        <v>3.5450000000000002E-2</v>
      </c>
      <c r="AR158">
        <f>AR107+AR131</f>
        <v>3.2070000000000001E-2</v>
      </c>
      <c r="AS158">
        <f>AS107+AS131</f>
        <v>2.4759999999999997E-2</v>
      </c>
      <c r="AT158">
        <f>AT107+AT131</f>
        <v>2.1680000000000001E-2</v>
      </c>
      <c r="AU158">
        <f>AU107+AU131</f>
        <v>1.9880000000000002E-2</v>
      </c>
      <c r="AV158">
        <f>AV107+AV131</f>
        <v>2.8539999999999999E-2</v>
      </c>
      <c r="AW158">
        <f>AW107+AW131</f>
        <v>2.869E-2</v>
      </c>
      <c r="AX158">
        <f>AX107+AX131</f>
        <v>1.772E-2</v>
      </c>
      <c r="AY158">
        <f>AY107+AY131</f>
        <v>1.806E-2</v>
      </c>
      <c r="AZ158">
        <f>AZ107+AZ131</f>
        <v>2.078E-2</v>
      </c>
      <c r="BA158">
        <f>BA107+BA131</f>
        <v>2.4070000000000001E-2</v>
      </c>
      <c r="BB158">
        <f>BB107+BB131</f>
        <v>1.9550000000000001E-2</v>
      </c>
      <c r="BC158">
        <f>BC107+BC131</f>
        <v>2.5021000000000002E-2</v>
      </c>
      <c r="BD158">
        <f>BD107+BD131</f>
        <v>2.1219999999999999E-2</v>
      </c>
      <c r="BE158">
        <f>BE107+BE131</f>
        <v>2.332E-2</v>
      </c>
      <c r="BF158">
        <f>BF107+BF131</f>
        <v>2.4033700000000002E-2</v>
      </c>
      <c r="BG158">
        <f>BG107+BG131</f>
        <v>2.7253299999999998E-2</v>
      </c>
      <c r="BH158">
        <f>BH107+BH131</f>
        <v>3.0613999999999999E-2</v>
      </c>
      <c r="BI158">
        <f>BI107+BI131</f>
        <v>2.6983999999999998E-2</v>
      </c>
      <c r="BJ158">
        <f>BJ107+BJ131</f>
        <v>3.0584E-2</v>
      </c>
      <c r="BK158">
        <f>BK107+BK131</f>
        <v>2.5094000000000002E-2</v>
      </c>
      <c r="BL158">
        <f>BL107+BL131</f>
        <v>2.3556999999999998E-2</v>
      </c>
      <c r="BM158">
        <f>BM107+BM131</f>
        <v>2.1586999999999999E-2</v>
      </c>
      <c r="BN158">
        <f>BN107+BN131</f>
        <v>1.8961000000000002E-2</v>
      </c>
      <c r="BO158">
        <f>BO107+BO131</f>
        <v>1.6299999999999999E-2</v>
      </c>
      <c r="BP158">
        <f>BP107+BP131</f>
        <v>1.0754E-2</v>
      </c>
      <c r="BQ158">
        <f>BQ107+BQ131</f>
        <v>1.502E-2</v>
      </c>
      <c r="BR158">
        <f>BR107+BR131</f>
        <v>2.0970000000000003E-2</v>
      </c>
      <c r="BS158">
        <f>BS107+BS131</f>
        <v>2.5929999999999998E-2</v>
      </c>
      <c r="BT158">
        <f>BT107+BT131</f>
        <v>3.0887999999999999E-2</v>
      </c>
      <c r="BU158">
        <f>BU107+BU131</f>
        <v>3.4369999999999998E-2</v>
      </c>
      <c r="BV158">
        <f>BV107+BV131</f>
        <v>3.6420000000000001E-2</v>
      </c>
      <c r="BW158">
        <f>BW107+BW131</f>
        <v>3.789E-2</v>
      </c>
      <c r="BX158">
        <f>BX107+BX131</f>
        <v>2.8510000000000001E-2</v>
      </c>
      <c r="BY158">
        <f>BY107+BY131</f>
        <v>4.1069999999999995E-2</v>
      </c>
      <c r="BZ158">
        <f>BZ107+BZ131</f>
        <v>4.2450000000000002E-2</v>
      </c>
      <c r="CA158">
        <f>CA107+CA131</f>
        <v>3.49E-2</v>
      </c>
      <c r="CB158">
        <f>CB107+CB131</f>
        <v>2.4680000000000001E-2</v>
      </c>
      <c r="CC158">
        <f>CC107+CC131</f>
        <v>3.5979999999999998E-2</v>
      </c>
      <c r="CD158">
        <f>CD107+CD131</f>
        <v>2.0382999999999998E-2</v>
      </c>
      <c r="CE158">
        <f>CE107+CE131</f>
        <v>2.1444000000000001E-2</v>
      </c>
      <c r="CF158">
        <f>CF107+CF131</f>
        <v>2.5149999999999999E-2</v>
      </c>
      <c r="CG158">
        <f>CG107+CG131</f>
        <v>2.6825999999999999E-2</v>
      </c>
      <c r="CH158">
        <f>CH107+CH131</f>
        <v>2.0681999999999999E-2</v>
      </c>
      <c r="CI158">
        <f>CI107+CI131</f>
        <v>2.5328999999999997E-2</v>
      </c>
      <c r="CJ158">
        <f>CJ107+CJ131</f>
        <v>1.39372E-2</v>
      </c>
      <c r="CK158">
        <f>CK107+CK131</f>
        <v>6.0767999999999994E-3</v>
      </c>
      <c r="CL158">
        <f>CL107+CL131</f>
        <v>2.1050000000000001E-3</v>
      </c>
      <c r="CM158">
        <f>CM107+CM131</f>
        <v>1.6217000000000002E-2</v>
      </c>
      <c r="CN158">
        <f>CN107+CN131</f>
        <v>1.9002999999999999E-2</v>
      </c>
      <c r="CO158">
        <f>CO107+CO131</f>
        <v>6.5299999999999993E-3</v>
      </c>
      <c r="CP158">
        <f>CP107+CP131</f>
        <v>1.7405E-2</v>
      </c>
      <c r="CQ158">
        <f>CQ107+CQ131</f>
        <v>8.4600000000000005E-3</v>
      </c>
      <c r="CR158">
        <f>CR107+CR131</f>
        <v>1.2189999999999999E-2</v>
      </c>
      <c r="CS158">
        <f>CS107+CS131</f>
        <v>2.5219999999999999E-2</v>
      </c>
      <c r="CT158">
        <f>CT107+CT131</f>
        <v>1.7840000000000002E-2</v>
      </c>
      <c r="CU158">
        <f>CU107+CU131</f>
        <v>1.2829999999999999E-2</v>
      </c>
      <c r="CV158">
        <f>CV107+CV131</f>
        <v>-9.1399999999999988E-3</v>
      </c>
      <c r="CW158">
        <f>CW107+CW131</f>
        <v>1.3989999999999999E-2</v>
      </c>
      <c r="CX158">
        <f>CX107+CX131</f>
        <v>1.2920000000000001E-2</v>
      </c>
    </row>
    <row r="159" spans="1:102" x14ac:dyDescent="0.2">
      <c r="A159" t="s">
        <v>214</v>
      </c>
      <c r="B159" t="s">
        <v>220</v>
      </c>
      <c r="C159" t="s">
        <v>221</v>
      </c>
      <c r="D159">
        <f>D108+D132</f>
        <v>4.8600000000000004E-2</v>
      </c>
      <c r="E159">
        <f>E108+E132</f>
        <v>5.8800000000000005E-2</v>
      </c>
      <c r="F159">
        <f>F108+F132</f>
        <v>3.8899999999999997E-2</v>
      </c>
      <c r="G159">
        <f>G108+G132</f>
        <v>2.5599999999999998E-2</v>
      </c>
      <c r="H159">
        <f>H108+H132</f>
        <v>5.0299999999999997E-2</v>
      </c>
      <c r="I159">
        <f>I108+I132</f>
        <v>4.5399999999999996E-2</v>
      </c>
      <c r="J159">
        <f>J108+J132</f>
        <v>3.7170000000000002E-2</v>
      </c>
      <c r="K159">
        <f>K108+K132</f>
        <v>3.0859999999999999E-2</v>
      </c>
      <c r="L159">
        <f>L108+L132</f>
        <v>2.5729999999999999E-2</v>
      </c>
      <c r="M159">
        <f>M108+M132</f>
        <v>2.2289999999999997E-2</v>
      </c>
      <c r="N159">
        <f>N108+N132</f>
        <v>1.7160000000000002E-2</v>
      </c>
      <c r="O159">
        <f>O108+O132</f>
        <v>5.5099999999999993E-3</v>
      </c>
      <c r="P159">
        <f>P108+P132</f>
        <v>1.958E-2</v>
      </c>
      <c r="Q159">
        <f>Q108+Q132</f>
        <v>4.7299999999999998E-3</v>
      </c>
      <c r="R159">
        <f>R108+R132</f>
        <v>6.4999999999999997E-4</v>
      </c>
      <c r="S159">
        <f>S108+S132</f>
        <v>3.1549999999999998E-3</v>
      </c>
      <c r="T159">
        <f>T108+T132</f>
        <v>1.3100000000000002E-3</v>
      </c>
      <c r="U159">
        <f>U108+U132</f>
        <v>4.8199999999999996E-3</v>
      </c>
      <c r="V159">
        <f>V108+V132</f>
        <v>6.3999999999999994E-4</v>
      </c>
      <c r="W159">
        <f>W108+W132</f>
        <v>-7.499999999999998E-4</v>
      </c>
      <c r="X159">
        <f>X108+X132</f>
        <v>-8.1999999999999998E-4</v>
      </c>
      <c r="Y159">
        <f>Y108+Y132</f>
        <v>-2.2799999999999999E-3</v>
      </c>
      <c r="Z159">
        <f>Z108+Z132</f>
        <v>-4.8999999999999998E-3</v>
      </c>
      <c r="AA159">
        <f>AA108+AA132</f>
        <v>-5.9099999999999995E-3</v>
      </c>
      <c r="AB159">
        <f>AB108+AB132</f>
        <v>4.9700000000000005E-3</v>
      </c>
      <c r="AC159">
        <f>AC108+AC132</f>
        <v>-5.8999999999999981E-4</v>
      </c>
      <c r="AD159">
        <f>AD108+AD132</f>
        <v>-7.3000000000000018E-4</v>
      </c>
      <c r="AE159">
        <f>AE108+AE132</f>
        <v>-2.7000000000000006E-3</v>
      </c>
      <c r="AF159">
        <f>AF108+AF132</f>
        <v>7.3600000000000002E-3</v>
      </c>
      <c r="AG159">
        <f>AG108+AG132</f>
        <v>1.75E-3</v>
      </c>
      <c r="AH159">
        <f>AH108+AH132</f>
        <v>3.0799999999999998E-3</v>
      </c>
      <c r="AI159">
        <f>AI108+AI132</f>
        <v>2.7140000000000003E-3</v>
      </c>
      <c r="AJ159">
        <f>AJ108+AJ132</f>
        <v>3.9779999999999998E-3</v>
      </c>
      <c r="AK159">
        <f>AK108+AK132</f>
        <v>3.9034E-3</v>
      </c>
      <c r="AL159">
        <f>AL108+AL132</f>
        <v>4.1529999999999996E-3</v>
      </c>
      <c r="AM159">
        <f>AM108+AM132</f>
        <v>-1.9999999999999966E-4</v>
      </c>
      <c r="AN159">
        <f>AN108+AN132</f>
        <v>1.7799999999999999E-3</v>
      </c>
      <c r="AO159">
        <f>AO108+AO132</f>
        <v>-6.1999999999999989E-4</v>
      </c>
      <c r="AP159">
        <f>AP108+AP132</f>
        <v>7.4799999999999997E-3</v>
      </c>
      <c r="AQ159">
        <f>AQ108+AQ132</f>
        <v>3.9770000000000005E-3</v>
      </c>
      <c r="AR159">
        <f>AR108+AR132</f>
        <v>1.026E-2</v>
      </c>
      <c r="AS159">
        <f>AS108+AS132</f>
        <v>-2.5999999999999981E-4</v>
      </c>
      <c r="AT159">
        <f>AT108+AT132</f>
        <v>1.0999999999999985E-4</v>
      </c>
      <c r="AU159">
        <f>AU108+AU132</f>
        <v>-6.6E-4</v>
      </c>
      <c r="AV159">
        <f>AV108+AV132</f>
        <v>9.6800000000000011E-3</v>
      </c>
      <c r="AW159">
        <f>AW108+AW132</f>
        <v>3.96E-3</v>
      </c>
      <c r="AX159">
        <f>AX108+AX132</f>
        <v>6.7099999999999998E-3</v>
      </c>
      <c r="AY159">
        <f>AY108+AY132</f>
        <v>3.8159999999999999E-3</v>
      </c>
      <c r="AZ159">
        <f>AZ108+AZ132</f>
        <v>5.8099999999999992E-3</v>
      </c>
      <c r="BA159">
        <f>BA108+BA132</f>
        <v>5.3600000000000002E-3</v>
      </c>
      <c r="BB159">
        <f>BB108+BB132</f>
        <v>4.8400000000000006E-3</v>
      </c>
      <c r="BC159">
        <f>BC108+BC132</f>
        <v>2.5839999999999999E-3</v>
      </c>
      <c r="BD159">
        <f>BD108+BD132</f>
        <v>3.5950000000000001E-3</v>
      </c>
      <c r="BE159">
        <f>BE108+BE132</f>
        <v>-1.2399999999999998E-3</v>
      </c>
      <c r="BF159">
        <f>BF108+BF132</f>
        <v>6.4700000000000001E-3</v>
      </c>
      <c r="BG159">
        <f>BG108+BG132</f>
        <v>3.3249999999999998E-3</v>
      </c>
      <c r="BH159">
        <f>BH108+BH132</f>
        <v>6.5400000000000007E-3</v>
      </c>
      <c r="BI159">
        <f>BI108+BI132</f>
        <v>5.2500000000000003E-3</v>
      </c>
      <c r="BJ159">
        <f>BJ108+BJ132</f>
        <v>9.1400000000000006E-3</v>
      </c>
      <c r="BK159">
        <f>BK108+BK132</f>
        <v>3.5699999999999998E-3</v>
      </c>
      <c r="BL159">
        <f>BL108+BL132</f>
        <v>5.6100000000000004E-3</v>
      </c>
      <c r="BM159">
        <f>BM108+BM132</f>
        <v>3.6850000000000003E-3</v>
      </c>
      <c r="BN159">
        <f>BN108+BN132</f>
        <v>4.4200000000000003E-3</v>
      </c>
      <c r="BO159">
        <f>BO108+BO132</f>
        <v>4.9700000000000005E-3</v>
      </c>
      <c r="BP159">
        <f>BP108+BP132</f>
        <v>6.1500000000000001E-3</v>
      </c>
      <c r="BQ159">
        <f>BQ108+BQ132</f>
        <v>-1.82E-3</v>
      </c>
      <c r="BR159">
        <f>BR108+BR132</f>
        <v>-7.6E-3</v>
      </c>
      <c r="BS159">
        <f>BS108+BS132</f>
        <v>2.8640000000000002E-3</v>
      </c>
      <c r="BT159">
        <f>BT108+BT132</f>
        <v>4.6999999999999993E-3</v>
      </c>
      <c r="BU159">
        <f>BU108+BU132</f>
        <v>8.6700000000000006E-3</v>
      </c>
      <c r="BV159">
        <f>BV108+BV132</f>
        <v>5.7599999999999995E-3</v>
      </c>
      <c r="BW159">
        <f>BW108+BW132</f>
        <v>7.5199999999999998E-3</v>
      </c>
      <c r="BX159">
        <f>BX108+BX132</f>
        <v>8.9800000000000001E-3</v>
      </c>
      <c r="BY159">
        <f>BY108+BY132</f>
        <v>8.3000000000000001E-3</v>
      </c>
      <c r="BZ159">
        <f>BZ108+BZ132</f>
        <v>2.1199999999999999E-3</v>
      </c>
      <c r="CA159">
        <f>CA108+CA132</f>
        <v>1.0109999999999999E-2</v>
      </c>
      <c r="CB159">
        <f>CB108+CB132</f>
        <v>-1.5700000000000002E-3</v>
      </c>
      <c r="CC159">
        <f>CC108+CC132</f>
        <v>-4.0300000000000006E-3</v>
      </c>
      <c r="CD159">
        <f>CD108+CD132</f>
        <v>1.189E-2</v>
      </c>
      <c r="CE159">
        <f>CE108+CE132</f>
        <v>1.5300000000000001E-2</v>
      </c>
      <c r="CF159">
        <f>CF108+CF132</f>
        <v>1.4E-3</v>
      </c>
      <c r="CG159">
        <f>CG108+CG132</f>
        <v>1.3130000000000001E-2</v>
      </c>
      <c r="CH159">
        <f>CH108+CH132</f>
        <v>5.6899999999999997E-3</v>
      </c>
      <c r="CI159">
        <f>CI108+CI132</f>
        <v>1.451E-2</v>
      </c>
      <c r="CJ159">
        <f>CJ108+CJ132</f>
        <v>1.149E-2</v>
      </c>
      <c r="CK159">
        <f>CK108+CK132</f>
        <v>1.257E-2</v>
      </c>
      <c r="CL159">
        <f>CL108+CL132</f>
        <v>2.9769999999999996E-3</v>
      </c>
      <c r="CM159">
        <f>CM108+CM132</f>
        <v>1.882E-2</v>
      </c>
      <c r="CN159">
        <f>CN108+CN132</f>
        <v>1.251E-2</v>
      </c>
      <c r="CO159">
        <f>CO108+CO132</f>
        <v>1.6970000000000002E-2</v>
      </c>
      <c r="CP159">
        <f>CP108+CP132</f>
        <v>1.1242E-2</v>
      </c>
      <c r="CQ159">
        <f>CQ108+CQ132</f>
        <v>2.1231999999999997E-2</v>
      </c>
      <c r="CR159">
        <f>CR108+CR132</f>
        <v>1.7437999999999999E-2</v>
      </c>
      <c r="CS159">
        <f>CS108+CS132</f>
        <v>1.2718E-2</v>
      </c>
      <c r="CT159">
        <f>CT108+CT132</f>
        <v>2.9869999999999997E-2</v>
      </c>
      <c r="CU159">
        <f>CU108+CU132</f>
        <v>3.8495999999999996E-2</v>
      </c>
      <c r="CV159">
        <f>CV108+CV132</f>
        <v>3.1474799999999997E-2</v>
      </c>
      <c r="CW159">
        <f>CW108+CW132</f>
        <v>3.8966000000000001E-2</v>
      </c>
      <c r="CX159">
        <f>CX108+CX132</f>
        <v>2.8923400000000002E-2</v>
      </c>
    </row>
    <row r="160" spans="1:102" x14ac:dyDescent="0.2">
      <c r="A160" t="s">
        <v>215</v>
      </c>
      <c r="B160" t="s">
        <v>220</v>
      </c>
      <c r="C160" t="s">
        <v>221</v>
      </c>
      <c r="D160">
        <f>D109+D133</f>
        <v>-2.9399999999999999E-3</v>
      </c>
      <c r="E160">
        <f>E109+E133</f>
        <v>-0.1013</v>
      </c>
      <c r="F160">
        <f>F109+F133</f>
        <v>-5.5470000000000005E-2</v>
      </c>
      <c r="G160">
        <f>G109+G133</f>
        <v>-1.8330000000000003E-2</v>
      </c>
      <c r="H160">
        <f>H109+H133</f>
        <v>3.746E-2</v>
      </c>
      <c r="I160">
        <f>I109+I133</f>
        <v>4.7670000000000004E-2</v>
      </c>
      <c r="J160">
        <f>J109+J133</f>
        <v>4.4979999999999999E-2</v>
      </c>
      <c r="K160">
        <f>K109+K133</f>
        <v>1.6119999999999999E-2</v>
      </c>
      <c r="L160">
        <f>L109+L133</f>
        <v>1.704E-2</v>
      </c>
      <c r="M160">
        <f>M109+M133</f>
        <v>1.324E-2</v>
      </c>
      <c r="N160">
        <f>N109+N133</f>
        <v>2.7909999999999997E-2</v>
      </c>
      <c r="O160">
        <f>O109+O133</f>
        <v>1.6109999999999999E-2</v>
      </c>
      <c r="P160">
        <f>P109+P133</f>
        <v>2.4681999999999999E-2</v>
      </c>
      <c r="Q160">
        <f>Q109+Q133</f>
        <v>2.0702999999999999E-2</v>
      </c>
      <c r="R160">
        <f>R109+R133</f>
        <v>2.25302E-2</v>
      </c>
      <c r="S160">
        <f>S109+S133</f>
        <v>1.9465E-2</v>
      </c>
      <c r="T160">
        <f>T109+T133</f>
        <v>1.95712E-2</v>
      </c>
      <c r="U160">
        <f>U109+U133</f>
        <v>1.6771999999999999E-2</v>
      </c>
      <c r="V160">
        <f>V109+V133</f>
        <v>1.8374000000000001E-2</v>
      </c>
      <c r="W160">
        <f>W109+W133</f>
        <v>1.7408E-2</v>
      </c>
      <c r="X160">
        <f>X109+X133</f>
        <v>1.2947E-2</v>
      </c>
      <c r="Y160">
        <f>Y109+Y133</f>
        <v>1.3004999999999999E-2</v>
      </c>
      <c r="Z160">
        <f>Z109+Z133</f>
        <v>1.2416E-2</v>
      </c>
      <c r="AA160">
        <f>AA109+AA133</f>
        <v>1.18986E-2</v>
      </c>
      <c r="AB160">
        <f>AB109+AB133</f>
        <v>1.3436E-2</v>
      </c>
      <c r="AC160">
        <f>AC109+AC133</f>
        <v>1.3209E-2</v>
      </c>
      <c r="AD160">
        <f>AD109+AD133</f>
        <v>1.4581999999999999E-2</v>
      </c>
      <c r="AE160">
        <f>AE109+AE133</f>
        <v>1.4509000000000001E-2</v>
      </c>
      <c r="AF160">
        <f>AF109+AF133</f>
        <v>1.3898000000000001E-2</v>
      </c>
      <c r="AG160">
        <f>AG109+AG133</f>
        <v>1.4476000000000001E-2</v>
      </c>
      <c r="AH160">
        <f>AH109+AH133</f>
        <v>1.7697999999999998E-2</v>
      </c>
      <c r="AI160">
        <f>AI109+AI133</f>
        <v>1.8068000000000001E-2</v>
      </c>
      <c r="AJ160">
        <f>AJ109+AJ133</f>
        <v>1.2588999999999999E-2</v>
      </c>
      <c r="AK160">
        <f>AK109+AK133</f>
        <v>1.6658999999999999E-3</v>
      </c>
      <c r="AL160">
        <f>AL109+AL133</f>
        <v>3.5054000000000001E-3</v>
      </c>
      <c r="AM160">
        <f>AM109+AM133</f>
        <v>3.509E-3</v>
      </c>
      <c r="AN160">
        <f>AN109+AN133</f>
        <v>3.1349999999999998E-3</v>
      </c>
      <c r="AO160">
        <f>AO109+AO133</f>
        <v>5.1350000000000007E-3</v>
      </c>
      <c r="AP160">
        <f>AP109+AP133</f>
        <v>-2.869E-3</v>
      </c>
      <c r="AQ160">
        <f>AQ109+AQ133</f>
        <v>-1.5760000000000001E-3</v>
      </c>
      <c r="AR160">
        <f>AR109+AR133</f>
        <v>2.2309999999999999E-3</v>
      </c>
      <c r="AS160">
        <f>AS109+AS133</f>
        <v>2.9159999999999998E-3</v>
      </c>
      <c r="AT160">
        <f>AT109+AT133</f>
        <v>3.2199999999999998E-3</v>
      </c>
      <c r="AU160">
        <f>AU109+AU133</f>
        <v>3.79E-3</v>
      </c>
      <c r="AV160">
        <f>AV109+AV133</f>
        <v>6.6530000000000001E-3</v>
      </c>
      <c r="AW160">
        <f>AW109+AW133</f>
        <v>6.9899999999999997E-3</v>
      </c>
      <c r="AX160">
        <f>AX109+AX133</f>
        <v>6.7019999999999996E-3</v>
      </c>
      <c r="AY160">
        <f>AY109+AY133</f>
        <v>6.8059999999999996E-3</v>
      </c>
      <c r="AZ160">
        <f>AZ109+AZ133</f>
        <v>9.3170000000000006E-3</v>
      </c>
      <c r="BA160">
        <f>BA109+BA133</f>
        <v>1.2758E-2</v>
      </c>
      <c r="BB160">
        <f>BB109+BB133</f>
        <v>1.1779299999999999E-2</v>
      </c>
      <c r="BC160">
        <f>BC109+BC133</f>
        <v>1.2882999999999999E-2</v>
      </c>
      <c r="BD160">
        <f>BD109+BD133</f>
        <v>1.6667999999999999E-2</v>
      </c>
      <c r="BE160">
        <f>BE109+BE133</f>
        <v>1.4288E-2</v>
      </c>
      <c r="BF160">
        <f>BF109+BF133</f>
        <v>1.7471E-2</v>
      </c>
      <c r="BG160">
        <f>BG109+BG133</f>
        <v>1.9361999999999997E-2</v>
      </c>
      <c r="BH160">
        <f>BH109+BH133</f>
        <v>2.1956E-2</v>
      </c>
      <c r="BI160">
        <f>BI109+BI133</f>
        <v>-9.5130000000000006E-3</v>
      </c>
      <c r="BJ160">
        <f>BJ109+BJ133</f>
        <v>-1.5446E-2</v>
      </c>
      <c r="BK160">
        <f>BK109+BK133</f>
        <v>-1.4705000000000001E-2</v>
      </c>
      <c r="BL160">
        <f>BL109+BL133</f>
        <v>-1.1906999999999999E-2</v>
      </c>
      <c r="BM160">
        <f>BM109+BM133</f>
        <v>-2.0881999999999998E-2</v>
      </c>
      <c r="BN160">
        <f>BN109+BN133</f>
        <v>-2.3999000000000003E-2</v>
      </c>
      <c r="BO160">
        <f>BO109+BO133</f>
        <v>-2.4089000000000003E-2</v>
      </c>
      <c r="BP160">
        <f>BP109+BP133</f>
        <v>-2.0385999999999998E-2</v>
      </c>
      <c r="BQ160">
        <f>BQ109+BQ133</f>
        <v>-2.0197E-2</v>
      </c>
      <c r="BR160">
        <f>BR109+BR133</f>
        <v>-1.9259999999999999E-2</v>
      </c>
      <c r="BS160">
        <f>BS109+BS133</f>
        <v>-1.436E-2</v>
      </c>
      <c r="BT160">
        <f>BT109+BT133</f>
        <v>-1.6448999999999998E-2</v>
      </c>
      <c r="BU160">
        <f>BU109+BU133</f>
        <v>-1.609E-2</v>
      </c>
      <c r="BV160">
        <f>BV109+BV133</f>
        <v>-1.7787000000000001E-2</v>
      </c>
      <c r="BW160">
        <f>BW109+BW133</f>
        <v>-2.0184000000000001E-2</v>
      </c>
      <c r="BX160">
        <f>BX109+BX133</f>
        <v>-2.1301E-2</v>
      </c>
      <c r="BY160">
        <f>BY109+BY133</f>
        <v>-1.9985999999999997E-2</v>
      </c>
      <c r="BZ160">
        <f>BZ109+BZ133</f>
        <v>-1.7339999999999998E-2</v>
      </c>
      <c r="CA160">
        <f>CA109+CA133</f>
        <v>-2.385E-3</v>
      </c>
      <c r="CB160">
        <f>CB109+CB133</f>
        <v>7.2290000000000006E-4</v>
      </c>
      <c r="CC160">
        <f>CC109+CC133</f>
        <v>2.3890000000000001E-3</v>
      </c>
      <c r="CD160">
        <f>CD109+CD133</f>
        <v>-5.0089999999999996E-3</v>
      </c>
      <c r="CE160">
        <f>CE109+CE133</f>
        <v>-3.9109999999999995E-3</v>
      </c>
      <c r="CF160">
        <f>CF109+CF133</f>
        <v>-1.8739999999999998E-3</v>
      </c>
      <c r="CG160">
        <f>CG109+CG133</f>
        <v>-1.6970000000000002E-3</v>
      </c>
      <c r="CH160">
        <f>CH109+CH133</f>
        <v>6.0480000000000006E-4</v>
      </c>
      <c r="CI160">
        <f>CI109+CI133</f>
        <v>3.1099999999999999E-3</v>
      </c>
      <c r="CJ160">
        <f>CJ109+CJ133</f>
        <v>-1.5636999999999998E-2</v>
      </c>
      <c r="CK160">
        <f>CK109+CK133</f>
        <v>-9.5200000000000007E-3</v>
      </c>
      <c r="CL160">
        <f>CL109+CL133</f>
        <v>-4.7499999999999999E-3</v>
      </c>
      <c r="CM160">
        <f>CM109+CM133</f>
        <v>-3.8199999999999996E-3</v>
      </c>
      <c r="CN160">
        <f>CN109+CN133</f>
        <v>-3.0649000000000002E-3</v>
      </c>
      <c r="CO160">
        <f>CO109+CO133</f>
        <v>1.7300000000000002E-3</v>
      </c>
      <c r="CP160">
        <f>CP109+CP133</f>
        <v>2.7199999999999993E-3</v>
      </c>
      <c r="CQ160">
        <f>CQ109+CQ133</f>
        <v>5.4000000000000003E-3</v>
      </c>
      <c r="CR160">
        <f>CR109+CR133</f>
        <v>1.1300000000000001E-2</v>
      </c>
      <c r="CS160">
        <f>CS109+CS133</f>
        <v>1.2369999999999999E-2</v>
      </c>
      <c r="CT160">
        <f>CT109+CT133</f>
        <v>-8.0960000000000004E-2</v>
      </c>
      <c r="CU160">
        <f>CU109+CU133</f>
        <v>-8.8099999999999998E-2</v>
      </c>
      <c r="CV160">
        <f>CV109+CV133</f>
        <v>-7.4910000000000004E-2</v>
      </c>
      <c r="CW160">
        <f>CW109+CW133</f>
        <v>-8.3940000000000001E-2</v>
      </c>
      <c r="CX160">
        <f>CX109+CX133</f>
        <v>-8.2799999999999999E-2</v>
      </c>
    </row>
    <row r="161" spans="1:102" x14ac:dyDescent="0.2">
      <c r="A161" t="s">
        <v>216</v>
      </c>
      <c r="B161" t="s">
        <v>220</v>
      </c>
      <c r="C161" t="s">
        <v>221</v>
      </c>
      <c r="D161">
        <f>D134</f>
        <v>0.45200000000000001</v>
      </c>
      <c r="E161">
        <f t="shared" ref="E161:BP161" si="16">E134</f>
        <v>-0.14199999999999999</v>
      </c>
      <c r="F161">
        <f t="shared" si="16"/>
        <v>-0.92800000000000005</v>
      </c>
      <c r="G161">
        <f t="shared" si="16"/>
        <v>3.7900000000000003E-2</v>
      </c>
      <c r="H161">
        <f t="shared" si="16"/>
        <v>-1.458</v>
      </c>
      <c r="I161">
        <f t="shared" si="16"/>
        <v>-0.435</v>
      </c>
      <c r="J161">
        <f t="shared" si="16"/>
        <v>-0.97</v>
      </c>
      <c r="K161">
        <f t="shared" si="16"/>
        <v>-0.75600000000000001</v>
      </c>
      <c r="L161">
        <f t="shared" si="16"/>
        <v>-0.53400000000000003</v>
      </c>
      <c r="M161">
        <f t="shared" si="16"/>
        <v>-0.97699999999999998</v>
      </c>
      <c r="N161">
        <f t="shared" si="16"/>
        <v>-1.0129999999999999</v>
      </c>
      <c r="O161">
        <f t="shared" si="16"/>
        <v>-0.53200000000000003</v>
      </c>
      <c r="P161">
        <f t="shared" si="16"/>
        <v>-0.71199999999999997</v>
      </c>
      <c r="Q161">
        <f t="shared" si="16"/>
        <v>-0.60199999999999998</v>
      </c>
      <c r="R161">
        <f t="shared" si="16"/>
        <v>-0.46600000000000003</v>
      </c>
      <c r="S161">
        <f t="shared" si="16"/>
        <v>-0.378</v>
      </c>
      <c r="T161">
        <f t="shared" si="16"/>
        <v>-0.26500000000000001</v>
      </c>
      <c r="U161">
        <f t="shared" si="16"/>
        <v>-0.222</v>
      </c>
      <c r="V161">
        <f t="shared" si="16"/>
        <v>-0.124</v>
      </c>
      <c r="W161">
        <f t="shared" si="16"/>
        <v>-0.115</v>
      </c>
      <c r="X161">
        <f t="shared" si="16"/>
        <v>-0.13200000000000001</v>
      </c>
      <c r="Y161">
        <f t="shared" si="16"/>
        <v>-6.0299999999999999E-2</v>
      </c>
      <c r="Z161">
        <f t="shared" si="16"/>
        <v>-9.2499999999999999E-2</v>
      </c>
      <c r="AA161">
        <f t="shared" si="16"/>
        <v>-0.13700000000000001</v>
      </c>
      <c r="AB161">
        <f t="shared" si="16"/>
        <v>-0.14899999999999999</v>
      </c>
      <c r="AC161">
        <f t="shared" si="16"/>
        <v>-0.13400000000000001</v>
      </c>
      <c r="AD161">
        <f t="shared" si="16"/>
        <v>-0.111</v>
      </c>
      <c r="AE161">
        <f t="shared" si="16"/>
        <v>-0.115</v>
      </c>
      <c r="AF161">
        <f t="shared" si="16"/>
        <v>-0.109</v>
      </c>
      <c r="AG161">
        <f t="shared" si="16"/>
        <v>-9.98E-2</v>
      </c>
      <c r="AH161">
        <f t="shared" si="16"/>
        <v>-0.122</v>
      </c>
      <c r="AI161">
        <f t="shared" si="16"/>
        <v>-0.123</v>
      </c>
      <c r="AJ161">
        <f t="shared" si="16"/>
        <v>-0.12</v>
      </c>
      <c r="AK161">
        <f t="shared" si="16"/>
        <v>-0.111</v>
      </c>
      <c r="AL161">
        <f t="shared" si="16"/>
        <v>-0.11600000000000001</v>
      </c>
      <c r="AM161">
        <f t="shared" si="16"/>
        <v>-0.111</v>
      </c>
      <c r="AN161">
        <f t="shared" si="16"/>
        <v>-0.11</v>
      </c>
      <c r="AO161">
        <f t="shared" si="16"/>
        <v>-0.124</v>
      </c>
      <c r="AP161">
        <f t="shared" si="16"/>
        <v>-0.185</v>
      </c>
      <c r="AQ161">
        <f t="shared" si="16"/>
        <v>-0.217</v>
      </c>
      <c r="AR161">
        <f t="shared" si="16"/>
        <v>-0.219</v>
      </c>
      <c r="AS161">
        <f t="shared" si="16"/>
        <v>-0.184</v>
      </c>
      <c r="AT161">
        <f t="shared" si="16"/>
        <v>-0.16600000000000001</v>
      </c>
      <c r="AU161">
        <f t="shared" si="16"/>
        <v>-0.155</v>
      </c>
      <c r="AV161">
        <f t="shared" si="16"/>
        <v>-0.14599999999999999</v>
      </c>
      <c r="AW161">
        <f t="shared" si="16"/>
        <v>-0.114</v>
      </c>
      <c r="AX161">
        <f t="shared" si="16"/>
        <v>-9.4399999999999998E-2</v>
      </c>
      <c r="AY161">
        <f t="shared" si="16"/>
        <v>-6.7699999999999996E-2</v>
      </c>
      <c r="AZ161">
        <f t="shared" si="16"/>
        <v>-7.0400000000000004E-2</v>
      </c>
      <c r="BA161">
        <f t="shared" si="16"/>
        <v>-4.6600000000000003E-2</v>
      </c>
      <c r="BB161">
        <f t="shared" si="16"/>
        <v>-7.6300000000000007E-2</v>
      </c>
      <c r="BC161">
        <f t="shared" si="16"/>
        <v>-0.106</v>
      </c>
      <c r="BD161">
        <f t="shared" si="16"/>
        <v>-0.128</v>
      </c>
      <c r="BE161">
        <f t="shared" si="16"/>
        <v>-0.128</v>
      </c>
      <c r="BF161">
        <f t="shared" si="16"/>
        <v>-0.128</v>
      </c>
      <c r="BG161">
        <f t="shared" si="16"/>
        <v>-0.17199999999999999</v>
      </c>
      <c r="BH161">
        <f t="shared" si="16"/>
        <v>-0.19</v>
      </c>
      <c r="BI161">
        <f t="shared" si="16"/>
        <v>-0.158</v>
      </c>
      <c r="BJ161">
        <f t="shared" si="16"/>
        <v>-0.158</v>
      </c>
      <c r="BK161">
        <f t="shared" si="16"/>
        <v>-0.153</v>
      </c>
      <c r="BL161">
        <f t="shared" si="16"/>
        <v>-0.128</v>
      </c>
      <c r="BM161">
        <f t="shared" si="16"/>
        <v>-0.11700000000000001</v>
      </c>
      <c r="BN161">
        <f t="shared" si="16"/>
        <v>-9.7799999999999998E-2</v>
      </c>
      <c r="BO161">
        <f t="shared" si="16"/>
        <v>-5.7000000000000002E-2</v>
      </c>
      <c r="BP161">
        <f t="shared" si="16"/>
        <v>-4.7600000000000003E-3</v>
      </c>
      <c r="BQ161">
        <f t="shared" ref="BQ161:CX161" si="17">BQ134</f>
        <v>1.3500000000000001E-3</v>
      </c>
      <c r="BR161">
        <f t="shared" si="17"/>
        <v>-1.17E-2</v>
      </c>
      <c r="BS161">
        <f t="shared" si="17"/>
        <v>-1.18E-2</v>
      </c>
      <c r="BT161">
        <f t="shared" si="17"/>
        <v>1.3899999999999999E-2</v>
      </c>
      <c r="BU161">
        <f t="shared" si="17"/>
        <v>-9.0299999999999998E-3</v>
      </c>
      <c r="BV161">
        <f t="shared" si="17"/>
        <v>-0.16400000000000001</v>
      </c>
      <c r="BW161">
        <f t="shared" si="17"/>
        <v>-0.20799999999999999</v>
      </c>
      <c r="BX161">
        <f t="shared" si="17"/>
        <v>-0.183</v>
      </c>
      <c r="BY161">
        <f t="shared" si="17"/>
        <v>-0.14699999999999999</v>
      </c>
      <c r="BZ161">
        <f t="shared" si="17"/>
        <v>-0.20499999999999999</v>
      </c>
      <c r="CA161">
        <f t="shared" si="17"/>
        <v>-0.25</v>
      </c>
      <c r="CB161">
        <f t="shared" si="17"/>
        <v>-0.221</v>
      </c>
      <c r="CC161">
        <f t="shared" si="17"/>
        <v>-0.21299999999999999</v>
      </c>
      <c r="CD161">
        <f t="shared" si="17"/>
        <v>-0.106</v>
      </c>
      <c r="CE161">
        <f t="shared" si="17"/>
        <v>0.13700000000000001</v>
      </c>
      <c r="CF161">
        <f t="shared" si="17"/>
        <v>0.20699999999999999</v>
      </c>
      <c r="CG161">
        <f t="shared" si="17"/>
        <v>0.124</v>
      </c>
      <c r="CH161">
        <f t="shared" si="17"/>
        <v>-2.63E-2</v>
      </c>
      <c r="CI161">
        <f t="shared" si="17"/>
        <v>-0.16500000000000001</v>
      </c>
      <c r="CJ161">
        <f t="shared" si="17"/>
        <v>-0.157</v>
      </c>
      <c r="CK161">
        <f t="shared" si="17"/>
        <v>-7.6499999999999999E-2</v>
      </c>
      <c r="CL161">
        <f t="shared" si="17"/>
        <v>2.6499999999999999E-2</v>
      </c>
      <c r="CM161">
        <f t="shared" si="17"/>
        <v>5.6000000000000001E-2</v>
      </c>
      <c r="CN161">
        <f t="shared" si="17"/>
        <v>8.1500000000000003E-2</v>
      </c>
      <c r="CO161">
        <f t="shared" si="17"/>
        <v>0.11</v>
      </c>
      <c r="CP161">
        <f t="shared" si="17"/>
        <v>2.4099999999999998E-3</v>
      </c>
      <c r="CQ161">
        <f t="shared" si="17"/>
        <v>-3.1700000000000001E-3</v>
      </c>
      <c r="CR161">
        <f t="shared" si="17"/>
        <v>-6.5500000000000003E-2</v>
      </c>
      <c r="CS161">
        <f t="shared" si="17"/>
        <v>-0.20899999999999999</v>
      </c>
      <c r="CT161">
        <f t="shared" si="17"/>
        <v>4.1000000000000002E-2</v>
      </c>
      <c r="CU161">
        <f t="shared" si="17"/>
        <v>0.14000000000000001</v>
      </c>
      <c r="CV161">
        <f t="shared" si="17"/>
        <v>0.24399999999999999</v>
      </c>
      <c r="CW161">
        <f t="shared" si="17"/>
        <v>2.87E-2</v>
      </c>
      <c r="CX161">
        <f t="shared" si="17"/>
        <v>0.14299999999999999</v>
      </c>
    </row>
    <row r="162" spans="1:102" x14ac:dyDescent="0.2">
      <c r="A162" t="s">
        <v>5909</v>
      </c>
      <c r="B162" t="s">
        <v>220</v>
      </c>
      <c r="C162" t="s">
        <v>221</v>
      </c>
      <c r="D162">
        <f>D110+D135</f>
        <v>-0.71530000000000005</v>
      </c>
      <c r="E162">
        <f t="shared" ref="E162:BP176" si="18">E110+E135</f>
        <v>-6.7500000000000004E-2</v>
      </c>
      <c r="F162">
        <f t="shared" si="18"/>
        <v>0.50380000000000003</v>
      </c>
      <c r="G162">
        <f t="shared" si="18"/>
        <v>-9.9000000000000005E-2</v>
      </c>
      <c r="H162">
        <f t="shared" si="18"/>
        <v>0.82610000000000006</v>
      </c>
      <c r="I162">
        <f t="shared" si="18"/>
        <v>0.21909999999999999</v>
      </c>
      <c r="J162">
        <f t="shared" si="18"/>
        <v>0.52049999999999996</v>
      </c>
      <c r="K162">
        <f t="shared" si="18"/>
        <v>0.40299999999999997</v>
      </c>
      <c r="L162">
        <f t="shared" si="18"/>
        <v>0.28270000000000001</v>
      </c>
      <c r="M162">
        <f t="shared" si="18"/>
        <v>0.50590000000000002</v>
      </c>
      <c r="N162">
        <f t="shared" si="18"/>
        <v>0.49770000000000003</v>
      </c>
      <c r="O162">
        <f t="shared" si="18"/>
        <v>0.2636</v>
      </c>
      <c r="P162">
        <f t="shared" si="18"/>
        <v>0.31190000000000001</v>
      </c>
      <c r="Q162">
        <f t="shared" si="18"/>
        <v>0.26180000000000003</v>
      </c>
      <c r="R162">
        <f t="shared" si="18"/>
        <v>0.2069</v>
      </c>
      <c r="S162">
        <f t="shared" si="18"/>
        <v>0.17759999999999998</v>
      </c>
      <c r="T162">
        <f t="shared" si="18"/>
        <v>0.1201</v>
      </c>
      <c r="U162">
        <f t="shared" si="18"/>
        <v>9.5000000000000001E-2</v>
      </c>
      <c r="V162">
        <f t="shared" si="18"/>
        <v>4.19E-2</v>
      </c>
      <c r="W162">
        <f t="shared" si="18"/>
        <v>3.6299999999999999E-2</v>
      </c>
      <c r="X162">
        <f t="shared" si="18"/>
        <v>4.5399999999999996E-2</v>
      </c>
      <c r="Y162">
        <f t="shared" si="18"/>
        <v>1.7599999999999998E-2</v>
      </c>
      <c r="Z162">
        <f t="shared" si="18"/>
        <v>2.87E-2</v>
      </c>
      <c r="AA162">
        <f t="shared" si="18"/>
        <v>3.5699999999999996E-2</v>
      </c>
      <c r="AB162">
        <f t="shared" si="18"/>
        <v>2.75E-2</v>
      </c>
      <c r="AC162">
        <f t="shared" si="18"/>
        <v>1.55E-2</v>
      </c>
      <c r="AD162">
        <f t="shared" si="18"/>
        <v>1.4499999999999999E-2</v>
      </c>
      <c r="AE162">
        <f t="shared" si="18"/>
        <v>1.9200000000000002E-2</v>
      </c>
      <c r="AF162">
        <f t="shared" si="18"/>
        <v>1.3899999999999999E-2</v>
      </c>
      <c r="AG162">
        <f t="shared" si="18"/>
        <v>1.03E-2</v>
      </c>
      <c r="AH162">
        <f t="shared" si="18"/>
        <v>1.2300000000000002E-2</v>
      </c>
      <c r="AI162">
        <f t="shared" si="18"/>
        <v>1.2100000000000003E-2</v>
      </c>
      <c r="AJ162">
        <f t="shared" si="18"/>
        <v>0</v>
      </c>
      <c r="AK162">
        <f t="shared" si="18"/>
        <v>-4.4000000000000011E-3</v>
      </c>
      <c r="AL162">
        <f t="shared" si="18"/>
        <v>6.0999999999999943E-3</v>
      </c>
      <c r="AM162">
        <f t="shared" si="18"/>
        <v>1.7700000000000004E-2</v>
      </c>
      <c r="AN162">
        <f t="shared" si="18"/>
        <v>1.4899999999999997E-2</v>
      </c>
      <c r="AO162">
        <f t="shared" si="18"/>
        <v>1.26E-2</v>
      </c>
      <c r="AP162">
        <f t="shared" si="18"/>
        <v>2.4600000000000004E-2</v>
      </c>
      <c r="AQ162">
        <f t="shared" si="18"/>
        <v>3.6900000000000002E-2</v>
      </c>
      <c r="AR162">
        <f t="shared" si="18"/>
        <v>4.2300000000000004E-2</v>
      </c>
      <c r="AS162">
        <f t="shared" si="18"/>
        <v>3.85E-2</v>
      </c>
      <c r="AT162">
        <f t="shared" si="18"/>
        <v>3.7100000000000001E-2</v>
      </c>
      <c r="AU162">
        <f t="shared" si="18"/>
        <v>3.7600000000000001E-2</v>
      </c>
      <c r="AV162">
        <f t="shared" si="18"/>
        <v>2.7300000000000001E-2</v>
      </c>
      <c r="AW162">
        <f t="shared" si="18"/>
        <v>7.5999999999999956E-3</v>
      </c>
      <c r="AX162">
        <f t="shared" si="18"/>
        <v>-4.4000000000000011E-3</v>
      </c>
      <c r="AY162">
        <f t="shared" si="18"/>
        <v>-1.6300000000000002E-2</v>
      </c>
      <c r="AZ162">
        <f t="shared" si="18"/>
        <v>-2.0600000000000007E-2</v>
      </c>
      <c r="BA162">
        <f t="shared" si="18"/>
        <v>-3.0199999999999991E-2</v>
      </c>
      <c r="BB162">
        <f t="shared" si="18"/>
        <v>-1.9600000000000006E-2</v>
      </c>
      <c r="BC162">
        <f t="shared" si="18"/>
        <v>-7.3000000000000009E-3</v>
      </c>
      <c r="BD162">
        <f t="shared" si="18"/>
        <v>-8.199999999999999E-3</v>
      </c>
      <c r="BE162">
        <f t="shared" si="18"/>
        <v>-7.3000000000000009E-3</v>
      </c>
      <c r="BF162">
        <f t="shared" si="18"/>
        <v>1.9700000000000002E-2</v>
      </c>
      <c r="BG162">
        <f t="shared" si="18"/>
        <v>2.7099999999999999E-2</v>
      </c>
      <c r="BH162">
        <f t="shared" si="18"/>
        <v>3.5400000000000008E-2</v>
      </c>
      <c r="BI162">
        <f t="shared" si="18"/>
        <v>3.1799999999999995E-2</v>
      </c>
      <c r="BJ162">
        <f t="shared" si="18"/>
        <v>2.5799999999999997E-2</v>
      </c>
      <c r="BK162">
        <f t="shared" si="18"/>
        <v>2.9699999999999997E-2</v>
      </c>
      <c r="BL162">
        <f t="shared" si="18"/>
        <v>3.3399999999999999E-2</v>
      </c>
      <c r="BM162">
        <f t="shared" si="18"/>
        <v>1.8500000000000003E-2</v>
      </c>
      <c r="BN162">
        <f t="shared" si="18"/>
        <v>1.2000000000000066E-3</v>
      </c>
      <c r="BO162">
        <f t="shared" si="18"/>
        <v>-1.7899999999999999E-2</v>
      </c>
      <c r="BP162">
        <f t="shared" si="18"/>
        <v>-2.7499999999999997E-2</v>
      </c>
      <c r="BQ162">
        <f t="shared" ref="BQ162:CX169" si="19">BQ110+BQ135</f>
        <v>-3.5500000000000004E-2</v>
      </c>
      <c r="BR162">
        <f t="shared" si="19"/>
        <v>-3.280000000000001E-2</v>
      </c>
      <c r="BS162">
        <f t="shared" si="19"/>
        <v>-6.7199999999999996E-2</v>
      </c>
      <c r="BT162">
        <f t="shared" si="19"/>
        <v>-9.5000000000000001E-2</v>
      </c>
      <c r="BU162">
        <f t="shared" si="19"/>
        <v>-8.3700000000000011E-2</v>
      </c>
      <c r="BV162">
        <f t="shared" si="19"/>
        <v>6.9000000000000034E-3</v>
      </c>
      <c r="BW162">
        <f t="shared" si="19"/>
        <v>2.9600000000000001E-2</v>
      </c>
      <c r="BX162">
        <f t="shared" si="19"/>
        <v>1.26E-2</v>
      </c>
      <c r="BY162">
        <f t="shared" si="19"/>
        <v>-1.079999999999999E-2</v>
      </c>
      <c r="BZ162">
        <f t="shared" si="19"/>
        <v>1.999999999999999E-2</v>
      </c>
      <c r="CA162">
        <f t="shared" si="19"/>
        <v>2.2200000000000011E-2</v>
      </c>
      <c r="CB162">
        <f t="shared" si="19"/>
        <v>3.95E-2</v>
      </c>
      <c r="CC162">
        <f t="shared" si="19"/>
        <v>3.1399999999999997E-2</v>
      </c>
      <c r="CD162">
        <f t="shared" si="19"/>
        <v>-3.0000000000000027E-3</v>
      </c>
      <c r="CE162">
        <f t="shared" si="19"/>
        <v>-0.15800000000000003</v>
      </c>
      <c r="CF162">
        <f t="shared" si="19"/>
        <v>-0.23070000000000002</v>
      </c>
      <c r="CG162">
        <f t="shared" si="19"/>
        <v>-0.21680000000000002</v>
      </c>
      <c r="CH162">
        <f t="shared" si="19"/>
        <v>-0.10139999999999999</v>
      </c>
      <c r="CI162">
        <f t="shared" si="19"/>
        <v>-2.7400000000000008E-2</v>
      </c>
      <c r="CJ162">
        <f t="shared" si="19"/>
        <v>-2.1499999999999991E-2</v>
      </c>
      <c r="CK162">
        <f t="shared" si="19"/>
        <v>-7.0599999999999996E-2</v>
      </c>
      <c r="CL162">
        <f t="shared" si="19"/>
        <v>-0.10499999999999998</v>
      </c>
      <c r="CM162">
        <f t="shared" si="19"/>
        <v>-0.16310000000000002</v>
      </c>
      <c r="CN162">
        <f t="shared" si="19"/>
        <v>-0.20080000000000003</v>
      </c>
      <c r="CO162">
        <f t="shared" si="19"/>
        <v>-0.21649999999999997</v>
      </c>
      <c r="CP162">
        <f t="shared" si="19"/>
        <v>-0.15389999999999998</v>
      </c>
      <c r="CQ162">
        <f t="shared" si="19"/>
        <v>-0.15079999999999999</v>
      </c>
      <c r="CR162">
        <f t="shared" si="19"/>
        <v>-0.16470000000000001</v>
      </c>
      <c r="CS162">
        <f t="shared" si="19"/>
        <v>-7.0099999999999996E-2</v>
      </c>
      <c r="CT162">
        <f t="shared" si="19"/>
        <v>-0.17880000000000001</v>
      </c>
      <c r="CU162">
        <f t="shared" si="19"/>
        <v>-0.22499999999999998</v>
      </c>
      <c r="CV162">
        <f t="shared" si="19"/>
        <v>-0.2797</v>
      </c>
      <c r="CW162">
        <f t="shared" si="19"/>
        <v>-0.23090000000000002</v>
      </c>
      <c r="CX162">
        <f t="shared" si="19"/>
        <v>-0.25539999999999996</v>
      </c>
    </row>
    <row r="163" spans="1:102" x14ac:dyDescent="0.2">
      <c r="A163" t="s">
        <v>5910</v>
      </c>
      <c r="B163" t="s">
        <v>220</v>
      </c>
      <c r="C163" t="s">
        <v>221</v>
      </c>
      <c r="D163">
        <f t="shared" ref="D163:BO163" si="20">D111+D136</f>
        <v>-2.7099999999999992E-2</v>
      </c>
      <c r="E163">
        <f t="shared" si="20"/>
        <v>0.65529999999999999</v>
      </c>
      <c r="F163">
        <f t="shared" si="20"/>
        <v>1.1235999999999999</v>
      </c>
      <c r="G163">
        <f t="shared" si="20"/>
        <v>0.30880000000000002</v>
      </c>
      <c r="H163">
        <f t="shared" si="20"/>
        <v>1.3008</v>
      </c>
      <c r="I163">
        <f t="shared" si="20"/>
        <v>0.58119999999999994</v>
      </c>
      <c r="J163">
        <f t="shared" si="20"/>
        <v>0.87070000000000003</v>
      </c>
      <c r="K163">
        <f t="shared" si="20"/>
        <v>0.70629999999999993</v>
      </c>
      <c r="L163">
        <f t="shared" si="20"/>
        <v>0.54530000000000001</v>
      </c>
      <c r="M163">
        <f t="shared" si="20"/>
        <v>0.75050000000000006</v>
      </c>
      <c r="N163">
        <f t="shared" si="20"/>
        <v>0.71020000000000005</v>
      </c>
      <c r="O163">
        <f t="shared" si="20"/>
        <v>0.40329999999999999</v>
      </c>
      <c r="P163">
        <f t="shared" si="20"/>
        <v>0.44469999999999998</v>
      </c>
      <c r="Q163">
        <f t="shared" si="20"/>
        <v>0.37879999999999997</v>
      </c>
      <c r="R163">
        <f t="shared" si="20"/>
        <v>0.31140000000000001</v>
      </c>
      <c r="S163">
        <f t="shared" si="20"/>
        <v>0.27260000000000001</v>
      </c>
      <c r="T163">
        <f t="shared" si="20"/>
        <v>0.20200000000000001</v>
      </c>
      <c r="U163">
        <f t="shared" si="20"/>
        <v>0.17199999999999999</v>
      </c>
      <c r="V163">
        <f t="shared" si="20"/>
        <v>0.1116</v>
      </c>
      <c r="W163">
        <f t="shared" si="20"/>
        <v>0.1043</v>
      </c>
      <c r="X163">
        <f t="shared" si="20"/>
        <v>0.1109</v>
      </c>
      <c r="Y163">
        <f t="shared" si="20"/>
        <v>7.7200000000000005E-2</v>
      </c>
      <c r="Z163">
        <f t="shared" si="20"/>
        <v>8.7499999999999994E-2</v>
      </c>
      <c r="AA163">
        <f t="shared" si="20"/>
        <v>9.4200000000000006E-2</v>
      </c>
      <c r="AB163">
        <f t="shared" si="20"/>
        <v>8.6099999999999996E-2</v>
      </c>
      <c r="AC163">
        <f t="shared" si="20"/>
        <v>7.3399999999999993E-2</v>
      </c>
      <c r="AD163">
        <f t="shared" si="20"/>
        <v>7.2500000000000009E-2</v>
      </c>
      <c r="AE163">
        <f t="shared" si="20"/>
        <v>7.7800000000000008E-2</v>
      </c>
      <c r="AF163">
        <f t="shared" si="20"/>
        <v>7.3300000000000004E-2</v>
      </c>
      <c r="AG163">
        <f t="shared" si="20"/>
        <v>7.1000000000000008E-2</v>
      </c>
      <c r="AH163">
        <f t="shared" si="20"/>
        <v>7.5300000000000006E-2</v>
      </c>
      <c r="AI163">
        <f t="shared" si="20"/>
        <v>7.6800000000000007E-2</v>
      </c>
      <c r="AJ163">
        <f t="shared" si="20"/>
        <v>6.7500000000000004E-2</v>
      </c>
      <c r="AK163">
        <f t="shared" si="20"/>
        <v>6.6199999999999995E-2</v>
      </c>
      <c r="AL163">
        <f t="shared" si="20"/>
        <v>7.9899999999999999E-2</v>
      </c>
      <c r="AM163">
        <f t="shared" si="20"/>
        <v>9.1700000000000004E-2</v>
      </c>
      <c r="AN163">
        <f t="shared" si="20"/>
        <v>8.9400000000000007E-2</v>
      </c>
      <c r="AO163">
        <f t="shared" si="20"/>
        <v>8.6999999999999994E-2</v>
      </c>
      <c r="AP163">
        <f t="shared" si="20"/>
        <v>9.8000000000000004E-2</v>
      </c>
      <c r="AQ163">
        <f t="shared" si="20"/>
        <v>0.10970000000000001</v>
      </c>
      <c r="AR163">
        <f t="shared" si="20"/>
        <v>0.115</v>
      </c>
      <c r="AS163">
        <f t="shared" si="20"/>
        <v>0.11130000000000001</v>
      </c>
      <c r="AT163">
        <f t="shared" si="20"/>
        <v>0.11</v>
      </c>
      <c r="AU163">
        <f t="shared" si="20"/>
        <v>0.1105</v>
      </c>
      <c r="AV163">
        <f t="shared" si="20"/>
        <v>0.1</v>
      </c>
      <c r="AW163">
        <f t="shared" si="20"/>
        <v>8.1499999999999989E-2</v>
      </c>
      <c r="AX163">
        <f t="shared" si="20"/>
        <v>7.0999999999999994E-2</v>
      </c>
      <c r="AY163">
        <f t="shared" si="20"/>
        <v>6.0100000000000001E-2</v>
      </c>
      <c r="AZ163">
        <f t="shared" si="20"/>
        <v>5.6799999999999996E-2</v>
      </c>
      <c r="BA163">
        <f t="shared" si="20"/>
        <v>4.8199999999999993E-2</v>
      </c>
      <c r="BB163">
        <f t="shared" si="20"/>
        <v>6.0200000000000004E-2</v>
      </c>
      <c r="BC163">
        <f t="shared" si="20"/>
        <v>7.22E-2</v>
      </c>
      <c r="BD163">
        <f t="shared" si="20"/>
        <v>7.0999999999999994E-2</v>
      </c>
      <c r="BE163">
        <f t="shared" si="20"/>
        <v>7.279999999999999E-2</v>
      </c>
      <c r="BF163">
        <f t="shared" si="20"/>
        <v>0.10170000000000001</v>
      </c>
      <c r="BG163">
        <f t="shared" si="20"/>
        <v>0.1081</v>
      </c>
      <c r="BH163">
        <f t="shared" si="20"/>
        <v>0.1179</v>
      </c>
      <c r="BI163">
        <f t="shared" si="20"/>
        <v>0.11609999999999999</v>
      </c>
      <c r="BJ163">
        <f t="shared" si="20"/>
        <v>0.1103</v>
      </c>
      <c r="BK163">
        <f t="shared" si="20"/>
        <v>0.1162</v>
      </c>
      <c r="BL163">
        <f t="shared" si="20"/>
        <v>0.11979999999999999</v>
      </c>
      <c r="BM163">
        <f t="shared" si="20"/>
        <v>0.10500000000000001</v>
      </c>
      <c r="BN163">
        <f t="shared" si="20"/>
        <v>8.6399999999999991E-2</v>
      </c>
      <c r="BO163">
        <f t="shared" si="20"/>
        <v>6.4500000000000002E-2</v>
      </c>
      <c r="BP163">
        <f t="shared" si="18"/>
        <v>5.3499999999999999E-2</v>
      </c>
      <c r="BQ163">
        <f t="shared" si="19"/>
        <v>4.5600000000000002E-2</v>
      </c>
      <c r="BR163">
        <f t="shared" si="19"/>
        <v>4.53E-2</v>
      </c>
      <c r="BS163">
        <f t="shared" si="19"/>
        <v>1.2200000000000003E-2</v>
      </c>
      <c r="BT163">
        <f t="shared" si="19"/>
        <v>-1.5100000000000002E-2</v>
      </c>
      <c r="BU163">
        <f t="shared" si="19"/>
        <v>2.4000000000000132E-3</v>
      </c>
      <c r="BV163">
        <f t="shared" si="19"/>
        <v>0.1053</v>
      </c>
      <c r="BW163">
        <f t="shared" si="19"/>
        <v>0.1353</v>
      </c>
      <c r="BX163">
        <f t="shared" si="19"/>
        <v>0.12</v>
      </c>
      <c r="BY163">
        <f t="shared" si="19"/>
        <v>9.3200000000000005E-2</v>
      </c>
      <c r="BZ163">
        <f t="shared" si="19"/>
        <v>0.1192</v>
      </c>
      <c r="CA163">
        <f t="shared" si="19"/>
        <v>0.1202</v>
      </c>
      <c r="CB163">
        <f t="shared" si="19"/>
        <v>0.13950000000000001</v>
      </c>
      <c r="CC163">
        <f t="shared" si="19"/>
        <v>0.1321</v>
      </c>
      <c r="CD163">
        <f t="shared" si="19"/>
        <v>9.8699999999999996E-2</v>
      </c>
      <c r="CE163">
        <f t="shared" si="19"/>
        <v>-4.5500000000000013E-2</v>
      </c>
      <c r="CF163">
        <f t="shared" si="19"/>
        <v>-0.11410000000000001</v>
      </c>
      <c r="CG163">
        <f t="shared" si="19"/>
        <v>-0.10240000000000002</v>
      </c>
      <c r="CH163">
        <f t="shared" si="19"/>
        <v>1.0700000000000015E-2</v>
      </c>
      <c r="CI163">
        <f t="shared" si="19"/>
        <v>9.0400000000000008E-2</v>
      </c>
      <c r="CJ163">
        <f t="shared" si="19"/>
        <v>0.1048</v>
      </c>
      <c r="CK163">
        <f t="shared" si="19"/>
        <v>4.7600000000000017E-2</v>
      </c>
      <c r="CL163">
        <f t="shared" si="19"/>
        <v>7.2000000000000119E-3</v>
      </c>
      <c r="CM163">
        <f t="shared" si="19"/>
        <v>-5.1999999999999991E-2</v>
      </c>
      <c r="CN163">
        <f t="shared" si="19"/>
        <v>-6.4299999999999996E-2</v>
      </c>
      <c r="CO163">
        <f t="shared" si="19"/>
        <v>-7.3300000000000004E-2</v>
      </c>
      <c r="CP163">
        <f t="shared" si="19"/>
        <v>-2.4599999999999983E-2</v>
      </c>
      <c r="CQ163">
        <f t="shared" si="19"/>
        <v>-2.049999999999999E-2</v>
      </c>
      <c r="CR163">
        <f t="shared" si="19"/>
        <v>1.7100000000000004E-2</v>
      </c>
      <c r="CS163">
        <f t="shared" si="19"/>
        <v>0.11180000000000001</v>
      </c>
      <c r="CT163">
        <f t="shared" si="19"/>
        <v>2.2600000000000009E-2</v>
      </c>
      <c r="CU163">
        <f t="shared" si="19"/>
        <v>-1.3600000000000001E-2</v>
      </c>
      <c r="CV163">
        <f t="shared" si="19"/>
        <v>-5.3599999999999981E-2</v>
      </c>
      <c r="CW163">
        <f t="shared" si="19"/>
        <v>0.10249999999999998</v>
      </c>
      <c r="CX163">
        <f t="shared" si="19"/>
        <v>4.699999999999982E-3</v>
      </c>
    </row>
    <row r="164" spans="1:102" x14ac:dyDescent="0.2">
      <c r="A164" t="s">
        <v>5911</v>
      </c>
      <c r="B164" t="s">
        <v>220</v>
      </c>
      <c r="C164" t="s">
        <v>221</v>
      </c>
      <c r="D164">
        <f t="shared" ref="D164:BO164" si="21">D112+D137</f>
        <v>-0.25529999999999997</v>
      </c>
      <c r="E164">
        <f t="shared" si="21"/>
        <v>-0.26729999999999998</v>
      </c>
      <c r="F164">
        <f t="shared" si="21"/>
        <v>-8.4499999999999992E-2</v>
      </c>
      <c r="G164">
        <f t="shared" si="21"/>
        <v>-0.22600000000000001</v>
      </c>
      <c r="H164">
        <f t="shared" si="21"/>
        <v>3.6699999999999997E-2</v>
      </c>
      <c r="I164">
        <f t="shared" si="21"/>
        <v>-0.14509999999999998</v>
      </c>
      <c r="J164">
        <f t="shared" si="21"/>
        <v>-9.7000000000000003E-3</v>
      </c>
      <c r="K164">
        <f t="shared" si="21"/>
        <v>8.0000000000000036E-4</v>
      </c>
      <c r="L164">
        <f t="shared" si="21"/>
        <v>-3.61E-2</v>
      </c>
      <c r="M164">
        <f t="shared" si="21"/>
        <v>7.8700000000000006E-2</v>
      </c>
      <c r="N164">
        <f t="shared" si="21"/>
        <v>0.13170000000000001</v>
      </c>
      <c r="O164">
        <f t="shared" si="21"/>
        <v>5.8200000000000002E-2</v>
      </c>
      <c r="P164">
        <f t="shared" si="21"/>
        <v>0.10629999999999999</v>
      </c>
      <c r="Q164">
        <f t="shared" si="21"/>
        <v>8.5599999999999996E-2</v>
      </c>
      <c r="R164">
        <f t="shared" si="21"/>
        <v>4.9700000000000001E-2</v>
      </c>
      <c r="S164">
        <f t="shared" si="21"/>
        <v>3.3800000000000004E-2</v>
      </c>
      <c r="T164">
        <f t="shared" si="21"/>
        <v>9.1000000000000004E-3</v>
      </c>
      <c r="U164">
        <f t="shared" si="21"/>
        <v>-2.9999999999999992E-4</v>
      </c>
      <c r="V164">
        <f t="shared" si="21"/>
        <v>-1.66E-2</v>
      </c>
      <c r="W164">
        <f t="shared" si="21"/>
        <v>-1.32E-2</v>
      </c>
      <c r="X164">
        <f t="shared" si="21"/>
        <v>-5.5999999999999999E-3</v>
      </c>
      <c r="Y164">
        <f t="shared" si="21"/>
        <v>-1.9899999999999998E-2</v>
      </c>
      <c r="Z164">
        <f t="shared" si="21"/>
        <v>-1.66E-2</v>
      </c>
      <c r="AA164">
        <f t="shared" si="21"/>
        <v>-8.0000000000000036E-4</v>
      </c>
      <c r="AB164">
        <f t="shared" si="21"/>
        <v>-2.5000000000000001E-3</v>
      </c>
      <c r="AC164">
        <f t="shared" si="21"/>
        <v>-8.4000000000000012E-3</v>
      </c>
      <c r="AD164">
        <f t="shared" si="21"/>
        <v>-5.5000000000000005E-3</v>
      </c>
      <c r="AE164">
        <f t="shared" si="21"/>
        <v>-4.5999999999999999E-3</v>
      </c>
      <c r="AF164">
        <f t="shared" si="21"/>
        <v>-1.32E-2</v>
      </c>
      <c r="AG164">
        <f t="shared" si="21"/>
        <v>-1.5300000000000001E-2</v>
      </c>
      <c r="AH164">
        <f t="shared" si="21"/>
        <v>3.5000000000000001E-3</v>
      </c>
      <c r="AI164">
        <f t="shared" si="21"/>
        <v>1.8E-3</v>
      </c>
      <c r="AJ164">
        <f t="shared" si="21"/>
        <v>-7.0000000000000001E-3</v>
      </c>
      <c r="AK164">
        <f t="shared" si="21"/>
        <v>-4.2999999999999991E-3</v>
      </c>
      <c r="AL164">
        <f t="shared" si="21"/>
        <v>7.6E-3</v>
      </c>
      <c r="AM164">
        <f t="shared" si="21"/>
        <v>2.1999999999999997E-3</v>
      </c>
      <c r="AN164">
        <f t="shared" si="21"/>
        <v>6.3E-3</v>
      </c>
      <c r="AO164">
        <f t="shared" si="21"/>
        <v>6.1999999999999998E-3</v>
      </c>
      <c r="AP164">
        <f t="shared" si="21"/>
        <v>2.7100000000000003E-2</v>
      </c>
      <c r="AQ164">
        <f t="shared" si="21"/>
        <v>4.1799999999999997E-2</v>
      </c>
      <c r="AR164">
        <f t="shared" si="21"/>
        <v>4.5200000000000004E-2</v>
      </c>
      <c r="AS164">
        <f t="shared" si="21"/>
        <v>4.19E-2</v>
      </c>
      <c r="AT164">
        <f t="shared" si="21"/>
        <v>3.7600000000000001E-2</v>
      </c>
      <c r="AU164">
        <f t="shared" si="21"/>
        <v>3.9800000000000002E-2</v>
      </c>
      <c r="AV164">
        <f t="shared" si="21"/>
        <v>2.8399999999999998E-2</v>
      </c>
      <c r="AW164">
        <f t="shared" si="21"/>
        <v>5.3999999999999994E-3</v>
      </c>
      <c r="AX164">
        <f t="shared" si="21"/>
        <v>-2.69E-2</v>
      </c>
      <c r="AY164">
        <f t="shared" si="21"/>
        <v>-3.39E-2</v>
      </c>
      <c r="AZ164">
        <f t="shared" si="21"/>
        <v>-3.44E-2</v>
      </c>
      <c r="BA164">
        <f t="shared" si="21"/>
        <v>-4.0399999999999998E-2</v>
      </c>
      <c r="BB164">
        <f t="shared" si="21"/>
        <v>-1.9900000000000001E-2</v>
      </c>
      <c r="BC164">
        <f t="shared" si="21"/>
        <v>-1.2999999999999998E-2</v>
      </c>
      <c r="BD164">
        <f t="shared" si="21"/>
        <v>-4.1999999999999989E-3</v>
      </c>
      <c r="BE164">
        <f t="shared" si="21"/>
        <v>3.0000000000000009E-3</v>
      </c>
      <c r="BF164">
        <f t="shared" si="21"/>
        <v>1.7599999999999998E-2</v>
      </c>
      <c r="BG164">
        <f t="shared" si="21"/>
        <v>3.0599999999999999E-2</v>
      </c>
      <c r="BH164">
        <f t="shared" si="21"/>
        <v>4.1200000000000001E-2</v>
      </c>
      <c r="BI164">
        <f t="shared" si="21"/>
        <v>3.9799999999999995E-2</v>
      </c>
      <c r="BJ164">
        <f t="shared" si="21"/>
        <v>3.1300000000000001E-2</v>
      </c>
      <c r="BK164">
        <f t="shared" si="21"/>
        <v>4.2300000000000004E-2</v>
      </c>
      <c r="BL164">
        <f t="shared" si="21"/>
        <v>4.4199999999999996E-2</v>
      </c>
      <c r="BM164">
        <f t="shared" si="21"/>
        <v>4.07E-2</v>
      </c>
      <c r="BN164">
        <f t="shared" si="21"/>
        <v>1.9299999999999998E-2</v>
      </c>
      <c r="BO164">
        <f t="shared" si="21"/>
        <v>-1.7999999999999995E-3</v>
      </c>
      <c r="BP164">
        <f t="shared" si="18"/>
        <v>-6.0000000000000001E-3</v>
      </c>
      <c r="BQ164">
        <f t="shared" si="19"/>
        <v>-8.2000000000000007E-3</v>
      </c>
      <c r="BR164">
        <f t="shared" si="19"/>
        <v>-1.0399999999999998E-2</v>
      </c>
      <c r="BS164">
        <f t="shared" si="19"/>
        <v>-4.0399999999999998E-2</v>
      </c>
      <c r="BT164">
        <f t="shared" si="19"/>
        <v>-6.6200000000000009E-2</v>
      </c>
      <c r="BU164">
        <f t="shared" si="19"/>
        <v>-4.4700000000000004E-2</v>
      </c>
      <c r="BV164">
        <f t="shared" si="19"/>
        <v>7.2000000000000008E-2</v>
      </c>
      <c r="BW164">
        <f t="shared" si="19"/>
        <v>0.1026</v>
      </c>
      <c r="BX164">
        <f t="shared" si="19"/>
        <v>8.2200000000000009E-2</v>
      </c>
      <c r="BY164">
        <f t="shared" si="19"/>
        <v>7.4200000000000002E-2</v>
      </c>
      <c r="BZ164">
        <f t="shared" si="19"/>
        <v>0.1069</v>
      </c>
      <c r="CA164">
        <f t="shared" si="19"/>
        <v>0.1018</v>
      </c>
      <c r="CB164">
        <f t="shared" si="19"/>
        <v>0.12870000000000001</v>
      </c>
      <c r="CC164">
        <f t="shared" si="19"/>
        <v>0.1245</v>
      </c>
      <c r="CD164">
        <f t="shared" si="19"/>
        <v>7.7200000000000005E-2</v>
      </c>
      <c r="CE164">
        <f t="shared" si="19"/>
        <v>-6.9999999999999993E-2</v>
      </c>
      <c r="CF164">
        <f t="shared" si="19"/>
        <v>-0.12340000000000001</v>
      </c>
      <c r="CG164">
        <f t="shared" si="19"/>
        <v>-0.1037</v>
      </c>
      <c r="CH164">
        <f t="shared" si="19"/>
        <v>-1.9000000000000006E-3</v>
      </c>
      <c r="CI164">
        <f t="shared" si="19"/>
        <v>8.6099999999999996E-2</v>
      </c>
      <c r="CJ164">
        <f t="shared" si="19"/>
        <v>0.11860000000000001</v>
      </c>
      <c r="CK164">
        <f t="shared" si="19"/>
        <v>7.8399999999999997E-2</v>
      </c>
      <c r="CL164">
        <f t="shared" si="19"/>
        <v>3.1699999999999999E-2</v>
      </c>
      <c r="CM164">
        <f t="shared" si="19"/>
        <v>-2.1199999999999997E-2</v>
      </c>
      <c r="CN164">
        <f t="shared" si="19"/>
        <v>-2.0900000000000002E-2</v>
      </c>
      <c r="CO164">
        <f t="shared" si="19"/>
        <v>-4.4000000000000004E-2</v>
      </c>
      <c r="CP164">
        <f t="shared" si="19"/>
        <v>3.8000000000000013E-3</v>
      </c>
      <c r="CQ164">
        <f t="shared" si="19"/>
        <v>2.4500000000000001E-2</v>
      </c>
      <c r="CR164">
        <f t="shared" si="19"/>
        <v>8.09E-2</v>
      </c>
      <c r="CS164">
        <f t="shared" si="19"/>
        <v>0.17660000000000001</v>
      </c>
      <c r="CT164">
        <f t="shared" si="19"/>
        <v>8.6000000000000007E-2</v>
      </c>
      <c r="CU164">
        <f t="shared" si="19"/>
        <v>-1.9799999999999998E-2</v>
      </c>
      <c r="CV164">
        <f t="shared" si="19"/>
        <v>-6.6000000000000003E-2</v>
      </c>
      <c r="CW164">
        <f t="shared" si="19"/>
        <v>4.58E-2</v>
      </c>
      <c r="CX164">
        <f t="shared" si="19"/>
        <v>-0.13069999999999998</v>
      </c>
    </row>
    <row r="165" spans="1:102" x14ac:dyDescent="0.2">
      <c r="A165" t="s">
        <v>5912</v>
      </c>
      <c r="B165" t="s">
        <v>220</v>
      </c>
      <c r="C165" t="s">
        <v>221</v>
      </c>
      <c r="D165">
        <f t="shared" ref="D165:BO165" si="22">D113+D138</f>
        <v>5.6899999999999999E-2</v>
      </c>
      <c r="E165">
        <f t="shared" si="22"/>
        <v>3.5700000000000003E-2</v>
      </c>
      <c r="F165">
        <f t="shared" si="22"/>
        <v>0.17450000000000002</v>
      </c>
      <c r="G165">
        <f t="shared" si="22"/>
        <v>-4.1399999999999999E-2</v>
      </c>
      <c r="H165">
        <f t="shared" si="22"/>
        <v>0.2354</v>
      </c>
      <c r="I165">
        <f t="shared" si="22"/>
        <v>2.46E-2</v>
      </c>
      <c r="J165">
        <f t="shared" si="22"/>
        <v>0.156</v>
      </c>
      <c r="K165">
        <f t="shared" si="22"/>
        <v>0.1716</v>
      </c>
      <c r="L165">
        <f t="shared" si="22"/>
        <v>0.11299999999999999</v>
      </c>
      <c r="M165">
        <f t="shared" si="22"/>
        <v>0.22009999999999999</v>
      </c>
      <c r="N165">
        <f t="shared" si="22"/>
        <v>0.25700000000000001</v>
      </c>
      <c r="O165">
        <f t="shared" si="22"/>
        <v>0.1399</v>
      </c>
      <c r="P165">
        <f t="shared" si="22"/>
        <v>0.1852</v>
      </c>
      <c r="Q165">
        <f t="shared" si="22"/>
        <v>0.15620000000000001</v>
      </c>
      <c r="R165">
        <f t="shared" si="22"/>
        <v>0.1138</v>
      </c>
      <c r="S165">
        <f t="shared" si="22"/>
        <v>9.2999999999999999E-2</v>
      </c>
      <c r="T165">
        <f t="shared" si="22"/>
        <v>6.1100000000000002E-2</v>
      </c>
      <c r="U165">
        <f t="shared" si="22"/>
        <v>4.8999999999999995E-2</v>
      </c>
      <c r="V165">
        <f t="shared" si="22"/>
        <v>2.9100000000000001E-2</v>
      </c>
      <c r="W165">
        <f t="shared" si="22"/>
        <v>3.2399999999999998E-2</v>
      </c>
      <c r="X165">
        <f t="shared" si="22"/>
        <v>3.85E-2</v>
      </c>
      <c r="Y165">
        <f t="shared" si="22"/>
        <v>2.0500000000000001E-2</v>
      </c>
      <c r="Z165">
        <f t="shared" si="22"/>
        <v>2.3199999999999998E-2</v>
      </c>
      <c r="AA165">
        <f t="shared" si="22"/>
        <v>3.9399999999999998E-2</v>
      </c>
      <c r="AB165">
        <f t="shared" si="22"/>
        <v>3.7999999999999999E-2</v>
      </c>
      <c r="AC165">
        <f t="shared" si="22"/>
        <v>3.2100000000000004E-2</v>
      </c>
      <c r="AD165">
        <f t="shared" si="22"/>
        <v>3.5299999999999998E-2</v>
      </c>
      <c r="AE165">
        <f t="shared" si="22"/>
        <v>3.6699999999999997E-2</v>
      </c>
      <c r="AF165">
        <f t="shared" si="22"/>
        <v>2.8900000000000002E-2</v>
      </c>
      <c r="AG165">
        <f t="shared" si="22"/>
        <v>2.7799999999999998E-2</v>
      </c>
      <c r="AH165">
        <f t="shared" si="22"/>
        <v>4.8300000000000003E-2</v>
      </c>
      <c r="AI165">
        <f t="shared" si="22"/>
        <v>4.8000000000000001E-2</v>
      </c>
      <c r="AJ165">
        <f t="shared" si="22"/>
        <v>4.1200000000000001E-2</v>
      </c>
      <c r="AK165">
        <f t="shared" si="22"/>
        <v>4.6100000000000002E-2</v>
      </c>
      <c r="AL165">
        <f t="shared" si="22"/>
        <v>6.0300000000000006E-2</v>
      </c>
      <c r="AM165">
        <f t="shared" si="22"/>
        <v>5.5600000000000004E-2</v>
      </c>
      <c r="AN165">
        <f t="shared" si="22"/>
        <v>6.0299999999999999E-2</v>
      </c>
      <c r="AO165">
        <f t="shared" si="22"/>
        <v>6.0100000000000001E-2</v>
      </c>
      <c r="AP165">
        <f t="shared" si="22"/>
        <v>8.0500000000000002E-2</v>
      </c>
      <c r="AQ165">
        <f t="shared" si="22"/>
        <v>9.459999999999999E-2</v>
      </c>
      <c r="AR165">
        <f t="shared" si="22"/>
        <v>9.7400000000000014E-2</v>
      </c>
      <c r="AS165">
        <f t="shared" si="22"/>
        <v>9.4100000000000003E-2</v>
      </c>
      <c r="AT165">
        <f t="shared" si="22"/>
        <v>8.9800000000000005E-2</v>
      </c>
      <c r="AU165">
        <f t="shared" si="22"/>
        <v>9.1999999999999998E-2</v>
      </c>
      <c r="AV165">
        <f t="shared" si="22"/>
        <v>8.0600000000000005E-2</v>
      </c>
      <c r="AW165">
        <f t="shared" si="22"/>
        <v>5.8199999999999995E-2</v>
      </c>
      <c r="AX165">
        <f t="shared" si="22"/>
        <v>2.69E-2</v>
      </c>
      <c r="AY165">
        <f t="shared" si="22"/>
        <v>2.0500000000000001E-2</v>
      </c>
      <c r="AZ165">
        <f t="shared" si="22"/>
        <v>2.0499999999999997E-2</v>
      </c>
      <c r="BA165">
        <f t="shared" si="22"/>
        <v>1.4999999999999999E-2</v>
      </c>
      <c r="BB165">
        <f t="shared" si="22"/>
        <v>3.61E-2</v>
      </c>
      <c r="BC165">
        <f t="shared" si="22"/>
        <v>4.2700000000000002E-2</v>
      </c>
      <c r="BD165">
        <f t="shared" si="22"/>
        <v>5.0999999999999997E-2</v>
      </c>
      <c r="BE165">
        <f t="shared" si="22"/>
        <v>5.8799999999999998E-2</v>
      </c>
      <c r="BF165">
        <f t="shared" si="22"/>
        <v>7.4900000000000008E-2</v>
      </c>
      <c r="BG165">
        <f t="shared" si="22"/>
        <v>8.7300000000000003E-2</v>
      </c>
      <c r="BH165">
        <f t="shared" si="22"/>
        <v>9.8599999999999993E-2</v>
      </c>
      <c r="BI165">
        <f t="shared" si="22"/>
        <v>9.8500000000000004E-2</v>
      </c>
      <c r="BJ165">
        <f t="shared" si="22"/>
        <v>9.0299999999999991E-2</v>
      </c>
      <c r="BK165">
        <f t="shared" si="22"/>
        <v>0.10290000000000001</v>
      </c>
      <c r="BL165">
        <f t="shared" si="22"/>
        <v>0.1052</v>
      </c>
      <c r="BM165">
        <f t="shared" si="22"/>
        <v>0.10139999999999999</v>
      </c>
      <c r="BN165">
        <f t="shared" si="22"/>
        <v>7.9500000000000001E-2</v>
      </c>
      <c r="BO165">
        <f t="shared" si="22"/>
        <v>5.6800000000000003E-2</v>
      </c>
      <c r="BP165">
        <f t="shared" si="18"/>
        <v>5.16E-2</v>
      </c>
      <c r="BQ165">
        <f t="shared" si="19"/>
        <v>4.9399999999999999E-2</v>
      </c>
      <c r="BR165">
        <f t="shared" si="19"/>
        <v>4.5999999999999999E-2</v>
      </c>
      <c r="BS165">
        <f t="shared" si="19"/>
        <v>1.6899999999999998E-2</v>
      </c>
      <c r="BT165">
        <f t="shared" si="19"/>
        <v>-8.0999999999999978E-3</v>
      </c>
      <c r="BU165">
        <f t="shared" si="19"/>
        <v>1.8100000000000002E-2</v>
      </c>
      <c r="BV165">
        <f t="shared" si="19"/>
        <v>0.1434</v>
      </c>
      <c r="BW165">
        <f t="shared" si="19"/>
        <v>0.18030000000000002</v>
      </c>
      <c r="BX165">
        <f t="shared" si="19"/>
        <v>0.16089999999999999</v>
      </c>
      <c r="BY165">
        <f t="shared" si="19"/>
        <v>0.14960000000000001</v>
      </c>
      <c r="BZ165">
        <f t="shared" si="19"/>
        <v>0.17850000000000002</v>
      </c>
      <c r="CA165">
        <f t="shared" si="19"/>
        <v>0.17219999999999999</v>
      </c>
      <c r="CB165">
        <f t="shared" si="19"/>
        <v>0.20079999999999998</v>
      </c>
      <c r="CC165">
        <f t="shared" si="19"/>
        <v>0.19749999999999998</v>
      </c>
      <c r="CD165">
        <f t="shared" si="19"/>
        <v>0.15140000000000001</v>
      </c>
      <c r="CE165">
        <f t="shared" si="19"/>
        <v>1.2E-2</v>
      </c>
      <c r="CF165">
        <f t="shared" si="19"/>
        <v>-3.8900000000000004E-2</v>
      </c>
      <c r="CG165">
        <f t="shared" si="19"/>
        <v>-2.0400000000000001E-2</v>
      </c>
      <c r="CH165">
        <f t="shared" si="19"/>
        <v>8.5800000000000001E-2</v>
      </c>
      <c r="CI165">
        <f t="shared" si="19"/>
        <v>0.18090000000000001</v>
      </c>
      <c r="CJ165">
        <f t="shared" si="19"/>
        <v>0.2198</v>
      </c>
      <c r="CK165">
        <f t="shared" si="19"/>
        <v>0.17330000000000001</v>
      </c>
      <c r="CL165">
        <f t="shared" si="19"/>
        <v>0.1221</v>
      </c>
      <c r="CM165">
        <f t="shared" si="19"/>
        <v>6.7099999999999993E-2</v>
      </c>
      <c r="CN165">
        <f t="shared" si="19"/>
        <v>8.6300000000000002E-2</v>
      </c>
      <c r="CO165">
        <f t="shared" si="19"/>
        <v>6.5500000000000003E-2</v>
      </c>
      <c r="CP165">
        <f t="shared" si="19"/>
        <v>0.1023</v>
      </c>
      <c r="CQ165">
        <f t="shared" si="19"/>
        <v>0.1216</v>
      </c>
      <c r="CR165">
        <f t="shared" si="19"/>
        <v>0.21360000000000001</v>
      </c>
      <c r="CS165">
        <f t="shared" si="19"/>
        <v>0.30400000000000005</v>
      </c>
      <c r="CT165">
        <f t="shared" si="19"/>
        <v>0.23050000000000001</v>
      </c>
      <c r="CU165">
        <f t="shared" si="19"/>
        <v>0.1283</v>
      </c>
      <c r="CV165">
        <f t="shared" si="19"/>
        <v>8.3100000000000007E-2</v>
      </c>
      <c r="CW165">
        <f t="shared" si="19"/>
        <v>0.2389</v>
      </c>
      <c r="CX165">
        <f t="shared" si="19"/>
        <v>7.5399999999999995E-2</v>
      </c>
    </row>
    <row r="166" spans="1:102" x14ac:dyDescent="0.2">
      <c r="A166" t="s">
        <v>5913</v>
      </c>
      <c r="B166" t="s">
        <v>220</v>
      </c>
      <c r="C166" t="s">
        <v>221</v>
      </c>
      <c r="D166">
        <f t="shared" ref="D166:BO166" si="23">D114+D139</f>
        <v>5.4900000000000004E-2</v>
      </c>
      <c r="E166">
        <f t="shared" si="23"/>
        <v>5.1200000000000002E-2</v>
      </c>
      <c r="F166">
        <f t="shared" si="23"/>
        <v>1.5999999999999999E-3</v>
      </c>
      <c r="G166">
        <f t="shared" si="23"/>
        <v>3.7999999999999999E-2</v>
      </c>
      <c r="H166">
        <f t="shared" si="23"/>
        <v>-5.3700000000000005E-2</v>
      </c>
      <c r="I166">
        <f t="shared" si="23"/>
        <v>1.4000000000000002E-3</v>
      </c>
      <c r="J166">
        <f t="shared" si="23"/>
        <v>-2.5100000000000001E-2</v>
      </c>
      <c r="K166">
        <f t="shared" si="23"/>
        <v>-2.6099999999999998E-2</v>
      </c>
      <c r="L166">
        <f t="shared" si="23"/>
        <v>-1.5799999999999998E-2</v>
      </c>
      <c r="M166">
        <f t="shared" si="23"/>
        <v>-3.7100000000000001E-2</v>
      </c>
      <c r="N166">
        <f t="shared" si="23"/>
        <v>-3.9299999999999995E-2</v>
      </c>
      <c r="O166">
        <f t="shared" si="23"/>
        <v>-1.89E-2</v>
      </c>
      <c r="P166">
        <f t="shared" si="23"/>
        <v>-2.3699999999999999E-2</v>
      </c>
      <c r="Q166">
        <f t="shared" si="23"/>
        <v>-1.8299999999999997E-2</v>
      </c>
      <c r="R166">
        <f t="shared" si="23"/>
        <v>-1.29E-2</v>
      </c>
      <c r="S166">
        <f t="shared" si="23"/>
        <v>-8.8999999999999999E-3</v>
      </c>
      <c r="T166">
        <f t="shared" si="23"/>
        <v>-2.8999999999999998E-3</v>
      </c>
      <c r="U166">
        <f t="shared" si="23"/>
        <v>-1.6000000000000001E-3</v>
      </c>
      <c r="V166">
        <f t="shared" si="23"/>
        <v>3.6000000000000003E-3</v>
      </c>
      <c r="W166">
        <f t="shared" si="23"/>
        <v>1.8999999999999998E-3</v>
      </c>
      <c r="X166">
        <f t="shared" si="23"/>
        <v>-3.0000000000000014E-4</v>
      </c>
      <c r="Y166">
        <f t="shared" si="23"/>
        <v>3.2000000000000002E-3</v>
      </c>
      <c r="Z166">
        <f t="shared" si="23"/>
        <v>1.8999999999999998E-3</v>
      </c>
      <c r="AA166">
        <f t="shared" si="23"/>
        <v>1.8E-3</v>
      </c>
      <c r="AB166">
        <f t="shared" si="23"/>
        <v>4.0999999999999995E-3</v>
      </c>
      <c r="AC166">
        <f t="shared" si="23"/>
        <v>6.1000000000000013E-3</v>
      </c>
      <c r="AD166">
        <f t="shared" si="23"/>
        <v>6.7999999999999996E-3</v>
      </c>
      <c r="AE166">
        <f t="shared" si="23"/>
        <v>6.6E-3</v>
      </c>
      <c r="AF166">
        <f t="shared" si="23"/>
        <v>8.4000000000000012E-3</v>
      </c>
      <c r="AG166">
        <f t="shared" si="23"/>
        <v>7.7999999999999996E-3</v>
      </c>
      <c r="AH166">
        <f t="shared" si="23"/>
        <v>6.6E-3</v>
      </c>
      <c r="AI166">
        <f t="shared" si="23"/>
        <v>7.899999999999999E-3</v>
      </c>
      <c r="AJ166">
        <f t="shared" si="23"/>
        <v>1.17E-2</v>
      </c>
      <c r="AK166">
        <f t="shared" si="23"/>
        <v>1.0599999999999998E-2</v>
      </c>
      <c r="AL166">
        <f t="shared" si="23"/>
        <v>9.4000000000000004E-3</v>
      </c>
      <c r="AM166">
        <f t="shared" si="23"/>
        <v>9.6000000000000009E-3</v>
      </c>
      <c r="AN166">
        <f t="shared" si="23"/>
        <v>1.0999999999999999E-2</v>
      </c>
      <c r="AO166">
        <f t="shared" si="23"/>
        <v>1.14E-2</v>
      </c>
      <c r="AP166">
        <f t="shared" si="23"/>
        <v>8.8000000000000005E-3</v>
      </c>
      <c r="AQ166">
        <f t="shared" si="23"/>
        <v>5.4000000000000003E-3</v>
      </c>
      <c r="AR166">
        <f t="shared" si="23"/>
        <v>5.4000000000000003E-3</v>
      </c>
      <c r="AS166">
        <f t="shared" si="23"/>
        <v>6.0000000000000001E-3</v>
      </c>
      <c r="AT166">
        <f t="shared" si="23"/>
        <v>5.4999999999999997E-3</v>
      </c>
      <c r="AU166">
        <f t="shared" si="23"/>
        <v>4.5000000000000005E-3</v>
      </c>
      <c r="AV166">
        <f t="shared" si="23"/>
        <v>7.1000000000000004E-3</v>
      </c>
      <c r="AW166">
        <f t="shared" si="23"/>
        <v>1.3299999999999999E-2</v>
      </c>
      <c r="AX166">
        <f t="shared" si="23"/>
        <v>1.8700000000000001E-2</v>
      </c>
      <c r="AY166">
        <f t="shared" si="23"/>
        <v>1.9400000000000001E-2</v>
      </c>
      <c r="AZ166">
        <f t="shared" si="23"/>
        <v>1.78E-2</v>
      </c>
      <c r="BA166">
        <f t="shared" si="23"/>
        <v>1.7399999999999999E-2</v>
      </c>
      <c r="BB166">
        <f t="shared" si="23"/>
        <v>1.5599999999999999E-2</v>
      </c>
      <c r="BC166">
        <f t="shared" si="23"/>
        <v>1.2899999999999998E-2</v>
      </c>
      <c r="BD166">
        <f t="shared" si="23"/>
        <v>8.5000000000000006E-3</v>
      </c>
      <c r="BE166">
        <f t="shared" si="23"/>
        <v>7.3000000000000001E-3</v>
      </c>
      <c r="BF166">
        <f t="shared" si="23"/>
        <v>3.5999999999999999E-3</v>
      </c>
      <c r="BG166">
        <f t="shared" si="23"/>
        <v>5.0000000000000044E-4</v>
      </c>
      <c r="BH166">
        <f t="shared" si="23"/>
        <v>-3.9000000000000003E-3</v>
      </c>
      <c r="BI166">
        <f t="shared" si="23"/>
        <v>-1.9999999999999996E-3</v>
      </c>
      <c r="BJ166">
        <f t="shared" si="23"/>
        <v>1.1000000000000003E-3</v>
      </c>
      <c r="BK166">
        <f t="shared" si="23"/>
        <v>1.9999999999999966E-4</v>
      </c>
      <c r="BL166">
        <f t="shared" si="23"/>
        <v>-1.7000000000000001E-3</v>
      </c>
      <c r="BM166">
        <f t="shared" si="23"/>
        <v>1E-3</v>
      </c>
      <c r="BN166">
        <f t="shared" si="23"/>
        <v>3.4999999999999996E-3</v>
      </c>
      <c r="BO166">
        <f t="shared" si="23"/>
        <v>7.7000000000000002E-3</v>
      </c>
      <c r="BP166">
        <f t="shared" si="18"/>
        <v>1.0700000000000001E-2</v>
      </c>
      <c r="BQ166">
        <f t="shared" si="19"/>
        <v>1.0700000000000001E-2</v>
      </c>
      <c r="BR166">
        <f t="shared" si="19"/>
        <v>9.1999999999999998E-3</v>
      </c>
      <c r="BS166">
        <f t="shared" si="19"/>
        <v>1.43E-2</v>
      </c>
      <c r="BT166">
        <f t="shared" si="19"/>
        <v>1.8700000000000001E-2</v>
      </c>
      <c r="BU166">
        <f t="shared" si="19"/>
        <v>1.43E-2</v>
      </c>
      <c r="BV166">
        <f t="shared" si="19"/>
        <v>-9.1999999999999998E-3</v>
      </c>
      <c r="BW166">
        <f t="shared" si="19"/>
        <v>-1.37E-2</v>
      </c>
      <c r="BX166">
        <f t="shared" si="19"/>
        <v>-9.7000000000000003E-3</v>
      </c>
      <c r="BY166">
        <f t="shared" si="19"/>
        <v>-6.7000000000000002E-3</v>
      </c>
      <c r="BZ166">
        <f t="shared" si="19"/>
        <v>-1.3000000000000001E-2</v>
      </c>
      <c r="CA166">
        <f t="shared" si="19"/>
        <v>-1.3899999999999999E-2</v>
      </c>
      <c r="CB166">
        <f t="shared" si="19"/>
        <v>-2.01E-2</v>
      </c>
      <c r="CC166">
        <f t="shared" si="19"/>
        <v>-2.46E-2</v>
      </c>
      <c r="CD166">
        <f t="shared" si="19"/>
        <v>-1.67E-2</v>
      </c>
      <c r="CE166">
        <f t="shared" si="19"/>
        <v>1.3300000000000001E-2</v>
      </c>
      <c r="CF166">
        <f t="shared" si="19"/>
        <v>2.3400000000000001E-2</v>
      </c>
      <c r="CG166">
        <f t="shared" si="19"/>
        <v>1.8799999999999997E-2</v>
      </c>
      <c r="CH166">
        <f t="shared" si="19"/>
        <v>-6.6999999999999994E-3</v>
      </c>
      <c r="CI166">
        <f t="shared" si="19"/>
        <v>-2.2699999999999998E-2</v>
      </c>
      <c r="CJ166">
        <f t="shared" si="19"/>
        <v>-3.27E-2</v>
      </c>
      <c r="CK166">
        <f t="shared" si="19"/>
        <v>-2.1600000000000001E-2</v>
      </c>
      <c r="CL166">
        <f t="shared" si="19"/>
        <v>-1.2299999999999998E-2</v>
      </c>
      <c r="CM166">
        <f t="shared" si="19"/>
        <v>-7.4999999999999997E-3</v>
      </c>
      <c r="CN166">
        <f t="shared" si="19"/>
        <v>-1.3000000000000001E-2</v>
      </c>
      <c r="CO166">
        <f t="shared" si="19"/>
        <v>-8.0000000000000002E-3</v>
      </c>
      <c r="CP166">
        <f t="shared" si="19"/>
        <v>-2.4400000000000002E-2</v>
      </c>
      <c r="CQ166">
        <f t="shared" si="19"/>
        <v>-3.2099999999999997E-2</v>
      </c>
      <c r="CR166">
        <f t="shared" si="19"/>
        <v>-5.6100000000000004E-2</v>
      </c>
      <c r="CS166">
        <f t="shared" si="19"/>
        <v>-8.6499999999999994E-2</v>
      </c>
      <c r="CT166">
        <f t="shared" si="19"/>
        <v>-6.6400000000000001E-2</v>
      </c>
      <c r="CU166">
        <f t="shared" si="19"/>
        <v>-5.67E-2</v>
      </c>
      <c r="CV166">
        <f t="shared" si="19"/>
        <v>-3.1399999999999997E-2</v>
      </c>
      <c r="CW166">
        <f t="shared" si="19"/>
        <v>-9.2899999999999996E-2</v>
      </c>
      <c r="CX166">
        <f t="shared" si="19"/>
        <v>-3.3799999999999997E-2</v>
      </c>
    </row>
    <row r="167" spans="1:102" x14ac:dyDescent="0.2">
      <c r="A167" t="s">
        <v>5914</v>
      </c>
      <c r="B167" t="s">
        <v>220</v>
      </c>
      <c r="C167" t="s">
        <v>221</v>
      </c>
      <c r="D167">
        <f t="shared" ref="D167:BO167" si="24">D115+D140</f>
        <v>0.11120000000000001</v>
      </c>
      <c r="E167">
        <f t="shared" si="24"/>
        <v>0.109</v>
      </c>
      <c r="F167">
        <f t="shared" si="24"/>
        <v>5.0599999999999999E-2</v>
      </c>
      <c r="G167">
        <f t="shared" si="24"/>
        <v>7.46E-2</v>
      </c>
      <c r="H167">
        <f t="shared" si="24"/>
        <v>-1.4100000000000001E-2</v>
      </c>
      <c r="I167">
        <f t="shared" si="24"/>
        <v>3.4700000000000002E-2</v>
      </c>
      <c r="J167">
        <f t="shared" si="24"/>
        <v>7.4000000000000003E-3</v>
      </c>
      <c r="K167">
        <f t="shared" si="24"/>
        <v>3.8999999999999998E-3</v>
      </c>
      <c r="L167">
        <f t="shared" si="24"/>
        <v>1.1300000000000001E-2</v>
      </c>
      <c r="M167">
        <f t="shared" si="24"/>
        <v>-1.18E-2</v>
      </c>
      <c r="N167">
        <f t="shared" si="24"/>
        <v>-1.6900000000000002E-2</v>
      </c>
      <c r="O167">
        <f t="shared" si="24"/>
        <v>-3.8E-3</v>
      </c>
      <c r="P167">
        <f t="shared" si="24"/>
        <v>-9.1000000000000004E-3</v>
      </c>
      <c r="Q167">
        <f t="shared" si="24"/>
        <v>-4.8999999999999998E-3</v>
      </c>
      <c r="R167">
        <f t="shared" si="24"/>
        <v>-4.999999999999999E-4</v>
      </c>
      <c r="S167">
        <f t="shared" si="24"/>
        <v>2.9000000000000002E-3</v>
      </c>
      <c r="T167">
        <f t="shared" si="24"/>
        <v>7.6000000000000009E-3</v>
      </c>
      <c r="U167">
        <f t="shared" si="24"/>
        <v>8.5000000000000006E-3</v>
      </c>
      <c r="V167">
        <f t="shared" si="24"/>
        <v>1.3100000000000001E-2</v>
      </c>
      <c r="W167">
        <f t="shared" si="24"/>
        <v>1.1300000000000001E-2</v>
      </c>
      <c r="X167">
        <f t="shared" si="24"/>
        <v>9.0000000000000011E-3</v>
      </c>
      <c r="Y167">
        <f t="shared" si="24"/>
        <v>1.1800000000000001E-2</v>
      </c>
      <c r="Z167">
        <f t="shared" si="24"/>
        <v>1.0500000000000001E-2</v>
      </c>
      <c r="AA167">
        <f t="shared" si="24"/>
        <v>1.0500000000000001E-2</v>
      </c>
      <c r="AB167">
        <f t="shared" si="24"/>
        <v>1.29E-2</v>
      </c>
      <c r="AC167">
        <f t="shared" si="24"/>
        <v>1.5100000000000001E-2</v>
      </c>
      <c r="AD167">
        <f t="shared" si="24"/>
        <v>1.5899999999999997E-2</v>
      </c>
      <c r="AE167">
        <f t="shared" si="24"/>
        <v>1.5899999999999997E-2</v>
      </c>
      <c r="AF167">
        <f t="shared" si="24"/>
        <v>1.7899999999999999E-2</v>
      </c>
      <c r="AG167">
        <f t="shared" si="24"/>
        <v>1.7599999999999998E-2</v>
      </c>
      <c r="AH167">
        <f t="shared" si="24"/>
        <v>1.6799999999999999E-2</v>
      </c>
      <c r="AI167">
        <f t="shared" si="24"/>
        <v>1.8800000000000001E-2</v>
      </c>
      <c r="AJ167">
        <f t="shared" si="24"/>
        <v>2.3100000000000002E-2</v>
      </c>
      <c r="AK167">
        <f t="shared" si="24"/>
        <v>2.2700000000000001E-2</v>
      </c>
      <c r="AL167">
        <f t="shared" si="24"/>
        <v>2.2200000000000001E-2</v>
      </c>
      <c r="AM167">
        <f t="shared" si="24"/>
        <v>2.2599999999999999E-2</v>
      </c>
      <c r="AN167">
        <f t="shared" si="24"/>
        <v>2.4199999999999999E-2</v>
      </c>
      <c r="AO167">
        <f t="shared" si="24"/>
        <v>2.4899999999999999E-2</v>
      </c>
      <c r="AP167">
        <f t="shared" si="24"/>
        <v>2.2099999999999998E-2</v>
      </c>
      <c r="AQ167">
        <f t="shared" si="24"/>
        <v>1.8599999999999998E-2</v>
      </c>
      <c r="AR167">
        <f t="shared" si="24"/>
        <v>1.8800000000000001E-2</v>
      </c>
      <c r="AS167">
        <f t="shared" si="24"/>
        <v>1.95E-2</v>
      </c>
      <c r="AT167">
        <f t="shared" si="24"/>
        <v>1.89E-2</v>
      </c>
      <c r="AU167">
        <f t="shared" si="24"/>
        <v>1.7999999999999999E-2</v>
      </c>
      <c r="AV167">
        <f t="shared" si="24"/>
        <v>2.0799999999999999E-2</v>
      </c>
      <c r="AW167">
        <f t="shared" si="24"/>
        <v>2.7400000000000001E-2</v>
      </c>
      <c r="AX167">
        <f t="shared" si="24"/>
        <v>3.32E-2</v>
      </c>
      <c r="AY167">
        <f t="shared" si="24"/>
        <v>3.3999999999999996E-2</v>
      </c>
      <c r="AZ167">
        <f t="shared" si="24"/>
        <v>3.2599999999999997E-2</v>
      </c>
      <c r="BA167">
        <f t="shared" si="24"/>
        <v>3.2500000000000001E-2</v>
      </c>
      <c r="BB167">
        <f t="shared" si="24"/>
        <v>3.0799999999999998E-2</v>
      </c>
      <c r="BC167">
        <f t="shared" si="24"/>
        <v>2.7999999999999997E-2</v>
      </c>
      <c r="BD167">
        <f t="shared" si="24"/>
        <v>2.3699999999999999E-2</v>
      </c>
      <c r="BE167">
        <f t="shared" si="24"/>
        <v>2.2599999999999999E-2</v>
      </c>
      <c r="BF167">
        <f t="shared" si="24"/>
        <v>1.9299999999999998E-2</v>
      </c>
      <c r="BG167">
        <f t="shared" si="24"/>
        <v>1.6199999999999999E-2</v>
      </c>
      <c r="BH167">
        <f t="shared" si="24"/>
        <v>1.21E-2</v>
      </c>
      <c r="BI167">
        <f t="shared" si="24"/>
        <v>1.4400000000000001E-2</v>
      </c>
      <c r="BJ167">
        <f t="shared" si="24"/>
        <v>1.77E-2</v>
      </c>
      <c r="BK167">
        <f t="shared" si="24"/>
        <v>1.7299999999999999E-2</v>
      </c>
      <c r="BL167">
        <f t="shared" si="24"/>
        <v>1.5500000000000002E-2</v>
      </c>
      <c r="BM167">
        <f t="shared" si="24"/>
        <v>1.84E-2</v>
      </c>
      <c r="BN167">
        <f t="shared" si="24"/>
        <v>2.07E-2</v>
      </c>
      <c r="BO167">
        <f t="shared" si="24"/>
        <v>2.46E-2</v>
      </c>
      <c r="BP167">
        <f t="shared" si="18"/>
        <v>2.7199999999999998E-2</v>
      </c>
      <c r="BQ167">
        <f t="shared" si="19"/>
        <v>2.7299999999999998E-2</v>
      </c>
      <c r="BR167">
        <f t="shared" si="19"/>
        <v>2.5700000000000001E-2</v>
      </c>
      <c r="BS167">
        <f t="shared" si="19"/>
        <v>3.1300000000000001E-2</v>
      </c>
      <c r="BT167">
        <f t="shared" si="19"/>
        <v>3.5999999999999997E-2</v>
      </c>
      <c r="BU167">
        <f t="shared" si="19"/>
        <v>3.3100000000000004E-2</v>
      </c>
      <c r="BV167">
        <f t="shared" si="19"/>
        <v>1.2E-2</v>
      </c>
      <c r="BW167">
        <f t="shared" si="19"/>
        <v>9.4000000000000004E-3</v>
      </c>
      <c r="BX167">
        <f t="shared" si="19"/>
        <v>1.3699999999999999E-2</v>
      </c>
      <c r="BY167">
        <f t="shared" si="19"/>
        <v>1.6199999999999999E-2</v>
      </c>
      <c r="BZ167">
        <f t="shared" si="19"/>
        <v>8.4999999999999989E-3</v>
      </c>
      <c r="CA167">
        <f t="shared" si="19"/>
        <v>7.6000000000000009E-3</v>
      </c>
      <c r="CB167">
        <f t="shared" si="19"/>
        <v>2.0000000000000005E-3</v>
      </c>
      <c r="CC167">
        <f t="shared" si="19"/>
        <v>-2.1999999999999997E-3</v>
      </c>
      <c r="CD167">
        <f t="shared" si="19"/>
        <v>6.3E-3</v>
      </c>
      <c r="CE167">
        <f t="shared" si="19"/>
        <v>3.9099999999999996E-2</v>
      </c>
      <c r="CF167">
        <f t="shared" si="19"/>
        <v>5.04E-2</v>
      </c>
      <c r="CG167">
        <f t="shared" si="19"/>
        <v>4.5600000000000002E-2</v>
      </c>
      <c r="CH167">
        <f t="shared" si="19"/>
        <v>2.1900000000000003E-2</v>
      </c>
      <c r="CI167">
        <f t="shared" si="19"/>
        <v>8.199999999999999E-3</v>
      </c>
      <c r="CJ167">
        <f t="shared" si="19"/>
        <v>9.0000000000000019E-4</v>
      </c>
      <c r="CK167">
        <f t="shared" si="19"/>
        <v>1.03E-2</v>
      </c>
      <c r="CL167">
        <f t="shared" si="19"/>
        <v>1.84E-2</v>
      </c>
      <c r="CM167">
        <f t="shared" si="19"/>
        <v>2.3699999999999999E-2</v>
      </c>
      <c r="CN167">
        <f t="shared" si="19"/>
        <v>2.58E-2</v>
      </c>
      <c r="CO167">
        <f t="shared" si="19"/>
        <v>3.2800000000000003E-2</v>
      </c>
      <c r="CP167">
        <f t="shared" si="19"/>
        <v>1.24E-2</v>
      </c>
      <c r="CQ167">
        <f t="shared" si="19"/>
        <v>5.5999999999999991E-3</v>
      </c>
      <c r="CR167">
        <f t="shared" si="19"/>
        <v>-2.8999999999999998E-3</v>
      </c>
      <c r="CS167">
        <f t="shared" si="19"/>
        <v>-3.3299999999999996E-2</v>
      </c>
      <c r="CT167">
        <f t="shared" si="19"/>
        <v>-3.3999999999999998E-3</v>
      </c>
      <c r="CU167">
        <f t="shared" si="19"/>
        <v>1.04E-2</v>
      </c>
      <c r="CV167">
        <f t="shared" si="19"/>
        <v>3.61E-2</v>
      </c>
      <c r="CW167">
        <f t="shared" si="19"/>
        <v>2.0000000000000009E-4</v>
      </c>
      <c r="CX167">
        <f t="shared" si="19"/>
        <v>7.350000000000001E-2</v>
      </c>
    </row>
    <row r="168" spans="1:102" x14ac:dyDescent="0.2">
      <c r="A168" t="s">
        <v>5915</v>
      </c>
      <c r="B168" t="s">
        <v>220</v>
      </c>
      <c r="C168" t="s">
        <v>221</v>
      </c>
      <c r="D168">
        <f t="shared" ref="D168:BO168" si="25">D116+D141</f>
        <v>-2.5700000000000001E-2</v>
      </c>
      <c r="E168">
        <f t="shared" si="25"/>
        <v>-3.1200000000000002E-2</v>
      </c>
      <c r="F168">
        <f t="shared" si="25"/>
        <v>-3.8800000000000001E-2</v>
      </c>
      <c r="G168">
        <f t="shared" si="25"/>
        <v>-1.14E-2</v>
      </c>
      <c r="H168">
        <f t="shared" si="25"/>
        <v>-3.8900000000000004E-2</v>
      </c>
      <c r="I168">
        <f t="shared" si="25"/>
        <v>-2.1500000000000002E-2</v>
      </c>
      <c r="J168">
        <f t="shared" si="25"/>
        <v>-2.5600000000000001E-2</v>
      </c>
      <c r="K168">
        <f t="shared" si="25"/>
        <v>-2.07E-2</v>
      </c>
      <c r="L168">
        <f t="shared" si="25"/>
        <v>-0.01</v>
      </c>
      <c r="M168">
        <f t="shared" si="25"/>
        <v>-1.7899999999999999E-2</v>
      </c>
      <c r="N168">
        <f t="shared" si="25"/>
        <v>-1.9799999999999998E-2</v>
      </c>
      <c r="O168">
        <f t="shared" si="25"/>
        <v>-1.3300000000000001E-2</v>
      </c>
      <c r="P168">
        <f t="shared" si="25"/>
        <v>-1.32E-2</v>
      </c>
      <c r="Q168">
        <f t="shared" si="25"/>
        <v>-8.199999999999999E-3</v>
      </c>
      <c r="R168">
        <f t="shared" si="25"/>
        <v>-6.7999999999999996E-3</v>
      </c>
      <c r="S168">
        <f t="shared" si="25"/>
        <v>-9.4000000000000004E-3</v>
      </c>
      <c r="T168">
        <f t="shared" si="25"/>
        <v>-6.4000000000000003E-3</v>
      </c>
      <c r="U168">
        <f t="shared" si="25"/>
        <v>-5.3E-3</v>
      </c>
      <c r="V168">
        <f t="shared" si="25"/>
        <v>-3.1000000000000003E-3</v>
      </c>
      <c r="W168">
        <f t="shared" si="25"/>
        <v>-3.7000000000000002E-3</v>
      </c>
      <c r="X168">
        <f t="shared" si="25"/>
        <v>-6.4999999999999997E-3</v>
      </c>
      <c r="Y168">
        <f t="shared" si="25"/>
        <v>-3.1999999999999997E-3</v>
      </c>
      <c r="Z168">
        <f t="shared" si="25"/>
        <v>-5.0000000000000001E-3</v>
      </c>
      <c r="AA168">
        <f t="shared" si="25"/>
        <v>-3.0000000000000001E-3</v>
      </c>
      <c r="AB168">
        <f t="shared" si="25"/>
        <v>1.1999999999999999E-3</v>
      </c>
      <c r="AC168">
        <f t="shared" si="25"/>
        <v>1.8000000000000002E-3</v>
      </c>
      <c r="AD168">
        <f t="shared" si="25"/>
        <v>1.4E-3</v>
      </c>
      <c r="AE168">
        <f t="shared" si="25"/>
        <v>0</v>
      </c>
      <c r="AF168">
        <f t="shared" si="25"/>
        <v>-1.8999999999999998E-3</v>
      </c>
      <c r="AG168">
        <f t="shared" si="25"/>
        <v>-1.8999999999999998E-3</v>
      </c>
      <c r="AH168">
        <f t="shared" si="25"/>
        <v>-2.5000000000000001E-3</v>
      </c>
      <c r="AI168">
        <f t="shared" si="25"/>
        <v>-2.7000000000000001E-3</v>
      </c>
      <c r="AJ168">
        <f t="shared" si="25"/>
        <v>-1.9E-3</v>
      </c>
      <c r="AK168">
        <f t="shared" si="25"/>
        <v>-3.5999999999999999E-3</v>
      </c>
      <c r="AL168">
        <f t="shared" si="25"/>
        <v>-5.1000000000000004E-3</v>
      </c>
      <c r="AM168">
        <f t="shared" si="25"/>
        <v>-4.3999999999999994E-3</v>
      </c>
      <c r="AN168">
        <f t="shared" si="25"/>
        <v>-7.1999999999999998E-3</v>
      </c>
      <c r="AO168">
        <f t="shared" si="25"/>
        <v>-8.3999999999999995E-3</v>
      </c>
      <c r="AP168">
        <f t="shared" si="25"/>
        <v>-8.6999999999999994E-3</v>
      </c>
      <c r="AQ168">
        <f t="shared" si="25"/>
        <v>-1.15E-2</v>
      </c>
      <c r="AR168">
        <f t="shared" si="25"/>
        <v>-9.0000000000000011E-3</v>
      </c>
      <c r="AS168">
        <f t="shared" si="25"/>
        <v>-8.3000000000000001E-3</v>
      </c>
      <c r="AT168">
        <f t="shared" si="25"/>
        <v>-9.7999999999999997E-3</v>
      </c>
      <c r="AU168">
        <f t="shared" si="25"/>
        <v>-1.18E-2</v>
      </c>
      <c r="AV168">
        <f t="shared" si="25"/>
        <v>-1.4200000000000001E-2</v>
      </c>
      <c r="AW168">
        <f t="shared" si="25"/>
        <v>-1.2999999999999999E-2</v>
      </c>
      <c r="AX168">
        <f t="shared" si="25"/>
        <v>-1.0400000000000001E-2</v>
      </c>
      <c r="AY168">
        <f t="shared" si="25"/>
        <v>-1.0200000000000001E-2</v>
      </c>
      <c r="AZ168">
        <f t="shared" si="25"/>
        <v>-1.0799999999999999E-2</v>
      </c>
      <c r="BA168">
        <f t="shared" si="25"/>
        <v>-1.3999999999999999E-2</v>
      </c>
      <c r="BB168">
        <f t="shared" si="25"/>
        <v>-1.5299999999999999E-2</v>
      </c>
      <c r="BC168">
        <f t="shared" si="25"/>
        <v>-1.6799999999999999E-2</v>
      </c>
      <c r="BD168">
        <f t="shared" si="25"/>
        <v>-1.21E-2</v>
      </c>
      <c r="BE168">
        <f t="shared" si="25"/>
        <v>-1.52E-2</v>
      </c>
      <c r="BF168">
        <f t="shared" si="25"/>
        <v>-2.4500000000000001E-2</v>
      </c>
      <c r="BG168">
        <f t="shared" si="25"/>
        <v>-2.1699999999999997E-2</v>
      </c>
      <c r="BH168">
        <f t="shared" si="25"/>
        <v>-2.6499999999999999E-2</v>
      </c>
      <c r="BI168">
        <f t="shared" si="25"/>
        <v>-2.69E-2</v>
      </c>
      <c r="BJ168">
        <f t="shared" si="25"/>
        <v>-2.53E-2</v>
      </c>
      <c r="BK168">
        <f t="shared" si="25"/>
        <v>-2.7E-2</v>
      </c>
      <c r="BL168">
        <f t="shared" si="25"/>
        <v>-2.9899999999999999E-2</v>
      </c>
      <c r="BM168">
        <f t="shared" si="25"/>
        <v>-2.8299999999999999E-2</v>
      </c>
      <c r="BN168">
        <f t="shared" si="25"/>
        <v>-2.63E-2</v>
      </c>
      <c r="BO168">
        <f t="shared" si="25"/>
        <v>-2.29E-2</v>
      </c>
      <c r="BP168">
        <f t="shared" si="18"/>
        <v>-1.55E-2</v>
      </c>
      <c r="BQ168">
        <f t="shared" si="19"/>
        <v>-1.8200000000000001E-2</v>
      </c>
      <c r="BR168">
        <f t="shared" si="19"/>
        <v>-1.5600000000000001E-2</v>
      </c>
      <c r="BS168">
        <f t="shared" si="19"/>
        <v>-8.3000000000000001E-3</v>
      </c>
      <c r="BT168">
        <f t="shared" si="19"/>
        <v>-8.6999999999999994E-3</v>
      </c>
      <c r="BU168">
        <f t="shared" si="19"/>
        <v>-1.54E-2</v>
      </c>
      <c r="BV168">
        <f t="shared" si="19"/>
        <v>-3.1900000000000005E-2</v>
      </c>
      <c r="BW168">
        <f t="shared" si="19"/>
        <v>-3.9199999999999999E-2</v>
      </c>
      <c r="BX168">
        <f t="shared" si="19"/>
        <v>-3.5000000000000003E-2</v>
      </c>
      <c r="BY168">
        <f t="shared" si="19"/>
        <v>-3.2100000000000004E-2</v>
      </c>
      <c r="BZ168">
        <f t="shared" si="19"/>
        <v>-3.8300000000000001E-2</v>
      </c>
      <c r="CA168">
        <f t="shared" si="19"/>
        <v>-3.1E-2</v>
      </c>
      <c r="CB168">
        <f t="shared" si="19"/>
        <v>-3.7899999999999996E-2</v>
      </c>
      <c r="CC168">
        <f t="shared" si="19"/>
        <v>-3.8899999999999997E-2</v>
      </c>
      <c r="CD168">
        <f t="shared" si="19"/>
        <v>-4.5700000000000005E-2</v>
      </c>
      <c r="CE168">
        <f t="shared" si="19"/>
        <v>-2.6200000000000001E-2</v>
      </c>
      <c r="CF168">
        <f t="shared" si="19"/>
        <v>-1.3299999999999999E-2</v>
      </c>
      <c r="CG168">
        <f t="shared" si="19"/>
        <v>-1.6500000000000001E-2</v>
      </c>
      <c r="CH168">
        <f t="shared" si="19"/>
        <v>-2.8499999999999998E-2</v>
      </c>
      <c r="CI168">
        <f t="shared" si="19"/>
        <v>-4.2900000000000001E-2</v>
      </c>
      <c r="CJ168">
        <f t="shared" si="19"/>
        <v>-5.28E-2</v>
      </c>
      <c r="CK168">
        <f t="shared" si="19"/>
        <v>-4.3099999999999999E-2</v>
      </c>
      <c r="CL168">
        <f t="shared" si="19"/>
        <v>-2.6800000000000001E-2</v>
      </c>
      <c r="CM168">
        <f t="shared" si="19"/>
        <v>-2.2500000000000003E-2</v>
      </c>
      <c r="CN168">
        <f t="shared" si="19"/>
        <v>-3.61E-2</v>
      </c>
      <c r="CO168">
        <f t="shared" si="19"/>
        <v>-2.8500000000000001E-2</v>
      </c>
      <c r="CP168">
        <f t="shared" si="19"/>
        <v>-2.3799999999999998E-2</v>
      </c>
      <c r="CQ168">
        <f t="shared" si="19"/>
        <v>-3.3399999999999999E-2</v>
      </c>
      <c r="CR168">
        <f t="shared" si="19"/>
        <v>-4.8600000000000004E-2</v>
      </c>
      <c r="CS168">
        <f t="shared" si="19"/>
        <v>-7.3799999999999991E-2</v>
      </c>
      <c r="CT168">
        <f t="shared" si="19"/>
        <v>-6.8199999999999997E-2</v>
      </c>
      <c r="CU168">
        <f t="shared" si="19"/>
        <v>-5.2699999999999997E-2</v>
      </c>
      <c r="CV168">
        <f t="shared" si="19"/>
        <v>-3.39E-2</v>
      </c>
      <c r="CW168">
        <f t="shared" si="19"/>
        <v>-7.8100000000000003E-2</v>
      </c>
      <c r="CX168">
        <f t="shared" si="19"/>
        <v>-3.78E-2</v>
      </c>
    </row>
    <row r="169" spans="1:102" x14ac:dyDescent="0.2">
      <c r="A169" t="s">
        <v>5916</v>
      </c>
      <c r="B169" t="s">
        <v>220</v>
      </c>
      <c r="C169" t="s">
        <v>221</v>
      </c>
      <c r="D169">
        <f t="shared" ref="D169:BO169" si="26">D117+D142</f>
        <v>3.1499999999999993E-2</v>
      </c>
      <c r="E169">
        <f t="shared" si="26"/>
        <v>2.9399999999999999E-2</v>
      </c>
      <c r="F169">
        <f t="shared" si="26"/>
        <v>1.55E-2</v>
      </c>
      <c r="G169">
        <f t="shared" si="26"/>
        <v>2.92E-2</v>
      </c>
      <c r="H169">
        <f t="shared" si="26"/>
        <v>5.8999999999999999E-3</v>
      </c>
      <c r="I169">
        <f t="shared" si="26"/>
        <v>1.66E-2</v>
      </c>
      <c r="J169">
        <f t="shared" si="26"/>
        <v>1.1899999999999999E-2</v>
      </c>
      <c r="K169">
        <f t="shared" si="26"/>
        <v>1.4899999999999998E-2</v>
      </c>
      <c r="L169">
        <f t="shared" si="26"/>
        <v>2.29E-2</v>
      </c>
      <c r="M169">
        <f t="shared" si="26"/>
        <v>1.3100000000000001E-2</v>
      </c>
      <c r="N169">
        <f t="shared" si="26"/>
        <v>7.7000000000000002E-3</v>
      </c>
      <c r="O169">
        <f t="shared" si="26"/>
        <v>5.1999999999999998E-3</v>
      </c>
      <c r="P169">
        <f t="shared" si="26"/>
        <v>4.8999999999999998E-3</v>
      </c>
      <c r="Q169">
        <f t="shared" si="26"/>
        <v>8.199999999999999E-3</v>
      </c>
      <c r="R169">
        <f t="shared" si="26"/>
        <v>8.3000000000000001E-3</v>
      </c>
      <c r="S169">
        <f t="shared" si="26"/>
        <v>4.5999999999999999E-3</v>
      </c>
      <c r="T169">
        <f t="shared" si="26"/>
        <v>5.9000000000000007E-3</v>
      </c>
      <c r="U169">
        <f t="shared" si="26"/>
        <v>6.6E-3</v>
      </c>
      <c r="V169">
        <f t="shared" si="26"/>
        <v>8.0000000000000002E-3</v>
      </c>
      <c r="W169">
        <f t="shared" si="26"/>
        <v>7.2999999999999992E-3</v>
      </c>
      <c r="X169">
        <f t="shared" si="26"/>
        <v>4.3E-3</v>
      </c>
      <c r="Y169">
        <f t="shared" si="26"/>
        <v>6.8000000000000005E-3</v>
      </c>
      <c r="Z169">
        <f t="shared" si="26"/>
        <v>4.8999999999999998E-3</v>
      </c>
      <c r="AA169">
        <f t="shared" si="26"/>
        <v>7.1999999999999998E-3</v>
      </c>
      <c r="AB169">
        <f t="shared" si="26"/>
        <v>1.14E-2</v>
      </c>
      <c r="AC169">
        <f t="shared" si="26"/>
        <v>1.2200000000000001E-2</v>
      </c>
      <c r="AD169">
        <f t="shared" si="26"/>
        <v>1.1900000000000001E-2</v>
      </c>
      <c r="AE169">
        <f t="shared" si="26"/>
        <v>1.0700000000000001E-2</v>
      </c>
      <c r="AF169">
        <f t="shared" si="26"/>
        <v>8.8999999999999999E-3</v>
      </c>
      <c r="AG169">
        <f t="shared" si="26"/>
        <v>9.300000000000001E-3</v>
      </c>
      <c r="AH169">
        <f t="shared" si="26"/>
        <v>9.2999999999999992E-3</v>
      </c>
      <c r="AI169">
        <f t="shared" si="26"/>
        <v>9.6000000000000009E-3</v>
      </c>
      <c r="AJ169">
        <f t="shared" si="26"/>
        <v>1.09E-2</v>
      </c>
      <c r="AK169">
        <f t="shared" si="26"/>
        <v>1.0100000000000001E-2</v>
      </c>
      <c r="AL169">
        <f t="shared" si="26"/>
        <v>9.2999999999999992E-3</v>
      </c>
      <c r="AM169">
        <f t="shared" si="26"/>
        <v>1.03E-2</v>
      </c>
      <c r="AN169">
        <f t="shared" si="26"/>
        <v>7.7000000000000002E-3</v>
      </c>
      <c r="AO169">
        <f t="shared" si="26"/>
        <v>6.6999999999999994E-3</v>
      </c>
      <c r="AP169">
        <f t="shared" si="26"/>
        <v>6.3E-3</v>
      </c>
      <c r="AQ169">
        <f t="shared" si="26"/>
        <v>3.3999999999999994E-3</v>
      </c>
      <c r="AR169">
        <f t="shared" si="26"/>
        <v>6.0000000000000001E-3</v>
      </c>
      <c r="AS169">
        <f t="shared" si="26"/>
        <v>6.7999999999999996E-3</v>
      </c>
      <c r="AT169">
        <f t="shared" si="26"/>
        <v>5.4000000000000003E-3</v>
      </c>
      <c r="AU169">
        <f t="shared" si="26"/>
        <v>3.4999999999999996E-3</v>
      </c>
      <c r="AV169">
        <f t="shared" si="26"/>
        <v>1.1999999999999999E-3</v>
      </c>
      <c r="AW169">
        <f t="shared" si="26"/>
        <v>2.5999999999999999E-3</v>
      </c>
      <c r="AX169">
        <f t="shared" si="26"/>
        <v>5.7000000000000002E-3</v>
      </c>
      <c r="AY169">
        <f t="shared" si="26"/>
        <v>6.1999999999999998E-3</v>
      </c>
      <c r="AZ169">
        <f t="shared" si="26"/>
        <v>5.8999999999999999E-3</v>
      </c>
      <c r="BA169">
        <f t="shared" si="26"/>
        <v>2.8999999999999998E-3</v>
      </c>
      <c r="BB169">
        <f t="shared" si="26"/>
        <v>1.8E-3</v>
      </c>
      <c r="BC169">
        <f t="shared" si="26"/>
        <v>3.9999999999999996E-4</v>
      </c>
      <c r="BD169">
        <f t="shared" si="26"/>
        <v>5.1000000000000004E-3</v>
      </c>
      <c r="BE169">
        <f t="shared" si="26"/>
        <v>2.3E-3</v>
      </c>
      <c r="BF169">
        <f t="shared" si="26"/>
        <v>-6.6E-3</v>
      </c>
      <c r="BG169">
        <f t="shared" si="26"/>
        <v>-3.8E-3</v>
      </c>
      <c r="BH169">
        <f t="shared" si="26"/>
        <v>-8.2000000000000007E-3</v>
      </c>
      <c r="BI169">
        <f t="shared" si="26"/>
        <v>-8.0000000000000002E-3</v>
      </c>
      <c r="BJ169">
        <f t="shared" si="26"/>
        <v>-6.1999999999999998E-3</v>
      </c>
      <c r="BK169">
        <f t="shared" si="26"/>
        <v>-7.4999999999999997E-3</v>
      </c>
      <c r="BL169">
        <f t="shared" si="26"/>
        <v>-1.01E-2</v>
      </c>
      <c r="BM169">
        <f t="shared" si="26"/>
        <v>-8.4999999999999989E-3</v>
      </c>
      <c r="BN169">
        <f t="shared" si="26"/>
        <v>-6.7000000000000002E-3</v>
      </c>
      <c r="BO169">
        <f t="shared" si="26"/>
        <v>-3.7000000000000002E-3</v>
      </c>
      <c r="BP169">
        <f t="shared" si="18"/>
        <v>3.6000000000000003E-3</v>
      </c>
      <c r="BQ169">
        <f t="shared" si="19"/>
        <v>9.0000000000000019E-4</v>
      </c>
      <c r="BR169">
        <f t="shared" si="19"/>
        <v>3.0999999999999995E-3</v>
      </c>
      <c r="BS169">
        <f t="shared" si="19"/>
        <v>1.1000000000000001E-2</v>
      </c>
      <c r="BT169">
        <f t="shared" si="19"/>
        <v>1.0699999999999999E-2</v>
      </c>
      <c r="BU169">
        <f t="shared" si="19"/>
        <v>5.7000000000000002E-3</v>
      </c>
      <c r="BV169">
        <f t="shared" si="19"/>
        <v>-7.7000000000000002E-3</v>
      </c>
      <c r="BW169">
        <f t="shared" si="19"/>
        <v>-1.3100000000000001E-2</v>
      </c>
      <c r="BX169">
        <f t="shared" si="19"/>
        <v>-8.3999999999999995E-3</v>
      </c>
      <c r="BY169">
        <f t="shared" si="19"/>
        <v>-6.1999999999999998E-3</v>
      </c>
      <c r="BZ169">
        <f t="shared" si="19"/>
        <v>-1.37E-2</v>
      </c>
      <c r="CA169">
        <f t="shared" si="19"/>
        <v>-6.7999999999999996E-3</v>
      </c>
      <c r="CB169">
        <f t="shared" si="19"/>
        <v>-1.2999999999999999E-2</v>
      </c>
      <c r="CC169">
        <f t="shared" si="19"/>
        <v>-1.37E-2</v>
      </c>
      <c r="CD169">
        <f t="shared" si="19"/>
        <v>-2.0200000000000003E-2</v>
      </c>
      <c r="CE169">
        <f t="shared" si="19"/>
        <v>2.1999999999999997E-3</v>
      </c>
      <c r="CF169">
        <f t="shared" si="19"/>
        <v>1.6E-2</v>
      </c>
      <c r="CG169">
        <f t="shared" si="19"/>
        <v>1.2499999999999999E-2</v>
      </c>
      <c r="CH169">
        <f t="shared" ref="CH169:CX169" si="27">CH117+CH142</f>
        <v>2.3E-3</v>
      </c>
      <c r="CI169">
        <f t="shared" si="27"/>
        <v>-0.01</v>
      </c>
      <c r="CJ169">
        <f t="shared" si="27"/>
        <v>-1.7500000000000002E-2</v>
      </c>
      <c r="CK169">
        <f t="shared" si="27"/>
        <v>-9.9000000000000008E-3</v>
      </c>
      <c r="CL169">
        <f t="shared" si="27"/>
        <v>5.0999999999999995E-3</v>
      </c>
      <c r="CM169">
        <f t="shared" si="27"/>
        <v>9.5000000000000015E-3</v>
      </c>
      <c r="CN169">
        <f t="shared" si="27"/>
        <v>3.1999999999999997E-3</v>
      </c>
      <c r="CO169">
        <f t="shared" si="27"/>
        <v>1.2100000000000001E-2</v>
      </c>
      <c r="CP169">
        <f t="shared" si="27"/>
        <v>1.2900000000000002E-2</v>
      </c>
      <c r="CQ169">
        <f t="shared" si="27"/>
        <v>3.3999999999999998E-3</v>
      </c>
      <c r="CR169">
        <f t="shared" si="27"/>
        <v>2.3999999999999994E-3</v>
      </c>
      <c r="CS169">
        <f t="shared" si="27"/>
        <v>-2.3599999999999999E-2</v>
      </c>
      <c r="CT169">
        <f t="shared" si="27"/>
        <v>-9.7000000000000003E-3</v>
      </c>
      <c r="CU169">
        <f t="shared" si="27"/>
        <v>8.4000000000000012E-3</v>
      </c>
      <c r="CV169">
        <f t="shared" si="27"/>
        <v>2.7299999999999998E-2</v>
      </c>
      <c r="CW169">
        <f t="shared" si="27"/>
        <v>7.5000000000000006E-3</v>
      </c>
      <c r="CX169">
        <f t="shared" si="27"/>
        <v>5.3899999999999997E-2</v>
      </c>
    </row>
    <row r="170" spans="1:102" x14ac:dyDescent="0.2">
      <c r="A170" t="s">
        <v>5917</v>
      </c>
      <c r="B170" t="s">
        <v>220</v>
      </c>
      <c r="C170" t="s">
        <v>221</v>
      </c>
      <c r="D170">
        <f t="shared" ref="D170:BO170" si="28">D118+D143</f>
        <v>2.69E-2</v>
      </c>
      <c r="E170">
        <f t="shared" si="28"/>
        <v>8.199999999999999E-3</v>
      </c>
      <c r="F170">
        <f t="shared" si="28"/>
        <v>-1.4999999999999999E-2</v>
      </c>
      <c r="G170">
        <f t="shared" si="28"/>
        <v>1.9400000000000001E-2</v>
      </c>
      <c r="H170">
        <f t="shared" si="28"/>
        <v>-2.24E-2</v>
      </c>
      <c r="I170">
        <f t="shared" si="28"/>
        <v>7.000000000000001E-4</v>
      </c>
      <c r="J170">
        <f t="shared" si="28"/>
        <v>-9.4999999999999998E-3</v>
      </c>
      <c r="K170">
        <f t="shared" si="28"/>
        <v>-8.9999999999999993E-3</v>
      </c>
      <c r="L170">
        <f t="shared" si="28"/>
        <v>-4.0000000000000001E-3</v>
      </c>
      <c r="M170">
        <f t="shared" si="28"/>
        <v>-1.4499999999999999E-2</v>
      </c>
      <c r="N170">
        <f t="shared" si="28"/>
        <v>-1.5699999999999999E-2</v>
      </c>
      <c r="O170">
        <f t="shared" si="28"/>
        <v>-5.8999999999999999E-3</v>
      </c>
      <c r="P170">
        <f t="shared" si="28"/>
        <v>-7.899999999999999E-3</v>
      </c>
      <c r="Q170">
        <f t="shared" si="28"/>
        <v>-5.8000000000000005E-3</v>
      </c>
      <c r="R170">
        <f t="shared" si="28"/>
        <v>-4.5999999999999999E-3</v>
      </c>
      <c r="S170">
        <f t="shared" si="28"/>
        <v>-4.0000000000000001E-3</v>
      </c>
      <c r="T170">
        <f t="shared" si="28"/>
        <v>-2.7000000000000001E-3</v>
      </c>
      <c r="U170">
        <f t="shared" si="28"/>
        <v>-2.4000000000000002E-3</v>
      </c>
      <c r="V170">
        <f t="shared" si="28"/>
        <v>-7.000000000000001E-4</v>
      </c>
      <c r="W170">
        <f t="shared" si="28"/>
        <v>-8.9999999999999987E-4</v>
      </c>
      <c r="X170">
        <f t="shared" si="28"/>
        <v>-6.9999999999999999E-4</v>
      </c>
      <c r="Y170">
        <f t="shared" si="28"/>
        <v>2.0000000000000009E-4</v>
      </c>
      <c r="Z170">
        <f t="shared" si="28"/>
        <v>-1.9999999999999998E-4</v>
      </c>
      <c r="AA170">
        <f t="shared" si="28"/>
        <v>0</v>
      </c>
      <c r="AB170">
        <f t="shared" si="28"/>
        <v>6.0000000000000006E-4</v>
      </c>
      <c r="AC170">
        <f t="shared" si="28"/>
        <v>5.0000000000000001E-4</v>
      </c>
      <c r="AD170">
        <f t="shared" si="28"/>
        <v>2.9999999999999997E-4</v>
      </c>
      <c r="AE170">
        <f t="shared" si="28"/>
        <v>0</v>
      </c>
      <c r="AF170">
        <f t="shared" si="28"/>
        <v>-4.0000000000000007E-4</v>
      </c>
      <c r="AG170">
        <f t="shared" si="28"/>
        <v>-1.2999999999999999E-3</v>
      </c>
      <c r="AH170">
        <f t="shared" si="28"/>
        <v>-1.5999999999999999E-3</v>
      </c>
      <c r="AI170">
        <f t="shared" si="28"/>
        <v>-1.2999999999999999E-3</v>
      </c>
      <c r="AJ170">
        <f t="shared" si="28"/>
        <v>-3.0000000000000003E-4</v>
      </c>
      <c r="AK170">
        <f t="shared" si="28"/>
        <v>-3.9999999999999986E-4</v>
      </c>
      <c r="AL170">
        <f t="shared" si="28"/>
        <v>-1E-3</v>
      </c>
      <c r="AM170">
        <f t="shared" si="28"/>
        <v>-1.0999999999999998E-3</v>
      </c>
      <c r="AN170">
        <f t="shared" si="28"/>
        <v>-1.2999999999999999E-3</v>
      </c>
      <c r="AO170">
        <f t="shared" si="28"/>
        <v>-1.2000000000000001E-3</v>
      </c>
      <c r="AP170">
        <f t="shared" si="28"/>
        <v>-1.0999999999999998E-3</v>
      </c>
      <c r="AQ170">
        <f t="shared" si="28"/>
        <v>-5.9999999999999995E-4</v>
      </c>
      <c r="AR170">
        <f t="shared" si="28"/>
        <v>-3.9999999999999986E-4</v>
      </c>
      <c r="AS170">
        <f t="shared" si="28"/>
        <v>-9.0000000000000008E-4</v>
      </c>
      <c r="AT170">
        <f t="shared" si="28"/>
        <v>-8.0000000000000004E-4</v>
      </c>
      <c r="AU170">
        <f t="shared" si="28"/>
        <v>-5.9999999999999995E-4</v>
      </c>
      <c r="AV170">
        <f t="shared" si="28"/>
        <v>-1.2000000000000001E-3</v>
      </c>
      <c r="AW170">
        <f t="shared" si="28"/>
        <v>-8.0000000000000004E-4</v>
      </c>
      <c r="AX170">
        <f t="shared" si="28"/>
        <v>-4.999999999999999E-4</v>
      </c>
      <c r="AY170">
        <f t="shared" si="28"/>
        <v>-4.999999999999999E-4</v>
      </c>
      <c r="AZ170">
        <f t="shared" si="28"/>
        <v>-5.9999999999999995E-4</v>
      </c>
      <c r="BA170">
        <f t="shared" si="28"/>
        <v>-5.9999999999999995E-4</v>
      </c>
      <c r="BB170">
        <f t="shared" si="28"/>
        <v>-6.9999999999999999E-4</v>
      </c>
      <c r="BC170">
        <f t="shared" si="28"/>
        <v>-1E-3</v>
      </c>
      <c r="BD170">
        <f t="shared" si="28"/>
        <v>-8.0000000000000004E-4</v>
      </c>
      <c r="BE170">
        <f t="shared" si="28"/>
        <v>-9.0000000000000008E-4</v>
      </c>
      <c r="BF170">
        <f t="shared" si="28"/>
        <v>-1.6999999999999997E-3</v>
      </c>
      <c r="BG170">
        <f t="shared" si="28"/>
        <v>-1.2999999999999999E-3</v>
      </c>
      <c r="BH170">
        <f t="shared" si="28"/>
        <v>-1.4000000000000002E-3</v>
      </c>
      <c r="BI170">
        <f t="shared" si="28"/>
        <v>-1.2999999999999999E-3</v>
      </c>
      <c r="BJ170">
        <f t="shared" si="28"/>
        <v>-1.5E-3</v>
      </c>
      <c r="BK170">
        <f t="shared" si="28"/>
        <v>-1E-3</v>
      </c>
      <c r="BL170">
        <f t="shared" si="28"/>
        <v>-1.4000000000000002E-3</v>
      </c>
      <c r="BM170">
        <f t="shared" si="28"/>
        <v>-1E-3</v>
      </c>
      <c r="BN170">
        <f t="shared" si="28"/>
        <v>-8.0000000000000004E-4</v>
      </c>
      <c r="BO170">
        <f t="shared" si="28"/>
        <v>9.9999999999999937E-5</v>
      </c>
      <c r="BP170">
        <f t="shared" si="18"/>
        <v>0</v>
      </c>
      <c r="BQ170">
        <f t="shared" ref="BQ170:CX176" si="29">BQ118+BQ143</f>
        <v>-1.0000000000000005E-4</v>
      </c>
      <c r="BR170">
        <f t="shared" si="29"/>
        <v>-3.0000000000000003E-4</v>
      </c>
      <c r="BS170">
        <f t="shared" si="29"/>
        <v>-2.0000000000000009E-4</v>
      </c>
      <c r="BT170">
        <f t="shared" si="29"/>
        <v>7.9999999999999993E-4</v>
      </c>
      <c r="BU170">
        <f t="shared" si="29"/>
        <v>3.9999999999999996E-4</v>
      </c>
      <c r="BV170">
        <f t="shared" si="29"/>
        <v>-1.9000000000000002E-3</v>
      </c>
      <c r="BW170">
        <f t="shared" si="29"/>
        <v>-1.3999999999999998E-3</v>
      </c>
      <c r="BX170">
        <f t="shared" si="29"/>
        <v>-1.2000000000000001E-3</v>
      </c>
      <c r="BY170">
        <f t="shared" si="29"/>
        <v>-1.4000000000000002E-3</v>
      </c>
      <c r="BZ170">
        <f t="shared" si="29"/>
        <v>-1.2000000000000001E-3</v>
      </c>
      <c r="CA170">
        <f t="shared" si="29"/>
        <v>-7.9999999999999993E-4</v>
      </c>
      <c r="CB170">
        <f t="shared" si="29"/>
        <v>-8.9999999999999998E-4</v>
      </c>
      <c r="CC170">
        <f t="shared" si="29"/>
        <v>-1.1000000000000001E-3</v>
      </c>
      <c r="CD170">
        <f t="shared" si="29"/>
        <v>-1.5999999999999999E-3</v>
      </c>
      <c r="CE170">
        <f t="shared" si="29"/>
        <v>9.9999999999999937E-5</v>
      </c>
      <c r="CF170">
        <f t="shared" si="29"/>
        <v>4.999999999999999E-4</v>
      </c>
      <c r="CG170">
        <f t="shared" si="29"/>
        <v>7.9999999999999993E-4</v>
      </c>
      <c r="CH170">
        <f t="shared" si="29"/>
        <v>-8.0000000000000004E-4</v>
      </c>
      <c r="CI170">
        <f t="shared" si="29"/>
        <v>-2.2000000000000001E-3</v>
      </c>
      <c r="CJ170">
        <f t="shared" si="29"/>
        <v>-3.3999999999999998E-3</v>
      </c>
      <c r="CK170">
        <f t="shared" si="29"/>
        <v>-2.0999999999999999E-3</v>
      </c>
      <c r="CL170">
        <f t="shared" si="29"/>
        <v>-2.3999999999999998E-3</v>
      </c>
      <c r="CM170">
        <f t="shared" si="29"/>
        <v>-1.4E-3</v>
      </c>
      <c r="CN170">
        <f t="shared" si="29"/>
        <v>-1.8999999999999998E-3</v>
      </c>
      <c r="CO170">
        <f t="shared" si="29"/>
        <v>-1.7000000000000001E-3</v>
      </c>
      <c r="CP170">
        <f t="shared" si="29"/>
        <v>-2.3E-3</v>
      </c>
      <c r="CQ170">
        <f t="shared" si="29"/>
        <v>-2.5999999999999999E-3</v>
      </c>
      <c r="CR170">
        <f t="shared" si="29"/>
        <v>-4.3E-3</v>
      </c>
      <c r="CS170">
        <f t="shared" si="29"/>
        <v>-6.4999999999999997E-3</v>
      </c>
      <c r="CT170">
        <f t="shared" si="29"/>
        <v>-6.3E-3</v>
      </c>
      <c r="CU170">
        <f t="shared" si="29"/>
        <v>-7.0000000000000001E-3</v>
      </c>
      <c r="CV170">
        <f t="shared" si="29"/>
        <v>-5.8999999999999999E-3</v>
      </c>
      <c r="CW170">
        <f t="shared" si="29"/>
        <v>-7.0000000000000001E-3</v>
      </c>
      <c r="CX170">
        <f t="shared" si="29"/>
        <v>-2.3999999999999998E-3</v>
      </c>
    </row>
    <row r="171" spans="1:102" x14ac:dyDescent="0.2">
      <c r="A171" t="s">
        <v>5918</v>
      </c>
      <c r="B171" t="s">
        <v>220</v>
      </c>
      <c r="C171" t="s">
        <v>221</v>
      </c>
      <c r="D171">
        <f t="shared" ref="D171:BO171" si="30">D119+D144</f>
        <v>5.7900000000000007E-2</v>
      </c>
      <c r="E171">
        <f t="shared" si="30"/>
        <v>4.1700000000000001E-2</v>
      </c>
      <c r="F171">
        <f t="shared" si="30"/>
        <v>1.2999999999999999E-2</v>
      </c>
      <c r="G171">
        <f t="shared" si="30"/>
        <v>3.9800000000000002E-2</v>
      </c>
      <c r="H171">
        <f t="shared" si="30"/>
        <v>-8.9999999999999976E-4</v>
      </c>
      <c r="I171">
        <f t="shared" si="30"/>
        <v>1.8200000000000001E-2</v>
      </c>
      <c r="J171">
        <f t="shared" si="30"/>
        <v>7.0000000000000001E-3</v>
      </c>
      <c r="K171">
        <f t="shared" si="30"/>
        <v>5.5999999999999999E-3</v>
      </c>
      <c r="L171">
        <f t="shared" si="30"/>
        <v>9.1000000000000004E-3</v>
      </c>
      <c r="M171">
        <f t="shared" si="30"/>
        <v>-2.5999999999999999E-3</v>
      </c>
      <c r="N171">
        <f t="shared" si="30"/>
        <v>-5.4999999999999997E-3</v>
      </c>
      <c r="O171">
        <f t="shared" si="30"/>
        <v>9.999999999999998E-4</v>
      </c>
      <c r="P171">
        <f t="shared" si="30"/>
        <v>-1.5E-3</v>
      </c>
      <c r="Q171">
        <f t="shared" si="30"/>
        <v>-1.0000000000000005E-4</v>
      </c>
      <c r="R171">
        <f t="shared" si="30"/>
        <v>8.9999999999999998E-4</v>
      </c>
      <c r="S171">
        <f t="shared" si="30"/>
        <v>1E-3</v>
      </c>
      <c r="T171">
        <f t="shared" si="30"/>
        <v>1.6000000000000001E-3</v>
      </c>
      <c r="U171">
        <f t="shared" si="30"/>
        <v>1.6999999999999999E-3</v>
      </c>
      <c r="V171">
        <f t="shared" si="30"/>
        <v>2.8999999999999998E-3</v>
      </c>
      <c r="W171">
        <f t="shared" si="30"/>
        <v>2.7000000000000001E-3</v>
      </c>
      <c r="X171">
        <f t="shared" si="30"/>
        <v>2.7000000000000001E-3</v>
      </c>
      <c r="Y171">
        <f t="shared" si="30"/>
        <v>3.4000000000000002E-3</v>
      </c>
      <c r="Z171">
        <f t="shared" si="30"/>
        <v>2.8999999999999998E-3</v>
      </c>
      <c r="AA171">
        <f t="shared" si="30"/>
        <v>3.1000000000000003E-3</v>
      </c>
      <c r="AB171">
        <f t="shared" si="30"/>
        <v>3.5999999999999999E-3</v>
      </c>
      <c r="AC171">
        <f t="shared" si="30"/>
        <v>3.4999999999999996E-3</v>
      </c>
      <c r="AD171">
        <f t="shared" si="30"/>
        <v>3.4000000000000002E-3</v>
      </c>
      <c r="AE171">
        <f t="shared" si="30"/>
        <v>3.1000000000000003E-3</v>
      </c>
      <c r="AF171">
        <f t="shared" si="30"/>
        <v>2.8E-3</v>
      </c>
      <c r="AG171">
        <f t="shared" si="30"/>
        <v>1.8E-3</v>
      </c>
      <c r="AH171">
        <f t="shared" si="30"/>
        <v>1.7000000000000001E-3</v>
      </c>
      <c r="AI171">
        <f t="shared" si="30"/>
        <v>2E-3</v>
      </c>
      <c r="AJ171">
        <f t="shared" si="30"/>
        <v>3.1999999999999997E-3</v>
      </c>
      <c r="AK171">
        <f t="shared" si="30"/>
        <v>3.3E-3</v>
      </c>
      <c r="AL171">
        <f t="shared" si="30"/>
        <v>2.8999999999999998E-3</v>
      </c>
      <c r="AM171">
        <f t="shared" si="30"/>
        <v>2.5999999999999999E-3</v>
      </c>
      <c r="AN171">
        <f t="shared" si="30"/>
        <v>2.3999999999999998E-3</v>
      </c>
      <c r="AO171">
        <f t="shared" si="30"/>
        <v>2.4999999999999996E-3</v>
      </c>
      <c r="AP171">
        <f t="shared" si="30"/>
        <v>2.5999999999999999E-3</v>
      </c>
      <c r="AQ171">
        <f t="shared" si="30"/>
        <v>3.0999999999999999E-3</v>
      </c>
      <c r="AR171">
        <f t="shared" si="30"/>
        <v>3.3E-3</v>
      </c>
      <c r="AS171">
        <f t="shared" si="30"/>
        <v>2.7000000000000001E-3</v>
      </c>
      <c r="AT171">
        <f t="shared" si="30"/>
        <v>2.8E-3</v>
      </c>
      <c r="AU171">
        <f t="shared" si="30"/>
        <v>3.1000000000000003E-3</v>
      </c>
      <c r="AV171">
        <f t="shared" si="30"/>
        <v>2.4000000000000002E-3</v>
      </c>
      <c r="AW171">
        <f t="shared" si="30"/>
        <v>2.8E-3</v>
      </c>
      <c r="AX171">
        <f t="shared" si="30"/>
        <v>3.3E-3</v>
      </c>
      <c r="AY171">
        <f t="shared" si="30"/>
        <v>3.3E-3</v>
      </c>
      <c r="AZ171">
        <f t="shared" si="30"/>
        <v>3.1999999999999997E-3</v>
      </c>
      <c r="BA171">
        <f t="shared" si="30"/>
        <v>3.3E-3</v>
      </c>
      <c r="BB171">
        <f t="shared" si="30"/>
        <v>3.0999999999999999E-3</v>
      </c>
      <c r="BC171">
        <f t="shared" si="30"/>
        <v>2.8999999999999998E-3</v>
      </c>
      <c r="BD171">
        <f t="shared" si="30"/>
        <v>3.0000000000000001E-3</v>
      </c>
      <c r="BE171">
        <f t="shared" si="30"/>
        <v>2.8999999999999998E-3</v>
      </c>
      <c r="BF171">
        <f t="shared" si="30"/>
        <v>2.1999999999999997E-3</v>
      </c>
      <c r="BG171">
        <f t="shared" si="30"/>
        <v>2.5000000000000001E-3</v>
      </c>
      <c r="BH171">
        <f t="shared" si="30"/>
        <v>2.5999999999999999E-3</v>
      </c>
      <c r="BI171">
        <f t="shared" si="30"/>
        <v>2.7000000000000001E-3</v>
      </c>
      <c r="BJ171">
        <f t="shared" si="30"/>
        <v>2.5999999999999999E-3</v>
      </c>
      <c r="BK171">
        <f t="shared" si="30"/>
        <v>3.0000000000000001E-3</v>
      </c>
      <c r="BL171">
        <f t="shared" si="30"/>
        <v>2.7000000000000001E-3</v>
      </c>
      <c r="BM171">
        <f t="shared" si="30"/>
        <v>3.0999999999999999E-3</v>
      </c>
      <c r="BN171">
        <f t="shared" si="30"/>
        <v>3.3E-3</v>
      </c>
      <c r="BO171">
        <f t="shared" si="30"/>
        <v>4.0000000000000001E-3</v>
      </c>
      <c r="BP171">
        <f t="shared" si="18"/>
        <v>3.7000000000000002E-3</v>
      </c>
      <c r="BQ171">
        <f t="shared" si="29"/>
        <v>3.7000000000000002E-3</v>
      </c>
      <c r="BR171">
        <f t="shared" si="29"/>
        <v>3.4999999999999996E-3</v>
      </c>
      <c r="BS171">
        <f t="shared" si="29"/>
        <v>3.5999999999999999E-3</v>
      </c>
      <c r="BT171">
        <f t="shared" si="29"/>
        <v>4.7000000000000002E-3</v>
      </c>
      <c r="BU171">
        <f t="shared" si="29"/>
        <v>4.5999999999999999E-3</v>
      </c>
      <c r="BV171">
        <f t="shared" si="29"/>
        <v>2.8E-3</v>
      </c>
      <c r="BW171">
        <f t="shared" si="29"/>
        <v>3.7000000000000002E-3</v>
      </c>
      <c r="BX171">
        <f t="shared" si="29"/>
        <v>3.8999999999999998E-3</v>
      </c>
      <c r="BY171">
        <f t="shared" si="29"/>
        <v>3.5000000000000001E-3</v>
      </c>
      <c r="BZ171">
        <f t="shared" si="29"/>
        <v>3.5000000000000001E-3</v>
      </c>
      <c r="CA171">
        <f t="shared" si="29"/>
        <v>3.7999999999999996E-3</v>
      </c>
      <c r="CB171">
        <f t="shared" si="29"/>
        <v>3.7999999999999996E-3</v>
      </c>
      <c r="CC171">
        <f t="shared" si="29"/>
        <v>3.5999999999999999E-3</v>
      </c>
      <c r="CD171">
        <f t="shared" si="29"/>
        <v>3.0999999999999999E-3</v>
      </c>
      <c r="CE171">
        <f t="shared" si="29"/>
        <v>5.4000000000000003E-3</v>
      </c>
      <c r="CF171">
        <f t="shared" si="29"/>
        <v>6.0000000000000001E-3</v>
      </c>
      <c r="CG171">
        <f t="shared" si="29"/>
        <v>6.1000000000000004E-3</v>
      </c>
      <c r="CH171">
        <f t="shared" si="29"/>
        <v>4.7000000000000002E-3</v>
      </c>
      <c r="CI171">
        <f t="shared" si="29"/>
        <v>3.7000000000000002E-3</v>
      </c>
      <c r="CJ171">
        <f t="shared" si="29"/>
        <v>2.8E-3</v>
      </c>
      <c r="CK171">
        <f t="shared" si="29"/>
        <v>3.7000000000000002E-3</v>
      </c>
      <c r="CL171">
        <f t="shared" si="29"/>
        <v>3.1999999999999997E-3</v>
      </c>
      <c r="CM171">
        <f t="shared" si="29"/>
        <v>4.1000000000000003E-3</v>
      </c>
      <c r="CN171">
        <f t="shared" si="29"/>
        <v>4.7000000000000002E-3</v>
      </c>
      <c r="CO171">
        <f t="shared" si="29"/>
        <v>5.0000000000000001E-3</v>
      </c>
      <c r="CP171">
        <f t="shared" si="29"/>
        <v>3.5999999999999999E-3</v>
      </c>
      <c r="CQ171">
        <f t="shared" si="29"/>
        <v>3.1999999999999997E-3</v>
      </c>
      <c r="CR171">
        <f t="shared" si="29"/>
        <v>3.7000000000000002E-3</v>
      </c>
      <c r="CS171">
        <f t="shared" si="29"/>
        <v>1.2999999999999999E-3</v>
      </c>
      <c r="CT171">
        <f t="shared" si="29"/>
        <v>2.5000000000000001E-3</v>
      </c>
      <c r="CU171">
        <f t="shared" si="29"/>
        <v>2.4000000000000002E-3</v>
      </c>
      <c r="CV171">
        <f t="shared" si="29"/>
        <v>3.5999999999999999E-3</v>
      </c>
      <c r="CW171">
        <f t="shared" si="29"/>
        <v>5.6999999999999993E-3</v>
      </c>
      <c r="CX171">
        <f t="shared" si="29"/>
        <v>1.24E-2</v>
      </c>
    </row>
    <row r="172" spans="1:102" x14ac:dyDescent="0.2">
      <c r="A172" t="s">
        <v>5919</v>
      </c>
      <c r="B172" t="s">
        <v>220</v>
      </c>
      <c r="C172" t="s">
        <v>221</v>
      </c>
      <c r="D172">
        <f t="shared" ref="D172:BO172" si="31">D120+D145</f>
        <v>-0.1953</v>
      </c>
      <c r="E172">
        <f t="shared" si="31"/>
        <v>-0.1948</v>
      </c>
      <c r="F172">
        <f t="shared" si="31"/>
        <v>-5.57E-2</v>
      </c>
      <c r="G172">
        <f t="shared" si="31"/>
        <v>-0.20669999999999999</v>
      </c>
      <c r="H172">
        <f t="shared" si="31"/>
        <v>7.4500000000000011E-2</v>
      </c>
      <c r="I172">
        <f t="shared" si="31"/>
        <v>-0.12290000000000001</v>
      </c>
      <c r="J172">
        <f t="shared" si="31"/>
        <v>-3.9000000000000007E-3</v>
      </c>
      <c r="K172">
        <f t="shared" si="31"/>
        <v>-1.2E-2</v>
      </c>
      <c r="L172">
        <f t="shared" si="31"/>
        <v>-3.8100000000000002E-2</v>
      </c>
      <c r="M172">
        <f t="shared" si="31"/>
        <v>9.6000000000000016E-2</v>
      </c>
      <c r="N172">
        <f t="shared" si="31"/>
        <v>0.1434</v>
      </c>
      <c r="O172">
        <f t="shared" si="31"/>
        <v>6.5599999999999992E-2</v>
      </c>
      <c r="P172">
        <f t="shared" si="31"/>
        <v>0.11939999999999999</v>
      </c>
      <c r="Q172">
        <f t="shared" si="31"/>
        <v>0.11579999999999999</v>
      </c>
      <c r="R172">
        <f t="shared" si="31"/>
        <v>9.9699999999999997E-2</v>
      </c>
      <c r="S172">
        <f t="shared" si="31"/>
        <v>6.8700000000000011E-2</v>
      </c>
      <c r="T172">
        <f t="shared" si="31"/>
        <v>4.9000000000000002E-2</v>
      </c>
      <c r="U172">
        <f t="shared" si="31"/>
        <v>4.07E-2</v>
      </c>
      <c r="V172">
        <f t="shared" si="31"/>
        <v>2.9000000000000001E-2</v>
      </c>
      <c r="W172">
        <f t="shared" si="31"/>
        <v>2.4599999999999997E-2</v>
      </c>
      <c r="X172">
        <f t="shared" si="31"/>
        <v>2.18E-2</v>
      </c>
      <c r="Y172">
        <f t="shared" si="31"/>
        <v>1.0499999999999999E-2</v>
      </c>
      <c r="Z172">
        <f t="shared" si="31"/>
        <v>1.78E-2</v>
      </c>
      <c r="AA172">
        <f t="shared" si="31"/>
        <v>2.6099999999999998E-2</v>
      </c>
      <c r="AB172">
        <f t="shared" si="31"/>
        <v>3.2300000000000002E-2</v>
      </c>
      <c r="AC172">
        <f t="shared" si="31"/>
        <v>3.3600000000000005E-2</v>
      </c>
      <c r="AD172">
        <f t="shared" si="31"/>
        <v>2.9400000000000003E-2</v>
      </c>
      <c r="AE172">
        <f t="shared" si="31"/>
        <v>3.1E-2</v>
      </c>
      <c r="AF172">
        <f t="shared" si="31"/>
        <v>2.5899999999999999E-2</v>
      </c>
      <c r="AG172">
        <f t="shared" si="31"/>
        <v>2.1100000000000001E-2</v>
      </c>
      <c r="AH172">
        <f t="shared" si="31"/>
        <v>2.8799999999999996E-2</v>
      </c>
      <c r="AI172">
        <f t="shared" si="31"/>
        <v>2.12E-2</v>
      </c>
      <c r="AJ172">
        <f t="shared" si="31"/>
        <v>1.4699999999999998E-2</v>
      </c>
      <c r="AK172">
        <f t="shared" si="31"/>
        <v>1.32E-2</v>
      </c>
      <c r="AL172">
        <f t="shared" si="31"/>
        <v>1.7299999999999999E-2</v>
      </c>
      <c r="AM172">
        <f t="shared" si="31"/>
        <v>1.3299999999999999E-2</v>
      </c>
      <c r="AN172">
        <f t="shared" si="31"/>
        <v>1.5099999999999999E-2</v>
      </c>
      <c r="AO172">
        <f t="shared" si="31"/>
        <v>1.9900000000000001E-2</v>
      </c>
      <c r="AP172">
        <f t="shared" si="31"/>
        <v>2.6099999999999998E-2</v>
      </c>
      <c r="AQ172">
        <f t="shared" si="31"/>
        <v>2.8000000000000001E-2</v>
      </c>
      <c r="AR172">
        <f t="shared" si="31"/>
        <v>2.4500000000000001E-2</v>
      </c>
      <c r="AS172">
        <f t="shared" si="31"/>
        <v>1.72E-2</v>
      </c>
      <c r="AT172">
        <f t="shared" si="31"/>
        <v>1.41E-2</v>
      </c>
      <c r="AU172">
        <f t="shared" si="31"/>
        <v>1.2200000000000001E-2</v>
      </c>
      <c r="AV172">
        <f t="shared" si="31"/>
        <v>2.0900000000000002E-2</v>
      </c>
      <c r="AW172">
        <f t="shared" si="31"/>
        <v>2.0900000000000002E-2</v>
      </c>
      <c r="AX172">
        <f t="shared" si="31"/>
        <v>9.7000000000000003E-3</v>
      </c>
      <c r="AY172">
        <f t="shared" si="31"/>
        <v>9.9000000000000008E-3</v>
      </c>
      <c r="AZ172">
        <f t="shared" si="31"/>
        <v>1.26E-2</v>
      </c>
      <c r="BA172">
        <f t="shared" si="31"/>
        <v>1.5799999999999998E-2</v>
      </c>
      <c r="BB172">
        <f t="shared" si="31"/>
        <v>1.12E-2</v>
      </c>
      <c r="BC172">
        <f t="shared" si="31"/>
        <v>1.66E-2</v>
      </c>
      <c r="BD172">
        <f t="shared" si="31"/>
        <v>1.2799999999999999E-2</v>
      </c>
      <c r="BE172">
        <f t="shared" si="31"/>
        <v>1.4799999999999999E-2</v>
      </c>
      <c r="BF172">
        <f t="shared" si="31"/>
        <v>1.5299999999999999E-2</v>
      </c>
      <c r="BG172">
        <f t="shared" si="31"/>
        <v>1.8599999999999998E-2</v>
      </c>
      <c r="BH172">
        <f t="shared" si="31"/>
        <v>2.1699999999999997E-2</v>
      </c>
      <c r="BI172">
        <f t="shared" si="31"/>
        <v>1.7899999999999999E-2</v>
      </c>
      <c r="BJ172">
        <f t="shared" si="31"/>
        <v>2.1399999999999999E-2</v>
      </c>
      <c r="BK172">
        <f t="shared" si="31"/>
        <v>1.5599999999999999E-2</v>
      </c>
      <c r="BL172">
        <f t="shared" si="31"/>
        <v>1.3899999999999999E-2</v>
      </c>
      <c r="BM172">
        <f t="shared" si="31"/>
        <v>1.2E-2</v>
      </c>
      <c r="BN172">
        <f t="shared" si="31"/>
        <v>9.3999999999999986E-3</v>
      </c>
      <c r="BO172">
        <f t="shared" si="31"/>
        <v>7.0000000000000001E-3</v>
      </c>
      <c r="BP172">
        <f t="shared" si="18"/>
        <v>1.5E-3</v>
      </c>
      <c r="BQ172">
        <f t="shared" si="29"/>
        <v>5.7999999999999996E-3</v>
      </c>
      <c r="BR172">
        <f t="shared" si="29"/>
        <v>1.18E-2</v>
      </c>
      <c r="BS172">
        <f t="shared" si="29"/>
        <v>1.66E-2</v>
      </c>
      <c r="BT172">
        <f t="shared" si="29"/>
        <v>2.1399999999999999E-2</v>
      </c>
      <c r="BU172">
        <f t="shared" si="29"/>
        <v>2.41E-2</v>
      </c>
      <c r="BV172">
        <f t="shared" si="29"/>
        <v>2.46E-2</v>
      </c>
      <c r="BW172">
        <f t="shared" si="29"/>
        <v>2.5100000000000001E-2</v>
      </c>
      <c r="BX172">
        <f t="shared" si="29"/>
        <v>1.55E-2</v>
      </c>
      <c r="BY172">
        <f t="shared" si="29"/>
        <v>2.8399999999999998E-2</v>
      </c>
      <c r="BZ172">
        <f t="shared" si="29"/>
        <v>3.04E-2</v>
      </c>
      <c r="CA172">
        <f t="shared" si="29"/>
        <v>2.3E-2</v>
      </c>
      <c r="CB172">
        <f t="shared" si="29"/>
        <v>1.2500000000000001E-2</v>
      </c>
      <c r="CC172">
        <f t="shared" si="29"/>
        <v>2.35E-2</v>
      </c>
      <c r="CD172">
        <f t="shared" si="29"/>
        <v>7.6999999999999994E-3</v>
      </c>
      <c r="CE172">
        <f t="shared" si="29"/>
        <v>7.3000000000000001E-3</v>
      </c>
      <c r="CF172">
        <f t="shared" si="29"/>
        <v>1.0500000000000001E-2</v>
      </c>
      <c r="CG172">
        <f t="shared" si="29"/>
        <v>1.23E-2</v>
      </c>
      <c r="CH172">
        <f t="shared" si="29"/>
        <v>5.0999999999999995E-3</v>
      </c>
      <c r="CI172">
        <f t="shared" si="29"/>
        <v>8.3999999999999995E-3</v>
      </c>
      <c r="CJ172">
        <f t="shared" si="29"/>
        <v>-4.3E-3</v>
      </c>
      <c r="CK172">
        <f t="shared" si="29"/>
        <v>-1.12E-2</v>
      </c>
      <c r="CL172">
        <f t="shared" si="29"/>
        <v>-1.4499999999999999E-2</v>
      </c>
      <c r="CM172">
        <f t="shared" si="29"/>
        <v>-6.0000000000000006E-4</v>
      </c>
      <c r="CN172">
        <f t="shared" si="29"/>
        <v>-1.7000000000000001E-3</v>
      </c>
      <c r="CO172">
        <f t="shared" si="29"/>
        <v>-1.52E-2</v>
      </c>
      <c r="CP172">
        <f t="shared" si="29"/>
        <v>-1.6999999999999999E-3</v>
      </c>
      <c r="CQ172">
        <f t="shared" si="29"/>
        <v>-1.0800000000000001E-2</v>
      </c>
      <c r="CR172">
        <f t="shared" si="29"/>
        <v>-1.4800000000000001E-2</v>
      </c>
      <c r="CS172">
        <f t="shared" si="29"/>
        <v>-1.3999999999999998E-3</v>
      </c>
      <c r="CT172">
        <f t="shared" si="29"/>
        <v>-1.32E-2</v>
      </c>
      <c r="CU172">
        <f t="shared" si="29"/>
        <v>-1.9699999999999999E-2</v>
      </c>
      <c r="CV172">
        <f t="shared" si="29"/>
        <v>-4.3299999999999998E-2</v>
      </c>
      <c r="CW172">
        <f t="shared" si="29"/>
        <v>-3.4299999999999997E-2</v>
      </c>
      <c r="CX172">
        <f t="shared" si="29"/>
        <v>-4.19E-2</v>
      </c>
    </row>
    <row r="173" spans="1:102" x14ac:dyDescent="0.2">
      <c r="A173" t="s">
        <v>5920</v>
      </c>
      <c r="B173" t="s">
        <v>220</v>
      </c>
      <c r="C173" t="s">
        <v>221</v>
      </c>
      <c r="D173">
        <f t="shared" ref="D173:BO173" si="32">D121+D146</f>
        <v>-0.1351</v>
      </c>
      <c r="E173">
        <f t="shared" si="32"/>
        <v>-0.12990000000000002</v>
      </c>
      <c r="F173">
        <f t="shared" si="32"/>
        <v>1.2999999999999991E-3</v>
      </c>
      <c r="G173">
        <f t="shared" si="32"/>
        <v>-0.1603</v>
      </c>
      <c r="H173">
        <f t="shared" si="32"/>
        <v>0.12380000000000001</v>
      </c>
      <c r="I173">
        <f t="shared" si="32"/>
        <v>-7.7499999999999999E-2</v>
      </c>
      <c r="J173">
        <f t="shared" si="32"/>
        <v>4.0599999999999997E-2</v>
      </c>
      <c r="K173">
        <f t="shared" si="32"/>
        <v>3.0800000000000001E-2</v>
      </c>
      <c r="L173">
        <f t="shared" si="32"/>
        <v>1.6000000000000007E-3</v>
      </c>
      <c r="M173">
        <f t="shared" si="32"/>
        <v>0.13270000000000001</v>
      </c>
      <c r="N173">
        <f t="shared" si="32"/>
        <v>0.17580000000000001</v>
      </c>
      <c r="O173">
        <f t="shared" si="32"/>
        <v>8.7899999999999992E-2</v>
      </c>
      <c r="P173">
        <f t="shared" si="32"/>
        <v>0.14080000000000001</v>
      </c>
      <c r="Q173">
        <f t="shared" si="32"/>
        <v>0.13520000000000001</v>
      </c>
      <c r="R173">
        <f t="shared" si="32"/>
        <v>0.1177</v>
      </c>
      <c r="S173">
        <f t="shared" si="32"/>
        <v>8.5500000000000007E-2</v>
      </c>
      <c r="T173">
        <f t="shared" si="32"/>
        <v>6.3899999999999998E-2</v>
      </c>
      <c r="U173">
        <f t="shared" si="32"/>
        <v>5.4900000000000004E-2</v>
      </c>
      <c r="V173">
        <f t="shared" si="32"/>
        <v>4.2300000000000004E-2</v>
      </c>
      <c r="W173">
        <f t="shared" si="32"/>
        <v>3.7600000000000001E-2</v>
      </c>
      <c r="X173">
        <f t="shared" si="32"/>
        <v>3.4299999999999997E-2</v>
      </c>
      <c r="Y173">
        <f t="shared" si="32"/>
        <v>2.2100000000000002E-2</v>
      </c>
      <c r="Z173">
        <f t="shared" si="32"/>
        <v>2.9199999999999997E-2</v>
      </c>
      <c r="AA173">
        <f t="shared" si="32"/>
        <v>3.7600000000000001E-2</v>
      </c>
      <c r="AB173">
        <f t="shared" si="32"/>
        <v>4.3900000000000002E-2</v>
      </c>
      <c r="AC173">
        <f t="shared" si="32"/>
        <v>4.5200000000000004E-2</v>
      </c>
      <c r="AD173">
        <f t="shared" si="32"/>
        <v>4.1200000000000001E-2</v>
      </c>
      <c r="AE173">
        <f t="shared" si="32"/>
        <v>4.2800000000000005E-2</v>
      </c>
      <c r="AF173">
        <f t="shared" si="32"/>
        <v>3.7999999999999999E-2</v>
      </c>
      <c r="AG173">
        <f t="shared" si="32"/>
        <v>3.3300000000000003E-2</v>
      </c>
      <c r="AH173">
        <f t="shared" si="32"/>
        <v>4.1599999999999998E-2</v>
      </c>
      <c r="AI173">
        <f t="shared" si="32"/>
        <v>3.4299999999999997E-2</v>
      </c>
      <c r="AJ173">
        <f t="shared" si="32"/>
        <v>2.8400000000000002E-2</v>
      </c>
      <c r="AK173">
        <f t="shared" si="32"/>
        <v>2.7499999999999997E-2</v>
      </c>
      <c r="AL173">
        <f t="shared" si="32"/>
        <v>3.2300000000000002E-2</v>
      </c>
      <c r="AM173">
        <f t="shared" si="32"/>
        <v>2.86E-2</v>
      </c>
      <c r="AN173">
        <f t="shared" si="32"/>
        <v>3.04E-2</v>
      </c>
      <c r="AO173">
        <f t="shared" si="32"/>
        <v>3.5200000000000002E-2</v>
      </c>
      <c r="AP173">
        <f t="shared" si="32"/>
        <v>4.1300000000000003E-2</v>
      </c>
      <c r="AQ173">
        <f t="shared" si="32"/>
        <v>4.2999999999999997E-2</v>
      </c>
      <c r="AR173">
        <f t="shared" si="32"/>
        <v>3.9599999999999996E-2</v>
      </c>
      <c r="AS173">
        <f t="shared" si="32"/>
        <v>3.2399999999999998E-2</v>
      </c>
      <c r="AT173">
        <f t="shared" si="32"/>
        <v>2.93E-2</v>
      </c>
      <c r="AU173">
        <f t="shared" si="32"/>
        <v>2.75E-2</v>
      </c>
      <c r="AV173">
        <f t="shared" si="32"/>
        <v>3.6200000000000003E-2</v>
      </c>
      <c r="AW173">
        <f t="shared" si="32"/>
        <v>3.6499999999999998E-2</v>
      </c>
      <c r="AX173">
        <f t="shared" si="32"/>
        <v>2.58E-2</v>
      </c>
      <c r="AY173">
        <f t="shared" si="32"/>
        <v>2.6199999999999998E-2</v>
      </c>
      <c r="AZ173">
        <f t="shared" si="32"/>
        <v>2.8999999999999998E-2</v>
      </c>
      <c r="BA173">
        <f t="shared" si="32"/>
        <v>3.2300000000000002E-2</v>
      </c>
      <c r="BB173">
        <f t="shared" si="32"/>
        <v>2.7900000000000001E-2</v>
      </c>
      <c r="BC173">
        <f t="shared" si="32"/>
        <v>3.3299999999999996E-2</v>
      </c>
      <c r="BD173">
        <f t="shared" si="32"/>
        <v>2.9600000000000001E-2</v>
      </c>
      <c r="BE173">
        <f t="shared" si="32"/>
        <v>3.1699999999999999E-2</v>
      </c>
      <c r="BF173">
        <f t="shared" si="32"/>
        <v>3.27E-2</v>
      </c>
      <c r="BG173">
        <f t="shared" si="32"/>
        <v>3.5899999999999994E-2</v>
      </c>
      <c r="BH173">
        <f t="shared" si="32"/>
        <v>3.95E-2</v>
      </c>
      <c r="BI173">
        <f t="shared" si="32"/>
        <v>3.61E-2</v>
      </c>
      <c r="BJ173">
        <f t="shared" si="32"/>
        <v>3.9899999999999998E-2</v>
      </c>
      <c r="BK173">
        <f t="shared" si="32"/>
        <v>3.4599999999999999E-2</v>
      </c>
      <c r="BL173">
        <f t="shared" si="32"/>
        <v>3.32E-2</v>
      </c>
      <c r="BM173">
        <f t="shared" si="32"/>
        <v>3.1199999999999999E-2</v>
      </c>
      <c r="BN173">
        <f t="shared" si="32"/>
        <v>2.86E-2</v>
      </c>
      <c r="BO173">
        <f t="shared" si="32"/>
        <v>2.5599999999999998E-2</v>
      </c>
      <c r="BP173">
        <f t="shared" si="18"/>
        <v>1.9899999999999998E-2</v>
      </c>
      <c r="BQ173">
        <f t="shared" si="29"/>
        <v>2.4300000000000002E-2</v>
      </c>
      <c r="BR173">
        <f t="shared" si="29"/>
        <v>3.0000000000000002E-2</v>
      </c>
      <c r="BS173">
        <f t="shared" si="29"/>
        <v>3.5199999999999995E-2</v>
      </c>
      <c r="BT173">
        <f t="shared" si="29"/>
        <v>4.0399999999999998E-2</v>
      </c>
      <c r="BU173">
        <f t="shared" si="29"/>
        <v>4.4699999999999997E-2</v>
      </c>
      <c r="BV173">
        <f t="shared" si="29"/>
        <v>4.82E-2</v>
      </c>
      <c r="BW173">
        <f t="shared" si="29"/>
        <v>5.0700000000000002E-2</v>
      </c>
      <c r="BX173">
        <f t="shared" si="29"/>
        <v>4.1500000000000002E-2</v>
      </c>
      <c r="BY173">
        <f t="shared" si="29"/>
        <v>5.3699999999999998E-2</v>
      </c>
      <c r="BZ173">
        <f t="shared" si="29"/>
        <v>5.4600000000000003E-2</v>
      </c>
      <c r="CA173">
        <f t="shared" si="29"/>
        <v>4.6799999999999994E-2</v>
      </c>
      <c r="CB173">
        <f t="shared" si="29"/>
        <v>3.6999999999999998E-2</v>
      </c>
      <c r="CC173">
        <f t="shared" si="29"/>
        <v>4.8399999999999999E-2</v>
      </c>
      <c r="CD173">
        <f t="shared" si="29"/>
        <v>3.32E-2</v>
      </c>
      <c r="CE173">
        <f t="shared" si="29"/>
        <v>3.56E-2</v>
      </c>
      <c r="CF173">
        <f t="shared" si="29"/>
        <v>3.9900000000000005E-2</v>
      </c>
      <c r="CG173">
        <f t="shared" si="29"/>
        <v>4.1399999999999999E-2</v>
      </c>
      <c r="CH173">
        <f t="shared" si="29"/>
        <v>3.6200000000000003E-2</v>
      </c>
      <c r="CI173">
        <f t="shared" si="29"/>
        <v>4.2099999999999999E-2</v>
      </c>
      <c r="CJ173">
        <f t="shared" si="29"/>
        <v>3.2199999999999999E-2</v>
      </c>
      <c r="CK173">
        <f t="shared" si="29"/>
        <v>2.3300000000000001E-2</v>
      </c>
      <c r="CL173">
        <f t="shared" si="29"/>
        <v>1.8700000000000001E-2</v>
      </c>
      <c r="CM173">
        <f t="shared" si="29"/>
        <v>3.2899999999999999E-2</v>
      </c>
      <c r="CN173">
        <f t="shared" si="29"/>
        <v>3.9800000000000002E-2</v>
      </c>
      <c r="CO173">
        <f t="shared" si="29"/>
        <v>2.8200000000000003E-2</v>
      </c>
      <c r="CP173">
        <f t="shared" si="29"/>
        <v>3.6500000000000005E-2</v>
      </c>
      <c r="CQ173">
        <f t="shared" si="29"/>
        <v>2.7799999999999998E-2</v>
      </c>
      <c r="CR173">
        <f t="shared" si="29"/>
        <v>3.9100000000000003E-2</v>
      </c>
      <c r="CS173">
        <f t="shared" si="29"/>
        <v>5.1999999999999998E-2</v>
      </c>
      <c r="CT173">
        <f t="shared" si="29"/>
        <v>4.8899999999999999E-2</v>
      </c>
      <c r="CU173">
        <f t="shared" si="29"/>
        <v>4.53E-2</v>
      </c>
      <c r="CV173">
        <f t="shared" si="29"/>
        <v>2.4999999999999998E-2</v>
      </c>
      <c r="CW173">
        <f t="shared" si="29"/>
        <v>6.2300000000000001E-2</v>
      </c>
      <c r="CX173">
        <f t="shared" si="29"/>
        <v>6.7600000000000007E-2</v>
      </c>
    </row>
    <row r="174" spans="1:102" x14ac:dyDescent="0.2">
      <c r="A174" t="s">
        <v>5921</v>
      </c>
      <c r="B174" t="s">
        <v>220</v>
      </c>
      <c r="C174" t="s">
        <v>221</v>
      </c>
      <c r="D174">
        <f t="shared" ref="D174:BO174" si="33">D122+D147</f>
        <v>3.0100000000000002E-2</v>
      </c>
      <c r="E174">
        <f t="shared" si="33"/>
        <v>3.7100000000000001E-2</v>
      </c>
      <c r="F174">
        <f t="shared" si="33"/>
        <v>1.9999999999999997E-2</v>
      </c>
      <c r="G174">
        <f t="shared" si="33"/>
        <v>1.09E-2</v>
      </c>
      <c r="H174">
        <f t="shared" si="33"/>
        <v>3.4299999999999997E-2</v>
      </c>
      <c r="I174">
        <f t="shared" si="33"/>
        <v>3.1199999999999999E-2</v>
      </c>
      <c r="J174">
        <f t="shared" si="33"/>
        <v>2.3599999999999999E-2</v>
      </c>
      <c r="K174">
        <f t="shared" si="33"/>
        <v>1.8499999999999999E-2</v>
      </c>
      <c r="L174">
        <f t="shared" si="33"/>
        <v>1.43E-2</v>
      </c>
      <c r="M174">
        <f t="shared" si="33"/>
        <v>1.1900000000000001E-2</v>
      </c>
      <c r="N174">
        <f t="shared" si="33"/>
        <v>8.199999999999999E-3</v>
      </c>
      <c r="O174">
        <f t="shared" si="33"/>
        <v>-5.9999999999999984E-4</v>
      </c>
      <c r="P174">
        <f t="shared" si="33"/>
        <v>1.37E-2</v>
      </c>
      <c r="Q174">
        <f t="shared" si="33"/>
        <v>-7.000000000000001E-4</v>
      </c>
      <c r="R174">
        <f t="shared" si="33"/>
        <v>-4.4999999999999997E-3</v>
      </c>
      <c r="S174">
        <f t="shared" si="33"/>
        <v>-1.5999999999999999E-3</v>
      </c>
      <c r="T174">
        <f t="shared" si="33"/>
        <v>-2.9999999999999996E-3</v>
      </c>
      <c r="U174">
        <f t="shared" si="33"/>
        <v>6.0000000000000006E-4</v>
      </c>
      <c r="V174">
        <f t="shared" si="33"/>
        <v>-3.3000000000000004E-3</v>
      </c>
      <c r="W174">
        <f t="shared" si="33"/>
        <v>-4.5999999999999999E-3</v>
      </c>
      <c r="X174">
        <f t="shared" si="33"/>
        <v>-4.5999999999999999E-3</v>
      </c>
      <c r="Y174">
        <f t="shared" si="33"/>
        <v>-5.8000000000000013E-3</v>
      </c>
      <c r="Z174">
        <f t="shared" si="33"/>
        <v>-8.3999999999999995E-3</v>
      </c>
      <c r="AA174">
        <f t="shared" si="33"/>
        <v>-9.4999999999999998E-3</v>
      </c>
      <c r="AB174">
        <f t="shared" si="33"/>
        <v>1.5E-3</v>
      </c>
      <c r="AC174">
        <f t="shared" si="33"/>
        <v>-4.1000000000000003E-3</v>
      </c>
      <c r="AD174">
        <f t="shared" si="33"/>
        <v>-4.2000000000000006E-3</v>
      </c>
      <c r="AE174">
        <f t="shared" si="33"/>
        <v>-6.3E-3</v>
      </c>
      <c r="AF174">
        <f t="shared" si="33"/>
        <v>3.7000000000000002E-3</v>
      </c>
      <c r="AG174">
        <f t="shared" si="33"/>
        <v>-1.9999999999999996E-3</v>
      </c>
      <c r="AH174">
        <f t="shared" si="33"/>
        <v>-9.0000000000000019E-4</v>
      </c>
      <c r="AI174">
        <f t="shared" si="33"/>
        <v>-1.3999999999999998E-3</v>
      </c>
      <c r="AJ174">
        <f t="shared" si="33"/>
        <v>-4.0000000000000018E-4</v>
      </c>
      <c r="AK174">
        <f t="shared" si="33"/>
        <v>-6.9999999999999967E-4</v>
      </c>
      <c r="AL174">
        <f t="shared" si="33"/>
        <v>-5.0000000000000001E-4</v>
      </c>
      <c r="AM174">
        <f t="shared" si="33"/>
        <v>-5.0000000000000001E-3</v>
      </c>
      <c r="AN174">
        <f t="shared" si="33"/>
        <v>-3.0999999999999995E-3</v>
      </c>
      <c r="AO174">
        <f t="shared" si="33"/>
        <v>-5.3999999999999994E-3</v>
      </c>
      <c r="AP174">
        <f t="shared" si="33"/>
        <v>2.6999999999999997E-3</v>
      </c>
      <c r="AQ174">
        <f t="shared" si="33"/>
        <v>-7.000000000000001E-4</v>
      </c>
      <c r="AR174">
        <f t="shared" si="33"/>
        <v>5.4999999999999997E-3</v>
      </c>
      <c r="AS174">
        <f t="shared" si="33"/>
        <v>-4.8999999999999998E-3</v>
      </c>
      <c r="AT174">
        <f t="shared" si="33"/>
        <v>-4.5000000000000005E-3</v>
      </c>
      <c r="AU174">
        <f t="shared" si="33"/>
        <v>-5.3000000000000009E-3</v>
      </c>
      <c r="AV174">
        <f t="shared" si="33"/>
        <v>5.0000000000000001E-3</v>
      </c>
      <c r="AW174">
        <f t="shared" si="33"/>
        <v>-8.0000000000000036E-4</v>
      </c>
      <c r="AX174">
        <f t="shared" si="33"/>
        <v>1.8E-3</v>
      </c>
      <c r="AY174">
        <f t="shared" si="33"/>
        <v>-1.1000000000000003E-3</v>
      </c>
      <c r="AZ174">
        <f t="shared" si="33"/>
        <v>7.9999999999999971E-4</v>
      </c>
      <c r="BA174">
        <f t="shared" si="33"/>
        <v>2.9999999999999992E-4</v>
      </c>
      <c r="BB174">
        <f t="shared" si="33"/>
        <v>-2.0000000000000009E-4</v>
      </c>
      <c r="BC174">
        <f t="shared" si="33"/>
        <v>-2.4999999999999996E-3</v>
      </c>
      <c r="BD174">
        <f t="shared" si="33"/>
        <v>-1.5E-3</v>
      </c>
      <c r="BE174">
        <f t="shared" si="33"/>
        <v>-6.3E-3</v>
      </c>
      <c r="BF174">
        <f t="shared" si="33"/>
        <v>1.3999999999999998E-3</v>
      </c>
      <c r="BG174">
        <f t="shared" si="33"/>
        <v>-1.8E-3</v>
      </c>
      <c r="BH174">
        <f t="shared" si="33"/>
        <v>1.2999999999999999E-3</v>
      </c>
      <c r="BI174">
        <f t="shared" si="33"/>
        <v>0</v>
      </c>
      <c r="BJ174">
        <f t="shared" si="33"/>
        <v>3.7999999999999996E-3</v>
      </c>
      <c r="BK174">
        <f t="shared" si="33"/>
        <v>-1.8999999999999998E-3</v>
      </c>
      <c r="BL174">
        <f t="shared" si="33"/>
        <v>1.0000000000000005E-4</v>
      </c>
      <c r="BM174">
        <f t="shared" si="33"/>
        <v>-1.9E-3</v>
      </c>
      <c r="BN174">
        <f t="shared" si="33"/>
        <v>-9.999999999999998E-4</v>
      </c>
      <c r="BO174">
        <f t="shared" si="33"/>
        <v>-4.0000000000000018E-4</v>
      </c>
      <c r="BP174">
        <f t="shared" si="18"/>
        <v>1E-3</v>
      </c>
      <c r="BQ174">
        <f t="shared" si="29"/>
        <v>-7.0000000000000001E-3</v>
      </c>
      <c r="BR174">
        <f t="shared" si="29"/>
        <v>-1.2699999999999999E-2</v>
      </c>
      <c r="BS174">
        <f t="shared" si="29"/>
        <v>-2.3E-3</v>
      </c>
      <c r="BT174">
        <f t="shared" si="29"/>
        <v>-6.0000000000000006E-4</v>
      </c>
      <c r="BU174">
        <f t="shared" si="29"/>
        <v>3.0000000000000001E-3</v>
      </c>
      <c r="BV174">
        <f t="shared" si="29"/>
        <v>-6.9999999999999988E-4</v>
      </c>
      <c r="BW174">
        <f t="shared" si="29"/>
        <v>6.0000000000000006E-4</v>
      </c>
      <c r="BX174">
        <f t="shared" si="29"/>
        <v>2E-3</v>
      </c>
      <c r="BY174">
        <f t="shared" si="29"/>
        <v>1.5E-3</v>
      </c>
      <c r="BZ174">
        <f t="shared" si="29"/>
        <v>-4.3E-3</v>
      </c>
      <c r="CA174">
        <f t="shared" si="29"/>
        <v>3.7999999999999996E-3</v>
      </c>
      <c r="CB174">
        <f t="shared" si="29"/>
        <v>-7.9000000000000008E-3</v>
      </c>
      <c r="CC174">
        <f t="shared" si="29"/>
        <v>-1.04E-2</v>
      </c>
      <c r="CD174">
        <f t="shared" si="29"/>
        <v>5.4999999999999997E-3</v>
      </c>
      <c r="CE174">
        <f t="shared" si="29"/>
        <v>8.0999999999999996E-3</v>
      </c>
      <c r="CF174">
        <f t="shared" si="29"/>
        <v>-6.0000000000000001E-3</v>
      </c>
      <c r="CG174">
        <f t="shared" si="29"/>
        <v>5.7999999999999996E-3</v>
      </c>
      <c r="CH174">
        <f t="shared" si="29"/>
        <v>-2.0999999999999999E-3</v>
      </c>
      <c r="CI174">
        <f t="shared" si="29"/>
        <v>6.3E-3</v>
      </c>
      <c r="CJ174">
        <f t="shared" si="29"/>
        <v>2.5999999999999999E-3</v>
      </c>
      <c r="CK174">
        <f t="shared" si="29"/>
        <v>4.1000000000000003E-3</v>
      </c>
      <c r="CL174">
        <f t="shared" si="29"/>
        <v>-5.1000000000000004E-3</v>
      </c>
      <c r="CM174">
        <f t="shared" si="29"/>
        <v>1.06E-2</v>
      </c>
      <c r="CN174">
        <f t="shared" si="29"/>
        <v>2.5000000000000001E-3</v>
      </c>
      <c r="CO174">
        <f t="shared" si="29"/>
        <v>6.3999999999999994E-3</v>
      </c>
      <c r="CP174">
        <f t="shared" si="29"/>
        <v>1.6999999999999999E-3</v>
      </c>
      <c r="CQ174">
        <f t="shared" si="29"/>
        <v>1.15E-2</v>
      </c>
      <c r="CR174">
        <f t="shared" si="29"/>
        <v>3.8999999999999998E-3</v>
      </c>
      <c r="CS174">
        <f t="shared" si="29"/>
        <v>-6.9999999999999999E-4</v>
      </c>
      <c r="CT174">
        <f t="shared" si="29"/>
        <v>1.4199999999999999E-2</v>
      </c>
      <c r="CU174">
        <f t="shared" si="29"/>
        <v>2.18E-2</v>
      </c>
      <c r="CV174">
        <f t="shared" si="29"/>
        <v>1.54E-2</v>
      </c>
      <c r="CW174">
        <f t="shared" si="29"/>
        <v>1.6999999999999998E-2</v>
      </c>
      <c r="CX174">
        <f t="shared" si="29"/>
        <v>4.2000000000000006E-3</v>
      </c>
    </row>
    <row r="175" spans="1:102" x14ac:dyDescent="0.2">
      <c r="A175" t="s">
        <v>5922</v>
      </c>
      <c r="B175" t="s">
        <v>220</v>
      </c>
      <c r="C175" t="s">
        <v>221</v>
      </c>
      <c r="D175">
        <f t="shared" ref="D175:BO175" si="34">D123+D148</f>
        <v>6.7199999999999996E-2</v>
      </c>
      <c r="E175">
        <f t="shared" si="34"/>
        <v>8.0700000000000008E-2</v>
      </c>
      <c r="F175">
        <f t="shared" si="34"/>
        <v>5.7999999999999996E-2</v>
      </c>
      <c r="G175">
        <f t="shared" si="34"/>
        <v>4.0399999999999998E-2</v>
      </c>
      <c r="H175">
        <f t="shared" si="34"/>
        <v>6.6400000000000001E-2</v>
      </c>
      <c r="I175">
        <f t="shared" si="34"/>
        <v>5.9499999999999997E-2</v>
      </c>
      <c r="J175">
        <f t="shared" si="34"/>
        <v>5.0700000000000002E-2</v>
      </c>
      <c r="K175">
        <f t="shared" si="34"/>
        <v>4.3300000000000005E-2</v>
      </c>
      <c r="L175">
        <f t="shared" si="34"/>
        <v>3.7100000000000001E-2</v>
      </c>
      <c r="M175">
        <f t="shared" si="34"/>
        <v>3.27E-2</v>
      </c>
      <c r="N175">
        <f t="shared" si="34"/>
        <v>2.6200000000000001E-2</v>
      </c>
      <c r="O175">
        <f t="shared" si="34"/>
        <v>1.1699999999999999E-2</v>
      </c>
      <c r="P175">
        <f t="shared" si="34"/>
        <v>2.5599999999999998E-2</v>
      </c>
      <c r="Q175">
        <f t="shared" si="34"/>
        <v>1.0100000000000001E-2</v>
      </c>
      <c r="R175">
        <f t="shared" si="34"/>
        <v>5.7999999999999996E-3</v>
      </c>
      <c r="S175">
        <f t="shared" si="34"/>
        <v>7.9000000000000008E-3</v>
      </c>
      <c r="T175">
        <f t="shared" si="34"/>
        <v>5.5999999999999999E-3</v>
      </c>
      <c r="U175">
        <f t="shared" si="34"/>
        <v>9.0000000000000011E-3</v>
      </c>
      <c r="V175">
        <f t="shared" si="34"/>
        <v>4.5000000000000005E-3</v>
      </c>
      <c r="W175">
        <f t="shared" si="34"/>
        <v>3.1999999999999997E-3</v>
      </c>
      <c r="X175">
        <f t="shared" si="34"/>
        <v>3.0000000000000001E-3</v>
      </c>
      <c r="Y175">
        <f t="shared" si="34"/>
        <v>1.2999999999999999E-3</v>
      </c>
      <c r="Z175">
        <f t="shared" si="34"/>
        <v>-1.5E-3</v>
      </c>
      <c r="AA175">
        <f t="shared" si="34"/>
        <v>-2.3999999999999994E-3</v>
      </c>
      <c r="AB175">
        <f t="shared" si="34"/>
        <v>8.5000000000000006E-3</v>
      </c>
      <c r="AC175">
        <f t="shared" si="34"/>
        <v>2.9000000000000002E-3</v>
      </c>
      <c r="AD175">
        <f t="shared" si="34"/>
        <v>2.8E-3</v>
      </c>
      <c r="AE175">
        <f t="shared" si="34"/>
        <v>9.0000000000000019E-4</v>
      </c>
      <c r="AF175">
        <f t="shared" si="34"/>
        <v>1.0999999999999999E-2</v>
      </c>
      <c r="AG175">
        <f t="shared" si="34"/>
        <v>5.5999999999999999E-3</v>
      </c>
      <c r="AH175">
        <f t="shared" si="34"/>
        <v>7.0000000000000001E-3</v>
      </c>
      <c r="AI175">
        <f t="shared" si="34"/>
        <v>6.8000000000000005E-3</v>
      </c>
      <c r="AJ175">
        <f t="shared" si="34"/>
        <v>8.3000000000000001E-3</v>
      </c>
      <c r="AK175">
        <f t="shared" si="34"/>
        <v>8.4000000000000012E-3</v>
      </c>
      <c r="AL175">
        <f t="shared" si="34"/>
        <v>8.8999999999999999E-3</v>
      </c>
      <c r="AM175">
        <f t="shared" si="34"/>
        <v>4.5999999999999999E-3</v>
      </c>
      <c r="AN175">
        <f t="shared" si="34"/>
        <v>6.6E-3</v>
      </c>
      <c r="AO175">
        <f t="shared" si="34"/>
        <v>4.1999999999999997E-3</v>
      </c>
      <c r="AP175">
        <f t="shared" si="34"/>
        <v>1.23E-2</v>
      </c>
      <c r="AQ175">
        <f t="shared" si="34"/>
        <v>8.6999999999999994E-3</v>
      </c>
      <c r="AR175">
        <f t="shared" si="34"/>
        <v>1.49E-2</v>
      </c>
      <c r="AS175">
        <f t="shared" si="34"/>
        <v>4.3999999999999994E-3</v>
      </c>
      <c r="AT175">
        <f t="shared" si="34"/>
        <v>4.7000000000000002E-3</v>
      </c>
      <c r="AU175">
        <f t="shared" si="34"/>
        <v>3.9000000000000003E-3</v>
      </c>
      <c r="AV175">
        <f t="shared" si="34"/>
        <v>1.43E-2</v>
      </c>
      <c r="AW175">
        <f t="shared" si="34"/>
        <v>8.6999999999999994E-3</v>
      </c>
      <c r="AX175">
        <f t="shared" si="34"/>
        <v>1.1599999999999999E-2</v>
      </c>
      <c r="AY175">
        <f t="shared" si="34"/>
        <v>8.7999999999999988E-3</v>
      </c>
      <c r="AZ175">
        <f t="shared" si="34"/>
        <v>1.0800000000000001E-2</v>
      </c>
      <c r="BA175">
        <f t="shared" si="34"/>
        <v>1.04E-2</v>
      </c>
      <c r="BB175">
        <f t="shared" si="34"/>
        <v>0.01</v>
      </c>
      <c r="BC175">
        <f t="shared" si="34"/>
        <v>7.7000000000000002E-3</v>
      </c>
      <c r="BD175">
        <f t="shared" si="34"/>
        <v>8.6E-3</v>
      </c>
      <c r="BE175">
        <f t="shared" si="34"/>
        <v>3.8E-3</v>
      </c>
      <c r="BF175">
        <f t="shared" si="34"/>
        <v>1.1600000000000001E-2</v>
      </c>
      <c r="BG175">
        <f t="shared" si="34"/>
        <v>8.3999999999999995E-3</v>
      </c>
      <c r="BH175">
        <f t="shared" si="34"/>
        <v>1.17E-2</v>
      </c>
      <c r="BI175">
        <f t="shared" si="34"/>
        <v>1.06E-2</v>
      </c>
      <c r="BJ175">
        <f t="shared" si="34"/>
        <v>1.4500000000000001E-2</v>
      </c>
      <c r="BK175">
        <f t="shared" si="34"/>
        <v>9.1000000000000004E-3</v>
      </c>
      <c r="BL175">
        <f t="shared" si="34"/>
        <v>1.12E-2</v>
      </c>
      <c r="BM175">
        <f t="shared" si="34"/>
        <v>9.1999999999999998E-3</v>
      </c>
      <c r="BN175">
        <f t="shared" si="34"/>
        <v>9.8999999999999991E-3</v>
      </c>
      <c r="BO175">
        <f t="shared" si="34"/>
        <v>1.03E-2</v>
      </c>
      <c r="BP175">
        <f t="shared" si="18"/>
        <v>1.14E-2</v>
      </c>
      <c r="BQ175">
        <f t="shared" si="29"/>
        <v>3.3E-3</v>
      </c>
      <c r="BR175">
        <f t="shared" si="29"/>
        <v>-2.5000000000000005E-3</v>
      </c>
      <c r="BS175">
        <f t="shared" si="29"/>
        <v>8.0999999999999996E-3</v>
      </c>
      <c r="BT175">
        <f t="shared" si="29"/>
        <v>0.01</v>
      </c>
      <c r="BU175">
        <f t="shared" si="29"/>
        <v>1.44E-2</v>
      </c>
      <c r="BV175">
        <f t="shared" si="29"/>
        <v>1.2199999999999999E-2</v>
      </c>
      <c r="BW175">
        <f t="shared" si="29"/>
        <v>1.4499999999999999E-2</v>
      </c>
      <c r="BX175">
        <f t="shared" si="29"/>
        <v>1.6E-2</v>
      </c>
      <c r="BY175">
        <f t="shared" si="29"/>
        <v>1.5100000000000001E-2</v>
      </c>
      <c r="BZ175">
        <f t="shared" si="29"/>
        <v>8.5000000000000006E-3</v>
      </c>
      <c r="CA175">
        <f t="shared" si="29"/>
        <v>1.6399999999999998E-2</v>
      </c>
      <c r="CB175">
        <f t="shared" si="29"/>
        <v>4.7000000000000002E-3</v>
      </c>
      <c r="CC175">
        <f t="shared" si="29"/>
        <v>2.3E-3</v>
      </c>
      <c r="CD175">
        <f t="shared" si="29"/>
        <v>1.84E-2</v>
      </c>
      <c r="CE175">
        <f t="shared" si="29"/>
        <v>2.2499999999999999E-2</v>
      </c>
      <c r="CF175">
        <f t="shared" si="29"/>
        <v>8.8000000000000005E-3</v>
      </c>
      <c r="CG175">
        <f t="shared" si="29"/>
        <v>2.0400000000000001E-2</v>
      </c>
      <c r="CH175">
        <f t="shared" si="29"/>
        <v>1.34E-2</v>
      </c>
      <c r="CI175">
        <f t="shared" si="29"/>
        <v>2.2800000000000001E-2</v>
      </c>
      <c r="CJ175">
        <f t="shared" si="29"/>
        <v>2.0399999999999998E-2</v>
      </c>
      <c r="CK175">
        <f t="shared" si="29"/>
        <v>2.1000000000000001E-2</v>
      </c>
      <c r="CL175">
        <f t="shared" si="29"/>
        <v>1.0999999999999999E-2</v>
      </c>
      <c r="CM175">
        <f t="shared" si="29"/>
        <v>2.69E-2</v>
      </c>
      <c r="CN175">
        <f t="shared" si="29"/>
        <v>2.2700000000000001E-2</v>
      </c>
      <c r="CO175">
        <f t="shared" si="29"/>
        <v>2.75E-2</v>
      </c>
      <c r="CP175">
        <f t="shared" si="29"/>
        <v>2.07E-2</v>
      </c>
      <c r="CQ175">
        <f t="shared" si="29"/>
        <v>3.0899999999999997E-2</v>
      </c>
      <c r="CR175">
        <f t="shared" si="29"/>
        <v>3.1E-2</v>
      </c>
      <c r="CS175">
        <f t="shared" si="29"/>
        <v>2.5999999999999999E-2</v>
      </c>
      <c r="CT175">
        <f t="shared" si="29"/>
        <v>4.5699999999999998E-2</v>
      </c>
      <c r="CU175">
        <f t="shared" si="29"/>
        <v>5.5199999999999999E-2</v>
      </c>
      <c r="CV175">
        <f t="shared" si="29"/>
        <v>4.7699999999999999E-2</v>
      </c>
      <c r="CW175">
        <f t="shared" si="29"/>
        <v>6.0999999999999999E-2</v>
      </c>
      <c r="CX175">
        <f t="shared" si="29"/>
        <v>5.3700000000000005E-2</v>
      </c>
    </row>
    <row r="176" spans="1:102" x14ac:dyDescent="0.2">
      <c r="A176" t="s">
        <v>5923</v>
      </c>
      <c r="B176" t="s">
        <v>220</v>
      </c>
      <c r="C176" t="s">
        <v>221</v>
      </c>
      <c r="D176">
        <f t="shared" ref="D176:BO176" si="35">D124+D149</f>
        <v>-3.9600000000000003E-2</v>
      </c>
      <c r="E176">
        <f t="shared" si="35"/>
        <v>-0.3095</v>
      </c>
      <c r="F176">
        <f t="shared" si="35"/>
        <v>-0.1991</v>
      </c>
      <c r="G176">
        <f t="shared" si="35"/>
        <v>-0.13250000000000001</v>
      </c>
      <c r="H176">
        <f t="shared" si="35"/>
        <v>-8.6699999999999999E-2</v>
      </c>
      <c r="I176">
        <f t="shared" si="35"/>
        <v>-5.3999999999999999E-2</v>
      </c>
      <c r="J176">
        <f t="shared" si="35"/>
        <v>-4.8499999999999995E-2</v>
      </c>
      <c r="K176">
        <f t="shared" si="35"/>
        <v>-6.8999999999999992E-2</v>
      </c>
      <c r="L176">
        <f t="shared" si="35"/>
        <v>-5.8599999999999999E-2</v>
      </c>
      <c r="M176">
        <f t="shared" si="35"/>
        <v>-5.2600000000000001E-2</v>
      </c>
      <c r="N176">
        <f t="shared" si="35"/>
        <v>-3.4200000000000001E-2</v>
      </c>
      <c r="O176">
        <f t="shared" si="35"/>
        <v>-2.4799999999999999E-2</v>
      </c>
      <c r="P176">
        <f t="shared" si="35"/>
        <v>-1.46E-2</v>
      </c>
      <c r="Q176">
        <f t="shared" si="35"/>
        <v>-1.47E-2</v>
      </c>
      <c r="R176">
        <f t="shared" si="35"/>
        <v>-9.3999999999999986E-3</v>
      </c>
      <c r="S176">
        <f t="shared" si="35"/>
        <v>-9.6000000000000009E-3</v>
      </c>
      <c r="T176">
        <f t="shared" si="35"/>
        <v>-6.3E-3</v>
      </c>
      <c r="U176">
        <f t="shared" si="35"/>
        <v>-7.8000000000000005E-3</v>
      </c>
      <c r="V176">
        <f t="shared" si="35"/>
        <v>-4.1999999999999997E-3</v>
      </c>
      <c r="W176">
        <f t="shared" si="35"/>
        <v>-4.5000000000000005E-3</v>
      </c>
      <c r="X176">
        <f t="shared" si="35"/>
        <v>-9.0000000000000011E-3</v>
      </c>
      <c r="Y176">
        <f t="shared" si="35"/>
        <v>-7.3999999999999995E-3</v>
      </c>
      <c r="Z176">
        <f t="shared" si="35"/>
        <v>-8.3000000000000001E-3</v>
      </c>
      <c r="AA176">
        <f t="shared" si="35"/>
        <v>-8.7000000000000011E-3</v>
      </c>
      <c r="AB176">
        <f t="shared" si="35"/>
        <v>-7.1999999999999998E-3</v>
      </c>
      <c r="AC176">
        <f t="shared" si="35"/>
        <v>-7.3000000000000001E-3</v>
      </c>
      <c r="AD176">
        <f t="shared" si="35"/>
        <v>-5.7999999999999996E-3</v>
      </c>
      <c r="AE176">
        <f t="shared" si="35"/>
        <v>-6.3E-3</v>
      </c>
      <c r="AF176">
        <f t="shared" si="35"/>
        <v>-7.1000000000000004E-3</v>
      </c>
      <c r="AG176">
        <f t="shared" si="35"/>
        <v>-6.8999999999999999E-3</v>
      </c>
      <c r="AH176">
        <f t="shared" si="35"/>
        <v>-4.5999999999999999E-3</v>
      </c>
      <c r="AI176">
        <f t="shared" si="35"/>
        <v>-4.9999999999999992E-3</v>
      </c>
      <c r="AJ176">
        <f t="shared" si="35"/>
        <v>-1.21E-2</v>
      </c>
      <c r="AK176">
        <f t="shared" si="35"/>
        <v>-2.4400000000000002E-2</v>
      </c>
      <c r="AL176">
        <f t="shared" si="35"/>
        <v>-2.35E-2</v>
      </c>
      <c r="AM176">
        <f t="shared" si="35"/>
        <v>-2.3899999999999998E-2</v>
      </c>
      <c r="AN176">
        <f t="shared" si="35"/>
        <v>-2.4399999999999998E-2</v>
      </c>
      <c r="AO176">
        <f t="shared" si="35"/>
        <v>-2.24E-2</v>
      </c>
      <c r="AP176">
        <f t="shared" si="35"/>
        <v>-3.1400000000000004E-2</v>
      </c>
      <c r="AQ176">
        <f t="shared" si="35"/>
        <v>-2.9599999999999998E-2</v>
      </c>
      <c r="AR176">
        <f t="shared" si="35"/>
        <v>-2.64E-2</v>
      </c>
      <c r="AS176">
        <f t="shared" si="35"/>
        <v>-2.5899999999999999E-2</v>
      </c>
      <c r="AT176">
        <f t="shared" si="35"/>
        <v>-2.5699999999999997E-2</v>
      </c>
      <c r="AU176">
        <f t="shared" si="35"/>
        <v>-2.5099999999999997E-2</v>
      </c>
      <c r="AV176">
        <f t="shared" si="35"/>
        <v>-2.2700000000000001E-2</v>
      </c>
      <c r="AW176">
        <f t="shared" si="35"/>
        <v>-2.3E-2</v>
      </c>
      <c r="AX176">
        <f t="shared" si="35"/>
        <v>-2.4399999999999998E-2</v>
      </c>
      <c r="AY176">
        <f t="shared" si="35"/>
        <v>-2.5000000000000001E-2</v>
      </c>
      <c r="AZ176">
        <f t="shared" si="35"/>
        <v>-2.3300000000000001E-2</v>
      </c>
      <c r="BA176">
        <f t="shared" si="35"/>
        <v>-2.0799999999999999E-2</v>
      </c>
      <c r="BB176">
        <f t="shared" si="35"/>
        <v>-2.24E-2</v>
      </c>
      <c r="BC176">
        <f t="shared" si="35"/>
        <v>-2.1099999999999997E-2</v>
      </c>
      <c r="BD176">
        <f t="shared" si="35"/>
        <v>-1.8100000000000002E-2</v>
      </c>
      <c r="BE176">
        <f t="shared" si="35"/>
        <v>-2.0700000000000003E-2</v>
      </c>
      <c r="BF176">
        <f t="shared" si="35"/>
        <v>-1.8800000000000001E-2</v>
      </c>
      <c r="BG176">
        <f t="shared" si="35"/>
        <v>-1.7299999999999999E-2</v>
      </c>
      <c r="BH176">
        <f t="shared" si="35"/>
        <v>-1.5700000000000002E-2</v>
      </c>
      <c r="BI176">
        <f t="shared" si="35"/>
        <v>-5.45E-2</v>
      </c>
      <c r="BJ176">
        <f t="shared" si="35"/>
        <v>-5.9199999999999996E-2</v>
      </c>
      <c r="BK176">
        <f t="shared" si="35"/>
        <v>-5.96E-2</v>
      </c>
      <c r="BL176">
        <f t="shared" si="35"/>
        <v>-5.74E-2</v>
      </c>
      <c r="BM176">
        <f t="shared" si="35"/>
        <v>-6.1699999999999998E-2</v>
      </c>
      <c r="BN176">
        <f t="shared" si="35"/>
        <v>-6.4699999999999994E-2</v>
      </c>
      <c r="BO176">
        <f t="shared" si="35"/>
        <v>-6.4200000000000007E-2</v>
      </c>
      <c r="BP176">
        <f t="shared" si="18"/>
        <v>-6.0499999999999998E-2</v>
      </c>
      <c r="BQ176">
        <f t="shared" si="29"/>
        <v>-6.0499999999999998E-2</v>
      </c>
      <c r="BR176">
        <f t="shared" si="29"/>
        <v>-5.96E-2</v>
      </c>
      <c r="BS176">
        <f t="shared" si="29"/>
        <v>-5.6500000000000002E-2</v>
      </c>
      <c r="BT176">
        <f t="shared" si="29"/>
        <v>-5.9400000000000001E-2</v>
      </c>
      <c r="BU176">
        <f t="shared" si="29"/>
        <v>-6.2700000000000006E-2</v>
      </c>
      <c r="BV176">
        <f t="shared" si="29"/>
        <v>-7.039999999999999E-2</v>
      </c>
      <c r="BW176">
        <f t="shared" si="29"/>
        <v>-7.8E-2</v>
      </c>
      <c r="BX176">
        <f t="shared" si="29"/>
        <v>-8.0399999999999999E-2</v>
      </c>
      <c r="BY176">
        <f t="shared" si="29"/>
        <v>-7.85E-2</v>
      </c>
      <c r="BZ176">
        <f t="shared" si="29"/>
        <v>-7.3700000000000002E-2</v>
      </c>
      <c r="CA176">
        <f t="shared" si="29"/>
        <v>-5.3999999999999999E-2</v>
      </c>
      <c r="CB176">
        <f t="shared" si="29"/>
        <v>-5.28E-2</v>
      </c>
      <c r="CC176">
        <f t="shared" si="29"/>
        <v>-5.21E-2</v>
      </c>
      <c r="CD176">
        <f t="shared" si="29"/>
        <v>-5.8600000000000006E-2</v>
      </c>
      <c r="CE176">
        <f t="shared" si="29"/>
        <v>-6.5699999999999995E-2</v>
      </c>
      <c r="CF176">
        <f t="shared" si="29"/>
        <v>-6.8100000000000008E-2</v>
      </c>
      <c r="CG176">
        <f t="shared" si="29"/>
        <v>-6.8100000000000008E-2</v>
      </c>
      <c r="CH176">
        <f t="shared" si="29"/>
        <v>-7.0800000000000002E-2</v>
      </c>
      <c r="CI176">
        <f t="shared" si="29"/>
        <v>-7.5199999999999989E-2</v>
      </c>
      <c r="CJ176">
        <f t="shared" si="29"/>
        <v>-9.9999999999999992E-2</v>
      </c>
      <c r="CK176">
        <f t="shared" si="29"/>
        <v>-9.2300000000000007E-2</v>
      </c>
      <c r="CL176">
        <f t="shared" si="29"/>
        <v>-8.6900000000000005E-2</v>
      </c>
      <c r="CM176">
        <f t="shared" si="29"/>
        <v>-9.1399999999999995E-2</v>
      </c>
      <c r="CN176">
        <f t="shared" si="29"/>
        <v>-0.11410000000000001</v>
      </c>
      <c r="CO176">
        <f t="shared" si="29"/>
        <v>-0.1207</v>
      </c>
      <c r="CP176">
        <f t="shared" si="29"/>
        <v>-0.1138</v>
      </c>
      <c r="CQ176">
        <f t="shared" si="29"/>
        <v>-0.1187</v>
      </c>
      <c r="CR176">
        <f t="shared" si="29"/>
        <v>-0.17179999999999998</v>
      </c>
      <c r="CS176">
        <f t="shared" si="29"/>
        <v>-0.10450000000000001</v>
      </c>
      <c r="CT176">
        <f t="shared" si="29"/>
        <v>-0.1479</v>
      </c>
      <c r="CU176">
        <f t="shared" si="29"/>
        <v>-0.15790000000000001</v>
      </c>
      <c r="CV176">
        <f t="shared" si="29"/>
        <v>-0.14120000000000002</v>
      </c>
      <c r="CW176">
        <f t="shared" si="29"/>
        <v>-0.1525</v>
      </c>
      <c r="CX176">
        <f t="shared" si="29"/>
        <v>-0.15240000000000001</v>
      </c>
    </row>
    <row r="177" spans="1:102" x14ac:dyDescent="0.2">
      <c r="A177" t="s">
        <v>5924</v>
      </c>
      <c r="B177" t="s">
        <v>220</v>
      </c>
      <c r="C177" t="s">
        <v>221</v>
      </c>
      <c r="D177">
        <f>D125+D150</f>
        <v>3.3600000000000005E-2</v>
      </c>
      <c r="E177">
        <f t="shared" ref="E177:BP177" si="36">E125+E150</f>
        <v>0.1069</v>
      </c>
      <c r="F177">
        <f t="shared" si="36"/>
        <v>8.8099999999999998E-2</v>
      </c>
      <c r="G177">
        <f t="shared" si="36"/>
        <v>9.5799999999999996E-2</v>
      </c>
      <c r="H177">
        <f t="shared" si="36"/>
        <v>0.16170000000000001</v>
      </c>
      <c r="I177">
        <f t="shared" si="36"/>
        <v>0.14940000000000001</v>
      </c>
      <c r="J177">
        <f t="shared" si="36"/>
        <v>0.1386</v>
      </c>
      <c r="K177">
        <f t="shared" si="36"/>
        <v>0.1012</v>
      </c>
      <c r="L177">
        <f t="shared" si="36"/>
        <v>9.2699999999999991E-2</v>
      </c>
      <c r="M177">
        <f t="shared" si="36"/>
        <v>7.9100000000000004E-2</v>
      </c>
      <c r="N177">
        <f t="shared" si="36"/>
        <v>9.01E-2</v>
      </c>
      <c r="O177">
        <f t="shared" si="36"/>
        <v>5.7000000000000002E-2</v>
      </c>
      <c r="P177">
        <f t="shared" si="36"/>
        <v>6.3899999999999998E-2</v>
      </c>
      <c r="Q177">
        <f t="shared" si="36"/>
        <v>5.6100000000000004E-2</v>
      </c>
      <c r="R177">
        <f t="shared" si="36"/>
        <v>5.4599999999999996E-2</v>
      </c>
      <c r="S177">
        <f t="shared" si="36"/>
        <v>4.8599999999999997E-2</v>
      </c>
      <c r="T177">
        <f t="shared" si="36"/>
        <v>4.5399999999999996E-2</v>
      </c>
      <c r="U177">
        <f t="shared" si="36"/>
        <v>4.1199999999999994E-2</v>
      </c>
      <c r="V177">
        <f t="shared" si="36"/>
        <v>4.0800000000000003E-2</v>
      </c>
      <c r="W177">
        <f t="shared" si="36"/>
        <v>3.9300000000000002E-2</v>
      </c>
      <c r="X177">
        <f t="shared" si="36"/>
        <v>3.4800000000000005E-2</v>
      </c>
      <c r="Y177">
        <f t="shared" si="36"/>
        <v>3.3399999999999999E-2</v>
      </c>
      <c r="Z177">
        <f t="shared" si="36"/>
        <v>3.3099999999999997E-2</v>
      </c>
      <c r="AA177">
        <f t="shared" si="36"/>
        <v>3.2600000000000004E-2</v>
      </c>
      <c r="AB177">
        <f t="shared" si="36"/>
        <v>3.4000000000000002E-2</v>
      </c>
      <c r="AC177">
        <f t="shared" si="36"/>
        <v>3.3700000000000001E-2</v>
      </c>
      <c r="AD177">
        <f t="shared" si="36"/>
        <v>3.5099999999999999E-2</v>
      </c>
      <c r="AE177">
        <f t="shared" si="36"/>
        <v>3.5199999999999995E-2</v>
      </c>
      <c r="AF177">
        <f t="shared" si="36"/>
        <v>3.4999999999999996E-2</v>
      </c>
      <c r="AG177">
        <f t="shared" si="36"/>
        <v>3.5900000000000001E-2</v>
      </c>
      <c r="AH177">
        <f t="shared" si="36"/>
        <v>0.04</v>
      </c>
      <c r="AI177">
        <f t="shared" si="36"/>
        <v>4.1200000000000001E-2</v>
      </c>
      <c r="AJ177">
        <f t="shared" si="36"/>
        <v>3.7400000000000003E-2</v>
      </c>
      <c r="AK177">
        <f t="shared" si="36"/>
        <v>2.7800000000000002E-2</v>
      </c>
      <c r="AL177">
        <f t="shared" si="36"/>
        <v>3.0499999999999999E-2</v>
      </c>
      <c r="AM177">
        <f t="shared" si="36"/>
        <v>3.09E-2</v>
      </c>
      <c r="AN177">
        <f t="shared" si="36"/>
        <v>3.0699999999999998E-2</v>
      </c>
      <c r="AO177">
        <f t="shared" si="36"/>
        <v>3.27E-2</v>
      </c>
      <c r="AP177">
        <f t="shared" si="36"/>
        <v>2.5700000000000001E-2</v>
      </c>
      <c r="AQ177">
        <f t="shared" si="36"/>
        <v>2.6499999999999999E-2</v>
      </c>
      <c r="AR177">
        <f t="shared" si="36"/>
        <v>3.09E-2</v>
      </c>
      <c r="AS177">
        <f t="shared" si="36"/>
        <v>3.1599999999999996E-2</v>
      </c>
      <c r="AT177">
        <f t="shared" si="36"/>
        <v>3.2099999999999997E-2</v>
      </c>
      <c r="AU177">
        <f t="shared" si="36"/>
        <v>3.2600000000000004E-2</v>
      </c>
      <c r="AV177">
        <f t="shared" si="36"/>
        <v>3.5900000000000001E-2</v>
      </c>
      <c r="AW177">
        <f t="shared" si="36"/>
        <v>3.6999999999999998E-2</v>
      </c>
      <c r="AX177">
        <f t="shared" si="36"/>
        <v>3.78E-2</v>
      </c>
      <c r="AY177">
        <f t="shared" si="36"/>
        <v>3.8600000000000002E-2</v>
      </c>
      <c r="AZ177">
        <f t="shared" si="36"/>
        <v>4.2000000000000003E-2</v>
      </c>
      <c r="BA177">
        <f t="shared" si="36"/>
        <v>4.6300000000000001E-2</v>
      </c>
      <c r="BB177">
        <f t="shared" si="36"/>
        <v>4.5900000000000003E-2</v>
      </c>
      <c r="BC177">
        <f t="shared" si="36"/>
        <v>4.6899999999999997E-2</v>
      </c>
      <c r="BD177">
        <f t="shared" si="36"/>
        <v>5.1400000000000001E-2</v>
      </c>
      <c r="BE177">
        <f t="shared" si="36"/>
        <v>4.9300000000000004E-2</v>
      </c>
      <c r="BF177">
        <f t="shared" si="36"/>
        <v>5.3699999999999998E-2</v>
      </c>
      <c r="BG177">
        <f t="shared" si="36"/>
        <v>5.5999999999999994E-2</v>
      </c>
      <c r="BH177">
        <f t="shared" si="36"/>
        <v>5.96E-2</v>
      </c>
      <c r="BI177">
        <f t="shared" si="36"/>
        <v>3.56E-2</v>
      </c>
      <c r="BJ177">
        <f t="shared" si="36"/>
        <v>2.8300000000000002E-2</v>
      </c>
      <c r="BK177">
        <f t="shared" si="36"/>
        <v>3.0099999999999998E-2</v>
      </c>
      <c r="BL177">
        <f t="shared" si="36"/>
        <v>3.3499999999999995E-2</v>
      </c>
      <c r="BM177">
        <f t="shared" si="36"/>
        <v>1.9899999999999998E-2</v>
      </c>
      <c r="BN177">
        <f t="shared" si="36"/>
        <v>1.6799999999999999E-2</v>
      </c>
      <c r="BO177">
        <f t="shared" si="36"/>
        <v>1.5900000000000001E-2</v>
      </c>
      <c r="BP177">
        <f t="shared" si="36"/>
        <v>1.9699999999999999E-2</v>
      </c>
      <c r="BQ177">
        <f t="shared" ref="BQ177:CX177" si="37">BQ125+BQ150</f>
        <v>2.01E-2</v>
      </c>
      <c r="BR177">
        <f t="shared" si="37"/>
        <v>2.1000000000000001E-2</v>
      </c>
      <c r="BS177">
        <f t="shared" si="37"/>
        <v>2.7800000000000002E-2</v>
      </c>
      <c r="BT177">
        <f t="shared" si="37"/>
        <v>2.6499999999999999E-2</v>
      </c>
      <c r="BU177">
        <f t="shared" si="37"/>
        <v>3.0499999999999999E-2</v>
      </c>
      <c r="BV177">
        <f t="shared" si="37"/>
        <v>3.49E-2</v>
      </c>
      <c r="BW177">
        <f t="shared" si="37"/>
        <v>3.7499999999999999E-2</v>
      </c>
      <c r="BX177">
        <f t="shared" si="37"/>
        <v>3.7900000000000003E-2</v>
      </c>
      <c r="BY177">
        <f t="shared" si="37"/>
        <v>3.8600000000000002E-2</v>
      </c>
      <c r="BZ177">
        <f t="shared" si="37"/>
        <v>3.9E-2</v>
      </c>
      <c r="CA177">
        <f t="shared" si="37"/>
        <v>4.9200000000000001E-2</v>
      </c>
      <c r="CB177">
        <f t="shared" si="37"/>
        <v>5.4200000000000005E-2</v>
      </c>
      <c r="CC177">
        <f t="shared" si="37"/>
        <v>5.6800000000000003E-2</v>
      </c>
      <c r="CD177">
        <f t="shared" si="37"/>
        <v>4.8599999999999997E-2</v>
      </c>
      <c r="CE177">
        <f t="shared" si="37"/>
        <v>5.7899999999999993E-2</v>
      </c>
      <c r="CF177">
        <f t="shared" si="37"/>
        <v>6.4299999999999996E-2</v>
      </c>
      <c r="CG177">
        <f t="shared" si="37"/>
        <v>6.4799999999999996E-2</v>
      </c>
      <c r="CH177">
        <f t="shared" si="37"/>
        <v>7.2099999999999997E-2</v>
      </c>
      <c r="CI177">
        <f t="shared" si="37"/>
        <v>8.14E-2</v>
      </c>
      <c r="CJ177">
        <f t="shared" si="37"/>
        <v>6.8599999999999994E-2</v>
      </c>
      <c r="CK177">
        <f t="shared" si="37"/>
        <v>7.3300000000000004E-2</v>
      </c>
      <c r="CL177">
        <f t="shared" si="37"/>
        <v>7.7399999999999997E-2</v>
      </c>
      <c r="CM177">
        <f t="shared" si="37"/>
        <v>8.3799999999999999E-2</v>
      </c>
      <c r="CN177">
        <f t="shared" si="37"/>
        <v>0.1079</v>
      </c>
      <c r="CO177">
        <f t="shared" si="37"/>
        <v>0.12409999999999999</v>
      </c>
      <c r="CP177">
        <f t="shared" si="37"/>
        <v>0.1192</v>
      </c>
      <c r="CQ177">
        <f t="shared" si="37"/>
        <v>0.12959999999999999</v>
      </c>
      <c r="CR177">
        <f t="shared" si="37"/>
        <v>0.19450000000000001</v>
      </c>
      <c r="CS177">
        <f t="shared" si="37"/>
        <v>0.12920000000000001</v>
      </c>
      <c r="CT177">
        <f t="shared" si="37"/>
        <v>-1.3899999999999999E-2</v>
      </c>
      <c r="CU177">
        <f t="shared" si="37"/>
        <v>-1.84E-2</v>
      </c>
      <c r="CV177">
        <f t="shared" si="37"/>
        <v>-8.6E-3</v>
      </c>
      <c r="CW177">
        <f t="shared" si="37"/>
        <v>-1.54E-2</v>
      </c>
      <c r="CX177">
        <f t="shared" si="37"/>
        <v>-1.3100000000000001E-2</v>
      </c>
    </row>
    <row r="178" spans="1:102" x14ac:dyDescent="0.2">
      <c r="A178" t="s">
        <v>5927</v>
      </c>
      <c r="B178" t="s">
        <v>220</v>
      </c>
      <c r="C178" t="s">
        <v>221</v>
      </c>
      <c r="D178">
        <f>D151</f>
        <v>6.7400000000000002E-2</v>
      </c>
      <c r="E178">
        <f t="shared" ref="E178:BP178" si="38">E151</f>
        <v>-0.59099999999999997</v>
      </c>
      <c r="F178">
        <f t="shared" si="38"/>
        <v>-1.2982</v>
      </c>
      <c r="G178">
        <f t="shared" si="38"/>
        <v>-0.21590000000000001</v>
      </c>
      <c r="H178">
        <f t="shared" si="38"/>
        <v>-1.7484</v>
      </c>
      <c r="I178">
        <f t="shared" si="38"/>
        <v>-0.66259999999999997</v>
      </c>
      <c r="J178">
        <f t="shared" si="38"/>
        <v>-1.1892</v>
      </c>
      <c r="K178">
        <f t="shared" si="38"/>
        <v>-0.95820000000000005</v>
      </c>
      <c r="L178">
        <f t="shared" si="38"/>
        <v>-0.71040000000000003</v>
      </c>
      <c r="M178">
        <f t="shared" si="38"/>
        <v>-1.1405000000000001</v>
      </c>
      <c r="N178">
        <f t="shared" si="38"/>
        <v>-1.1575</v>
      </c>
      <c r="O178">
        <f t="shared" si="38"/>
        <v>-0.626</v>
      </c>
      <c r="P178">
        <f t="shared" si="38"/>
        <v>-0.80200000000000005</v>
      </c>
      <c r="Q178">
        <f t="shared" si="38"/>
        <v>-0.68149999999999999</v>
      </c>
      <c r="R178">
        <f t="shared" si="38"/>
        <v>-0.5373</v>
      </c>
      <c r="S178">
        <f t="shared" si="38"/>
        <v>-0.443</v>
      </c>
      <c r="T178">
        <f t="shared" si="38"/>
        <v>-0.32169999999999999</v>
      </c>
      <c r="U178">
        <f t="shared" si="38"/>
        <v>-0.2752</v>
      </c>
      <c r="V178">
        <f t="shared" si="38"/>
        <v>-0.17249999999999999</v>
      </c>
      <c r="W178">
        <f t="shared" si="38"/>
        <v>-0.16250000000000001</v>
      </c>
      <c r="X178">
        <f t="shared" si="38"/>
        <v>-0.1782</v>
      </c>
      <c r="Y178">
        <f t="shared" si="38"/>
        <v>-0.1021</v>
      </c>
      <c r="Z178">
        <f t="shared" si="38"/>
        <v>-0.13400000000000001</v>
      </c>
      <c r="AA178">
        <f t="shared" si="38"/>
        <v>-0.17849999999999999</v>
      </c>
      <c r="AB178">
        <f t="shared" si="38"/>
        <v>-0.19020000000000001</v>
      </c>
      <c r="AC178">
        <f t="shared" si="38"/>
        <v>-0.17549999999999999</v>
      </c>
      <c r="AD178">
        <f t="shared" si="38"/>
        <v>-0.15240000000000001</v>
      </c>
      <c r="AE178">
        <f t="shared" si="38"/>
        <v>-0.15609999999999999</v>
      </c>
      <c r="AF178">
        <f t="shared" si="38"/>
        <v>-0.1507</v>
      </c>
      <c r="AG178">
        <f t="shared" si="38"/>
        <v>-0.14269999999999999</v>
      </c>
      <c r="AH178">
        <f t="shared" si="38"/>
        <v>-0.16650000000000001</v>
      </c>
      <c r="AI178">
        <f t="shared" si="38"/>
        <v>-0.16919999999999999</v>
      </c>
      <c r="AJ178">
        <f t="shared" si="38"/>
        <v>-0.16850000000000001</v>
      </c>
      <c r="AK178">
        <f t="shared" si="38"/>
        <v>-0.16159999999999999</v>
      </c>
      <c r="AL178">
        <f t="shared" si="38"/>
        <v>-0.1681</v>
      </c>
      <c r="AM178">
        <f t="shared" si="38"/>
        <v>-0.16350000000000001</v>
      </c>
      <c r="AN178">
        <f t="shared" si="38"/>
        <v>-0.16350000000000001</v>
      </c>
      <c r="AO178">
        <f t="shared" si="38"/>
        <v>-0.17749999999999999</v>
      </c>
      <c r="AP178">
        <f t="shared" si="38"/>
        <v>-0.2382</v>
      </c>
      <c r="AQ178">
        <f t="shared" si="38"/>
        <v>-0.26929999999999998</v>
      </c>
      <c r="AR178">
        <f t="shared" si="38"/>
        <v>-0.27139999999999997</v>
      </c>
      <c r="AS178">
        <f t="shared" si="38"/>
        <v>-0.23719999999999999</v>
      </c>
      <c r="AT178">
        <f t="shared" si="38"/>
        <v>-0.21890000000000001</v>
      </c>
      <c r="AU178">
        <f t="shared" si="38"/>
        <v>-0.20749999999999999</v>
      </c>
      <c r="AV178">
        <f t="shared" si="38"/>
        <v>-0.19900000000000001</v>
      </c>
      <c r="AW178">
        <f t="shared" si="38"/>
        <v>-0.1681</v>
      </c>
      <c r="AX178">
        <f t="shared" si="38"/>
        <v>-0.14929999999999999</v>
      </c>
      <c r="AY178">
        <f t="shared" si="38"/>
        <v>-0.1234</v>
      </c>
      <c r="AZ178">
        <f t="shared" si="38"/>
        <v>-0.1268</v>
      </c>
      <c r="BA178">
        <f t="shared" si="38"/>
        <v>-0.1037</v>
      </c>
      <c r="BB178">
        <f t="shared" si="38"/>
        <v>-0.1343</v>
      </c>
      <c r="BC178">
        <f t="shared" si="38"/>
        <v>-0.1641</v>
      </c>
      <c r="BD178">
        <f t="shared" si="38"/>
        <v>-0.18590000000000001</v>
      </c>
      <c r="BE178">
        <f t="shared" si="38"/>
        <v>-0.186</v>
      </c>
      <c r="BF178">
        <f t="shared" si="38"/>
        <v>-0.18779999999999999</v>
      </c>
      <c r="BG178">
        <f t="shared" si="38"/>
        <v>-0.2324</v>
      </c>
      <c r="BH178">
        <f t="shared" si="38"/>
        <v>-0.25090000000000001</v>
      </c>
      <c r="BI178">
        <f t="shared" si="38"/>
        <v>-0.22439999999999999</v>
      </c>
      <c r="BJ178">
        <f t="shared" si="38"/>
        <v>-0.2235</v>
      </c>
      <c r="BK178">
        <f t="shared" si="38"/>
        <v>-0.2208</v>
      </c>
      <c r="BL178">
        <f t="shared" si="38"/>
        <v>-0.1956</v>
      </c>
      <c r="BM178">
        <f t="shared" si="38"/>
        <v>-0.1812</v>
      </c>
      <c r="BN178">
        <f t="shared" si="38"/>
        <v>-0.1618</v>
      </c>
      <c r="BO178">
        <f t="shared" si="38"/>
        <v>-0.1193</v>
      </c>
      <c r="BP178">
        <f t="shared" si="38"/>
        <v>-6.6400000000000001E-2</v>
      </c>
      <c r="BQ178">
        <f t="shared" ref="BQ178:CX178" si="39">BQ151</f>
        <v>-6.0400000000000002E-2</v>
      </c>
      <c r="BR178">
        <f t="shared" si="39"/>
        <v>-7.22E-2</v>
      </c>
      <c r="BS178">
        <f t="shared" si="39"/>
        <v>-7.3999999999999996E-2</v>
      </c>
      <c r="BT178">
        <f t="shared" si="39"/>
        <v>-4.9000000000000002E-2</v>
      </c>
      <c r="BU178">
        <f t="shared" si="39"/>
        <v>-7.7100000000000002E-2</v>
      </c>
      <c r="BV178">
        <f t="shared" si="39"/>
        <v>-0.2419</v>
      </c>
      <c r="BW178">
        <f t="shared" si="39"/>
        <v>-0.29239999999999999</v>
      </c>
      <c r="BX178">
        <f t="shared" si="39"/>
        <v>-0.26919999999999999</v>
      </c>
      <c r="BY178">
        <f t="shared" si="39"/>
        <v>-0.2306</v>
      </c>
      <c r="BZ178">
        <f t="shared" si="39"/>
        <v>-0.2853</v>
      </c>
      <c r="CA178">
        <f t="shared" si="39"/>
        <v>-0.32740000000000002</v>
      </c>
      <c r="CB178">
        <f t="shared" si="39"/>
        <v>-0.30009999999999998</v>
      </c>
      <c r="CC178">
        <f t="shared" si="39"/>
        <v>-0.29380000000000001</v>
      </c>
      <c r="CD178">
        <f t="shared" si="39"/>
        <v>-0.18609999999999999</v>
      </c>
      <c r="CE178">
        <f t="shared" si="39"/>
        <v>4.7500000000000001E-2</v>
      </c>
      <c r="CF178">
        <f t="shared" si="39"/>
        <v>0.1138</v>
      </c>
      <c r="CG178">
        <f t="shared" si="39"/>
        <v>3.1300000000000001E-2</v>
      </c>
      <c r="CH178">
        <f t="shared" si="39"/>
        <v>-0.1232</v>
      </c>
      <c r="CI178">
        <f t="shared" si="39"/>
        <v>-0.27029999999999998</v>
      </c>
      <c r="CJ178">
        <f t="shared" si="39"/>
        <v>-0.26919999999999999</v>
      </c>
      <c r="CK178">
        <f t="shared" si="39"/>
        <v>-0.1845</v>
      </c>
      <c r="CL178">
        <f t="shared" si="39"/>
        <v>-7.85E-2</v>
      </c>
      <c r="CM178">
        <f t="shared" si="39"/>
        <v>-5.2400000000000002E-2</v>
      </c>
      <c r="CN178">
        <f t="shared" si="39"/>
        <v>-5.4399999999999997E-2</v>
      </c>
      <c r="CO178">
        <f t="shared" si="39"/>
        <v>-3.73E-2</v>
      </c>
      <c r="CP178">
        <f t="shared" si="39"/>
        <v>-0.1353</v>
      </c>
      <c r="CQ178">
        <f t="shared" si="39"/>
        <v>-0.1477</v>
      </c>
      <c r="CR178">
        <f t="shared" si="39"/>
        <v>-0.27560000000000001</v>
      </c>
      <c r="CS178">
        <f t="shared" si="39"/>
        <v>-0.36680000000000001</v>
      </c>
      <c r="CT178">
        <f t="shared" si="39"/>
        <v>-9.6100000000000005E-2</v>
      </c>
      <c r="CU178">
        <f t="shared" si="39"/>
        <v>-2.5000000000000001E-3</v>
      </c>
      <c r="CV178">
        <f t="shared" si="39"/>
        <v>0.1012</v>
      </c>
      <c r="CW178">
        <f t="shared" si="39"/>
        <v>-0.1643</v>
      </c>
      <c r="CX178">
        <f t="shared" si="39"/>
        <v>-2.4400000000000002E-2</v>
      </c>
    </row>
    <row r="179" spans="1:102" x14ac:dyDescent="0.2">
      <c r="A179" t="s">
        <v>5928</v>
      </c>
      <c r="B179" t="s">
        <v>220</v>
      </c>
      <c r="C179" t="s">
        <v>221</v>
      </c>
      <c r="D179">
        <f>D152</f>
        <v>0.83709999999999996</v>
      </c>
      <c r="E179">
        <f t="shared" ref="E179:BP179" si="40">E152</f>
        <v>0.30719999999999997</v>
      </c>
      <c r="F179">
        <f t="shared" si="40"/>
        <v>-0.55779999999999996</v>
      </c>
      <c r="G179">
        <f t="shared" si="40"/>
        <v>0.29170000000000001</v>
      </c>
      <c r="H179">
        <f t="shared" si="40"/>
        <v>-1.167</v>
      </c>
      <c r="I179">
        <f t="shared" si="40"/>
        <v>-0.2069</v>
      </c>
      <c r="J179">
        <f t="shared" si="40"/>
        <v>-0.75129999999999997</v>
      </c>
      <c r="K179">
        <f t="shared" si="40"/>
        <v>-0.55320000000000003</v>
      </c>
      <c r="L179">
        <f t="shared" si="40"/>
        <v>-0.35830000000000001</v>
      </c>
      <c r="M179">
        <f t="shared" si="40"/>
        <v>-0.81420000000000003</v>
      </c>
      <c r="N179">
        <f t="shared" si="40"/>
        <v>-0.86839999999999995</v>
      </c>
      <c r="O179">
        <f t="shared" si="40"/>
        <v>-0.43780000000000002</v>
      </c>
      <c r="P179">
        <f t="shared" si="40"/>
        <v>-0.62190000000000001</v>
      </c>
      <c r="Q179">
        <f t="shared" si="40"/>
        <v>-0.52200000000000002</v>
      </c>
      <c r="R179">
        <f t="shared" si="40"/>
        <v>-0.39450000000000002</v>
      </c>
      <c r="S179">
        <f t="shared" si="40"/>
        <v>-0.31330000000000002</v>
      </c>
      <c r="T179">
        <f t="shared" si="40"/>
        <v>-0.20910000000000001</v>
      </c>
      <c r="U179">
        <f t="shared" si="40"/>
        <v>-0.16930000000000001</v>
      </c>
      <c r="V179">
        <f t="shared" si="40"/>
        <v>-7.6399999999999996E-2</v>
      </c>
      <c r="W179">
        <f t="shared" si="40"/>
        <v>-6.83E-2</v>
      </c>
      <c r="X179">
        <f t="shared" si="40"/>
        <v>-8.6599999999999996E-2</v>
      </c>
      <c r="Y179">
        <f t="shared" si="40"/>
        <v>-1.8499999999999999E-2</v>
      </c>
      <c r="Z179">
        <f t="shared" si="40"/>
        <v>-5.0999999999999997E-2</v>
      </c>
      <c r="AA179">
        <f t="shared" si="40"/>
        <v>-9.5799999999999996E-2</v>
      </c>
      <c r="AB179">
        <f t="shared" si="40"/>
        <v>-0.1075</v>
      </c>
      <c r="AC179">
        <f t="shared" si="40"/>
        <v>-9.35E-2</v>
      </c>
      <c r="AD179">
        <f t="shared" si="40"/>
        <v>-7.0099999999999996E-2</v>
      </c>
      <c r="AE179">
        <f t="shared" si="40"/>
        <v>-7.3099999999999998E-2</v>
      </c>
      <c r="AF179">
        <f t="shared" si="40"/>
        <v>-6.6600000000000006E-2</v>
      </c>
      <c r="AG179">
        <f t="shared" si="40"/>
        <v>-5.6899999999999999E-2</v>
      </c>
      <c r="AH179">
        <f t="shared" si="40"/>
        <v>-7.7299999999999994E-2</v>
      </c>
      <c r="AI179">
        <f t="shared" si="40"/>
        <v>-7.7399999999999997E-2</v>
      </c>
      <c r="AJ179">
        <f t="shared" si="40"/>
        <v>-7.2499999999999995E-2</v>
      </c>
      <c r="AK179">
        <f t="shared" si="40"/>
        <v>-6.0900000000000003E-2</v>
      </c>
      <c r="AL179">
        <f t="shared" si="40"/>
        <v>-6.3100000000000003E-2</v>
      </c>
      <c r="AM179">
        <f t="shared" si="40"/>
        <v>-5.7700000000000001E-2</v>
      </c>
      <c r="AN179">
        <f t="shared" si="40"/>
        <v>-5.7000000000000002E-2</v>
      </c>
      <c r="AO179">
        <f t="shared" si="40"/>
        <v>-7.1199999999999999E-2</v>
      </c>
      <c r="AP179">
        <f t="shared" si="40"/>
        <v>-0.1318</v>
      </c>
      <c r="AQ179">
        <f t="shared" si="40"/>
        <v>-0.1641</v>
      </c>
      <c r="AR179">
        <f t="shared" si="40"/>
        <v>-0.16619999999999999</v>
      </c>
      <c r="AS179">
        <f t="shared" si="40"/>
        <v>-0.13170000000000001</v>
      </c>
      <c r="AT179">
        <f t="shared" si="40"/>
        <v>-0.1134</v>
      </c>
      <c r="AU179">
        <f t="shared" si="40"/>
        <v>-0.10199999999999999</v>
      </c>
      <c r="AV179">
        <f t="shared" si="40"/>
        <v>-9.3399999999999997E-2</v>
      </c>
      <c r="AW179">
        <f t="shared" si="40"/>
        <v>-6.08E-2</v>
      </c>
      <c r="AX179">
        <f t="shared" si="40"/>
        <v>-3.9600000000000003E-2</v>
      </c>
      <c r="AY179">
        <f t="shared" si="40"/>
        <v>-1.21E-2</v>
      </c>
      <c r="AZ179">
        <f t="shared" si="40"/>
        <v>-1.3899999999999999E-2</v>
      </c>
      <c r="BA179">
        <f t="shared" si="40"/>
        <v>1.0500000000000001E-2</v>
      </c>
      <c r="BB179">
        <f t="shared" si="40"/>
        <v>-1.83E-2</v>
      </c>
      <c r="BC179">
        <f t="shared" si="40"/>
        <v>-4.8599999999999997E-2</v>
      </c>
      <c r="BD179">
        <f t="shared" si="40"/>
        <v>-7.0000000000000007E-2</v>
      </c>
      <c r="BE179">
        <f t="shared" si="40"/>
        <v>-6.9099999999999995E-2</v>
      </c>
      <c r="BF179">
        <f t="shared" si="40"/>
        <v>-6.7400000000000002E-2</v>
      </c>
      <c r="BG179">
        <f t="shared" si="40"/>
        <v>-0.1125</v>
      </c>
      <c r="BH179">
        <f t="shared" si="40"/>
        <v>-0.12870000000000001</v>
      </c>
      <c r="BI179">
        <f t="shared" si="40"/>
        <v>-9.0999999999999998E-2</v>
      </c>
      <c r="BJ179">
        <f t="shared" si="40"/>
        <v>-9.1999999999999998E-2</v>
      </c>
      <c r="BK179">
        <f t="shared" si="40"/>
        <v>-8.5999999999999993E-2</v>
      </c>
      <c r="BL179">
        <f t="shared" si="40"/>
        <v>-0.06</v>
      </c>
      <c r="BM179">
        <f t="shared" si="40"/>
        <v>-5.1900000000000002E-2</v>
      </c>
      <c r="BN179">
        <f t="shared" si="40"/>
        <v>-3.3700000000000001E-2</v>
      </c>
      <c r="BO179">
        <f t="shared" si="40"/>
        <v>5.4000000000000003E-3</v>
      </c>
      <c r="BP179">
        <f t="shared" si="40"/>
        <v>5.6800000000000003E-2</v>
      </c>
      <c r="BQ179">
        <f t="shared" ref="BQ179:CX179" si="41">BQ152</f>
        <v>6.3100000000000003E-2</v>
      </c>
      <c r="BR179">
        <f t="shared" si="41"/>
        <v>4.8899999999999999E-2</v>
      </c>
      <c r="BS179">
        <f t="shared" si="41"/>
        <v>5.04E-2</v>
      </c>
      <c r="BT179">
        <f t="shared" si="41"/>
        <v>7.6799999999999993E-2</v>
      </c>
      <c r="BU179">
        <f t="shared" si="41"/>
        <v>5.91E-2</v>
      </c>
      <c r="BV179">
        <f t="shared" si="41"/>
        <v>-8.6199999999999999E-2</v>
      </c>
      <c r="BW179">
        <f t="shared" si="41"/>
        <v>-0.1232</v>
      </c>
      <c r="BX179">
        <f t="shared" si="41"/>
        <v>-9.6799999999999997E-2</v>
      </c>
      <c r="BY179">
        <f t="shared" si="41"/>
        <v>-6.2700000000000006E-2</v>
      </c>
      <c r="BZ179">
        <f t="shared" si="41"/>
        <v>-0.1241</v>
      </c>
      <c r="CA179">
        <f t="shared" si="41"/>
        <v>-0.1736</v>
      </c>
      <c r="CB179">
        <f t="shared" si="41"/>
        <v>-0.14169999999999999</v>
      </c>
      <c r="CC179">
        <f t="shared" si="41"/>
        <v>-0.1331</v>
      </c>
      <c r="CD179">
        <f t="shared" si="41"/>
        <v>-2.63E-2</v>
      </c>
      <c r="CE179">
        <f t="shared" si="41"/>
        <v>0.22589999999999999</v>
      </c>
      <c r="CF179">
        <f t="shared" si="41"/>
        <v>0.30080000000000001</v>
      </c>
      <c r="CG179">
        <f t="shared" si="41"/>
        <v>0.2172</v>
      </c>
      <c r="CH179">
        <f t="shared" si="41"/>
        <v>7.0599999999999996E-2</v>
      </c>
      <c r="CI179">
        <f t="shared" si="41"/>
        <v>-6.0600000000000001E-2</v>
      </c>
      <c r="CJ179">
        <f t="shared" si="41"/>
        <v>-4.3999999999999997E-2</v>
      </c>
      <c r="CK179">
        <f t="shared" si="41"/>
        <v>3.1399999999999997E-2</v>
      </c>
      <c r="CL179">
        <f t="shared" si="41"/>
        <v>0.13139999999999999</v>
      </c>
      <c r="CM179">
        <f t="shared" si="41"/>
        <v>0.16450000000000001</v>
      </c>
      <c r="CN179">
        <f t="shared" si="41"/>
        <v>0.21740000000000001</v>
      </c>
      <c r="CO179">
        <f t="shared" si="41"/>
        <v>0.25640000000000002</v>
      </c>
      <c r="CP179">
        <f t="shared" si="41"/>
        <v>0.14019999999999999</v>
      </c>
      <c r="CQ179">
        <f t="shared" si="41"/>
        <v>0.1414</v>
      </c>
      <c r="CR179">
        <f t="shared" si="41"/>
        <v>0.14460000000000001</v>
      </c>
      <c r="CS179">
        <f t="shared" si="41"/>
        <v>-5.0299999999999997E-2</v>
      </c>
      <c r="CT179">
        <f t="shared" si="41"/>
        <v>0.1782</v>
      </c>
      <c r="CU179">
        <f t="shared" si="41"/>
        <v>0.28179999999999999</v>
      </c>
      <c r="CV179">
        <f t="shared" si="41"/>
        <v>0.3861</v>
      </c>
      <c r="CW179">
        <f t="shared" si="41"/>
        <v>0.22170000000000001</v>
      </c>
      <c r="CX179">
        <f t="shared" si="41"/>
        <v>0.31119999999999998</v>
      </c>
    </row>
    <row r="180" spans="1:102" x14ac:dyDescent="0.2">
      <c r="A180" t="s">
        <v>203</v>
      </c>
      <c r="B180" t="s">
        <v>217</v>
      </c>
      <c r="C180" t="s">
        <v>222</v>
      </c>
      <c r="D180">
        <f>'2012_2020'!B2</f>
        <v>0.19</v>
      </c>
      <c r="E180">
        <f>'2012_2020'!C2</f>
        <v>0.48399999999999999</v>
      </c>
      <c r="F180">
        <f>'2012_2020'!D2</f>
        <v>0.70499999999999996</v>
      </c>
      <c r="G180">
        <f>'2012_2020'!E2</f>
        <v>0.88800000000000001</v>
      </c>
      <c r="H180">
        <f>'2012_2020'!F2</f>
        <v>0.997</v>
      </c>
      <c r="I180">
        <f>'2012_2020'!G2</f>
        <v>1.111</v>
      </c>
      <c r="J180">
        <f>'2012_2020'!H2</f>
        <v>1.1970000000000001</v>
      </c>
      <c r="K180">
        <f>'2012_2020'!I2</f>
        <v>1.292</v>
      </c>
      <c r="L180">
        <f>'2012_2020'!J2</f>
        <v>1.3879999999999999</v>
      </c>
      <c r="M180">
        <f>'2012_2020'!K2</f>
        <v>1.4219999999999999</v>
      </c>
      <c r="N180">
        <f>'2012_2020'!L2</f>
        <v>1.492</v>
      </c>
      <c r="O180">
        <f>'2012_2020'!M2</f>
        <v>1.575</v>
      </c>
      <c r="P180">
        <f>'2012_2020'!N2</f>
        <v>1.583</v>
      </c>
      <c r="Q180">
        <f>'2012_2020'!O2</f>
        <v>1.613</v>
      </c>
      <c r="R180">
        <f>'2012_2020'!P2</f>
        <v>1.647</v>
      </c>
      <c r="S180">
        <f>'2012_2020'!Q2</f>
        <v>1.6719999999999999</v>
      </c>
      <c r="T180">
        <f>'2012_2020'!R2</f>
        <v>1.704</v>
      </c>
      <c r="U180">
        <f>'2012_2020'!S2</f>
        <v>1.718</v>
      </c>
      <c r="V180">
        <f>'2012_2020'!T2</f>
        <v>1.744</v>
      </c>
      <c r="W180">
        <f>'2012_2020'!U2</f>
        <v>1.7509999999999999</v>
      </c>
      <c r="X180">
        <f>'2012_2020'!V2</f>
        <v>1.758</v>
      </c>
      <c r="Y180">
        <f>'2012_2020'!W2</f>
        <v>1.7949999999999999</v>
      </c>
      <c r="Z180">
        <f>'2012_2020'!X2</f>
        <v>1.802</v>
      </c>
      <c r="AA180">
        <f>'2012_2020'!Y2</f>
        <v>1.8009999999999999</v>
      </c>
      <c r="AB180">
        <f>'2012_2020'!Z2</f>
        <v>1.806</v>
      </c>
      <c r="AC180">
        <f>'2012_2020'!AA2</f>
        <v>1.8109999999999999</v>
      </c>
      <c r="AD180">
        <f>'2012_2020'!AB2</f>
        <v>1.839</v>
      </c>
      <c r="AE180">
        <f>'2012_2020'!AC2</f>
        <v>1.8440000000000001</v>
      </c>
      <c r="AF180">
        <f>'2012_2020'!AD2</f>
        <v>1.8520000000000001</v>
      </c>
      <c r="AG180">
        <f>'2012_2020'!AE2</f>
        <v>1.86</v>
      </c>
      <c r="AH180">
        <f>'2012_2020'!AF2</f>
        <v>1.881</v>
      </c>
      <c r="AI180">
        <f>'2012_2020'!AG2</f>
        <v>1.889</v>
      </c>
      <c r="AJ180">
        <f>'2012_2020'!AH2</f>
        <v>1.895</v>
      </c>
      <c r="AK180">
        <f>'2012_2020'!AI2</f>
        <v>1.9119999999999999</v>
      </c>
      <c r="AL180">
        <f>'2012_2020'!AJ2</f>
        <v>1.95</v>
      </c>
      <c r="AM180">
        <f>'2012_2020'!AK2</f>
        <v>1.9690000000000001</v>
      </c>
      <c r="AN180">
        <f>'2012_2020'!AL2</f>
        <v>1.9810000000000001</v>
      </c>
      <c r="AO180">
        <f>'2012_2020'!AM2</f>
        <v>1.9830000000000001</v>
      </c>
      <c r="AP180">
        <f>'2012_2020'!AN2</f>
        <v>1.9890000000000001</v>
      </c>
      <c r="AQ180">
        <f>'2012_2020'!AO2</f>
        <v>2.008</v>
      </c>
      <c r="AR180">
        <f>'2012_2020'!AP2</f>
        <v>2.028</v>
      </c>
      <c r="AS180">
        <f>'2012_2020'!AQ2</f>
        <v>2.0470000000000002</v>
      </c>
      <c r="AT180">
        <f>'2012_2020'!AR2</f>
        <v>2.0649999999999999</v>
      </c>
      <c r="AU180">
        <f>'2012_2020'!AS2</f>
        <v>2.089</v>
      </c>
      <c r="AV180">
        <f>'2012_2020'!AT2</f>
        <v>2.0950000000000002</v>
      </c>
      <c r="AW180">
        <f>'2012_2020'!AU2</f>
        <v>2.1139999999999999</v>
      </c>
      <c r="AX180">
        <f>'2012_2020'!AV2</f>
        <v>2.1160000000000001</v>
      </c>
      <c r="AY180">
        <f>'2012_2020'!AW2</f>
        <v>2.137</v>
      </c>
      <c r="AZ180">
        <f>'2012_2020'!AX2</f>
        <v>2.1469999999999998</v>
      </c>
      <c r="BA180">
        <f>'2012_2020'!AY2</f>
        <v>2.1760000000000002</v>
      </c>
      <c r="BB180">
        <f>'2012_2020'!AZ2</f>
        <v>2.2029999999999998</v>
      </c>
      <c r="BC180">
        <f>'2012_2020'!BA2</f>
        <v>2.2170000000000001</v>
      </c>
      <c r="BD180">
        <f>'2012_2020'!BB2</f>
        <v>2.2090000000000001</v>
      </c>
      <c r="BE180">
        <f>'2012_2020'!BC2</f>
        <v>2.2290000000000001</v>
      </c>
      <c r="BF180">
        <f>'2012_2020'!BD2</f>
        <v>2.2679999999999998</v>
      </c>
      <c r="BG180">
        <f>'2012_2020'!BE2</f>
        <v>2.2719999999999998</v>
      </c>
      <c r="BH180">
        <f>'2012_2020'!BF2</f>
        <v>2.2919999999999998</v>
      </c>
      <c r="BI180">
        <f>'2012_2020'!BG2</f>
        <v>2.3109999999999999</v>
      </c>
      <c r="BJ180">
        <f>'2012_2020'!BH2</f>
        <v>2.3180000000000001</v>
      </c>
      <c r="BK180">
        <f>'2012_2020'!BI2</f>
        <v>2.3490000000000002</v>
      </c>
      <c r="BL180">
        <f>'2012_2020'!BJ2</f>
        <v>2.39</v>
      </c>
      <c r="BM180">
        <f>'2012_2020'!BK2</f>
        <v>2.4</v>
      </c>
      <c r="BN180">
        <f>'2012_2020'!BL2</f>
        <v>2.4020000000000001</v>
      </c>
      <c r="BO180">
        <f>'2012_2020'!BM2</f>
        <v>2.4359999999999999</v>
      </c>
      <c r="BP180">
        <f>'2012_2020'!BN2</f>
        <v>2.4929999999999999</v>
      </c>
      <c r="BQ180">
        <f>'2012_2020'!BO2</f>
        <v>2.504</v>
      </c>
      <c r="BR180">
        <f>'2012_2020'!BP2</f>
        <v>2.496</v>
      </c>
      <c r="BS180">
        <f>'2012_2020'!BQ2</f>
        <v>2.5</v>
      </c>
      <c r="BT180">
        <f>'2012_2020'!BR2</f>
        <v>2.5030000000000001</v>
      </c>
      <c r="BU180">
        <f>'2012_2020'!BS2</f>
        <v>2.5379999999999998</v>
      </c>
      <c r="BV180">
        <f>'2012_2020'!BT2</f>
        <v>2.5840000000000001</v>
      </c>
      <c r="BW180">
        <f>'2012_2020'!BU2</f>
        <v>2.621</v>
      </c>
      <c r="BX180">
        <f>'2012_2020'!BV2</f>
        <v>2.6389999999999998</v>
      </c>
      <c r="BY180">
        <f>'2012_2020'!BW2</f>
        <v>2.6789999999999998</v>
      </c>
      <c r="BZ180">
        <f>'2012_2020'!BX2</f>
        <v>2.7170000000000001</v>
      </c>
      <c r="CA180">
        <f>'2012_2020'!BY2</f>
        <v>2.7210000000000001</v>
      </c>
      <c r="CB180">
        <f>'2012_2020'!BZ2</f>
        <v>2.7759999999999998</v>
      </c>
      <c r="CC180">
        <f>'2012_2020'!CA2</f>
        <v>2.8039999999999998</v>
      </c>
      <c r="CD180">
        <f>'2012_2020'!CB2</f>
        <v>2.8290000000000002</v>
      </c>
      <c r="CE180">
        <f>'2012_2020'!CC2</f>
        <v>2.8959999999999999</v>
      </c>
      <c r="CF180">
        <f>'2012_2020'!CD2</f>
        <v>2.899</v>
      </c>
      <c r="CG180">
        <f>'2012_2020'!CE2</f>
        <v>2.91</v>
      </c>
      <c r="CH180">
        <f>'2012_2020'!CF2</f>
        <v>2.9649999999999999</v>
      </c>
      <c r="CI180">
        <f>'2012_2020'!CG2</f>
        <v>3.012</v>
      </c>
      <c r="CJ180">
        <f>'2012_2020'!CH2</f>
        <v>3.0640000000000001</v>
      </c>
      <c r="CK180">
        <f>'2012_2020'!CI2</f>
        <v>3.1339999999999999</v>
      </c>
      <c r="CL180">
        <f>'2012_2020'!CJ2</f>
        <v>3.2040000000000002</v>
      </c>
      <c r="CM180">
        <f>'2012_2020'!CK2</f>
        <v>3.198</v>
      </c>
      <c r="CN180">
        <f>'2012_2020'!CL2</f>
        <v>3.2719999999999998</v>
      </c>
      <c r="CO180">
        <f>'2012_2020'!CM2</f>
        <v>3.335</v>
      </c>
      <c r="CP180">
        <f>'2012_2020'!CN2</f>
        <v>3.4140000000000001</v>
      </c>
      <c r="CQ180">
        <f>'2012_2020'!CO2</f>
        <v>3.44</v>
      </c>
      <c r="CR180">
        <f>'2012_2020'!CP2</f>
        <v>3.5590000000000002</v>
      </c>
      <c r="CS180">
        <f>'2012_2020'!CQ2</f>
        <v>3.6520000000000001</v>
      </c>
      <c r="CT180">
        <f>'2012_2020'!CR2</f>
        <v>3.76</v>
      </c>
      <c r="CU180">
        <f>'2012_2020'!CS2</f>
        <v>3.887</v>
      </c>
      <c r="CV180">
        <f>'2012_2020'!CT2</f>
        <v>4.1040000000000001</v>
      </c>
      <c r="CW180">
        <f>'2012_2020'!CU2</f>
        <v>4.2880000000000003</v>
      </c>
      <c r="CX180">
        <f>'2012_2020'!CV2</f>
        <v>4.609</v>
      </c>
    </row>
    <row r="181" spans="1:102" x14ac:dyDescent="0.2">
      <c r="A181" t="s">
        <v>204</v>
      </c>
      <c r="B181" t="s">
        <v>217</v>
      </c>
      <c r="C181" t="s">
        <v>222</v>
      </c>
      <c r="D181">
        <f>'2012_2020'!B3</f>
        <v>-7.6999999999999999E-2</v>
      </c>
      <c r="E181">
        <f>'2012_2020'!C3</f>
        <v>0.30599999999999999</v>
      </c>
      <c r="F181">
        <f>'2012_2020'!D3</f>
        <v>0.53600000000000003</v>
      </c>
      <c r="G181">
        <f>'2012_2020'!E3</f>
        <v>0.69099999999999995</v>
      </c>
      <c r="H181">
        <f>'2012_2020'!F3</f>
        <v>0.85599999999999998</v>
      </c>
      <c r="I181">
        <f>'2012_2020'!G3</f>
        <v>0.96299999999999997</v>
      </c>
      <c r="J181">
        <f>'2012_2020'!H3</f>
        <v>1.0529999999999999</v>
      </c>
      <c r="K181">
        <f>'2012_2020'!I3</f>
        <v>1.149</v>
      </c>
      <c r="L181">
        <f>'2012_2020'!J3</f>
        <v>1.22</v>
      </c>
      <c r="M181">
        <f>'2012_2020'!K3</f>
        <v>1.3089999999999999</v>
      </c>
      <c r="N181">
        <f>'2012_2020'!L3</f>
        <v>1.34</v>
      </c>
      <c r="O181">
        <f>'2012_2020'!M3</f>
        <v>1.389</v>
      </c>
      <c r="P181">
        <f>'2012_2020'!N3</f>
        <v>1.4359999999999999</v>
      </c>
      <c r="Q181">
        <f>'2012_2020'!O3</f>
        <v>1.468</v>
      </c>
      <c r="R181">
        <f>'2012_2020'!P3</f>
        <v>1.5089999999999999</v>
      </c>
      <c r="S181">
        <f>'2012_2020'!Q3</f>
        <v>1.536</v>
      </c>
      <c r="T181">
        <f>'2012_2020'!R3</f>
        <v>1.5549999999999999</v>
      </c>
      <c r="U181">
        <f>'2012_2020'!S3</f>
        <v>1.5680000000000001</v>
      </c>
      <c r="V181">
        <f>'2012_2020'!T3</f>
        <v>1.59</v>
      </c>
      <c r="W181">
        <f>'2012_2020'!U3</f>
        <v>1.6060000000000001</v>
      </c>
      <c r="X181">
        <f>'2012_2020'!V3</f>
        <v>1.627</v>
      </c>
      <c r="Y181">
        <f>'2012_2020'!W3</f>
        <v>1.641</v>
      </c>
      <c r="Z181">
        <f>'2012_2020'!X3</f>
        <v>1.653</v>
      </c>
      <c r="AA181">
        <f>'2012_2020'!Y3</f>
        <v>1.671</v>
      </c>
      <c r="AB181">
        <f>'2012_2020'!Z3</f>
        <v>1.6850000000000001</v>
      </c>
      <c r="AC181">
        <f>'2012_2020'!AA3</f>
        <v>1.7050000000000001</v>
      </c>
      <c r="AD181">
        <f>'2012_2020'!AB3</f>
        <v>1.7210000000000001</v>
      </c>
      <c r="AE181">
        <f>'2012_2020'!AC3</f>
        <v>1.736</v>
      </c>
      <c r="AF181">
        <f>'2012_2020'!AD3</f>
        <v>1.7470000000000001</v>
      </c>
      <c r="AG181">
        <f>'2012_2020'!AE3</f>
        <v>1.756</v>
      </c>
      <c r="AH181">
        <f>'2012_2020'!AF3</f>
        <v>1.7669999999999999</v>
      </c>
      <c r="AI181">
        <f>'2012_2020'!AG3</f>
        <v>1.7769999999999999</v>
      </c>
      <c r="AJ181">
        <f>'2012_2020'!AH3</f>
        <v>1.7869999999999999</v>
      </c>
      <c r="AK181">
        <f>'2012_2020'!AI3</f>
        <v>1.81</v>
      </c>
      <c r="AL181">
        <f>'2012_2020'!AJ3</f>
        <v>1.825</v>
      </c>
      <c r="AM181">
        <f>'2012_2020'!AK3</f>
        <v>1.8380000000000001</v>
      </c>
      <c r="AN181">
        <f>'2012_2020'!AL3</f>
        <v>1.8540000000000001</v>
      </c>
      <c r="AO181">
        <f>'2012_2020'!AM3</f>
        <v>1.87</v>
      </c>
      <c r="AP181">
        <f>'2012_2020'!AN3</f>
        <v>1.8879999999999999</v>
      </c>
      <c r="AQ181">
        <f>'2012_2020'!AO3</f>
        <v>1.899</v>
      </c>
      <c r="AR181">
        <f>'2012_2020'!AP3</f>
        <v>1.9139999999999999</v>
      </c>
      <c r="AS181">
        <f>'2012_2020'!AQ3</f>
        <v>1.93</v>
      </c>
      <c r="AT181">
        <f>'2012_2020'!AR3</f>
        <v>1.952</v>
      </c>
      <c r="AU181">
        <f>'2012_2020'!AS3</f>
        <v>1.9690000000000001</v>
      </c>
      <c r="AV181">
        <f>'2012_2020'!AT3</f>
        <v>1.9930000000000001</v>
      </c>
      <c r="AW181">
        <f>'2012_2020'!AU3</f>
        <v>2.0099999999999998</v>
      </c>
      <c r="AX181">
        <f>'2012_2020'!AV3</f>
        <v>2.028</v>
      </c>
      <c r="AY181">
        <f>'2012_2020'!AW3</f>
        <v>2.0299999999999998</v>
      </c>
      <c r="AZ181">
        <f>'2012_2020'!AX3</f>
        <v>2.0390000000000001</v>
      </c>
      <c r="BA181">
        <f>'2012_2020'!AY3</f>
        <v>2.0579999999999998</v>
      </c>
      <c r="BB181">
        <f>'2012_2020'!AZ3</f>
        <v>2.0699999999999998</v>
      </c>
      <c r="BC181">
        <f>'2012_2020'!BA3</f>
        <v>2.093</v>
      </c>
      <c r="BD181">
        <f>'2012_2020'!BB3</f>
        <v>2.1179999999999999</v>
      </c>
      <c r="BE181">
        <f>'2012_2020'!BC3</f>
        <v>2.1379999999999999</v>
      </c>
      <c r="BF181">
        <f>'2012_2020'!BD3</f>
        <v>2.15</v>
      </c>
      <c r="BG181">
        <f>'2012_2020'!BE3</f>
        <v>2.17</v>
      </c>
      <c r="BH181">
        <f>'2012_2020'!BF3</f>
        <v>2.2010000000000001</v>
      </c>
      <c r="BI181">
        <f>'2012_2020'!BG3</f>
        <v>2.2240000000000002</v>
      </c>
      <c r="BJ181">
        <f>'2012_2020'!BH3</f>
        <v>2.2450000000000001</v>
      </c>
      <c r="BK181">
        <f>'2012_2020'!BI3</f>
        <v>2.246</v>
      </c>
      <c r="BL181">
        <f>'2012_2020'!BJ3</f>
        <v>2.2589999999999999</v>
      </c>
      <c r="BM181">
        <f>'2012_2020'!BK3</f>
        <v>2.2850000000000001</v>
      </c>
      <c r="BN181">
        <f>'2012_2020'!BL3</f>
        <v>2.3109999999999999</v>
      </c>
      <c r="BO181">
        <f>'2012_2020'!BM3</f>
        <v>2.3290000000000002</v>
      </c>
      <c r="BP181">
        <f>'2012_2020'!BN3</f>
        <v>2.3479999999999999</v>
      </c>
      <c r="BQ181">
        <f>'2012_2020'!BO3</f>
        <v>2.3860000000000001</v>
      </c>
      <c r="BR181">
        <f>'2012_2020'!BP3</f>
        <v>2.4140000000000001</v>
      </c>
      <c r="BS181">
        <f>'2012_2020'!BQ3</f>
        <v>2.4369999999999998</v>
      </c>
      <c r="BT181">
        <f>'2012_2020'!BR3</f>
        <v>2.4409999999999998</v>
      </c>
      <c r="BU181">
        <f>'2012_2020'!BS3</f>
        <v>2.468</v>
      </c>
      <c r="BV181">
        <f>'2012_2020'!BT3</f>
        <v>2.5030000000000001</v>
      </c>
      <c r="BW181">
        <f>'2012_2020'!BU3</f>
        <v>2.5310000000000001</v>
      </c>
      <c r="BX181">
        <f>'2012_2020'!BV3</f>
        <v>2.5499999999999998</v>
      </c>
      <c r="BY181">
        <f>'2012_2020'!BW3</f>
        <v>2.5859999999999999</v>
      </c>
      <c r="BZ181">
        <f>'2012_2020'!BX3</f>
        <v>2.6269999999999998</v>
      </c>
      <c r="CA181">
        <f>'2012_2020'!BY3</f>
        <v>2.66</v>
      </c>
      <c r="CB181">
        <f>'2012_2020'!BZ3</f>
        <v>2.6669999999999998</v>
      </c>
      <c r="CC181">
        <f>'2012_2020'!CA3</f>
        <v>2.7189999999999999</v>
      </c>
      <c r="CD181">
        <f>'2012_2020'!CB3</f>
        <v>2.7490000000000001</v>
      </c>
      <c r="CE181">
        <f>'2012_2020'!CC3</f>
        <v>2.7810000000000001</v>
      </c>
      <c r="CF181">
        <f>'2012_2020'!CD3</f>
        <v>2.8330000000000002</v>
      </c>
      <c r="CG181">
        <f>'2012_2020'!CE3</f>
        <v>2.8690000000000002</v>
      </c>
      <c r="CH181">
        <f>'2012_2020'!CF3</f>
        <v>2.9329999999999998</v>
      </c>
      <c r="CI181">
        <f>'2012_2020'!CG3</f>
        <v>2.9420000000000002</v>
      </c>
      <c r="CJ181">
        <f>'2012_2020'!CH3</f>
        <v>2.9780000000000002</v>
      </c>
      <c r="CK181">
        <f>'2012_2020'!CI3</f>
        <v>3.0419999999999998</v>
      </c>
      <c r="CL181">
        <f>'2012_2020'!CJ3</f>
        <v>3.117</v>
      </c>
      <c r="CM181">
        <f>'2012_2020'!CK3</f>
        <v>3.1720000000000002</v>
      </c>
      <c r="CN181">
        <f>'2012_2020'!CL3</f>
        <v>3.222</v>
      </c>
      <c r="CO181">
        <f>'2012_2020'!CM3</f>
        <v>3.2970000000000002</v>
      </c>
      <c r="CP181">
        <f>'2012_2020'!CN3</f>
        <v>3.3460000000000001</v>
      </c>
      <c r="CQ181">
        <f>'2012_2020'!CO3</f>
        <v>3.4289999999999998</v>
      </c>
      <c r="CR181">
        <f>'2012_2020'!CP3</f>
        <v>3.5230000000000001</v>
      </c>
      <c r="CS181">
        <f>'2012_2020'!CQ3</f>
        <v>3.6509999999999998</v>
      </c>
      <c r="CT181">
        <f>'2012_2020'!CR3</f>
        <v>3.7469999999999999</v>
      </c>
      <c r="CU181">
        <f>'2012_2020'!CS3</f>
        <v>3.8639999999999999</v>
      </c>
      <c r="CV181">
        <f>'2012_2020'!CT3</f>
        <v>4.0410000000000004</v>
      </c>
      <c r="CW181">
        <f>'2012_2020'!CU3</f>
        <v>4.2939999999999996</v>
      </c>
      <c r="CX181">
        <f>'2012_2020'!CV3</f>
        <v>4.609</v>
      </c>
    </row>
    <row r="182" spans="1:102" x14ac:dyDescent="0.2">
      <c r="A182" t="s">
        <v>205</v>
      </c>
      <c r="B182" t="s">
        <v>217</v>
      </c>
      <c r="C182" t="s">
        <v>222</v>
      </c>
      <c r="D182">
        <f>'2012_2020'!B4</f>
        <v>0.26700000000000002</v>
      </c>
      <c r="E182">
        <f>'2012_2020'!C4</f>
        <v>0.17799999999999999</v>
      </c>
      <c r="F182">
        <f>'2012_2020'!D4</f>
        <v>0.16900000000000001</v>
      </c>
      <c r="G182">
        <f>'2012_2020'!E4</f>
        <v>0.19700000000000001</v>
      </c>
      <c r="H182">
        <f>'2012_2020'!F4</f>
        <v>0.14099999999999999</v>
      </c>
      <c r="I182">
        <f>'2012_2020'!G4</f>
        <v>0.14899999999999999</v>
      </c>
      <c r="J182">
        <f>'2012_2020'!H4</f>
        <v>0.14499999999999999</v>
      </c>
      <c r="K182">
        <f>'2012_2020'!I4</f>
        <v>0.14299999999999999</v>
      </c>
      <c r="L182">
        <f>'2012_2020'!J4</f>
        <v>0.16700000000000001</v>
      </c>
      <c r="M182">
        <f>'2012_2020'!K4</f>
        <v>0.113</v>
      </c>
      <c r="N182">
        <f>'2012_2020'!L4</f>
        <v>0.152</v>
      </c>
      <c r="O182">
        <f>'2012_2020'!M4</f>
        <v>0.186</v>
      </c>
      <c r="P182">
        <f>'2012_2020'!N4</f>
        <v>0.14799999999999999</v>
      </c>
      <c r="Q182">
        <f>'2012_2020'!O4</f>
        <v>0.14599999999999999</v>
      </c>
      <c r="R182">
        <f>'2012_2020'!P4</f>
        <v>0.13700000000000001</v>
      </c>
      <c r="S182">
        <f>'2012_2020'!Q4</f>
        <v>0.13600000000000001</v>
      </c>
      <c r="T182">
        <f>'2012_2020'!R4</f>
        <v>0.15</v>
      </c>
      <c r="U182">
        <f>'2012_2020'!S4</f>
        <v>0.15</v>
      </c>
      <c r="V182">
        <f>'2012_2020'!T4</f>
        <v>0.154</v>
      </c>
      <c r="W182">
        <f>'2012_2020'!U4</f>
        <v>0.14599999999999999</v>
      </c>
      <c r="X182">
        <f>'2012_2020'!V4</f>
        <v>0.13100000000000001</v>
      </c>
      <c r="Y182">
        <f>'2012_2020'!W4</f>
        <v>0.154</v>
      </c>
      <c r="Z182">
        <f>'2012_2020'!X4</f>
        <v>0.14899999999999999</v>
      </c>
      <c r="AA182">
        <f>'2012_2020'!Y4</f>
        <v>0.13100000000000001</v>
      </c>
      <c r="AB182">
        <f>'2012_2020'!Z4</f>
        <v>0.121</v>
      </c>
      <c r="AC182">
        <f>'2012_2020'!AA4</f>
        <v>0.105</v>
      </c>
      <c r="AD182">
        <f>'2012_2020'!AB4</f>
        <v>0.11799999999999999</v>
      </c>
      <c r="AE182">
        <f>'2012_2020'!AC4</f>
        <v>0.108</v>
      </c>
      <c r="AF182">
        <f>'2012_2020'!AD4</f>
        <v>0.105</v>
      </c>
      <c r="AG182">
        <f>'2012_2020'!AE4</f>
        <v>0.104</v>
      </c>
      <c r="AH182">
        <f>'2012_2020'!AF4</f>
        <v>0.114</v>
      </c>
      <c r="AI182">
        <f>'2012_2020'!AG4</f>
        <v>0.112</v>
      </c>
      <c r="AJ182">
        <f>'2012_2020'!AH4</f>
        <v>0.108</v>
      </c>
      <c r="AK182">
        <f>'2012_2020'!AI4</f>
        <v>0.10199999999999999</v>
      </c>
      <c r="AL182">
        <f>'2012_2020'!AJ4</f>
        <v>0.125</v>
      </c>
      <c r="AM182">
        <f>'2012_2020'!AK4</f>
        <v>0.13100000000000001</v>
      </c>
      <c r="AN182">
        <f>'2012_2020'!AL4</f>
        <v>0.127</v>
      </c>
      <c r="AO182">
        <f>'2012_2020'!AM4</f>
        <v>0.113</v>
      </c>
      <c r="AP182">
        <f>'2012_2020'!AN4</f>
        <v>0.10100000000000001</v>
      </c>
      <c r="AQ182">
        <f>'2012_2020'!AO4</f>
        <v>0.11</v>
      </c>
      <c r="AR182">
        <f>'2012_2020'!AP4</f>
        <v>0.115</v>
      </c>
      <c r="AS182">
        <f>'2012_2020'!AQ4</f>
        <v>0.11700000000000001</v>
      </c>
      <c r="AT182">
        <f>'2012_2020'!AR4</f>
        <v>0.113</v>
      </c>
      <c r="AU182">
        <f>'2012_2020'!AS4</f>
        <v>0.12</v>
      </c>
      <c r="AV182">
        <f>'2012_2020'!AT4</f>
        <v>0.10199999999999999</v>
      </c>
      <c r="AW182">
        <f>'2012_2020'!AU4</f>
        <v>0.104</v>
      </c>
      <c r="AX182">
        <f>'2012_2020'!AV4</f>
        <v>8.8200000000000001E-2</v>
      </c>
      <c r="AY182">
        <f>'2012_2020'!AW4</f>
        <v>0.107</v>
      </c>
      <c r="AZ182">
        <f>'2012_2020'!AX4</f>
        <v>0.108</v>
      </c>
      <c r="BA182">
        <f>'2012_2020'!AY4</f>
        <v>0.11700000000000001</v>
      </c>
      <c r="BB182">
        <f>'2012_2020'!AZ4</f>
        <v>0.13300000000000001</v>
      </c>
      <c r="BC182">
        <f>'2012_2020'!BA4</f>
        <v>0.124</v>
      </c>
      <c r="BD182">
        <f>'2012_2020'!BB4</f>
        <v>9.11E-2</v>
      </c>
      <c r="BE182">
        <f>'2012_2020'!BC4</f>
        <v>9.1600000000000001E-2</v>
      </c>
      <c r="BF182">
        <f>'2012_2020'!BD4</f>
        <v>0.11799999999999999</v>
      </c>
      <c r="BG182">
        <f>'2012_2020'!BE4</f>
        <v>0.10199999999999999</v>
      </c>
      <c r="BH182">
        <f>'2012_2020'!BF4</f>
        <v>9.0700000000000003E-2</v>
      </c>
      <c r="BI182">
        <f>'2012_2020'!BG4</f>
        <v>8.6599999999999996E-2</v>
      </c>
      <c r="BJ182">
        <f>'2012_2020'!BH4</f>
        <v>7.3599999999999999E-2</v>
      </c>
      <c r="BK182">
        <f>'2012_2020'!BI4</f>
        <v>0.10299999999999999</v>
      </c>
      <c r="BL182">
        <f>'2012_2020'!BJ4</f>
        <v>0.13</v>
      </c>
      <c r="BM182">
        <f>'2012_2020'!BK4</f>
        <v>0.115</v>
      </c>
      <c r="BN182">
        <f>'2012_2020'!BL4</f>
        <v>9.0999999999999998E-2</v>
      </c>
      <c r="BO182">
        <f>'2012_2020'!BM4</f>
        <v>0.108</v>
      </c>
      <c r="BP182">
        <f>'2012_2020'!BN4</f>
        <v>0.14399999999999999</v>
      </c>
      <c r="BQ182">
        <f>'2012_2020'!BO4</f>
        <v>0.11799999999999999</v>
      </c>
      <c r="BR182">
        <f>'2012_2020'!BP4</f>
        <v>8.1199999999999994E-2</v>
      </c>
      <c r="BS182">
        <f>'2012_2020'!BQ4</f>
        <v>6.2700000000000006E-2</v>
      </c>
      <c r="BT182">
        <f>'2012_2020'!BR4</f>
        <v>6.1400000000000003E-2</v>
      </c>
      <c r="BU182">
        <f>'2012_2020'!BS4</f>
        <v>6.9800000000000001E-2</v>
      </c>
      <c r="BV182">
        <f>'2012_2020'!BT4</f>
        <v>8.0199999999999994E-2</v>
      </c>
      <c r="BW182">
        <f>'2012_2020'!BU4</f>
        <v>9.0399999999999994E-2</v>
      </c>
      <c r="BX182">
        <f>'2012_2020'!BV4</f>
        <v>8.9499999999999996E-2</v>
      </c>
      <c r="BY182">
        <f>'2012_2020'!BW4</f>
        <v>9.3299999999999994E-2</v>
      </c>
      <c r="BZ182">
        <f>'2012_2020'!BX4</f>
        <v>9.0300000000000005E-2</v>
      </c>
      <c r="CA182">
        <f>'2012_2020'!BY4</f>
        <v>6.0999999999999999E-2</v>
      </c>
      <c r="CB182">
        <f>'2012_2020'!BZ4</f>
        <v>0.109</v>
      </c>
      <c r="CC182">
        <f>'2012_2020'!CA4</f>
        <v>8.5699999999999998E-2</v>
      </c>
      <c r="CD182">
        <f>'2012_2020'!CB4</f>
        <v>8.0299999999999996E-2</v>
      </c>
      <c r="CE182">
        <f>'2012_2020'!CC4</f>
        <v>0.114</v>
      </c>
      <c r="CF182">
        <f>'2012_2020'!CD4</f>
        <v>6.6900000000000001E-2</v>
      </c>
      <c r="CG182">
        <f>'2012_2020'!CE4</f>
        <v>4.1399999999999999E-2</v>
      </c>
      <c r="CH182">
        <f>'2012_2020'!CF4</f>
        <v>3.1399999999999997E-2</v>
      </c>
      <c r="CI182">
        <f>'2012_2020'!CG4</f>
        <v>7.0499999999999993E-2</v>
      </c>
      <c r="CJ182">
        <f>'2012_2020'!CH4</f>
        <v>8.6099999999999996E-2</v>
      </c>
      <c r="CK182">
        <f>'2012_2020'!CI4</f>
        <v>9.1800000000000007E-2</v>
      </c>
      <c r="CL182">
        <f>'2012_2020'!CJ4</f>
        <v>8.6800000000000002E-2</v>
      </c>
      <c r="CM182">
        <f>'2012_2020'!CK4</f>
        <v>2.64E-2</v>
      </c>
      <c r="CN182">
        <f>'2012_2020'!CL4</f>
        <v>4.9099999999999998E-2</v>
      </c>
      <c r="CO182">
        <f>'2012_2020'!CM4</f>
        <v>3.8399999999999997E-2</v>
      </c>
      <c r="CP182">
        <f>'2012_2020'!CN4</f>
        <v>6.8099999999999994E-2</v>
      </c>
      <c r="CQ182">
        <f>'2012_2020'!CO4</f>
        <v>1.12E-2</v>
      </c>
      <c r="CR182">
        <f>'2012_2020'!CP4</f>
        <v>3.5900000000000001E-2</v>
      </c>
      <c r="CS182">
        <f>'2012_2020'!CQ4</f>
        <v>1.3699999999999999E-3</v>
      </c>
      <c r="CT182">
        <f>'2012_2020'!CR4</f>
        <v>1.3100000000000001E-2</v>
      </c>
      <c r="CU182">
        <f>'2012_2020'!CS4</f>
        <v>2.2499999999999999E-2</v>
      </c>
      <c r="CV182">
        <f>'2012_2020'!CT4</f>
        <v>6.3299999999999995E-2</v>
      </c>
      <c r="CW182">
        <f>'2012_2020'!CU4</f>
        <v>-5.1200000000000004E-3</v>
      </c>
      <c r="CX182">
        <f>'2012_2020'!CV4</f>
        <v>-2.2900000000000001E-4</v>
      </c>
    </row>
    <row r="183" spans="1:102" x14ac:dyDescent="0.2">
      <c r="A183" t="s">
        <v>206</v>
      </c>
      <c r="B183" t="s">
        <v>217</v>
      </c>
      <c r="C183" t="s">
        <v>222</v>
      </c>
      <c r="D183">
        <f>'2012_2020'!B5</f>
        <v>8.0299999999999996E-2</v>
      </c>
      <c r="E183">
        <f>'2012_2020'!C5</f>
        <v>0.109</v>
      </c>
      <c r="F183">
        <f>'2012_2020'!D5</f>
        <v>0.106</v>
      </c>
      <c r="G183">
        <f>'2012_2020'!E5</f>
        <v>0.105</v>
      </c>
      <c r="H183">
        <f>'2012_2020'!F5</f>
        <v>9.7500000000000003E-2</v>
      </c>
      <c r="I183">
        <f>'2012_2020'!G5</f>
        <v>0.10299999999999999</v>
      </c>
      <c r="J183">
        <f>'2012_2020'!H5</f>
        <v>9.9299999999999999E-2</v>
      </c>
      <c r="K183">
        <f>'2012_2020'!I5</f>
        <v>9.1700000000000004E-2</v>
      </c>
      <c r="L183">
        <f>'2012_2020'!J5</f>
        <v>9.3799999999999994E-2</v>
      </c>
      <c r="M183">
        <f>'2012_2020'!K5</f>
        <v>7.6200000000000004E-2</v>
      </c>
      <c r="N183">
        <f>'2012_2020'!L5</f>
        <v>7.4200000000000002E-2</v>
      </c>
      <c r="O183">
        <f>'2012_2020'!M5</f>
        <v>7.0300000000000001E-2</v>
      </c>
      <c r="P183">
        <f>'2012_2020'!N5</f>
        <v>6.4899999999999999E-2</v>
      </c>
      <c r="Q183">
        <f>'2012_2020'!O5</f>
        <v>6.0499999999999998E-2</v>
      </c>
      <c r="R183">
        <f>'2012_2020'!P5</f>
        <v>5.2200000000000003E-2</v>
      </c>
      <c r="S183">
        <f>'2012_2020'!Q5</f>
        <v>4.87E-2</v>
      </c>
      <c r="T183">
        <f>'2012_2020'!R5</f>
        <v>4.7199999999999999E-2</v>
      </c>
      <c r="U183">
        <f>'2012_2020'!S5</f>
        <v>4.7399999999999998E-2</v>
      </c>
      <c r="V183">
        <f>'2012_2020'!T5</f>
        <v>4.6800000000000001E-2</v>
      </c>
      <c r="W183">
        <f>'2012_2020'!U5</f>
        <v>4.7500000000000001E-2</v>
      </c>
      <c r="X183">
        <f>'2012_2020'!V5</f>
        <v>4.7600000000000003E-2</v>
      </c>
      <c r="Y183">
        <f>'2012_2020'!W5</f>
        <v>4.8800000000000003E-2</v>
      </c>
      <c r="Z183">
        <f>'2012_2020'!X5</f>
        <v>5.0200000000000002E-2</v>
      </c>
      <c r="AA183">
        <f>'2012_2020'!Y5</f>
        <v>5.16E-2</v>
      </c>
      <c r="AB183">
        <f>'2012_2020'!Z5</f>
        <v>5.2999999999999999E-2</v>
      </c>
      <c r="AC183">
        <f>'2012_2020'!AA5</f>
        <v>5.3400000000000003E-2</v>
      </c>
      <c r="AD183">
        <f>'2012_2020'!AB5</f>
        <v>5.3999999999999999E-2</v>
      </c>
      <c r="AE183">
        <f>'2012_2020'!AC5</f>
        <v>5.4899999999999997E-2</v>
      </c>
      <c r="AF183">
        <f>'2012_2020'!AD5</f>
        <v>5.67E-2</v>
      </c>
      <c r="AG183">
        <f>'2012_2020'!AE5</f>
        <v>5.8799999999999998E-2</v>
      </c>
      <c r="AH183">
        <f>'2012_2020'!AF5</f>
        <v>6.0999999999999999E-2</v>
      </c>
      <c r="AI183">
        <f>'2012_2020'!AG5</f>
        <v>6.3700000000000007E-2</v>
      </c>
      <c r="AJ183">
        <f>'2012_2020'!AH5</f>
        <v>6.6199999999999995E-2</v>
      </c>
      <c r="AK183">
        <f>'2012_2020'!AI5</f>
        <v>6.9699999999999998E-2</v>
      </c>
      <c r="AL183">
        <f>'2012_2020'!AJ5</f>
        <v>7.2800000000000004E-2</v>
      </c>
      <c r="AM183">
        <f>'2012_2020'!AK5</f>
        <v>7.5200000000000003E-2</v>
      </c>
      <c r="AN183">
        <f>'2012_2020'!AL5</f>
        <v>7.7899999999999997E-2</v>
      </c>
      <c r="AO183">
        <f>'2012_2020'!AM5</f>
        <v>8.2000000000000003E-2</v>
      </c>
      <c r="AP183">
        <f>'2012_2020'!AN5</f>
        <v>8.5099999999999995E-2</v>
      </c>
      <c r="AQ183">
        <f>'2012_2020'!AO5</f>
        <v>8.8900000000000007E-2</v>
      </c>
      <c r="AR183">
        <f>'2012_2020'!AP5</f>
        <v>9.1499999999999998E-2</v>
      </c>
      <c r="AS183">
        <f>'2012_2020'!AQ5</f>
        <v>9.4600000000000004E-2</v>
      </c>
      <c r="AT183">
        <f>'2012_2020'!AR5</f>
        <v>9.7100000000000006E-2</v>
      </c>
      <c r="AU183">
        <f>'2012_2020'!AS5</f>
        <v>9.8400000000000001E-2</v>
      </c>
      <c r="AV183">
        <f>'2012_2020'!AT5</f>
        <v>9.9299999999999999E-2</v>
      </c>
      <c r="AW183">
        <f>'2012_2020'!AU5</f>
        <v>9.9900000000000003E-2</v>
      </c>
      <c r="AX183">
        <f>'2012_2020'!AV5</f>
        <v>0.10100000000000001</v>
      </c>
      <c r="AY183">
        <f>'2012_2020'!AW5</f>
        <v>0.104</v>
      </c>
      <c r="AZ183">
        <f>'2012_2020'!AX5</f>
        <v>0.105</v>
      </c>
      <c r="BA183">
        <f>'2012_2020'!AY5</f>
        <v>0.109</v>
      </c>
      <c r="BB183">
        <f>'2012_2020'!AZ5</f>
        <v>0.112</v>
      </c>
      <c r="BC183">
        <f>'2012_2020'!BA5</f>
        <v>0.11899999999999999</v>
      </c>
      <c r="BD183">
        <f>'2012_2020'!BB5</f>
        <v>0.126</v>
      </c>
      <c r="BE183">
        <f>'2012_2020'!BC5</f>
        <v>0.13200000000000001</v>
      </c>
      <c r="BF183">
        <f>'2012_2020'!BD5</f>
        <v>0.13500000000000001</v>
      </c>
      <c r="BG183">
        <f>'2012_2020'!BE5</f>
        <v>0.13800000000000001</v>
      </c>
      <c r="BH183">
        <f>'2012_2020'!BF5</f>
        <v>0.13700000000000001</v>
      </c>
      <c r="BI183">
        <f>'2012_2020'!BG5</f>
        <v>0.13600000000000001</v>
      </c>
      <c r="BJ183">
        <f>'2012_2020'!BH5</f>
        <v>0.13700000000000001</v>
      </c>
      <c r="BK183">
        <f>'2012_2020'!BI5</f>
        <v>0.13700000000000001</v>
      </c>
      <c r="BL183">
        <f>'2012_2020'!BJ5</f>
        <v>0.13900000000000001</v>
      </c>
      <c r="BM183">
        <f>'2012_2020'!BK5</f>
        <v>0.14399999999999999</v>
      </c>
      <c r="BN183">
        <f>'2012_2020'!BL5</f>
        <v>0.151</v>
      </c>
      <c r="BO183">
        <f>'2012_2020'!BM5</f>
        <v>0.156</v>
      </c>
      <c r="BP183">
        <f>'2012_2020'!BN5</f>
        <v>0.161</v>
      </c>
      <c r="BQ183">
        <f>'2012_2020'!BO5</f>
        <v>0.16500000000000001</v>
      </c>
      <c r="BR183">
        <f>'2012_2020'!BP5</f>
        <v>0.16500000000000001</v>
      </c>
      <c r="BS183">
        <f>'2012_2020'!BQ5</f>
        <v>0.16500000000000001</v>
      </c>
      <c r="BT183">
        <f>'2012_2020'!BR5</f>
        <v>0.16700000000000001</v>
      </c>
      <c r="BU183">
        <f>'2012_2020'!BS5</f>
        <v>0.17100000000000001</v>
      </c>
      <c r="BV183">
        <f>'2012_2020'!BT5</f>
        <v>0.182</v>
      </c>
      <c r="BW183">
        <f>'2012_2020'!BU5</f>
        <v>0.191</v>
      </c>
      <c r="BX183">
        <f>'2012_2020'!BV5</f>
        <v>0.19600000000000001</v>
      </c>
      <c r="BY183">
        <f>'2012_2020'!BW5</f>
        <v>0.20300000000000001</v>
      </c>
      <c r="BZ183">
        <f>'2012_2020'!BX5</f>
        <v>0.20200000000000001</v>
      </c>
      <c r="CA183">
        <f>'2012_2020'!BY5</f>
        <v>0.20100000000000001</v>
      </c>
      <c r="CB183">
        <f>'2012_2020'!BZ5</f>
        <v>0.2</v>
      </c>
      <c r="CC183">
        <f>'2012_2020'!CA5</f>
        <v>0.21</v>
      </c>
      <c r="CD183">
        <f>'2012_2020'!CB5</f>
        <v>0.222</v>
      </c>
      <c r="CE183">
        <f>'2012_2020'!CC5</f>
        <v>0.23100000000000001</v>
      </c>
      <c r="CF183">
        <f>'2012_2020'!CD5</f>
        <v>0.24</v>
      </c>
      <c r="CG183">
        <f>'2012_2020'!CE5</f>
        <v>0.23</v>
      </c>
      <c r="CH183">
        <f>'2012_2020'!CF5</f>
        <v>0.216</v>
      </c>
      <c r="CI183">
        <f>'2012_2020'!CG5</f>
        <v>0.21099999999999999</v>
      </c>
      <c r="CJ183">
        <f>'2012_2020'!CH5</f>
        <v>0.221</v>
      </c>
      <c r="CK183">
        <f>'2012_2020'!CI5</f>
        <v>0.27100000000000002</v>
      </c>
      <c r="CL183">
        <f>'2012_2020'!CJ5</f>
        <v>0.26600000000000001</v>
      </c>
      <c r="CM183">
        <f>'2012_2020'!CK5</f>
        <v>0.252</v>
      </c>
      <c r="CN183">
        <f>'2012_2020'!CL5</f>
        <v>0.25900000000000001</v>
      </c>
      <c r="CO183">
        <f>'2012_2020'!CM5</f>
        <v>0.25700000000000001</v>
      </c>
      <c r="CP183">
        <f>'2012_2020'!CN5</f>
        <v>0.23799999999999999</v>
      </c>
      <c r="CQ183">
        <f>'2012_2020'!CO5</f>
        <v>0.27</v>
      </c>
      <c r="CR183">
        <f>'2012_2020'!CP5</f>
        <v>0.29599999999999999</v>
      </c>
      <c r="CS183">
        <f>'2012_2020'!CQ5</f>
        <v>0.25700000000000001</v>
      </c>
      <c r="CT183">
        <f>'2012_2020'!CR5</f>
        <v>0.28999999999999998</v>
      </c>
      <c r="CU183">
        <f>'2012_2020'!CS5</f>
        <v>0.22700000000000001</v>
      </c>
      <c r="CV183">
        <f>'2012_2020'!CT5</f>
        <v>0.26100000000000001</v>
      </c>
      <c r="CW183">
        <f>'2012_2020'!CU5</f>
        <v>0.25</v>
      </c>
      <c r="CX183">
        <f>'2012_2020'!CV5</f>
        <v>0.22</v>
      </c>
    </row>
    <row r="184" spans="1:102" x14ac:dyDescent="0.2">
      <c r="A184" t="s">
        <v>207</v>
      </c>
      <c r="B184" t="s">
        <v>217</v>
      </c>
      <c r="C184" t="s">
        <v>222</v>
      </c>
      <c r="D184">
        <f>'2012_2020'!B6</f>
        <v>0.187</v>
      </c>
      <c r="E184">
        <f>'2012_2020'!C6</f>
        <v>6.9400000000000003E-2</v>
      </c>
      <c r="F184">
        <f>'2012_2020'!D6</f>
        <v>6.2300000000000001E-2</v>
      </c>
      <c r="G184">
        <f>'2012_2020'!E6</f>
        <v>9.2299999999999993E-2</v>
      </c>
      <c r="H184">
        <f>'2012_2020'!F6</f>
        <v>4.3200000000000002E-2</v>
      </c>
      <c r="I184">
        <f>'2012_2020'!G6</f>
        <v>4.5699999999999998E-2</v>
      </c>
      <c r="J184">
        <f>'2012_2020'!H6</f>
        <v>4.53E-2</v>
      </c>
      <c r="K184">
        <f>'2012_2020'!I6</f>
        <v>5.1700000000000003E-2</v>
      </c>
      <c r="L184">
        <f>'2012_2020'!J6</f>
        <v>7.3300000000000004E-2</v>
      </c>
      <c r="M184">
        <f>'2012_2020'!K6</f>
        <v>3.6900000000000002E-2</v>
      </c>
      <c r="N184">
        <f>'2012_2020'!L6</f>
        <v>7.8E-2</v>
      </c>
      <c r="O184">
        <f>'2012_2020'!M6</f>
        <v>0.11600000000000001</v>
      </c>
      <c r="P184">
        <f>'2012_2020'!N6</f>
        <v>8.2900000000000001E-2</v>
      </c>
      <c r="Q184">
        <f>'2012_2020'!O6</f>
        <v>8.5199999999999998E-2</v>
      </c>
      <c r="R184">
        <f>'2012_2020'!P6</f>
        <v>8.5099999999999995E-2</v>
      </c>
      <c r="S184">
        <f>'2012_2020'!Q6</f>
        <v>8.7300000000000003E-2</v>
      </c>
      <c r="T184">
        <f>'2012_2020'!R6</f>
        <v>0.10199999999999999</v>
      </c>
      <c r="U184">
        <f>'2012_2020'!S6</f>
        <v>0.10199999999999999</v>
      </c>
      <c r="V184">
        <f>'2012_2020'!T6</f>
        <v>0.107</v>
      </c>
      <c r="W184">
        <f>'2012_2020'!U6</f>
        <v>9.8299999999999998E-2</v>
      </c>
      <c r="X184">
        <f>'2012_2020'!V6</f>
        <v>8.3699999999999997E-2</v>
      </c>
      <c r="Y184">
        <f>'2012_2020'!W6</f>
        <v>0.106</v>
      </c>
      <c r="Z184">
        <f>'2012_2020'!X6</f>
        <v>9.8500000000000004E-2</v>
      </c>
      <c r="AA184">
        <f>'2012_2020'!Y6</f>
        <v>7.8899999999999998E-2</v>
      </c>
      <c r="AB184">
        <f>'2012_2020'!Z6</f>
        <v>6.7900000000000002E-2</v>
      </c>
      <c r="AC184">
        <f>'2012_2020'!AA6</f>
        <v>5.21E-2</v>
      </c>
      <c r="AD184">
        <f>'2012_2020'!AB6</f>
        <v>6.3899999999999998E-2</v>
      </c>
      <c r="AE184">
        <f>'2012_2020'!AC6</f>
        <v>5.2600000000000001E-2</v>
      </c>
      <c r="AF184">
        <f>'2012_2020'!AD6</f>
        <v>4.82E-2</v>
      </c>
      <c r="AG184">
        <f>'2012_2020'!AE6</f>
        <v>4.4999999999999998E-2</v>
      </c>
      <c r="AH184">
        <f>'2012_2020'!AF6</f>
        <v>5.2499999999999998E-2</v>
      </c>
      <c r="AI184">
        <f>'2012_2020'!AG6</f>
        <v>4.8000000000000001E-2</v>
      </c>
      <c r="AJ184">
        <f>'2012_2020'!AH6</f>
        <v>4.1399999999999999E-2</v>
      </c>
      <c r="AK184">
        <f>'2012_2020'!AI6</f>
        <v>3.2199999999999999E-2</v>
      </c>
      <c r="AL184">
        <f>'2012_2020'!AJ6</f>
        <v>5.2200000000000003E-2</v>
      </c>
      <c r="AM184">
        <f>'2012_2020'!AK6</f>
        <v>5.57E-2</v>
      </c>
      <c r="AN184">
        <f>'2012_2020'!AL6</f>
        <v>4.9099999999999998E-2</v>
      </c>
      <c r="AO184">
        <f>'2012_2020'!AM6</f>
        <v>3.09E-2</v>
      </c>
      <c r="AP184">
        <f>'2012_2020'!AN6</f>
        <v>1.6299999999999999E-2</v>
      </c>
      <c r="AQ184">
        <f>'2012_2020'!AO6</f>
        <v>2.1000000000000001E-2</v>
      </c>
      <c r="AR184">
        <f>'2012_2020'!AP6</f>
        <v>2.3199999999999998E-2</v>
      </c>
      <c r="AS184">
        <f>'2012_2020'!AQ6</f>
        <v>2.1899999999999999E-2</v>
      </c>
      <c r="AT184">
        <f>'2012_2020'!AR6</f>
        <v>1.5699999999999999E-2</v>
      </c>
      <c r="AU184">
        <f>'2012_2020'!AS6</f>
        <v>2.1499999999999998E-2</v>
      </c>
      <c r="AV184">
        <f>'2012_2020'!AT6</f>
        <v>2.2599999999999999E-3</v>
      </c>
      <c r="AW184">
        <f>'2012_2020'!AU6</f>
        <v>4.0000000000000001E-3</v>
      </c>
      <c r="AX184">
        <f>'2012_2020'!AV6</f>
        <v>-1.2500000000000001E-2</v>
      </c>
      <c r="AY184">
        <f>'2012_2020'!AW6</f>
        <v>2.7200000000000002E-3</v>
      </c>
      <c r="AZ184">
        <f>'2012_2020'!AX6</f>
        <v>3.2100000000000002E-3</v>
      </c>
      <c r="BA184">
        <f>'2012_2020'!AY6</f>
        <v>7.8799999999999999E-3</v>
      </c>
      <c r="BB184">
        <f>'2012_2020'!AZ6</f>
        <v>2.0799999999999999E-2</v>
      </c>
      <c r="BC184">
        <f>'2012_2020'!BA6</f>
        <v>4.7099999999999998E-3</v>
      </c>
      <c r="BD184">
        <f>'2012_2020'!BB6</f>
        <v>-3.5400000000000001E-2</v>
      </c>
      <c r="BE184">
        <f>'2012_2020'!BC6</f>
        <v>-0.04</v>
      </c>
      <c r="BF184">
        <f>'2012_2020'!BD6</f>
        <v>-1.7100000000000001E-2</v>
      </c>
      <c r="BG184">
        <f>'2012_2020'!BE6</f>
        <v>-3.5499999999999997E-2</v>
      </c>
      <c r="BH184">
        <f>'2012_2020'!BF6</f>
        <v>-4.65E-2</v>
      </c>
      <c r="BI184">
        <f>'2012_2020'!BG6</f>
        <v>-4.9700000000000001E-2</v>
      </c>
      <c r="BJ184">
        <f>'2012_2020'!BH6</f>
        <v>-6.2899999999999998E-2</v>
      </c>
      <c r="BK184">
        <f>'2012_2020'!BI6</f>
        <v>-3.4500000000000003E-2</v>
      </c>
      <c r="BL184">
        <f>'2012_2020'!BJ6</f>
        <v>-8.5400000000000007E-3</v>
      </c>
      <c r="BM184">
        <f>'2012_2020'!BK6</f>
        <v>-2.86E-2</v>
      </c>
      <c r="BN184">
        <f>'2012_2020'!BL6</f>
        <v>-5.9700000000000003E-2</v>
      </c>
      <c r="BO184">
        <f>'2012_2020'!BM6</f>
        <v>-4.87E-2</v>
      </c>
      <c r="BP184">
        <f>'2012_2020'!BN6</f>
        <v>-1.6899999999999998E-2</v>
      </c>
      <c r="BQ184">
        <f>'2012_2020'!BO6</f>
        <v>-4.7100000000000003E-2</v>
      </c>
      <c r="BR184">
        <f>'2012_2020'!BP6</f>
        <v>-8.3699999999999997E-2</v>
      </c>
      <c r="BS184">
        <f>'2012_2020'!BQ6</f>
        <v>-0.10299999999999999</v>
      </c>
      <c r="BT184">
        <f>'2012_2020'!BR6</f>
        <v>-0.105</v>
      </c>
      <c r="BU184">
        <f>'2012_2020'!BS6</f>
        <v>-0.10100000000000001</v>
      </c>
      <c r="BV184">
        <f>'2012_2020'!BT6</f>
        <v>-0.10100000000000001</v>
      </c>
      <c r="BW184">
        <f>'2012_2020'!BU6</f>
        <v>-0.10100000000000001</v>
      </c>
      <c r="BX184">
        <f>'2012_2020'!BV6</f>
        <v>-0.106</v>
      </c>
      <c r="BY184">
        <f>'2012_2020'!BW6</f>
        <v>-0.11</v>
      </c>
      <c r="BZ184">
        <f>'2012_2020'!BX6</f>
        <v>-0.112</v>
      </c>
      <c r="CA184">
        <f>'2012_2020'!BY6</f>
        <v>-0.14000000000000001</v>
      </c>
      <c r="CB184">
        <f>'2012_2020'!BZ6</f>
        <v>-9.0999999999999998E-2</v>
      </c>
      <c r="CC184">
        <f>'2012_2020'!CA6</f>
        <v>-0.124</v>
      </c>
      <c r="CD184">
        <f>'2012_2020'!CB6</f>
        <v>-0.14099999999999999</v>
      </c>
      <c r="CE184">
        <f>'2012_2020'!CC6</f>
        <v>-0.11700000000000001</v>
      </c>
      <c r="CF184">
        <f>'2012_2020'!CD6</f>
        <v>-0.17299999999999999</v>
      </c>
      <c r="CG184">
        <f>'2012_2020'!CE6</f>
        <v>-0.189</v>
      </c>
      <c r="CH184">
        <f>'2012_2020'!CF6</f>
        <v>-0.184</v>
      </c>
      <c r="CI184">
        <f>'2012_2020'!CG6</f>
        <v>-0.14000000000000001</v>
      </c>
      <c r="CJ184">
        <f>'2012_2020'!CH6</f>
        <v>-0.13500000000000001</v>
      </c>
      <c r="CK184">
        <f>'2012_2020'!CI6</f>
        <v>-0.17899999999999999</v>
      </c>
      <c r="CL184">
        <f>'2012_2020'!CJ6</f>
        <v>-0.17899999999999999</v>
      </c>
      <c r="CM184">
        <f>'2012_2020'!CK6</f>
        <v>-0.22600000000000001</v>
      </c>
      <c r="CN184">
        <f>'2012_2020'!CL6</f>
        <v>-0.21</v>
      </c>
      <c r="CO184">
        <f>'2012_2020'!CM6</f>
        <v>-0.218</v>
      </c>
      <c r="CP184">
        <f>'2012_2020'!CN6</f>
        <v>-0.17</v>
      </c>
      <c r="CQ184">
        <f>'2012_2020'!CO6</f>
        <v>-0.25900000000000001</v>
      </c>
      <c r="CR184">
        <f>'2012_2020'!CP6</f>
        <v>-0.26</v>
      </c>
      <c r="CS184">
        <f>'2012_2020'!CQ6</f>
        <v>-0.25600000000000001</v>
      </c>
      <c r="CT184">
        <f>'2012_2020'!CR6</f>
        <v>-0.27700000000000002</v>
      </c>
      <c r="CU184">
        <f>'2012_2020'!CS6</f>
        <v>-0.20399999999999999</v>
      </c>
      <c r="CV184">
        <f>'2012_2020'!CT6</f>
        <v>-0.19800000000000001</v>
      </c>
      <c r="CW184">
        <f>'2012_2020'!CU6</f>
        <v>-0.255</v>
      </c>
      <c r="CX184">
        <f>'2012_2020'!CV6</f>
        <v>-0.22</v>
      </c>
    </row>
    <row r="185" spans="1:102" x14ac:dyDescent="0.2">
      <c r="A185" t="s">
        <v>229</v>
      </c>
      <c r="B185" t="s">
        <v>217</v>
      </c>
      <c r="C185" t="s">
        <v>222</v>
      </c>
      <c r="D185">
        <f>'2012_2020 Int_Confianca'!B35</f>
        <v>0.2424</v>
      </c>
      <c r="E185">
        <f>'2012_2020 Int_Confianca'!C35</f>
        <v>0.1515</v>
      </c>
      <c r="F185">
        <f>'2012_2020 Int_Confianca'!D35</f>
        <v>0.14360000000000001</v>
      </c>
      <c r="G185">
        <f>'2012_2020 Int_Confianca'!E35</f>
        <v>0.1787</v>
      </c>
      <c r="H185">
        <f>'2012_2020 Int_Confianca'!F35</f>
        <v>0.1191</v>
      </c>
      <c r="I185">
        <f>'2012_2020 Int_Confianca'!G35</f>
        <v>0.1308</v>
      </c>
      <c r="J185">
        <f>'2012_2020 Int_Confianca'!H35</f>
        <v>0.1263</v>
      </c>
      <c r="K185">
        <f>'2012_2020 Int_Confianca'!I35</f>
        <v>0.1265</v>
      </c>
      <c r="L185">
        <f>'2012_2020 Int_Confianca'!J35</f>
        <v>0.15160000000000001</v>
      </c>
      <c r="M185">
        <f>'2012_2020 Int_Confianca'!K35</f>
        <v>9.8500000000000004E-2</v>
      </c>
      <c r="N185">
        <f>'2012_2020 Int_Confianca'!L35</f>
        <v>0.13880000000000001</v>
      </c>
      <c r="O185">
        <f>'2012_2020 Int_Confianca'!M35</f>
        <v>0.17649999999999999</v>
      </c>
      <c r="P185">
        <f>'2012_2020 Int_Confianca'!N35</f>
        <v>0.13830000000000001</v>
      </c>
      <c r="Q185">
        <f>'2012_2020 Int_Confianca'!O35</f>
        <v>0.13719999999999999</v>
      </c>
      <c r="R185">
        <f>'2012_2020 Int_Confianca'!P35</f>
        <v>0.1298</v>
      </c>
      <c r="S185">
        <f>'2012_2020 Int_Confianca'!Q35</f>
        <v>0.12909999999999999</v>
      </c>
      <c r="T185">
        <f>'2012_2020 Int_Confianca'!R35</f>
        <v>0.14349999999999999</v>
      </c>
      <c r="U185">
        <f>'2012_2020 Int_Confianca'!S35</f>
        <v>0.14369999999999999</v>
      </c>
      <c r="V185">
        <f>'2012_2020 Int_Confianca'!T35</f>
        <v>0.1484</v>
      </c>
      <c r="W185">
        <f>'2012_2020 Int_Confianca'!U35</f>
        <v>0.14050000000000001</v>
      </c>
      <c r="X185">
        <f>'2012_2020 Int_Confianca'!V35</f>
        <v>0.12609999999999999</v>
      </c>
      <c r="Y185">
        <f>'2012_2020 Int_Confianca'!W35</f>
        <v>0.14960000000000001</v>
      </c>
      <c r="Z185">
        <f>'2012_2020 Int_Confianca'!X35</f>
        <v>0.14380000000000001</v>
      </c>
      <c r="AA185">
        <f>'2012_2020 Int_Confianca'!Y35</f>
        <v>0.12559999999999999</v>
      </c>
      <c r="AB185">
        <f>'2012_2020 Int_Confianca'!Z35</f>
        <v>0.11609999999999999</v>
      </c>
      <c r="AC185">
        <f>'2012_2020 Int_Confianca'!AA35</f>
        <v>0.10059999999999999</v>
      </c>
      <c r="AD185">
        <f>'2012_2020 Int_Confianca'!AB35</f>
        <v>0.11310000000000001</v>
      </c>
      <c r="AE185">
        <f>'2012_2020 Int_Confianca'!AC35</f>
        <v>0.1026</v>
      </c>
      <c r="AF185">
        <f>'2012_2020 Int_Confianca'!AD35</f>
        <v>0.1</v>
      </c>
      <c r="AG185">
        <f>'2012_2020 Int_Confianca'!AE35</f>
        <v>9.8799999999999999E-2</v>
      </c>
      <c r="AH185">
        <f>'2012_2020 Int_Confianca'!AF35</f>
        <v>0.10829999999999999</v>
      </c>
      <c r="AI185">
        <f>'2012_2020 Int_Confianca'!AG35</f>
        <v>0.10639999999999999</v>
      </c>
      <c r="AJ185">
        <f>'2012_2020 Int_Confianca'!AH35</f>
        <v>0.1021</v>
      </c>
      <c r="AK185">
        <f>'2012_2020 Int_Confianca'!AI35</f>
        <v>9.6199999999999994E-2</v>
      </c>
      <c r="AL185">
        <f>'2012_2020 Int_Confianca'!AJ35</f>
        <v>0.11899999999999999</v>
      </c>
      <c r="AM185">
        <f>'2012_2020 Int_Confianca'!AK35</f>
        <v>0.12479999999999999</v>
      </c>
      <c r="AN185">
        <f>'2012_2020 Int_Confianca'!AL35</f>
        <v>0.1207</v>
      </c>
      <c r="AO185">
        <f>'2012_2020 Int_Confianca'!AM35</f>
        <v>0.10639999999999999</v>
      </c>
      <c r="AP185">
        <f>'2012_2020 Int_Confianca'!AN35</f>
        <v>9.4899999999999998E-2</v>
      </c>
      <c r="AQ185">
        <f>'2012_2020 Int_Confianca'!AO35</f>
        <v>0.1033</v>
      </c>
      <c r="AR185">
        <f>'2012_2020 Int_Confianca'!AP35</f>
        <v>0.108</v>
      </c>
      <c r="AS185">
        <f>'2012_2020 Int_Confianca'!AQ35</f>
        <v>0.10970000000000001</v>
      </c>
      <c r="AT185">
        <f>'2012_2020 Int_Confianca'!AR35</f>
        <v>0.106</v>
      </c>
      <c r="AU185">
        <f>'2012_2020 Int_Confianca'!AS35</f>
        <v>0.113</v>
      </c>
      <c r="AV185">
        <f>'2012_2020 Int_Confianca'!AT35</f>
        <v>9.4700000000000006E-2</v>
      </c>
      <c r="AW185">
        <f>'2012_2020 Int_Confianca'!AU35</f>
        <v>9.7000000000000003E-2</v>
      </c>
      <c r="AX185">
        <f>'2012_2020 Int_Confianca'!AV35</f>
        <v>8.1299999999999997E-2</v>
      </c>
      <c r="AY185">
        <f>'2012_2020 Int_Confianca'!AW35</f>
        <v>9.9599999999999994E-2</v>
      </c>
      <c r="AZ185">
        <f>'2012_2020 Int_Confianca'!AX35</f>
        <v>0.1013</v>
      </c>
      <c r="BA185">
        <f>'2012_2020 Int_Confianca'!AY35</f>
        <v>0.11</v>
      </c>
      <c r="BB185">
        <f>'2012_2020 Int_Confianca'!AZ35</f>
        <v>0.12570000000000001</v>
      </c>
      <c r="BC185">
        <f>'2012_2020 Int_Confianca'!BA35</f>
        <v>0.1162</v>
      </c>
      <c r="BD185">
        <f>'2012_2020 Int_Confianca'!BB35</f>
        <v>8.3400000000000002E-2</v>
      </c>
      <c r="BE185">
        <f>'2012_2020 Int_Confianca'!BC35</f>
        <v>8.3599999999999994E-2</v>
      </c>
      <c r="BF185">
        <f>'2012_2020 Int_Confianca'!BD35</f>
        <v>0.11</v>
      </c>
      <c r="BG185">
        <f>'2012_2020 Int_Confianca'!BE35</f>
        <v>9.3899999999999997E-2</v>
      </c>
      <c r="BH185">
        <f>'2012_2020 Int_Confianca'!BF35</f>
        <v>8.2199999999999995E-2</v>
      </c>
      <c r="BI185">
        <f>'2012_2020 Int_Confianca'!BG35</f>
        <v>7.8E-2</v>
      </c>
      <c r="BJ185">
        <f>'2012_2020 Int_Confianca'!BH35</f>
        <v>6.5000000000000002E-2</v>
      </c>
      <c r="BK185">
        <f>'2012_2020 Int_Confianca'!BI35</f>
        <v>9.4100000000000003E-2</v>
      </c>
      <c r="BL185">
        <f>'2012_2020 Int_Confianca'!BJ35</f>
        <v>0.12130000000000001</v>
      </c>
      <c r="BM185">
        <f>'2012_2020 Int_Confianca'!BK35</f>
        <v>0.10639999999999999</v>
      </c>
      <c r="BN185">
        <f>'2012_2020 Int_Confianca'!BL35</f>
        <v>8.2000000000000003E-2</v>
      </c>
      <c r="BO185">
        <f>'2012_2020 Int_Confianca'!BM35</f>
        <v>9.8799999999999999E-2</v>
      </c>
      <c r="BP185">
        <f>'2012_2020 Int_Confianca'!BN35</f>
        <v>0.1353</v>
      </c>
      <c r="BQ185">
        <f>'2012_2020 Int_Confianca'!BO35</f>
        <v>0.10879999999999999</v>
      </c>
      <c r="BR185">
        <f>'2012_2020 Int_Confianca'!BP35</f>
        <v>7.22E-2</v>
      </c>
      <c r="BS185">
        <f>'2012_2020 Int_Confianca'!BQ35</f>
        <v>5.3699999999999998E-2</v>
      </c>
      <c r="BT185">
        <f>'2012_2020 Int_Confianca'!BR35</f>
        <v>5.2299999999999999E-2</v>
      </c>
      <c r="BU185">
        <f>'2012_2020 Int_Confianca'!BS35</f>
        <v>6.0100000000000001E-2</v>
      </c>
      <c r="BV185">
        <f>'2012_2020 Int_Confianca'!BT35</f>
        <v>6.8900000000000003E-2</v>
      </c>
      <c r="BW185">
        <f>'2012_2020 Int_Confianca'!BU35</f>
        <v>7.8299999999999995E-2</v>
      </c>
      <c r="BX185">
        <f>'2012_2020 Int_Confianca'!BV35</f>
        <v>7.7299999999999994E-2</v>
      </c>
      <c r="BY185">
        <f>'2012_2020 Int_Confianca'!BW35</f>
        <v>8.1100000000000005E-2</v>
      </c>
      <c r="BZ185">
        <f>'2012_2020 Int_Confianca'!BX35</f>
        <v>7.8299999999999995E-2</v>
      </c>
      <c r="CA185">
        <f>'2012_2020 Int_Confianca'!BY35</f>
        <v>4.9000000000000002E-2</v>
      </c>
      <c r="CB185">
        <f>'2012_2020 Int_Confianca'!BZ35</f>
        <v>9.6600000000000005E-2</v>
      </c>
      <c r="CC185">
        <f>'2012_2020 Int_Confianca'!CA35</f>
        <v>7.3099999999999998E-2</v>
      </c>
      <c r="CD185">
        <f>'2012_2020 Int_Confianca'!CB35</f>
        <v>6.7400000000000002E-2</v>
      </c>
      <c r="CE185">
        <f>'2012_2020 Int_Confianca'!CC35</f>
        <v>0.1012</v>
      </c>
      <c r="CF185">
        <f>'2012_2020 Int_Confianca'!CD35</f>
        <v>5.3499999999999999E-2</v>
      </c>
      <c r="CG185">
        <f>'2012_2020 Int_Confianca'!CE35</f>
        <v>2.81E-2</v>
      </c>
      <c r="CH185">
        <f>'2012_2020 Int_Confianca'!CF35</f>
        <v>1.7399999999999999E-2</v>
      </c>
      <c r="CI185">
        <f>'2012_2020 Int_Confianca'!CG35</f>
        <v>5.5300000000000002E-2</v>
      </c>
      <c r="CJ185">
        <f>'2012_2020 Int_Confianca'!CH35</f>
        <v>6.9699999999999998E-2</v>
      </c>
      <c r="CK185">
        <f>'2012_2020 Int_Confianca'!CI35</f>
        <v>7.4899999999999994E-2</v>
      </c>
      <c r="CL185">
        <f>'2012_2020 Int_Confianca'!CJ35</f>
        <v>7.0599999999999996E-2</v>
      </c>
      <c r="CM185">
        <f>'2012_2020 Int_Confianca'!CK35</f>
        <v>1.0699999999999999E-2</v>
      </c>
      <c r="CN185">
        <f>'2012_2020 Int_Confianca'!CL35</f>
        <v>3.09E-2</v>
      </c>
      <c r="CO185">
        <f>'2012_2020 Int_Confianca'!CM35</f>
        <v>1.9699999999999999E-2</v>
      </c>
      <c r="CP185">
        <f>'2012_2020 Int_Confianca'!CN35</f>
        <v>5.0599999999999999E-2</v>
      </c>
      <c r="CQ185">
        <f>'2012_2020 Int_Confianca'!CO35</f>
        <v>-8.0000000000000002E-3</v>
      </c>
      <c r="CR185">
        <f>'2012_2020 Int_Confianca'!CP35</f>
        <v>1.11E-2</v>
      </c>
      <c r="CS185">
        <f>'2012_2020 Int_Confianca'!CQ35</f>
        <v>-2.3699999999999999E-2</v>
      </c>
      <c r="CT185">
        <f>'2012_2020 Int_Confianca'!CR35</f>
        <v>-1.5599999999999999E-2</v>
      </c>
      <c r="CU185">
        <f>'2012_2020 Int_Confianca'!CS35</f>
        <v>-5.3E-3</v>
      </c>
      <c r="CV185">
        <f>'2012_2020 Int_Confianca'!CT35</f>
        <v>3.3799999999999997E-2</v>
      </c>
      <c r="CW185">
        <f>'2012_2020 Int_Confianca'!CU35</f>
        <v>-4.5499999999999999E-2</v>
      </c>
      <c r="CX185">
        <f>'2012_2020 Int_Confianca'!CV35</f>
        <v>-4.1500000000000002E-2</v>
      </c>
    </row>
    <row r="186" spans="1:102" x14ac:dyDescent="0.2">
      <c r="A186" t="s">
        <v>228</v>
      </c>
      <c r="B186" t="s">
        <v>217</v>
      </c>
      <c r="C186" t="s">
        <v>222</v>
      </c>
      <c r="D186">
        <f>'2012_2020 Int_Confianca'!B36</f>
        <v>0.2918</v>
      </c>
      <c r="E186">
        <f>'2012_2020 Int_Confianca'!C36</f>
        <v>0.2049</v>
      </c>
      <c r="F186">
        <f>'2012_2020 Int_Confianca'!D36</f>
        <v>0.19370000000000001</v>
      </c>
      <c r="G186">
        <f>'2012_2020 Int_Confianca'!E36</f>
        <v>0.2155</v>
      </c>
      <c r="H186">
        <f>'2012_2020 Int_Confianca'!F36</f>
        <v>0.16220000000000001</v>
      </c>
      <c r="I186">
        <f>'2012_2020 Int_Confianca'!G36</f>
        <v>0.1666</v>
      </c>
      <c r="J186">
        <f>'2012_2020 Int_Confianca'!H36</f>
        <v>0.16270000000000001</v>
      </c>
      <c r="K186">
        <f>'2012_2020 Int_Confianca'!I36</f>
        <v>0.16020000000000001</v>
      </c>
      <c r="L186">
        <f>'2012_2020 Int_Confianca'!J36</f>
        <v>0.1827</v>
      </c>
      <c r="M186">
        <f>'2012_2020 Int_Confianca'!K36</f>
        <v>0.12759999999999999</v>
      </c>
      <c r="N186">
        <f>'2012_2020 Int_Confianca'!L36</f>
        <v>0.1656</v>
      </c>
      <c r="O186">
        <f>'2012_2020 Int_Confianca'!M36</f>
        <v>0.19639999999999999</v>
      </c>
      <c r="P186">
        <f>'2012_2020 Int_Confianca'!N36</f>
        <v>0.15740000000000001</v>
      </c>
      <c r="Q186">
        <f>'2012_2020 Int_Confianca'!O36</f>
        <v>0.15429999999999999</v>
      </c>
      <c r="R186">
        <f>'2012_2020 Int_Confianca'!P36</f>
        <v>0.14480000000000001</v>
      </c>
      <c r="S186">
        <f>'2012_2020 Int_Confianca'!Q36</f>
        <v>0.14280000000000001</v>
      </c>
      <c r="T186">
        <f>'2012_2020 Int_Confianca'!R36</f>
        <v>0.15570000000000001</v>
      </c>
      <c r="U186">
        <f>'2012_2020 Int_Confianca'!S36</f>
        <v>0.15540000000000001</v>
      </c>
      <c r="V186">
        <f>'2012_2020 Int_Confianca'!T36</f>
        <v>0.15909999999999999</v>
      </c>
      <c r="W186">
        <f>'2012_2020 Int_Confianca'!U36</f>
        <v>0.151</v>
      </c>
      <c r="X186">
        <f>'2012_2020 Int_Confianca'!V36</f>
        <v>0.13650000000000001</v>
      </c>
      <c r="Y186">
        <f>'2012_2020 Int_Confianca'!W36</f>
        <v>0.1593</v>
      </c>
      <c r="Z186">
        <f>'2012_2020 Int_Confianca'!X36</f>
        <v>0.15359999999999999</v>
      </c>
      <c r="AA186">
        <f>'2012_2020 Int_Confianca'!Y36</f>
        <v>0.13539999999999999</v>
      </c>
      <c r="AB186">
        <f>'2012_2020 Int_Confianca'!Z36</f>
        <v>0.1258</v>
      </c>
      <c r="AC186">
        <f>'2012_2020 Int_Confianca'!AA36</f>
        <v>0.1103</v>
      </c>
      <c r="AD186">
        <f>'2012_2020 Int_Confianca'!AB36</f>
        <v>0.12280000000000001</v>
      </c>
      <c r="AE186">
        <f>'2012_2020 Int_Confianca'!AC36</f>
        <v>0.1125</v>
      </c>
      <c r="AF186">
        <f>'2012_2020 Int_Confianca'!AD36</f>
        <v>0.1099</v>
      </c>
      <c r="AG186">
        <f>'2012_2020 Int_Confianca'!AE36</f>
        <v>0.1089</v>
      </c>
      <c r="AH186">
        <f>'2012_2020 Int_Confianca'!AF36</f>
        <v>0.1188</v>
      </c>
      <c r="AI186">
        <f>'2012_2020 Int_Confianca'!AG36</f>
        <v>0.1171</v>
      </c>
      <c r="AJ186">
        <f>'2012_2020 Int_Confianca'!AH36</f>
        <v>0.11310000000000001</v>
      </c>
      <c r="AK186">
        <f>'2012_2020 Int_Confianca'!AI36</f>
        <v>0.1077</v>
      </c>
      <c r="AL186">
        <f>'2012_2020 Int_Confianca'!AJ36</f>
        <v>0.13109999999999999</v>
      </c>
      <c r="AM186">
        <f>'2012_2020 Int_Confianca'!AK36</f>
        <v>0.1371</v>
      </c>
      <c r="AN186">
        <f>'2012_2020 Int_Confianca'!AL36</f>
        <v>0.1333</v>
      </c>
      <c r="AO186">
        <f>'2012_2020 Int_Confianca'!AM36</f>
        <v>0.1193</v>
      </c>
      <c r="AP186">
        <f>'2012_2020 Int_Confianca'!AN36</f>
        <v>0.108</v>
      </c>
      <c r="AQ186">
        <f>'2012_2020 Int_Confianca'!AO36</f>
        <v>0.11650000000000001</v>
      </c>
      <c r="AR186">
        <f>'2012_2020 Int_Confianca'!AP36</f>
        <v>0.12139999999999999</v>
      </c>
      <c r="AS186">
        <f>'2012_2020 Int_Confianca'!AQ36</f>
        <v>0.1234</v>
      </c>
      <c r="AT186">
        <f>'2012_2020 Int_Confianca'!AR36</f>
        <v>0.1197</v>
      </c>
      <c r="AU186">
        <f>'2012_2020 Int_Confianca'!AS36</f>
        <v>0.1268</v>
      </c>
      <c r="AV186">
        <f>'2012_2020 Int_Confianca'!AT36</f>
        <v>0.1085</v>
      </c>
      <c r="AW186">
        <f>'2012_2020 Int_Confianca'!AU36</f>
        <v>0.1108</v>
      </c>
      <c r="AX186">
        <f>'2012_2020 Int_Confianca'!AV36</f>
        <v>9.5100000000000004E-2</v>
      </c>
      <c r="AY186">
        <f>'2012_2020 Int_Confianca'!AW36</f>
        <v>0.11360000000000001</v>
      </c>
      <c r="AZ186">
        <f>'2012_2020 Int_Confianca'!AX36</f>
        <v>0.1154</v>
      </c>
      <c r="BA186">
        <f>'2012_2020 Int_Confianca'!AY36</f>
        <v>0.1244</v>
      </c>
      <c r="BB186">
        <f>'2012_2020 Int_Confianca'!AZ36</f>
        <v>0.1406</v>
      </c>
      <c r="BC186">
        <f>'2012_2020 Int_Confianca'!BA36</f>
        <v>0.13139999999999999</v>
      </c>
      <c r="BD186">
        <f>'2012_2020 Int_Confianca'!BB36</f>
        <v>9.8900000000000002E-2</v>
      </c>
      <c r="BE186">
        <f>'2012_2020 Int_Confianca'!BC36</f>
        <v>9.9500000000000005E-2</v>
      </c>
      <c r="BF186">
        <f>'2012_2020 Int_Confianca'!BD36</f>
        <v>0.12659999999999999</v>
      </c>
      <c r="BG186">
        <f>'2012_2020 Int_Confianca'!BE36</f>
        <v>0.1105</v>
      </c>
      <c r="BH186">
        <f>'2012_2020 Int_Confianca'!BF36</f>
        <v>9.9099999999999994E-2</v>
      </c>
      <c r="BI186">
        <f>'2012_2020 Int_Confianca'!BG36</f>
        <v>9.5100000000000004E-2</v>
      </c>
      <c r="BJ186">
        <f>'2012_2020 Int_Confianca'!BH36</f>
        <v>8.2199999999999995E-2</v>
      </c>
      <c r="BK186">
        <f>'2012_2020 Int_Confianca'!BI36</f>
        <v>0.11169999999999999</v>
      </c>
      <c r="BL186">
        <f>'2012_2020 Int_Confianca'!BJ36</f>
        <v>0.1391</v>
      </c>
      <c r="BM186">
        <f>'2012_2020 Int_Confianca'!BK36</f>
        <v>0.12429999999999999</v>
      </c>
      <c r="BN186">
        <f>'2012_2020 Int_Confianca'!BL36</f>
        <v>0.10009999999999999</v>
      </c>
      <c r="BO186">
        <f>'2012_2020 Int_Confianca'!BM36</f>
        <v>0.1167</v>
      </c>
      <c r="BP186">
        <f>'2012_2020 Int_Confianca'!BN36</f>
        <v>0.1532</v>
      </c>
      <c r="BQ186">
        <f>'2012_2020 Int_Confianca'!BO36</f>
        <v>0.12690000000000001</v>
      </c>
      <c r="BR186">
        <f>'2012_2020 Int_Confianca'!BP36</f>
        <v>9.0200000000000002E-2</v>
      </c>
      <c r="BS186">
        <f>'2012_2020 Int_Confianca'!BQ36</f>
        <v>7.17E-2</v>
      </c>
      <c r="BT186">
        <f>'2012_2020 Int_Confianca'!BR36</f>
        <v>7.0400000000000004E-2</v>
      </c>
      <c r="BU186">
        <f>'2012_2020 Int_Confianca'!BS36</f>
        <v>7.9600000000000004E-2</v>
      </c>
      <c r="BV186">
        <f>'2012_2020 Int_Confianca'!BT36</f>
        <v>9.1499999999999998E-2</v>
      </c>
      <c r="BW186">
        <f>'2012_2020 Int_Confianca'!BU36</f>
        <v>0.1026</v>
      </c>
      <c r="BX186">
        <f>'2012_2020 Int_Confianca'!BV36</f>
        <v>0.1018</v>
      </c>
      <c r="BY186">
        <f>'2012_2020 Int_Confianca'!BW36</f>
        <v>0.1055</v>
      </c>
      <c r="BZ186">
        <f>'2012_2020 Int_Confianca'!BX36</f>
        <v>0.1023</v>
      </c>
      <c r="CA186">
        <f>'2012_2020 Int_Confianca'!BY36</f>
        <v>7.2900000000000006E-2</v>
      </c>
      <c r="CB186">
        <f>'2012_2020 Int_Confianca'!BZ36</f>
        <v>0.121</v>
      </c>
      <c r="CC186">
        <f>'2012_2020 Int_Confianca'!CA36</f>
        <v>9.8299999999999998E-2</v>
      </c>
      <c r="CD186">
        <f>'2012_2020 Int_Confianca'!CB36</f>
        <v>9.3200000000000005E-2</v>
      </c>
      <c r="CE186">
        <f>'2012_2020 Int_Confianca'!CC36</f>
        <v>0.1278</v>
      </c>
      <c r="CF186">
        <f>'2012_2020 Int_Confianca'!CD36</f>
        <v>8.0399999999999999E-2</v>
      </c>
      <c r="CG186">
        <f>'2012_2020 Int_Confianca'!CE36</f>
        <v>5.4600000000000003E-2</v>
      </c>
      <c r="CH186">
        <f>'2012_2020 Int_Confianca'!CF36</f>
        <v>4.5400000000000003E-2</v>
      </c>
      <c r="CI186">
        <f>'2012_2020 Int_Confianca'!CG36</f>
        <v>8.5699999999999998E-2</v>
      </c>
      <c r="CJ186">
        <f>'2012_2020 Int_Confianca'!CH36</f>
        <v>0.10249999999999999</v>
      </c>
      <c r="CK186">
        <f>'2012_2020 Int_Confianca'!CI36</f>
        <v>0.1087</v>
      </c>
      <c r="CL186">
        <f>'2012_2020 Int_Confianca'!CJ36</f>
        <v>0.10290000000000001</v>
      </c>
      <c r="CM186">
        <f>'2012_2020 Int_Confianca'!CK36</f>
        <v>4.2099999999999999E-2</v>
      </c>
      <c r="CN186">
        <f>'2012_2020 Int_Confianca'!CL36</f>
        <v>6.7400000000000002E-2</v>
      </c>
      <c r="CO186">
        <f>'2012_2020 Int_Confianca'!CM36</f>
        <v>5.7099999999999998E-2</v>
      </c>
      <c r="CP186">
        <f>'2012_2020 Int_Confianca'!CN36</f>
        <v>8.5500000000000007E-2</v>
      </c>
      <c r="CQ186">
        <f>'2012_2020 Int_Confianca'!CO36</f>
        <v>3.04E-2</v>
      </c>
      <c r="CR186">
        <f>'2012_2020 Int_Confianca'!CP36</f>
        <v>6.0699999999999997E-2</v>
      </c>
      <c r="CS186">
        <f>'2012_2020 Int_Confianca'!CQ36</f>
        <v>2.64E-2</v>
      </c>
      <c r="CT186">
        <f>'2012_2020 Int_Confianca'!CR36</f>
        <v>4.19E-2</v>
      </c>
      <c r="CU186">
        <f>'2012_2020 Int_Confianca'!CS36</f>
        <v>5.0200000000000002E-2</v>
      </c>
      <c r="CV186">
        <f>'2012_2020 Int_Confianca'!CT36</f>
        <v>9.2700000000000005E-2</v>
      </c>
      <c r="CW186">
        <f>'2012_2020 Int_Confianca'!CU36</f>
        <v>3.5299999999999998E-2</v>
      </c>
      <c r="CX186">
        <f>'2012_2020 Int_Confianca'!CV36</f>
        <v>4.1099999999999998E-2</v>
      </c>
    </row>
    <row r="187" spans="1:102" x14ac:dyDescent="0.2">
      <c r="A187" t="s">
        <v>231</v>
      </c>
      <c r="B187" t="s">
        <v>217</v>
      </c>
      <c r="C187" t="s">
        <v>222</v>
      </c>
      <c r="D187">
        <f>'2012_2020 Int_Confianca'!B37</f>
        <v>6.9800000000000001E-2</v>
      </c>
      <c r="E187">
        <f>'2012_2020 Int_Confianca'!C37</f>
        <v>9.7500000000000003E-2</v>
      </c>
      <c r="F187">
        <f>'2012_2020 Int_Confianca'!D37</f>
        <v>9.6100000000000005E-2</v>
      </c>
      <c r="G187">
        <f>'2012_2020 Int_Confianca'!E37</f>
        <v>9.5000000000000001E-2</v>
      </c>
      <c r="H187">
        <f>'2012_2020 Int_Confianca'!F37</f>
        <v>8.8499999999999995E-2</v>
      </c>
      <c r="I187">
        <f>'2012_2020 Int_Confianca'!G37</f>
        <v>9.3700000000000006E-2</v>
      </c>
      <c r="J187">
        <f>'2012_2020 Int_Confianca'!H37</f>
        <v>9.0300000000000005E-2</v>
      </c>
      <c r="K187">
        <f>'2012_2020 Int_Confianca'!I37</f>
        <v>8.3299999999999999E-2</v>
      </c>
      <c r="L187">
        <f>'2012_2020 Int_Confianca'!J37</f>
        <v>8.5500000000000007E-2</v>
      </c>
      <c r="M187">
        <f>'2012_2020 Int_Confianca'!K37</f>
        <v>6.9400000000000003E-2</v>
      </c>
      <c r="N187">
        <f>'2012_2020 Int_Confianca'!L37</f>
        <v>6.7699999999999996E-2</v>
      </c>
      <c r="O187">
        <f>'2012_2020 Int_Confianca'!M37</f>
        <v>6.4299999999999996E-2</v>
      </c>
      <c r="P187">
        <f>'2012_2020 Int_Confianca'!N37</f>
        <v>5.9499999999999997E-2</v>
      </c>
      <c r="Q187">
        <f>'2012_2020 Int_Confianca'!O37</f>
        <v>5.5599999999999997E-2</v>
      </c>
      <c r="R187">
        <f>'2012_2020 Int_Confianca'!P37</f>
        <v>4.8099999999999997E-2</v>
      </c>
      <c r="S187">
        <f>'2012_2020 Int_Confianca'!Q37</f>
        <v>4.4999999999999998E-2</v>
      </c>
      <c r="T187">
        <f>'2012_2020 Int_Confianca'!R37</f>
        <v>4.3700000000000003E-2</v>
      </c>
      <c r="U187">
        <f>'2012_2020 Int_Confianca'!S37</f>
        <v>4.3999999999999997E-2</v>
      </c>
      <c r="V187">
        <f>'2012_2020 Int_Confianca'!T37</f>
        <v>4.3499999999999997E-2</v>
      </c>
      <c r="W187">
        <f>'2012_2020 Int_Confianca'!U37</f>
        <v>4.4299999999999999E-2</v>
      </c>
      <c r="X187">
        <f>'2012_2020 Int_Confianca'!V37</f>
        <v>4.4499999999999998E-2</v>
      </c>
      <c r="Y187">
        <f>'2012_2020 Int_Confianca'!W37</f>
        <v>4.58E-2</v>
      </c>
      <c r="Z187">
        <f>'2012_2020 Int_Confianca'!X37</f>
        <v>4.7199999999999999E-2</v>
      </c>
      <c r="AA187">
        <f>'2012_2020 Int_Confianca'!Y37</f>
        <v>4.8599999999999997E-2</v>
      </c>
      <c r="AB187">
        <f>'2012_2020 Int_Confianca'!Z37</f>
        <v>0.05</v>
      </c>
      <c r="AC187">
        <f>'2012_2020 Int_Confianca'!AA37</f>
        <v>5.0500000000000003E-2</v>
      </c>
      <c r="AD187">
        <f>'2012_2020 Int_Confianca'!AB37</f>
        <v>5.11E-2</v>
      </c>
      <c r="AE187">
        <f>'2012_2020 Int_Confianca'!AC37</f>
        <v>5.1999999999999998E-2</v>
      </c>
      <c r="AF187">
        <f>'2012_2020 Int_Confianca'!AD37</f>
        <v>5.3800000000000001E-2</v>
      </c>
      <c r="AG187">
        <f>'2012_2020 Int_Confianca'!AE37</f>
        <v>5.5899999999999998E-2</v>
      </c>
      <c r="AH187">
        <f>'2012_2020 Int_Confianca'!AF37</f>
        <v>5.8000000000000003E-2</v>
      </c>
      <c r="AI187">
        <f>'2012_2020 Int_Confianca'!AG37</f>
        <v>6.0699999999999997E-2</v>
      </c>
      <c r="AJ187">
        <f>'2012_2020 Int_Confianca'!AH37</f>
        <v>6.3100000000000003E-2</v>
      </c>
      <c r="AK187">
        <f>'2012_2020 Int_Confianca'!AI37</f>
        <v>6.6500000000000004E-2</v>
      </c>
      <c r="AL187">
        <f>'2012_2020 Int_Confianca'!AJ37</f>
        <v>6.9500000000000006E-2</v>
      </c>
      <c r="AM187">
        <f>'2012_2020 Int_Confianca'!AK37</f>
        <v>7.1800000000000003E-2</v>
      </c>
      <c r="AN187">
        <f>'2012_2020 Int_Confianca'!AL37</f>
        <v>7.4399999999999994E-2</v>
      </c>
      <c r="AO187">
        <f>'2012_2020 Int_Confianca'!AM37</f>
        <v>7.8299999999999995E-2</v>
      </c>
      <c r="AP187">
        <f>'2012_2020 Int_Confianca'!AN37</f>
        <v>8.14E-2</v>
      </c>
      <c r="AQ187">
        <f>'2012_2020 Int_Confianca'!AO37</f>
        <v>8.5099999999999995E-2</v>
      </c>
      <c r="AR187">
        <f>'2012_2020 Int_Confianca'!AP37</f>
        <v>8.7599999999999997E-2</v>
      </c>
      <c r="AS187">
        <f>'2012_2020 Int_Confianca'!AQ37</f>
        <v>9.06E-2</v>
      </c>
      <c r="AT187">
        <f>'2012_2020 Int_Confianca'!AR37</f>
        <v>9.3100000000000002E-2</v>
      </c>
      <c r="AU187">
        <f>'2012_2020 Int_Confianca'!AS37</f>
        <v>9.4299999999999995E-2</v>
      </c>
      <c r="AV187">
        <f>'2012_2020 Int_Confianca'!AT37</f>
        <v>9.5299999999999996E-2</v>
      </c>
      <c r="AW187">
        <f>'2012_2020 Int_Confianca'!AU37</f>
        <v>9.5899999999999999E-2</v>
      </c>
      <c r="AX187">
        <f>'2012_2020 Int_Confianca'!AV37</f>
        <v>9.6600000000000005E-2</v>
      </c>
      <c r="AY187">
        <f>'2012_2020 Int_Confianca'!AW37</f>
        <v>9.98E-2</v>
      </c>
      <c r="AZ187">
        <f>'2012_2020 Int_Confianca'!AX37</f>
        <v>0.10100000000000001</v>
      </c>
      <c r="BA187">
        <f>'2012_2020 Int_Confianca'!AY37</f>
        <v>0.105</v>
      </c>
      <c r="BB187">
        <f>'2012_2020 Int_Confianca'!AZ37</f>
        <v>0.1079</v>
      </c>
      <c r="BC187">
        <f>'2012_2020 Int_Confianca'!BA37</f>
        <v>0.1145</v>
      </c>
      <c r="BD187">
        <f>'2012_2020 Int_Confianca'!BB37</f>
        <v>0.1216</v>
      </c>
      <c r="BE187">
        <f>'2012_2020 Int_Confianca'!BC37</f>
        <v>0.12659999999999999</v>
      </c>
      <c r="BF187">
        <f>'2012_2020 Int_Confianca'!BD37</f>
        <v>0.1303</v>
      </c>
      <c r="BG187">
        <f>'2012_2020 Int_Confianca'!BE37</f>
        <v>0.13250000000000001</v>
      </c>
      <c r="BH187">
        <f>'2012_2020 Int_Confianca'!BF37</f>
        <v>0.1321</v>
      </c>
      <c r="BI187">
        <f>'2012_2020 Int_Confianca'!BG37</f>
        <v>0.13109999999999999</v>
      </c>
      <c r="BJ187">
        <f>'2012_2020 Int_Confianca'!BH37</f>
        <v>0.13139999999999999</v>
      </c>
      <c r="BK187">
        <f>'2012_2020 Int_Confianca'!BI37</f>
        <v>0.1323</v>
      </c>
      <c r="BL187">
        <f>'2012_2020 Int_Confianca'!BJ37</f>
        <v>0.13350000000000001</v>
      </c>
      <c r="BM187">
        <f>'2012_2020 Int_Confianca'!BK37</f>
        <v>0.13850000000000001</v>
      </c>
      <c r="BN187">
        <f>'2012_2020 Int_Confianca'!BL37</f>
        <v>0.14499999999999999</v>
      </c>
      <c r="BO187">
        <f>'2012_2020 Int_Confianca'!BM37</f>
        <v>0.15049999999999999</v>
      </c>
      <c r="BP187">
        <f>'2012_2020 Int_Confianca'!BN37</f>
        <v>0.155</v>
      </c>
      <c r="BQ187">
        <f>'2012_2020 Int_Confianca'!BO37</f>
        <v>0.15870000000000001</v>
      </c>
      <c r="BR187">
        <f>'2012_2020 Int_Confianca'!BP37</f>
        <v>0.15870000000000001</v>
      </c>
      <c r="BS187">
        <f>'2012_2020 Int_Confianca'!BQ37</f>
        <v>0.159</v>
      </c>
      <c r="BT187">
        <f>'2012_2020 Int_Confianca'!BR37</f>
        <v>0.16020000000000001</v>
      </c>
      <c r="BU187">
        <f>'2012_2020 Int_Confianca'!BS37</f>
        <v>0.1646</v>
      </c>
      <c r="BV187">
        <f>'2012_2020 Int_Confianca'!BT37</f>
        <v>0.17460000000000001</v>
      </c>
      <c r="BW187">
        <f>'2012_2020 Int_Confianca'!BU37</f>
        <v>0.1837</v>
      </c>
      <c r="BX187">
        <f>'2012_2020 Int_Confianca'!BV37</f>
        <v>0.18840000000000001</v>
      </c>
      <c r="BY187">
        <f>'2012_2020 Int_Confianca'!BW37</f>
        <v>0.1951</v>
      </c>
      <c r="BZ187">
        <f>'2012_2020 Int_Confianca'!BX37</f>
        <v>0.19450000000000001</v>
      </c>
      <c r="CA187">
        <f>'2012_2020 Int_Confianca'!BY37</f>
        <v>0.19350000000000001</v>
      </c>
      <c r="CB187">
        <f>'2012_2020 Int_Confianca'!BZ37</f>
        <v>0.192</v>
      </c>
      <c r="CC187">
        <f>'2012_2020 Int_Confianca'!CA37</f>
        <v>0.2016</v>
      </c>
      <c r="CD187">
        <f>'2012_2020 Int_Confianca'!CB37</f>
        <v>0.21290000000000001</v>
      </c>
      <c r="CE187">
        <f>'2012_2020 Int_Confianca'!CC37</f>
        <v>0.2218</v>
      </c>
      <c r="CF187">
        <f>'2012_2020 Int_Confianca'!CD37</f>
        <v>0.23</v>
      </c>
      <c r="CG187">
        <f>'2012_2020 Int_Confianca'!CE37</f>
        <v>0.2205</v>
      </c>
      <c r="CH187">
        <f>'2012_2020 Int_Confianca'!CF37</f>
        <v>0.20669999999999999</v>
      </c>
      <c r="CI187">
        <f>'2012_2020 Int_Confianca'!CG37</f>
        <v>0.20200000000000001</v>
      </c>
      <c r="CJ187">
        <f>'2012_2020 Int_Confianca'!CH37</f>
        <v>0.21210000000000001</v>
      </c>
      <c r="CK187">
        <f>'2012_2020 Int_Confianca'!CI37</f>
        <v>0.25969999999999999</v>
      </c>
      <c r="CL187">
        <f>'2012_2020 Int_Confianca'!CJ37</f>
        <v>0.25419999999999998</v>
      </c>
      <c r="CM187">
        <f>'2012_2020 Int_Confianca'!CK37</f>
        <v>0.24099999999999999</v>
      </c>
      <c r="CN187">
        <f>'2012_2020 Int_Confianca'!CL37</f>
        <v>0.24779999999999999</v>
      </c>
      <c r="CO187">
        <f>'2012_2020 Int_Confianca'!CM37</f>
        <v>0.24540000000000001</v>
      </c>
      <c r="CP187">
        <f>'2012_2020 Int_Confianca'!CN37</f>
        <v>0.2273</v>
      </c>
      <c r="CQ187">
        <f>'2012_2020 Int_Confianca'!CO37</f>
        <v>0.25740000000000002</v>
      </c>
      <c r="CR187">
        <f>'2012_2020 Int_Confianca'!CP37</f>
        <v>0.28210000000000002</v>
      </c>
      <c r="CS187">
        <f>'2012_2020 Int_Confianca'!CQ37</f>
        <v>0.2447</v>
      </c>
      <c r="CT187">
        <f>'2012_2020 Int_Confianca'!CR37</f>
        <v>0.27479999999999999</v>
      </c>
      <c r="CU187">
        <f>'2012_2020 Int_Confianca'!CS37</f>
        <v>0.2145</v>
      </c>
      <c r="CV187">
        <f>'2012_2020 Int_Confianca'!CT37</f>
        <v>0.2455</v>
      </c>
      <c r="CW187">
        <f>'2012_2020 Int_Confianca'!CU37</f>
        <v>0.23280000000000001</v>
      </c>
      <c r="CX187">
        <f>'2012_2020 Int_Confianca'!CV37</f>
        <v>0.20019999999999999</v>
      </c>
    </row>
    <row r="188" spans="1:102" x14ac:dyDescent="0.2">
      <c r="A188" t="s">
        <v>230</v>
      </c>
      <c r="B188" t="s">
        <v>217</v>
      </c>
      <c r="C188" t="s">
        <v>222</v>
      </c>
      <c r="D188">
        <f>'2012_2020 Int_Confianca'!B38</f>
        <v>9.0700000000000003E-2</v>
      </c>
      <c r="E188">
        <f>'2012_2020 Int_Confianca'!C38</f>
        <v>0.1201</v>
      </c>
      <c r="F188">
        <f>'2012_2020 Int_Confianca'!D38</f>
        <v>0.1167</v>
      </c>
      <c r="G188">
        <f>'2012_2020 Int_Confianca'!E38</f>
        <v>0.1145</v>
      </c>
      <c r="H188">
        <f>'2012_2020 Int_Confianca'!F38</f>
        <v>0.10639999999999999</v>
      </c>
      <c r="I188">
        <f>'2012_2020 Int_Confianca'!G38</f>
        <v>0.1123</v>
      </c>
      <c r="J188">
        <f>'2012_2020 Int_Confianca'!H38</f>
        <v>0.1082</v>
      </c>
      <c r="K188">
        <f>'2012_2020 Int_Confianca'!I38</f>
        <v>0.1</v>
      </c>
      <c r="L188">
        <f>'2012_2020 Int_Confianca'!J38</f>
        <v>0.1022</v>
      </c>
      <c r="M188">
        <f>'2012_2020 Int_Confianca'!K38</f>
        <v>8.2900000000000001E-2</v>
      </c>
      <c r="N188">
        <f>'2012_2020 Int_Confianca'!L38</f>
        <v>8.0699999999999994E-2</v>
      </c>
      <c r="O188">
        <f>'2012_2020 Int_Confianca'!M38</f>
        <v>7.6399999999999996E-2</v>
      </c>
      <c r="P188">
        <f>'2012_2020 Int_Confianca'!N38</f>
        <v>7.0300000000000001E-2</v>
      </c>
      <c r="Q188">
        <f>'2012_2020 Int_Confianca'!O38</f>
        <v>6.54E-2</v>
      </c>
      <c r="R188">
        <f>'2012_2020 Int_Confianca'!P38</f>
        <v>5.62E-2</v>
      </c>
      <c r="S188">
        <f>'2012_2020 Int_Confianca'!Q38</f>
        <v>5.2400000000000002E-2</v>
      </c>
      <c r="T188">
        <f>'2012_2020 Int_Confianca'!R38</f>
        <v>5.0599999999999999E-2</v>
      </c>
      <c r="U188">
        <f>'2012_2020 Int_Confianca'!S38</f>
        <v>5.0900000000000001E-2</v>
      </c>
      <c r="V188">
        <f>'2012_2020 Int_Confianca'!T38</f>
        <v>0.05</v>
      </c>
      <c r="W188">
        <f>'2012_2020 Int_Confianca'!U38</f>
        <v>5.0700000000000002E-2</v>
      </c>
      <c r="X188">
        <f>'2012_2020 Int_Confianca'!V38</f>
        <v>5.0700000000000002E-2</v>
      </c>
      <c r="Y188">
        <f>'2012_2020 Int_Confianca'!W38</f>
        <v>5.1900000000000002E-2</v>
      </c>
      <c r="Z188">
        <f>'2012_2020 Int_Confianca'!X38</f>
        <v>5.33E-2</v>
      </c>
      <c r="AA188">
        <f>'2012_2020 Int_Confianca'!Y38</f>
        <v>5.4600000000000003E-2</v>
      </c>
      <c r="AB188">
        <f>'2012_2020 Int_Confianca'!Z38</f>
        <v>5.6000000000000001E-2</v>
      </c>
      <c r="AC188">
        <f>'2012_2020 Int_Confianca'!AA38</f>
        <v>5.6399999999999999E-2</v>
      </c>
      <c r="AD188">
        <f>'2012_2020 Int_Confianca'!AB38</f>
        <v>5.7000000000000002E-2</v>
      </c>
      <c r="AE188">
        <f>'2012_2020 Int_Confianca'!AC38</f>
        <v>5.79E-2</v>
      </c>
      <c r="AF188">
        <f>'2012_2020 Int_Confianca'!AD38</f>
        <v>5.9700000000000003E-2</v>
      </c>
      <c r="AG188">
        <f>'2012_2020 Int_Confianca'!AE38</f>
        <v>6.1800000000000001E-2</v>
      </c>
      <c r="AH188">
        <f>'2012_2020 Int_Confianca'!AF38</f>
        <v>6.4100000000000004E-2</v>
      </c>
      <c r="AI188">
        <f>'2012_2020 Int_Confianca'!AG38</f>
        <v>6.6799999999999998E-2</v>
      </c>
      <c r="AJ188">
        <f>'2012_2020 Int_Confianca'!AH38</f>
        <v>6.93E-2</v>
      </c>
      <c r="AK188">
        <f>'2012_2020 Int_Confianca'!AI38</f>
        <v>7.2900000000000006E-2</v>
      </c>
      <c r="AL188">
        <f>'2012_2020 Int_Confianca'!AJ38</f>
        <v>7.6200000000000004E-2</v>
      </c>
      <c r="AM188">
        <f>'2012_2020 Int_Confianca'!AK38</f>
        <v>7.8600000000000003E-2</v>
      </c>
      <c r="AN188">
        <f>'2012_2020 Int_Confianca'!AL38</f>
        <v>8.14E-2</v>
      </c>
      <c r="AO188">
        <f>'2012_2020 Int_Confianca'!AM38</f>
        <v>8.5599999999999996E-2</v>
      </c>
      <c r="AP188">
        <f>'2012_2020 Int_Confianca'!AN38</f>
        <v>8.8800000000000004E-2</v>
      </c>
      <c r="AQ188">
        <f>'2012_2020 Int_Confianca'!AO38</f>
        <v>9.2700000000000005E-2</v>
      </c>
      <c r="AR188">
        <f>'2012_2020 Int_Confianca'!AP38</f>
        <v>9.5399999999999999E-2</v>
      </c>
      <c r="AS188">
        <f>'2012_2020 Int_Confianca'!AQ38</f>
        <v>9.8599999999999993E-2</v>
      </c>
      <c r="AT188">
        <f>'2012_2020 Int_Confianca'!AR38</f>
        <v>0.1011</v>
      </c>
      <c r="AU188">
        <f>'2012_2020 Int_Confianca'!AS38</f>
        <v>0.1024</v>
      </c>
      <c r="AV188">
        <f>'2012_2020 Int_Confianca'!AT38</f>
        <v>0.1033</v>
      </c>
      <c r="AW188">
        <f>'2012_2020 Int_Confianca'!AU38</f>
        <v>0.104</v>
      </c>
      <c r="AX188">
        <f>'2012_2020 Int_Confianca'!AV38</f>
        <v>0.1047</v>
      </c>
      <c r="AY188">
        <f>'2012_2020 Int_Confianca'!AW38</f>
        <v>0.108</v>
      </c>
      <c r="AZ188">
        <f>'2012_2020 Int_Confianca'!AX38</f>
        <v>0.10929999999999999</v>
      </c>
      <c r="BA188">
        <f>'2012_2020 Int_Confianca'!AY38</f>
        <v>0.11360000000000001</v>
      </c>
      <c r="BB188">
        <f>'2012_2020 Int_Confianca'!AZ38</f>
        <v>0.1167</v>
      </c>
      <c r="BC188">
        <f>'2012_2020 Int_Confianca'!BA38</f>
        <v>0.1237</v>
      </c>
      <c r="BD188">
        <f>'2012_2020 Int_Confianca'!BB38</f>
        <v>0.1313</v>
      </c>
      <c r="BE188">
        <f>'2012_2020 Int_Confianca'!BC38</f>
        <v>0.1366</v>
      </c>
      <c r="BF188">
        <f>'2012_2020 Int_Confianca'!BD38</f>
        <v>0.14050000000000001</v>
      </c>
      <c r="BG188">
        <f>'2012_2020 Int_Confianca'!BE38</f>
        <v>0.1429</v>
      </c>
      <c r="BH188">
        <f>'2012_2020 Int_Confianca'!BF38</f>
        <v>0.1424</v>
      </c>
      <c r="BI188">
        <f>'2012_2020 Int_Confianca'!BG38</f>
        <v>0.1414</v>
      </c>
      <c r="BJ188">
        <f>'2012_2020 Int_Confianca'!BH38</f>
        <v>0.14169999999999999</v>
      </c>
      <c r="BK188">
        <f>'2012_2020 Int_Confianca'!BI38</f>
        <v>0.1426</v>
      </c>
      <c r="BL188">
        <f>'2012_2020 Int_Confianca'!BJ38</f>
        <v>0.14399999999999999</v>
      </c>
      <c r="BM188">
        <f>'2012_2020 Int_Confianca'!BK38</f>
        <v>0.14940000000000001</v>
      </c>
      <c r="BN188">
        <f>'2012_2020 Int_Confianca'!BL38</f>
        <v>0.15640000000000001</v>
      </c>
      <c r="BO188">
        <f>'2012_2020 Int_Confianca'!BM38</f>
        <v>0.1623</v>
      </c>
      <c r="BP188">
        <f>'2012_2020 Int_Confianca'!BN38</f>
        <v>0.16719999999999999</v>
      </c>
      <c r="BQ188">
        <f>'2012_2020 Int_Confianca'!BO38</f>
        <v>0.1711</v>
      </c>
      <c r="BR188">
        <f>'2012_2020 Int_Confianca'!BP38</f>
        <v>0.17119999999999999</v>
      </c>
      <c r="BS188">
        <f>'2012_2020 Int_Confianca'!BQ38</f>
        <v>0.17150000000000001</v>
      </c>
      <c r="BT188">
        <f>'2012_2020 Int_Confianca'!BR38</f>
        <v>0.17280000000000001</v>
      </c>
      <c r="BU188">
        <f>'2012_2020 Int_Confianca'!BS38</f>
        <v>0.17760000000000001</v>
      </c>
      <c r="BV188">
        <f>'2012_2020 Int_Confianca'!BT38</f>
        <v>0.1885</v>
      </c>
      <c r="BW188">
        <f>'2012_2020 Int_Confianca'!BU38</f>
        <v>0.1983</v>
      </c>
      <c r="BX188">
        <f>'2012_2020 Int_Confianca'!BV38</f>
        <v>0.20349999999999999</v>
      </c>
      <c r="BY188">
        <f>'2012_2020 Int_Confianca'!BW38</f>
        <v>0.2107</v>
      </c>
      <c r="BZ188">
        <f>'2012_2020 Int_Confianca'!BX38</f>
        <v>0.2104</v>
      </c>
      <c r="CA188">
        <f>'2012_2020 Int_Confianca'!BY38</f>
        <v>0.20930000000000001</v>
      </c>
      <c r="CB188">
        <f>'2012_2020 Int_Confianca'!BZ38</f>
        <v>0.20760000000000001</v>
      </c>
      <c r="CC188">
        <f>'2012_2020 Int_Confianca'!CA38</f>
        <v>0.21820000000000001</v>
      </c>
      <c r="CD188">
        <f>'2012_2020 Int_Confianca'!CB38</f>
        <v>0.23050000000000001</v>
      </c>
      <c r="CE188">
        <f>'2012_2020 Int_Confianca'!CC38</f>
        <v>0.2404</v>
      </c>
      <c r="CF188">
        <f>'2012_2020 Int_Confianca'!CD38</f>
        <v>0.24940000000000001</v>
      </c>
      <c r="CG188">
        <f>'2012_2020 Int_Confianca'!CE38</f>
        <v>0.23930000000000001</v>
      </c>
      <c r="CH188">
        <f>'2012_2020 Int_Confianca'!CF38</f>
        <v>0.22450000000000001</v>
      </c>
      <c r="CI188">
        <f>'2012_2020 Int_Confianca'!CG38</f>
        <v>0.21929999999999999</v>
      </c>
      <c r="CJ188">
        <f>'2012_2020 Int_Confianca'!CH38</f>
        <v>0.23050000000000001</v>
      </c>
      <c r="CK188">
        <f>'2012_2020 Int_Confianca'!CI38</f>
        <v>0.28249999999999997</v>
      </c>
      <c r="CL188">
        <f>'2012_2020 Int_Confianca'!CJ38</f>
        <v>0.27700000000000002</v>
      </c>
      <c r="CM188">
        <f>'2012_2020 Int_Confianca'!CK38</f>
        <v>0.26290000000000002</v>
      </c>
      <c r="CN188">
        <f>'2012_2020 Int_Confianca'!CL38</f>
        <v>0.2707</v>
      </c>
      <c r="CO188">
        <f>'2012_2020 Int_Confianca'!CM38</f>
        <v>0.26829999999999998</v>
      </c>
      <c r="CP188">
        <f>'2012_2020 Int_Confianca'!CN38</f>
        <v>0.249</v>
      </c>
      <c r="CQ188">
        <f>'2012_2020 Int_Confianca'!CO38</f>
        <v>0.28249999999999997</v>
      </c>
      <c r="CR188">
        <f>'2012_2020 Int_Confianca'!CP38</f>
        <v>0.31040000000000001</v>
      </c>
      <c r="CS188">
        <f>'2012_2020 Int_Confianca'!CQ38</f>
        <v>0.2702</v>
      </c>
      <c r="CT188">
        <f>'2012_2020 Int_Confianca'!CR38</f>
        <v>0.30459999999999998</v>
      </c>
      <c r="CU188">
        <f>'2012_2020 Int_Confianca'!CS38</f>
        <v>0.23930000000000001</v>
      </c>
      <c r="CV188">
        <f>'2012_2020 Int_Confianca'!CT38</f>
        <v>0.27650000000000002</v>
      </c>
      <c r="CW188">
        <f>'2012_2020 Int_Confianca'!CU38</f>
        <v>0.26669999999999999</v>
      </c>
      <c r="CX188">
        <f>'2012_2020 Int_Confianca'!CV38</f>
        <v>0.23910000000000001</v>
      </c>
    </row>
    <row r="189" spans="1:102" x14ac:dyDescent="0.2">
      <c r="A189" t="s">
        <v>233</v>
      </c>
      <c r="B189" t="s">
        <v>217</v>
      </c>
      <c r="C189" t="s">
        <v>222</v>
      </c>
      <c r="D189">
        <f>'2012_2020 Int_Confianca'!B39</f>
        <v>0.16339999999999999</v>
      </c>
      <c r="E189">
        <f>'2012_2020 Int_Confianca'!C39</f>
        <v>4.4400000000000002E-2</v>
      </c>
      <c r="F189">
        <f>'2012_2020 Int_Confianca'!D39</f>
        <v>3.9E-2</v>
      </c>
      <c r="G189">
        <f>'2012_2020 Int_Confianca'!E39</f>
        <v>7.5399999999999995E-2</v>
      </c>
      <c r="H189">
        <f>'2012_2020 Int_Confianca'!F39</f>
        <v>2.3400000000000001E-2</v>
      </c>
      <c r="I189">
        <f>'2012_2020 Int_Confianca'!G39</f>
        <v>2.9499999999999998E-2</v>
      </c>
      <c r="J189">
        <f>'2012_2020 Int_Confianca'!H39</f>
        <v>2.8899999999999999E-2</v>
      </c>
      <c r="K189">
        <f>'2012_2020 Int_Confianca'!I39</f>
        <v>3.6499999999999998E-2</v>
      </c>
      <c r="L189">
        <f>'2012_2020 Int_Confianca'!J39</f>
        <v>5.9400000000000001E-2</v>
      </c>
      <c r="M189">
        <f>'2012_2020 Int_Confianca'!K39</f>
        <v>2.3900000000000001E-2</v>
      </c>
      <c r="N189">
        <f>'2012_2020 Int_Confianca'!L39</f>
        <v>6.6100000000000006E-2</v>
      </c>
      <c r="O189">
        <f>'2012_2020 Int_Confianca'!M39</f>
        <v>0.10730000000000001</v>
      </c>
      <c r="P189">
        <f>'2012_2020 Int_Confianca'!N39</f>
        <v>7.4499999999999997E-2</v>
      </c>
      <c r="Q189">
        <f>'2012_2020 Int_Confianca'!O39</f>
        <v>7.7799999999999994E-2</v>
      </c>
      <c r="R189">
        <f>'2012_2020 Int_Confianca'!P39</f>
        <v>7.8600000000000003E-2</v>
      </c>
      <c r="S189">
        <f>'2012_2020 Int_Confianca'!Q39</f>
        <v>8.14E-2</v>
      </c>
      <c r="T189">
        <f>'2012_2020 Int_Confianca'!R39</f>
        <v>9.7100000000000006E-2</v>
      </c>
      <c r="U189">
        <f>'2012_2020 Int_Confianca'!S39</f>
        <v>9.7000000000000003E-2</v>
      </c>
      <c r="V189">
        <f>'2012_2020 Int_Confianca'!T39</f>
        <v>0.1023</v>
      </c>
      <c r="W189">
        <f>'2012_2020 Int_Confianca'!U39</f>
        <v>9.3700000000000006E-2</v>
      </c>
      <c r="X189">
        <f>'2012_2020 Int_Confianca'!V39</f>
        <v>7.9200000000000007E-2</v>
      </c>
      <c r="Y189">
        <f>'2012_2020 Int_Confianca'!W39</f>
        <v>0.1014</v>
      </c>
      <c r="Z189">
        <f>'2012_2020 Int_Confianca'!X39</f>
        <v>9.4200000000000006E-2</v>
      </c>
      <c r="AA189">
        <f>'2012_2020 Int_Confianca'!Y39</f>
        <v>7.4700000000000003E-2</v>
      </c>
      <c r="AB189">
        <f>'2012_2020 Int_Confianca'!Z39</f>
        <v>6.3700000000000007E-2</v>
      </c>
      <c r="AC189">
        <f>'2012_2020 Int_Confianca'!AA39</f>
        <v>4.7899999999999998E-2</v>
      </c>
      <c r="AD189">
        <f>'2012_2020 Int_Confianca'!AB39</f>
        <v>5.9700000000000003E-2</v>
      </c>
      <c r="AE189">
        <f>'2012_2020 Int_Confianca'!AC39</f>
        <v>4.8399999999999999E-2</v>
      </c>
      <c r="AF189">
        <f>'2012_2020 Int_Confianca'!AD39</f>
        <v>4.3900000000000002E-2</v>
      </c>
      <c r="AG189">
        <f>'2012_2020 Int_Confianca'!AE39</f>
        <v>4.07E-2</v>
      </c>
      <c r="AH189">
        <f>'2012_2020 Int_Confianca'!AF39</f>
        <v>4.8000000000000001E-2</v>
      </c>
      <c r="AI189">
        <f>'2012_2020 Int_Confianca'!AG39</f>
        <v>4.3400000000000001E-2</v>
      </c>
      <c r="AJ189">
        <f>'2012_2020 Int_Confianca'!AH39</f>
        <v>3.6700000000000003E-2</v>
      </c>
      <c r="AK189">
        <f>'2012_2020 Int_Confianca'!AI39</f>
        <v>2.7300000000000001E-2</v>
      </c>
      <c r="AL189">
        <f>'2012_2020 Int_Confianca'!AJ39</f>
        <v>4.7E-2</v>
      </c>
      <c r="AM189">
        <f>'2012_2020 Int_Confianca'!AK39</f>
        <v>5.04E-2</v>
      </c>
      <c r="AN189">
        <f>'2012_2020 Int_Confianca'!AL39</f>
        <v>4.36E-2</v>
      </c>
      <c r="AO189">
        <f>'2012_2020 Int_Confianca'!AM39</f>
        <v>2.53E-2</v>
      </c>
      <c r="AP189">
        <f>'2012_2020 Int_Confianca'!AN39</f>
        <v>1.0699999999999999E-2</v>
      </c>
      <c r="AQ189">
        <f>'2012_2020 Int_Confianca'!AO39</f>
        <v>1.5299999999999999E-2</v>
      </c>
      <c r="AR189">
        <f>'2012_2020 Int_Confianca'!AP39</f>
        <v>1.7399999999999999E-2</v>
      </c>
      <c r="AS189">
        <f>'2012_2020 Int_Confianca'!AQ39</f>
        <v>1.6E-2</v>
      </c>
      <c r="AT189">
        <f>'2012_2020 Int_Confianca'!AR39</f>
        <v>9.7999999999999997E-3</v>
      </c>
      <c r="AU189">
        <f>'2012_2020 Int_Confianca'!AS39</f>
        <v>1.55E-2</v>
      </c>
      <c r="AV189">
        <f>'2012_2020 Int_Confianca'!AT39</f>
        <v>-3.7000000000000002E-3</v>
      </c>
      <c r="AW189">
        <f>'2012_2020 Int_Confianca'!AU39</f>
        <v>-2E-3</v>
      </c>
      <c r="AX189">
        <f>'2012_2020 Int_Confianca'!AV39</f>
        <v>-1.8499999999999999E-2</v>
      </c>
      <c r="AY189">
        <f>'2012_2020 Int_Confianca'!AW39</f>
        <v>-3.3999999999999998E-3</v>
      </c>
      <c r="AZ189">
        <f>'2012_2020 Int_Confianca'!AX39</f>
        <v>-2.8999999999999998E-3</v>
      </c>
      <c r="BA189">
        <f>'2012_2020 Int_Confianca'!AY39</f>
        <v>1.6999999999999999E-3</v>
      </c>
      <c r="BB189">
        <f>'2012_2020 Int_Confianca'!AZ39</f>
        <v>1.4500000000000001E-2</v>
      </c>
      <c r="BC189">
        <f>'2012_2020 Int_Confianca'!BA39</f>
        <v>-1.8E-3</v>
      </c>
      <c r="BD189">
        <f>'2012_2020 Int_Confianca'!BB39</f>
        <v>-4.2099999999999999E-2</v>
      </c>
      <c r="BE189">
        <f>'2012_2020 Int_Confianca'!BC39</f>
        <v>-4.6899999999999997E-2</v>
      </c>
      <c r="BF189">
        <f>'2012_2020 Int_Confianca'!BD39</f>
        <v>-2.4199999999999999E-2</v>
      </c>
      <c r="BG189">
        <f>'2012_2020 Int_Confianca'!BE39</f>
        <v>-4.2700000000000002E-2</v>
      </c>
      <c r="BH189">
        <f>'2012_2020 Int_Confianca'!BF39</f>
        <v>-5.3800000000000001E-2</v>
      </c>
      <c r="BI189">
        <f>'2012_2020 Int_Confianca'!BG39</f>
        <v>-5.7000000000000002E-2</v>
      </c>
      <c r="BJ189">
        <f>'2012_2020 Int_Confianca'!BH39</f>
        <v>-7.0300000000000001E-2</v>
      </c>
      <c r="BK189">
        <f>'2012_2020 Int_Confianca'!BI39</f>
        <v>-4.2099999999999999E-2</v>
      </c>
      <c r="BL189">
        <f>'2012_2020 Int_Confianca'!BJ39</f>
        <v>-1.6199999999999999E-2</v>
      </c>
      <c r="BM189">
        <f>'2012_2020 Int_Confianca'!BK39</f>
        <v>-3.6299999999999999E-2</v>
      </c>
      <c r="BN189">
        <f>'2012_2020 Int_Confianca'!BL39</f>
        <v>-6.7500000000000004E-2</v>
      </c>
      <c r="BO189">
        <f>'2012_2020 Int_Confianca'!BM39</f>
        <v>-5.6500000000000002E-2</v>
      </c>
      <c r="BP189">
        <f>'2012_2020 Int_Confianca'!BN39</f>
        <v>-2.47E-2</v>
      </c>
      <c r="BQ189">
        <f>'2012_2020 Int_Confianca'!BO39</f>
        <v>-5.5100000000000003E-2</v>
      </c>
      <c r="BR189">
        <f>'2012_2020 Int_Confianca'!BP39</f>
        <v>-9.1700000000000004E-2</v>
      </c>
      <c r="BS189">
        <f>'2012_2020 Int_Confianca'!BQ39</f>
        <v>-0.1105</v>
      </c>
      <c r="BT189">
        <f>'2012_2020 Int_Confianca'!BR39</f>
        <v>-0.1132</v>
      </c>
      <c r="BU189">
        <f>'2012_2020 Int_Confianca'!BS39</f>
        <v>-0.10979999999999999</v>
      </c>
      <c r="BV189">
        <f>'2012_2020 Int_Confianca'!BT39</f>
        <v>-0.1111</v>
      </c>
      <c r="BW189">
        <f>'2012_2020 Int_Confianca'!BU39</f>
        <v>-0.111</v>
      </c>
      <c r="BX189">
        <f>'2012_2020 Int_Confianca'!BV39</f>
        <v>-0.1171</v>
      </c>
      <c r="BY189">
        <f>'2012_2020 Int_Confianca'!BW39</f>
        <v>-0.1203</v>
      </c>
      <c r="BZ189">
        <f>'2012_2020 Int_Confianca'!BX39</f>
        <v>-0.1227</v>
      </c>
      <c r="CA189">
        <f>'2012_2020 Int_Confianca'!BY39</f>
        <v>-0.151</v>
      </c>
      <c r="CB189">
        <f>'2012_2020 Int_Confianca'!BZ39</f>
        <v>-0.1019</v>
      </c>
      <c r="CC189">
        <f>'2012_2020 Int_Confianca'!CA39</f>
        <v>-0.13550000000000001</v>
      </c>
      <c r="CD189">
        <f>'2012_2020 Int_Confianca'!CB39</f>
        <v>-0.1532</v>
      </c>
      <c r="CE189">
        <f>'2012_2020 Int_Confianca'!CC39</f>
        <v>-0.1288</v>
      </c>
      <c r="CF189">
        <f>'2012_2020 Int_Confianca'!CD39</f>
        <v>-0.18529999999999999</v>
      </c>
      <c r="CG189">
        <f>'2012_2020 Int_Confianca'!CE39</f>
        <v>-0.20100000000000001</v>
      </c>
      <c r="CH189">
        <f>'2012_2020 Int_Confianca'!CF39</f>
        <v>-0.19719999999999999</v>
      </c>
      <c r="CI189">
        <f>'2012_2020 Int_Confianca'!CG39</f>
        <v>-0.154</v>
      </c>
      <c r="CJ189">
        <f>'2012_2020 Int_Confianca'!CH39</f>
        <v>-0.15040000000000001</v>
      </c>
      <c r="CK189">
        <f>'2012_2020 Int_Confianca'!CI39</f>
        <v>-0.1958</v>
      </c>
      <c r="CL189">
        <f>'2012_2020 Int_Confianca'!CJ39</f>
        <v>-0.1951</v>
      </c>
      <c r="CM189">
        <f>'2012_2020 Int_Confianca'!CK39</f>
        <v>-0.2414</v>
      </c>
      <c r="CN189">
        <f>'2012_2020 Int_Confianca'!CL39</f>
        <v>-0.22839999999999999</v>
      </c>
      <c r="CO189">
        <f>'2012_2020 Int_Confianca'!CM39</f>
        <v>-0.23749999999999999</v>
      </c>
      <c r="CP189">
        <f>'2012_2020 Int_Confianca'!CN39</f>
        <v>-0.18820000000000001</v>
      </c>
      <c r="CQ189">
        <f>'2012_2020 Int_Confianca'!CO39</f>
        <v>-0.27950000000000003</v>
      </c>
      <c r="CR189">
        <f>'2012_2020 Int_Confianca'!CP39</f>
        <v>-0.28670000000000001</v>
      </c>
      <c r="CS189">
        <f>'2012_2020 Int_Confianca'!CQ39</f>
        <v>-0.28239999999999998</v>
      </c>
      <c r="CT189">
        <f>'2012_2020 Int_Confianca'!CR39</f>
        <v>-0.308</v>
      </c>
      <c r="CU189">
        <f>'2012_2020 Int_Confianca'!CS39</f>
        <v>-0.23449999999999999</v>
      </c>
      <c r="CV189">
        <f>'2012_2020 Int_Confianca'!CT39</f>
        <v>-0.23250000000000001</v>
      </c>
      <c r="CW189">
        <f>'2012_2020 Int_Confianca'!CU39</f>
        <v>-0.30120000000000002</v>
      </c>
      <c r="CX189">
        <f>'2012_2020 Int_Confianca'!CV39</f>
        <v>-0.27179999999999999</v>
      </c>
    </row>
    <row r="190" spans="1:102" x14ac:dyDescent="0.2">
      <c r="A190" t="s">
        <v>232</v>
      </c>
      <c r="B190" t="s">
        <v>217</v>
      </c>
      <c r="C190" t="s">
        <v>222</v>
      </c>
      <c r="D190">
        <f>'2012_2020 Int_Confianca'!B40</f>
        <v>0.21029999999999999</v>
      </c>
      <c r="E190">
        <f>'2012_2020 Int_Confianca'!C40</f>
        <v>9.4399999999999998E-2</v>
      </c>
      <c r="F190">
        <f>'2012_2020 Int_Confianca'!D40</f>
        <v>8.5599999999999996E-2</v>
      </c>
      <c r="G190">
        <f>'2012_2020 Int_Confianca'!E40</f>
        <v>0.10920000000000001</v>
      </c>
      <c r="H190">
        <f>'2012_2020 Int_Confianca'!F40</f>
        <v>6.2899999999999998E-2</v>
      </c>
      <c r="I190">
        <f>'2012_2020 Int_Confianca'!G40</f>
        <v>6.2E-2</v>
      </c>
      <c r="J190">
        <f>'2012_2020 Int_Confianca'!H40</f>
        <v>6.1600000000000002E-2</v>
      </c>
      <c r="K190">
        <f>'2012_2020 Int_Confianca'!I40</f>
        <v>6.6799999999999998E-2</v>
      </c>
      <c r="L190">
        <f>'2012_2020 Int_Confianca'!J40</f>
        <v>8.72E-2</v>
      </c>
      <c r="M190">
        <f>'2012_2020 Int_Confianca'!K40</f>
        <v>4.99E-2</v>
      </c>
      <c r="N190">
        <f>'2012_2020 Int_Confianca'!L40</f>
        <v>8.9899999999999994E-2</v>
      </c>
      <c r="O190">
        <f>'2012_2020 Int_Confianca'!M40</f>
        <v>0.1249</v>
      </c>
      <c r="P190">
        <f>'2012_2020 Int_Confianca'!N40</f>
        <v>9.1300000000000006E-2</v>
      </c>
      <c r="Q190">
        <f>'2012_2020 Int_Confianca'!O40</f>
        <v>9.2700000000000005E-2</v>
      </c>
      <c r="R190">
        <f>'2012_2020 Int_Confianca'!P40</f>
        <v>9.1700000000000004E-2</v>
      </c>
      <c r="S190">
        <f>'2012_2020 Int_Confianca'!Q40</f>
        <v>9.3299999999999994E-2</v>
      </c>
      <c r="T190">
        <f>'2012_2020 Int_Confianca'!R40</f>
        <v>0.1077</v>
      </c>
      <c r="U190">
        <f>'2012_2020 Int_Confianca'!S40</f>
        <v>0.1072</v>
      </c>
      <c r="V190">
        <f>'2012_2020 Int_Confianca'!T40</f>
        <v>0.11169999999999999</v>
      </c>
      <c r="W190">
        <f>'2012_2020 Int_Confianca'!U40</f>
        <v>0.10290000000000001</v>
      </c>
      <c r="X190">
        <f>'2012_2020 Int_Confianca'!V40</f>
        <v>8.8200000000000001E-2</v>
      </c>
      <c r="Y190">
        <f>'2012_2020 Int_Confianca'!W40</f>
        <v>0.1099</v>
      </c>
      <c r="Z190">
        <f>'2012_2020 Int_Confianca'!X40</f>
        <v>0.1027</v>
      </c>
      <c r="AA190">
        <f>'2012_2020 Int_Confianca'!Y40</f>
        <v>8.3199999999999996E-2</v>
      </c>
      <c r="AB190">
        <f>'2012_2020 Int_Confianca'!Z40</f>
        <v>7.22E-2</v>
      </c>
      <c r="AC190">
        <f>'2012_2020 Int_Confianca'!AA40</f>
        <v>5.6300000000000003E-2</v>
      </c>
      <c r="AD190">
        <f>'2012_2020 Int_Confianca'!AB40</f>
        <v>6.8199999999999997E-2</v>
      </c>
      <c r="AE190">
        <f>'2012_2020 Int_Confianca'!AC40</f>
        <v>5.6899999999999999E-2</v>
      </c>
      <c r="AF190">
        <f>'2012_2020 Int_Confianca'!AD40</f>
        <v>5.2499999999999998E-2</v>
      </c>
      <c r="AG190">
        <f>'2012_2020 Int_Confianca'!AE40</f>
        <v>4.9399999999999999E-2</v>
      </c>
      <c r="AH190">
        <f>'2012_2020 Int_Confianca'!AF40</f>
        <v>5.7099999999999998E-2</v>
      </c>
      <c r="AI190">
        <f>'2012_2020 Int_Confianca'!AG40</f>
        <v>5.2699999999999997E-2</v>
      </c>
      <c r="AJ190">
        <f>'2012_2020 Int_Confianca'!AH40</f>
        <v>4.6199999999999998E-2</v>
      </c>
      <c r="AK190">
        <f>'2012_2020 Int_Confianca'!AI40</f>
        <v>3.7199999999999997E-2</v>
      </c>
      <c r="AL190">
        <f>'2012_2020 Int_Confianca'!AJ40</f>
        <v>5.74E-2</v>
      </c>
      <c r="AM190">
        <f>'2012_2020 Int_Confianca'!AK40</f>
        <v>6.1100000000000002E-2</v>
      </c>
      <c r="AN190">
        <f>'2012_2020 Int_Confianca'!AL40</f>
        <v>5.45E-2</v>
      </c>
      <c r="AO190">
        <f>'2012_2020 Int_Confianca'!AM40</f>
        <v>3.6499999999999998E-2</v>
      </c>
      <c r="AP190">
        <f>'2012_2020 Int_Confianca'!AN40</f>
        <v>2.1999999999999999E-2</v>
      </c>
      <c r="AQ190">
        <f>'2012_2020 Int_Confianca'!AO40</f>
        <v>2.6700000000000002E-2</v>
      </c>
      <c r="AR190">
        <f>'2012_2020 Int_Confianca'!AP40</f>
        <v>2.9000000000000001E-2</v>
      </c>
      <c r="AS190">
        <f>'2012_2020 Int_Confianca'!AQ40</f>
        <v>2.7900000000000001E-2</v>
      </c>
      <c r="AT190">
        <f>'2012_2020 Int_Confianca'!AR40</f>
        <v>2.1600000000000001E-2</v>
      </c>
      <c r="AU190">
        <f>'2012_2020 Int_Confianca'!AS40</f>
        <v>2.75E-2</v>
      </c>
      <c r="AV190">
        <f>'2012_2020 Int_Confianca'!AT40</f>
        <v>8.2000000000000007E-3</v>
      </c>
      <c r="AW190">
        <f>'2012_2020 Int_Confianca'!AU40</f>
        <v>0.01</v>
      </c>
      <c r="AX190">
        <f>'2012_2020 Int_Confianca'!AV40</f>
        <v>-6.4999999999999997E-3</v>
      </c>
      <c r="AY190">
        <f>'2012_2020 Int_Confianca'!AW40</f>
        <v>8.8000000000000005E-3</v>
      </c>
      <c r="AZ190">
        <f>'2012_2020 Int_Confianca'!AX40</f>
        <v>9.2999999999999992E-3</v>
      </c>
      <c r="BA190">
        <f>'2012_2020 Int_Confianca'!AY40</f>
        <v>1.41E-2</v>
      </c>
      <c r="BB190">
        <f>'2012_2020 Int_Confianca'!AZ40</f>
        <v>2.7199999999999998E-2</v>
      </c>
      <c r="BC190">
        <f>'2012_2020 Int_Confianca'!BA40</f>
        <v>1.12E-2</v>
      </c>
      <c r="BD190">
        <f>'2012_2020 Int_Confianca'!BB40</f>
        <v>-2.87E-2</v>
      </c>
      <c r="BE190">
        <f>'2012_2020 Int_Confianca'!BC40</f>
        <v>-3.3099999999999997E-2</v>
      </c>
      <c r="BF190">
        <f>'2012_2020 Int_Confianca'!BD40</f>
        <v>-0.01</v>
      </c>
      <c r="BG190">
        <f>'2012_2020 Int_Confianca'!BE40</f>
        <v>-2.8400000000000002E-2</v>
      </c>
      <c r="BH190">
        <f>'2012_2020 Int_Confianca'!BF40</f>
        <v>-3.9300000000000002E-2</v>
      </c>
      <c r="BI190">
        <f>'2012_2020 Int_Confianca'!BG40</f>
        <v>-4.2299999999999997E-2</v>
      </c>
      <c r="BJ190">
        <f>'2012_2020 Int_Confianca'!BH40</f>
        <v>-5.5500000000000001E-2</v>
      </c>
      <c r="BK190">
        <f>'2012_2020 Int_Confianca'!BI40</f>
        <v>-2.7E-2</v>
      </c>
      <c r="BL190">
        <f>'2012_2020 Int_Confianca'!BJ40</f>
        <v>-8.9999999999999998E-4</v>
      </c>
      <c r="BM190">
        <f>'2012_2020 Int_Confianca'!BK40</f>
        <v>-2.0899999999999998E-2</v>
      </c>
      <c r="BN190">
        <f>'2012_2020 Int_Confianca'!BL40</f>
        <v>-5.1799999999999999E-2</v>
      </c>
      <c r="BO190">
        <f>'2012_2020 Int_Confianca'!BM40</f>
        <v>-4.0899999999999999E-2</v>
      </c>
      <c r="BP190">
        <f>'2012_2020 Int_Confianca'!BN40</f>
        <v>-8.9999999999999993E-3</v>
      </c>
      <c r="BQ190">
        <f>'2012_2020 Int_Confianca'!BO40</f>
        <v>-3.9100000000000003E-2</v>
      </c>
      <c r="BR190">
        <f>'2012_2020 Int_Confianca'!BP40</f>
        <v>-7.5800000000000006E-2</v>
      </c>
      <c r="BS190">
        <f>'2012_2020 Int_Confianca'!BQ40</f>
        <v>-9.4600000000000004E-2</v>
      </c>
      <c r="BT190">
        <f>'2012_2020 Int_Confianca'!BR40</f>
        <v>-9.7199999999999995E-2</v>
      </c>
      <c r="BU190">
        <f>'2012_2020 Int_Confianca'!BS40</f>
        <v>-9.2700000000000005E-2</v>
      </c>
      <c r="BV190">
        <f>'2012_2020 Int_Confianca'!BT40</f>
        <v>-9.1600000000000001E-2</v>
      </c>
      <c r="BW190">
        <f>'2012_2020 Int_Confianca'!BU40</f>
        <v>-0.09</v>
      </c>
      <c r="BX190">
        <f>'2012_2020 Int_Confianca'!BV40</f>
        <v>-9.5699999999999993E-2</v>
      </c>
      <c r="BY190">
        <f>'2012_2020 Int_Confianca'!BW40</f>
        <v>-9.8900000000000002E-2</v>
      </c>
      <c r="BZ190">
        <f>'2012_2020 Int_Confianca'!BX40</f>
        <v>-0.10150000000000001</v>
      </c>
      <c r="CA190">
        <f>'2012_2020 Int_Confianca'!BY40</f>
        <v>-0.12989999999999999</v>
      </c>
      <c r="CB190">
        <f>'2012_2020 Int_Confianca'!BZ40</f>
        <v>-8.0199999999999994E-2</v>
      </c>
      <c r="CC190">
        <f>'2012_2020 Int_Confianca'!CA40</f>
        <v>-0.1129</v>
      </c>
      <c r="CD190">
        <f>'2012_2020 Int_Confianca'!CB40</f>
        <v>-0.12970000000000001</v>
      </c>
      <c r="CE190">
        <f>'2012_2020 Int_Confianca'!CC40</f>
        <v>-0.10440000000000001</v>
      </c>
      <c r="CF190">
        <f>'2012_2020 Int_Confianca'!CD40</f>
        <v>-0.16020000000000001</v>
      </c>
      <c r="CG190">
        <f>'2012_2020 Int_Confianca'!CE40</f>
        <v>-0.17610000000000001</v>
      </c>
      <c r="CH190">
        <f>'2012_2020 Int_Confianca'!CF40</f>
        <v>-0.17119999999999999</v>
      </c>
      <c r="CI190">
        <f>'2012_2020 Int_Confianca'!CG40</f>
        <v>-0.1263</v>
      </c>
      <c r="CJ190">
        <f>'2012_2020 Int_Confianca'!CH40</f>
        <v>-0.12</v>
      </c>
      <c r="CK190">
        <f>'2012_2020 Int_Confianca'!CI40</f>
        <v>-0.1628</v>
      </c>
      <c r="CL190">
        <f>'2012_2020 Int_Confianca'!CJ40</f>
        <v>-0.16259999999999999</v>
      </c>
      <c r="CM190">
        <f>'2012_2020 Int_Confianca'!CK40</f>
        <v>-0.20960000000000001</v>
      </c>
      <c r="CN190">
        <f>'2012_2020 Int_Confianca'!CL40</f>
        <v>-0.1918</v>
      </c>
      <c r="CO190">
        <f>'2012_2020 Int_Confianca'!CM40</f>
        <v>-0.19950000000000001</v>
      </c>
      <c r="CP190">
        <f>'2012_2020 Int_Confianca'!CN40</f>
        <v>-0.152</v>
      </c>
      <c r="CQ190">
        <f>'2012_2020 Int_Confianca'!CO40</f>
        <v>-0.2379</v>
      </c>
      <c r="CR190">
        <f>'2012_2020 Int_Confianca'!CP40</f>
        <v>-0.23400000000000001</v>
      </c>
      <c r="CS190">
        <f>'2012_2020 Int_Confianca'!CQ40</f>
        <v>-0.22969999999999999</v>
      </c>
      <c r="CT190">
        <f>'2012_2020 Int_Confianca'!CR40</f>
        <v>-0.245</v>
      </c>
      <c r="CU190">
        <f>'2012_2020 Int_Confianca'!CS40</f>
        <v>-0.17430000000000001</v>
      </c>
      <c r="CV190">
        <f>'2012_2020 Int_Confianca'!CT40</f>
        <v>-0.16300000000000001</v>
      </c>
      <c r="CW190">
        <f>'2012_2020 Int_Confianca'!CU40</f>
        <v>-0.20849999999999999</v>
      </c>
      <c r="CX190">
        <f>'2012_2020 Int_Confianca'!CV40</f>
        <v>-0.16800000000000001</v>
      </c>
    </row>
    <row r="191" spans="1:102" x14ac:dyDescent="0.2">
      <c r="A191" t="s">
        <v>208</v>
      </c>
      <c r="B191" t="s">
        <v>218</v>
      </c>
      <c r="C191" t="s">
        <v>222</v>
      </c>
      <c r="D191">
        <f>'2012_2020'!B7</f>
        <v>5.1700000000000003E-2</v>
      </c>
      <c r="E191">
        <f>'2012_2020'!C7</f>
        <v>7.2599999999999998E-2</v>
      </c>
      <c r="F191">
        <f>'2012_2020'!D7</f>
        <v>7.0300000000000001E-2</v>
      </c>
      <c r="G191">
        <f>'2012_2020'!E7</f>
        <v>6.9000000000000006E-2</v>
      </c>
      <c r="H191">
        <f>'2012_2020'!F7</f>
        <v>6.6500000000000004E-2</v>
      </c>
      <c r="I191">
        <f>'2012_2020'!G7</f>
        <v>7.1900000000000006E-2</v>
      </c>
      <c r="J191">
        <f>'2012_2020'!H7</f>
        <v>7.1300000000000002E-2</v>
      </c>
      <c r="K191">
        <f>'2012_2020'!I7</f>
        <v>6.7699999999999996E-2</v>
      </c>
      <c r="L191">
        <f>'2012_2020'!J7</f>
        <v>7.0199999999999999E-2</v>
      </c>
      <c r="M191">
        <f>'2012_2020'!K7</f>
        <v>5.79E-2</v>
      </c>
      <c r="N191">
        <f>'2012_2020'!L7</f>
        <v>5.7299999999999997E-2</v>
      </c>
      <c r="O191">
        <f>'2012_2020'!M7</f>
        <v>5.4699999999999999E-2</v>
      </c>
      <c r="P191">
        <f>'2012_2020'!N7</f>
        <v>5.0700000000000002E-2</v>
      </c>
      <c r="Q191">
        <f>'2012_2020'!O7</f>
        <v>4.7800000000000002E-2</v>
      </c>
      <c r="R191">
        <f>'2012_2020'!P7</f>
        <v>4.1500000000000002E-2</v>
      </c>
      <c r="S191">
        <f>'2012_2020'!Q7</f>
        <v>3.8399999999999997E-2</v>
      </c>
      <c r="T191">
        <f>'2012_2020'!R7</f>
        <v>3.78E-2</v>
      </c>
      <c r="U191">
        <f>'2012_2020'!S7</f>
        <v>3.7999999999999999E-2</v>
      </c>
      <c r="V191">
        <f>'2012_2020'!T7</f>
        <v>3.78E-2</v>
      </c>
      <c r="W191">
        <f>'2012_2020'!U7</f>
        <v>3.8199999999999998E-2</v>
      </c>
      <c r="X191">
        <f>'2012_2020'!V7</f>
        <v>3.8600000000000002E-2</v>
      </c>
      <c r="Y191">
        <f>'2012_2020'!W7</f>
        <v>3.9800000000000002E-2</v>
      </c>
      <c r="Z191">
        <f>'2012_2020'!X7</f>
        <v>4.0599999999999997E-2</v>
      </c>
      <c r="AA191">
        <f>'2012_2020'!Y7</f>
        <v>4.1799999999999997E-2</v>
      </c>
      <c r="AB191">
        <f>'2012_2020'!Z7</f>
        <v>4.2599999999999999E-2</v>
      </c>
      <c r="AC191">
        <f>'2012_2020'!AA7</f>
        <v>4.2999999999999997E-2</v>
      </c>
      <c r="AD191">
        <f>'2012_2020'!AB7</f>
        <v>4.3499999999999997E-2</v>
      </c>
      <c r="AE191">
        <f>'2012_2020'!AC7</f>
        <v>4.4400000000000002E-2</v>
      </c>
      <c r="AF191">
        <f>'2012_2020'!AD7</f>
        <v>4.58E-2</v>
      </c>
      <c r="AG191">
        <f>'2012_2020'!AE7</f>
        <v>4.7800000000000002E-2</v>
      </c>
      <c r="AH191">
        <f>'2012_2020'!AF7</f>
        <v>0.05</v>
      </c>
      <c r="AI191">
        <f>'2012_2020'!AG7</f>
        <v>5.2299999999999999E-2</v>
      </c>
      <c r="AJ191">
        <f>'2012_2020'!AH7</f>
        <v>5.45E-2</v>
      </c>
      <c r="AK191">
        <f>'2012_2020'!AI7</f>
        <v>5.7299999999999997E-2</v>
      </c>
      <c r="AL191">
        <f>'2012_2020'!AJ7</f>
        <v>5.9900000000000002E-2</v>
      </c>
      <c r="AM191">
        <f>'2012_2020'!AK7</f>
        <v>6.2300000000000001E-2</v>
      </c>
      <c r="AN191">
        <f>'2012_2020'!AL7</f>
        <v>6.4799999999999996E-2</v>
      </c>
      <c r="AO191">
        <f>'2012_2020'!AM7</f>
        <v>6.8699999999999997E-2</v>
      </c>
      <c r="AP191">
        <f>'2012_2020'!AN7</f>
        <v>7.1400000000000005E-2</v>
      </c>
      <c r="AQ191">
        <f>'2012_2020'!AO7</f>
        <v>7.4499999999999997E-2</v>
      </c>
      <c r="AR191">
        <f>'2012_2020'!AP7</f>
        <v>7.6799999999999993E-2</v>
      </c>
      <c r="AS191">
        <f>'2012_2020'!AQ7</f>
        <v>7.9500000000000001E-2</v>
      </c>
      <c r="AT191">
        <f>'2012_2020'!AR7</f>
        <v>8.1500000000000003E-2</v>
      </c>
      <c r="AU191">
        <f>'2012_2020'!AS7</f>
        <v>8.2600000000000007E-2</v>
      </c>
      <c r="AV191">
        <f>'2012_2020'!AT7</f>
        <v>8.3799999999999999E-2</v>
      </c>
      <c r="AW191">
        <f>'2012_2020'!AU7</f>
        <v>8.4400000000000003E-2</v>
      </c>
      <c r="AX191">
        <f>'2012_2020'!AV7</f>
        <v>8.5099999999999995E-2</v>
      </c>
      <c r="AY191">
        <f>'2012_2020'!AW7</f>
        <v>8.7800000000000003E-2</v>
      </c>
      <c r="AZ191">
        <f>'2012_2020'!AX7</f>
        <v>8.9399999999999993E-2</v>
      </c>
      <c r="BA191">
        <f>'2012_2020'!AY7</f>
        <v>9.2899999999999996E-2</v>
      </c>
      <c r="BB191">
        <f>'2012_2020'!AZ7</f>
        <v>9.5799999999999996E-2</v>
      </c>
      <c r="BC191">
        <f>'2012_2020'!BA7</f>
        <v>0.10199999999999999</v>
      </c>
      <c r="BD191">
        <f>'2012_2020'!BB7</f>
        <v>0.108</v>
      </c>
      <c r="BE191">
        <f>'2012_2020'!BC7</f>
        <v>0.113</v>
      </c>
      <c r="BF191">
        <f>'2012_2020'!BD7</f>
        <v>0.115</v>
      </c>
      <c r="BG191">
        <f>'2012_2020'!BE7</f>
        <v>0.11799999999999999</v>
      </c>
      <c r="BH191">
        <f>'2012_2020'!BF7</f>
        <v>0.11700000000000001</v>
      </c>
      <c r="BI191">
        <f>'2012_2020'!BG7</f>
        <v>0.11700000000000001</v>
      </c>
      <c r="BJ191">
        <f>'2012_2020'!BH7</f>
        <v>0.11799999999999999</v>
      </c>
      <c r="BK191">
        <f>'2012_2020'!BI7</f>
        <v>0.11799999999999999</v>
      </c>
      <c r="BL191">
        <f>'2012_2020'!BJ7</f>
        <v>0.12</v>
      </c>
      <c r="BM191">
        <f>'2012_2020'!BK7</f>
        <v>0.125</v>
      </c>
      <c r="BN191">
        <f>'2012_2020'!BL7</f>
        <v>0.13100000000000001</v>
      </c>
      <c r="BO191">
        <f>'2012_2020'!BM7</f>
        <v>0.13600000000000001</v>
      </c>
      <c r="BP191">
        <f>'2012_2020'!BN7</f>
        <v>0.14000000000000001</v>
      </c>
      <c r="BQ191">
        <f>'2012_2020'!BO7</f>
        <v>0.14399999999999999</v>
      </c>
      <c r="BR191">
        <f>'2012_2020'!BP7</f>
        <v>0.14499999999999999</v>
      </c>
      <c r="BS191">
        <f>'2012_2020'!BQ7</f>
        <v>0.14499999999999999</v>
      </c>
      <c r="BT191">
        <f>'2012_2020'!BR7</f>
        <v>0.14599999999999999</v>
      </c>
      <c r="BU191">
        <f>'2012_2020'!BS7</f>
        <v>0.151</v>
      </c>
      <c r="BV191">
        <f>'2012_2020'!BT7</f>
        <v>0.161</v>
      </c>
      <c r="BW191">
        <f>'2012_2020'!BU7</f>
        <v>0.16900000000000001</v>
      </c>
      <c r="BX191">
        <f>'2012_2020'!BV7</f>
        <v>0.17399999999999999</v>
      </c>
      <c r="BY191">
        <f>'2012_2020'!BW7</f>
        <v>0.18099999999999999</v>
      </c>
      <c r="BZ191">
        <f>'2012_2020'!BX7</f>
        <v>0.18099999999999999</v>
      </c>
      <c r="CA191">
        <f>'2012_2020'!BY7</f>
        <v>0.18</v>
      </c>
      <c r="CB191">
        <f>'2012_2020'!BZ7</f>
        <v>0.17799999999999999</v>
      </c>
      <c r="CC191">
        <f>'2012_2020'!CA7</f>
        <v>0.188</v>
      </c>
      <c r="CD191">
        <f>'2012_2020'!CB7</f>
        <v>0.2</v>
      </c>
      <c r="CE191">
        <f>'2012_2020'!CC7</f>
        <v>0.21</v>
      </c>
      <c r="CF191">
        <f>'2012_2020'!CD7</f>
        <v>0.218</v>
      </c>
      <c r="CG191">
        <f>'2012_2020'!CE7</f>
        <v>0.20899999999999999</v>
      </c>
      <c r="CH191">
        <f>'2012_2020'!CF7</f>
        <v>0.19700000000000001</v>
      </c>
      <c r="CI191">
        <f>'2012_2020'!CG7</f>
        <v>0.192</v>
      </c>
      <c r="CJ191">
        <f>'2012_2020'!CH7</f>
        <v>0.20300000000000001</v>
      </c>
      <c r="CK191">
        <f>'2012_2020'!CI7</f>
        <v>0.249</v>
      </c>
      <c r="CL191">
        <f>'2012_2020'!CJ7</f>
        <v>0.246</v>
      </c>
      <c r="CM191">
        <f>'2012_2020'!CK7</f>
        <v>0.23499999999999999</v>
      </c>
      <c r="CN191">
        <f>'2012_2020'!CL7</f>
        <v>0.24199999999999999</v>
      </c>
      <c r="CO191">
        <f>'2012_2020'!CM7</f>
        <v>0.24099999999999999</v>
      </c>
      <c r="CP191">
        <f>'2012_2020'!CN7</f>
        <v>0.224</v>
      </c>
      <c r="CQ191">
        <f>'2012_2020'!CO7</f>
        <v>0.254</v>
      </c>
      <c r="CR191">
        <f>'2012_2020'!CP7</f>
        <v>0.28000000000000003</v>
      </c>
      <c r="CS191">
        <f>'2012_2020'!CQ7</f>
        <v>0.245</v>
      </c>
      <c r="CT191">
        <f>'2012_2020'!CR7</f>
        <v>0.27600000000000002</v>
      </c>
      <c r="CU191">
        <f>'2012_2020'!CS7</f>
        <v>0.218</v>
      </c>
      <c r="CV191">
        <f>'2012_2020'!CT7</f>
        <v>0.251</v>
      </c>
      <c r="CW191">
        <f>'2012_2020'!CU7</f>
        <v>0.24099999999999999</v>
      </c>
      <c r="CX191">
        <f>'2012_2020'!CV7</f>
        <v>0.21299999999999999</v>
      </c>
    </row>
    <row r="192" spans="1:102" x14ac:dyDescent="0.2">
      <c r="A192" t="s">
        <v>209</v>
      </c>
      <c r="B192" t="s">
        <v>218</v>
      </c>
      <c r="C192" t="s">
        <v>222</v>
      </c>
      <c r="D192">
        <f>'2012_2020'!B8</f>
        <v>5.4999999999999997E-3</v>
      </c>
      <c r="E192">
        <f>'2012_2020'!C8</f>
        <v>1.14E-2</v>
      </c>
      <c r="F192">
        <f>'2012_2020'!D8</f>
        <v>1.43E-2</v>
      </c>
      <c r="G192">
        <f>'2012_2020'!E8</f>
        <v>1.4999999999999999E-2</v>
      </c>
      <c r="H192">
        <f>'2012_2020'!F8</f>
        <v>1.5100000000000001E-2</v>
      </c>
      <c r="I192">
        <f>'2012_2020'!G8</f>
        <v>1.6899999999999998E-2</v>
      </c>
      <c r="J192">
        <f>'2012_2020'!H8</f>
        <v>1.6500000000000001E-2</v>
      </c>
      <c r="K192">
        <f>'2012_2020'!I8</f>
        <v>1.5699999999999999E-2</v>
      </c>
      <c r="L192">
        <f>'2012_2020'!J8</f>
        <v>1.6E-2</v>
      </c>
      <c r="M192">
        <f>'2012_2020'!K8</f>
        <v>1.34E-2</v>
      </c>
      <c r="N192">
        <f>'2012_2020'!L8</f>
        <v>1.3100000000000001E-2</v>
      </c>
      <c r="O192">
        <f>'2012_2020'!M8</f>
        <v>1.2500000000000001E-2</v>
      </c>
      <c r="P192">
        <f>'2012_2020'!N8</f>
        <v>1.17E-2</v>
      </c>
      <c r="Q192">
        <f>'2012_2020'!O8</f>
        <v>1.09E-2</v>
      </c>
      <c r="R192">
        <f>'2012_2020'!P8</f>
        <v>9.4900000000000002E-3</v>
      </c>
      <c r="S192">
        <f>'2012_2020'!Q8</f>
        <v>9.0100000000000006E-3</v>
      </c>
      <c r="T192">
        <f>'2012_2020'!R8</f>
        <v>8.8699999999999994E-3</v>
      </c>
      <c r="U192">
        <f>'2012_2020'!S8</f>
        <v>8.8400000000000006E-3</v>
      </c>
      <c r="V192">
        <f>'2012_2020'!T8</f>
        <v>8.7299999999999999E-3</v>
      </c>
      <c r="W192">
        <f>'2012_2020'!U8</f>
        <v>8.7600000000000004E-3</v>
      </c>
      <c r="X192">
        <f>'2012_2020'!V8</f>
        <v>8.6800000000000002E-3</v>
      </c>
      <c r="Y192">
        <f>'2012_2020'!W8</f>
        <v>8.8900000000000003E-3</v>
      </c>
      <c r="Z192">
        <f>'2012_2020'!X8</f>
        <v>8.9999999999999993E-3</v>
      </c>
      <c r="AA192">
        <f>'2012_2020'!Y8</f>
        <v>9.1800000000000007E-3</v>
      </c>
      <c r="AB192">
        <f>'2012_2020'!Z8</f>
        <v>9.4299999999999991E-3</v>
      </c>
      <c r="AC192">
        <f>'2012_2020'!AA8</f>
        <v>9.4800000000000006E-3</v>
      </c>
      <c r="AD192">
        <f>'2012_2020'!AB8</f>
        <v>9.6799999999999994E-3</v>
      </c>
      <c r="AE192">
        <f>'2012_2020'!AC8</f>
        <v>9.8300000000000002E-3</v>
      </c>
      <c r="AF192">
        <f>'2012_2020'!AD8</f>
        <v>0.01</v>
      </c>
      <c r="AG192">
        <f>'2012_2020'!AE8</f>
        <v>1.03E-2</v>
      </c>
      <c r="AH192">
        <f>'2012_2020'!AF8</f>
        <v>1.06E-2</v>
      </c>
      <c r="AI192">
        <f>'2012_2020'!AG8</f>
        <v>1.0999999999999999E-2</v>
      </c>
      <c r="AJ192">
        <f>'2012_2020'!AH8</f>
        <v>1.1299999999999999E-2</v>
      </c>
      <c r="AK192">
        <f>'2012_2020'!AI8</f>
        <v>1.1900000000000001E-2</v>
      </c>
      <c r="AL192">
        <f>'2012_2020'!AJ8</f>
        <v>1.24E-2</v>
      </c>
      <c r="AM192">
        <f>'2012_2020'!AK8</f>
        <v>1.2699999999999999E-2</v>
      </c>
      <c r="AN192">
        <f>'2012_2020'!AL8</f>
        <v>1.32E-2</v>
      </c>
      <c r="AO192">
        <f>'2012_2020'!AM8</f>
        <v>1.3899999999999999E-2</v>
      </c>
      <c r="AP192">
        <f>'2012_2020'!AN8</f>
        <v>1.44E-2</v>
      </c>
      <c r="AQ192">
        <f>'2012_2020'!AO8</f>
        <v>1.4999999999999999E-2</v>
      </c>
      <c r="AR192">
        <f>'2012_2020'!AP8</f>
        <v>1.54E-2</v>
      </c>
      <c r="AS192">
        <f>'2012_2020'!AQ8</f>
        <v>1.6E-2</v>
      </c>
      <c r="AT192">
        <f>'2012_2020'!AR8</f>
        <v>1.6400000000000001E-2</v>
      </c>
      <c r="AU192">
        <f>'2012_2020'!AS8</f>
        <v>1.6500000000000001E-2</v>
      </c>
      <c r="AV192">
        <f>'2012_2020'!AT8</f>
        <v>1.66E-2</v>
      </c>
      <c r="AW192">
        <f>'2012_2020'!AU8</f>
        <v>1.66E-2</v>
      </c>
      <c r="AX192">
        <f>'2012_2020'!AV8</f>
        <v>1.67E-2</v>
      </c>
      <c r="AY192">
        <f>'2012_2020'!AW8</f>
        <v>1.72E-2</v>
      </c>
      <c r="AZ192">
        <f>'2012_2020'!AX8</f>
        <v>1.7399999999999999E-2</v>
      </c>
      <c r="BA192">
        <f>'2012_2020'!AY8</f>
        <v>1.7999999999999999E-2</v>
      </c>
      <c r="BB192">
        <f>'2012_2020'!AZ8</f>
        <v>1.83E-2</v>
      </c>
      <c r="BC192">
        <f>'2012_2020'!BA8</f>
        <v>1.9300000000000001E-2</v>
      </c>
      <c r="BD192">
        <f>'2012_2020'!BB8</f>
        <v>2.0400000000000001E-2</v>
      </c>
      <c r="BE192">
        <f>'2012_2020'!BC8</f>
        <v>2.1100000000000001E-2</v>
      </c>
      <c r="BF192">
        <f>'2012_2020'!BD8</f>
        <v>2.1600000000000001E-2</v>
      </c>
      <c r="BG192">
        <f>'2012_2020'!BE8</f>
        <v>2.18E-2</v>
      </c>
      <c r="BH192">
        <f>'2012_2020'!BF8</f>
        <v>2.1700000000000001E-2</v>
      </c>
      <c r="BI192">
        <f>'2012_2020'!BG8</f>
        <v>2.1399999999999999E-2</v>
      </c>
      <c r="BJ192">
        <f>'2012_2020'!BH8</f>
        <v>2.1499999999999998E-2</v>
      </c>
      <c r="BK192">
        <f>'2012_2020'!BI8</f>
        <v>2.1399999999999999E-2</v>
      </c>
      <c r="BL192">
        <f>'2012_2020'!BJ8</f>
        <v>2.1499999999999998E-2</v>
      </c>
      <c r="BM192">
        <f>'2012_2020'!BK8</f>
        <v>2.1999999999999999E-2</v>
      </c>
      <c r="BN192">
        <f>'2012_2020'!BL8</f>
        <v>2.29E-2</v>
      </c>
      <c r="BO192">
        <f>'2012_2020'!BM8</f>
        <v>2.3699999999999999E-2</v>
      </c>
      <c r="BP192">
        <f>'2012_2020'!BN8</f>
        <v>2.4199999999999999E-2</v>
      </c>
      <c r="BQ192">
        <f>'2012_2020'!BO8</f>
        <v>2.4500000000000001E-2</v>
      </c>
      <c r="BR192">
        <f>'2012_2020'!BP8</f>
        <v>2.4299999999999999E-2</v>
      </c>
      <c r="BS192">
        <f>'2012_2020'!BQ8</f>
        <v>2.4400000000000002E-2</v>
      </c>
      <c r="BT192">
        <f>'2012_2020'!BR8</f>
        <v>2.4400000000000002E-2</v>
      </c>
      <c r="BU192">
        <f>'2012_2020'!BS8</f>
        <v>2.4799999999999999E-2</v>
      </c>
      <c r="BV192">
        <f>'2012_2020'!BT8</f>
        <v>2.6200000000000001E-2</v>
      </c>
      <c r="BW192">
        <f>'2012_2020'!BU8</f>
        <v>2.7400000000000001E-2</v>
      </c>
      <c r="BX192">
        <f>'2012_2020'!BV8</f>
        <v>2.81E-2</v>
      </c>
      <c r="BY192">
        <f>'2012_2020'!BW8</f>
        <v>2.8799999999999999E-2</v>
      </c>
      <c r="BZ192">
        <f>'2012_2020'!BX8</f>
        <v>2.8500000000000001E-2</v>
      </c>
      <c r="CA192">
        <f>'2012_2020'!BY8</f>
        <v>2.8400000000000002E-2</v>
      </c>
      <c r="CB192">
        <f>'2012_2020'!BZ8</f>
        <v>2.7799999999999998E-2</v>
      </c>
      <c r="CC192">
        <f>'2012_2020'!CA8</f>
        <v>2.9000000000000001E-2</v>
      </c>
      <c r="CD192">
        <f>'2012_2020'!CB8</f>
        <v>3.0599999999999999E-2</v>
      </c>
      <c r="CE192">
        <f>'2012_2020'!CC8</f>
        <v>3.15E-2</v>
      </c>
      <c r="CF192">
        <f>'2012_2020'!CD8</f>
        <v>3.27E-2</v>
      </c>
      <c r="CG192">
        <f>'2012_2020'!CE8</f>
        <v>3.1199999999999999E-2</v>
      </c>
      <c r="CH192">
        <f>'2012_2020'!CF8</f>
        <v>2.93E-2</v>
      </c>
      <c r="CI192">
        <f>'2012_2020'!CG8</f>
        <v>2.8899999999999999E-2</v>
      </c>
      <c r="CJ192">
        <f>'2012_2020'!CH8</f>
        <v>3.0300000000000001E-2</v>
      </c>
      <c r="CK192">
        <f>'2012_2020'!CI8</f>
        <v>3.7199999999999997E-2</v>
      </c>
      <c r="CL192">
        <f>'2012_2020'!CJ8</f>
        <v>3.6600000000000001E-2</v>
      </c>
      <c r="CM192">
        <f>'2012_2020'!CK8</f>
        <v>3.4799999999999998E-2</v>
      </c>
      <c r="CN192">
        <f>'2012_2020'!CL8</f>
        <v>3.5900000000000001E-2</v>
      </c>
      <c r="CO192">
        <f>'2012_2020'!CM8</f>
        <v>3.5400000000000001E-2</v>
      </c>
      <c r="CP192">
        <f>'2012_2020'!CN8</f>
        <v>3.3599999999999998E-2</v>
      </c>
      <c r="CQ192">
        <f>'2012_2020'!CO8</f>
        <v>3.8399999999999997E-2</v>
      </c>
      <c r="CR192">
        <f>'2012_2020'!CP8</f>
        <v>4.24E-2</v>
      </c>
      <c r="CS192">
        <f>'2012_2020'!CQ8</f>
        <v>3.6999999999999998E-2</v>
      </c>
      <c r="CT192">
        <f>'2012_2020'!CR8</f>
        <v>4.2599999999999999E-2</v>
      </c>
      <c r="CU192">
        <f>'2012_2020'!CS8</f>
        <v>3.3700000000000001E-2</v>
      </c>
      <c r="CV192">
        <f>'2012_2020'!CT8</f>
        <v>4.0099999999999997E-2</v>
      </c>
      <c r="CW192">
        <f>'2012_2020'!CU8</f>
        <v>4.0500000000000001E-2</v>
      </c>
      <c r="CX192">
        <f>'2012_2020'!CV8</f>
        <v>3.78E-2</v>
      </c>
    </row>
    <row r="193" spans="1:102" x14ac:dyDescent="0.2">
      <c r="A193" t="s">
        <v>210</v>
      </c>
      <c r="B193" t="s">
        <v>218</v>
      </c>
      <c r="C193" t="s">
        <v>222</v>
      </c>
      <c r="D193">
        <f>'2012_2020'!B9</f>
        <v>-6.6899999999999998E-3</v>
      </c>
      <c r="E193">
        <f>'2012_2020'!C9</f>
        <v>-7.92E-3</v>
      </c>
      <c r="F193">
        <f>'2012_2020'!D9</f>
        <v>-7.2700000000000004E-3</v>
      </c>
      <c r="G193">
        <f>'2012_2020'!E9</f>
        <v>-6.4700000000000001E-3</v>
      </c>
      <c r="H193">
        <f>'2012_2020'!F9</f>
        <v>-5.8599999999999998E-3</v>
      </c>
      <c r="I193">
        <f>'2012_2020'!G9</f>
        <v>-5.8700000000000002E-3</v>
      </c>
      <c r="J193">
        <f>'2012_2020'!H9</f>
        <v>-5.1700000000000001E-3</v>
      </c>
      <c r="K193">
        <f>'2012_2020'!I9</f>
        <v>-4.5700000000000003E-3</v>
      </c>
      <c r="L193">
        <f>'2012_2020'!J9</f>
        <v>-4.3400000000000001E-3</v>
      </c>
      <c r="M193">
        <f>'2012_2020'!K9</f>
        <v>-3.31E-3</v>
      </c>
      <c r="N193">
        <f>'2012_2020'!L9</f>
        <v>-3.0500000000000002E-3</v>
      </c>
      <c r="O193">
        <f>'2012_2020'!M9</f>
        <v>-2.6900000000000001E-3</v>
      </c>
      <c r="P193">
        <f>'2012_2020'!N9</f>
        <v>-2.3600000000000001E-3</v>
      </c>
      <c r="Q193">
        <f>'2012_2020'!O9</f>
        <v>-2.0500000000000002E-3</v>
      </c>
      <c r="R193">
        <f>'2012_2020'!P9</f>
        <v>-1.6999999999999999E-3</v>
      </c>
      <c r="S193">
        <f>'2012_2020'!Q9</f>
        <v>-1.58E-3</v>
      </c>
      <c r="T193">
        <f>'2012_2020'!R9</f>
        <v>-1.5499999999999999E-3</v>
      </c>
      <c r="U193">
        <f>'2012_2020'!S9</f>
        <v>-1.5200000000000001E-3</v>
      </c>
      <c r="V193">
        <f>'2012_2020'!T9</f>
        <v>-1.5299999999999999E-3</v>
      </c>
      <c r="W193">
        <f>'2012_2020'!U9</f>
        <v>-1.5299999999999999E-3</v>
      </c>
      <c r="X193">
        <f>'2012_2020'!V9</f>
        <v>-1.6299999999999999E-3</v>
      </c>
      <c r="Y193">
        <f>'2012_2020'!W9</f>
        <v>-1.7099999999999999E-3</v>
      </c>
      <c r="Z193">
        <f>'2012_2020'!X9</f>
        <v>-1.7600000000000001E-3</v>
      </c>
      <c r="AA193">
        <f>'2012_2020'!Y9</f>
        <v>-1.8400000000000001E-3</v>
      </c>
      <c r="AB193">
        <f>'2012_2020'!Z9</f>
        <v>-1.8699999999999999E-3</v>
      </c>
      <c r="AC193">
        <f>'2012_2020'!AA9</f>
        <v>-1.9300000000000001E-3</v>
      </c>
      <c r="AD193">
        <f>'2012_2020'!AB9</f>
        <v>-2E-3</v>
      </c>
      <c r="AE193">
        <f>'2012_2020'!AC9</f>
        <v>-2.0999999999999999E-3</v>
      </c>
      <c r="AF193">
        <f>'2012_2020'!AD9</f>
        <v>-2.1800000000000001E-3</v>
      </c>
      <c r="AG193">
        <f>'2012_2020'!AE9</f>
        <v>-2.3E-3</v>
      </c>
      <c r="AH193">
        <f>'2012_2020'!AF9</f>
        <v>-2.4599999999999999E-3</v>
      </c>
      <c r="AI193">
        <f>'2012_2020'!AG9</f>
        <v>-2.5799999999999998E-3</v>
      </c>
      <c r="AJ193">
        <f>'2012_2020'!AH9</f>
        <v>-2.6800000000000001E-3</v>
      </c>
      <c r="AK193">
        <f>'2012_2020'!AI9</f>
        <v>-2.8400000000000001E-3</v>
      </c>
      <c r="AL193">
        <f>'2012_2020'!AJ9</f>
        <v>-2.98E-3</v>
      </c>
      <c r="AM193">
        <f>'2012_2020'!AK9</f>
        <v>-3.13E-3</v>
      </c>
      <c r="AN193">
        <f>'2012_2020'!AL9</f>
        <v>-3.2200000000000002E-3</v>
      </c>
      <c r="AO193">
        <f>'2012_2020'!AM9</f>
        <v>-3.4399999999999999E-3</v>
      </c>
      <c r="AP193">
        <f>'2012_2020'!AN9</f>
        <v>-3.5899999999999999E-3</v>
      </c>
      <c r="AQ193">
        <f>'2012_2020'!AO9</f>
        <v>-3.8400000000000001E-3</v>
      </c>
      <c r="AR193">
        <f>'2012_2020'!AP9</f>
        <v>-3.9500000000000004E-3</v>
      </c>
      <c r="AS193">
        <f>'2012_2020'!AQ9</f>
        <v>-4.0699999999999998E-3</v>
      </c>
      <c r="AT193">
        <f>'2012_2020'!AR9</f>
        <v>-4.1399999999999996E-3</v>
      </c>
      <c r="AU193">
        <f>'2012_2020'!AS9</f>
        <v>-4.1700000000000001E-3</v>
      </c>
      <c r="AV193">
        <f>'2012_2020'!AT9</f>
        <v>-4.1599999999999996E-3</v>
      </c>
      <c r="AW193">
        <f>'2012_2020'!AU9</f>
        <v>-4.1799999999999997E-3</v>
      </c>
      <c r="AX193">
        <f>'2012_2020'!AV9</f>
        <v>-4.1999999999999997E-3</v>
      </c>
      <c r="AY193">
        <f>'2012_2020'!AW9</f>
        <v>-4.3200000000000001E-3</v>
      </c>
      <c r="AZ193">
        <f>'2012_2020'!AX9</f>
        <v>-4.4000000000000003E-3</v>
      </c>
      <c r="BA193">
        <f>'2012_2020'!AY9</f>
        <v>-4.5599999999999998E-3</v>
      </c>
      <c r="BB193">
        <f>'2012_2020'!AZ9</f>
        <v>-4.6499999999999996E-3</v>
      </c>
      <c r="BC193">
        <f>'2012_2020'!BA9</f>
        <v>-4.8999999999999998E-3</v>
      </c>
      <c r="BD193">
        <f>'2012_2020'!BB9</f>
        <v>-5.13E-3</v>
      </c>
      <c r="BE193">
        <f>'2012_2020'!BC9</f>
        <v>-5.2399999999999999E-3</v>
      </c>
      <c r="BF193">
        <f>'2012_2020'!BD9</f>
        <v>-5.2900000000000004E-3</v>
      </c>
      <c r="BG193">
        <f>'2012_2020'!BE9</f>
        <v>-5.3200000000000001E-3</v>
      </c>
      <c r="BH193">
        <f>'2012_2020'!BF9</f>
        <v>-5.28E-3</v>
      </c>
      <c r="BI193">
        <f>'2012_2020'!BG9</f>
        <v>-5.1799999999999997E-3</v>
      </c>
      <c r="BJ193">
        <f>'2012_2020'!BH9</f>
        <v>-5.1700000000000001E-3</v>
      </c>
      <c r="BK193">
        <f>'2012_2020'!BI9</f>
        <v>-5.13E-3</v>
      </c>
      <c r="BL193">
        <f>'2012_2020'!BJ9</f>
        <v>-5.1500000000000001E-3</v>
      </c>
      <c r="BM193">
        <f>'2012_2020'!BK9</f>
        <v>-5.2500000000000003E-3</v>
      </c>
      <c r="BN193">
        <f>'2012_2020'!BL9</f>
        <v>-5.5100000000000001E-3</v>
      </c>
      <c r="BO193">
        <f>'2012_2020'!BM9</f>
        <v>-5.5199999999999997E-3</v>
      </c>
      <c r="BP193">
        <f>'2012_2020'!BN9</f>
        <v>-5.64E-3</v>
      </c>
      <c r="BQ193">
        <f>'2012_2020'!BO9</f>
        <v>-5.6600000000000001E-3</v>
      </c>
      <c r="BR193">
        <f>'2012_2020'!BP9</f>
        <v>-5.6100000000000004E-3</v>
      </c>
      <c r="BS193">
        <f>'2012_2020'!BQ9</f>
        <v>-5.5900000000000004E-3</v>
      </c>
      <c r="BT193">
        <f>'2012_2020'!BR9</f>
        <v>-5.5300000000000002E-3</v>
      </c>
      <c r="BU193">
        <f>'2012_2020'!BS9</f>
        <v>-5.5599999999999998E-3</v>
      </c>
      <c r="BV193">
        <f>'2012_2020'!BT9</f>
        <v>-5.8799999999999998E-3</v>
      </c>
      <c r="BW193">
        <f>'2012_2020'!BU9</f>
        <v>-6.1000000000000004E-3</v>
      </c>
      <c r="BX193">
        <f>'2012_2020'!BV9</f>
        <v>-6.1700000000000001E-3</v>
      </c>
      <c r="BY193">
        <f>'2012_2020'!BW9</f>
        <v>-6.3600000000000002E-3</v>
      </c>
      <c r="BZ193">
        <f>'2012_2020'!BX9</f>
        <v>-6.3099999999999996E-3</v>
      </c>
      <c r="CA193">
        <f>'2012_2020'!BY9</f>
        <v>-6.2500000000000003E-3</v>
      </c>
      <c r="CB193">
        <f>'2012_2020'!BZ9</f>
        <v>-6.0099999999999997E-3</v>
      </c>
      <c r="CC193">
        <f>'2012_2020'!CA9</f>
        <v>-6.3499999999999997E-3</v>
      </c>
      <c r="CD193">
        <f>'2012_2020'!CB9</f>
        <v>-6.6800000000000002E-3</v>
      </c>
      <c r="CE193">
        <f>'2012_2020'!CC9</f>
        <v>-6.7299999999999999E-3</v>
      </c>
      <c r="CF193">
        <f>'2012_2020'!CD9</f>
        <v>-6.9800000000000001E-3</v>
      </c>
      <c r="CG193">
        <f>'2012_2020'!CE9</f>
        <v>-6.6299999999999996E-3</v>
      </c>
      <c r="CH193">
        <f>'2012_2020'!CF9</f>
        <v>-6.3E-3</v>
      </c>
      <c r="CI193">
        <f>'2012_2020'!CG9</f>
        <v>-6.1199999999999996E-3</v>
      </c>
      <c r="CJ193">
        <f>'2012_2020'!CH9</f>
        <v>-6.45E-3</v>
      </c>
      <c r="CK193">
        <f>'2012_2020'!CI9</f>
        <v>-7.7099999999999998E-3</v>
      </c>
      <c r="CL193">
        <f>'2012_2020'!CJ9</f>
        <v>-7.5900000000000004E-3</v>
      </c>
      <c r="CM193">
        <f>'2012_2020'!CK9</f>
        <v>-7.4700000000000001E-3</v>
      </c>
      <c r="CN193">
        <f>'2012_2020'!CL9</f>
        <v>-7.7000000000000002E-3</v>
      </c>
      <c r="CO193">
        <f>'2012_2020'!CM9</f>
        <v>-7.7000000000000002E-3</v>
      </c>
      <c r="CP193">
        <f>'2012_2020'!CN9</f>
        <v>-7.4599999999999996E-3</v>
      </c>
      <c r="CQ193">
        <f>'2012_2020'!CO9</f>
        <v>-8.6999999999999994E-3</v>
      </c>
      <c r="CR193">
        <f>'2012_2020'!CP9</f>
        <v>-9.5200000000000007E-3</v>
      </c>
      <c r="CS193">
        <f>'2012_2020'!CQ9</f>
        <v>-8.3499999999999998E-3</v>
      </c>
      <c r="CT193">
        <f>'2012_2020'!CR9</f>
        <v>-1.0200000000000001E-2</v>
      </c>
      <c r="CU193">
        <f>'2012_2020'!CS9</f>
        <v>-8.2900000000000005E-3</v>
      </c>
      <c r="CV193">
        <f>'2012_2020'!CT9</f>
        <v>-9.3900000000000008E-3</v>
      </c>
      <c r="CW193">
        <f>'2012_2020'!CU9</f>
        <v>-9.7900000000000001E-3</v>
      </c>
      <c r="CX193">
        <f>'2012_2020'!CV9</f>
        <v>-9.4500000000000001E-3</v>
      </c>
    </row>
    <row r="194" spans="1:102" x14ac:dyDescent="0.2">
      <c r="A194" t="s">
        <v>211</v>
      </c>
      <c r="B194" t="s">
        <v>218</v>
      </c>
      <c r="C194" t="s">
        <v>222</v>
      </c>
      <c r="D194">
        <f>'2012_2020'!B10</f>
        <v>-4.1999999999999997E-3</v>
      </c>
      <c r="E194">
        <f>'2012_2020'!C10</f>
        <v>-4.7400000000000003E-3</v>
      </c>
      <c r="F194">
        <f>'2012_2020'!D10</f>
        <v>-4.4000000000000003E-3</v>
      </c>
      <c r="G194">
        <f>'2012_2020'!E10</f>
        <v>-4.15E-3</v>
      </c>
      <c r="H194">
        <f>'2012_2020'!F10</f>
        <v>-3.7299999999999998E-3</v>
      </c>
      <c r="I194">
        <f>'2012_2020'!G10</f>
        <v>-3.7200000000000002E-3</v>
      </c>
      <c r="J194">
        <f>'2012_2020'!H10</f>
        <v>-3.5699999999999998E-3</v>
      </c>
      <c r="K194">
        <f>'2012_2020'!I10</f>
        <v>-3.64E-3</v>
      </c>
      <c r="L194">
        <f>'2012_2020'!J10</f>
        <v>-3.3700000000000002E-3</v>
      </c>
      <c r="M194">
        <f>'2012_2020'!K10</f>
        <v>-2.8500000000000001E-3</v>
      </c>
      <c r="N194">
        <f>'2012_2020'!L10</f>
        <v>-2.9399999999999999E-3</v>
      </c>
      <c r="O194">
        <f>'2012_2020'!M10</f>
        <v>-2.8800000000000002E-3</v>
      </c>
      <c r="P194">
        <f>'2012_2020'!N10</f>
        <v>-2.7100000000000002E-3</v>
      </c>
      <c r="Q194">
        <f>'2012_2020'!O10</f>
        <v>-2.6099999999999999E-3</v>
      </c>
      <c r="R194">
        <f>'2012_2020'!P10</f>
        <v>-2.2100000000000002E-3</v>
      </c>
      <c r="S194">
        <f>'2012_2020'!Q10</f>
        <v>-2.1700000000000001E-3</v>
      </c>
      <c r="T194">
        <f>'2012_2020'!R10</f>
        <v>-1.99E-3</v>
      </c>
      <c r="U194">
        <f>'2012_2020'!S10</f>
        <v>-2.0899999999999998E-3</v>
      </c>
      <c r="V194">
        <f>'2012_2020'!T10</f>
        <v>-2.0300000000000001E-3</v>
      </c>
      <c r="W194">
        <f>'2012_2020'!U10</f>
        <v>-2.0200000000000001E-3</v>
      </c>
      <c r="X194">
        <f>'2012_2020'!V10</f>
        <v>-2.0400000000000001E-3</v>
      </c>
      <c r="Y194">
        <f>'2012_2020'!W10</f>
        <v>-2.1199999999999999E-3</v>
      </c>
      <c r="Z194">
        <f>'2012_2020'!X10</f>
        <v>-2.1099999999999999E-3</v>
      </c>
      <c r="AA194">
        <f>'2012_2020'!Y10</f>
        <v>-2.1900000000000001E-3</v>
      </c>
      <c r="AB194">
        <f>'2012_2020'!Z10</f>
        <v>-2.1199999999999999E-3</v>
      </c>
      <c r="AC194">
        <f>'2012_2020'!AA10</f>
        <v>-2.1199999999999999E-3</v>
      </c>
      <c r="AD194">
        <f>'2012_2020'!AB10</f>
        <v>-2.2000000000000001E-3</v>
      </c>
      <c r="AE194">
        <f>'2012_2020'!AC10</f>
        <v>-2.1800000000000001E-3</v>
      </c>
      <c r="AF194">
        <f>'2012_2020'!AD10</f>
        <v>-2.2499999999999998E-3</v>
      </c>
      <c r="AG194">
        <f>'2012_2020'!AE10</f>
        <v>-2.5200000000000001E-3</v>
      </c>
      <c r="AH194">
        <f>'2012_2020'!AF10</f>
        <v>-2.5500000000000002E-3</v>
      </c>
      <c r="AI194">
        <f>'2012_2020'!AG10</f>
        <v>-2.65E-3</v>
      </c>
      <c r="AJ194">
        <f>'2012_2020'!AH10</f>
        <v>-2.8E-3</v>
      </c>
      <c r="AK194">
        <f>'2012_2020'!AI10</f>
        <v>-2.8700000000000002E-3</v>
      </c>
      <c r="AL194">
        <f>'2012_2020'!AJ10</f>
        <v>-3.0100000000000001E-3</v>
      </c>
      <c r="AM194">
        <f>'2012_2020'!AK10</f>
        <v>-3.0799999999999998E-3</v>
      </c>
      <c r="AN194">
        <f>'2012_2020'!AL10</f>
        <v>-3.1099999999999999E-3</v>
      </c>
      <c r="AO194">
        <f>'2012_2020'!AM10</f>
        <v>-3.3800000000000002E-3</v>
      </c>
      <c r="AP194">
        <f>'2012_2020'!AN10</f>
        <v>-3.5300000000000002E-3</v>
      </c>
      <c r="AQ194">
        <f>'2012_2020'!AO10</f>
        <v>-3.5699999999999998E-3</v>
      </c>
      <c r="AR194">
        <f>'2012_2020'!AP10</f>
        <v>-3.7200000000000002E-3</v>
      </c>
      <c r="AS194">
        <f>'2012_2020'!AQ10</f>
        <v>-3.7499999999999999E-3</v>
      </c>
      <c r="AT194">
        <f>'2012_2020'!AR10</f>
        <v>-3.8E-3</v>
      </c>
      <c r="AU194">
        <f>'2012_2020'!AS10</f>
        <v>-3.8E-3</v>
      </c>
      <c r="AV194">
        <f>'2012_2020'!AT10</f>
        <v>-3.79E-3</v>
      </c>
      <c r="AW194">
        <f>'2012_2020'!AU10</f>
        <v>-3.8999999999999998E-3</v>
      </c>
      <c r="AX194">
        <f>'2012_2020'!AV10</f>
        <v>-3.9699999999999996E-3</v>
      </c>
      <c r="AY194">
        <f>'2012_2020'!AW10</f>
        <v>-3.9199999999999999E-3</v>
      </c>
      <c r="AZ194">
        <f>'2012_2020'!AX10</f>
        <v>-4.0499999999999998E-3</v>
      </c>
      <c r="BA194">
        <f>'2012_2020'!AY10</f>
        <v>-4.1399999999999996E-3</v>
      </c>
      <c r="BB194">
        <f>'2012_2020'!AZ10</f>
        <v>-4.1999999999999997E-3</v>
      </c>
      <c r="BC194">
        <f>'2012_2020'!BA10</f>
        <v>-4.3800000000000002E-3</v>
      </c>
      <c r="BD194">
        <f>'2012_2020'!BB10</f>
        <v>-4.62E-3</v>
      </c>
      <c r="BE194">
        <f>'2012_2020'!BC10</f>
        <v>-4.9100000000000003E-3</v>
      </c>
      <c r="BF194">
        <f>'2012_2020'!BD10</f>
        <v>-4.9199999999999999E-3</v>
      </c>
      <c r="BG194">
        <f>'2012_2020'!BE10</f>
        <v>-4.9800000000000001E-3</v>
      </c>
      <c r="BH194">
        <f>'2012_2020'!BF10</f>
        <v>-5.0099999999999997E-3</v>
      </c>
      <c r="BI194">
        <f>'2012_2020'!BG10</f>
        <v>-5.0499999999999998E-3</v>
      </c>
      <c r="BJ194">
        <f>'2012_2020'!BH10</f>
        <v>-5.1999999999999998E-3</v>
      </c>
      <c r="BK194">
        <f>'2012_2020'!BI10</f>
        <v>-5.0400000000000002E-3</v>
      </c>
      <c r="BL194">
        <f>'2012_2020'!BJ10</f>
        <v>-4.9800000000000001E-3</v>
      </c>
      <c r="BM194">
        <f>'2012_2020'!BK10</f>
        <v>-5.2700000000000004E-3</v>
      </c>
      <c r="BN194">
        <f>'2012_2020'!BL10</f>
        <v>-5.5999999999999999E-3</v>
      </c>
      <c r="BO194">
        <f>'2012_2020'!BM10</f>
        <v>-5.79E-3</v>
      </c>
      <c r="BP194">
        <f>'2012_2020'!BN10</f>
        <v>-5.94E-3</v>
      </c>
      <c r="BQ194">
        <f>'2012_2020'!BO10</f>
        <v>-6.0099999999999997E-3</v>
      </c>
      <c r="BR194">
        <f>'2012_2020'!BP10</f>
        <v>-6.2599999999999999E-3</v>
      </c>
      <c r="BS194">
        <f>'2012_2020'!BQ10</f>
        <v>-6.2700000000000004E-3</v>
      </c>
      <c r="BT194">
        <f>'2012_2020'!BR10</f>
        <v>-6.13E-3</v>
      </c>
      <c r="BU194">
        <f>'2012_2020'!BS10</f>
        <v>-6.2100000000000002E-3</v>
      </c>
      <c r="BV194">
        <f>'2012_2020'!BT10</f>
        <v>-6.7400000000000003E-3</v>
      </c>
      <c r="BW194">
        <f>'2012_2020'!BU10</f>
        <v>-7.0299999999999998E-3</v>
      </c>
      <c r="BX194">
        <f>'2012_2020'!BV10</f>
        <v>-7.11E-3</v>
      </c>
      <c r="BY194">
        <f>'2012_2020'!BW10</f>
        <v>-7.2399999999999999E-3</v>
      </c>
      <c r="BZ194">
        <f>'2012_2020'!BX10</f>
        <v>-7.26E-3</v>
      </c>
      <c r="CA194">
        <f>'2012_2020'!BY10</f>
        <v>-7.4099999999999999E-3</v>
      </c>
      <c r="CB194">
        <f>'2012_2020'!BZ10</f>
        <v>-7.0099999999999997E-3</v>
      </c>
      <c r="CC194">
        <f>'2012_2020'!CA10</f>
        <v>-7.3600000000000002E-3</v>
      </c>
      <c r="CD194">
        <f>'2012_2020'!CB10</f>
        <v>-7.6299999999999996E-3</v>
      </c>
      <c r="CE194">
        <f>'2012_2020'!CC10</f>
        <v>-7.9100000000000004E-3</v>
      </c>
      <c r="CF194">
        <f>'2012_2020'!CD10</f>
        <v>-8.2000000000000007E-3</v>
      </c>
      <c r="CG194">
        <f>'2012_2020'!CE10</f>
        <v>-7.9000000000000008E-3</v>
      </c>
      <c r="CH194">
        <f>'2012_2020'!CF10</f>
        <v>-7.6099999999999996E-3</v>
      </c>
      <c r="CI194">
        <f>'2012_2020'!CG10</f>
        <v>-7.0099999999999997E-3</v>
      </c>
      <c r="CJ194">
        <f>'2012_2020'!CH10</f>
        <v>-7.3499999999999998E-3</v>
      </c>
      <c r="CK194">
        <f>'2012_2020'!CI10</f>
        <v>-9.0200000000000002E-3</v>
      </c>
      <c r="CL194">
        <f>'2012_2020'!CJ10</f>
        <v>-8.8299999999999993E-3</v>
      </c>
      <c r="CM194">
        <f>'2012_2020'!CK10</f>
        <v>-8.7100000000000007E-3</v>
      </c>
      <c r="CN194">
        <f>'2012_2020'!CL10</f>
        <v>-8.7899999999999992E-3</v>
      </c>
      <c r="CO194">
        <f>'2012_2020'!CM10</f>
        <v>-8.4799999999999997E-3</v>
      </c>
      <c r="CP194">
        <f>'2012_2020'!CN10</f>
        <v>-8.1399999999999997E-3</v>
      </c>
      <c r="CQ194">
        <f>'2012_2020'!CO10</f>
        <v>-9.41E-3</v>
      </c>
      <c r="CR194">
        <f>'2012_2020'!CP10</f>
        <v>-1.0699999999999999E-2</v>
      </c>
      <c r="CS194">
        <f>'2012_2020'!CQ10</f>
        <v>-9.6799999999999994E-3</v>
      </c>
      <c r="CT194">
        <f>'2012_2020'!CR10</f>
        <v>-1.0800000000000001E-2</v>
      </c>
      <c r="CU194">
        <f>'2012_2020'!CS10</f>
        <v>-8.8100000000000001E-3</v>
      </c>
      <c r="CV194">
        <f>'2012_2020'!CT10</f>
        <v>-1.09E-2</v>
      </c>
      <c r="CW194">
        <f>'2012_2020'!CU10</f>
        <v>-1.03E-2</v>
      </c>
      <c r="CX194">
        <f>'2012_2020'!CV10</f>
        <v>-8.7299999999999999E-3</v>
      </c>
    </row>
    <row r="195" spans="1:102" x14ac:dyDescent="0.2">
      <c r="A195" t="s">
        <v>212</v>
      </c>
      <c r="B195" t="s">
        <v>218</v>
      </c>
      <c r="C195" t="s">
        <v>222</v>
      </c>
      <c r="D195">
        <f>'2012_2020'!B11</f>
        <v>9.1500000000000001E-3</v>
      </c>
      <c r="E195">
        <f>'2012_2020'!C11</f>
        <v>1.06E-2</v>
      </c>
      <c r="F195">
        <f>'2012_2020'!D11</f>
        <v>9.6500000000000006E-3</v>
      </c>
      <c r="G195">
        <f>'2012_2020'!E11</f>
        <v>8.6700000000000006E-3</v>
      </c>
      <c r="H195">
        <f>'2012_2020'!F11</f>
        <v>7.7200000000000003E-3</v>
      </c>
      <c r="I195">
        <f>'2012_2020'!G11</f>
        <v>7.3699999999999998E-3</v>
      </c>
      <c r="J195">
        <f>'2012_2020'!H11</f>
        <v>6.94E-3</v>
      </c>
      <c r="K195">
        <f>'2012_2020'!I11</f>
        <v>6.4599999999999996E-3</v>
      </c>
      <c r="L195">
        <f>'2012_2020'!J11</f>
        <v>6.0499999999999998E-3</v>
      </c>
      <c r="M195">
        <f>'2012_2020'!K11</f>
        <v>4.79E-3</v>
      </c>
      <c r="N195">
        <f>'2012_2020'!L11</f>
        <v>4.3699999999999998E-3</v>
      </c>
      <c r="O195">
        <f>'2012_2020'!M11</f>
        <v>3.82E-3</v>
      </c>
      <c r="P195">
        <f>'2012_2020'!N11</f>
        <v>3.4099999999999998E-3</v>
      </c>
      <c r="Q195">
        <f>'2012_2020'!O11</f>
        <v>2.8999999999999998E-3</v>
      </c>
      <c r="R195">
        <f>'2012_2020'!P11</f>
        <v>2.31E-3</v>
      </c>
      <c r="S195">
        <f>'2012_2020'!Q11</f>
        <v>2.0699999999999998E-3</v>
      </c>
      <c r="T195">
        <f>'2012_2020'!R11</f>
        <v>1.9E-3</v>
      </c>
      <c r="U195">
        <f>'2012_2020'!S11</f>
        <v>1.8E-3</v>
      </c>
      <c r="V195">
        <f>'2012_2020'!T11</f>
        <v>1.66E-3</v>
      </c>
      <c r="W195">
        <f>'2012_2020'!U11</f>
        <v>1.57E-3</v>
      </c>
      <c r="X195">
        <f>'2012_2020'!V11</f>
        <v>1.5299999999999999E-3</v>
      </c>
      <c r="Y195">
        <f>'2012_2020'!W11</f>
        <v>1.4599999999999999E-3</v>
      </c>
      <c r="Z195">
        <f>'2012_2020'!X11</f>
        <v>1.42E-3</v>
      </c>
      <c r="AA195">
        <f>'2012_2020'!Y11</f>
        <v>1.39E-3</v>
      </c>
      <c r="AB195">
        <f>'2012_2020'!Z11</f>
        <v>1.34E-3</v>
      </c>
      <c r="AC195">
        <f>'2012_2020'!AA11</f>
        <v>1.33E-3</v>
      </c>
      <c r="AD195">
        <f>'2012_2020'!AB11</f>
        <v>1.2700000000000001E-3</v>
      </c>
      <c r="AE195">
        <f>'2012_2020'!AC11</f>
        <v>1.23E-3</v>
      </c>
      <c r="AF195">
        <f>'2012_2020'!AD11</f>
        <v>1.23E-3</v>
      </c>
      <c r="AG195">
        <f>'2012_2020'!AE11</f>
        <v>1.1999999999999999E-3</v>
      </c>
      <c r="AH195">
        <f>'2012_2020'!AF11</f>
        <v>1.1900000000000001E-3</v>
      </c>
      <c r="AI195">
        <f>'2012_2020'!AG11</f>
        <v>1.17E-3</v>
      </c>
      <c r="AJ195">
        <f>'2012_2020'!AH11</f>
        <v>1.1999999999999999E-3</v>
      </c>
      <c r="AK195">
        <f>'2012_2020'!AI11</f>
        <v>1.2199999999999999E-3</v>
      </c>
      <c r="AL195">
        <f>'2012_2020'!AJ11</f>
        <v>1.2700000000000001E-3</v>
      </c>
      <c r="AM195">
        <f>'2012_2020'!AK11</f>
        <v>1.2600000000000001E-3</v>
      </c>
      <c r="AN195">
        <f>'2012_2020'!AL11</f>
        <v>1.25E-3</v>
      </c>
      <c r="AO195">
        <f>'2012_2020'!AM11</f>
        <v>1.2800000000000001E-3</v>
      </c>
      <c r="AP195">
        <f>'2012_2020'!AN11</f>
        <v>1.2700000000000001E-3</v>
      </c>
      <c r="AQ195">
        <f>'2012_2020'!AO11</f>
        <v>1.2800000000000001E-3</v>
      </c>
      <c r="AR195">
        <f>'2012_2020'!AP11</f>
        <v>1.2899999999999999E-3</v>
      </c>
      <c r="AS195">
        <f>'2012_2020'!AQ11</f>
        <v>1.2999999999999999E-3</v>
      </c>
      <c r="AT195">
        <f>'2012_2020'!AR11</f>
        <v>1.2800000000000001E-3</v>
      </c>
      <c r="AU195">
        <f>'2012_2020'!AS11</f>
        <v>1.25E-3</v>
      </c>
      <c r="AV195">
        <f>'2012_2020'!AT11</f>
        <v>1.2199999999999999E-3</v>
      </c>
      <c r="AW195">
        <f>'2012_2020'!AU11</f>
        <v>1.24E-3</v>
      </c>
      <c r="AX195">
        <f>'2012_2020'!AV11</f>
        <v>1.2199999999999999E-3</v>
      </c>
      <c r="AY195">
        <f>'2012_2020'!AW11</f>
        <v>1.16E-3</v>
      </c>
      <c r="AZ195">
        <f>'2012_2020'!AX11</f>
        <v>1.14E-3</v>
      </c>
      <c r="BA195">
        <f>'2012_2020'!AY11</f>
        <v>1.1199999999999999E-3</v>
      </c>
      <c r="BB195">
        <f>'2012_2020'!AZ11</f>
        <v>1.1199999999999999E-3</v>
      </c>
      <c r="BC195">
        <f>'2012_2020'!BA11</f>
        <v>1.17E-3</v>
      </c>
      <c r="BD195">
        <f>'2012_2020'!BB11</f>
        <v>1.2099999999999999E-3</v>
      </c>
      <c r="BE195">
        <f>'2012_2020'!BC11</f>
        <v>1.2099999999999999E-3</v>
      </c>
      <c r="BF195">
        <f>'2012_2020'!BD11</f>
        <v>1.2099999999999999E-3</v>
      </c>
      <c r="BG195">
        <f>'2012_2020'!BE11</f>
        <v>1.1900000000000001E-3</v>
      </c>
      <c r="BH195">
        <f>'2012_2020'!BF11</f>
        <v>1.1299999999999999E-3</v>
      </c>
      <c r="BI195">
        <f>'2012_2020'!BG11</f>
        <v>1.1100000000000001E-3</v>
      </c>
      <c r="BJ195">
        <f>'2012_2020'!BH11</f>
        <v>1.14E-3</v>
      </c>
      <c r="BK195">
        <f>'2012_2020'!BI11</f>
        <v>1.09E-3</v>
      </c>
      <c r="BL195">
        <f>'2012_2020'!BJ11</f>
        <v>1.09E-3</v>
      </c>
      <c r="BM195">
        <f>'2012_2020'!BK11</f>
        <v>1.09E-3</v>
      </c>
      <c r="BN195">
        <f>'2012_2020'!BL11</f>
        <v>1.09E-3</v>
      </c>
      <c r="BO195">
        <f>'2012_2020'!BM11</f>
        <v>1.08E-3</v>
      </c>
      <c r="BP195">
        <f>'2012_2020'!BN11</f>
        <v>1.1199999999999999E-3</v>
      </c>
      <c r="BQ195">
        <f>'2012_2020'!BO11</f>
        <v>1.16E-3</v>
      </c>
      <c r="BR195">
        <f>'2012_2020'!BP11</f>
        <v>1.1199999999999999E-3</v>
      </c>
      <c r="BS195">
        <f>'2012_2020'!BQ11</f>
        <v>1.09E-3</v>
      </c>
      <c r="BT195">
        <f>'2012_2020'!BR11</f>
        <v>1.1000000000000001E-3</v>
      </c>
      <c r="BU195">
        <f>'2012_2020'!BS11</f>
        <v>1.14E-3</v>
      </c>
      <c r="BV195">
        <f>'2012_2020'!BT11</f>
        <v>1.2600000000000001E-3</v>
      </c>
      <c r="BW195">
        <f>'2012_2020'!BU11</f>
        <v>1.32E-3</v>
      </c>
      <c r="BX195">
        <f>'2012_2020'!BV11</f>
        <v>1.25E-3</v>
      </c>
      <c r="BY195">
        <f>'2012_2020'!BW11</f>
        <v>1.2899999999999999E-3</v>
      </c>
      <c r="BZ195">
        <f>'2012_2020'!BX11</f>
        <v>1.2899999999999999E-3</v>
      </c>
      <c r="CA195">
        <f>'2012_2020'!BY11</f>
        <v>1.2800000000000001E-3</v>
      </c>
      <c r="CB195">
        <f>'2012_2020'!BZ11</f>
        <v>1.2099999999999999E-3</v>
      </c>
      <c r="CC195">
        <f>'2012_2020'!CA11</f>
        <v>1.24E-3</v>
      </c>
      <c r="CD195">
        <f>'2012_2020'!CB11</f>
        <v>1.1800000000000001E-3</v>
      </c>
      <c r="CE195">
        <f>'2012_2020'!CC11</f>
        <v>1.15E-3</v>
      </c>
      <c r="CF195">
        <f>'2012_2020'!CD11</f>
        <v>1.1100000000000001E-3</v>
      </c>
      <c r="CG195">
        <f>'2012_2020'!CE11</f>
        <v>1.06E-3</v>
      </c>
      <c r="CH195">
        <f>'2012_2020'!CF11</f>
        <v>9.6299999999999999E-4</v>
      </c>
      <c r="CI195">
        <f>'2012_2020'!CG11</f>
        <v>8.92E-4</v>
      </c>
      <c r="CJ195">
        <f>'2012_2020'!CH11</f>
        <v>7.7899999999999996E-4</v>
      </c>
      <c r="CK195">
        <f>'2012_2020'!CI11</f>
        <v>9.3000000000000005E-4</v>
      </c>
      <c r="CL195">
        <f>'2012_2020'!CJ11</f>
        <v>9.3999999999999997E-4</v>
      </c>
      <c r="CM195">
        <f>'2012_2020'!CK11</f>
        <v>8.8000000000000003E-4</v>
      </c>
      <c r="CN195">
        <f>'2012_2020'!CL11</f>
        <v>9.0799999999999995E-4</v>
      </c>
      <c r="CO195">
        <f>'2012_2020'!CM11</f>
        <v>8.2600000000000002E-4</v>
      </c>
      <c r="CP195">
        <f>'2012_2020'!CN11</f>
        <v>7.7999999999999999E-4</v>
      </c>
      <c r="CQ195">
        <f>'2012_2020'!CO11</f>
        <v>8.1700000000000002E-4</v>
      </c>
      <c r="CR195">
        <f>'2012_2020'!CP11</f>
        <v>8.7699999999999996E-4</v>
      </c>
      <c r="CS195">
        <f>'2012_2020'!CQ11</f>
        <v>7.3300000000000004E-4</v>
      </c>
      <c r="CT195">
        <f>'2012_2020'!CR11</f>
        <v>7.45E-4</v>
      </c>
      <c r="CU195">
        <f>'2012_2020'!CS11</f>
        <v>5.5800000000000001E-4</v>
      </c>
      <c r="CV195">
        <f>'2012_2020'!CT11</f>
        <v>7.3999999999999999E-4</v>
      </c>
      <c r="CW195">
        <f>'2012_2020'!CU11</f>
        <v>5.13E-4</v>
      </c>
      <c r="CX195">
        <f>'2012_2020'!CV11</f>
        <v>6.9200000000000002E-4</v>
      </c>
    </row>
    <row r="196" spans="1:102" x14ac:dyDescent="0.2">
      <c r="A196" t="s">
        <v>213</v>
      </c>
      <c r="B196" t="s">
        <v>218</v>
      </c>
      <c r="C196" t="s">
        <v>222</v>
      </c>
      <c r="D196">
        <f>'2012_2020'!B12</f>
        <v>-1.29E-2</v>
      </c>
      <c r="E196">
        <f>'2012_2020'!C12</f>
        <v>-1.83E-2</v>
      </c>
      <c r="F196">
        <f>'2012_2020'!D12</f>
        <v>-1.9300000000000001E-2</v>
      </c>
      <c r="G196">
        <f>'2012_2020'!E12</f>
        <v>-2.01E-2</v>
      </c>
      <c r="H196">
        <f>'2012_2020'!F12</f>
        <v>-2.01E-2</v>
      </c>
      <c r="I196">
        <f>'2012_2020'!G12</f>
        <v>-2.1999999999999999E-2</v>
      </c>
      <c r="J196">
        <f>'2012_2020'!H12</f>
        <v>-2.1999999999999999E-2</v>
      </c>
      <c r="K196">
        <f>'2012_2020'!I12</f>
        <v>-2.1299999999999999E-2</v>
      </c>
      <c r="L196">
        <f>'2012_2020'!J12</f>
        <v>-2.1600000000000001E-2</v>
      </c>
      <c r="M196">
        <f>'2012_2020'!K12</f>
        <v>-1.7500000000000002E-2</v>
      </c>
      <c r="N196">
        <f>'2012_2020'!L12</f>
        <v>-1.7000000000000001E-2</v>
      </c>
      <c r="O196">
        <f>'2012_2020'!M12</f>
        <v>-1.5900000000000001E-2</v>
      </c>
      <c r="P196">
        <f>'2012_2020'!N12</f>
        <v>-1.43E-2</v>
      </c>
      <c r="Q196">
        <f>'2012_2020'!O12</f>
        <v>-1.24E-2</v>
      </c>
      <c r="R196">
        <f>'2012_2020'!P12</f>
        <v>-0.01</v>
      </c>
      <c r="S196">
        <f>'2012_2020'!Q12</f>
        <v>-8.9099999999999995E-3</v>
      </c>
      <c r="T196">
        <f>'2012_2020'!R12</f>
        <v>-8.3499999999999998E-3</v>
      </c>
      <c r="U196">
        <f>'2012_2020'!S12</f>
        <v>-8.0499999999999999E-3</v>
      </c>
      <c r="V196">
        <f>'2012_2020'!T12</f>
        <v>-7.0600000000000003E-3</v>
      </c>
      <c r="W196">
        <f>'2012_2020'!U12</f>
        <v>-6.5100000000000002E-3</v>
      </c>
      <c r="X196">
        <f>'2012_2020'!V12</f>
        <v>-6.1599999999999997E-3</v>
      </c>
      <c r="Y196">
        <f>'2012_2020'!W12</f>
        <v>-5.8799999999999998E-3</v>
      </c>
      <c r="Z196">
        <f>'2012_2020'!X12</f>
        <v>-5.5399999999999998E-3</v>
      </c>
      <c r="AA196">
        <f>'2012_2020'!Y12</f>
        <v>-5.11E-3</v>
      </c>
      <c r="AB196">
        <f>'2012_2020'!Z12</f>
        <v>-4.7299999999999998E-3</v>
      </c>
      <c r="AC196">
        <f>'2012_2020'!AA12</f>
        <v>-4.4000000000000003E-3</v>
      </c>
      <c r="AD196">
        <f>'2012_2020'!AB12</f>
        <v>-4.1799999999999997E-3</v>
      </c>
      <c r="AE196">
        <f>'2012_2020'!AC12</f>
        <v>-4.0600000000000002E-3</v>
      </c>
      <c r="AF196">
        <f>'2012_2020'!AD12</f>
        <v>-3.9100000000000003E-3</v>
      </c>
      <c r="AG196">
        <f>'2012_2020'!AE12</f>
        <v>-3.8400000000000001E-3</v>
      </c>
      <c r="AH196">
        <f>'2012_2020'!AF12</f>
        <v>-3.6800000000000001E-3</v>
      </c>
      <c r="AI196">
        <f>'2012_2020'!AG12</f>
        <v>-3.4499999999999999E-3</v>
      </c>
      <c r="AJ196">
        <f>'2012_2020'!AH12</f>
        <v>-3.3E-3</v>
      </c>
      <c r="AK196">
        <f>'2012_2020'!AI12</f>
        <v>-3.1700000000000001E-3</v>
      </c>
      <c r="AL196">
        <f>'2012_2020'!AJ12</f>
        <v>-3.0699999999999998E-3</v>
      </c>
      <c r="AM196">
        <f>'2012_2020'!AK12</f>
        <v>-3.0200000000000001E-3</v>
      </c>
      <c r="AN196">
        <f>'2012_2020'!AL12</f>
        <v>-3.0200000000000001E-3</v>
      </c>
      <c r="AO196">
        <f>'2012_2020'!AM12</f>
        <v>-2.9499999999999999E-3</v>
      </c>
      <c r="AP196">
        <f>'2012_2020'!AN12</f>
        <v>-2.82E-3</v>
      </c>
      <c r="AQ196">
        <f>'2012_2020'!AO12</f>
        <v>-2.6199999999999999E-3</v>
      </c>
      <c r="AR196">
        <f>'2012_2020'!AP12</f>
        <v>-2.5000000000000001E-3</v>
      </c>
      <c r="AS196">
        <f>'2012_2020'!AQ12</f>
        <v>-2.2799999999999999E-3</v>
      </c>
      <c r="AT196">
        <f>'2012_2020'!AR12</f>
        <v>-2.0300000000000001E-3</v>
      </c>
      <c r="AU196">
        <f>'2012_2020'!AS12</f>
        <v>-1.7899999999999999E-3</v>
      </c>
      <c r="AV196">
        <f>'2012_2020'!AT12</f>
        <v>-1.5299999999999999E-3</v>
      </c>
      <c r="AW196">
        <f>'2012_2020'!AU12</f>
        <v>-1.4400000000000001E-3</v>
      </c>
      <c r="AX196">
        <f>'2012_2020'!AV12</f>
        <v>-1.4300000000000001E-3</v>
      </c>
      <c r="AY196">
        <f>'2012_2020'!AW12</f>
        <v>-1.3699999999999999E-3</v>
      </c>
      <c r="AZ196">
        <f>'2012_2020'!AX12</f>
        <v>-1.3699999999999999E-3</v>
      </c>
      <c r="BA196">
        <f>'2012_2020'!AY12</f>
        <v>-1.1999999999999999E-3</v>
      </c>
      <c r="BB196">
        <f>'2012_2020'!AZ12</f>
        <v>-1.1299999999999999E-3</v>
      </c>
      <c r="BC196">
        <f>'2012_2020'!BA12</f>
        <v>-9.8999999999999999E-4</v>
      </c>
      <c r="BD196">
        <f>'2012_2020'!BB12</f>
        <v>-9.0399999999999996E-4</v>
      </c>
      <c r="BE196">
        <f>'2012_2020'!BC12</f>
        <v>-7.7700000000000002E-4</v>
      </c>
      <c r="BF196">
        <f>'2012_2020'!BD12</f>
        <v>-5.1099999999999995E-4</v>
      </c>
      <c r="BG196">
        <f>'2012_2020'!BE12</f>
        <v>-2.8800000000000001E-4</v>
      </c>
      <c r="BH196">
        <f>'2012_2020'!BF12</f>
        <v>-1.8000000000000001E-4</v>
      </c>
      <c r="BI196">
        <f>'2012_2020'!BG12</f>
        <v>-1.3200000000000001E-4</v>
      </c>
      <c r="BJ196">
        <f>'2012_2020'!BH12</f>
        <v>-1.83E-4</v>
      </c>
      <c r="BK196">
        <f>'2012_2020'!BI12</f>
        <v>-1.05E-4</v>
      </c>
      <c r="BL196">
        <f>'2012_2020'!BJ12</f>
        <v>-1.11E-4</v>
      </c>
      <c r="BM196">
        <f>'2012_2020'!BK12</f>
        <v>-1.27E-4</v>
      </c>
      <c r="BN196">
        <f>'2012_2020'!BL12</f>
        <v>-1.0900000000000001E-4</v>
      </c>
      <c r="BO196">
        <f>'2012_2020'!BM12</f>
        <v>9.5600000000000004E-7</v>
      </c>
      <c r="BP196">
        <f>'2012_2020'!BN12</f>
        <v>2.2900000000000001E-4</v>
      </c>
      <c r="BQ196">
        <f>'2012_2020'!BO12</f>
        <v>3.2499999999999999E-4</v>
      </c>
      <c r="BR196">
        <f>'2012_2020'!BP12</f>
        <v>3.6400000000000001E-4</v>
      </c>
      <c r="BS196">
        <f>'2012_2020'!BQ12</f>
        <v>4.1399999999999998E-4</v>
      </c>
      <c r="BT196">
        <f>'2012_2020'!BR12</f>
        <v>5.6700000000000001E-4</v>
      </c>
      <c r="BU196">
        <f>'2012_2020'!BS12</f>
        <v>6.5899999999999997E-4</v>
      </c>
      <c r="BV196">
        <f>'2012_2020'!BT12</f>
        <v>7.4600000000000003E-4</v>
      </c>
      <c r="BW196">
        <f>'2012_2020'!BU12</f>
        <v>8.9800000000000004E-4</v>
      </c>
      <c r="BX196">
        <f>'2012_2020'!BV12</f>
        <v>7.1699999999999997E-4</v>
      </c>
      <c r="BY196">
        <f>'2012_2020'!BW12</f>
        <v>9.2500000000000004E-4</v>
      </c>
      <c r="BZ196">
        <f>'2012_2020'!BX12</f>
        <v>9.4300000000000004E-4</v>
      </c>
      <c r="CA196">
        <f>'2012_2020'!BY12</f>
        <v>9.5E-4</v>
      </c>
      <c r="CB196">
        <f>'2012_2020'!BZ12</f>
        <v>1.1100000000000001E-3</v>
      </c>
      <c r="CC196">
        <f>'2012_2020'!CA12</f>
        <v>1.1199999999999999E-3</v>
      </c>
      <c r="CD196">
        <f>'2012_2020'!CB12</f>
        <v>1.06E-3</v>
      </c>
      <c r="CE196">
        <f>'2012_2020'!CC12</f>
        <v>9.9400000000000009E-4</v>
      </c>
      <c r="CF196">
        <f>'2012_2020'!CD12</f>
        <v>9.7900000000000005E-4</v>
      </c>
      <c r="CG196">
        <f>'2012_2020'!CE12</f>
        <v>1.2099999999999999E-3</v>
      </c>
      <c r="CH196">
        <f>'2012_2020'!CF12</f>
        <v>1.14E-3</v>
      </c>
      <c r="CI196">
        <f>'2012_2020'!CG12</f>
        <v>9.2500000000000004E-4</v>
      </c>
      <c r="CJ196">
        <f>'2012_2020'!CH12</f>
        <v>7.9500000000000003E-4</v>
      </c>
      <c r="CK196">
        <f>'2012_2020'!CI12</f>
        <v>1.0200000000000001E-3</v>
      </c>
      <c r="CL196">
        <f>'2012_2020'!CJ12</f>
        <v>9.1299999999999997E-4</v>
      </c>
      <c r="CM196">
        <f>'2012_2020'!CK12</f>
        <v>7.6999999999999996E-4</v>
      </c>
      <c r="CN196">
        <f>'2012_2020'!CL12</f>
        <v>1.1199999999999999E-3</v>
      </c>
      <c r="CO196">
        <f>'2012_2020'!CM12</f>
        <v>1.07E-3</v>
      </c>
      <c r="CP196">
        <f>'2012_2020'!CN12</f>
        <v>8.1099999999999998E-4</v>
      </c>
      <c r="CQ196">
        <f>'2012_2020'!CO12</f>
        <v>1.0499999999999999E-3</v>
      </c>
      <c r="CR196">
        <f>'2012_2020'!CP12</f>
        <v>1.23E-3</v>
      </c>
      <c r="CS196">
        <f>'2012_2020'!CQ12</f>
        <v>9.3000000000000005E-4</v>
      </c>
      <c r="CT196">
        <f>'2012_2020'!CR12</f>
        <v>7.3999999999999999E-4</v>
      </c>
      <c r="CU196">
        <f>'2012_2020'!CS12</f>
        <v>3.6299999999999999E-4</v>
      </c>
      <c r="CV196">
        <f>'2012_2020'!CT12</f>
        <v>5.1400000000000003E-4</v>
      </c>
      <c r="CW196">
        <f>'2012_2020'!CU12</f>
        <v>9.2699999999999998E-4</v>
      </c>
      <c r="CX196">
        <f>'2012_2020'!CV12</f>
        <v>9.3700000000000001E-4</v>
      </c>
    </row>
    <row r="197" spans="1:102" x14ac:dyDescent="0.2">
      <c r="A197" t="s">
        <v>214</v>
      </c>
      <c r="B197" t="s">
        <v>218</v>
      </c>
      <c r="C197" t="s">
        <v>222</v>
      </c>
      <c r="D197">
        <f>'2012_2020'!B13</f>
        <v>1.2200000000000001E-2</v>
      </c>
      <c r="E197">
        <f>'2012_2020'!C13</f>
        <v>1.37E-2</v>
      </c>
      <c r="F197">
        <f>'2012_2020'!D13</f>
        <v>1.34E-2</v>
      </c>
      <c r="G197">
        <f>'2012_2020'!E13</f>
        <v>1.2800000000000001E-2</v>
      </c>
      <c r="H197">
        <f>'2012_2020'!F13</f>
        <v>1.14E-2</v>
      </c>
      <c r="I197">
        <f>'2012_2020'!G13</f>
        <v>1.17E-2</v>
      </c>
      <c r="J197">
        <f>'2012_2020'!H13</f>
        <v>1.0999999999999999E-2</v>
      </c>
      <c r="K197">
        <f>'2012_2020'!I13</f>
        <v>9.6900000000000007E-3</v>
      </c>
      <c r="L197">
        <f>'2012_2020'!J13</f>
        <v>1.01E-2</v>
      </c>
      <c r="M197">
        <f>'2012_2020'!K13</f>
        <v>7.9399999999999991E-3</v>
      </c>
      <c r="N197">
        <f>'2012_2020'!L13</f>
        <v>7.4400000000000004E-3</v>
      </c>
      <c r="O197">
        <f>'2012_2020'!M13</f>
        <v>6.96E-3</v>
      </c>
      <c r="P197">
        <f>'2012_2020'!N13</f>
        <v>6.2899999999999996E-3</v>
      </c>
      <c r="Q197">
        <f>'2012_2020'!O13</f>
        <v>5.4200000000000003E-3</v>
      </c>
      <c r="R197">
        <f>'2012_2020'!P13</f>
        <v>4.5700000000000003E-3</v>
      </c>
      <c r="S197">
        <f>'2012_2020'!Q13</f>
        <v>4.2100000000000002E-3</v>
      </c>
      <c r="T197">
        <f>'2012_2020'!R13</f>
        <v>3.5599999999999998E-3</v>
      </c>
      <c r="U197">
        <f>'2012_2020'!S13</f>
        <v>3.81E-3</v>
      </c>
      <c r="V197">
        <f>'2012_2020'!T13</f>
        <v>3.3999999999999998E-3</v>
      </c>
      <c r="W197">
        <f>'2012_2020'!U13</f>
        <v>3.5300000000000002E-3</v>
      </c>
      <c r="X197">
        <f>'2012_2020'!V13</f>
        <v>3.3999999999999998E-3</v>
      </c>
      <c r="Y197">
        <f>'2012_2020'!W13</f>
        <v>3.2699999999999999E-3</v>
      </c>
      <c r="Z197">
        <f>'2012_2020'!X13</f>
        <v>3.4299999999999999E-3</v>
      </c>
      <c r="AA197">
        <f>'2012_2020'!Y13</f>
        <v>3.2499999999999999E-3</v>
      </c>
      <c r="AB197">
        <f>'2012_2020'!Z13</f>
        <v>3.3E-3</v>
      </c>
      <c r="AC197">
        <f>'2012_2020'!AA13</f>
        <v>3.1800000000000001E-3</v>
      </c>
      <c r="AD197">
        <f>'2012_2020'!AB13</f>
        <v>3.1199999999999999E-3</v>
      </c>
      <c r="AE197">
        <f>'2012_2020'!AC13</f>
        <v>3.0100000000000001E-3</v>
      </c>
      <c r="AF197">
        <f>'2012_2020'!AD13</f>
        <v>3.2399999999999998E-3</v>
      </c>
      <c r="AG197">
        <f>'2012_2020'!AE13</f>
        <v>3.2299999999999998E-3</v>
      </c>
      <c r="AH197">
        <f>'2012_2020'!AF13</f>
        <v>3.0899999999999999E-3</v>
      </c>
      <c r="AI197">
        <f>'2012_2020'!AG13</f>
        <v>3.1199999999999999E-3</v>
      </c>
      <c r="AJ197">
        <f>'2012_2020'!AH13</f>
        <v>3.2399999999999998E-3</v>
      </c>
      <c r="AK197">
        <f>'2012_2020'!AI13</f>
        <v>3.2000000000000002E-3</v>
      </c>
      <c r="AL197">
        <f>'2012_2020'!AJ13</f>
        <v>3.4299999999999999E-3</v>
      </c>
      <c r="AM197">
        <f>'2012_2020'!AK13</f>
        <v>3.3500000000000001E-3</v>
      </c>
      <c r="AN197">
        <f>'2012_2020'!AL13</f>
        <v>3.3899999999999998E-3</v>
      </c>
      <c r="AO197">
        <f>'2012_2020'!AM13</f>
        <v>3.4499999999999999E-3</v>
      </c>
      <c r="AP197">
        <f>'2012_2020'!AN13</f>
        <v>3.4099999999999998E-3</v>
      </c>
      <c r="AQ197">
        <f>'2012_2020'!AO13</f>
        <v>3.47E-3</v>
      </c>
      <c r="AR197">
        <f>'2012_2020'!AP13</f>
        <v>3.48E-3</v>
      </c>
      <c r="AS197">
        <f>'2012_2020'!AQ13</f>
        <v>3.3400000000000001E-3</v>
      </c>
      <c r="AT197">
        <f>'2012_2020'!AR13</f>
        <v>3.3899999999999998E-3</v>
      </c>
      <c r="AU197">
        <f>'2012_2020'!AS13</f>
        <v>3.2799999999999999E-3</v>
      </c>
      <c r="AV197">
        <f>'2012_2020'!AT13</f>
        <v>3.16E-3</v>
      </c>
      <c r="AW197">
        <f>'2012_2020'!AU13</f>
        <v>3.2100000000000002E-3</v>
      </c>
      <c r="AX197">
        <f>'2012_2020'!AV13</f>
        <v>3.0400000000000002E-3</v>
      </c>
      <c r="AY197">
        <f>'2012_2020'!AW13</f>
        <v>2.8900000000000002E-3</v>
      </c>
      <c r="AZ197">
        <f>'2012_2020'!AX13</f>
        <v>2.9099999999999998E-3</v>
      </c>
      <c r="BA197">
        <f>'2012_2020'!AY13</f>
        <v>2.9099999999999998E-3</v>
      </c>
      <c r="BB197">
        <f>'2012_2020'!AZ13</f>
        <v>2.9499999999999999E-3</v>
      </c>
      <c r="BC197">
        <f>'2012_2020'!BA13</f>
        <v>3.0599999999999998E-3</v>
      </c>
      <c r="BD197">
        <f>'2012_2020'!BB13</f>
        <v>3.2100000000000002E-3</v>
      </c>
      <c r="BE197">
        <f>'2012_2020'!BC13</f>
        <v>3.1800000000000001E-3</v>
      </c>
      <c r="BF197">
        <f>'2012_2020'!BD13</f>
        <v>3.0799999999999998E-3</v>
      </c>
      <c r="BG197">
        <f>'2012_2020'!BE13</f>
        <v>3.0400000000000002E-3</v>
      </c>
      <c r="BH197">
        <f>'2012_2020'!BF13</f>
        <v>2.96E-3</v>
      </c>
      <c r="BI197">
        <f>'2012_2020'!BG13</f>
        <v>2.99E-3</v>
      </c>
      <c r="BJ197">
        <f>'2012_2020'!BH13</f>
        <v>2.66E-3</v>
      </c>
      <c r="BK197">
        <f>'2012_2020'!BI13</f>
        <v>2.6099999999999999E-3</v>
      </c>
      <c r="BL197">
        <f>'2012_2020'!BJ13</f>
        <v>2.5500000000000002E-3</v>
      </c>
      <c r="BM197">
        <f>'2012_2020'!BK13</f>
        <v>2.5799999999999998E-3</v>
      </c>
      <c r="BN197">
        <f>'2012_2020'!BL13</f>
        <v>2.7799999999999999E-3</v>
      </c>
      <c r="BO197">
        <f>'2012_2020'!BM13</f>
        <v>2.7000000000000001E-3</v>
      </c>
      <c r="BP197">
        <f>'2012_2020'!BN13</f>
        <v>2.66E-3</v>
      </c>
      <c r="BQ197">
        <f>'2012_2020'!BO13</f>
        <v>2.64E-3</v>
      </c>
      <c r="BR197">
        <f>'2012_2020'!BP13</f>
        <v>2.63E-3</v>
      </c>
      <c r="BS197">
        <f>'2012_2020'!BQ13</f>
        <v>2.4399999999999999E-3</v>
      </c>
      <c r="BT197">
        <f>'2012_2020'!BR13</f>
        <v>2.33E-3</v>
      </c>
      <c r="BU197">
        <f>'2012_2020'!BS13</f>
        <v>2.2599999999999999E-3</v>
      </c>
      <c r="BV197">
        <f>'2012_2020'!BT13</f>
        <v>2.4199999999999998E-3</v>
      </c>
      <c r="BW197">
        <f>'2012_2020'!BU13</f>
        <v>2.48E-3</v>
      </c>
      <c r="BX197">
        <f>'2012_2020'!BV13</f>
        <v>2.4599999999999999E-3</v>
      </c>
      <c r="BY197">
        <f>'2012_2020'!BW13</f>
        <v>2.3800000000000002E-3</v>
      </c>
      <c r="BZ197">
        <f>'2012_2020'!BX13</f>
        <v>2.3800000000000002E-3</v>
      </c>
      <c r="CA197">
        <f>'2012_2020'!BY13</f>
        <v>2.1800000000000001E-3</v>
      </c>
      <c r="CB197">
        <f>'2012_2020'!BZ13</f>
        <v>2.1199999999999999E-3</v>
      </c>
      <c r="CC197">
        <f>'2012_2020'!CA13</f>
        <v>2.2100000000000002E-3</v>
      </c>
      <c r="CD197">
        <f>'2012_2020'!CB13</f>
        <v>2.2499999999999998E-3</v>
      </c>
      <c r="CE197">
        <f>'2012_2020'!CC13</f>
        <v>2.2300000000000002E-3</v>
      </c>
      <c r="CF197">
        <f>'2012_2020'!CD13</f>
        <v>2.2200000000000002E-3</v>
      </c>
      <c r="CG197">
        <f>'2012_2020'!CE13</f>
        <v>2.0400000000000001E-3</v>
      </c>
      <c r="CH197">
        <f>'2012_2020'!CF13</f>
        <v>1.9599999999999999E-3</v>
      </c>
      <c r="CI197">
        <f>'2012_2020'!CG13</f>
        <v>1.6199999999999999E-3</v>
      </c>
      <c r="CJ197">
        <f>'2012_2020'!CH13</f>
        <v>1.74E-3</v>
      </c>
      <c r="CK197">
        <f>'2012_2020'!CI13</f>
        <v>2.15E-3</v>
      </c>
      <c r="CL197">
        <f>'2012_2020'!CJ13</f>
        <v>1.9499999999999999E-3</v>
      </c>
      <c r="CM197">
        <f>'2012_2020'!CK13</f>
        <v>1.6999999999999999E-3</v>
      </c>
      <c r="CN197">
        <f>'2012_2020'!CL13</f>
        <v>1.8500000000000001E-3</v>
      </c>
      <c r="CO197">
        <f>'2012_2020'!CM13</f>
        <v>1.74E-3</v>
      </c>
      <c r="CP197">
        <f>'2012_2020'!CN13</f>
        <v>1.33E-3</v>
      </c>
      <c r="CQ197">
        <f>'2012_2020'!CO13</f>
        <v>1.7799999999999999E-3</v>
      </c>
      <c r="CR197">
        <f>'2012_2020'!CP13</f>
        <v>1.73E-3</v>
      </c>
      <c r="CS197">
        <f>'2012_2020'!CQ13</f>
        <v>1.24E-3</v>
      </c>
      <c r="CT197">
        <f>'2012_2020'!CR13</f>
        <v>1.56E-3</v>
      </c>
      <c r="CU197">
        <f>'2012_2020'!CS13</f>
        <v>9.0600000000000001E-4</v>
      </c>
      <c r="CV197">
        <f>'2012_2020'!CT13</f>
        <v>8.3299999999999997E-4</v>
      </c>
      <c r="CW197">
        <f>'2012_2020'!CU13</f>
        <v>7.85E-4</v>
      </c>
      <c r="CX197">
        <f>'2012_2020'!CV13</f>
        <v>9.4700000000000003E-4</v>
      </c>
    </row>
    <row r="198" spans="1:102" x14ac:dyDescent="0.2">
      <c r="A198" t="s">
        <v>215</v>
      </c>
      <c r="B198" t="s">
        <v>218</v>
      </c>
      <c r="C198" t="s">
        <v>222</v>
      </c>
      <c r="D198">
        <f>'2012_2020'!B14</f>
        <v>2.5499999999999998E-2</v>
      </c>
      <c r="E198">
        <f>'2012_2020'!C14</f>
        <v>3.1300000000000001E-2</v>
      </c>
      <c r="F198">
        <f>'2012_2020'!D14</f>
        <v>2.9700000000000001E-2</v>
      </c>
      <c r="G198">
        <f>'2012_2020'!E14</f>
        <v>0.03</v>
      </c>
      <c r="H198">
        <f>'2012_2020'!F14</f>
        <v>2.6499999999999999E-2</v>
      </c>
      <c r="I198">
        <f>'2012_2020'!G14</f>
        <v>2.6700000000000002E-2</v>
      </c>
      <c r="J198">
        <f>'2012_2020'!H14</f>
        <v>2.4199999999999999E-2</v>
      </c>
      <c r="K198">
        <f>'2012_2020'!I14</f>
        <v>2.1700000000000001E-2</v>
      </c>
      <c r="L198">
        <f>'2012_2020'!J14</f>
        <v>2.07E-2</v>
      </c>
      <c r="M198">
        <f>'2012_2020'!K14</f>
        <v>1.5800000000000002E-2</v>
      </c>
      <c r="N198">
        <f>'2012_2020'!L14</f>
        <v>1.49E-2</v>
      </c>
      <c r="O198">
        <f>'2012_2020'!M14</f>
        <v>1.38E-2</v>
      </c>
      <c r="P198">
        <f>'2012_2020'!N14</f>
        <v>1.2200000000000001E-2</v>
      </c>
      <c r="Q198">
        <f>'2012_2020'!O14</f>
        <v>1.0500000000000001E-2</v>
      </c>
      <c r="R198">
        <f>'2012_2020'!P14</f>
        <v>8.2100000000000003E-3</v>
      </c>
      <c r="S198">
        <f>'2012_2020'!Q14</f>
        <v>7.62E-3</v>
      </c>
      <c r="T198">
        <f>'2012_2020'!R14</f>
        <v>6.8900000000000003E-3</v>
      </c>
      <c r="U198">
        <f>'2012_2020'!S14</f>
        <v>6.6100000000000004E-3</v>
      </c>
      <c r="V198">
        <f>'2012_2020'!T14</f>
        <v>5.8100000000000001E-3</v>
      </c>
      <c r="W198">
        <f>'2012_2020'!U14</f>
        <v>5.4099999999999999E-3</v>
      </c>
      <c r="X198">
        <f>'2012_2020'!V14</f>
        <v>5.2500000000000003E-3</v>
      </c>
      <c r="Y198">
        <f>'2012_2020'!W14</f>
        <v>5.1799999999999997E-3</v>
      </c>
      <c r="Z198">
        <f>'2012_2020'!X14</f>
        <v>5.2199999999999998E-3</v>
      </c>
      <c r="AA198">
        <f>'2012_2020'!Y14</f>
        <v>5.13E-3</v>
      </c>
      <c r="AB198">
        <f>'2012_2020'!Z14</f>
        <v>5.0899999999999999E-3</v>
      </c>
      <c r="AC198">
        <f>'2012_2020'!AA14</f>
        <v>4.9300000000000004E-3</v>
      </c>
      <c r="AD198">
        <f>'2012_2020'!AB14</f>
        <v>4.8700000000000002E-3</v>
      </c>
      <c r="AE198">
        <f>'2012_2020'!AC14</f>
        <v>4.8300000000000001E-3</v>
      </c>
      <c r="AF198">
        <f>'2012_2020'!AD14</f>
        <v>4.8199999999999996E-3</v>
      </c>
      <c r="AG198">
        <f>'2012_2020'!AE14</f>
        <v>4.8999999999999998E-3</v>
      </c>
      <c r="AH198">
        <f>'2012_2020'!AF14</f>
        <v>4.8399999999999997E-3</v>
      </c>
      <c r="AI198">
        <f>'2012_2020'!AG14</f>
        <v>4.81E-3</v>
      </c>
      <c r="AJ198">
        <f>'2012_2020'!AH14</f>
        <v>4.7600000000000003E-3</v>
      </c>
      <c r="AK198">
        <f>'2012_2020'!AI14</f>
        <v>4.9899999999999996E-3</v>
      </c>
      <c r="AL198">
        <f>'2012_2020'!AJ14</f>
        <v>4.9300000000000004E-3</v>
      </c>
      <c r="AM198">
        <f>'2012_2020'!AK14</f>
        <v>4.7499999999999999E-3</v>
      </c>
      <c r="AN198">
        <f>'2012_2020'!AL14</f>
        <v>4.62E-3</v>
      </c>
      <c r="AO198">
        <f>'2012_2020'!AM14</f>
        <v>4.4799999999999996E-3</v>
      </c>
      <c r="AP198">
        <f>'2012_2020'!AN14</f>
        <v>4.5300000000000002E-3</v>
      </c>
      <c r="AQ198">
        <f>'2012_2020'!AO14</f>
        <v>4.6299999999999996E-3</v>
      </c>
      <c r="AR198">
        <f>'2012_2020'!AP14</f>
        <v>4.7000000000000002E-3</v>
      </c>
      <c r="AS198">
        <f>'2012_2020'!AQ14</f>
        <v>4.5700000000000003E-3</v>
      </c>
      <c r="AT198">
        <f>'2012_2020'!AR14</f>
        <v>4.5900000000000003E-3</v>
      </c>
      <c r="AU198">
        <f>'2012_2020'!AS14</f>
        <v>4.45E-3</v>
      </c>
      <c r="AV198">
        <f>'2012_2020'!AT14</f>
        <v>4.0699999999999998E-3</v>
      </c>
      <c r="AW198">
        <f>'2012_2020'!AU14</f>
        <v>4.0400000000000002E-3</v>
      </c>
      <c r="AX198">
        <f>'2012_2020'!AV14</f>
        <v>4.1399999999999996E-3</v>
      </c>
      <c r="AY198">
        <f>'2012_2020'!AW14</f>
        <v>4.4099999999999999E-3</v>
      </c>
      <c r="AZ198">
        <f>'2012_2020'!AX14</f>
        <v>4.13E-3</v>
      </c>
      <c r="BA198">
        <f>'2012_2020'!AY14</f>
        <v>4.2399999999999998E-3</v>
      </c>
      <c r="BB198">
        <f>'2012_2020'!AZ14</f>
        <v>4.1399999999999996E-3</v>
      </c>
      <c r="BC198">
        <f>'2012_2020'!BA14</f>
        <v>4.2399999999999998E-3</v>
      </c>
      <c r="BD198">
        <f>'2012_2020'!BB14</f>
        <v>4.3899999999999998E-3</v>
      </c>
      <c r="BE198">
        <f>'2012_2020'!BC14</f>
        <v>4.4999999999999997E-3</v>
      </c>
      <c r="BF198">
        <f>'2012_2020'!BD14</f>
        <v>4.7400000000000003E-3</v>
      </c>
      <c r="BG198">
        <f>'2012_2020'!BE14</f>
        <v>4.7600000000000003E-3</v>
      </c>
      <c r="BH198">
        <f>'2012_2020'!BF14</f>
        <v>4.4400000000000004E-3</v>
      </c>
      <c r="BI198">
        <f>'2012_2020'!BG14</f>
        <v>4.13E-3</v>
      </c>
      <c r="BJ198">
        <f>'2012_2020'!BH14</f>
        <v>4.2199999999999998E-3</v>
      </c>
      <c r="BK198">
        <f>'2012_2020'!BI14</f>
        <v>4.3400000000000001E-3</v>
      </c>
      <c r="BL198">
        <f>'2012_2020'!BJ14</f>
        <v>4.2599999999999999E-3</v>
      </c>
      <c r="BM198">
        <f>'2012_2020'!BK14</f>
        <v>4.1599999999999996E-3</v>
      </c>
      <c r="BN198">
        <f>'2012_2020'!BL14</f>
        <v>4.3899999999999998E-3</v>
      </c>
      <c r="BO198">
        <f>'2012_2020'!BM14</f>
        <v>4.3E-3</v>
      </c>
      <c r="BP198">
        <f>'2012_2020'!BN14</f>
        <v>4.1700000000000001E-3</v>
      </c>
      <c r="BQ198">
        <f>'2012_2020'!BO14</f>
        <v>3.7599999999999999E-3</v>
      </c>
      <c r="BR198">
        <f>'2012_2020'!BP14</f>
        <v>3.7499999999999999E-3</v>
      </c>
      <c r="BS198">
        <f>'2012_2020'!BQ14</f>
        <v>3.7499999999999999E-3</v>
      </c>
      <c r="BT198">
        <f>'2012_2020'!BR14</f>
        <v>3.7799999999999999E-3</v>
      </c>
      <c r="BU198">
        <f>'2012_2020'!BS14</f>
        <v>3.3400000000000001E-3</v>
      </c>
      <c r="BV198">
        <f>'2012_2020'!BT14</f>
        <v>2.9399999999999999E-3</v>
      </c>
      <c r="BW198">
        <f>'2012_2020'!BU14</f>
        <v>2.7299999999999998E-3</v>
      </c>
      <c r="BX198">
        <f>'2012_2020'!BV14</f>
        <v>2.2899999999999999E-3</v>
      </c>
      <c r="BY198">
        <f>'2012_2020'!BW14</f>
        <v>2.5300000000000001E-3</v>
      </c>
      <c r="BZ198">
        <f>'2012_2020'!BX14</f>
        <v>1.89E-3</v>
      </c>
      <c r="CA198">
        <f>'2012_2020'!BY14</f>
        <v>1.89E-3</v>
      </c>
      <c r="CB198">
        <f>'2012_2020'!BZ14</f>
        <v>2.1199999999999999E-3</v>
      </c>
      <c r="CC198">
        <f>'2012_2020'!CA14</f>
        <v>1.66E-3</v>
      </c>
      <c r="CD198">
        <f>'2012_2020'!CB14</f>
        <v>1.2899999999999999E-3</v>
      </c>
      <c r="CE198">
        <f>'2012_2020'!CC14</f>
        <v>-8.1500000000000002E-5</v>
      </c>
      <c r="CF198">
        <f>'2012_2020'!CD14</f>
        <v>-4.8999999999999998E-4</v>
      </c>
      <c r="CG198">
        <f>'2012_2020'!CE14</f>
        <v>-3.4499999999999998E-4</v>
      </c>
      <c r="CH198">
        <f>'2012_2020'!CF14</f>
        <v>-8.0400000000000003E-4</v>
      </c>
      <c r="CI198">
        <f>'2012_2020'!CG14</f>
        <v>-4.8899999999999996E-4</v>
      </c>
      <c r="CJ198">
        <f>'2012_2020'!CH14</f>
        <v>-1.1100000000000001E-3</v>
      </c>
      <c r="CK198">
        <f>'2012_2020'!CI14</f>
        <v>-2.8600000000000001E-3</v>
      </c>
      <c r="CL198">
        <f>'2012_2020'!CJ14</f>
        <v>-4.1999999999999997E-3</v>
      </c>
      <c r="CM198">
        <f>'2012_2020'!CK14</f>
        <v>-4.7800000000000004E-3</v>
      </c>
      <c r="CN198">
        <f>'2012_2020'!CL14</f>
        <v>-6.1999999999999998E-3</v>
      </c>
      <c r="CO198">
        <f>'2012_2020'!CM14</f>
        <v>-6.6299999999999996E-3</v>
      </c>
      <c r="CP198">
        <f>'2012_2020'!CN14</f>
        <v>-6.3600000000000002E-3</v>
      </c>
      <c r="CQ198">
        <f>'2012_2020'!CO14</f>
        <v>-8.0000000000000002E-3</v>
      </c>
      <c r="CR198">
        <f>'2012_2020'!CP14</f>
        <v>-9.7999999999999997E-3</v>
      </c>
      <c r="CS198">
        <f>'2012_2020'!CQ14</f>
        <v>-9.0299999999999998E-3</v>
      </c>
      <c r="CT198">
        <f>'2012_2020'!CR14</f>
        <v>-1.0800000000000001E-2</v>
      </c>
      <c r="CU198">
        <f>'2012_2020'!CS14</f>
        <v>-9.4800000000000006E-3</v>
      </c>
      <c r="CV198">
        <f>'2012_2020'!CT14</f>
        <v>-1.17E-2</v>
      </c>
      <c r="CW198">
        <f>'2012_2020'!CU14</f>
        <v>-1.44E-2</v>
      </c>
      <c r="CX198">
        <f>'2012_2020'!CV14</f>
        <v>-1.52E-2</v>
      </c>
    </row>
    <row r="199" spans="1:102" x14ac:dyDescent="0.2">
      <c r="A199" t="s">
        <v>5909</v>
      </c>
      <c r="B199" t="s">
        <v>218</v>
      </c>
      <c r="C199" t="s">
        <v>222</v>
      </c>
      <c r="D199">
        <f>'2012_2020 Int_Confianca'!B43</f>
        <v>4.4499999999999998E-2</v>
      </c>
      <c r="E199">
        <f>'2012_2020 Int_Confianca'!C43</f>
        <v>6.5699999999999995E-2</v>
      </c>
      <c r="F199">
        <f>'2012_2020 Int_Confianca'!D43</f>
        <v>6.4500000000000002E-2</v>
      </c>
      <c r="G199">
        <f>'2012_2020 Int_Confianca'!E43</f>
        <v>6.3799999999999996E-2</v>
      </c>
      <c r="H199">
        <f>'2012_2020 Int_Confianca'!F43</f>
        <v>6.1899999999999997E-2</v>
      </c>
      <c r="I199">
        <f>'2012_2020 Int_Confianca'!G43</f>
        <v>6.7299999999999999E-2</v>
      </c>
      <c r="J199">
        <f>'2012_2020 Int_Confianca'!H43</f>
        <v>6.7000000000000004E-2</v>
      </c>
      <c r="K199">
        <f>'2012_2020 Int_Confianca'!I43</f>
        <v>6.3799999999999996E-2</v>
      </c>
      <c r="L199">
        <f>'2012_2020 Int_Confianca'!J43</f>
        <v>6.6400000000000001E-2</v>
      </c>
      <c r="M199">
        <f>'2012_2020 Int_Confianca'!K43</f>
        <v>5.4800000000000001E-2</v>
      </c>
      <c r="N199">
        <f>'2012_2020 Int_Confianca'!L43</f>
        <v>5.4399999999999997E-2</v>
      </c>
      <c r="O199">
        <f>'2012_2020 Int_Confianca'!M43</f>
        <v>5.1999999999999998E-2</v>
      </c>
      <c r="P199">
        <f>'2012_2020 Int_Confianca'!N43</f>
        <v>4.82E-2</v>
      </c>
      <c r="Q199">
        <f>'2012_2020 Int_Confianca'!O43</f>
        <v>4.5499999999999999E-2</v>
      </c>
      <c r="R199">
        <f>'2012_2020 Int_Confianca'!P43</f>
        <v>3.9600000000000003E-2</v>
      </c>
      <c r="S199">
        <f>'2012_2020 Int_Confianca'!Q43</f>
        <v>3.6700000000000003E-2</v>
      </c>
      <c r="T199">
        <f>'2012_2020 Int_Confianca'!R43</f>
        <v>3.6200000000000003E-2</v>
      </c>
      <c r="U199">
        <f>'2012_2020 Int_Confianca'!S43</f>
        <v>3.6400000000000002E-2</v>
      </c>
      <c r="V199">
        <f>'2012_2020 Int_Confianca'!T43</f>
        <v>3.6200000000000003E-2</v>
      </c>
      <c r="W199">
        <f>'2012_2020 Int_Confianca'!U43</f>
        <v>3.6700000000000003E-2</v>
      </c>
      <c r="X199">
        <f>'2012_2020 Int_Confianca'!V43</f>
        <v>3.6999999999999998E-2</v>
      </c>
      <c r="Y199">
        <f>'2012_2020 Int_Confianca'!W43</f>
        <v>3.8199999999999998E-2</v>
      </c>
      <c r="Z199">
        <f>'2012_2020 Int_Confianca'!X43</f>
        <v>3.9E-2</v>
      </c>
      <c r="AA199">
        <f>'2012_2020 Int_Confianca'!Y43</f>
        <v>4.02E-2</v>
      </c>
      <c r="AB199">
        <f>'2012_2020 Int_Confianca'!Z43</f>
        <v>4.0899999999999999E-2</v>
      </c>
      <c r="AC199">
        <f>'2012_2020 Int_Confianca'!AA43</f>
        <v>4.1300000000000003E-2</v>
      </c>
      <c r="AD199">
        <f>'2012_2020 Int_Confianca'!AB43</f>
        <v>4.1799999999999997E-2</v>
      </c>
      <c r="AE199">
        <f>'2012_2020 Int_Confianca'!AC43</f>
        <v>4.2700000000000002E-2</v>
      </c>
      <c r="AF199">
        <f>'2012_2020 Int_Confianca'!AD43</f>
        <v>4.3999999999999997E-2</v>
      </c>
      <c r="AG199">
        <f>'2012_2020 Int_Confianca'!AE43</f>
        <v>4.6100000000000002E-2</v>
      </c>
      <c r="AH199">
        <f>'2012_2020 Int_Confianca'!AF43</f>
        <v>4.82E-2</v>
      </c>
      <c r="AI199">
        <f>'2012_2020 Int_Confianca'!AG43</f>
        <v>5.04E-2</v>
      </c>
      <c r="AJ199">
        <f>'2012_2020 Int_Confianca'!AH43</f>
        <v>5.2499999999999998E-2</v>
      </c>
      <c r="AK199">
        <f>'2012_2020 Int_Confianca'!AI43</f>
        <v>5.5199999999999999E-2</v>
      </c>
      <c r="AL199">
        <f>'2012_2020 Int_Confianca'!AJ43</f>
        <v>5.7799999999999997E-2</v>
      </c>
      <c r="AM199">
        <f>'2012_2020 Int_Confianca'!AK43</f>
        <v>6.0100000000000001E-2</v>
      </c>
      <c r="AN199">
        <f>'2012_2020 Int_Confianca'!AL43</f>
        <v>6.25E-2</v>
      </c>
      <c r="AO199">
        <f>'2012_2020 Int_Confianca'!AM43</f>
        <v>6.6199999999999995E-2</v>
      </c>
      <c r="AP199">
        <f>'2012_2020 Int_Confianca'!AN43</f>
        <v>6.8900000000000003E-2</v>
      </c>
      <c r="AQ199">
        <f>'2012_2020 Int_Confianca'!AO43</f>
        <v>7.1800000000000003E-2</v>
      </c>
      <c r="AR199">
        <f>'2012_2020 Int_Confianca'!AP43</f>
        <v>7.3999999999999996E-2</v>
      </c>
      <c r="AS199">
        <f>'2012_2020 Int_Confianca'!AQ43</f>
        <v>7.6700000000000004E-2</v>
      </c>
      <c r="AT199">
        <f>'2012_2020 Int_Confianca'!AR43</f>
        <v>7.8600000000000003E-2</v>
      </c>
      <c r="AU199">
        <f>'2012_2020 Int_Confianca'!AS43</f>
        <v>7.9699999999999993E-2</v>
      </c>
      <c r="AV199">
        <f>'2012_2020 Int_Confianca'!AT43</f>
        <v>8.0799999999999997E-2</v>
      </c>
      <c r="AW199">
        <f>'2012_2020 Int_Confianca'!AU43</f>
        <v>8.14E-2</v>
      </c>
      <c r="AX199">
        <f>'2012_2020 Int_Confianca'!AV43</f>
        <v>8.2100000000000006E-2</v>
      </c>
      <c r="AY199">
        <f>'2012_2020 Int_Confianca'!AW43</f>
        <v>8.4699999999999998E-2</v>
      </c>
      <c r="AZ199">
        <f>'2012_2020 Int_Confianca'!AX43</f>
        <v>8.6199999999999999E-2</v>
      </c>
      <c r="BA199">
        <f>'2012_2020 Int_Confianca'!AY43</f>
        <v>8.9599999999999999E-2</v>
      </c>
      <c r="BB199">
        <f>'2012_2020 Int_Confianca'!AZ43</f>
        <v>9.2299999999999993E-2</v>
      </c>
      <c r="BC199">
        <f>'2012_2020 Int_Confianca'!BA43</f>
        <v>9.7900000000000001E-2</v>
      </c>
      <c r="BD199">
        <f>'2012_2020 Int_Confianca'!BB43</f>
        <v>0.1041</v>
      </c>
      <c r="BE199">
        <f>'2012_2020 Int_Confianca'!BC43</f>
        <v>0.1085</v>
      </c>
      <c r="BF199">
        <f>'2012_2020 Int_Confianca'!BD43</f>
        <v>0.1113</v>
      </c>
      <c r="BG199">
        <f>'2012_2020 Int_Confianca'!BE43</f>
        <v>0.1133</v>
      </c>
      <c r="BH199">
        <f>'2012_2020 Int_Confianca'!BF43</f>
        <v>0.1132</v>
      </c>
      <c r="BI199">
        <f>'2012_2020 Int_Confianca'!BG43</f>
        <v>0.11269999999999999</v>
      </c>
      <c r="BJ199">
        <f>'2012_2020 Int_Confianca'!BH43</f>
        <v>0.1133</v>
      </c>
      <c r="BK199">
        <f>'2012_2020 Int_Confianca'!BI43</f>
        <v>0.1139</v>
      </c>
      <c r="BL199">
        <f>'2012_2020 Int_Confianca'!BJ43</f>
        <v>0.1152</v>
      </c>
      <c r="BM199">
        <f>'2012_2020 Int_Confianca'!BK43</f>
        <v>0.1202</v>
      </c>
      <c r="BN199">
        <f>'2012_2020 Int_Confianca'!BL43</f>
        <v>0.126</v>
      </c>
      <c r="BO199">
        <f>'2012_2020 Int_Confianca'!BM43</f>
        <v>0.13100000000000001</v>
      </c>
      <c r="BP199">
        <f>'2012_2020 Int_Confianca'!BN43</f>
        <v>0.1351</v>
      </c>
      <c r="BQ199">
        <f>'2012_2020 Int_Confianca'!BO43</f>
        <v>0.13880000000000001</v>
      </c>
      <c r="BR199">
        <f>'2012_2020 Int_Confianca'!BP43</f>
        <v>0.13919999999999999</v>
      </c>
      <c r="BS199">
        <f>'2012_2020 Int_Confianca'!BQ43</f>
        <v>0.1396</v>
      </c>
      <c r="BT199">
        <f>'2012_2020 Int_Confianca'!BR43</f>
        <v>0.14050000000000001</v>
      </c>
      <c r="BU199">
        <f>'2012_2020 Int_Confianca'!BS43</f>
        <v>0.1449</v>
      </c>
      <c r="BV199">
        <f>'2012_2020 Int_Confianca'!BT43</f>
        <v>0.15440000000000001</v>
      </c>
      <c r="BW199">
        <f>'2012_2020 Int_Confianca'!BU43</f>
        <v>0.1628</v>
      </c>
      <c r="BX199">
        <f>'2012_2020 Int_Confianca'!BV43</f>
        <v>0.16769999999999999</v>
      </c>
      <c r="BY199">
        <f>'2012_2020 Int_Confianca'!BW43</f>
        <v>0.1736</v>
      </c>
      <c r="BZ199">
        <f>'2012_2020 Int_Confianca'!BX43</f>
        <v>0.1739</v>
      </c>
      <c r="CA199">
        <f>'2012_2020 Int_Confianca'!BY43</f>
        <v>0.17330000000000001</v>
      </c>
      <c r="CB199">
        <f>'2012_2020 Int_Confianca'!BZ43</f>
        <v>0.1714</v>
      </c>
      <c r="CC199">
        <f>'2012_2020 Int_Confianca'!CA43</f>
        <v>0.18090000000000001</v>
      </c>
      <c r="CD199">
        <f>'2012_2020 Int_Confianca'!CB43</f>
        <v>0.19170000000000001</v>
      </c>
      <c r="CE199">
        <f>'2012_2020 Int_Confianca'!CC43</f>
        <v>0.20150000000000001</v>
      </c>
      <c r="CF199">
        <f>'2012_2020 Int_Confianca'!CD43</f>
        <v>0.2094</v>
      </c>
      <c r="CG199">
        <f>'2012_2020 Int_Confianca'!CE43</f>
        <v>0.20069999999999999</v>
      </c>
      <c r="CH199">
        <f>'2012_2020 Int_Confianca'!CF43</f>
        <v>0.1888</v>
      </c>
      <c r="CI199">
        <f>'2012_2020 Int_Confianca'!CG43</f>
        <v>0.18390000000000001</v>
      </c>
      <c r="CJ199">
        <f>'2012_2020 Int_Confianca'!CH43</f>
        <v>0.19409999999999999</v>
      </c>
      <c r="CK199">
        <f>'2012_2020 Int_Confianca'!CI43</f>
        <v>0.23880000000000001</v>
      </c>
      <c r="CL199">
        <f>'2012_2020 Int_Confianca'!CJ43</f>
        <v>0.23519999999999999</v>
      </c>
      <c r="CM199">
        <f>'2012_2020 Int_Confianca'!CK43</f>
        <v>0.22450000000000001</v>
      </c>
      <c r="CN199">
        <f>'2012_2020 Int_Confianca'!CL43</f>
        <v>0.23139999999999999</v>
      </c>
      <c r="CO199">
        <f>'2012_2020 Int_Confianca'!CM43</f>
        <v>0.22989999999999999</v>
      </c>
      <c r="CP199">
        <f>'2012_2020 Int_Confianca'!CN43</f>
        <v>0.2135</v>
      </c>
      <c r="CQ199">
        <f>'2012_2020 Int_Confianca'!CO43</f>
        <v>0.24229999999999999</v>
      </c>
      <c r="CR199">
        <f>'2012_2020 Int_Confianca'!CP43</f>
        <v>0.26669999999999999</v>
      </c>
      <c r="CS199">
        <f>'2012_2020 Int_Confianca'!CQ43</f>
        <v>0.23269999999999999</v>
      </c>
      <c r="CT199">
        <f>'2012_2020 Int_Confianca'!CR43</f>
        <v>0.26179999999999998</v>
      </c>
      <c r="CU199">
        <f>'2012_2020 Int_Confianca'!CS43</f>
        <v>0.20630000000000001</v>
      </c>
      <c r="CV199">
        <f>'2012_2020 Int_Confianca'!CT43</f>
        <v>0.23630000000000001</v>
      </c>
      <c r="CW199">
        <f>'2012_2020 Int_Confianca'!CU43</f>
        <v>0.22559999999999999</v>
      </c>
      <c r="CX199">
        <f>'2012_2020 Int_Confianca'!CV43</f>
        <v>0.19450000000000001</v>
      </c>
    </row>
    <row r="200" spans="1:102" x14ac:dyDescent="0.2">
      <c r="A200" t="s">
        <v>5910</v>
      </c>
      <c r="B200" t="s">
        <v>218</v>
      </c>
      <c r="C200" t="s">
        <v>222</v>
      </c>
      <c r="D200">
        <f>'2012_2020 Int_Confianca'!B44</f>
        <v>5.8799999999999998E-2</v>
      </c>
      <c r="E200">
        <f>'2012_2020 Int_Confianca'!C44</f>
        <v>7.9500000000000001E-2</v>
      </c>
      <c r="F200">
        <f>'2012_2020 Int_Confianca'!D44</f>
        <v>7.6100000000000001E-2</v>
      </c>
      <c r="G200">
        <f>'2012_2020 Int_Confianca'!E44</f>
        <v>7.4099999999999999E-2</v>
      </c>
      <c r="H200">
        <f>'2012_2020 Int_Confianca'!F44</f>
        <v>7.0999999999999994E-2</v>
      </c>
      <c r="I200">
        <f>'2012_2020 Int_Confianca'!G44</f>
        <v>7.6499999999999999E-2</v>
      </c>
      <c r="J200">
        <f>'2012_2020 Int_Confianca'!H44</f>
        <v>7.5600000000000001E-2</v>
      </c>
      <c r="K200">
        <f>'2012_2020 Int_Confianca'!I44</f>
        <v>7.1599999999999997E-2</v>
      </c>
      <c r="L200">
        <f>'2012_2020 Int_Confianca'!J44</f>
        <v>7.4099999999999999E-2</v>
      </c>
      <c r="M200">
        <f>'2012_2020 Int_Confianca'!K44</f>
        <v>6.0999999999999999E-2</v>
      </c>
      <c r="N200">
        <f>'2012_2020 Int_Confianca'!L44</f>
        <v>6.0299999999999999E-2</v>
      </c>
      <c r="O200">
        <f>'2012_2020 Int_Confianca'!M44</f>
        <v>5.74E-2</v>
      </c>
      <c r="P200">
        <f>'2012_2020 Int_Confianca'!N44</f>
        <v>5.3100000000000001E-2</v>
      </c>
      <c r="Q200">
        <f>'2012_2020 Int_Confianca'!O44</f>
        <v>0.05</v>
      </c>
      <c r="R200">
        <f>'2012_2020 Int_Confianca'!P44</f>
        <v>4.3400000000000001E-2</v>
      </c>
      <c r="S200">
        <f>'2012_2020 Int_Confianca'!Q44</f>
        <v>4.0099999999999997E-2</v>
      </c>
      <c r="T200">
        <f>'2012_2020 Int_Confianca'!R44</f>
        <v>3.95E-2</v>
      </c>
      <c r="U200">
        <f>'2012_2020 Int_Confianca'!S44</f>
        <v>3.9699999999999999E-2</v>
      </c>
      <c r="V200">
        <f>'2012_2020 Int_Confianca'!T44</f>
        <v>3.9399999999999998E-2</v>
      </c>
      <c r="W200">
        <f>'2012_2020 Int_Confianca'!U44</f>
        <v>3.9800000000000002E-2</v>
      </c>
      <c r="X200">
        <f>'2012_2020 Int_Confianca'!V44</f>
        <v>4.02E-2</v>
      </c>
      <c r="Y200">
        <f>'2012_2020 Int_Confianca'!W44</f>
        <v>4.1300000000000003E-2</v>
      </c>
      <c r="Z200">
        <f>'2012_2020 Int_Confianca'!X44</f>
        <v>4.2200000000000001E-2</v>
      </c>
      <c r="AA200">
        <f>'2012_2020 Int_Confianca'!Y44</f>
        <v>4.3400000000000001E-2</v>
      </c>
      <c r="AB200">
        <f>'2012_2020 Int_Confianca'!Z44</f>
        <v>4.4200000000000003E-2</v>
      </c>
      <c r="AC200">
        <f>'2012_2020 Int_Confianca'!AA44</f>
        <v>4.4600000000000001E-2</v>
      </c>
      <c r="AD200">
        <f>'2012_2020 Int_Confianca'!AB44</f>
        <v>4.5100000000000001E-2</v>
      </c>
      <c r="AE200">
        <f>'2012_2020 Int_Confianca'!AC44</f>
        <v>4.6100000000000002E-2</v>
      </c>
      <c r="AF200">
        <f>'2012_2020 Int_Confianca'!AD44</f>
        <v>4.7500000000000001E-2</v>
      </c>
      <c r="AG200">
        <f>'2012_2020 Int_Confianca'!AE44</f>
        <v>4.9599999999999998E-2</v>
      </c>
      <c r="AH200">
        <f>'2012_2020 Int_Confianca'!AF44</f>
        <v>5.1799999999999999E-2</v>
      </c>
      <c r="AI200">
        <f>'2012_2020 Int_Confianca'!AG44</f>
        <v>5.4199999999999998E-2</v>
      </c>
      <c r="AJ200">
        <f>'2012_2020 Int_Confianca'!AH44</f>
        <v>5.6399999999999999E-2</v>
      </c>
      <c r="AK200">
        <f>'2012_2020 Int_Confianca'!AI44</f>
        <v>5.9299999999999999E-2</v>
      </c>
      <c r="AL200">
        <f>'2012_2020 Int_Confianca'!AJ44</f>
        <v>6.2100000000000002E-2</v>
      </c>
      <c r="AM200">
        <f>'2012_2020 Int_Confianca'!AK44</f>
        <v>6.4600000000000005E-2</v>
      </c>
      <c r="AN200">
        <f>'2012_2020 Int_Confianca'!AL44</f>
        <v>6.7100000000000007E-2</v>
      </c>
      <c r="AO200">
        <f>'2012_2020 Int_Confianca'!AM44</f>
        <v>7.1099999999999997E-2</v>
      </c>
      <c r="AP200">
        <f>'2012_2020 Int_Confianca'!AN44</f>
        <v>7.3999999999999996E-2</v>
      </c>
      <c r="AQ200">
        <f>'2012_2020 Int_Confianca'!AO44</f>
        <v>7.7200000000000005E-2</v>
      </c>
      <c r="AR200">
        <f>'2012_2020 Int_Confianca'!AP44</f>
        <v>7.9500000000000001E-2</v>
      </c>
      <c r="AS200">
        <f>'2012_2020 Int_Confianca'!AQ44</f>
        <v>8.2299999999999998E-2</v>
      </c>
      <c r="AT200">
        <f>'2012_2020 Int_Confianca'!AR44</f>
        <v>8.4400000000000003E-2</v>
      </c>
      <c r="AU200">
        <f>'2012_2020 Int_Confianca'!AS44</f>
        <v>8.5500000000000007E-2</v>
      </c>
      <c r="AV200">
        <f>'2012_2020 Int_Confianca'!AT44</f>
        <v>8.6699999999999999E-2</v>
      </c>
      <c r="AW200">
        <f>'2012_2020 Int_Confianca'!AU44</f>
        <v>8.7400000000000005E-2</v>
      </c>
      <c r="AX200">
        <f>'2012_2020 Int_Confianca'!AV44</f>
        <v>8.8200000000000001E-2</v>
      </c>
      <c r="AY200">
        <f>'2012_2020 Int_Confianca'!AW44</f>
        <v>9.0899999999999995E-2</v>
      </c>
      <c r="AZ200">
        <f>'2012_2020 Int_Confianca'!AX44</f>
        <v>9.2600000000000002E-2</v>
      </c>
      <c r="BA200">
        <f>'2012_2020 Int_Confianca'!AY44</f>
        <v>9.6199999999999994E-2</v>
      </c>
      <c r="BB200">
        <f>'2012_2020 Int_Confianca'!AZ44</f>
        <v>9.9199999999999997E-2</v>
      </c>
      <c r="BC200">
        <f>'2012_2020 Int_Confianca'!BA44</f>
        <v>0.1052</v>
      </c>
      <c r="BD200">
        <f>'2012_2020 Int_Confianca'!BB44</f>
        <v>0.1118</v>
      </c>
      <c r="BE200">
        <f>'2012_2020 Int_Confianca'!BC44</f>
        <v>0.11650000000000001</v>
      </c>
      <c r="BF200">
        <f>'2012_2020 Int_Confianca'!BD44</f>
        <v>0.1196</v>
      </c>
      <c r="BG200">
        <f>'2012_2020 Int_Confianca'!BE44</f>
        <v>0.1217</v>
      </c>
      <c r="BH200">
        <f>'2012_2020 Int_Confianca'!BF44</f>
        <v>0.1217</v>
      </c>
      <c r="BI200">
        <f>'2012_2020 Int_Confianca'!BG44</f>
        <v>0.1212</v>
      </c>
      <c r="BJ200">
        <f>'2012_2020 Int_Confianca'!BH44</f>
        <v>0.12180000000000001</v>
      </c>
      <c r="BK200">
        <f>'2012_2020 Int_Confianca'!BI44</f>
        <v>0.1226</v>
      </c>
      <c r="BL200">
        <f>'2012_2020 Int_Confianca'!BJ44</f>
        <v>0.124</v>
      </c>
      <c r="BM200">
        <f>'2012_2020 Int_Confianca'!BK44</f>
        <v>0.12939999999999999</v>
      </c>
      <c r="BN200">
        <f>'2012_2020 Int_Confianca'!BL44</f>
        <v>0.1356</v>
      </c>
      <c r="BO200">
        <f>'2012_2020 Int_Confianca'!BM44</f>
        <v>0.1411</v>
      </c>
      <c r="BP200">
        <f>'2012_2020 Int_Confianca'!BN44</f>
        <v>0.14549999999999999</v>
      </c>
      <c r="BQ200">
        <f>'2012_2020 Int_Confianca'!BO44</f>
        <v>0.14949999999999999</v>
      </c>
      <c r="BR200">
        <f>'2012_2020 Int_Confianca'!BP44</f>
        <v>0.15010000000000001</v>
      </c>
      <c r="BS200">
        <f>'2012_2020 Int_Confianca'!BQ44</f>
        <v>0.15049999999999999</v>
      </c>
      <c r="BT200">
        <f>'2012_2020 Int_Confianca'!BR44</f>
        <v>0.1515</v>
      </c>
      <c r="BU200">
        <f>'2012_2020 Int_Confianca'!BS44</f>
        <v>0.15640000000000001</v>
      </c>
      <c r="BV200">
        <f>'2012_2020 Int_Confianca'!BT44</f>
        <v>0.16669999999999999</v>
      </c>
      <c r="BW200">
        <f>'2012_2020 Int_Confianca'!BU44</f>
        <v>0.1757</v>
      </c>
      <c r="BX200">
        <f>'2012_2020 Int_Confianca'!BV44</f>
        <v>0.1812</v>
      </c>
      <c r="BY200">
        <f>'2012_2020 Int_Confianca'!BW44</f>
        <v>0.18759999999999999</v>
      </c>
      <c r="BZ200">
        <f>'2012_2020 Int_Confianca'!BX44</f>
        <v>0.18809999999999999</v>
      </c>
      <c r="CA200">
        <f>'2012_2020 Int_Confianca'!BY44</f>
        <v>0.1875</v>
      </c>
      <c r="CB200">
        <f>'2012_2020 Int_Confianca'!BZ44</f>
        <v>0.1855</v>
      </c>
      <c r="CC200">
        <f>'2012_2020 Int_Confianca'!CA44</f>
        <v>0.19589999999999999</v>
      </c>
      <c r="CD200">
        <f>'2012_2020 Int_Confianca'!CB44</f>
        <v>0.2077</v>
      </c>
      <c r="CE200">
        <f>'2012_2020 Int_Confianca'!CC44</f>
        <v>0.2185</v>
      </c>
      <c r="CF200">
        <f>'2012_2020 Int_Confianca'!CD44</f>
        <v>0.22720000000000001</v>
      </c>
      <c r="CG200">
        <f>'2012_2020 Int_Confianca'!CE44</f>
        <v>0.21779999999999999</v>
      </c>
      <c r="CH200">
        <f>'2012_2020 Int_Confianca'!CF44</f>
        <v>0.2051</v>
      </c>
      <c r="CI200">
        <f>'2012_2020 Int_Confianca'!CG44</f>
        <v>0.19989999999999999</v>
      </c>
      <c r="CJ200">
        <f>'2012_2020 Int_Confianca'!CH44</f>
        <v>0.2112</v>
      </c>
      <c r="CK200">
        <f>'2012_2020 Int_Confianca'!CI44</f>
        <v>0.2601</v>
      </c>
      <c r="CL200">
        <f>'2012_2020 Int_Confianca'!CJ44</f>
        <v>0.25640000000000002</v>
      </c>
      <c r="CM200">
        <f>'2012_2020 Int_Confianca'!CK44</f>
        <v>0.24490000000000001</v>
      </c>
      <c r="CN200">
        <f>'2012_2020 Int_Confianca'!CL44</f>
        <v>0.25280000000000002</v>
      </c>
      <c r="CO200">
        <f>'2012_2020 Int_Confianca'!CM44</f>
        <v>0.25140000000000001</v>
      </c>
      <c r="CP200">
        <f>'2012_2020 Int_Confianca'!CN44</f>
        <v>0.23380000000000001</v>
      </c>
      <c r="CQ200">
        <f>'2012_2020 Int_Confianca'!CO44</f>
        <v>0.26569999999999999</v>
      </c>
      <c r="CR200">
        <f>'2012_2020 Int_Confianca'!CP44</f>
        <v>0.29330000000000001</v>
      </c>
      <c r="CS200">
        <f>'2012_2020 Int_Confianca'!CQ44</f>
        <v>0.25650000000000001</v>
      </c>
      <c r="CT200">
        <f>'2012_2020 Int_Confianca'!CR44</f>
        <v>0.2898</v>
      </c>
      <c r="CU200">
        <f>'2012_2020 Int_Confianca'!CS44</f>
        <v>0.2296</v>
      </c>
      <c r="CV200">
        <f>'2012_2020 Int_Confianca'!CT44</f>
        <v>0.2651</v>
      </c>
      <c r="CW200">
        <f>'2012_2020 Int_Confianca'!CU44</f>
        <v>0.25719999999999998</v>
      </c>
      <c r="CX200">
        <f>'2012_2020 Int_Confianca'!CV44</f>
        <v>0.23069999999999999</v>
      </c>
    </row>
    <row r="201" spans="1:102" x14ac:dyDescent="0.2">
      <c r="A201" t="s">
        <v>5911</v>
      </c>
      <c r="B201" t="s">
        <v>218</v>
      </c>
      <c r="C201" t="s">
        <v>222</v>
      </c>
      <c r="D201">
        <f>'2012_2020 Int_Confianca'!B45</f>
        <v>2.5000000000000001E-3</v>
      </c>
      <c r="E201">
        <f>'2012_2020 Int_Confianca'!C45</f>
        <v>8.6E-3</v>
      </c>
      <c r="F201">
        <f>'2012_2020 Int_Confianca'!D45</f>
        <v>1.17E-2</v>
      </c>
      <c r="G201">
        <f>'2012_2020 Int_Confianca'!E45</f>
        <v>1.2699999999999999E-2</v>
      </c>
      <c r="H201">
        <f>'2012_2020 Int_Confianca'!F45</f>
        <v>1.2999999999999999E-2</v>
      </c>
      <c r="I201">
        <f>'2012_2020 Int_Confianca'!G45</f>
        <v>1.4800000000000001E-2</v>
      </c>
      <c r="J201">
        <f>'2012_2020 Int_Confianca'!H45</f>
        <v>1.4500000000000001E-2</v>
      </c>
      <c r="K201">
        <f>'2012_2020 Int_Confianca'!I45</f>
        <v>1.38E-2</v>
      </c>
      <c r="L201">
        <f>'2012_2020 Int_Confianca'!J45</f>
        <v>1.4200000000000001E-2</v>
      </c>
      <c r="M201">
        <f>'2012_2020 Int_Confianca'!K45</f>
        <v>1.1900000000000001E-2</v>
      </c>
      <c r="N201">
        <f>'2012_2020 Int_Confianca'!L45</f>
        <v>1.17E-2</v>
      </c>
      <c r="O201">
        <f>'2012_2020 Int_Confianca'!M45</f>
        <v>1.11E-2</v>
      </c>
      <c r="P201">
        <f>'2012_2020 Int_Confianca'!N45</f>
        <v>1.04E-2</v>
      </c>
      <c r="Q201">
        <f>'2012_2020 Int_Confianca'!O45</f>
        <v>9.7999999999999997E-3</v>
      </c>
      <c r="R201">
        <f>'2012_2020 Int_Confianca'!P45</f>
        <v>8.5000000000000006E-3</v>
      </c>
      <c r="S201">
        <f>'2012_2020 Int_Confianca'!Q45</f>
        <v>8.0999999999999996E-3</v>
      </c>
      <c r="T201">
        <f>'2012_2020 Int_Confianca'!R45</f>
        <v>8.0000000000000002E-3</v>
      </c>
      <c r="U201">
        <f>'2012_2020 Int_Confianca'!S45</f>
        <v>8.0000000000000002E-3</v>
      </c>
      <c r="V201">
        <f>'2012_2020 Int_Confianca'!T45</f>
        <v>7.9000000000000008E-3</v>
      </c>
      <c r="W201">
        <f>'2012_2020 Int_Confianca'!U45</f>
        <v>7.9000000000000008E-3</v>
      </c>
      <c r="X201">
        <f>'2012_2020 Int_Confianca'!V45</f>
        <v>7.9000000000000008E-3</v>
      </c>
      <c r="Y201">
        <f>'2012_2020 Int_Confianca'!W45</f>
        <v>8.0999999999999996E-3</v>
      </c>
      <c r="Z201">
        <f>'2012_2020 Int_Confianca'!X45</f>
        <v>8.2000000000000007E-3</v>
      </c>
      <c r="AA201">
        <f>'2012_2020 Int_Confianca'!Y45</f>
        <v>8.3000000000000001E-3</v>
      </c>
      <c r="AB201">
        <f>'2012_2020 Int_Confianca'!Z45</f>
        <v>8.6E-3</v>
      </c>
      <c r="AC201">
        <f>'2012_2020 Int_Confianca'!AA45</f>
        <v>8.6E-3</v>
      </c>
      <c r="AD201">
        <f>'2012_2020 Int_Confianca'!AB45</f>
        <v>8.8000000000000005E-3</v>
      </c>
      <c r="AE201">
        <f>'2012_2020 Int_Confianca'!AC45</f>
        <v>8.8999999999999999E-3</v>
      </c>
      <c r="AF201">
        <f>'2012_2020 Int_Confianca'!AD45</f>
        <v>9.1000000000000004E-3</v>
      </c>
      <c r="AG201">
        <f>'2012_2020 Int_Confianca'!AE45</f>
        <v>9.4000000000000004E-3</v>
      </c>
      <c r="AH201">
        <f>'2012_2020 Int_Confianca'!AF45</f>
        <v>9.7000000000000003E-3</v>
      </c>
      <c r="AI201">
        <f>'2012_2020 Int_Confianca'!AG45</f>
        <v>0.01</v>
      </c>
      <c r="AJ201">
        <f>'2012_2020 Int_Confianca'!AH45</f>
        <v>1.03E-2</v>
      </c>
      <c r="AK201">
        <f>'2012_2020 Int_Confianca'!AI45</f>
        <v>1.09E-2</v>
      </c>
      <c r="AL201">
        <f>'2012_2020 Int_Confianca'!AJ45</f>
        <v>1.1299999999999999E-2</v>
      </c>
      <c r="AM201">
        <f>'2012_2020 Int_Confianca'!AK45</f>
        <v>1.1599999999999999E-2</v>
      </c>
      <c r="AN201">
        <f>'2012_2020 Int_Confianca'!AL45</f>
        <v>1.21E-2</v>
      </c>
      <c r="AO201">
        <f>'2012_2020 Int_Confianca'!AM45</f>
        <v>1.26E-2</v>
      </c>
      <c r="AP201">
        <f>'2012_2020 Int_Confianca'!AN45</f>
        <v>1.3100000000000001E-2</v>
      </c>
      <c r="AQ201">
        <f>'2012_2020 Int_Confianca'!AO45</f>
        <v>1.37E-2</v>
      </c>
      <c r="AR201">
        <f>'2012_2020 Int_Confianca'!AP45</f>
        <v>1.41E-2</v>
      </c>
      <c r="AS201">
        <f>'2012_2020 Int_Confianca'!AQ45</f>
        <v>1.46E-2</v>
      </c>
      <c r="AT201">
        <f>'2012_2020 Int_Confianca'!AR45</f>
        <v>1.49E-2</v>
      </c>
      <c r="AU201">
        <f>'2012_2020 Int_Confianca'!AS45</f>
        <v>1.5100000000000001E-2</v>
      </c>
      <c r="AV201">
        <f>'2012_2020 Int_Confianca'!AT45</f>
        <v>1.5100000000000001E-2</v>
      </c>
      <c r="AW201">
        <f>'2012_2020 Int_Confianca'!AU45</f>
        <v>1.52E-2</v>
      </c>
      <c r="AX201">
        <f>'2012_2020 Int_Confianca'!AV45</f>
        <v>1.5299999999999999E-2</v>
      </c>
      <c r="AY201">
        <f>'2012_2020 Int_Confianca'!AW45</f>
        <v>1.5800000000000002E-2</v>
      </c>
      <c r="AZ201">
        <f>'2012_2020 Int_Confianca'!AX45</f>
        <v>1.5900000000000001E-2</v>
      </c>
      <c r="BA201">
        <f>'2012_2020 Int_Confianca'!AY45</f>
        <v>1.6400000000000001E-2</v>
      </c>
      <c r="BB201">
        <f>'2012_2020 Int_Confianca'!AZ45</f>
        <v>1.67E-2</v>
      </c>
      <c r="BC201">
        <f>'2012_2020 Int_Confianca'!BA45</f>
        <v>1.77E-2</v>
      </c>
      <c r="BD201">
        <f>'2012_2020 Int_Confianca'!BB45</f>
        <v>1.8599999999999998E-2</v>
      </c>
      <c r="BE201">
        <f>'2012_2020 Int_Confianca'!BC45</f>
        <v>1.9300000000000001E-2</v>
      </c>
      <c r="BF201">
        <f>'2012_2020 Int_Confianca'!BD45</f>
        <v>1.9699999999999999E-2</v>
      </c>
      <c r="BG201">
        <f>'2012_2020 Int_Confianca'!BE45</f>
        <v>1.9900000000000001E-2</v>
      </c>
      <c r="BH201">
        <f>'2012_2020 Int_Confianca'!BF45</f>
        <v>1.9800000000000002E-2</v>
      </c>
      <c r="BI201">
        <f>'2012_2020 Int_Confianca'!BG45</f>
        <v>1.9599999999999999E-2</v>
      </c>
      <c r="BJ201">
        <f>'2012_2020 Int_Confianca'!BH45</f>
        <v>1.9599999999999999E-2</v>
      </c>
      <c r="BK201">
        <f>'2012_2020 Int_Confianca'!BI45</f>
        <v>1.9599999999999999E-2</v>
      </c>
      <c r="BL201">
        <f>'2012_2020 Int_Confianca'!BJ45</f>
        <v>1.9699999999999999E-2</v>
      </c>
      <c r="BM201">
        <f>'2012_2020 Int_Confianca'!BK45</f>
        <v>2.01E-2</v>
      </c>
      <c r="BN201">
        <f>'2012_2020 Int_Confianca'!BL45</f>
        <v>2.0899999999999998E-2</v>
      </c>
      <c r="BO201">
        <f>'2012_2020 Int_Confianca'!BM45</f>
        <v>2.1600000000000001E-2</v>
      </c>
      <c r="BP201">
        <f>'2012_2020 Int_Confianca'!BN45</f>
        <v>2.2100000000000002E-2</v>
      </c>
      <c r="BQ201">
        <f>'2012_2020 Int_Confianca'!BO45</f>
        <v>2.24E-2</v>
      </c>
      <c r="BR201">
        <f>'2012_2020 Int_Confianca'!BP45</f>
        <v>2.2200000000000001E-2</v>
      </c>
      <c r="BS201">
        <f>'2012_2020 Int_Confianca'!BQ45</f>
        <v>2.23E-2</v>
      </c>
      <c r="BT201">
        <f>'2012_2020 Int_Confianca'!BR45</f>
        <v>2.23E-2</v>
      </c>
      <c r="BU201">
        <f>'2012_2020 Int_Confianca'!BS45</f>
        <v>2.2700000000000001E-2</v>
      </c>
      <c r="BV201">
        <f>'2012_2020 Int_Confianca'!BT45</f>
        <v>2.4E-2</v>
      </c>
      <c r="BW201">
        <f>'2012_2020 Int_Confianca'!BU45</f>
        <v>2.5100000000000001E-2</v>
      </c>
      <c r="BX201">
        <f>'2012_2020 Int_Confianca'!BV45</f>
        <v>2.5700000000000001E-2</v>
      </c>
      <c r="BY201">
        <f>'2012_2020 Int_Confianca'!BW45</f>
        <v>2.63E-2</v>
      </c>
      <c r="BZ201">
        <f>'2012_2020 Int_Confianca'!BX45</f>
        <v>2.6100000000000002E-2</v>
      </c>
      <c r="CA201">
        <f>'2012_2020 Int_Confianca'!BY45</f>
        <v>2.5899999999999999E-2</v>
      </c>
      <c r="CB201">
        <f>'2012_2020 Int_Confianca'!BZ45</f>
        <v>2.5399999999999999E-2</v>
      </c>
      <c r="CC201">
        <f>'2012_2020 Int_Confianca'!CA45</f>
        <v>2.6499999999999999E-2</v>
      </c>
      <c r="CD201">
        <f>'2012_2020 Int_Confianca'!CB45</f>
        <v>2.7900000000000001E-2</v>
      </c>
      <c r="CE201">
        <f>'2012_2020 Int_Confianca'!CC45</f>
        <v>2.8799999999999999E-2</v>
      </c>
      <c r="CF201">
        <f>'2012_2020 Int_Confianca'!CD45</f>
        <v>2.9899999999999999E-2</v>
      </c>
      <c r="CG201">
        <f>'2012_2020 Int_Confianca'!CE45</f>
        <v>2.8500000000000001E-2</v>
      </c>
      <c r="CH201">
        <f>'2012_2020 Int_Confianca'!CF45</f>
        <v>2.6800000000000001E-2</v>
      </c>
      <c r="CI201">
        <f>'2012_2020 Int_Confianca'!CG45</f>
        <v>2.64E-2</v>
      </c>
      <c r="CJ201">
        <f>'2012_2020 Int_Confianca'!CH45</f>
        <v>2.76E-2</v>
      </c>
      <c r="CK201">
        <f>'2012_2020 Int_Confianca'!CI45</f>
        <v>3.39E-2</v>
      </c>
      <c r="CL201">
        <f>'2012_2020 Int_Confianca'!CJ45</f>
        <v>3.3399999999999999E-2</v>
      </c>
      <c r="CM201">
        <f>'2012_2020 Int_Confianca'!CK45</f>
        <v>3.1699999999999999E-2</v>
      </c>
      <c r="CN201">
        <f>'2012_2020 Int_Confianca'!CL45</f>
        <v>3.27E-2</v>
      </c>
      <c r="CO201">
        <f>'2012_2020 Int_Confianca'!CM45</f>
        <v>3.2199999999999999E-2</v>
      </c>
      <c r="CP201">
        <f>'2012_2020 Int_Confianca'!CN45</f>
        <v>3.0499999999999999E-2</v>
      </c>
      <c r="CQ201">
        <f>'2012_2020 Int_Confianca'!CO45</f>
        <v>3.49E-2</v>
      </c>
      <c r="CR201">
        <f>'2012_2020 Int_Confianca'!CP45</f>
        <v>3.85E-2</v>
      </c>
      <c r="CS201">
        <f>'2012_2020 Int_Confianca'!CQ45</f>
        <v>3.3599999999999998E-2</v>
      </c>
      <c r="CT201">
        <f>'2012_2020 Int_Confianca'!CR45</f>
        <v>3.85E-2</v>
      </c>
      <c r="CU201">
        <f>'2012_2020 Int_Confianca'!CS45</f>
        <v>3.04E-2</v>
      </c>
      <c r="CV201">
        <f>'2012_2020 Int_Confianca'!CT45</f>
        <v>3.61E-2</v>
      </c>
      <c r="CW201">
        <f>'2012_2020 Int_Confianca'!CU45</f>
        <v>3.61E-2</v>
      </c>
      <c r="CX201">
        <f>'2012_2020 Int_Confianca'!CV45</f>
        <v>3.3000000000000002E-2</v>
      </c>
    </row>
    <row r="202" spans="1:102" x14ac:dyDescent="0.2">
      <c r="A202" t="s">
        <v>5912</v>
      </c>
      <c r="B202" t="s">
        <v>218</v>
      </c>
      <c r="C202" t="s">
        <v>222</v>
      </c>
      <c r="D202">
        <f>'2012_2020 Int_Confianca'!B46</f>
        <v>8.3999999999999995E-3</v>
      </c>
      <c r="E202">
        <f>'2012_2020 Int_Confianca'!C46</f>
        <v>1.43E-2</v>
      </c>
      <c r="F202">
        <f>'2012_2020 Int_Confianca'!D46</f>
        <v>1.6899999999999998E-2</v>
      </c>
      <c r="G202">
        <f>'2012_2020 Int_Confianca'!E46</f>
        <v>1.7299999999999999E-2</v>
      </c>
      <c r="H202">
        <f>'2012_2020 Int_Confianca'!F46</f>
        <v>1.7100000000000001E-2</v>
      </c>
      <c r="I202">
        <f>'2012_2020 Int_Confianca'!G46</f>
        <v>1.9099999999999999E-2</v>
      </c>
      <c r="J202">
        <f>'2012_2020 Int_Confianca'!H46</f>
        <v>1.8499999999999999E-2</v>
      </c>
      <c r="K202">
        <f>'2012_2020 Int_Confianca'!I46</f>
        <v>1.7600000000000001E-2</v>
      </c>
      <c r="L202">
        <f>'2012_2020 Int_Confianca'!J46</f>
        <v>1.7899999999999999E-2</v>
      </c>
      <c r="M202">
        <f>'2012_2020 Int_Confianca'!K46</f>
        <v>1.49E-2</v>
      </c>
      <c r="N202">
        <f>'2012_2020 Int_Confianca'!L46</f>
        <v>1.46E-2</v>
      </c>
      <c r="O202">
        <f>'2012_2020 Int_Confianca'!M46</f>
        <v>1.38E-2</v>
      </c>
      <c r="P202">
        <f>'2012_2020 Int_Confianca'!N46</f>
        <v>1.29E-2</v>
      </c>
      <c r="Q202">
        <f>'2012_2020 Int_Confianca'!O46</f>
        <v>1.2E-2</v>
      </c>
      <c r="R202">
        <f>'2012_2020 Int_Confianca'!P46</f>
        <v>1.04E-2</v>
      </c>
      <c r="S202">
        <f>'2012_2020 Int_Confianca'!Q46</f>
        <v>9.9000000000000008E-3</v>
      </c>
      <c r="T202">
        <f>'2012_2020 Int_Confianca'!R46</f>
        <v>9.7000000000000003E-3</v>
      </c>
      <c r="U202">
        <f>'2012_2020 Int_Confianca'!S46</f>
        <v>9.7000000000000003E-3</v>
      </c>
      <c r="V202">
        <f>'2012_2020 Int_Confianca'!T46</f>
        <v>9.5999999999999992E-3</v>
      </c>
      <c r="W202">
        <f>'2012_2020 Int_Confianca'!U46</f>
        <v>9.5999999999999992E-3</v>
      </c>
      <c r="X202">
        <f>'2012_2020 Int_Confianca'!V46</f>
        <v>9.4999999999999998E-3</v>
      </c>
      <c r="Y202">
        <f>'2012_2020 Int_Confianca'!W46</f>
        <v>9.7000000000000003E-3</v>
      </c>
      <c r="Z202">
        <f>'2012_2020 Int_Confianca'!X46</f>
        <v>9.7999999999999997E-3</v>
      </c>
      <c r="AA202">
        <f>'2012_2020 Int_Confianca'!Y46</f>
        <v>0.01</v>
      </c>
      <c r="AB202">
        <f>'2012_2020 Int_Confianca'!Z46</f>
        <v>1.03E-2</v>
      </c>
      <c r="AC202">
        <f>'2012_2020 Int_Confianca'!AA46</f>
        <v>1.03E-2</v>
      </c>
      <c r="AD202">
        <f>'2012_2020 Int_Confianca'!AB46</f>
        <v>1.0500000000000001E-2</v>
      </c>
      <c r="AE202">
        <f>'2012_2020 Int_Confianca'!AC46</f>
        <v>1.0699999999999999E-2</v>
      </c>
      <c r="AF202">
        <f>'2012_2020 Int_Confianca'!AD46</f>
        <v>1.09E-2</v>
      </c>
      <c r="AG202">
        <f>'2012_2020 Int_Confianca'!AE46</f>
        <v>1.1299999999999999E-2</v>
      </c>
      <c r="AH202">
        <f>'2012_2020 Int_Confianca'!AF46</f>
        <v>1.1599999999999999E-2</v>
      </c>
      <c r="AI202">
        <f>'2012_2020 Int_Confianca'!AG46</f>
        <v>1.2E-2</v>
      </c>
      <c r="AJ202">
        <f>'2012_2020 Int_Confianca'!AH46</f>
        <v>1.23E-2</v>
      </c>
      <c r="AK202">
        <f>'2012_2020 Int_Confianca'!AI46</f>
        <v>1.2999999999999999E-2</v>
      </c>
      <c r="AL202">
        <f>'2012_2020 Int_Confianca'!AJ46</f>
        <v>1.35E-2</v>
      </c>
      <c r="AM202">
        <f>'2012_2020 Int_Confianca'!AK46</f>
        <v>1.38E-2</v>
      </c>
      <c r="AN202">
        <f>'2012_2020 Int_Confianca'!AL46</f>
        <v>1.44E-2</v>
      </c>
      <c r="AO202">
        <f>'2012_2020 Int_Confianca'!AM46</f>
        <v>1.5100000000000001E-2</v>
      </c>
      <c r="AP202">
        <f>'2012_2020 Int_Confianca'!AN46</f>
        <v>1.5599999999999999E-2</v>
      </c>
      <c r="AQ202">
        <f>'2012_2020 Int_Confianca'!AO46</f>
        <v>1.6299999999999999E-2</v>
      </c>
      <c r="AR202">
        <f>'2012_2020 Int_Confianca'!AP46</f>
        <v>1.6799999999999999E-2</v>
      </c>
      <c r="AS202">
        <f>'2012_2020 Int_Confianca'!AQ46</f>
        <v>1.7399999999999999E-2</v>
      </c>
      <c r="AT202">
        <f>'2012_2020 Int_Confianca'!AR46</f>
        <v>1.78E-2</v>
      </c>
      <c r="AU202">
        <f>'2012_2020 Int_Confianca'!AS46</f>
        <v>1.7999999999999999E-2</v>
      </c>
      <c r="AV202">
        <f>'2012_2020 Int_Confianca'!AT46</f>
        <v>1.7999999999999999E-2</v>
      </c>
      <c r="AW202">
        <f>'2012_2020 Int_Confianca'!AU46</f>
        <v>1.8100000000000002E-2</v>
      </c>
      <c r="AX202">
        <f>'2012_2020 Int_Confianca'!AV46</f>
        <v>1.8200000000000001E-2</v>
      </c>
      <c r="AY202">
        <f>'2012_2020 Int_Confianca'!AW46</f>
        <v>1.8700000000000001E-2</v>
      </c>
      <c r="AZ202">
        <f>'2012_2020 Int_Confianca'!AX46</f>
        <v>1.89E-2</v>
      </c>
      <c r="BA202">
        <f>'2012_2020 Int_Confianca'!AY46</f>
        <v>1.95E-2</v>
      </c>
      <c r="BB202">
        <f>'2012_2020 Int_Confianca'!AZ46</f>
        <v>1.9900000000000001E-2</v>
      </c>
      <c r="BC202">
        <f>'2012_2020 Int_Confianca'!BA46</f>
        <v>2.1000000000000001E-2</v>
      </c>
      <c r="BD202">
        <f>'2012_2020 Int_Confianca'!BB46</f>
        <v>2.2100000000000002E-2</v>
      </c>
      <c r="BE202">
        <f>'2012_2020 Int_Confianca'!BC46</f>
        <v>2.29E-2</v>
      </c>
      <c r="BF202">
        <f>'2012_2020 Int_Confianca'!BD46</f>
        <v>2.3400000000000001E-2</v>
      </c>
      <c r="BG202">
        <f>'2012_2020 Int_Confianca'!BE46</f>
        <v>2.3699999999999999E-2</v>
      </c>
      <c r="BH202">
        <f>'2012_2020 Int_Confianca'!BF46</f>
        <v>2.35E-2</v>
      </c>
      <c r="BI202">
        <f>'2012_2020 Int_Confianca'!BG46</f>
        <v>2.3199999999999998E-2</v>
      </c>
      <c r="BJ202">
        <f>'2012_2020 Int_Confianca'!BH46</f>
        <v>2.3300000000000001E-2</v>
      </c>
      <c r="BK202">
        <f>'2012_2020 Int_Confianca'!BI46</f>
        <v>2.3199999999999998E-2</v>
      </c>
      <c r="BL202">
        <f>'2012_2020 Int_Confianca'!BJ46</f>
        <v>2.3400000000000001E-2</v>
      </c>
      <c r="BM202">
        <f>'2012_2020 Int_Confianca'!BK46</f>
        <v>2.3900000000000001E-2</v>
      </c>
      <c r="BN202">
        <f>'2012_2020 Int_Confianca'!BL46</f>
        <v>2.4799999999999999E-2</v>
      </c>
      <c r="BO202">
        <f>'2012_2020 Int_Confianca'!BM46</f>
        <v>2.5700000000000001E-2</v>
      </c>
      <c r="BP202">
        <f>'2012_2020 Int_Confianca'!BN46</f>
        <v>2.63E-2</v>
      </c>
      <c r="BQ202">
        <f>'2012_2020 Int_Confianca'!BO46</f>
        <v>2.6599999999999999E-2</v>
      </c>
      <c r="BR202">
        <f>'2012_2020 Int_Confianca'!BP46</f>
        <v>2.64E-2</v>
      </c>
      <c r="BS202">
        <f>'2012_2020 Int_Confianca'!BQ46</f>
        <v>2.6499999999999999E-2</v>
      </c>
      <c r="BT202">
        <f>'2012_2020 Int_Confianca'!BR46</f>
        <v>2.6499999999999999E-2</v>
      </c>
      <c r="BU202">
        <f>'2012_2020 Int_Confianca'!BS46</f>
        <v>2.69E-2</v>
      </c>
      <c r="BV202">
        <f>'2012_2020 Int_Confianca'!BT46</f>
        <v>2.8500000000000001E-2</v>
      </c>
      <c r="BW202">
        <f>'2012_2020 Int_Confianca'!BU46</f>
        <v>2.98E-2</v>
      </c>
      <c r="BX202">
        <f>'2012_2020 Int_Confianca'!BV46</f>
        <v>3.0499999999999999E-2</v>
      </c>
      <c r="BY202">
        <f>'2012_2020 Int_Confianca'!BW46</f>
        <v>3.1300000000000001E-2</v>
      </c>
      <c r="BZ202">
        <f>'2012_2020 Int_Confianca'!BX46</f>
        <v>3.1E-2</v>
      </c>
      <c r="CA202">
        <f>'2012_2020 Int_Confianca'!BY46</f>
        <v>3.0800000000000001E-2</v>
      </c>
      <c r="CB202">
        <f>'2012_2020 Int_Confianca'!BZ46</f>
        <v>3.0200000000000001E-2</v>
      </c>
      <c r="CC202">
        <f>'2012_2020 Int_Confianca'!CA46</f>
        <v>3.15E-2</v>
      </c>
      <c r="CD202">
        <f>'2012_2020 Int_Confianca'!CB46</f>
        <v>3.32E-2</v>
      </c>
      <c r="CE202">
        <f>'2012_2020 Int_Confianca'!CC46</f>
        <v>3.4200000000000001E-2</v>
      </c>
      <c r="CF202">
        <f>'2012_2020 Int_Confianca'!CD46</f>
        <v>3.5499999999999997E-2</v>
      </c>
      <c r="CG202">
        <f>'2012_2020 Int_Confianca'!CE46</f>
        <v>3.39E-2</v>
      </c>
      <c r="CH202">
        <f>'2012_2020 Int_Confianca'!CF46</f>
        <v>3.1899999999999998E-2</v>
      </c>
      <c r="CI202">
        <f>'2012_2020 Int_Confianca'!CG46</f>
        <v>3.1399999999999997E-2</v>
      </c>
      <c r="CJ202">
        <f>'2012_2020 Int_Confianca'!CH46</f>
        <v>3.2899999999999999E-2</v>
      </c>
      <c r="CK202">
        <f>'2012_2020 Int_Confianca'!CI46</f>
        <v>4.0399999999999998E-2</v>
      </c>
      <c r="CL202">
        <f>'2012_2020 Int_Confianca'!CJ46</f>
        <v>3.9800000000000002E-2</v>
      </c>
      <c r="CM202">
        <f>'2012_2020 Int_Confianca'!CK46</f>
        <v>3.7900000000000003E-2</v>
      </c>
      <c r="CN202">
        <f>'2012_2020 Int_Confianca'!CL46</f>
        <v>3.9100000000000003E-2</v>
      </c>
      <c r="CO202">
        <f>'2012_2020 Int_Confianca'!CM46</f>
        <v>3.8600000000000002E-2</v>
      </c>
      <c r="CP202">
        <f>'2012_2020 Int_Confianca'!CN46</f>
        <v>3.6600000000000001E-2</v>
      </c>
      <c r="CQ202">
        <f>'2012_2020 Int_Confianca'!CO46</f>
        <v>4.19E-2</v>
      </c>
      <c r="CR202">
        <f>'2012_2020 Int_Confianca'!CP46</f>
        <v>4.6300000000000001E-2</v>
      </c>
      <c r="CS202">
        <f>'2012_2020 Int_Confianca'!CQ46</f>
        <v>4.0500000000000001E-2</v>
      </c>
      <c r="CT202">
        <f>'2012_2020 Int_Confianca'!CR46</f>
        <v>4.6600000000000003E-2</v>
      </c>
      <c r="CU202">
        <f>'2012_2020 Int_Confianca'!CS46</f>
        <v>3.6999999999999998E-2</v>
      </c>
      <c r="CV202">
        <f>'2012_2020 Int_Confianca'!CT46</f>
        <v>4.4200000000000003E-2</v>
      </c>
      <c r="CW202">
        <f>'2012_2020 Int_Confianca'!CU46</f>
        <v>4.4900000000000002E-2</v>
      </c>
      <c r="CX202">
        <f>'2012_2020 Int_Confianca'!CV46</f>
        <v>4.2599999999999999E-2</v>
      </c>
    </row>
    <row r="203" spans="1:102" x14ac:dyDescent="0.2">
      <c r="A203" t="s">
        <v>5913</v>
      </c>
      <c r="B203" t="s">
        <v>218</v>
      </c>
      <c r="C203" t="s">
        <v>222</v>
      </c>
      <c r="D203">
        <f>'2012_2020 Int_Confianca'!B47</f>
        <v>-8.5000000000000006E-3</v>
      </c>
      <c r="E203">
        <f>'2012_2020 Int_Confianca'!C47</f>
        <v>-9.9000000000000008E-3</v>
      </c>
      <c r="F203">
        <f>'2012_2020 Int_Confianca'!D47</f>
        <v>-9.1000000000000004E-3</v>
      </c>
      <c r="G203">
        <f>'2012_2020 Int_Confianca'!E47</f>
        <v>-8.0999999999999996E-3</v>
      </c>
      <c r="H203">
        <f>'2012_2020 Int_Confianca'!F47</f>
        <v>-7.3000000000000001E-3</v>
      </c>
      <c r="I203">
        <f>'2012_2020 Int_Confianca'!G47</f>
        <v>-7.3000000000000001E-3</v>
      </c>
      <c r="J203">
        <f>'2012_2020 Int_Confianca'!H47</f>
        <v>-6.4000000000000003E-3</v>
      </c>
      <c r="K203">
        <f>'2012_2020 Int_Confianca'!I47</f>
        <v>-5.7000000000000002E-3</v>
      </c>
      <c r="L203">
        <f>'2012_2020 Int_Confianca'!J47</f>
        <v>-5.4000000000000003E-3</v>
      </c>
      <c r="M203">
        <f>'2012_2020 Int_Confianca'!K47</f>
        <v>-4.1000000000000003E-3</v>
      </c>
      <c r="N203">
        <f>'2012_2020 Int_Confianca'!L47</f>
        <v>-3.8E-3</v>
      </c>
      <c r="O203">
        <f>'2012_2020 Int_Confianca'!M47</f>
        <v>-3.3999999999999998E-3</v>
      </c>
      <c r="P203">
        <f>'2012_2020 Int_Confianca'!N47</f>
        <v>-3.0000000000000001E-3</v>
      </c>
      <c r="Q203">
        <f>'2012_2020 Int_Confianca'!O47</f>
        <v>-2.5999999999999999E-3</v>
      </c>
      <c r="R203">
        <f>'2012_2020 Int_Confianca'!P47</f>
        <v>-2.0999999999999999E-3</v>
      </c>
      <c r="S203">
        <f>'2012_2020 Int_Confianca'!Q47</f>
        <v>-2E-3</v>
      </c>
      <c r="T203">
        <f>'2012_2020 Int_Confianca'!R47</f>
        <v>-1.9E-3</v>
      </c>
      <c r="U203">
        <f>'2012_2020 Int_Confianca'!S47</f>
        <v>-1.9E-3</v>
      </c>
      <c r="V203">
        <f>'2012_2020 Int_Confianca'!T47</f>
        <v>-1.9E-3</v>
      </c>
      <c r="W203">
        <f>'2012_2020 Int_Confianca'!U47</f>
        <v>-1.9E-3</v>
      </c>
      <c r="X203">
        <f>'2012_2020 Int_Confianca'!V47</f>
        <v>-2E-3</v>
      </c>
      <c r="Y203">
        <f>'2012_2020 Int_Confianca'!W47</f>
        <v>-2.0999999999999999E-3</v>
      </c>
      <c r="Z203">
        <f>'2012_2020 Int_Confianca'!X47</f>
        <v>-2.2000000000000001E-3</v>
      </c>
      <c r="AA203">
        <f>'2012_2020 Int_Confianca'!Y47</f>
        <v>-2.3E-3</v>
      </c>
      <c r="AB203">
        <f>'2012_2020 Int_Confianca'!Z47</f>
        <v>-2.3E-3</v>
      </c>
      <c r="AC203">
        <f>'2012_2020 Int_Confianca'!AA47</f>
        <v>-2.3999999999999998E-3</v>
      </c>
      <c r="AD203">
        <f>'2012_2020 Int_Confianca'!AB47</f>
        <v>-2.5000000000000001E-3</v>
      </c>
      <c r="AE203">
        <f>'2012_2020 Int_Confianca'!AC47</f>
        <v>-2.5999999999999999E-3</v>
      </c>
      <c r="AF203">
        <f>'2012_2020 Int_Confianca'!AD47</f>
        <v>-2.7000000000000001E-3</v>
      </c>
      <c r="AG203">
        <f>'2012_2020 Int_Confianca'!AE47</f>
        <v>-2.8E-3</v>
      </c>
      <c r="AH203">
        <f>'2012_2020 Int_Confianca'!AF47</f>
        <v>-3.0000000000000001E-3</v>
      </c>
      <c r="AI203">
        <f>'2012_2020 Int_Confianca'!AG47</f>
        <v>-3.2000000000000002E-3</v>
      </c>
      <c r="AJ203">
        <f>'2012_2020 Int_Confianca'!AH47</f>
        <v>-3.3E-3</v>
      </c>
      <c r="AK203">
        <f>'2012_2020 Int_Confianca'!AI47</f>
        <v>-3.5000000000000001E-3</v>
      </c>
      <c r="AL203">
        <f>'2012_2020 Int_Confianca'!AJ47</f>
        <v>-3.7000000000000002E-3</v>
      </c>
      <c r="AM203">
        <f>'2012_2020 Int_Confianca'!AK47</f>
        <v>-3.8999999999999998E-3</v>
      </c>
      <c r="AN203">
        <f>'2012_2020 Int_Confianca'!AL47</f>
        <v>-4.0000000000000001E-3</v>
      </c>
      <c r="AO203">
        <f>'2012_2020 Int_Confianca'!AM47</f>
        <v>-4.1999999999999997E-3</v>
      </c>
      <c r="AP203">
        <f>'2012_2020 Int_Confianca'!AN47</f>
        <v>-4.4000000000000003E-3</v>
      </c>
      <c r="AQ203">
        <f>'2012_2020 Int_Confianca'!AO47</f>
        <v>-4.7000000000000002E-3</v>
      </c>
      <c r="AR203">
        <f>'2012_2020 Int_Confianca'!AP47</f>
        <v>-4.8999999999999998E-3</v>
      </c>
      <c r="AS203">
        <f>'2012_2020 Int_Confianca'!AQ47</f>
        <v>-5.0000000000000001E-3</v>
      </c>
      <c r="AT203">
        <f>'2012_2020 Int_Confianca'!AR47</f>
        <v>-5.1000000000000004E-3</v>
      </c>
      <c r="AU203">
        <f>'2012_2020 Int_Confianca'!AS47</f>
        <v>-5.1000000000000004E-3</v>
      </c>
      <c r="AV203">
        <f>'2012_2020 Int_Confianca'!AT47</f>
        <v>-5.1000000000000004E-3</v>
      </c>
      <c r="AW203">
        <f>'2012_2020 Int_Confianca'!AU47</f>
        <v>-5.1999999999999998E-3</v>
      </c>
      <c r="AX203">
        <f>'2012_2020 Int_Confianca'!AV47</f>
        <v>-5.1999999999999998E-3</v>
      </c>
      <c r="AY203">
        <f>'2012_2020 Int_Confianca'!AW47</f>
        <v>-5.3E-3</v>
      </c>
      <c r="AZ203">
        <f>'2012_2020 Int_Confianca'!AX47</f>
        <v>-5.4000000000000003E-3</v>
      </c>
      <c r="BA203">
        <f>'2012_2020 Int_Confianca'!AY47</f>
        <v>-5.5999999999999999E-3</v>
      </c>
      <c r="BB203">
        <f>'2012_2020 Int_Confianca'!AZ47</f>
        <v>-5.7000000000000002E-3</v>
      </c>
      <c r="BC203">
        <f>'2012_2020 Int_Confianca'!BA47</f>
        <v>-6.0000000000000001E-3</v>
      </c>
      <c r="BD203">
        <f>'2012_2020 Int_Confianca'!BB47</f>
        <v>-6.3E-3</v>
      </c>
      <c r="BE203">
        <f>'2012_2020 Int_Confianca'!BC47</f>
        <v>-6.4999999999999997E-3</v>
      </c>
      <c r="BF203">
        <f>'2012_2020 Int_Confianca'!BD47</f>
        <v>-6.4999999999999997E-3</v>
      </c>
      <c r="BG203">
        <f>'2012_2020 Int_Confianca'!BE47</f>
        <v>-6.6E-3</v>
      </c>
      <c r="BH203">
        <f>'2012_2020 Int_Confianca'!BF47</f>
        <v>-6.4999999999999997E-3</v>
      </c>
      <c r="BI203">
        <f>'2012_2020 Int_Confianca'!BG47</f>
        <v>-6.4000000000000003E-3</v>
      </c>
      <c r="BJ203">
        <f>'2012_2020 Int_Confianca'!BH47</f>
        <v>-6.4000000000000003E-3</v>
      </c>
      <c r="BK203">
        <f>'2012_2020 Int_Confianca'!BI47</f>
        <v>-6.3E-3</v>
      </c>
      <c r="BL203">
        <f>'2012_2020 Int_Confianca'!BJ47</f>
        <v>-6.4000000000000003E-3</v>
      </c>
      <c r="BM203">
        <f>'2012_2020 Int_Confianca'!BK47</f>
        <v>-6.4999999999999997E-3</v>
      </c>
      <c r="BN203">
        <f>'2012_2020 Int_Confianca'!BL47</f>
        <v>-6.7999999999999996E-3</v>
      </c>
      <c r="BO203">
        <f>'2012_2020 Int_Confianca'!BM47</f>
        <v>-6.7999999999999996E-3</v>
      </c>
      <c r="BP203">
        <f>'2012_2020 Int_Confianca'!BN47</f>
        <v>-7.0000000000000001E-3</v>
      </c>
      <c r="BQ203">
        <f>'2012_2020 Int_Confianca'!BO47</f>
        <v>-7.0000000000000001E-3</v>
      </c>
      <c r="BR203">
        <f>'2012_2020 Int_Confianca'!BP47</f>
        <v>-6.8999999999999999E-3</v>
      </c>
      <c r="BS203">
        <f>'2012_2020 Int_Confianca'!BQ47</f>
        <v>-6.8999999999999999E-3</v>
      </c>
      <c r="BT203">
        <f>'2012_2020 Int_Confianca'!BR47</f>
        <v>-6.7999999999999996E-3</v>
      </c>
      <c r="BU203">
        <f>'2012_2020 Int_Confianca'!BS47</f>
        <v>-6.8999999999999999E-3</v>
      </c>
      <c r="BV203">
        <f>'2012_2020 Int_Confianca'!BT47</f>
        <v>-7.3000000000000001E-3</v>
      </c>
      <c r="BW203">
        <f>'2012_2020 Int_Confianca'!BU47</f>
        <v>-7.4999999999999997E-3</v>
      </c>
      <c r="BX203">
        <f>'2012_2020 Int_Confianca'!BV47</f>
        <v>-7.6E-3</v>
      </c>
      <c r="BY203">
        <f>'2012_2020 Int_Confianca'!BW47</f>
        <v>-7.9000000000000008E-3</v>
      </c>
      <c r="BZ203">
        <f>'2012_2020 Int_Confianca'!BX47</f>
        <v>-7.7999999999999996E-3</v>
      </c>
      <c r="CA203">
        <f>'2012_2020 Int_Confianca'!BY47</f>
        <v>-7.7000000000000002E-3</v>
      </c>
      <c r="CB203">
        <f>'2012_2020 Int_Confianca'!BZ47</f>
        <v>-7.4000000000000003E-3</v>
      </c>
      <c r="CC203">
        <f>'2012_2020 Int_Confianca'!CA47</f>
        <v>-7.7999999999999996E-3</v>
      </c>
      <c r="CD203">
        <f>'2012_2020 Int_Confianca'!CB47</f>
        <v>-8.3000000000000001E-3</v>
      </c>
      <c r="CE203">
        <f>'2012_2020 Int_Confianca'!CC47</f>
        <v>-8.3000000000000001E-3</v>
      </c>
      <c r="CF203">
        <f>'2012_2020 Int_Confianca'!CD47</f>
        <v>-8.6E-3</v>
      </c>
      <c r="CG203">
        <f>'2012_2020 Int_Confianca'!CE47</f>
        <v>-8.2000000000000007E-3</v>
      </c>
      <c r="CH203">
        <f>'2012_2020 Int_Confianca'!CF47</f>
        <v>-7.7999999999999996E-3</v>
      </c>
      <c r="CI203">
        <f>'2012_2020 Int_Confianca'!CG47</f>
        <v>-7.6E-3</v>
      </c>
      <c r="CJ203">
        <f>'2012_2020 Int_Confianca'!CH47</f>
        <v>-8.0000000000000002E-3</v>
      </c>
      <c r="CK203">
        <f>'2012_2020 Int_Confianca'!CI47</f>
        <v>-9.4999999999999998E-3</v>
      </c>
      <c r="CL203">
        <f>'2012_2020 Int_Confianca'!CJ47</f>
        <v>-9.4000000000000004E-3</v>
      </c>
      <c r="CM203">
        <f>'2012_2020 Int_Confianca'!CK47</f>
        <v>-9.2999999999999992E-3</v>
      </c>
      <c r="CN203">
        <f>'2012_2020 Int_Confianca'!CL47</f>
        <v>-9.4999999999999998E-3</v>
      </c>
      <c r="CO203">
        <f>'2012_2020 Int_Confianca'!CM47</f>
        <v>-9.4999999999999998E-3</v>
      </c>
      <c r="CP203">
        <f>'2012_2020 Int_Confianca'!CN47</f>
        <v>-9.1999999999999998E-3</v>
      </c>
      <c r="CQ203">
        <f>'2012_2020 Int_Confianca'!CO47</f>
        <v>-1.0800000000000001E-2</v>
      </c>
      <c r="CR203">
        <f>'2012_2020 Int_Confianca'!CP47</f>
        <v>-1.18E-2</v>
      </c>
      <c r="CS203">
        <f>'2012_2020 Int_Confianca'!CQ47</f>
        <v>-1.04E-2</v>
      </c>
      <c r="CT203">
        <f>'2012_2020 Int_Confianca'!CR47</f>
        <v>-1.2699999999999999E-2</v>
      </c>
      <c r="CU203">
        <f>'2012_2020 Int_Confianca'!CS47</f>
        <v>-1.03E-2</v>
      </c>
      <c r="CV203">
        <f>'2012_2020 Int_Confianca'!CT47</f>
        <v>-1.18E-2</v>
      </c>
      <c r="CW203">
        <f>'2012_2020 Int_Confianca'!CU47</f>
        <v>-1.23E-2</v>
      </c>
      <c r="CX203">
        <f>'2012_2020 Int_Confianca'!CV47</f>
        <v>-1.2E-2</v>
      </c>
    </row>
    <row r="204" spans="1:102" x14ac:dyDescent="0.2">
      <c r="A204" t="s">
        <v>5914</v>
      </c>
      <c r="B204" t="s">
        <v>218</v>
      </c>
      <c r="C204" t="s">
        <v>222</v>
      </c>
      <c r="D204">
        <f>'2012_2020 Int_Confianca'!B48</f>
        <v>-4.8999999999999998E-3</v>
      </c>
      <c r="E204">
        <f>'2012_2020 Int_Confianca'!C48</f>
        <v>-5.8999999999999999E-3</v>
      </c>
      <c r="F204">
        <f>'2012_2020 Int_Confianca'!D48</f>
        <v>-5.4999999999999997E-3</v>
      </c>
      <c r="G204">
        <f>'2012_2020 Int_Confianca'!E48</f>
        <v>-4.8999999999999998E-3</v>
      </c>
      <c r="H204">
        <f>'2012_2020 Int_Confianca'!F48</f>
        <v>-4.4000000000000003E-3</v>
      </c>
      <c r="I204">
        <f>'2012_2020 Int_Confianca'!G48</f>
        <v>-4.4000000000000003E-3</v>
      </c>
      <c r="J204">
        <f>'2012_2020 Int_Confianca'!H48</f>
        <v>-3.8999999999999998E-3</v>
      </c>
      <c r="K204">
        <f>'2012_2020 Int_Confianca'!I48</f>
        <v>-3.3999999999999998E-3</v>
      </c>
      <c r="L204">
        <f>'2012_2020 Int_Confianca'!J48</f>
        <v>-3.3E-3</v>
      </c>
      <c r="M204">
        <f>'2012_2020 Int_Confianca'!K48</f>
        <v>-2.5000000000000001E-3</v>
      </c>
      <c r="N204">
        <f>'2012_2020 Int_Confianca'!L48</f>
        <v>-2.3E-3</v>
      </c>
      <c r="O204">
        <f>'2012_2020 Int_Confianca'!M48</f>
        <v>-2E-3</v>
      </c>
      <c r="P204">
        <f>'2012_2020 Int_Confianca'!N48</f>
        <v>-1.8E-3</v>
      </c>
      <c r="Q204">
        <f>'2012_2020 Int_Confianca'!O48</f>
        <v>-1.5E-3</v>
      </c>
      <c r="R204">
        <f>'2012_2020 Int_Confianca'!P48</f>
        <v>-1.2999999999999999E-3</v>
      </c>
      <c r="S204">
        <f>'2012_2020 Int_Confianca'!Q48</f>
        <v>-1.1999999999999999E-3</v>
      </c>
      <c r="T204">
        <f>'2012_2020 Int_Confianca'!R48</f>
        <v>-1.1999999999999999E-3</v>
      </c>
      <c r="U204">
        <f>'2012_2020 Int_Confianca'!S48</f>
        <v>-1.1000000000000001E-3</v>
      </c>
      <c r="V204">
        <f>'2012_2020 Int_Confianca'!T48</f>
        <v>-1.1000000000000001E-3</v>
      </c>
      <c r="W204">
        <f>'2012_2020 Int_Confianca'!U48</f>
        <v>-1.1999999999999999E-3</v>
      </c>
      <c r="X204">
        <f>'2012_2020 Int_Confianca'!V48</f>
        <v>-1.1999999999999999E-3</v>
      </c>
      <c r="Y204">
        <f>'2012_2020 Int_Confianca'!W48</f>
        <v>-1.2999999999999999E-3</v>
      </c>
      <c r="Z204">
        <f>'2012_2020 Int_Confianca'!X48</f>
        <v>-1.2999999999999999E-3</v>
      </c>
      <c r="AA204">
        <f>'2012_2020 Int_Confianca'!Y48</f>
        <v>-1.4E-3</v>
      </c>
      <c r="AB204">
        <f>'2012_2020 Int_Confianca'!Z48</f>
        <v>-1.4E-3</v>
      </c>
      <c r="AC204">
        <f>'2012_2020 Int_Confianca'!AA48</f>
        <v>-1.5E-3</v>
      </c>
      <c r="AD204">
        <f>'2012_2020 Int_Confianca'!AB48</f>
        <v>-1.5E-3</v>
      </c>
      <c r="AE204">
        <f>'2012_2020 Int_Confianca'!AC48</f>
        <v>-1.6000000000000001E-3</v>
      </c>
      <c r="AF204">
        <f>'2012_2020 Int_Confianca'!AD48</f>
        <v>-1.6999999999999999E-3</v>
      </c>
      <c r="AG204">
        <f>'2012_2020 Int_Confianca'!AE48</f>
        <v>-1.8E-3</v>
      </c>
      <c r="AH204">
        <f>'2012_2020 Int_Confianca'!AF48</f>
        <v>-1.9E-3</v>
      </c>
      <c r="AI204">
        <f>'2012_2020 Int_Confianca'!AG48</f>
        <v>-2E-3</v>
      </c>
      <c r="AJ204">
        <f>'2012_2020 Int_Confianca'!AH48</f>
        <v>-2E-3</v>
      </c>
      <c r="AK204">
        <f>'2012_2020 Int_Confianca'!AI48</f>
        <v>-2.2000000000000001E-3</v>
      </c>
      <c r="AL204">
        <f>'2012_2020 Int_Confianca'!AJ48</f>
        <v>-2.3E-3</v>
      </c>
      <c r="AM204">
        <f>'2012_2020 Int_Confianca'!AK48</f>
        <v>-2.3999999999999998E-3</v>
      </c>
      <c r="AN204">
        <f>'2012_2020 Int_Confianca'!AL48</f>
        <v>-2.5000000000000001E-3</v>
      </c>
      <c r="AO204">
        <f>'2012_2020 Int_Confianca'!AM48</f>
        <v>-2.5999999999999999E-3</v>
      </c>
      <c r="AP204">
        <f>'2012_2020 Int_Confianca'!AN48</f>
        <v>-2.7000000000000001E-3</v>
      </c>
      <c r="AQ204">
        <f>'2012_2020 Int_Confianca'!AO48</f>
        <v>-2.8999999999999998E-3</v>
      </c>
      <c r="AR204">
        <f>'2012_2020 Int_Confianca'!AP48</f>
        <v>-3.0000000000000001E-3</v>
      </c>
      <c r="AS204">
        <f>'2012_2020 Int_Confianca'!AQ48</f>
        <v>-3.0999999999999999E-3</v>
      </c>
      <c r="AT204">
        <f>'2012_2020 Int_Confianca'!AR48</f>
        <v>-3.2000000000000002E-3</v>
      </c>
      <c r="AU204">
        <f>'2012_2020 Int_Confianca'!AS48</f>
        <v>-3.2000000000000002E-3</v>
      </c>
      <c r="AV204">
        <f>'2012_2020 Int_Confianca'!AT48</f>
        <v>-3.2000000000000002E-3</v>
      </c>
      <c r="AW204">
        <f>'2012_2020 Int_Confianca'!AU48</f>
        <v>-3.2000000000000002E-3</v>
      </c>
      <c r="AX204">
        <f>'2012_2020 Int_Confianca'!AV48</f>
        <v>-3.2000000000000002E-3</v>
      </c>
      <c r="AY204">
        <f>'2012_2020 Int_Confianca'!AW48</f>
        <v>-3.3E-3</v>
      </c>
      <c r="AZ204">
        <f>'2012_2020 Int_Confianca'!AX48</f>
        <v>-3.3999999999999998E-3</v>
      </c>
      <c r="BA204">
        <f>'2012_2020 Int_Confianca'!AY48</f>
        <v>-3.5000000000000001E-3</v>
      </c>
      <c r="BB204">
        <f>'2012_2020 Int_Confianca'!AZ48</f>
        <v>-3.5999999999999999E-3</v>
      </c>
      <c r="BC204">
        <f>'2012_2020 Int_Confianca'!BA48</f>
        <v>-3.8E-3</v>
      </c>
      <c r="BD204">
        <f>'2012_2020 Int_Confianca'!BB48</f>
        <v>-3.8999999999999998E-3</v>
      </c>
      <c r="BE204">
        <f>'2012_2020 Int_Confianca'!BC48</f>
        <v>-4.0000000000000001E-3</v>
      </c>
      <c r="BF204">
        <f>'2012_2020 Int_Confianca'!BD48</f>
        <v>-4.1000000000000003E-3</v>
      </c>
      <c r="BG204">
        <f>'2012_2020 Int_Confianca'!BE48</f>
        <v>-4.1000000000000003E-3</v>
      </c>
      <c r="BH204">
        <f>'2012_2020 Int_Confianca'!BF48</f>
        <v>-4.1000000000000003E-3</v>
      </c>
      <c r="BI204">
        <f>'2012_2020 Int_Confianca'!BG48</f>
        <v>-4.0000000000000001E-3</v>
      </c>
      <c r="BJ204">
        <f>'2012_2020 Int_Confianca'!BH48</f>
        <v>-4.0000000000000001E-3</v>
      </c>
      <c r="BK204">
        <f>'2012_2020 Int_Confianca'!BI48</f>
        <v>-3.8999999999999998E-3</v>
      </c>
      <c r="BL204">
        <f>'2012_2020 Int_Confianca'!BJ48</f>
        <v>-4.0000000000000001E-3</v>
      </c>
      <c r="BM204">
        <f>'2012_2020 Int_Confianca'!BK48</f>
        <v>-4.0000000000000001E-3</v>
      </c>
      <c r="BN204">
        <f>'2012_2020 Int_Confianca'!BL48</f>
        <v>-4.1999999999999997E-3</v>
      </c>
      <c r="BO204">
        <f>'2012_2020 Int_Confianca'!BM48</f>
        <v>-4.1999999999999997E-3</v>
      </c>
      <c r="BP204">
        <f>'2012_2020 Int_Confianca'!BN48</f>
        <v>-4.3E-3</v>
      </c>
      <c r="BQ204">
        <f>'2012_2020 Int_Confianca'!BO48</f>
        <v>-4.3E-3</v>
      </c>
      <c r="BR204">
        <f>'2012_2020 Int_Confianca'!BP48</f>
        <v>-4.3E-3</v>
      </c>
      <c r="BS204">
        <f>'2012_2020 Int_Confianca'!BQ48</f>
        <v>-4.3E-3</v>
      </c>
      <c r="BT204">
        <f>'2012_2020 Int_Confianca'!BR48</f>
        <v>-4.1999999999999997E-3</v>
      </c>
      <c r="BU204">
        <f>'2012_2020 Int_Confianca'!BS48</f>
        <v>-4.3E-3</v>
      </c>
      <c r="BV204">
        <f>'2012_2020 Int_Confianca'!BT48</f>
        <v>-4.4999999999999997E-3</v>
      </c>
      <c r="BW204">
        <f>'2012_2020 Int_Confianca'!BU48</f>
        <v>-4.7000000000000002E-3</v>
      </c>
      <c r="BX204">
        <f>'2012_2020 Int_Confianca'!BV48</f>
        <v>-4.7000000000000002E-3</v>
      </c>
      <c r="BY204">
        <f>'2012_2020 Int_Confianca'!BW48</f>
        <v>-4.8999999999999998E-3</v>
      </c>
      <c r="BZ204">
        <f>'2012_2020 Int_Confianca'!BX48</f>
        <v>-4.7999999999999996E-3</v>
      </c>
      <c r="CA204">
        <f>'2012_2020 Int_Confianca'!BY48</f>
        <v>-4.7999999999999996E-3</v>
      </c>
      <c r="CB204">
        <f>'2012_2020 Int_Confianca'!BZ48</f>
        <v>-4.5999999999999999E-3</v>
      </c>
      <c r="CC204">
        <f>'2012_2020 Int_Confianca'!CA48</f>
        <v>-4.8999999999999998E-3</v>
      </c>
      <c r="CD204">
        <f>'2012_2020 Int_Confianca'!CB48</f>
        <v>-5.1000000000000004E-3</v>
      </c>
      <c r="CE204">
        <f>'2012_2020 Int_Confianca'!CC48</f>
        <v>-5.1000000000000004E-3</v>
      </c>
      <c r="CF204">
        <f>'2012_2020 Int_Confianca'!CD48</f>
        <v>-5.3E-3</v>
      </c>
      <c r="CG204">
        <f>'2012_2020 Int_Confianca'!CE48</f>
        <v>-5.1000000000000004E-3</v>
      </c>
      <c r="CH204">
        <f>'2012_2020 Int_Confianca'!CF48</f>
        <v>-4.7999999999999996E-3</v>
      </c>
      <c r="CI204">
        <f>'2012_2020 Int_Confianca'!CG48</f>
        <v>-4.7000000000000002E-3</v>
      </c>
      <c r="CJ204">
        <f>'2012_2020 Int_Confianca'!CH48</f>
        <v>-4.8999999999999998E-3</v>
      </c>
      <c r="CK204">
        <f>'2012_2020 Int_Confianca'!CI48</f>
        <v>-5.8999999999999999E-3</v>
      </c>
      <c r="CL204">
        <f>'2012_2020 Int_Confianca'!CJ48</f>
        <v>-5.7999999999999996E-3</v>
      </c>
      <c r="CM204">
        <f>'2012_2020 Int_Confianca'!CK48</f>
        <v>-5.7000000000000002E-3</v>
      </c>
      <c r="CN204">
        <f>'2012_2020 Int_Confianca'!CL48</f>
        <v>-5.8999999999999999E-3</v>
      </c>
      <c r="CO204">
        <f>'2012_2020 Int_Confianca'!CM48</f>
        <v>-5.8999999999999999E-3</v>
      </c>
      <c r="CP204">
        <f>'2012_2020 Int_Confianca'!CN48</f>
        <v>-5.7000000000000002E-3</v>
      </c>
      <c r="CQ204">
        <f>'2012_2020 Int_Confianca'!CO48</f>
        <v>-6.6E-3</v>
      </c>
      <c r="CR204">
        <f>'2012_2020 Int_Confianca'!CP48</f>
        <v>-7.1999999999999998E-3</v>
      </c>
      <c r="CS204">
        <f>'2012_2020 Int_Confianca'!CQ48</f>
        <v>-6.3E-3</v>
      </c>
      <c r="CT204">
        <f>'2012_2020 Int_Confianca'!CR48</f>
        <v>-7.7000000000000002E-3</v>
      </c>
      <c r="CU204">
        <f>'2012_2020 Int_Confianca'!CS48</f>
        <v>-6.3E-3</v>
      </c>
      <c r="CV204">
        <f>'2012_2020 Int_Confianca'!CT48</f>
        <v>-7.0000000000000001E-3</v>
      </c>
      <c r="CW204">
        <f>'2012_2020 Int_Confianca'!CU48</f>
        <v>-7.3000000000000001E-3</v>
      </c>
      <c r="CX204">
        <f>'2012_2020 Int_Confianca'!CV48</f>
        <v>-6.8999999999999999E-3</v>
      </c>
    </row>
    <row r="205" spans="1:102" x14ac:dyDescent="0.2">
      <c r="A205" t="s">
        <v>5915</v>
      </c>
      <c r="B205" t="s">
        <v>218</v>
      </c>
      <c r="C205" t="s">
        <v>222</v>
      </c>
      <c r="D205">
        <f>'2012_2020 Int_Confianca'!B49</f>
        <v>-5.7999999999999996E-3</v>
      </c>
      <c r="E205">
        <f>'2012_2020 Int_Confianca'!C49</f>
        <v>-6.3E-3</v>
      </c>
      <c r="F205">
        <f>'2012_2020 Int_Confianca'!D49</f>
        <v>-5.7000000000000002E-3</v>
      </c>
      <c r="G205">
        <f>'2012_2020 Int_Confianca'!E49</f>
        <v>-5.3E-3</v>
      </c>
      <c r="H205">
        <f>'2012_2020 Int_Confianca'!F49</f>
        <v>-4.7999999999999996E-3</v>
      </c>
      <c r="I205">
        <f>'2012_2020 Int_Confianca'!G49</f>
        <v>-4.7000000000000002E-3</v>
      </c>
      <c r="J205">
        <f>'2012_2020 Int_Confianca'!H49</f>
        <v>-4.4999999999999997E-3</v>
      </c>
      <c r="K205">
        <f>'2012_2020 Int_Confianca'!I49</f>
        <v>-4.4999999999999997E-3</v>
      </c>
      <c r="L205">
        <f>'2012_2020 Int_Confianca'!J49</f>
        <v>-4.1999999999999997E-3</v>
      </c>
      <c r="M205">
        <f>'2012_2020 Int_Confianca'!K49</f>
        <v>-3.5000000000000001E-3</v>
      </c>
      <c r="N205">
        <f>'2012_2020 Int_Confianca'!L49</f>
        <v>-3.5999999999999999E-3</v>
      </c>
      <c r="O205">
        <f>'2012_2020 Int_Confianca'!M49</f>
        <v>-3.5000000000000001E-3</v>
      </c>
      <c r="P205">
        <f>'2012_2020 Int_Confianca'!N49</f>
        <v>-3.3E-3</v>
      </c>
      <c r="Q205">
        <f>'2012_2020 Int_Confianca'!O49</f>
        <v>-3.0999999999999999E-3</v>
      </c>
      <c r="R205">
        <f>'2012_2020 Int_Confianca'!P49</f>
        <v>-2.5999999999999999E-3</v>
      </c>
      <c r="S205">
        <f>'2012_2020 Int_Confianca'!Q49</f>
        <v>-2.5999999999999999E-3</v>
      </c>
      <c r="T205">
        <f>'2012_2020 Int_Confianca'!R49</f>
        <v>-2.3999999999999998E-3</v>
      </c>
      <c r="U205">
        <f>'2012_2020 Int_Confianca'!S49</f>
        <v>-2.5000000000000001E-3</v>
      </c>
      <c r="V205">
        <f>'2012_2020 Int_Confianca'!T49</f>
        <v>-2.3999999999999998E-3</v>
      </c>
      <c r="W205">
        <f>'2012_2020 Int_Confianca'!U49</f>
        <v>-2.3999999999999998E-3</v>
      </c>
      <c r="X205">
        <f>'2012_2020 Int_Confianca'!V49</f>
        <v>-2.3999999999999998E-3</v>
      </c>
      <c r="Y205">
        <f>'2012_2020 Int_Confianca'!W49</f>
        <v>-2.5000000000000001E-3</v>
      </c>
      <c r="Z205">
        <f>'2012_2020 Int_Confianca'!X49</f>
        <v>-2.5000000000000001E-3</v>
      </c>
      <c r="AA205">
        <f>'2012_2020 Int_Confianca'!Y49</f>
        <v>-2.5000000000000001E-3</v>
      </c>
      <c r="AB205">
        <f>'2012_2020 Int_Confianca'!Z49</f>
        <v>-2.5000000000000001E-3</v>
      </c>
      <c r="AC205">
        <f>'2012_2020 Int_Confianca'!AA49</f>
        <v>-2.5000000000000001E-3</v>
      </c>
      <c r="AD205">
        <f>'2012_2020 Int_Confianca'!AB49</f>
        <v>-2.5999999999999999E-3</v>
      </c>
      <c r="AE205">
        <f>'2012_2020 Int_Confianca'!AC49</f>
        <v>-2.5000000000000001E-3</v>
      </c>
      <c r="AF205">
        <f>'2012_2020 Int_Confianca'!AD49</f>
        <v>-2.5999999999999999E-3</v>
      </c>
      <c r="AG205">
        <f>'2012_2020 Int_Confianca'!AE49</f>
        <v>-2.8999999999999998E-3</v>
      </c>
      <c r="AH205">
        <f>'2012_2020 Int_Confianca'!AF49</f>
        <v>-2.8999999999999998E-3</v>
      </c>
      <c r="AI205">
        <f>'2012_2020 Int_Confianca'!AG49</f>
        <v>-3.0000000000000001E-3</v>
      </c>
      <c r="AJ205">
        <f>'2012_2020 Int_Confianca'!AH49</f>
        <v>-3.2000000000000002E-3</v>
      </c>
      <c r="AK205">
        <f>'2012_2020 Int_Confianca'!AI49</f>
        <v>-3.3E-3</v>
      </c>
      <c r="AL205">
        <f>'2012_2020 Int_Confianca'!AJ49</f>
        <v>-3.5000000000000001E-3</v>
      </c>
      <c r="AM205">
        <f>'2012_2020 Int_Confianca'!AK49</f>
        <v>-3.5000000000000001E-3</v>
      </c>
      <c r="AN205">
        <f>'2012_2020 Int_Confianca'!AL49</f>
        <v>-3.5999999999999999E-3</v>
      </c>
      <c r="AO205">
        <f>'2012_2020 Int_Confianca'!AM49</f>
        <v>-3.8999999999999998E-3</v>
      </c>
      <c r="AP205">
        <f>'2012_2020 Int_Confianca'!AN49</f>
        <v>-4.0000000000000001E-3</v>
      </c>
      <c r="AQ205">
        <f>'2012_2020 Int_Confianca'!AO49</f>
        <v>-4.1000000000000003E-3</v>
      </c>
      <c r="AR205">
        <f>'2012_2020 Int_Confianca'!AP49</f>
        <v>-4.1999999999999997E-3</v>
      </c>
      <c r="AS205">
        <f>'2012_2020 Int_Confianca'!AQ49</f>
        <v>-4.3E-3</v>
      </c>
      <c r="AT205">
        <f>'2012_2020 Int_Confianca'!AR49</f>
        <v>-4.3E-3</v>
      </c>
      <c r="AU205">
        <f>'2012_2020 Int_Confianca'!AS49</f>
        <v>-4.3E-3</v>
      </c>
      <c r="AV205">
        <f>'2012_2020 Int_Confianca'!AT49</f>
        <v>-4.3E-3</v>
      </c>
      <c r="AW205">
        <f>'2012_2020 Int_Confianca'!AU49</f>
        <v>-4.4999999999999997E-3</v>
      </c>
      <c r="AX205">
        <f>'2012_2020 Int_Confianca'!AV49</f>
        <v>-4.4999999999999997E-3</v>
      </c>
      <c r="AY205">
        <f>'2012_2020 Int_Confianca'!AW49</f>
        <v>-4.4999999999999997E-3</v>
      </c>
      <c r="AZ205">
        <f>'2012_2020 Int_Confianca'!AX49</f>
        <v>-4.5999999999999999E-3</v>
      </c>
      <c r="BA205">
        <f>'2012_2020 Int_Confianca'!AY49</f>
        <v>-4.7000000000000002E-3</v>
      </c>
      <c r="BB205">
        <f>'2012_2020 Int_Confianca'!AZ49</f>
        <v>-4.7999999999999996E-3</v>
      </c>
      <c r="BC205">
        <f>'2012_2020 Int_Confianca'!BA49</f>
        <v>-5.0000000000000001E-3</v>
      </c>
      <c r="BD205">
        <f>'2012_2020 Int_Confianca'!BB49</f>
        <v>-5.3E-3</v>
      </c>
      <c r="BE205">
        <f>'2012_2020 Int_Confianca'!BC49</f>
        <v>-5.5999999999999999E-3</v>
      </c>
      <c r="BF205">
        <f>'2012_2020 Int_Confianca'!BD49</f>
        <v>-5.5999999999999999E-3</v>
      </c>
      <c r="BG205">
        <f>'2012_2020 Int_Confianca'!BE49</f>
        <v>-5.7000000000000002E-3</v>
      </c>
      <c r="BH205">
        <f>'2012_2020 Int_Confianca'!BF49</f>
        <v>-5.7000000000000002E-3</v>
      </c>
      <c r="BI205">
        <f>'2012_2020 Int_Confianca'!BG49</f>
        <v>-5.7000000000000002E-3</v>
      </c>
      <c r="BJ205">
        <f>'2012_2020 Int_Confianca'!BH49</f>
        <v>-5.8999999999999999E-3</v>
      </c>
      <c r="BK205">
        <f>'2012_2020 Int_Confianca'!BI49</f>
        <v>-5.7000000000000002E-3</v>
      </c>
      <c r="BL205">
        <f>'2012_2020 Int_Confianca'!BJ49</f>
        <v>-5.7000000000000002E-3</v>
      </c>
      <c r="BM205">
        <f>'2012_2020 Int_Confianca'!BK49</f>
        <v>-6.0000000000000001E-3</v>
      </c>
      <c r="BN205">
        <f>'2012_2020 Int_Confianca'!BL49</f>
        <v>-6.4000000000000003E-3</v>
      </c>
      <c r="BO205">
        <f>'2012_2020 Int_Confianca'!BM49</f>
        <v>-6.6E-3</v>
      </c>
      <c r="BP205">
        <f>'2012_2020 Int_Confianca'!BN49</f>
        <v>-6.7000000000000002E-3</v>
      </c>
      <c r="BQ205">
        <f>'2012_2020 Int_Confianca'!BO49</f>
        <v>-6.7999999999999996E-3</v>
      </c>
      <c r="BR205">
        <f>'2012_2020 Int_Confianca'!BP49</f>
        <v>-7.1000000000000004E-3</v>
      </c>
      <c r="BS205">
        <f>'2012_2020 Int_Confianca'!BQ49</f>
        <v>-7.1000000000000004E-3</v>
      </c>
      <c r="BT205">
        <f>'2012_2020 Int_Confianca'!BR49</f>
        <v>-7.0000000000000001E-3</v>
      </c>
      <c r="BU205">
        <f>'2012_2020 Int_Confianca'!BS49</f>
        <v>-7.0000000000000001E-3</v>
      </c>
      <c r="BV205">
        <f>'2012_2020 Int_Confianca'!BT49</f>
        <v>-7.6E-3</v>
      </c>
      <c r="BW205">
        <f>'2012_2020 Int_Confianca'!BU49</f>
        <v>-8.0000000000000002E-3</v>
      </c>
      <c r="BX205">
        <f>'2012_2020 Int_Confianca'!BV49</f>
        <v>-8.0999999999999996E-3</v>
      </c>
      <c r="BY205">
        <f>'2012_2020 Int_Confianca'!BW49</f>
        <v>-8.2000000000000007E-3</v>
      </c>
      <c r="BZ205">
        <f>'2012_2020 Int_Confianca'!BX49</f>
        <v>-8.2000000000000007E-3</v>
      </c>
      <c r="CA205">
        <f>'2012_2020 Int_Confianca'!BY49</f>
        <v>-8.3999999999999995E-3</v>
      </c>
      <c r="CB205">
        <f>'2012_2020 Int_Confianca'!BZ49</f>
        <v>-8.0000000000000002E-3</v>
      </c>
      <c r="CC205">
        <f>'2012_2020 Int_Confianca'!CA49</f>
        <v>-8.3999999999999995E-3</v>
      </c>
      <c r="CD205">
        <f>'2012_2020 Int_Confianca'!CB49</f>
        <v>-8.6999999999999994E-3</v>
      </c>
      <c r="CE205">
        <f>'2012_2020 Int_Confianca'!CC49</f>
        <v>-8.9999999999999993E-3</v>
      </c>
      <c r="CF205">
        <f>'2012_2020 Int_Confianca'!CD49</f>
        <v>-9.2999999999999992E-3</v>
      </c>
      <c r="CG205">
        <f>'2012_2020 Int_Confianca'!CE49</f>
        <v>-8.9999999999999993E-3</v>
      </c>
      <c r="CH205">
        <f>'2012_2020 Int_Confianca'!CF49</f>
        <v>-8.6999999999999994E-3</v>
      </c>
      <c r="CI205">
        <f>'2012_2020 Int_Confianca'!CG49</f>
        <v>-8.0000000000000002E-3</v>
      </c>
      <c r="CJ205">
        <f>'2012_2020 Int_Confianca'!CH49</f>
        <v>-8.3999999999999995E-3</v>
      </c>
      <c r="CK205">
        <f>'2012_2020 Int_Confianca'!CI49</f>
        <v>-1.03E-2</v>
      </c>
      <c r="CL205">
        <f>'2012_2020 Int_Confianca'!CJ49</f>
        <v>-1.01E-2</v>
      </c>
      <c r="CM205">
        <f>'2012_2020 Int_Confianca'!CK49</f>
        <v>-0.01</v>
      </c>
      <c r="CN205">
        <f>'2012_2020 Int_Confianca'!CL49</f>
        <v>-1.01E-2</v>
      </c>
      <c r="CO205">
        <f>'2012_2020 Int_Confianca'!CM49</f>
        <v>-9.7000000000000003E-3</v>
      </c>
      <c r="CP205">
        <f>'2012_2020 Int_Confianca'!CN49</f>
        <v>-9.2999999999999992E-3</v>
      </c>
      <c r="CQ205">
        <f>'2012_2020 Int_Confianca'!CO49</f>
        <v>-1.0800000000000001E-2</v>
      </c>
      <c r="CR205">
        <f>'2012_2020 Int_Confianca'!CP49</f>
        <v>-1.23E-2</v>
      </c>
      <c r="CS205">
        <f>'2012_2020 Int_Confianca'!CQ49</f>
        <v>-1.12E-2</v>
      </c>
      <c r="CT205">
        <f>'2012_2020 Int_Confianca'!CR49</f>
        <v>-1.2500000000000001E-2</v>
      </c>
      <c r="CU205">
        <f>'2012_2020 Int_Confianca'!CS49</f>
        <v>-1.0200000000000001E-2</v>
      </c>
      <c r="CV205">
        <f>'2012_2020 Int_Confianca'!CT49</f>
        <v>-1.2699999999999999E-2</v>
      </c>
      <c r="CW205">
        <f>'2012_2020 Int_Confianca'!CU49</f>
        <v>-1.2200000000000001E-2</v>
      </c>
      <c r="CX205">
        <f>'2012_2020 Int_Confianca'!CV49</f>
        <v>-1.09E-2</v>
      </c>
    </row>
    <row r="206" spans="1:102" x14ac:dyDescent="0.2">
      <c r="A206" t="s">
        <v>5916</v>
      </c>
      <c r="B206" t="s">
        <v>218</v>
      </c>
      <c r="C206" t="s">
        <v>222</v>
      </c>
      <c r="D206">
        <f>'2012_2020 Int_Confianca'!B50</f>
        <v>-2.5999999999999999E-3</v>
      </c>
      <c r="E206">
        <f>'2012_2020 Int_Confianca'!C50</f>
        <v>-3.2000000000000002E-3</v>
      </c>
      <c r="F206">
        <f>'2012_2020 Int_Confianca'!D50</f>
        <v>-3.0999999999999999E-3</v>
      </c>
      <c r="G206">
        <f>'2012_2020 Int_Confianca'!E50</f>
        <v>-3.0000000000000001E-3</v>
      </c>
      <c r="H206">
        <f>'2012_2020 Int_Confianca'!F50</f>
        <v>-2.7000000000000001E-3</v>
      </c>
      <c r="I206">
        <f>'2012_2020 Int_Confianca'!G50</f>
        <v>-2.7000000000000001E-3</v>
      </c>
      <c r="J206">
        <f>'2012_2020 Int_Confianca'!H50</f>
        <v>-2.5999999999999999E-3</v>
      </c>
      <c r="K206">
        <f>'2012_2020 Int_Confianca'!I50</f>
        <v>-2.8E-3</v>
      </c>
      <c r="L206">
        <f>'2012_2020 Int_Confianca'!J50</f>
        <v>-2.5000000000000001E-3</v>
      </c>
      <c r="M206">
        <f>'2012_2020 Int_Confianca'!K50</f>
        <v>-2.2000000000000001E-3</v>
      </c>
      <c r="N206">
        <f>'2012_2020 Int_Confianca'!L50</f>
        <v>-2.3E-3</v>
      </c>
      <c r="O206">
        <f>'2012_2020 Int_Confianca'!M50</f>
        <v>-2.3E-3</v>
      </c>
      <c r="P206">
        <f>'2012_2020 Int_Confianca'!N50</f>
        <v>-2.2000000000000001E-3</v>
      </c>
      <c r="Q206">
        <f>'2012_2020 Int_Confianca'!O50</f>
        <v>-2.0999999999999999E-3</v>
      </c>
      <c r="R206">
        <f>'2012_2020 Int_Confianca'!P50</f>
        <v>-1.8E-3</v>
      </c>
      <c r="S206">
        <f>'2012_2020 Int_Confianca'!Q50</f>
        <v>-1.8E-3</v>
      </c>
      <c r="T206">
        <f>'2012_2020 Int_Confianca'!R50</f>
        <v>-1.6000000000000001E-3</v>
      </c>
      <c r="U206">
        <f>'2012_2020 Int_Confianca'!S50</f>
        <v>-1.6999999999999999E-3</v>
      </c>
      <c r="V206">
        <f>'2012_2020 Int_Confianca'!T50</f>
        <v>-1.6999999999999999E-3</v>
      </c>
      <c r="W206">
        <f>'2012_2020 Int_Confianca'!U50</f>
        <v>-1.6999999999999999E-3</v>
      </c>
      <c r="X206">
        <f>'2012_2020 Int_Confianca'!V50</f>
        <v>-1.6999999999999999E-3</v>
      </c>
      <c r="Y206">
        <f>'2012_2020 Int_Confianca'!W50</f>
        <v>-1.8E-3</v>
      </c>
      <c r="Z206">
        <f>'2012_2020 Int_Confianca'!X50</f>
        <v>-1.8E-3</v>
      </c>
      <c r="AA206">
        <f>'2012_2020 Int_Confianca'!Y50</f>
        <v>-1.8E-3</v>
      </c>
      <c r="AB206">
        <f>'2012_2020 Int_Confianca'!Z50</f>
        <v>-1.8E-3</v>
      </c>
      <c r="AC206">
        <f>'2012_2020 Int_Confianca'!AA50</f>
        <v>-1.8E-3</v>
      </c>
      <c r="AD206">
        <f>'2012_2020 Int_Confianca'!AB50</f>
        <v>-1.8E-3</v>
      </c>
      <c r="AE206">
        <f>'2012_2020 Int_Confianca'!AC50</f>
        <v>-1.8E-3</v>
      </c>
      <c r="AF206">
        <f>'2012_2020 Int_Confianca'!AD50</f>
        <v>-1.9E-3</v>
      </c>
      <c r="AG206">
        <f>'2012_2020 Int_Confianca'!AE50</f>
        <v>-2.0999999999999999E-3</v>
      </c>
      <c r="AH206">
        <f>'2012_2020 Int_Confianca'!AF50</f>
        <v>-2.2000000000000001E-3</v>
      </c>
      <c r="AI206">
        <f>'2012_2020 Int_Confianca'!AG50</f>
        <v>-2.3E-3</v>
      </c>
      <c r="AJ206">
        <f>'2012_2020 Int_Confianca'!AH50</f>
        <v>-2.3999999999999998E-3</v>
      </c>
      <c r="AK206">
        <f>'2012_2020 Int_Confianca'!AI50</f>
        <v>-2.3999999999999998E-3</v>
      </c>
      <c r="AL206">
        <f>'2012_2020 Int_Confianca'!AJ50</f>
        <v>-2.5999999999999999E-3</v>
      </c>
      <c r="AM206">
        <f>'2012_2020 Int_Confianca'!AK50</f>
        <v>-2.5999999999999999E-3</v>
      </c>
      <c r="AN206">
        <f>'2012_2020 Int_Confianca'!AL50</f>
        <v>-2.7000000000000001E-3</v>
      </c>
      <c r="AO206">
        <f>'2012_2020 Int_Confianca'!AM50</f>
        <v>-2.8999999999999998E-3</v>
      </c>
      <c r="AP206">
        <f>'2012_2020 Int_Confianca'!AN50</f>
        <v>-3.0000000000000001E-3</v>
      </c>
      <c r="AQ206">
        <f>'2012_2020 Int_Confianca'!AO50</f>
        <v>-3.0999999999999999E-3</v>
      </c>
      <c r="AR206">
        <f>'2012_2020 Int_Confianca'!AP50</f>
        <v>-3.2000000000000002E-3</v>
      </c>
      <c r="AS206">
        <f>'2012_2020 Int_Confianca'!AQ50</f>
        <v>-3.2000000000000002E-3</v>
      </c>
      <c r="AT206">
        <f>'2012_2020 Int_Confianca'!AR50</f>
        <v>-3.3E-3</v>
      </c>
      <c r="AU206">
        <f>'2012_2020 Int_Confianca'!AS50</f>
        <v>-3.3E-3</v>
      </c>
      <c r="AV206">
        <f>'2012_2020 Int_Confianca'!AT50</f>
        <v>-3.3E-3</v>
      </c>
      <c r="AW206">
        <f>'2012_2020 Int_Confianca'!AU50</f>
        <v>-3.3999999999999998E-3</v>
      </c>
      <c r="AX206">
        <f>'2012_2020 Int_Confianca'!AV50</f>
        <v>-3.3999999999999998E-3</v>
      </c>
      <c r="AY206">
        <f>'2012_2020 Int_Confianca'!AW50</f>
        <v>-3.3999999999999998E-3</v>
      </c>
      <c r="AZ206">
        <f>'2012_2020 Int_Confianca'!AX50</f>
        <v>-3.5000000000000001E-3</v>
      </c>
      <c r="BA206">
        <f>'2012_2020 Int_Confianca'!AY50</f>
        <v>-3.5999999999999999E-3</v>
      </c>
      <c r="BB206">
        <f>'2012_2020 Int_Confianca'!AZ50</f>
        <v>-3.5999999999999999E-3</v>
      </c>
      <c r="BC206">
        <f>'2012_2020 Int_Confianca'!BA50</f>
        <v>-3.8E-3</v>
      </c>
      <c r="BD206">
        <f>'2012_2020 Int_Confianca'!BB50</f>
        <v>-4.0000000000000001E-3</v>
      </c>
      <c r="BE206">
        <f>'2012_2020 Int_Confianca'!BC50</f>
        <v>-4.1999999999999997E-3</v>
      </c>
      <c r="BF206">
        <f>'2012_2020 Int_Confianca'!BD50</f>
        <v>-4.1999999999999997E-3</v>
      </c>
      <c r="BG206">
        <f>'2012_2020 Int_Confianca'!BE50</f>
        <v>-4.3E-3</v>
      </c>
      <c r="BH206">
        <f>'2012_2020 Int_Confianca'!BF50</f>
        <v>-4.3E-3</v>
      </c>
      <c r="BI206">
        <f>'2012_2020 Int_Confianca'!BG50</f>
        <v>-4.4000000000000003E-3</v>
      </c>
      <c r="BJ206">
        <f>'2012_2020 Int_Confianca'!BH50</f>
        <v>-4.4999999999999997E-3</v>
      </c>
      <c r="BK206">
        <f>'2012_2020 Int_Confianca'!BI50</f>
        <v>-4.4000000000000003E-3</v>
      </c>
      <c r="BL206">
        <f>'2012_2020 Int_Confianca'!BJ50</f>
        <v>-4.3E-3</v>
      </c>
      <c r="BM206">
        <f>'2012_2020 Int_Confianca'!BK50</f>
        <v>-4.5999999999999999E-3</v>
      </c>
      <c r="BN206">
        <f>'2012_2020 Int_Confianca'!BL50</f>
        <v>-4.7999999999999996E-3</v>
      </c>
      <c r="BO206">
        <f>'2012_2020 Int_Confianca'!BM50</f>
        <v>-5.0000000000000001E-3</v>
      </c>
      <c r="BP206">
        <f>'2012_2020 Int_Confianca'!BN50</f>
        <v>-5.1000000000000004E-3</v>
      </c>
      <c r="BQ206">
        <f>'2012_2020 Int_Confianca'!BO50</f>
        <v>-5.1999999999999998E-3</v>
      </c>
      <c r="BR206">
        <f>'2012_2020 Int_Confianca'!BP50</f>
        <v>-5.4000000000000003E-3</v>
      </c>
      <c r="BS206">
        <f>'2012_2020 Int_Confianca'!BQ50</f>
        <v>-5.4000000000000003E-3</v>
      </c>
      <c r="BT206">
        <f>'2012_2020 Int_Confianca'!BR50</f>
        <v>-5.3E-3</v>
      </c>
      <c r="BU206">
        <f>'2012_2020 Int_Confianca'!BS50</f>
        <v>-5.4000000000000003E-3</v>
      </c>
      <c r="BV206">
        <f>'2012_2020 Int_Confianca'!BT50</f>
        <v>-5.7999999999999996E-3</v>
      </c>
      <c r="BW206">
        <f>'2012_2020 Int_Confianca'!BU50</f>
        <v>-6.1000000000000004E-3</v>
      </c>
      <c r="BX206">
        <f>'2012_2020 Int_Confianca'!BV50</f>
        <v>-6.1999999999999998E-3</v>
      </c>
      <c r="BY206">
        <f>'2012_2020 Int_Confianca'!BW50</f>
        <v>-6.3E-3</v>
      </c>
      <c r="BZ206">
        <f>'2012_2020 Int_Confianca'!BX50</f>
        <v>-6.3E-3</v>
      </c>
      <c r="CA206">
        <f>'2012_2020 Int_Confianca'!BY50</f>
        <v>-6.4000000000000003E-3</v>
      </c>
      <c r="CB206">
        <f>'2012_2020 Int_Confianca'!BZ50</f>
        <v>-6.1000000000000004E-3</v>
      </c>
      <c r="CC206">
        <f>'2012_2020 Int_Confianca'!CA50</f>
        <v>-6.4000000000000003E-3</v>
      </c>
      <c r="CD206">
        <f>'2012_2020 Int_Confianca'!CB50</f>
        <v>-6.6E-3</v>
      </c>
      <c r="CE206">
        <f>'2012_2020 Int_Confianca'!CC50</f>
        <v>-6.7999999999999996E-3</v>
      </c>
      <c r="CF206">
        <f>'2012_2020 Int_Confianca'!CD50</f>
        <v>-7.1000000000000004E-3</v>
      </c>
      <c r="CG206">
        <f>'2012_2020 Int_Confianca'!CE50</f>
        <v>-6.7999999999999996E-3</v>
      </c>
      <c r="CH206">
        <f>'2012_2020 Int_Confianca'!CF50</f>
        <v>-6.6E-3</v>
      </c>
      <c r="CI206">
        <f>'2012_2020 Int_Confianca'!CG50</f>
        <v>-6.0000000000000001E-3</v>
      </c>
      <c r="CJ206">
        <f>'2012_2020 Int_Confianca'!CH50</f>
        <v>-6.3E-3</v>
      </c>
      <c r="CK206">
        <f>'2012_2020 Int_Confianca'!CI50</f>
        <v>-7.7000000000000002E-3</v>
      </c>
      <c r="CL206">
        <f>'2012_2020 Int_Confianca'!CJ50</f>
        <v>-7.6E-3</v>
      </c>
      <c r="CM206">
        <f>'2012_2020 Int_Confianca'!CK50</f>
        <v>-7.4999999999999997E-3</v>
      </c>
      <c r="CN206">
        <f>'2012_2020 Int_Confianca'!CL50</f>
        <v>-7.4999999999999997E-3</v>
      </c>
      <c r="CO206">
        <f>'2012_2020 Int_Confianca'!CM50</f>
        <v>-7.1999999999999998E-3</v>
      </c>
      <c r="CP206">
        <f>'2012_2020 Int_Confianca'!CN50</f>
        <v>-6.8999999999999999E-3</v>
      </c>
      <c r="CQ206">
        <f>'2012_2020 Int_Confianca'!CO50</f>
        <v>-8.0000000000000002E-3</v>
      </c>
      <c r="CR206">
        <f>'2012_2020 Int_Confianca'!CP50</f>
        <v>-9.1000000000000004E-3</v>
      </c>
      <c r="CS206">
        <f>'2012_2020 Int_Confianca'!CQ50</f>
        <v>-8.2000000000000007E-3</v>
      </c>
      <c r="CT206">
        <f>'2012_2020 Int_Confianca'!CR50</f>
        <v>-9.1000000000000004E-3</v>
      </c>
      <c r="CU206">
        <f>'2012_2020 Int_Confianca'!CS50</f>
        <v>-7.4000000000000003E-3</v>
      </c>
      <c r="CV206">
        <f>'2012_2020 Int_Confianca'!CT50</f>
        <v>-8.9999999999999993E-3</v>
      </c>
      <c r="CW206">
        <f>'2012_2020 Int_Confianca'!CU50</f>
        <v>-8.3000000000000001E-3</v>
      </c>
      <c r="CX206">
        <f>'2012_2020 Int_Confianca'!CV50</f>
        <v>-6.6E-3</v>
      </c>
    </row>
    <row r="207" spans="1:102" x14ac:dyDescent="0.2">
      <c r="A207" t="s">
        <v>5917</v>
      </c>
      <c r="B207" t="s">
        <v>218</v>
      </c>
      <c r="C207" t="s">
        <v>222</v>
      </c>
      <c r="D207">
        <f>'2012_2020 Int_Confianca'!B51</f>
        <v>7.1999999999999998E-3</v>
      </c>
      <c r="E207">
        <f>'2012_2020 Int_Confianca'!C51</f>
        <v>8.6999999999999994E-3</v>
      </c>
      <c r="F207">
        <f>'2012_2020 Int_Confianca'!D51</f>
        <v>7.9000000000000008E-3</v>
      </c>
      <c r="G207">
        <f>'2012_2020 Int_Confianca'!E51</f>
        <v>7.1999999999999998E-3</v>
      </c>
      <c r="H207">
        <f>'2012_2020 Int_Confianca'!F51</f>
        <v>6.4000000000000003E-3</v>
      </c>
      <c r="I207">
        <f>'2012_2020 Int_Confianca'!G51</f>
        <v>6.1000000000000004E-3</v>
      </c>
      <c r="J207">
        <f>'2012_2020 Int_Confianca'!H51</f>
        <v>5.7999999999999996E-3</v>
      </c>
      <c r="K207">
        <f>'2012_2020 Int_Confianca'!I51</f>
        <v>5.4000000000000003E-3</v>
      </c>
      <c r="L207">
        <f>'2012_2020 Int_Confianca'!J51</f>
        <v>5.0000000000000001E-3</v>
      </c>
      <c r="M207">
        <f>'2012_2020 Int_Confianca'!K51</f>
        <v>4.0000000000000001E-3</v>
      </c>
      <c r="N207">
        <f>'2012_2020 Int_Confianca'!L51</f>
        <v>3.5999999999999999E-3</v>
      </c>
      <c r="O207">
        <f>'2012_2020 Int_Confianca'!M51</f>
        <v>3.2000000000000002E-3</v>
      </c>
      <c r="P207">
        <f>'2012_2020 Int_Confianca'!N51</f>
        <v>2.8E-3</v>
      </c>
      <c r="Q207">
        <f>'2012_2020 Int_Confianca'!O51</f>
        <v>2.3999999999999998E-3</v>
      </c>
      <c r="R207">
        <f>'2012_2020 Int_Confianca'!P51</f>
        <v>1.9E-3</v>
      </c>
      <c r="S207">
        <f>'2012_2020 Int_Confianca'!Q51</f>
        <v>1.6999999999999999E-3</v>
      </c>
      <c r="T207">
        <f>'2012_2020 Int_Confianca'!R51</f>
        <v>1.6000000000000001E-3</v>
      </c>
      <c r="U207">
        <f>'2012_2020 Int_Confianca'!S51</f>
        <v>1.5E-3</v>
      </c>
      <c r="V207">
        <f>'2012_2020 Int_Confianca'!T51</f>
        <v>1.4E-3</v>
      </c>
      <c r="W207">
        <f>'2012_2020 Int_Confianca'!U51</f>
        <v>1.2999999999999999E-3</v>
      </c>
      <c r="X207">
        <f>'2012_2020 Int_Confianca'!V51</f>
        <v>1.2999999999999999E-3</v>
      </c>
      <c r="Y207">
        <f>'2012_2020 Int_Confianca'!W51</f>
        <v>1.1999999999999999E-3</v>
      </c>
      <c r="Z207">
        <f>'2012_2020 Int_Confianca'!X51</f>
        <v>1.1999999999999999E-3</v>
      </c>
      <c r="AA207">
        <f>'2012_2020 Int_Confianca'!Y51</f>
        <v>1.1999999999999999E-3</v>
      </c>
      <c r="AB207">
        <f>'2012_2020 Int_Confianca'!Z51</f>
        <v>1.1000000000000001E-3</v>
      </c>
      <c r="AC207">
        <f>'2012_2020 Int_Confianca'!AA51</f>
        <v>1.1000000000000001E-3</v>
      </c>
      <c r="AD207">
        <f>'2012_2020 Int_Confianca'!AB51</f>
        <v>1.1000000000000001E-3</v>
      </c>
      <c r="AE207">
        <f>'2012_2020 Int_Confianca'!AC51</f>
        <v>1E-3</v>
      </c>
      <c r="AF207">
        <f>'2012_2020 Int_Confianca'!AD51</f>
        <v>1E-3</v>
      </c>
      <c r="AG207">
        <f>'2012_2020 Int_Confianca'!AE51</f>
        <v>1E-3</v>
      </c>
      <c r="AH207">
        <f>'2012_2020 Int_Confianca'!AF51</f>
        <v>1E-3</v>
      </c>
      <c r="AI207">
        <f>'2012_2020 Int_Confianca'!AG51</f>
        <v>1E-3</v>
      </c>
      <c r="AJ207">
        <f>'2012_2020 Int_Confianca'!AH51</f>
        <v>1E-3</v>
      </c>
      <c r="AK207">
        <f>'2012_2020 Int_Confianca'!AI51</f>
        <v>1E-3</v>
      </c>
      <c r="AL207">
        <f>'2012_2020 Int_Confianca'!AJ51</f>
        <v>1E-3</v>
      </c>
      <c r="AM207">
        <f>'2012_2020 Int_Confianca'!AK51</f>
        <v>1E-3</v>
      </c>
      <c r="AN207">
        <f>'2012_2020 Int_Confianca'!AL51</f>
        <v>1E-3</v>
      </c>
      <c r="AO207">
        <f>'2012_2020 Int_Confianca'!AM51</f>
        <v>1.1000000000000001E-3</v>
      </c>
      <c r="AP207">
        <f>'2012_2020 Int_Confianca'!AN51</f>
        <v>1E-3</v>
      </c>
      <c r="AQ207">
        <f>'2012_2020 Int_Confianca'!AO51</f>
        <v>1.1000000000000001E-3</v>
      </c>
      <c r="AR207">
        <f>'2012_2020 Int_Confianca'!AP51</f>
        <v>1.1000000000000001E-3</v>
      </c>
      <c r="AS207">
        <f>'2012_2020 Int_Confianca'!AQ51</f>
        <v>1.1000000000000001E-3</v>
      </c>
      <c r="AT207">
        <f>'2012_2020 Int_Confianca'!AR51</f>
        <v>1E-3</v>
      </c>
      <c r="AU207">
        <f>'2012_2020 Int_Confianca'!AS51</f>
        <v>1E-3</v>
      </c>
      <c r="AV207">
        <f>'2012_2020 Int_Confianca'!AT51</f>
        <v>1E-3</v>
      </c>
      <c r="AW207">
        <f>'2012_2020 Int_Confianca'!AU51</f>
        <v>1E-3</v>
      </c>
      <c r="AX207">
        <f>'2012_2020 Int_Confianca'!AV51</f>
        <v>1E-3</v>
      </c>
      <c r="AY207">
        <f>'2012_2020 Int_Confianca'!AW51</f>
        <v>8.9999999999999998E-4</v>
      </c>
      <c r="AZ207">
        <f>'2012_2020 Int_Confianca'!AX51</f>
        <v>8.9999999999999998E-4</v>
      </c>
      <c r="BA207">
        <f>'2012_2020 Int_Confianca'!AY51</f>
        <v>8.9999999999999998E-4</v>
      </c>
      <c r="BB207">
        <f>'2012_2020 Int_Confianca'!AZ51</f>
        <v>8.9999999999999998E-4</v>
      </c>
      <c r="BC207">
        <f>'2012_2020 Int_Confianca'!BA51</f>
        <v>8.9999999999999998E-4</v>
      </c>
      <c r="BD207">
        <f>'2012_2020 Int_Confianca'!BB51</f>
        <v>1E-3</v>
      </c>
      <c r="BE207">
        <f>'2012_2020 Int_Confianca'!BC51</f>
        <v>1E-3</v>
      </c>
      <c r="BF207">
        <f>'2012_2020 Int_Confianca'!BD51</f>
        <v>1E-3</v>
      </c>
      <c r="BG207">
        <f>'2012_2020 Int_Confianca'!BE51</f>
        <v>1E-3</v>
      </c>
      <c r="BH207">
        <f>'2012_2020 Int_Confianca'!BF51</f>
        <v>8.9999999999999998E-4</v>
      </c>
      <c r="BI207">
        <f>'2012_2020 Int_Confianca'!BG51</f>
        <v>8.9999999999999998E-4</v>
      </c>
      <c r="BJ207">
        <f>'2012_2020 Int_Confianca'!BH51</f>
        <v>8.9999999999999998E-4</v>
      </c>
      <c r="BK207">
        <f>'2012_2020 Int_Confianca'!BI51</f>
        <v>8.9999999999999998E-4</v>
      </c>
      <c r="BL207">
        <f>'2012_2020 Int_Confianca'!BJ51</f>
        <v>8.9999999999999998E-4</v>
      </c>
      <c r="BM207">
        <f>'2012_2020 Int_Confianca'!BK51</f>
        <v>8.9999999999999998E-4</v>
      </c>
      <c r="BN207">
        <f>'2012_2020 Int_Confianca'!BL51</f>
        <v>8.9999999999999998E-4</v>
      </c>
      <c r="BO207">
        <f>'2012_2020 Int_Confianca'!BM51</f>
        <v>8.9999999999999998E-4</v>
      </c>
      <c r="BP207">
        <f>'2012_2020 Int_Confianca'!BN51</f>
        <v>8.9999999999999998E-4</v>
      </c>
      <c r="BQ207">
        <f>'2012_2020 Int_Confianca'!BO51</f>
        <v>8.9999999999999998E-4</v>
      </c>
      <c r="BR207">
        <f>'2012_2020 Int_Confianca'!BP51</f>
        <v>8.9999999999999998E-4</v>
      </c>
      <c r="BS207">
        <f>'2012_2020 Int_Confianca'!BQ51</f>
        <v>8.9999999999999998E-4</v>
      </c>
      <c r="BT207">
        <f>'2012_2020 Int_Confianca'!BR51</f>
        <v>8.9999999999999998E-4</v>
      </c>
      <c r="BU207">
        <f>'2012_2020 Int_Confianca'!BS51</f>
        <v>8.9999999999999998E-4</v>
      </c>
      <c r="BV207">
        <f>'2012_2020 Int_Confianca'!BT51</f>
        <v>1E-3</v>
      </c>
      <c r="BW207">
        <f>'2012_2020 Int_Confianca'!BU51</f>
        <v>1.1000000000000001E-3</v>
      </c>
      <c r="BX207">
        <f>'2012_2020 Int_Confianca'!BV51</f>
        <v>1E-3</v>
      </c>
      <c r="BY207">
        <f>'2012_2020 Int_Confianca'!BW51</f>
        <v>1E-3</v>
      </c>
      <c r="BZ207">
        <f>'2012_2020 Int_Confianca'!BX51</f>
        <v>1E-3</v>
      </c>
      <c r="CA207">
        <f>'2012_2020 Int_Confianca'!BY51</f>
        <v>1E-3</v>
      </c>
      <c r="CB207">
        <f>'2012_2020 Int_Confianca'!BZ51</f>
        <v>1E-3</v>
      </c>
      <c r="CC207">
        <f>'2012_2020 Int_Confianca'!CA51</f>
        <v>1E-3</v>
      </c>
      <c r="CD207">
        <f>'2012_2020 Int_Confianca'!CB51</f>
        <v>8.9999999999999998E-4</v>
      </c>
      <c r="CE207">
        <f>'2012_2020 Int_Confianca'!CC51</f>
        <v>8.9999999999999998E-4</v>
      </c>
      <c r="CF207">
        <f>'2012_2020 Int_Confianca'!CD51</f>
        <v>8.9999999999999998E-4</v>
      </c>
      <c r="CG207">
        <f>'2012_2020 Int_Confianca'!CE51</f>
        <v>8.0000000000000004E-4</v>
      </c>
      <c r="CH207">
        <f>'2012_2020 Int_Confianca'!CF51</f>
        <v>6.9999999999999999E-4</v>
      </c>
      <c r="CI207">
        <f>'2012_2020 Int_Confianca'!CG51</f>
        <v>6.9999999999999999E-4</v>
      </c>
      <c r="CJ207">
        <f>'2012_2020 Int_Confianca'!CH51</f>
        <v>5.9999999999999995E-4</v>
      </c>
      <c r="CK207">
        <f>'2012_2020 Int_Confianca'!CI51</f>
        <v>6.9999999999999999E-4</v>
      </c>
      <c r="CL207">
        <f>'2012_2020 Int_Confianca'!CJ51</f>
        <v>6.9999999999999999E-4</v>
      </c>
      <c r="CM207">
        <f>'2012_2020 Int_Confianca'!CK51</f>
        <v>5.9999999999999995E-4</v>
      </c>
      <c r="CN207">
        <f>'2012_2020 Int_Confianca'!CL51</f>
        <v>5.9999999999999995E-4</v>
      </c>
      <c r="CO207">
        <f>'2012_2020 Int_Confianca'!CM51</f>
        <v>5.9999999999999995E-4</v>
      </c>
      <c r="CP207">
        <f>'2012_2020 Int_Confianca'!CN51</f>
        <v>5.0000000000000001E-4</v>
      </c>
      <c r="CQ207">
        <f>'2012_2020 Int_Confianca'!CO51</f>
        <v>5.0000000000000001E-4</v>
      </c>
      <c r="CR207">
        <f>'2012_2020 Int_Confianca'!CP51</f>
        <v>5.0000000000000001E-4</v>
      </c>
      <c r="CS207">
        <f>'2012_2020 Int_Confianca'!CQ51</f>
        <v>4.0000000000000002E-4</v>
      </c>
      <c r="CT207">
        <f>'2012_2020 Int_Confianca'!CR51</f>
        <v>4.0000000000000002E-4</v>
      </c>
      <c r="CU207">
        <f>'2012_2020 Int_Confianca'!CS51</f>
        <v>2.0000000000000001E-4</v>
      </c>
      <c r="CV207">
        <f>'2012_2020 Int_Confianca'!CT51</f>
        <v>2.9999999999999997E-4</v>
      </c>
      <c r="CW207">
        <f>'2012_2020 Int_Confianca'!CU51</f>
        <v>0</v>
      </c>
      <c r="CX207">
        <f>'2012_2020 Int_Confianca'!CV51</f>
        <v>1E-4</v>
      </c>
    </row>
    <row r="208" spans="1:102" x14ac:dyDescent="0.2">
      <c r="A208" t="s">
        <v>5918</v>
      </c>
      <c r="B208" t="s">
        <v>218</v>
      </c>
      <c r="C208" t="s">
        <v>222</v>
      </c>
      <c r="D208">
        <f>'2012_2020 Int_Confianca'!B52</f>
        <v>1.11E-2</v>
      </c>
      <c r="E208">
        <f>'2012_2020 Int_Confianca'!C52</f>
        <v>1.26E-2</v>
      </c>
      <c r="F208">
        <f>'2012_2020 Int_Confianca'!D52</f>
        <v>1.14E-2</v>
      </c>
      <c r="G208">
        <f>'2012_2020 Int_Confianca'!E52</f>
        <v>1.0200000000000001E-2</v>
      </c>
      <c r="H208">
        <f>'2012_2020 Int_Confianca'!F52</f>
        <v>8.9999999999999993E-3</v>
      </c>
      <c r="I208">
        <f>'2012_2020 Int_Confianca'!G52</f>
        <v>8.6E-3</v>
      </c>
      <c r="J208">
        <f>'2012_2020 Int_Confianca'!H52</f>
        <v>8.0999999999999996E-3</v>
      </c>
      <c r="K208">
        <f>'2012_2020 Int_Confianca'!I52</f>
        <v>7.4999999999999997E-3</v>
      </c>
      <c r="L208">
        <f>'2012_2020 Int_Confianca'!J52</f>
        <v>7.1000000000000004E-3</v>
      </c>
      <c r="M208">
        <f>'2012_2020 Int_Confianca'!K52</f>
        <v>5.5999999999999999E-3</v>
      </c>
      <c r="N208">
        <f>'2012_2020 Int_Confianca'!L52</f>
        <v>5.1000000000000004E-3</v>
      </c>
      <c r="O208">
        <f>'2012_2020 Int_Confianca'!M52</f>
        <v>4.4999999999999997E-3</v>
      </c>
      <c r="P208">
        <f>'2012_2020 Int_Confianca'!N52</f>
        <v>4.0000000000000001E-3</v>
      </c>
      <c r="Q208">
        <f>'2012_2020 Int_Confianca'!O52</f>
        <v>3.3999999999999998E-3</v>
      </c>
      <c r="R208">
        <f>'2012_2020 Int_Confianca'!P52</f>
        <v>2.7000000000000001E-3</v>
      </c>
      <c r="S208">
        <f>'2012_2020 Int_Confianca'!Q52</f>
        <v>2.3999999999999998E-3</v>
      </c>
      <c r="T208">
        <f>'2012_2020 Int_Confianca'!R52</f>
        <v>2.2000000000000001E-3</v>
      </c>
      <c r="U208">
        <f>'2012_2020 Int_Confianca'!S52</f>
        <v>2.0999999999999999E-3</v>
      </c>
      <c r="V208">
        <f>'2012_2020 Int_Confianca'!T52</f>
        <v>1.9E-3</v>
      </c>
      <c r="W208">
        <f>'2012_2020 Int_Confianca'!U52</f>
        <v>1.8E-3</v>
      </c>
      <c r="X208">
        <f>'2012_2020 Int_Confianca'!V52</f>
        <v>1.8E-3</v>
      </c>
      <c r="Y208">
        <f>'2012_2020 Int_Confianca'!W52</f>
        <v>1.6999999999999999E-3</v>
      </c>
      <c r="Z208">
        <f>'2012_2020 Int_Confianca'!X52</f>
        <v>1.6999999999999999E-3</v>
      </c>
      <c r="AA208">
        <f>'2012_2020 Int_Confianca'!Y52</f>
        <v>1.6000000000000001E-3</v>
      </c>
      <c r="AB208">
        <f>'2012_2020 Int_Confianca'!Z52</f>
        <v>1.6000000000000001E-3</v>
      </c>
      <c r="AC208">
        <f>'2012_2020 Int_Confianca'!AA52</f>
        <v>1.6000000000000001E-3</v>
      </c>
      <c r="AD208">
        <f>'2012_2020 Int_Confianca'!AB52</f>
        <v>1.5E-3</v>
      </c>
      <c r="AE208">
        <f>'2012_2020 Int_Confianca'!AC52</f>
        <v>1.4E-3</v>
      </c>
      <c r="AF208">
        <f>'2012_2020 Int_Confianca'!AD52</f>
        <v>1.4E-3</v>
      </c>
      <c r="AG208">
        <f>'2012_2020 Int_Confianca'!AE52</f>
        <v>1.4E-3</v>
      </c>
      <c r="AH208">
        <f>'2012_2020 Int_Confianca'!AF52</f>
        <v>1.4E-3</v>
      </c>
      <c r="AI208">
        <f>'2012_2020 Int_Confianca'!AG52</f>
        <v>1.4E-3</v>
      </c>
      <c r="AJ208">
        <f>'2012_2020 Int_Confianca'!AH52</f>
        <v>1.4E-3</v>
      </c>
      <c r="AK208">
        <f>'2012_2020 Int_Confianca'!AI52</f>
        <v>1.4E-3</v>
      </c>
      <c r="AL208">
        <f>'2012_2020 Int_Confianca'!AJ52</f>
        <v>1.5E-3</v>
      </c>
      <c r="AM208">
        <f>'2012_2020 Int_Confianca'!AK52</f>
        <v>1.5E-3</v>
      </c>
      <c r="AN208">
        <f>'2012_2020 Int_Confianca'!AL52</f>
        <v>1.5E-3</v>
      </c>
      <c r="AO208">
        <f>'2012_2020 Int_Confianca'!AM52</f>
        <v>1.5E-3</v>
      </c>
      <c r="AP208">
        <f>'2012_2020 Int_Confianca'!AN52</f>
        <v>1.5E-3</v>
      </c>
      <c r="AQ208">
        <f>'2012_2020 Int_Confianca'!AO52</f>
        <v>1.5E-3</v>
      </c>
      <c r="AR208">
        <f>'2012_2020 Int_Confianca'!AP52</f>
        <v>1.5E-3</v>
      </c>
      <c r="AS208">
        <f>'2012_2020 Int_Confianca'!AQ52</f>
        <v>1.5E-3</v>
      </c>
      <c r="AT208">
        <f>'2012_2020 Int_Confianca'!AR52</f>
        <v>1.5E-3</v>
      </c>
      <c r="AU208">
        <f>'2012_2020 Int_Confianca'!AS52</f>
        <v>1.5E-3</v>
      </c>
      <c r="AV208">
        <f>'2012_2020 Int_Confianca'!AT52</f>
        <v>1.4E-3</v>
      </c>
      <c r="AW208">
        <f>'2012_2020 Int_Confianca'!AU52</f>
        <v>1.5E-3</v>
      </c>
      <c r="AX208">
        <f>'2012_2020 Int_Confianca'!AV52</f>
        <v>1.4E-3</v>
      </c>
      <c r="AY208">
        <f>'2012_2020 Int_Confianca'!AW52</f>
        <v>1.4E-3</v>
      </c>
      <c r="AZ208">
        <f>'2012_2020 Int_Confianca'!AX52</f>
        <v>1.4E-3</v>
      </c>
      <c r="BA208">
        <f>'2012_2020 Int_Confianca'!AY52</f>
        <v>1.2999999999999999E-3</v>
      </c>
      <c r="BB208">
        <f>'2012_2020 Int_Confianca'!AZ52</f>
        <v>1.2999999999999999E-3</v>
      </c>
      <c r="BC208">
        <f>'2012_2020 Int_Confianca'!BA52</f>
        <v>1.4E-3</v>
      </c>
      <c r="BD208">
        <f>'2012_2020 Int_Confianca'!BB52</f>
        <v>1.4E-3</v>
      </c>
      <c r="BE208">
        <f>'2012_2020 Int_Confianca'!BC52</f>
        <v>1.4E-3</v>
      </c>
      <c r="BF208">
        <f>'2012_2020 Int_Confianca'!BD52</f>
        <v>1.4E-3</v>
      </c>
      <c r="BG208">
        <f>'2012_2020 Int_Confianca'!BE52</f>
        <v>1.4E-3</v>
      </c>
      <c r="BH208">
        <f>'2012_2020 Int_Confianca'!BF52</f>
        <v>1.2999999999999999E-3</v>
      </c>
      <c r="BI208">
        <f>'2012_2020 Int_Confianca'!BG52</f>
        <v>1.2999999999999999E-3</v>
      </c>
      <c r="BJ208">
        <f>'2012_2020 Int_Confianca'!BH52</f>
        <v>1.4E-3</v>
      </c>
      <c r="BK208">
        <f>'2012_2020 Int_Confianca'!BI52</f>
        <v>1.2999999999999999E-3</v>
      </c>
      <c r="BL208">
        <f>'2012_2020 Int_Confianca'!BJ52</f>
        <v>1.2999999999999999E-3</v>
      </c>
      <c r="BM208">
        <f>'2012_2020 Int_Confianca'!BK52</f>
        <v>1.2999999999999999E-3</v>
      </c>
      <c r="BN208">
        <f>'2012_2020 Int_Confianca'!BL52</f>
        <v>1.2999999999999999E-3</v>
      </c>
      <c r="BO208">
        <f>'2012_2020 Int_Confianca'!BM52</f>
        <v>1.2999999999999999E-3</v>
      </c>
      <c r="BP208">
        <f>'2012_2020 Int_Confianca'!BN52</f>
        <v>1.2999999999999999E-3</v>
      </c>
      <c r="BQ208">
        <f>'2012_2020 Int_Confianca'!BO52</f>
        <v>1.4E-3</v>
      </c>
      <c r="BR208">
        <f>'2012_2020 Int_Confianca'!BP52</f>
        <v>1.2999999999999999E-3</v>
      </c>
      <c r="BS208">
        <f>'2012_2020 Int_Confianca'!BQ52</f>
        <v>1.2999999999999999E-3</v>
      </c>
      <c r="BT208">
        <f>'2012_2020 Int_Confianca'!BR52</f>
        <v>1.2999999999999999E-3</v>
      </c>
      <c r="BU208">
        <f>'2012_2020 Int_Confianca'!BS52</f>
        <v>1.4E-3</v>
      </c>
      <c r="BV208">
        <f>'2012_2020 Int_Confianca'!BT52</f>
        <v>1.5E-3</v>
      </c>
      <c r="BW208">
        <f>'2012_2020 Int_Confianca'!BU52</f>
        <v>1.6000000000000001E-3</v>
      </c>
      <c r="BX208">
        <f>'2012_2020 Int_Confianca'!BV52</f>
        <v>1.5E-3</v>
      </c>
      <c r="BY208">
        <f>'2012_2020 Int_Confianca'!BW52</f>
        <v>1.5E-3</v>
      </c>
      <c r="BZ208">
        <f>'2012_2020 Int_Confianca'!BX52</f>
        <v>1.5E-3</v>
      </c>
      <c r="CA208">
        <f>'2012_2020 Int_Confianca'!BY52</f>
        <v>1.5E-3</v>
      </c>
      <c r="CB208">
        <f>'2012_2020 Int_Confianca'!BZ52</f>
        <v>1.5E-3</v>
      </c>
      <c r="CC208">
        <f>'2012_2020 Int_Confianca'!CA52</f>
        <v>1.5E-3</v>
      </c>
      <c r="CD208">
        <f>'2012_2020 Int_Confianca'!CB52</f>
        <v>1.4E-3</v>
      </c>
      <c r="CE208">
        <f>'2012_2020 Int_Confianca'!CC52</f>
        <v>1.4E-3</v>
      </c>
      <c r="CF208">
        <f>'2012_2020 Int_Confianca'!CD52</f>
        <v>1.4E-3</v>
      </c>
      <c r="CG208">
        <f>'2012_2020 Int_Confianca'!CE52</f>
        <v>1.2999999999999999E-3</v>
      </c>
      <c r="CH208">
        <f>'2012_2020 Int_Confianca'!CF52</f>
        <v>1.1999999999999999E-3</v>
      </c>
      <c r="CI208">
        <f>'2012_2020 Int_Confianca'!CG52</f>
        <v>1.1000000000000001E-3</v>
      </c>
      <c r="CJ208">
        <f>'2012_2020 Int_Confianca'!CH52</f>
        <v>1E-3</v>
      </c>
      <c r="CK208">
        <f>'2012_2020 Int_Confianca'!CI52</f>
        <v>1.1999999999999999E-3</v>
      </c>
      <c r="CL208">
        <f>'2012_2020 Int_Confianca'!CJ52</f>
        <v>1.1999999999999999E-3</v>
      </c>
      <c r="CM208">
        <f>'2012_2020 Int_Confianca'!CK52</f>
        <v>1.1000000000000001E-3</v>
      </c>
      <c r="CN208">
        <f>'2012_2020 Int_Confianca'!CL52</f>
        <v>1.1999999999999999E-3</v>
      </c>
      <c r="CO208">
        <f>'2012_2020 Int_Confianca'!CM52</f>
        <v>1.1000000000000001E-3</v>
      </c>
      <c r="CP208">
        <f>'2012_2020 Int_Confianca'!CN52</f>
        <v>1E-3</v>
      </c>
      <c r="CQ208">
        <f>'2012_2020 Int_Confianca'!CO52</f>
        <v>1.1000000000000001E-3</v>
      </c>
      <c r="CR208">
        <f>'2012_2020 Int_Confianca'!CP52</f>
        <v>1.1999999999999999E-3</v>
      </c>
      <c r="CS208">
        <f>'2012_2020 Int_Confianca'!CQ52</f>
        <v>1E-3</v>
      </c>
      <c r="CT208">
        <f>'2012_2020 Int_Confianca'!CR52</f>
        <v>1.1000000000000001E-3</v>
      </c>
      <c r="CU208">
        <f>'2012_2020 Int_Confianca'!CS52</f>
        <v>8.9999999999999998E-4</v>
      </c>
      <c r="CV208">
        <f>'2012_2020 Int_Confianca'!CT52</f>
        <v>1.1999999999999999E-3</v>
      </c>
      <c r="CW208">
        <f>'2012_2020 Int_Confianca'!CU52</f>
        <v>1E-3</v>
      </c>
      <c r="CX208">
        <f>'2012_2020 Int_Confianca'!CV52</f>
        <v>1.2999999999999999E-3</v>
      </c>
    </row>
    <row r="209" spans="1:102" x14ac:dyDescent="0.2">
      <c r="A209" t="s">
        <v>5919</v>
      </c>
      <c r="B209" t="s">
        <v>218</v>
      </c>
      <c r="C209" t="s">
        <v>222</v>
      </c>
      <c r="D209">
        <f>'2012_2020 Int_Confianca'!B53</f>
        <v>-1.5299999999999999E-2</v>
      </c>
      <c r="E209">
        <f>'2012_2020 Int_Confianca'!C53</f>
        <v>-2.1600000000000001E-2</v>
      </c>
      <c r="F209">
        <f>'2012_2020 Int_Confianca'!D53</f>
        <v>-2.2700000000000001E-2</v>
      </c>
      <c r="G209">
        <f>'2012_2020 Int_Confianca'!E53</f>
        <v>-2.3699999999999999E-2</v>
      </c>
      <c r="H209">
        <f>'2012_2020 Int_Confianca'!F53</f>
        <v>-2.3599999999999999E-2</v>
      </c>
      <c r="I209">
        <f>'2012_2020 Int_Confianca'!G53</f>
        <v>-2.58E-2</v>
      </c>
      <c r="J209">
        <f>'2012_2020 Int_Confianca'!H53</f>
        <v>-2.58E-2</v>
      </c>
      <c r="K209">
        <f>'2012_2020 Int_Confianca'!I53</f>
        <v>-2.5100000000000001E-2</v>
      </c>
      <c r="L209">
        <f>'2012_2020 Int_Confianca'!J53</f>
        <v>-2.5399999999999999E-2</v>
      </c>
      <c r="M209">
        <f>'2012_2020 Int_Confianca'!K53</f>
        <v>-2.06E-2</v>
      </c>
      <c r="N209">
        <f>'2012_2020 Int_Confianca'!L53</f>
        <v>-0.02</v>
      </c>
      <c r="O209">
        <f>'2012_2020 Int_Confianca'!M53</f>
        <v>-1.8700000000000001E-2</v>
      </c>
      <c r="P209">
        <f>'2012_2020 Int_Confianca'!N53</f>
        <v>-1.6799999999999999E-2</v>
      </c>
      <c r="Q209">
        <f>'2012_2020 Int_Confianca'!O53</f>
        <v>-1.46E-2</v>
      </c>
      <c r="R209">
        <f>'2012_2020 Int_Confianca'!P53</f>
        <v>-1.18E-2</v>
      </c>
      <c r="S209">
        <f>'2012_2020 Int_Confianca'!Q53</f>
        <v>-1.0500000000000001E-2</v>
      </c>
      <c r="T209">
        <f>'2012_2020 Int_Confianca'!R53</f>
        <v>-9.7999999999999997E-3</v>
      </c>
      <c r="U209">
        <f>'2012_2020 Int_Confianca'!S53</f>
        <v>-9.4999999999999998E-3</v>
      </c>
      <c r="V209">
        <f>'2012_2020 Int_Confianca'!T53</f>
        <v>-8.3000000000000001E-3</v>
      </c>
      <c r="W209">
        <f>'2012_2020 Int_Confianca'!U53</f>
        <v>-7.7000000000000002E-3</v>
      </c>
      <c r="X209">
        <f>'2012_2020 Int_Confianca'!V53</f>
        <v>-7.3000000000000001E-3</v>
      </c>
      <c r="Y209">
        <f>'2012_2020 Int_Confianca'!W53</f>
        <v>-6.8999999999999999E-3</v>
      </c>
      <c r="Z209">
        <f>'2012_2020 Int_Confianca'!X53</f>
        <v>-6.4999999999999997E-3</v>
      </c>
      <c r="AA209">
        <f>'2012_2020 Int_Confianca'!Y53</f>
        <v>-6.0000000000000001E-3</v>
      </c>
      <c r="AB209">
        <f>'2012_2020 Int_Confianca'!Z53</f>
        <v>-5.5999999999999999E-3</v>
      </c>
      <c r="AC209">
        <f>'2012_2020 Int_Confianca'!AA53</f>
        <v>-5.1999999999999998E-3</v>
      </c>
      <c r="AD209">
        <f>'2012_2020 Int_Confianca'!AB53</f>
        <v>-4.8999999999999998E-3</v>
      </c>
      <c r="AE209">
        <f>'2012_2020 Int_Confianca'!AC53</f>
        <v>-4.7999999999999996E-3</v>
      </c>
      <c r="AF209">
        <f>'2012_2020 Int_Confianca'!AD53</f>
        <v>-4.5999999999999999E-3</v>
      </c>
      <c r="AG209">
        <f>'2012_2020 Int_Confianca'!AE53</f>
        <v>-4.4999999999999997E-3</v>
      </c>
      <c r="AH209">
        <f>'2012_2020 Int_Confianca'!AF53</f>
        <v>-4.3E-3</v>
      </c>
      <c r="AI209">
        <f>'2012_2020 Int_Confianca'!AG53</f>
        <v>-4.1000000000000003E-3</v>
      </c>
      <c r="AJ209">
        <f>'2012_2020 Int_Confianca'!AH53</f>
        <v>-3.8999999999999998E-3</v>
      </c>
      <c r="AK209">
        <f>'2012_2020 Int_Confianca'!AI53</f>
        <v>-3.8E-3</v>
      </c>
      <c r="AL209">
        <f>'2012_2020 Int_Confianca'!AJ53</f>
        <v>-3.5999999999999999E-3</v>
      </c>
      <c r="AM209">
        <f>'2012_2020 Int_Confianca'!AK53</f>
        <v>-3.5999999999999999E-3</v>
      </c>
      <c r="AN209">
        <f>'2012_2020 Int_Confianca'!AL53</f>
        <v>-3.5999999999999999E-3</v>
      </c>
      <c r="AO209">
        <f>'2012_2020 Int_Confianca'!AM53</f>
        <v>-3.5000000000000001E-3</v>
      </c>
      <c r="AP209">
        <f>'2012_2020 Int_Confianca'!AN53</f>
        <v>-3.3999999999999998E-3</v>
      </c>
      <c r="AQ209">
        <f>'2012_2020 Int_Confianca'!AO53</f>
        <v>-3.0999999999999999E-3</v>
      </c>
      <c r="AR209">
        <f>'2012_2020 Int_Confianca'!AP53</f>
        <v>-3.0000000000000001E-3</v>
      </c>
      <c r="AS209">
        <f>'2012_2020 Int_Confianca'!AQ53</f>
        <v>-2.7000000000000001E-3</v>
      </c>
      <c r="AT209">
        <f>'2012_2020 Int_Confianca'!AR53</f>
        <v>-2.3999999999999998E-3</v>
      </c>
      <c r="AU209">
        <f>'2012_2020 Int_Confianca'!AS53</f>
        <v>-2.2000000000000001E-3</v>
      </c>
      <c r="AV209">
        <f>'2012_2020 Int_Confianca'!AT53</f>
        <v>-1.9E-3</v>
      </c>
      <c r="AW209">
        <f>'2012_2020 Int_Confianca'!AU53</f>
        <v>-1.8E-3</v>
      </c>
      <c r="AX209">
        <f>'2012_2020 Int_Confianca'!AV53</f>
        <v>-1.8E-3</v>
      </c>
      <c r="AY209">
        <f>'2012_2020 Int_Confianca'!AW53</f>
        <v>-1.6999999999999999E-3</v>
      </c>
      <c r="AZ209">
        <f>'2012_2020 Int_Confianca'!AX53</f>
        <v>-1.6999999999999999E-3</v>
      </c>
      <c r="BA209">
        <f>'2012_2020 Int_Confianca'!AY53</f>
        <v>-1.5E-3</v>
      </c>
      <c r="BB209">
        <f>'2012_2020 Int_Confianca'!AZ53</f>
        <v>-1.4E-3</v>
      </c>
      <c r="BC209">
        <f>'2012_2020 Int_Confianca'!BA53</f>
        <v>-1.2999999999999999E-3</v>
      </c>
      <c r="BD209">
        <f>'2012_2020 Int_Confianca'!BB53</f>
        <v>-1.1999999999999999E-3</v>
      </c>
      <c r="BE209">
        <f>'2012_2020 Int_Confianca'!BC53</f>
        <v>-1.1000000000000001E-3</v>
      </c>
      <c r="BF209">
        <f>'2012_2020 Int_Confianca'!BD53</f>
        <v>-8.0000000000000004E-4</v>
      </c>
      <c r="BG209">
        <f>'2012_2020 Int_Confianca'!BE53</f>
        <v>-5.9999999999999995E-4</v>
      </c>
      <c r="BH209">
        <f>'2012_2020 Int_Confianca'!BF53</f>
        <v>-4.0000000000000002E-4</v>
      </c>
      <c r="BI209">
        <f>'2012_2020 Int_Confianca'!BG53</f>
        <v>-4.0000000000000002E-4</v>
      </c>
      <c r="BJ209">
        <f>'2012_2020 Int_Confianca'!BH53</f>
        <v>-4.0000000000000002E-4</v>
      </c>
      <c r="BK209">
        <f>'2012_2020 Int_Confianca'!BI53</f>
        <v>-4.0000000000000002E-4</v>
      </c>
      <c r="BL209">
        <f>'2012_2020 Int_Confianca'!BJ53</f>
        <v>-4.0000000000000002E-4</v>
      </c>
      <c r="BM209">
        <f>'2012_2020 Int_Confianca'!BK53</f>
        <v>-4.0000000000000002E-4</v>
      </c>
      <c r="BN209">
        <f>'2012_2020 Int_Confianca'!BL53</f>
        <v>-4.0000000000000002E-4</v>
      </c>
      <c r="BO209">
        <f>'2012_2020 Int_Confianca'!BM53</f>
        <v>-2.9999999999999997E-4</v>
      </c>
      <c r="BP209">
        <f>'2012_2020 Int_Confianca'!BN53</f>
        <v>-1E-4</v>
      </c>
      <c r="BQ209">
        <f>'2012_2020 Int_Confianca'!BO53</f>
        <v>0</v>
      </c>
      <c r="BR209">
        <f>'2012_2020 Int_Confianca'!BP53</f>
        <v>1E-4</v>
      </c>
      <c r="BS209">
        <f>'2012_2020 Int_Confianca'!BQ53</f>
        <v>1E-4</v>
      </c>
      <c r="BT209">
        <f>'2012_2020 Int_Confianca'!BR53</f>
        <v>2.9999999999999997E-4</v>
      </c>
      <c r="BU209">
        <f>'2012_2020 Int_Confianca'!BS53</f>
        <v>2.9999999999999997E-4</v>
      </c>
      <c r="BV209">
        <f>'2012_2020 Int_Confianca'!BT53</f>
        <v>4.0000000000000002E-4</v>
      </c>
      <c r="BW209">
        <f>'2012_2020 Int_Confianca'!BU53</f>
        <v>5.0000000000000001E-4</v>
      </c>
      <c r="BX209">
        <f>'2012_2020 Int_Confianca'!BV53</f>
        <v>4.0000000000000002E-4</v>
      </c>
      <c r="BY209">
        <f>'2012_2020 Int_Confianca'!BW53</f>
        <v>5.0000000000000001E-4</v>
      </c>
      <c r="BZ209">
        <f>'2012_2020 Int_Confianca'!BX53</f>
        <v>5.9999999999999995E-4</v>
      </c>
      <c r="CA209">
        <f>'2012_2020 Int_Confianca'!BY53</f>
        <v>5.9999999999999995E-4</v>
      </c>
      <c r="CB209">
        <f>'2012_2020 Int_Confianca'!BZ53</f>
        <v>6.9999999999999999E-4</v>
      </c>
      <c r="CC209">
        <f>'2012_2020 Int_Confianca'!CA53</f>
        <v>6.9999999999999999E-4</v>
      </c>
      <c r="CD209">
        <f>'2012_2020 Int_Confianca'!CB53</f>
        <v>5.9999999999999995E-4</v>
      </c>
      <c r="CE209">
        <f>'2012_2020 Int_Confianca'!CC53</f>
        <v>5.0000000000000001E-4</v>
      </c>
      <c r="CF209">
        <f>'2012_2020 Int_Confianca'!CD53</f>
        <v>5.0000000000000001E-4</v>
      </c>
      <c r="CG209">
        <f>'2012_2020 Int_Confianca'!CE53</f>
        <v>6.9999999999999999E-4</v>
      </c>
      <c r="CH209">
        <f>'2012_2020 Int_Confianca'!CF53</f>
        <v>6.9999999999999999E-4</v>
      </c>
      <c r="CI209">
        <f>'2012_2020 Int_Confianca'!CG53</f>
        <v>5.0000000000000001E-4</v>
      </c>
      <c r="CJ209">
        <f>'2012_2020 Int_Confianca'!CH53</f>
        <v>2.9999999999999997E-4</v>
      </c>
      <c r="CK209">
        <f>'2012_2020 Int_Confianca'!CI53</f>
        <v>5.0000000000000001E-4</v>
      </c>
      <c r="CL209">
        <f>'2012_2020 Int_Confianca'!CJ53</f>
        <v>4.0000000000000002E-4</v>
      </c>
      <c r="CM209">
        <f>'2012_2020 Int_Confianca'!CK53</f>
        <v>2.0000000000000001E-4</v>
      </c>
      <c r="CN209">
        <f>'2012_2020 Int_Confianca'!CL53</f>
        <v>5.0000000000000001E-4</v>
      </c>
      <c r="CO209">
        <f>'2012_2020 Int_Confianca'!CM53</f>
        <v>5.0000000000000001E-4</v>
      </c>
      <c r="CP209">
        <f>'2012_2020 Int_Confianca'!CN53</f>
        <v>2.0000000000000001E-4</v>
      </c>
      <c r="CQ209">
        <f>'2012_2020 Int_Confianca'!CO53</f>
        <v>4.0000000000000002E-4</v>
      </c>
      <c r="CR209">
        <f>'2012_2020 Int_Confianca'!CP53</f>
        <v>4.0000000000000002E-4</v>
      </c>
      <c r="CS209">
        <f>'2012_2020 Int_Confianca'!CQ53</f>
        <v>2.0000000000000001E-4</v>
      </c>
      <c r="CT209">
        <f>'2012_2020 Int_Confianca'!CR53</f>
        <v>-2.0000000000000001E-4</v>
      </c>
      <c r="CU209">
        <f>'2012_2020 Int_Confianca'!CS53</f>
        <v>-4.0000000000000002E-4</v>
      </c>
      <c r="CV209">
        <f>'2012_2020 Int_Confianca'!CT53</f>
        <v>-5.0000000000000001E-4</v>
      </c>
      <c r="CW209">
        <f>'2012_2020 Int_Confianca'!CU53</f>
        <v>-2.9999999999999997E-4</v>
      </c>
      <c r="CX209">
        <f>'2012_2020 Int_Confianca'!CV53</f>
        <v>-5.9999999999999995E-4</v>
      </c>
    </row>
    <row r="210" spans="1:102" x14ac:dyDescent="0.2">
      <c r="A210" t="s">
        <v>5920</v>
      </c>
      <c r="B210" t="s">
        <v>218</v>
      </c>
      <c r="C210" t="s">
        <v>222</v>
      </c>
      <c r="D210">
        <f>'2012_2020 Int_Confianca'!B54</f>
        <v>-1.0500000000000001E-2</v>
      </c>
      <c r="E210">
        <f>'2012_2020 Int_Confianca'!C54</f>
        <v>-1.49E-2</v>
      </c>
      <c r="F210">
        <f>'2012_2020 Int_Confianca'!D54</f>
        <v>-1.5800000000000002E-2</v>
      </c>
      <c r="G210">
        <f>'2012_2020 Int_Confianca'!E54</f>
        <v>-1.6500000000000001E-2</v>
      </c>
      <c r="H210">
        <f>'2012_2020 Int_Confianca'!F54</f>
        <v>-1.6500000000000001E-2</v>
      </c>
      <c r="I210">
        <f>'2012_2020 Int_Confianca'!G54</f>
        <v>-1.8100000000000002E-2</v>
      </c>
      <c r="J210">
        <f>'2012_2020 Int_Confianca'!H54</f>
        <v>-1.8100000000000002E-2</v>
      </c>
      <c r="K210">
        <f>'2012_2020 Int_Confianca'!I54</f>
        <v>-1.7500000000000002E-2</v>
      </c>
      <c r="L210">
        <f>'2012_2020 Int_Confianca'!J54</f>
        <v>-1.78E-2</v>
      </c>
      <c r="M210">
        <f>'2012_2020 Int_Confianca'!K54</f>
        <v>-1.44E-2</v>
      </c>
      <c r="N210">
        <f>'2012_2020 Int_Confianca'!L54</f>
        <v>-1.4E-2</v>
      </c>
      <c r="O210">
        <f>'2012_2020 Int_Confianca'!M54</f>
        <v>-1.3100000000000001E-2</v>
      </c>
      <c r="P210">
        <f>'2012_2020 Int_Confianca'!N54</f>
        <v>-1.17E-2</v>
      </c>
      <c r="Q210">
        <f>'2012_2020 Int_Confianca'!O54</f>
        <v>-1.0200000000000001E-2</v>
      </c>
      <c r="R210">
        <f>'2012_2020 Int_Confianca'!P54</f>
        <v>-8.2000000000000007E-3</v>
      </c>
      <c r="S210">
        <f>'2012_2020 Int_Confianca'!Q54</f>
        <v>-7.3000000000000001E-3</v>
      </c>
      <c r="T210">
        <f>'2012_2020 Int_Confianca'!R54</f>
        <v>-6.8999999999999999E-3</v>
      </c>
      <c r="U210">
        <f>'2012_2020 Int_Confianca'!S54</f>
        <v>-6.6E-3</v>
      </c>
      <c r="V210">
        <f>'2012_2020 Int_Confianca'!T54</f>
        <v>-5.7999999999999996E-3</v>
      </c>
      <c r="W210">
        <f>'2012_2020 Int_Confianca'!U54</f>
        <v>-5.4000000000000003E-3</v>
      </c>
      <c r="X210">
        <f>'2012_2020 Int_Confianca'!V54</f>
        <v>-5.1000000000000004E-3</v>
      </c>
      <c r="Y210">
        <f>'2012_2020 Int_Confianca'!W54</f>
        <v>-4.7999999999999996E-3</v>
      </c>
      <c r="Z210">
        <f>'2012_2020 Int_Confianca'!X54</f>
        <v>-4.5999999999999999E-3</v>
      </c>
      <c r="AA210">
        <f>'2012_2020 Int_Confianca'!Y54</f>
        <v>-4.1999999999999997E-3</v>
      </c>
      <c r="AB210">
        <f>'2012_2020 Int_Confianca'!Z54</f>
        <v>-3.8999999999999998E-3</v>
      </c>
      <c r="AC210">
        <f>'2012_2020 Int_Confianca'!AA54</f>
        <v>-3.5999999999999999E-3</v>
      </c>
      <c r="AD210">
        <f>'2012_2020 Int_Confianca'!AB54</f>
        <v>-3.3999999999999998E-3</v>
      </c>
      <c r="AE210">
        <f>'2012_2020 Int_Confianca'!AC54</f>
        <v>-3.3E-3</v>
      </c>
      <c r="AF210">
        <f>'2012_2020 Int_Confianca'!AD54</f>
        <v>-3.2000000000000002E-3</v>
      </c>
      <c r="AG210">
        <f>'2012_2020 Int_Confianca'!AE54</f>
        <v>-3.0999999999999999E-3</v>
      </c>
      <c r="AH210">
        <f>'2012_2020 Int_Confianca'!AF54</f>
        <v>-3.0000000000000001E-3</v>
      </c>
      <c r="AI210">
        <f>'2012_2020 Int_Confianca'!AG54</f>
        <v>-2.8E-3</v>
      </c>
      <c r="AJ210">
        <f>'2012_2020 Int_Confianca'!AH54</f>
        <v>-2.7000000000000001E-3</v>
      </c>
      <c r="AK210">
        <f>'2012_2020 Int_Confianca'!AI54</f>
        <v>-2.5999999999999999E-3</v>
      </c>
      <c r="AL210">
        <f>'2012_2020 Int_Confianca'!AJ54</f>
        <v>-2.5000000000000001E-3</v>
      </c>
      <c r="AM210">
        <f>'2012_2020 Int_Confianca'!AK54</f>
        <v>-2.5000000000000001E-3</v>
      </c>
      <c r="AN210">
        <f>'2012_2020 Int_Confianca'!AL54</f>
        <v>-2.5000000000000001E-3</v>
      </c>
      <c r="AO210">
        <f>'2012_2020 Int_Confianca'!AM54</f>
        <v>-2.3999999999999998E-3</v>
      </c>
      <c r="AP210">
        <f>'2012_2020 Int_Confianca'!AN54</f>
        <v>-2.3E-3</v>
      </c>
      <c r="AQ210">
        <f>'2012_2020 Int_Confianca'!AO54</f>
        <v>-2.0999999999999999E-3</v>
      </c>
      <c r="AR210">
        <f>'2012_2020 Int_Confianca'!AP54</f>
        <v>-2E-3</v>
      </c>
      <c r="AS210">
        <f>'2012_2020 Int_Confianca'!AQ54</f>
        <v>-1.8E-3</v>
      </c>
      <c r="AT210">
        <f>'2012_2020 Int_Confianca'!AR54</f>
        <v>-1.6000000000000001E-3</v>
      </c>
      <c r="AU210">
        <f>'2012_2020 Int_Confianca'!AS54</f>
        <v>-1.4E-3</v>
      </c>
      <c r="AV210">
        <f>'2012_2020 Int_Confianca'!AT54</f>
        <v>-1.1999999999999999E-3</v>
      </c>
      <c r="AW210">
        <f>'2012_2020 Int_Confianca'!AU54</f>
        <v>-1.1000000000000001E-3</v>
      </c>
      <c r="AX210">
        <f>'2012_2020 Int_Confianca'!AV54</f>
        <v>-1.1000000000000001E-3</v>
      </c>
      <c r="AY210">
        <f>'2012_2020 Int_Confianca'!AW54</f>
        <v>-1E-3</v>
      </c>
      <c r="AZ210">
        <f>'2012_2020 Int_Confianca'!AX54</f>
        <v>-1.1000000000000001E-3</v>
      </c>
      <c r="BA210">
        <f>'2012_2020 Int_Confianca'!AY54</f>
        <v>-8.9999999999999998E-4</v>
      </c>
      <c r="BB210">
        <f>'2012_2020 Int_Confianca'!AZ54</f>
        <v>-8.0000000000000004E-4</v>
      </c>
      <c r="BC210">
        <f>'2012_2020 Int_Confianca'!BA54</f>
        <v>-6.9999999999999999E-4</v>
      </c>
      <c r="BD210">
        <f>'2012_2020 Int_Confianca'!BB54</f>
        <v>-5.9999999999999995E-4</v>
      </c>
      <c r="BE210">
        <f>'2012_2020 Int_Confianca'!BC54</f>
        <v>-5.0000000000000001E-4</v>
      </c>
      <c r="BF210">
        <f>'2012_2020 Int_Confianca'!BD54</f>
        <v>-2.0000000000000001E-4</v>
      </c>
      <c r="BG210">
        <f>'2012_2020 Int_Confianca'!BE54</f>
        <v>0</v>
      </c>
      <c r="BH210">
        <f>'2012_2020 Int_Confianca'!BF54</f>
        <v>1E-4</v>
      </c>
      <c r="BI210">
        <f>'2012_2020 Int_Confianca'!BG54</f>
        <v>1E-4</v>
      </c>
      <c r="BJ210">
        <f>'2012_2020 Int_Confianca'!BH54</f>
        <v>1E-4</v>
      </c>
      <c r="BK210">
        <f>'2012_2020 Int_Confianca'!BI54</f>
        <v>1E-4</v>
      </c>
      <c r="BL210">
        <f>'2012_2020 Int_Confianca'!BJ54</f>
        <v>1E-4</v>
      </c>
      <c r="BM210">
        <f>'2012_2020 Int_Confianca'!BK54</f>
        <v>1E-4</v>
      </c>
      <c r="BN210">
        <f>'2012_2020 Int_Confianca'!BL54</f>
        <v>2.0000000000000001E-4</v>
      </c>
      <c r="BO210">
        <f>'2012_2020 Int_Confianca'!BM54</f>
        <v>2.9999999999999997E-4</v>
      </c>
      <c r="BP210">
        <f>'2012_2020 Int_Confianca'!BN54</f>
        <v>5.0000000000000001E-4</v>
      </c>
      <c r="BQ210">
        <f>'2012_2020 Int_Confianca'!BO54</f>
        <v>5.9999999999999995E-4</v>
      </c>
      <c r="BR210">
        <f>'2012_2020 Int_Confianca'!BP54</f>
        <v>6.9999999999999999E-4</v>
      </c>
      <c r="BS210">
        <f>'2012_2020 Int_Confianca'!BQ54</f>
        <v>6.9999999999999999E-4</v>
      </c>
      <c r="BT210">
        <f>'2012_2020 Int_Confianca'!BR54</f>
        <v>8.9999999999999998E-4</v>
      </c>
      <c r="BU210">
        <f>'2012_2020 Int_Confianca'!BS54</f>
        <v>1E-3</v>
      </c>
      <c r="BV210">
        <f>'2012_2020 Int_Confianca'!BT54</f>
        <v>1.1000000000000001E-3</v>
      </c>
      <c r="BW210">
        <f>'2012_2020 Int_Confianca'!BU54</f>
        <v>1.2999999999999999E-3</v>
      </c>
      <c r="BX210">
        <f>'2012_2020 Int_Confianca'!BV54</f>
        <v>1.1000000000000001E-3</v>
      </c>
      <c r="BY210">
        <f>'2012_2020 Int_Confianca'!BW54</f>
        <v>1.2999999999999999E-3</v>
      </c>
      <c r="BZ210">
        <f>'2012_2020 Int_Confianca'!BX54</f>
        <v>1.2999999999999999E-3</v>
      </c>
      <c r="CA210">
        <f>'2012_2020 Int_Confianca'!BY54</f>
        <v>1.2999999999999999E-3</v>
      </c>
      <c r="CB210">
        <f>'2012_2020 Int_Confianca'!BZ54</f>
        <v>1.5E-3</v>
      </c>
      <c r="CC210">
        <f>'2012_2020 Int_Confianca'!CA54</f>
        <v>1.5E-3</v>
      </c>
      <c r="CD210">
        <f>'2012_2020 Int_Confianca'!CB54</f>
        <v>1.5E-3</v>
      </c>
      <c r="CE210">
        <f>'2012_2020 Int_Confianca'!CC54</f>
        <v>1.4E-3</v>
      </c>
      <c r="CF210">
        <f>'2012_2020 Int_Confianca'!CD54</f>
        <v>1.4E-3</v>
      </c>
      <c r="CG210">
        <f>'2012_2020 Int_Confianca'!CE54</f>
        <v>1.6999999999999999E-3</v>
      </c>
      <c r="CH210">
        <f>'2012_2020 Int_Confianca'!CF54</f>
        <v>1.6000000000000001E-3</v>
      </c>
      <c r="CI210">
        <f>'2012_2020 Int_Confianca'!CG54</f>
        <v>1.4E-3</v>
      </c>
      <c r="CJ210">
        <f>'2012_2020 Int_Confianca'!CH54</f>
        <v>1.1999999999999999E-3</v>
      </c>
      <c r="CK210">
        <f>'2012_2020 Int_Confianca'!CI54</f>
        <v>1.6000000000000001E-3</v>
      </c>
      <c r="CL210">
        <f>'2012_2020 Int_Confianca'!CJ54</f>
        <v>1.5E-3</v>
      </c>
      <c r="CM210">
        <f>'2012_2020 Int_Confianca'!CK54</f>
        <v>1.2999999999999999E-3</v>
      </c>
      <c r="CN210">
        <f>'2012_2020 Int_Confianca'!CL54</f>
        <v>1.6999999999999999E-3</v>
      </c>
      <c r="CO210">
        <f>'2012_2020 Int_Confianca'!CM54</f>
        <v>1.6999999999999999E-3</v>
      </c>
      <c r="CP210">
        <f>'2012_2020 Int_Confianca'!CN54</f>
        <v>1.4E-3</v>
      </c>
      <c r="CQ210">
        <f>'2012_2020 Int_Confianca'!CO54</f>
        <v>1.6999999999999999E-3</v>
      </c>
      <c r="CR210">
        <f>'2012_2020 Int_Confianca'!CP54</f>
        <v>2E-3</v>
      </c>
      <c r="CS210">
        <f>'2012_2020 Int_Confianca'!CQ54</f>
        <v>1.6999999999999999E-3</v>
      </c>
      <c r="CT210">
        <f>'2012_2020 Int_Confianca'!CR54</f>
        <v>1.6000000000000001E-3</v>
      </c>
      <c r="CU210">
        <f>'2012_2020 Int_Confianca'!CS54</f>
        <v>1.1000000000000001E-3</v>
      </c>
      <c r="CV210">
        <f>'2012_2020 Int_Confianca'!CT54</f>
        <v>1.6000000000000001E-3</v>
      </c>
      <c r="CW210">
        <f>'2012_2020 Int_Confianca'!CU54</f>
        <v>2.2000000000000001E-3</v>
      </c>
      <c r="CX210">
        <f>'2012_2020 Int_Confianca'!CV54</f>
        <v>2.5000000000000001E-3</v>
      </c>
    </row>
    <row r="211" spans="1:102" x14ac:dyDescent="0.2">
      <c r="A211" t="s">
        <v>5921</v>
      </c>
      <c r="B211" t="s">
        <v>218</v>
      </c>
      <c r="C211" t="s">
        <v>222</v>
      </c>
      <c r="D211">
        <f>'2012_2020 Int_Confianca'!B55</f>
        <v>9.1999999999999998E-3</v>
      </c>
      <c r="E211">
        <f>'2012_2020 Int_Confianca'!C55</f>
        <v>1.0200000000000001E-2</v>
      </c>
      <c r="F211">
        <f>'2012_2020 Int_Confianca'!D55</f>
        <v>9.9000000000000008E-3</v>
      </c>
      <c r="G211">
        <f>'2012_2020 Int_Confianca'!E55</f>
        <v>9.4000000000000004E-3</v>
      </c>
      <c r="H211">
        <f>'2012_2020 Int_Confianca'!F55</f>
        <v>8.3000000000000001E-3</v>
      </c>
      <c r="I211">
        <f>'2012_2020 Int_Confianca'!G55</f>
        <v>8.5000000000000006E-3</v>
      </c>
      <c r="J211">
        <f>'2012_2020 Int_Confianca'!H55</f>
        <v>7.9000000000000008E-3</v>
      </c>
      <c r="K211">
        <f>'2012_2020 Int_Confianca'!I55</f>
        <v>6.8999999999999999E-3</v>
      </c>
      <c r="L211">
        <f>'2012_2020 Int_Confianca'!J55</f>
        <v>7.3000000000000001E-3</v>
      </c>
      <c r="M211">
        <f>'2012_2020 Int_Confianca'!K55</f>
        <v>5.7000000000000002E-3</v>
      </c>
      <c r="N211">
        <f>'2012_2020 Int_Confianca'!L55</f>
        <v>5.3E-3</v>
      </c>
      <c r="O211">
        <f>'2012_2020 Int_Confianca'!M55</f>
        <v>4.8999999999999998E-3</v>
      </c>
      <c r="P211">
        <f>'2012_2020 Int_Confianca'!N55</f>
        <v>4.4999999999999997E-3</v>
      </c>
      <c r="Q211">
        <f>'2012_2020 Int_Confianca'!O55</f>
        <v>3.8E-3</v>
      </c>
      <c r="R211">
        <f>'2012_2020 Int_Confianca'!P55</f>
        <v>3.2000000000000002E-3</v>
      </c>
      <c r="S211">
        <f>'2012_2020 Int_Confianca'!Q55</f>
        <v>3.0000000000000001E-3</v>
      </c>
      <c r="T211">
        <f>'2012_2020 Int_Confianca'!R55</f>
        <v>2.5000000000000001E-3</v>
      </c>
      <c r="U211">
        <f>'2012_2020 Int_Confianca'!S55</f>
        <v>2.7000000000000001E-3</v>
      </c>
      <c r="V211">
        <f>'2012_2020 Int_Confianca'!T55</f>
        <v>2.3999999999999998E-3</v>
      </c>
      <c r="W211">
        <f>'2012_2020 Int_Confianca'!U55</f>
        <v>2.5000000000000001E-3</v>
      </c>
      <c r="X211">
        <f>'2012_2020 Int_Confianca'!V55</f>
        <v>2.3999999999999998E-3</v>
      </c>
      <c r="Y211">
        <f>'2012_2020 Int_Confianca'!W55</f>
        <v>2.3E-3</v>
      </c>
      <c r="Z211">
        <f>'2012_2020 Int_Confianca'!X55</f>
        <v>2.3999999999999998E-3</v>
      </c>
      <c r="AA211">
        <f>'2012_2020 Int_Confianca'!Y55</f>
        <v>2.3E-3</v>
      </c>
      <c r="AB211">
        <f>'2012_2020 Int_Confianca'!Z55</f>
        <v>2.3E-3</v>
      </c>
      <c r="AC211">
        <f>'2012_2020 Int_Confianca'!AA55</f>
        <v>2.2000000000000001E-3</v>
      </c>
      <c r="AD211">
        <f>'2012_2020 Int_Confianca'!AB55</f>
        <v>2.2000000000000001E-3</v>
      </c>
      <c r="AE211">
        <f>'2012_2020 Int_Confianca'!AC55</f>
        <v>2.0999999999999999E-3</v>
      </c>
      <c r="AF211">
        <f>'2012_2020 Int_Confianca'!AD55</f>
        <v>2.3E-3</v>
      </c>
      <c r="AG211">
        <f>'2012_2020 Int_Confianca'!AE55</f>
        <v>2.3E-3</v>
      </c>
      <c r="AH211">
        <f>'2012_2020 Int_Confianca'!AF55</f>
        <v>2.2000000000000001E-3</v>
      </c>
      <c r="AI211">
        <f>'2012_2020 Int_Confianca'!AG55</f>
        <v>2.2000000000000001E-3</v>
      </c>
      <c r="AJ211">
        <f>'2012_2020 Int_Confianca'!AH55</f>
        <v>2.3E-3</v>
      </c>
      <c r="AK211">
        <f>'2012_2020 Int_Confianca'!AI55</f>
        <v>2.2000000000000001E-3</v>
      </c>
      <c r="AL211">
        <f>'2012_2020 Int_Confianca'!AJ55</f>
        <v>2.3999999999999998E-3</v>
      </c>
      <c r="AM211">
        <f>'2012_2020 Int_Confianca'!AK55</f>
        <v>2.3999999999999998E-3</v>
      </c>
      <c r="AN211">
        <f>'2012_2020 Int_Confianca'!AL55</f>
        <v>2.3999999999999998E-3</v>
      </c>
      <c r="AO211">
        <f>'2012_2020 Int_Confianca'!AM55</f>
        <v>2.3999999999999998E-3</v>
      </c>
      <c r="AP211">
        <f>'2012_2020 Int_Confianca'!AN55</f>
        <v>2.3999999999999998E-3</v>
      </c>
      <c r="AQ211">
        <f>'2012_2020 Int_Confianca'!AO55</f>
        <v>2.5000000000000001E-3</v>
      </c>
      <c r="AR211">
        <f>'2012_2020 Int_Confianca'!AP55</f>
        <v>2.5000000000000001E-3</v>
      </c>
      <c r="AS211">
        <f>'2012_2020 Int_Confianca'!AQ55</f>
        <v>2.3E-3</v>
      </c>
      <c r="AT211">
        <f>'2012_2020 Int_Confianca'!AR55</f>
        <v>2.3999999999999998E-3</v>
      </c>
      <c r="AU211">
        <f>'2012_2020 Int_Confianca'!AS55</f>
        <v>2.3E-3</v>
      </c>
      <c r="AV211">
        <f>'2012_2020 Int_Confianca'!AT55</f>
        <v>2.2000000000000001E-3</v>
      </c>
      <c r="AW211">
        <f>'2012_2020 Int_Confianca'!AU55</f>
        <v>2.3E-3</v>
      </c>
      <c r="AX211">
        <f>'2012_2020 Int_Confianca'!AV55</f>
        <v>2.0999999999999999E-3</v>
      </c>
      <c r="AY211">
        <f>'2012_2020 Int_Confianca'!AW55</f>
        <v>2E-3</v>
      </c>
      <c r="AZ211">
        <f>'2012_2020 Int_Confianca'!AX55</f>
        <v>2.0999999999999999E-3</v>
      </c>
      <c r="BA211">
        <f>'2012_2020 Int_Confianca'!AY55</f>
        <v>2.0999999999999999E-3</v>
      </c>
      <c r="BB211">
        <f>'2012_2020 Int_Confianca'!AZ55</f>
        <v>2.0999999999999999E-3</v>
      </c>
      <c r="BC211">
        <f>'2012_2020 Int_Confianca'!BA55</f>
        <v>2.2000000000000001E-3</v>
      </c>
      <c r="BD211">
        <f>'2012_2020 Int_Confianca'!BB55</f>
        <v>2.3E-3</v>
      </c>
      <c r="BE211">
        <f>'2012_2020 Int_Confianca'!BC55</f>
        <v>2.3E-3</v>
      </c>
      <c r="BF211">
        <f>'2012_2020 Int_Confianca'!BD55</f>
        <v>2.2000000000000001E-3</v>
      </c>
      <c r="BG211">
        <f>'2012_2020 Int_Confianca'!BE55</f>
        <v>2.2000000000000001E-3</v>
      </c>
      <c r="BH211">
        <f>'2012_2020 Int_Confianca'!BF55</f>
        <v>2.0999999999999999E-3</v>
      </c>
      <c r="BI211">
        <f>'2012_2020 Int_Confianca'!BG55</f>
        <v>2.2000000000000001E-3</v>
      </c>
      <c r="BJ211">
        <f>'2012_2020 Int_Confianca'!BH55</f>
        <v>1.9E-3</v>
      </c>
      <c r="BK211">
        <f>'2012_2020 Int_Confianca'!BI55</f>
        <v>1.9E-3</v>
      </c>
      <c r="BL211">
        <f>'2012_2020 Int_Confianca'!BJ55</f>
        <v>1.8E-3</v>
      </c>
      <c r="BM211">
        <f>'2012_2020 Int_Confianca'!BK55</f>
        <v>1.9E-3</v>
      </c>
      <c r="BN211">
        <f>'2012_2020 Int_Confianca'!BL55</f>
        <v>2.0999999999999999E-3</v>
      </c>
      <c r="BO211">
        <f>'2012_2020 Int_Confianca'!BM55</f>
        <v>2E-3</v>
      </c>
      <c r="BP211">
        <f>'2012_2020 Int_Confianca'!BN55</f>
        <v>2E-3</v>
      </c>
      <c r="BQ211">
        <f>'2012_2020 Int_Confianca'!BO55</f>
        <v>1.9E-3</v>
      </c>
      <c r="BR211">
        <f>'2012_2020 Int_Confianca'!BP55</f>
        <v>2E-3</v>
      </c>
      <c r="BS211">
        <f>'2012_2020 Int_Confianca'!BQ55</f>
        <v>1.8E-3</v>
      </c>
      <c r="BT211">
        <f>'2012_2020 Int_Confianca'!BR55</f>
        <v>1.6999999999999999E-3</v>
      </c>
      <c r="BU211">
        <f>'2012_2020 Int_Confianca'!BS55</f>
        <v>1.6999999999999999E-3</v>
      </c>
      <c r="BV211">
        <f>'2012_2020 Int_Confianca'!BT55</f>
        <v>1.8E-3</v>
      </c>
      <c r="BW211">
        <f>'2012_2020 Int_Confianca'!BU55</f>
        <v>1.8E-3</v>
      </c>
      <c r="BX211">
        <f>'2012_2020 Int_Confianca'!BV55</f>
        <v>1.8E-3</v>
      </c>
      <c r="BY211">
        <f>'2012_2020 Int_Confianca'!BW55</f>
        <v>1.8E-3</v>
      </c>
      <c r="BZ211">
        <f>'2012_2020 Int_Confianca'!BX55</f>
        <v>1.8E-3</v>
      </c>
      <c r="CA211">
        <f>'2012_2020 Int_Confianca'!BY55</f>
        <v>1.6000000000000001E-3</v>
      </c>
      <c r="CB211">
        <f>'2012_2020 Int_Confianca'!BZ55</f>
        <v>1.6000000000000001E-3</v>
      </c>
      <c r="CC211">
        <f>'2012_2020 Int_Confianca'!CA55</f>
        <v>1.6999999999999999E-3</v>
      </c>
      <c r="CD211">
        <f>'2012_2020 Int_Confianca'!CB55</f>
        <v>1.6999999999999999E-3</v>
      </c>
      <c r="CE211">
        <f>'2012_2020 Int_Confianca'!CC55</f>
        <v>1.6999999999999999E-3</v>
      </c>
      <c r="CF211">
        <f>'2012_2020 Int_Confianca'!CD55</f>
        <v>1.6999999999999999E-3</v>
      </c>
      <c r="CG211">
        <f>'2012_2020 Int_Confianca'!CE55</f>
        <v>1.5E-3</v>
      </c>
      <c r="CH211">
        <f>'2012_2020 Int_Confianca'!CF55</f>
        <v>1.5E-3</v>
      </c>
      <c r="CI211">
        <f>'2012_2020 Int_Confianca'!CG55</f>
        <v>1.1999999999999999E-3</v>
      </c>
      <c r="CJ211">
        <f>'2012_2020 Int_Confianca'!CH55</f>
        <v>1.2999999999999999E-3</v>
      </c>
      <c r="CK211">
        <f>'2012_2020 Int_Confianca'!CI55</f>
        <v>1.6000000000000001E-3</v>
      </c>
      <c r="CL211">
        <f>'2012_2020 Int_Confianca'!CJ55</f>
        <v>1.4E-3</v>
      </c>
      <c r="CM211">
        <f>'2012_2020 Int_Confianca'!CK55</f>
        <v>1.1999999999999999E-3</v>
      </c>
      <c r="CN211">
        <f>'2012_2020 Int_Confianca'!CL55</f>
        <v>1.2999999999999999E-3</v>
      </c>
      <c r="CO211">
        <f>'2012_2020 Int_Confianca'!CM55</f>
        <v>1.1999999999999999E-3</v>
      </c>
      <c r="CP211">
        <f>'2012_2020 Int_Confianca'!CN55</f>
        <v>8.9999999999999998E-4</v>
      </c>
      <c r="CQ211">
        <f>'2012_2020 Int_Confianca'!CO55</f>
        <v>1.1999999999999999E-3</v>
      </c>
      <c r="CR211">
        <f>'2012_2020 Int_Confianca'!CP55</f>
        <v>1.1000000000000001E-3</v>
      </c>
      <c r="CS211">
        <f>'2012_2020 Int_Confianca'!CQ55</f>
        <v>6.9999999999999999E-4</v>
      </c>
      <c r="CT211">
        <f>'2012_2020 Int_Confianca'!CR55</f>
        <v>8.0000000000000004E-4</v>
      </c>
      <c r="CU211">
        <f>'2012_2020 Int_Confianca'!CS55</f>
        <v>2.9999999999999997E-4</v>
      </c>
      <c r="CV211">
        <f>'2012_2020 Int_Confianca'!CT55</f>
        <v>1E-4</v>
      </c>
      <c r="CW211">
        <f>'2012_2020 Int_Confianca'!CU55</f>
        <v>1E-4</v>
      </c>
      <c r="CX211">
        <f>'2012_2020 Int_Confianca'!CV55</f>
        <v>1E-4</v>
      </c>
    </row>
    <row r="212" spans="1:102" x14ac:dyDescent="0.2">
      <c r="A212" t="s">
        <v>5922</v>
      </c>
      <c r="B212" t="s">
        <v>218</v>
      </c>
      <c r="C212" t="s">
        <v>222</v>
      </c>
      <c r="D212">
        <f>'2012_2020 Int_Confianca'!B56</f>
        <v>1.5299999999999999E-2</v>
      </c>
      <c r="E212">
        <f>'2012_2020 Int_Confianca'!C56</f>
        <v>1.7299999999999999E-2</v>
      </c>
      <c r="F212">
        <f>'2012_2020 Int_Confianca'!D56</f>
        <v>1.6899999999999998E-2</v>
      </c>
      <c r="G212">
        <f>'2012_2020 Int_Confianca'!E56</f>
        <v>1.6199999999999999E-2</v>
      </c>
      <c r="H212">
        <f>'2012_2020 Int_Confianca'!F56</f>
        <v>1.44E-2</v>
      </c>
      <c r="I212">
        <f>'2012_2020 Int_Confianca'!G56</f>
        <v>1.49E-2</v>
      </c>
      <c r="J212">
        <f>'2012_2020 Int_Confianca'!H56</f>
        <v>1.41E-2</v>
      </c>
      <c r="K212">
        <f>'2012_2020 Int_Confianca'!I56</f>
        <v>1.2500000000000001E-2</v>
      </c>
      <c r="L212">
        <f>'2012_2020 Int_Confianca'!J56</f>
        <v>1.2999999999999999E-2</v>
      </c>
      <c r="M212">
        <f>'2012_2020 Int_Confianca'!K56</f>
        <v>1.0200000000000001E-2</v>
      </c>
      <c r="N212">
        <f>'2012_2020 Int_Confianca'!L56</f>
        <v>9.5999999999999992E-3</v>
      </c>
      <c r="O212">
        <f>'2012_2020 Int_Confianca'!M56</f>
        <v>8.9999999999999993E-3</v>
      </c>
      <c r="P212">
        <f>'2012_2020 Int_Confianca'!N56</f>
        <v>8.0999999999999996E-3</v>
      </c>
      <c r="Q212">
        <f>'2012_2020 Int_Confianca'!O56</f>
        <v>7.0000000000000001E-3</v>
      </c>
      <c r="R212">
        <f>'2012_2020 Int_Confianca'!P56</f>
        <v>5.8999999999999999E-3</v>
      </c>
      <c r="S212">
        <f>'2012_2020 Int_Confianca'!Q56</f>
        <v>5.4000000000000003E-3</v>
      </c>
      <c r="T212">
        <f>'2012_2020 Int_Confianca'!R56</f>
        <v>4.7000000000000002E-3</v>
      </c>
      <c r="U212">
        <f>'2012_2020 Int_Confianca'!S56</f>
        <v>4.8999999999999998E-3</v>
      </c>
      <c r="V212">
        <f>'2012_2020 Int_Confianca'!T56</f>
        <v>4.4000000000000003E-3</v>
      </c>
      <c r="W212">
        <f>'2012_2020 Int_Confianca'!U56</f>
        <v>4.5999999999999999E-3</v>
      </c>
      <c r="X212">
        <f>'2012_2020 Int_Confianca'!V56</f>
        <v>4.4000000000000003E-3</v>
      </c>
      <c r="Y212">
        <f>'2012_2020 Int_Confianca'!W56</f>
        <v>4.3E-3</v>
      </c>
      <c r="Z212">
        <f>'2012_2020 Int_Confianca'!X56</f>
        <v>4.4000000000000003E-3</v>
      </c>
      <c r="AA212">
        <f>'2012_2020 Int_Confianca'!Y56</f>
        <v>4.1999999999999997E-3</v>
      </c>
      <c r="AB212">
        <f>'2012_2020 Int_Confianca'!Z56</f>
        <v>4.3E-3</v>
      </c>
      <c r="AC212">
        <f>'2012_2020 Int_Confianca'!AA56</f>
        <v>4.1999999999999997E-3</v>
      </c>
      <c r="AD212">
        <f>'2012_2020 Int_Confianca'!AB56</f>
        <v>4.1000000000000003E-3</v>
      </c>
      <c r="AE212">
        <f>'2012_2020 Int_Confianca'!AC56</f>
        <v>3.8999999999999998E-3</v>
      </c>
      <c r="AF212">
        <f>'2012_2020 Int_Confianca'!AD56</f>
        <v>4.1999999999999997E-3</v>
      </c>
      <c r="AG212">
        <f>'2012_2020 Int_Confianca'!AE56</f>
        <v>4.1999999999999997E-3</v>
      </c>
      <c r="AH212">
        <f>'2012_2020 Int_Confianca'!AF56</f>
        <v>4.0000000000000001E-3</v>
      </c>
      <c r="AI212">
        <f>'2012_2020 Int_Confianca'!AG56</f>
        <v>4.1000000000000003E-3</v>
      </c>
      <c r="AJ212">
        <f>'2012_2020 Int_Confianca'!AH56</f>
        <v>4.1999999999999997E-3</v>
      </c>
      <c r="AK212">
        <f>'2012_2020 Int_Confianca'!AI56</f>
        <v>4.1999999999999997E-3</v>
      </c>
      <c r="AL212">
        <f>'2012_2020 Int_Confianca'!AJ56</f>
        <v>4.4000000000000003E-3</v>
      </c>
      <c r="AM212">
        <f>'2012_2020 Int_Confianca'!AK56</f>
        <v>4.3E-3</v>
      </c>
      <c r="AN212">
        <f>'2012_2020 Int_Confianca'!AL56</f>
        <v>4.4000000000000003E-3</v>
      </c>
      <c r="AO212">
        <f>'2012_2020 Int_Confianca'!AM56</f>
        <v>4.4999999999999997E-3</v>
      </c>
      <c r="AP212">
        <f>'2012_2020 Int_Confianca'!AN56</f>
        <v>4.4000000000000003E-3</v>
      </c>
      <c r="AQ212">
        <f>'2012_2020 Int_Confianca'!AO56</f>
        <v>4.4999999999999997E-3</v>
      </c>
      <c r="AR212">
        <f>'2012_2020 Int_Confianca'!AP56</f>
        <v>4.4999999999999997E-3</v>
      </c>
      <c r="AS212">
        <f>'2012_2020 Int_Confianca'!AQ56</f>
        <v>4.3E-3</v>
      </c>
      <c r="AT212">
        <f>'2012_2020 Int_Confianca'!AR56</f>
        <v>4.4000000000000003E-3</v>
      </c>
      <c r="AU212">
        <f>'2012_2020 Int_Confianca'!AS56</f>
        <v>4.3E-3</v>
      </c>
      <c r="AV212">
        <f>'2012_2020 Int_Confianca'!AT56</f>
        <v>4.1000000000000003E-3</v>
      </c>
      <c r="AW212">
        <f>'2012_2020 Int_Confianca'!AU56</f>
        <v>4.1000000000000003E-3</v>
      </c>
      <c r="AX212">
        <f>'2012_2020 Int_Confianca'!AV56</f>
        <v>3.8999999999999998E-3</v>
      </c>
      <c r="AY212">
        <f>'2012_2020 Int_Confianca'!AW56</f>
        <v>3.7000000000000002E-3</v>
      </c>
      <c r="AZ212">
        <f>'2012_2020 Int_Confianca'!AX56</f>
        <v>3.7000000000000002E-3</v>
      </c>
      <c r="BA212">
        <f>'2012_2020 Int_Confianca'!AY56</f>
        <v>3.8E-3</v>
      </c>
      <c r="BB212">
        <f>'2012_2020 Int_Confianca'!AZ56</f>
        <v>3.8E-3</v>
      </c>
      <c r="BC212">
        <f>'2012_2020 Int_Confianca'!BA56</f>
        <v>3.8999999999999998E-3</v>
      </c>
      <c r="BD212">
        <f>'2012_2020 Int_Confianca'!BB56</f>
        <v>4.1000000000000003E-3</v>
      </c>
      <c r="BE212">
        <f>'2012_2020 Int_Confianca'!BC56</f>
        <v>4.1000000000000003E-3</v>
      </c>
      <c r="BF212">
        <f>'2012_2020 Int_Confianca'!BD56</f>
        <v>3.8999999999999998E-3</v>
      </c>
      <c r="BG212">
        <f>'2012_2020 Int_Confianca'!BE56</f>
        <v>3.8999999999999998E-3</v>
      </c>
      <c r="BH212">
        <f>'2012_2020 Int_Confianca'!BF56</f>
        <v>3.8E-3</v>
      </c>
      <c r="BI212">
        <f>'2012_2020 Int_Confianca'!BG56</f>
        <v>3.8E-3</v>
      </c>
      <c r="BJ212">
        <f>'2012_2020 Int_Confianca'!BH56</f>
        <v>3.3999999999999998E-3</v>
      </c>
      <c r="BK212">
        <f>'2012_2020 Int_Confianca'!BI56</f>
        <v>3.3E-3</v>
      </c>
      <c r="BL212">
        <f>'2012_2020 Int_Confianca'!BJ56</f>
        <v>3.3E-3</v>
      </c>
      <c r="BM212">
        <f>'2012_2020 Int_Confianca'!BK56</f>
        <v>3.3E-3</v>
      </c>
      <c r="BN212">
        <f>'2012_2020 Int_Confianca'!BL56</f>
        <v>3.5000000000000001E-3</v>
      </c>
      <c r="BO212">
        <f>'2012_2020 Int_Confianca'!BM56</f>
        <v>3.3999999999999998E-3</v>
      </c>
      <c r="BP212">
        <f>'2012_2020 Int_Confianca'!BN56</f>
        <v>3.3999999999999998E-3</v>
      </c>
      <c r="BQ212">
        <f>'2012_2020 Int_Confianca'!BO56</f>
        <v>3.3E-3</v>
      </c>
      <c r="BR212">
        <f>'2012_2020 Int_Confianca'!BP56</f>
        <v>3.3E-3</v>
      </c>
      <c r="BS212">
        <f>'2012_2020 Int_Confianca'!BQ56</f>
        <v>3.0999999999999999E-3</v>
      </c>
      <c r="BT212">
        <f>'2012_2020 Int_Confianca'!BR56</f>
        <v>2.8999999999999998E-3</v>
      </c>
      <c r="BU212">
        <f>'2012_2020 Int_Confianca'!BS56</f>
        <v>2.8E-3</v>
      </c>
      <c r="BV212">
        <f>'2012_2020 Int_Confianca'!BT56</f>
        <v>3.0999999999999999E-3</v>
      </c>
      <c r="BW212">
        <f>'2012_2020 Int_Confianca'!BU56</f>
        <v>3.0999999999999999E-3</v>
      </c>
      <c r="BX212">
        <f>'2012_2020 Int_Confianca'!BV56</f>
        <v>3.0999999999999999E-3</v>
      </c>
      <c r="BY212">
        <f>'2012_2020 Int_Confianca'!BW56</f>
        <v>3.0000000000000001E-3</v>
      </c>
      <c r="BZ212">
        <f>'2012_2020 Int_Confianca'!BX56</f>
        <v>3.0000000000000001E-3</v>
      </c>
      <c r="CA212">
        <f>'2012_2020 Int_Confianca'!BY56</f>
        <v>2.7000000000000001E-3</v>
      </c>
      <c r="CB212">
        <f>'2012_2020 Int_Confianca'!BZ56</f>
        <v>2.5999999999999999E-3</v>
      </c>
      <c r="CC212">
        <f>'2012_2020 Int_Confianca'!CA56</f>
        <v>2.7000000000000001E-3</v>
      </c>
      <c r="CD212">
        <f>'2012_2020 Int_Confianca'!CB56</f>
        <v>2.8E-3</v>
      </c>
      <c r="CE212">
        <f>'2012_2020 Int_Confianca'!CC56</f>
        <v>2.8E-3</v>
      </c>
      <c r="CF212">
        <f>'2012_2020 Int_Confianca'!CD56</f>
        <v>2.8E-3</v>
      </c>
      <c r="CG212">
        <f>'2012_2020 Int_Confianca'!CE56</f>
        <v>2.5000000000000001E-3</v>
      </c>
      <c r="CH212">
        <f>'2012_2020 Int_Confianca'!CF56</f>
        <v>2.3999999999999998E-3</v>
      </c>
      <c r="CI212">
        <f>'2012_2020 Int_Confianca'!CG56</f>
        <v>2E-3</v>
      </c>
      <c r="CJ212">
        <f>'2012_2020 Int_Confianca'!CH56</f>
        <v>2.2000000000000001E-3</v>
      </c>
      <c r="CK212">
        <f>'2012_2020 Int_Confianca'!CI56</f>
        <v>2.7000000000000001E-3</v>
      </c>
      <c r="CL212">
        <f>'2012_2020 Int_Confianca'!CJ56</f>
        <v>2.5000000000000001E-3</v>
      </c>
      <c r="CM212">
        <f>'2012_2020 Int_Confianca'!CK56</f>
        <v>2.2000000000000001E-3</v>
      </c>
      <c r="CN212">
        <f>'2012_2020 Int_Confianca'!CL56</f>
        <v>2.3999999999999998E-3</v>
      </c>
      <c r="CO212">
        <f>'2012_2020 Int_Confianca'!CM56</f>
        <v>2.2000000000000001E-3</v>
      </c>
      <c r="CP212">
        <f>'2012_2020 Int_Confianca'!CN56</f>
        <v>1.8E-3</v>
      </c>
      <c r="CQ212">
        <f>'2012_2020 Int_Confianca'!CO56</f>
        <v>2.3999999999999998E-3</v>
      </c>
      <c r="CR212">
        <f>'2012_2020 Int_Confianca'!CP56</f>
        <v>2.3999999999999998E-3</v>
      </c>
      <c r="CS212">
        <f>'2012_2020 Int_Confianca'!CQ56</f>
        <v>1.8E-3</v>
      </c>
      <c r="CT212">
        <f>'2012_2020 Int_Confianca'!CR56</f>
        <v>2.3E-3</v>
      </c>
      <c r="CU212">
        <f>'2012_2020 Int_Confianca'!CS56</f>
        <v>1.5E-3</v>
      </c>
      <c r="CV212">
        <f>'2012_2020 Int_Confianca'!CT56</f>
        <v>1.5E-3</v>
      </c>
      <c r="CW212">
        <f>'2012_2020 Int_Confianca'!CU56</f>
        <v>1.5E-3</v>
      </c>
      <c r="CX212">
        <f>'2012_2020 Int_Confianca'!CV56</f>
        <v>1.8E-3</v>
      </c>
    </row>
    <row r="213" spans="1:102" x14ac:dyDescent="0.2">
      <c r="A213" t="s">
        <v>5923</v>
      </c>
      <c r="B213" t="s">
        <v>218</v>
      </c>
      <c r="C213" t="s">
        <v>222</v>
      </c>
      <c r="D213">
        <f>'2012_2020 Int_Confianca'!B57</f>
        <v>2.1299999999999999E-2</v>
      </c>
      <c r="E213">
        <f>'2012_2020 Int_Confianca'!C57</f>
        <v>2.69E-2</v>
      </c>
      <c r="F213">
        <f>'2012_2020 Int_Confianca'!D57</f>
        <v>2.58E-2</v>
      </c>
      <c r="G213">
        <f>'2012_2020 Int_Confianca'!E57</f>
        <v>2.64E-2</v>
      </c>
      <c r="H213">
        <f>'2012_2020 Int_Confianca'!F57</f>
        <v>2.3199999999999998E-2</v>
      </c>
      <c r="I213">
        <f>'2012_2020 Int_Confianca'!G57</f>
        <v>2.3400000000000001E-2</v>
      </c>
      <c r="J213">
        <f>'2012_2020 Int_Confianca'!H57</f>
        <v>2.1100000000000001E-2</v>
      </c>
      <c r="K213">
        <f>'2012_2020 Int_Confianca'!I57</f>
        <v>1.8700000000000001E-2</v>
      </c>
      <c r="L213">
        <f>'2012_2020 Int_Confianca'!J57</f>
        <v>1.77E-2</v>
      </c>
      <c r="M213">
        <f>'2012_2020 Int_Confianca'!K57</f>
        <v>1.35E-2</v>
      </c>
      <c r="N213">
        <f>'2012_2020 Int_Confianca'!L57</f>
        <v>1.2699999999999999E-2</v>
      </c>
      <c r="O213">
        <f>'2012_2020 Int_Confianca'!M57</f>
        <v>1.17E-2</v>
      </c>
      <c r="P213">
        <f>'2012_2020 Int_Confianca'!N57</f>
        <v>1.03E-2</v>
      </c>
      <c r="Q213">
        <f>'2012_2020 Int_Confianca'!O57</f>
        <v>8.8000000000000005E-3</v>
      </c>
      <c r="R213">
        <f>'2012_2020 Int_Confianca'!P57</f>
        <v>6.7999999999999996E-3</v>
      </c>
      <c r="S213">
        <f>'2012_2020 Int_Confianca'!Q57</f>
        <v>6.3E-3</v>
      </c>
      <c r="T213">
        <f>'2012_2020 Int_Confianca'!R57</f>
        <v>5.5999999999999999E-3</v>
      </c>
      <c r="U213">
        <f>'2012_2020 Int_Confianca'!S57</f>
        <v>5.4000000000000003E-3</v>
      </c>
      <c r="V213">
        <f>'2012_2020 Int_Confianca'!T57</f>
        <v>4.5999999999999999E-3</v>
      </c>
      <c r="W213">
        <f>'2012_2020 Int_Confianca'!U57</f>
        <v>4.1999999999999997E-3</v>
      </c>
      <c r="X213">
        <f>'2012_2020 Int_Confianca'!V57</f>
        <v>4.1000000000000003E-3</v>
      </c>
      <c r="Y213">
        <f>'2012_2020 Int_Confianca'!W57</f>
        <v>4.0000000000000001E-3</v>
      </c>
      <c r="Z213">
        <f>'2012_2020 Int_Confianca'!X57</f>
        <v>4.1000000000000003E-3</v>
      </c>
      <c r="AA213">
        <f>'2012_2020 Int_Confianca'!Y57</f>
        <v>4.0000000000000001E-3</v>
      </c>
      <c r="AB213">
        <f>'2012_2020 Int_Confianca'!Z57</f>
        <v>4.0000000000000001E-3</v>
      </c>
      <c r="AC213">
        <f>'2012_2020 Int_Confianca'!AA57</f>
        <v>3.8E-3</v>
      </c>
      <c r="AD213">
        <f>'2012_2020 Int_Confianca'!AB57</f>
        <v>3.8E-3</v>
      </c>
      <c r="AE213">
        <f>'2012_2020 Int_Confianca'!AC57</f>
        <v>3.7000000000000002E-3</v>
      </c>
      <c r="AF213">
        <f>'2012_2020 Int_Confianca'!AD57</f>
        <v>3.8E-3</v>
      </c>
      <c r="AG213">
        <f>'2012_2020 Int_Confianca'!AE57</f>
        <v>3.8999999999999998E-3</v>
      </c>
      <c r="AH213">
        <f>'2012_2020 Int_Confianca'!AF57</f>
        <v>3.8E-3</v>
      </c>
      <c r="AI213">
        <f>'2012_2020 Int_Confianca'!AG57</f>
        <v>3.8E-3</v>
      </c>
      <c r="AJ213">
        <f>'2012_2020 Int_Confianca'!AH57</f>
        <v>3.8E-3</v>
      </c>
      <c r="AK213">
        <f>'2012_2020 Int_Confianca'!AI57</f>
        <v>4.0000000000000001E-3</v>
      </c>
      <c r="AL213">
        <f>'2012_2020 Int_Confianca'!AJ57</f>
        <v>3.8999999999999998E-3</v>
      </c>
      <c r="AM213">
        <f>'2012_2020 Int_Confianca'!AK57</f>
        <v>3.7000000000000002E-3</v>
      </c>
      <c r="AN213">
        <f>'2012_2020 Int_Confianca'!AL57</f>
        <v>3.5000000000000001E-3</v>
      </c>
      <c r="AO213">
        <f>'2012_2020 Int_Confianca'!AM57</f>
        <v>3.3999999999999998E-3</v>
      </c>
      <c r="AP213">
        <f>'2012_2020 Int_Confianca'!AN57</f>
        <v>3.3999999999999998E-3</v>
      </c>
      <c r="AQ213">
        <f>'2012_2020 Int_Confianca'!AO57</f>
        <v>3.5000000000000001E-3</v>
      </c>
      <c r="AR213">
        <f>'2012_2020 Int_Confianca'!AP57</f>
        <v>3.5999999999999999E-3</v>
      </c>
      <c r="AS213">
        <f>'2012_2020 Int_Confianca'!AQ57</f>
        <v>3.3999999999999998E-3</v>
      </c>
      <c r="AT213">
        <f>'2012_2020 Int_Confianca'!AR57</f>
        <v>3.3999999999999998E-3</v>
      </c>
      <c r="AU213">
        <f>'2012_2020 Int_Confianca'!AS57</f>
        <v>3.3E-3</v>
      </c>
      <c r="AV213">
        <f>'2012_2020 Int_Confianca'!AT57</f>
        <v>2.8999999999999998E-3</v>
      </c>
      <c r="AW213">
        <f>'2012_2020 Int_Confianca'!AU57</f>
        <v>2.8999999999999998E-3</v>
      </c>
      <c r="AX213">
        <f>'2012_2020 Int_Confianca'!AV57</f>
        <v>3.0000000000000001E-3</v>
      </c>
      <c r="AY213">
        <f>'2012_2020 Int_Confianca'!AW57</f>
        <v>3.3E-3</v>
      </c>
      <c r="AZ213">
        <f>'2012_2020 Int_Confianca'!AX57</f>
        <v>3.0999999999999999E-3</v>
      </c>
      <c r="BA213">
        <f>'2012_2020 Int_Confianca'!AY57</f>
        <v>3.0999999999999999E-3</v>
      </c>
      <c r="BB213">
        <f>'2012_2020 Int_Confianca'!AZ57</f>
        <v>3.0000000000000001E-3</v>
      </c>
      <c r="BC213">
        <f>'2012_2020 Int_Confianca'!BA57</f>
        <v>3.0999999999999999E-3</v>
      </c>
      <c r="BD213">
        <f>'2012_2020 Int_Confianca'!BB57</f>
        <v>3.2000000000000002E-3</v>
      </c>
      <c r="BE213">
        <f>'2012_2020 Int_Confianca'!BC57</f>
        <v>3.3E-3</v>
      </c>
      <c r="BF213">
        <f>'2012_2020 Int_Confianca'!BD57</f>
        <v>3.5000000000000001E-3</v>
      </c>
      <c r="BG213">
        <f>'2012_2020 Int_Confianca'!BE57</f>
        <v>3.5000000000000001E-3</v>
      </c>
      <c r="BH213">
        <f>'2012_2020 Int_Confianca'!BF57</f>
        <v>3.2000000000000002E-3</v>
      </c>
      <c r="BI213">
        <f>'2012_2020 Int_Confianca'!BG57</f>
        <v>3.0000000000000001E-3</v>
      </c>
      <c r="BJ213">
        <f>'2012_2020 Int_Confianca'!BH57</f>
        <v>3.0999999999999999E-3</v>
      </c>
      <c r="BK213">
        <f>'2012_2020 Int_Confianca'!BI57</f>
        <v>3.2000000000000002E-3</v>
      </c>
      <c r="BL213">
        <f>'2012_2020 Int_Confianca'!BJ57</f>
        <v>3.0999999999999999E-3</v>
      </c>
      <c r="BM213">
        <f>'2012_2020 Int_Confianca'!BK57</f>
        <v>3.0000000000000001E-3</v>
      </c>
      <c r="BN213">
        <f>'2012_2020 Int_Confianca'!BL57</f>
        <v>3.2000000000000002E-3</v>
      </c>
      <c r="BO213">
        <f>'2012_2020 Int_Confianca'!BM57</f>
        <v>3.0000000000000001E-3</v>
      </c>
      <c r="BP213">
        <f>'2012_2020 Int_Confianca'!BN57</f>
        <v>2.8999999999999998E-3</v>
      </c>
      <c r="BQ213">
        <f>'2012_2020 Int_Confianca'!BO57</f>
        <v>2.5000000000000001E-3</v>
      </c>
      <c r="BR213">
        <f>'2012_2020 Int_Confianca'!BP57</f>
        <v>2.5000000000000001E-3</v>
      </c>
      <c r="BS213">
        <f>'2012_2020 Int_Confianca'!BQ57</f>
        <v>2.5000000000000001E-3</v>
      </c>
      <c r="BT213">
        <f>'2012_2020 Int_Confianca'!BR57</f>
        <v>2.5000000000000001E-3</v>
      </c>
      <c r="BU213">
        <f>'2012_2020 Int_Confianca'!BS57</f>
        <v>2.0999999999999999E-3</v>
      </c>
      <c r="BV213">
        <f>'2012_2020 Int_Confianca'!BT57</f>
        <v>1.6000000000000001E-3</v>
      </c>
      <c r="BW213">
        <f>'2012_2020 Int_Confianca'!BU57</f>
        <v>1.4E-3</v>
      </c>
      <c r="BX213">
        <f>'2012_2020 Int_Confianca'!BV57</f>
        <v>8.9999999999999998E-4</v>
      </c>
      <c r="BY213">
        <f>'2012_2020 Int_Confianca'!BW57</f>
        <v>1.1000000000000001E-3</v>
      </c>
      <c r="BZ213">
        <f>'2012_2020 Int_Confianca'!BX57</f>
        <v>5.0000000000000001E-4</v>
      </c>
      <c r="CA213">
        <f>'2012_2020 Int_Confianca'!BY57</f>
        <v>5.0000000000000001E-4</v>
      </c>
      <c r="CB213">
        <f>'2012_2020 Int_Confianca'!BZ57</f>
        <v>6.9999999999999999E-4</v>
      </c>
      <c r="CC213">
        <f>'2012_2020 Int_Confianca'!CA57</f>
        <v>2.0000000000000001E-4</v>
      </c>
      <c r="CD213">
        <f>'2012_2020 Int_Confianca'!CB57</f>
        <v>-2.9999999999999997E-4</v>
      </c>
      <c r="CE213">
        <f>'2012_2020 Int_Confianca'!CC57</f>
        <v>-1.6999999999999999E-3</v>
      </c>
      <c r="CF213">
        <f>'2012_2020 Int_Confianca'!CD57</f>
        <v>-2.2000000000000001E-3</v>
      </c>
      <c r="CG213">
        <f>'2012_2020 Int_Confianca'!CE57</f>
        <v>-2E-3</v>
      </c>
      <c r="CH213">
        <f>'2012_2020 Int_Confianca'!CF57</f>
        <v>-2.3999999999999998E-3</v>
      </c>
      <c r="CI213">
        <f>'2012_2020 Int_Confianca'!CG57</f>
        <v>-2E-3</v>
      </c>
      <c r="CJ213">
        <f>'2012_2020 Int_Confianca'!CH57</f>
        <v>-2.8E-3</v>
      </c>
      <c r="CK213">
        <f>'2012_2020 Int_Confianca'!CI57</f>
        <v>-4.8999999999999998E-3</v>
      </c>
      <c r="CL213">
        <f>'2012_2020 Int_Confianca'!CJ57</f>
        <v>-6.3E-3</v>
      </c>
      <c r="CM213">
        <f>'2012_2020 Int_Confianca'!CK57</f>
        <v>-6.7999999999999996E-3</v>
      </c>
      <c r="CN213">
        <f>'2012_2020 Int_Confianca'!CL57</f>
        <v>-8.3999999999999995E-3</v>
      </c>
      <c r="CO213">
        <f>'2012_2020 Int_Confianca'!CM57</f>
        <v>-8.8999999999999999E-3</v>
      </c>
      <c r="CP213">
        <f>'2012_2020 Int_Confianca'!CN57</f>
        <v>-8.6E-3</v>
      </c>
      <c r="CQ213">
        <f>'2012_2020 Int_Confianca'!CO57</f>
        <v>-1.06E-2</v>
      </c>
      <c r="CR213">
        <f>'2012_2020 Int_Confianca'!CP57</f>
        <v>-1.2800000000000001E-2</v>
      </c>
      <c r="CS213">
        <f>'2012_2020 Int_Confianca'!CQ57</f>
        <v>-1.18E-2</v>
      </c>
      <c r="CT213">
        <f>'2012_2020 Int_Confianca'!CR57</f>
        <v>-1.4200000000000001E-2</v>
      </c>
      <c r="CU213">
        <f>'2012_2020 Int_Confianca'!CS57</f>
        <v>-1.2500000000000001E-2</v>
      </c>
      <c r="CV213">
        <f>'2012_2020 Int_Confianca'!CT57</f>
        <v>-1.5699999999999999E-2</v>
      </c>
      <c r="CW213">
        <f>'2012_2020 Int_Confianca'!CU57</f>
        <v>-1.9E-2</v>
      </c>
      <c r="CX213">
        <f>'2012_2020 Int_Confianca'!CV57</f>
        <v>-2.0899999999999998E-2</v>
      </c>
    </row>
    <row r="214" spans="1:102" x14ac:dyDescent="0.2">
      <c r="A214" t="s">
        <v>5924</v>
      </c>
      <c r="B214" t="s">
        <v>218</v>
      </c>
      <c r="C214" t="s">
        <v>222</v>
      </c>
      <c r="D214">
        <f>'2012_2020 Int_Confianca'!B58</f>
        <v>2.9700000000000001E-2</v>
      </c>
      <c r="E214">
        <f>'2012_2020 Int_Confianca'!C58</f>
        <v>3.56E-2</v>
      </c>
      <c r="F214">
        <f>'2012_2020 Int_Confianca'!D58</f>
        <v>3.3500000000000002E-2</v>
      </c>
      <c r="G214">
        <f>'2012_2020 Int_Confianca'!E58</f>
        <v>3.3700000000000001E-2</v>
      </c>
      <c r="H214">
        <f>'2012_2020 Int_Confianca'!F58</f>
        <v>2.9700000000000001E-2</v>
      </c>
      <c r="I214">
        <f>'2012_2020 Int_Confianca'!G58</f>
        <v>0.03</v>
      </c>
      <c r="J214">
        <f>'2012_2020 Int_Confianca'!H58</f>
        <v>2.7400000000000001E-2</v>
      </c>
      <c r="K214">
        <f>'2012_2020 Int_Confianca'!I58</f>
        <v>2.46E-2</v>
      </c>
      <c r="L214">
        <f>'2012_2020 Int_Confianca'!J58</f>
        <v>2.3599999999999999E-2</v>
      </c>
      <c r="M214">
        <f>'2012_2020 Int_Confianca'!K58</f>
        <v>1.8200000000000001E-2</v>
      </c>
      <c r="N214">
        <f>'2012_2020 Int_Confianca'!L58</f>
        <v>1.7100000000000001E-2</v>
      </c>
      <c r="O214">
        <f>'2012_2020 Int_Confianca'!M58</f>
        <v>1.5900000000000001E-2</v>
      </c>
      <c r="P214">
        <f>'2012_2020 Int_Confianca'!N58</f>
        <v>1.41E-2</v>
      </c>
      <c r="Q214">
        <f>'2012_2020 Int_Confianca'!O58</f>
        <v>1.23E-2</v>
      </c>
      <c r="R214">
        <f>'2012_2020 Int_Confianca'!P58</f>
        <v>9.7000000000000003E-3</v>
      </c>
      <c r="S214">
        <f>'2012_2020 Int_Confianca'!Q58</f>
        <v>8.8999999999999999E-3</v>
      </c>
      <c r="T214">
        <f>'2012_2020 Int_Confianca'!R58</f>
        <v>8.2000000000000007E-3</v>
      </c>
      <c r="U214">
        <f>'2012_2020 Int_Confianca'!S58</f>
        <v>7.7999999999999996E-3</v>
      </c>
      <c r="V214">
        <f>'2012_2020 Int_Confianca'!T58</f>
        <v>7.0000000000000001E-3</v>
      </c>
      <c r="W214">
        <f>'2012_2020 Int_Confianca'!U58</f>
        <v>6.6E-3</v>
      </c>
      <c r="X214">
        <f>'2012_2020 Int_Confianca'!V58</f>
        <v>6.4000000000000003E-3</v>
      </c>
      <c r="Y214">
        <f>'2012_2020 Int_Confianca'!W58</f>
        <v>6.3E-3</v>
      </c>
      <c r="Z214">
        <f>'2012_2020 Int_Confianca'!X58</f>
        <v>6.3E-3</v>
      </c>
      <c r="AA214">
        <f>'2012_2020 Int_Confianca'!Y58</f>
        <v>6.1999999999999998E-3</v>
      </c>
      <c r="AB214">
        <f>'2012_2020 Int_Confianca'!Z58</f>
        <v>6.1999999999999998E-3</v>
      </c>
      <c r="AC214">
        <f>'2012_2020 Int_Confianca'!AA58</f>
        <v>6.0000000000000001E-3</v>
      </c>
      <c r="AD214">
        <f>'2012_2020 Int_Confianca'!AB58</f>
        <v>6.0000000000000001E-3</v>
      </c>
      <c r="AE214">
        <f>'2012_2020 Int_Confianca'!AC58</f>
        <v>5.8999999999999999E-3</v>
      </c>
      <c r="AF214">
        <f>'2012_2020 Int_Confianca'!AD58</f>
        <v>5.8999999999999999E-3</v>
      </c>
      <c r="AG214">
        <f>'2012_2020 Int_Confianca'!AE58</f>
        <v>5.8999999999999999E-3</v>
      </c>
      <c r="AH214">
        <f>'2012_2020 Int_Confianca'!AF58</f>
        <v>5.8999999999999999E-3</v>
      </c>
      <c r="AI214">
        <f>'2012_2020 Int_Confianca'!AG58</f>
        <v>5.7999999999999996E-3</v>
      </c>
      <c r="AJ214">
        <f>'2012_2020 Int_Confianca'!AH58</f>
        <v>5.7000000000000002E-3</v>
      </c>
      <c r="AK214">
        <f>'2012_2020 Int_Confianca'!AI58</f>
        <v>6.0000000000000001E-3</v>
      </c>
      <c r="AL214">
        <f>'2012_2020 Int_Confianca'!AJ58</f>
        <v>5.8999999999999999E-3</v>
      </c>
      <c r="AM214">
        <f>'2012_2020 Int_Confianca'!AK58</f>
        <v>5.7999999999999996E-3</v>
      </c>
      <c r="AN214">
        <f>'2012_2020 Int_Confianca'!AL58</f>
        <v>5.7000000000000002E-3</v>
      </c>
      <c r="AO214">
        <f>'2012_2020 Int_Confianca'!AM58</f>
        <v>5.5999999999999999E-3</v>
      </c>
      <c r="AP214">
        <f>'2012_2020 Int_Confianca'!AN58</f>
        <v>5.7000000000000002E-3</v>
      </c>
      <c r="AQ214">
        <f>'2012_2020 Int_Confianca'!AO58</f>
        <v>5.7999999999999996E-3</v>
      </c>
      <c r="AR214">
        <f>'2012_2020 Int_Confianca'!AP58</f>
        <v>5.7999999999999996E-3</v>
      </c>
      <c r="AS214">
        <f>'2012_2020 Int_Confianca'!AQ58</f>
        <v>5.7000000000000002E-3</v>
      </c>
      <c r="AT214">
        <f>'2012_2020 Int_Confianca'!AR58</f>
        <v>5.7999999999999996E-3</v>
      </c>
      <c r="AU214">
        <f>'2012_2020 Int_Confianca'!AS58</f>
        <v>5.5999999999999999E-3</v>
      </c>
      <c r="AV214">
        <f>'2012_2020 Int_Confianca'!AT58</f>
        <v>5.1999999999999998E-3</v>
      </c>
      <c r="AW214">
        <f>'2012_2020 Int_Confianca'!AU58</f>
        <v>5.1999999999999998E-3</v>
      </c>
      <c r="AX214">
        <f>'2012_2020 Int_Confianca'!AV58</f>
        <v>5.3E-3</v>
      </c>
      <c r="AY214">
        <f>'2012_2020 Int_Confianca'!AW58</f>
        <v>5.4999999999999997E-3</v>
      </c>
      <c r="AZ214">
        <f>'2012_2020 Int_Confianca'!AX58</f>
        <v>5.1999999999999998E-3</v>
      </c>
      <c r="BA214">
        <f>'2012_2020 Int_Confianca'!AY58</f>
        <v>5.3E-3</v>
      </c>
      <c r="BB214">
        <f>'2012_2020 Int_Confianca'!AZ58</f>
        <v>5.3E-3</v>
      </c>
      <c r="BC214">
        <f>'2012_2020 Int_Confianca'!BA58</f>
        <v>5.4000000000000003E-3</v>
      </c>
      <c r="BD214">
        <f>'2012_2020 Int_Confianca'!BB58</f>
        <v>5.5999999999999999E-3</v>
      </c>
      <c r="BE214">
        <f>'2012_2020 Int_Confianca'!BC58</f>
        <v>5.7000000000000002E-3</v>
      </c>
      <c r="BF214">
        <f>'2012_2020 Int_Confianca'!BD58</f>
        <v>6.0000000000000001E-3</v>
      </c>
      <c r="BG214">
        <f>'2012_2020 Int_Confianca'!BE58</f>
        <v>6.0000000000000001E-3</v>
      </c>
      <c r="BH214">
        <f>'2012_2020 Int_Confianca'!BF58</f>
        <v>5.5999999999999999E-3</v>
      </c>
      <c r="BI214">
        <f>'2012_2020 Int_Confianca'!BG58</f>
        <v>5.3E-3</v>
      </c>
      <c r="BJ214">
        <f>'2012_2020 Int_Confianca'!BH58</f>
        <v>5.4000000000000003E-3</v>
      </c>
      <c r="BK214">
        <f>'2012_2020 Int_Confianca'!BI58</f>
        <v>5.4999999999999997E-3</v>
      </c>
      <c r="BL214">
        <f>'2012_2020 Int_Confianca'!BJ58</f>
        <v>5.4000000000000003E-3</v>
      </c>
      <c r="BM214">
        <f>'2012_2020 Int_Confianca'!BK58</f>
        <v>5.3E-3</v>
      </c>
      <c r="BN214">
        <f>'2012_2020 Int_Confianca'!BL58</f>
        <v>5.5999999999999999E-3</v>
      </c>
      <c r="BO214">
        <f>'2012_2020 Int_Confianca'!BM58</f>
        <v>5.4999999999999997E-3</v>
      </c>
      <c r="BP214">
        <f>'2012_2020 Int_Confianca'!BN58</f>
        <v>5.4000000000000003E-3</v>
      </c>
      <c r="BQ214">
        <f>'2012_2020 Int_Confianca'!BO58</f>
        <v>5.0000000000000001E-3</v>
      </c>
      <c r="BR214">
        <f>'2012_2020 Int_Confianca'!BP58</f>
        <v>5.0000000000000001E-3</v>
      </c>
      <c r="BS214">
        <f>'2012_2020 Int_Confianca'!BQ58</f>
        <v>5.0000000000000001E-3</v>
      </c>
      <c r="BT214">
        <f>'2012_2020 Int_Confianca'!BR58</f>
        <v>5.0000000000000001E-3</v>
      </c>
      <c r="BU214">
        <f>'2012_2020 Int_Confianca'!BS58</f>
        <v>4.5999999999999999E-3</v>
      </c>
      <c r="BV214">
        <f>'2012_2020 Int_Confianca'!BT58</f>
        <v>4.1999999999999997E-3</v>
      </c>
      <c r="BW214">
        <f>'2012_2020 Int_Confianca'!BU58</f>
        <v>4.1000000000000003E-3</v>
      </c>
      <c r="BX214">
        <f>'2012_2020 Int_Confianca'!BV58</f>
        <v>3.7000000000000002E-3</v>
      </c>
      <c r="BY214">
        <f>'2012_2020 Int_Confianca'!BW58</f>
        <v>4.0000000000000001E-3</v>
      </c>
      <c r="BZ214">
        <f>'2012_2020 Int_Confianca'!BX58</f>
        <v>3.3E-3</v>
      </c>
      <c r="CA214">
        <f>'2012_2020 Int_Confianca'!BY58</f>
        <v>3.3E-3</v>
      </c>
      <c r="CB214">
        <f>'2012_2020 Int_Confianca'!BZ58</f>
        <v>3.5000000000000001E-3</v>
      </c>
      <c r="CC214">
        <f>'2012_2020 Int_Confianca'!CA58</f>
        <v>3.0999999999999999E-3</v>
      </c>
      <c r="CD214">
        <f>'2012_2020 Int_Confianca'!CB58</f>
        <v>2.8E-3</v>
      </c>
      <c r="CE214">
        <f>'2012_2020 Int_Confianca'!CC58</f>
        <v>1.5E-3</v>
      </c>
      <c r="CF214">
        <f>'2012_2020 Int_Confianca'!CD58</f>
        <v>1.1999999999999999E-3</v>
      </c>
      <c r="CG214">
        <f>'2012_2020 Int_Confianca'!CE58</f>
        <v>1.2999999999999999E-3</v>
      </c>
      <c r="CH214">
        <f>'2012_2020 Int_Confianca'!CF58</f>
        <v>8.0000000000000004E-4</v>
      </c>
      <c r="CI214">
        <f>'2012_2020 Int_Confianca'!CG58</f>
        <v>1.1000000000000001E-3</v>
      </c>
      <c r="CJ214">
        <f>'2012_2020 Int_Confianca'!CH58</f>
        <v>5.0000000000000001E-4</v>
      </c>
      <c r="CK214">
        <f>'2012_2020 Int_Confianca'!CI58</f>
        <v>-8.0000000000000004E-4</v>
      </c>
      <c r="CL214">
        <f>'2012_2020 Int_Confianca'!CJ58</f>
        <v>-2.0999999999999999E-3</v>
      </c>
      <c r="CM214">
        <f>'2012_2020 Int_Confianca'!CK58</f>
        <v>-2.7000000000000001E-3</v>
      </c>
      <c r="CN214">
        <f>'2012_2020 Int_Confianca'!CL58</f>
        <v>-4.0000000000000001E-3</v>
      </c>
      <c r="CO214">
        <f>'2012_2020 Int_Confianca'!CM58</f>
        <v>-4.4000000000000003E-3</v>
      </c>
      <c r="CP214">
        <f>'2012_2020 Int_Confianca'!CN58</f>
        <v>-4.1999999999999997E-3</v>
      </c>
      <c r="CQ214">
        <f>'2012_2020 Int_Confianca'!CO58</f>
        <v>-5.4000000000000003E-3</v>
      </c>
      <c r="CR214">
        <f>'2012_2020 Int_Confianca'!CP58</f>
        <v>-6.7999999999999996E-3</v>
      </c>
      <c r="CS214">
        <f>'2012_2020 Int_Confianca'!CQ58</f>
        <v>-6.1999999999999998E-3</v>
      </c>
      <c r="CT214">
        <f>'2012_2020 Int_Confianca'!CR58</f>
        <v>-7.4000000000000003E-3</v>
      </c>
      <c r="CU214">
        <f>'2012_2020 Int_Confianca'!CS58</f>
        <v>-6.4999999999999997E-3</v>
      </c>
      <c r="CV214">
        <f>'2012_2020 Int_Confianca'!CT58</f>
        <v>-7.7000000000000002E-3</v>
      </c>
      <c r="CW214">
        <f>'2012_2020 Int_Confianca'!CU58</f>
        <v>-9.7000000000000003E-3</v>
      </c>
      <c r="CX214">
        <f>'2012_2020 Int_Confianca'!CV58</f>
        <v>-9.4000000000000004E-3</v>
      </c>
    </row>
    <row r="215" spans="1:102" x14ac:dyDescent="0.2">
      <c r="A215" t="s">
        <v>208</v>
      </c>
      <c r="B215" t="s">
        <v>219</v>
      </c>
      <c r="C215" t="s">
        <v>222</v>
      </c>
      <c r="D215">
        <f>'2012_2020'!B15</f>
        <v>2.29E-2</v>
      </c>
      <c r="E215">
        <f>'2012_2020'!C15</f>
        <v>0.435</v>
      </c>
      <c r="F215">
        <f>'2012_2020'!D15</f>
        <v>0.749</v>
      </c>
      <c r="G215">
        <f>'2012_2020'!E15</f>
        <v>2.9700000000000001E-2</v>
      </c>
      <c r="H215">
        <f>'2012_2020'!F15</f>
        <v>0.86</v>
      </c>
      <c r="I215">
        <f>'2012_2020'!G15</f>
        <v>0.27300000000000002</v>
      </c>
      <c r="J215">
        <f>'2012_2020'!H15</f>
        <v>0.46500000000000002</v>
      </c>
      <c r="K215">
        <f>'2012_2020'!I15</f>
        <v>0.35599999999999998</v>
      </c>
      <c r="L215">
        <f>'2012_2020'!J15</f>
        <v>0.19400000000000001</v>
      </c>
      <c r="M215">
        <f>'2012_2020'!K15</f>
        <v>0.45</v>
      </c>
      <c r="N215">
        <f>'2012_2020'!L15</f>
        <v>0.36099999999999999</v>
      </c>
      <c r="O215">
        <f>'2012_2020'!M15</f>
        <v>2.0899999999999998E-2</v>
      </c>
      <c r="P215">
        <f>'2012_2020'!N15</f>
        <v>8.8900000000000007E-2</v>
      </c>
      <c r="Q215">
        <f>'2012_2020'!O15</f>
        <v>8.4000000000000005E-2</v>
      </c>
      <c r="R215">
        <f>'2012_2020'!P15</f>
        <v>0.114</v>
      </c>
      <c r="S215">
        <f>'2012_2020'!Q15</f>
        <v>0.108</v>
      </c>
      <c r="T215">
        <f>'2012_2020'!R15</f>
        <v>4.48E-2</v>
      </c>
      <c r="U215">
        <f>'2012_2020'!S15</f>
        <v>1.6400000000000001E-2</v>
      </c>
      <c r="V215">
        <f>'2012_2020'!T15</f>
        <v>-1.6E-2</v>
      </c>
      <c r="W215">
        <f>'2012_2020'!U15</f>
        <v>-1.77E-2</v>
      </c>
      <c r="X215">
        <f>'2012_2020'!V15</f>
        <v>-1.11E-2</v>
      </c>
      <c r="Y215">
        <f>'2012_2020'!W15</f>
        <v>-5.1299999999999998E-2</v>
      </c>
      <c r="Z215">
        <f>'2012_2020'!X15</f>
        <v>-4.5400000000000003E-2</v>
      </c>
      <c r="AA215">
        <f>'2012_2020'!Y15</f>
        <v>-3.9899999999999998E-2</v>
      </c>
      <c r="AB215">
        <f>'2012_2020'!Z15</f>
        <v>-3.5499999999999997E-2</v>
      </c>
      <c r="AC215">
        <f>'2012_2020'!AA15</f>
        <v>-3.3700000000000001E-2</v>
      </c>
      <c r="AD215">
        <f>'2012_2020'!AB15</f>
        <v>-2.5600000000000001E-2</v>
      </c>
      <c r="AE215">
        <f>'2012_2020'!AC15</f>
        <v>-1.84E-2</v>
      </c>
      <c r="AF215">
        <f>'2012_2020'!AD15</f>
        <v>-1.8700000000000001E-2</v>
      </c>
      <c r="AG215">
        <f>'2012_2020'!AE15</f>
        <v>-1.9800000000000002E-2</v>
      </c>
      <c r="AH215">
        <f>'2012_2020'!AF15</f>
        <v>-1.7999999999999999E-2</v>
      </c>
      <c r="AI215">
        <f>'2012_2020'!AG15</f>
        <v>-1.29E-2</v>
      </c>
      <c r="AJ215">
        <f>'2012_2020'!AH15</f>
        <v>-8.9499999999999996E-3</v>
      </c>
      <c r="AK215">
        <f>'2012_2020'!AI15</f>
        <v>-6.3899999999999998E-3</v>
      </c>
      <c r="AL215">
        <f>'2012_2020'!AJ15</f>
        <v>1.2999999999999999E-2</v>
      </c>
      <c r="AM215">
        <f>'2012_2020'!AK15</f>
        <v>2.0400000000000001E-2</v>
      </c>
      <c r="AN215">
        <f>'2012_2020'!AL15</f>
        <v>1.2200000000000001E-2</v>
      </c>
      <c r="AO215">
        <f>'2012_2020'!AM15</f>
        <v>-4.9399999999999999E-3</v>
      </c>
      <c r="AP215">
        <f>'2012_2020'!AN15</f>
        <v>-1.78E-2</v>
      </c>
      <c r="AQ215">
        <f>'2012_2020'!AO15</f>
        <v>-3.1099999999999999E-2</v>
      </c>
      <c r="AR215">
        <f>'2012_2020'!AP15</f>
        <v>-3.5499999999999997E-2</v>
      </c>
      <c r="AS215">
        <f>'2012_2020'!AQ15</f>
        <v>-5.0200000000000002E-2</v>
      </c>
      <c r="AT215">
        <f>'2012_2020'!AR15</f>
        <v>-5.3499999999999999E-2</v>
      </c>
      <c r="AU215">
        <f>'2012_2020'!AS15</f>
        <v>-5.4100000000000002E-2</v>
      </c>
      <c r="AV215">
        <f>'2012_2020'!AT15</f>
        <v>-5.5199999999999999E-2</v>
      </c>
      <c r="AW215">
        <f>'2012_2020'!AU15</f>
        <v>-4.9599999999999998E-2</v>
      </c>
      <c r="AX215">
        <f>'2012_2020'!AV15</f>
        <v>-4.6800000000000001E-2</v>
      </c>
      <c r="AY215">
        <f>'2012_2020'!AW15</f>
        <v>-5.8299999999999998E-2</v>
      </c>
      <c r="AZ215">
        <f>'2012_2020'!AX15</f>
        <v>-5.6000000000000001E-2</v>
      </c>
      <c r="BA215">
        <f>'2012_2020'!AY15</f>
        <v>-6.8000000000000005E-2</v>
      </c>
      <c r="BB215">
        <f>'2012_2020'!AZ15</f>
        <v>-7.0000000000000007E-2</v>
      </c>
      <c r="BC215">
        <f>'2012_2020'!BA15</f>
        <v>-9.8199999999999996E-2</v>
      </c>
      <c r="BD215">
        <f>'2012_2020'!BB15</f>
        <v>-0.129</v>
      </c>
      <c r="BE215">
        <f>'2012_2020'!BC15</f>
        <v>-0.14899999999999999</v>
      </c>
      <c r="BF215">
        <f>'2012_2020'!BD15</f>
        <v>-0.128</v>
      </c>
      <c r="BG215">
        <f>'2012_2020'!BE15</f>
        <v>-0.13200000000000001</v>
      </c>
      <c r="BH215">
        <f>'2012_2020'!BF15</f>
        <v>-0.115</v>
      </c>
      <c r="BI215">
        <f>'2012_2020'!BG15</f>
        <v>-9.1200000000000003E-2</v>
      </c>
      <c r="BJ215">
        <f>'2012_2020'!BH15</f>
        <v>-8.09E-2</v>
      </c>
      <c r="BK215">
        <f>'2012_2020'!BI15</f>
        <v>-5.91E-2</v>
      </c>
      <c r="BL215">
        <f>'2012_2020'!BJ15</f>
        <v>-5.3800000000000001E-2</v>
      </c>
      <c r="BM215">
        <f>'2012_2020'!BK15</f>
        <v>-8.2799999999999999E-2</v>
      </c>
      <c r="BN215">
        <f>'2012_2020'!BL15</f>
        <v>-0.11899999999999999</v>
      </c>
      <c r="BO215">
        <f>'2012_2020'!BM15</f>
        <v>-0.16600000000000001</v>
      </c>
      <c r="BP215">
        <f>'2012_2020'!BN15</f>
        <v>-0.20100000000000001</v>
      </c>
      <c r="BQ215">
        <f>'2012_2020'!BO15</f>
        <v>-0.216</v>
      </c>
      <c r="BR215">
        <f>'2012_2020'!BP15</f>
        <v>-0.214</v>
      </c>
      <c r="BS215">
        <f>'2012_2020'!BQ15</f>
        <v>-0.22500000000000001</v>
      </c>
      <c r="BT215">
        <f>'2012_2020'!BR15</f>
        <v>-0.23300000000000001</v>
      </c>
      <c r="BU215">
        <f>'2012_2020'!BS15</f>
        <v>-0.19600000000000001</v>
      </c>
      <c r="BV215">
        <f>'2012_2020'!BT15</f>
        <v>-0.11600000000000001</v>
      </c>
      <c r="BW215">
        <f>'2012_2020'!BU15</f>
        <v>-8.7900000000000006E-2</v>
      </c>
      <c r="BX215">
        <f>'2012_2020'!BV15</f>
        <v>-0.11700000000000001</v>
      </c>
      <c r="BY215">
        <f>'2012_2020'!BW15</f>
        <v>-0.17699999999999999</v>
      </c>
      <c r="BZ215">
        <f>'2012_2020'!BX15</f>
        <v>-0.19600000000000001</v>
      </c>
      <c r="CA215">
        <f>'2012_2020'!BY15</f>
        <v>-0.21199999999999999</v>
      </c>
      <c r="CB215">
        <f>'2012_2020'!BZ15</f>
        <v>-0.186</v>
      </c>
      <c r="CC215">
        <f>'2012_2020'!CA15</f>
        <v>-0.22900000000000001</v>
      </c>
      <c r="CD215">
        <f>'2012_2020'!CB15</f>
        <v>-0.28599999999999998</v>
      </c>
      <c r="CE215">
        <f>'2012_2020'!CC15</f>
        <v>-0.33400000000000002</v>
      </c>
      <c r="CF215">
        <f>'2012_2020'!CD15</f>
        <v>-0.379</v>
      </c>
      <c r="CG215">
        <f>'2012_2020'!CE15</f>
        <v>-0.34699999999999998</v>
      </c>
      <c r="CH215">
        <f>'2012_2020'!CF15</f>
        <v>-0.21299999999999999</v>
      </c>
      <c r="CI215">
        <f>'2012_2020'!CG15</f>
        <v>-0.124</v>
      </c>
      <c r="CJ215">
        <f>'2012_2020'!CH15</f>
        <v>-0.13600000000000001</v>
      </c>
      <c r="CK215">
        <f>'2012_2020'!CI15</f>
        <v>-0.4</v>
      </c>
      <c r="CL215">
        <f>'2012_2020'!CJ15</f>
        <v>-0.42499999999999999</v>
      </c>
      <c r="CM215">
        <f>'2012_2020'!CK15</f>
        <v>-0.41499999999999998</v>
      </c>
      <c r="CN215">
        <f>'2012_2020'!CL15</f>
        <v>-0.35899999999999999</v>
      </c>
      <c r="CO215">
        <f>'2012_2020'!CM15</f>
        <v>-0.36299999999999999</v>
      </c>
      <c r="CP215">
        <f>'2012_2020'!CN15</f>
        <v>-0.36399999999999999</v>
      </c>
      <c r="CQ215">
        <f>'2012_2020'!CO15</f>
        <v>-0.503</v>
      </c>
      <c r="CR215">
        <f>'2012_2020'!CP15</f>
        <v>-0.43</v>
      </c>
      <c r="CS215">
        <f>'2012_2020'!CQ15</f>
        <v>-0.32300000000000001</v>
      </c>
      <c r="CT215">
        <f>'2012_2020'!CR15</f>
        <v>-0.41299999999999998</v>
      </c>
      <c r="CU215">
        <f>'2012_2020'!CS15</f>
        <v>-0.24399999999999999</v>
      </c>
      <c r="CV215">
        <f>'2012_2020'!CT15</f>
        <v>-0.45100000000000001</v>
      </c>
      <c r="CW215">
        <f>'2012_2020'!CU15</f>
        <v>-0.27900000000000003</v>
      </c>
      <c r="CX215">
        <f>'2012_2020'!CV15</f>
        <v>-0.30199999999999999</v>
      </c>
    </row>
    <row r="216" spans="1:102" x14ac:dyDescent="0.2">
      <c r="A216" t="s">
        <v>209</v>
      </c>
      <c r="B216" t="s">
        <v>219</v>
      </c>
      <c r="C216" t="s">
        <v>222</v>
      </c>
      <c r="D216">
        <f>'2012_2020'!B16</f>
        <v>-0.115</v>
      </c>
      <c r="E216">
        <f>'2012_2020'!C16</f>
        <v>-0.08</v>
      </c>
      <c r="F216">
        <f>'2012_2020'!D16</f>
        <v>-7.0499999999999993E-2</v>
      </c>
      <c r="G216">
        <f>'2012_2020'!E16</f>
        <v>-0.23699999999999999</v>
      </c>
      <c r="H216">
        <f>'2012_2020'!F16</f>
        <v>2.0300000000000001E-3</v>
      </c>
      <c r="I216">
        <f>'2012_2020'!G16</f>
        <v>-0.17</v>
      </c>
      <c r="J216">
        <f>'2012_2020'!H16</f>
        <v>-6.7500000000000004E-2</v>
      </c>
      <c r="K216">
        <f>'2012_2020'!I16</f>
        <v>-4.7899999999999998E-2</v>
      </c>
      <c r="L216">
        <f>'2012_2020'!J16</f>
        <v>-8.72E-2</v>
      </c>
      <c r="M216">
        <f>'2012_2020'!K16</f>
        <v>3.5999999999999997E-2</v>
      </c>
      <c r="N216">
        <f>'2012_2020'!L16</f>
        <v>6.0699999999999997E-2</v>
      </c>
      <c r="O216">
        <f>'2012_2020'!M16</f>
        <v>-6.5199999999999994E-2</v>
      </c>
      <c r="P216">
        <f>'2012_2020'!N16</f>
        <v>-3.32E-3</v>
      </c>
      <c r="Q216">
        <f>'2012_2020'!O16</f>
        <v>2.48E-3</v>
      </c>
      <c r="R216">
        <f>'2012_2020'!P16</f>
        <v>1.5299999999999999E-2</v>
      </c>
      <c r="S216">
        <f>'2012_2020'!Q16</f>
        <v>1.47E-2</v>
      </c>
      <c r="T216">
        <f>'2012_2020'!R16</f>
        <v>-1.6E-2</v>
      </c>
      <c r="U216">
        <f>'2012_2020'!S16</f>
        <v>-2.0199999999999999E-2</v>
      </c>
      <c r="V216">
        <f>'2012_2020'!T16</f>
        <v>-2.6499999999999999E-2</v>
      </c>
      <c r="W216">
        <f>'2012_2020'!U16</f>
        <v>-1.3299999999999999E-2</v>
      </c>
      <c r="X216">
        <f>'2012_2020'!V16</f>
        <v>-7.43E-3</v>
      </c>
      <c r="Y216">
        <f>'2012_2020'!W16</f>
        <v>-3.4099999999999998E-2</v>
      </c>
      <c r="Z216">
        <f>'2012_2020'!X16</f>
        <v>-3.5400000000000001E-2</v>
      </c>
      <c r="AA216">
        <f>'2012_2020'!Y16</f>
        <v>-2.3099999999999999E-2</v>
      </c>
      <c r="AB216">
        <f>'2012_2020'!Z16</f>
        <v>-1.4500000000000001E-2</v>
      </c>
      <c r="AC216">
        <f>'2012_2020'!AA16</f>
        <v>-8.1099999999999992E-3</v>
      </c>
      <c r="AD216">
        <f>'2012_2020'!AB16</f>
        <v>-2.1700000000000001E-3</v>
      </c>
      <c r="AE216">
        <f>'2012_2020'!AC16</f>
        <v>2.5999999999999999E-3</v>
      </c>
      <c r="AF216">
        <f>'2012_2020'!AD16</f>
        <v>6.2300000000000003E-3</v>
      </c>
      <c r="AG216">
        <f>'2012_2020'!AE16</f>
        <v>1.24E-2</v>
      </c>
      <c r="AH216">
        <f>'2012_2020'!AF16</f>
        <v>2.7799999999999998E-2</v>
      </c>
      <c r="AI216">
        <f>'2012_2020'!AG16</f>
        <v>3.4000000000000002E-2</v>
      </c>
      <c r="AJ216">
        <f>'2012_2020'!AH16</f>
        <v>4.4400000000000002E-2</v>
      </c>
      <c r="AK216">
        <f>'2012_2020'!AI16</f>
        <v>5.4100000000000002E-2</v>
      </c>
      <c r="AL216">
        <f>'2012_2020'!AJ16</f>
        <v>6.9500000000000006E-2</v>
      </c>
      <c r="AM216">
        <f>'2012_2020'!AK16</f>
        <v>6.9699999999999998E-2</v>
      </c>
      <c r="AN216">
        <f>'2012_2020'!AL16</f>
        <v>7.22E-2</v>
      </c>
      <c r="AO216">
        <f>'2012_2020'!AM16</f>
        <v>6.5000000000000002E-2</v>
      </c>
      <c r="AP216">
        <f>'2012_2020'!AN16</f>
        <v>6.5600000000000006E-2</v>
      </c>
      <c r="AQ216">
        <f>'2012_2020'!AO16</f>
        <v>6.3899999999999998E-2</v>
      </c>
      <c r="AR216">
        <f>'2012_2020'!AP16</f>
        <v>6.3799999999999996E-2</v>
      </c>
      <c r="AS216">
        <f>'2012_2020'!AQ16</f>
        <v>4.65E-2</v>
      </c>
      <c r="AT216">
        <f>'2012_2020'!AR16</f>
        <v>4.6899999999999997E-2</v>
      </c>
      <c r="AU216">
        <f>'2012_2020'!AS16</f>
        <v>4.6100000000000002E-2</v>
      </c>
      <c r="AV216">
        <f>'2012_2020'!AT16</f>
        <v>5.1900000000000002E-2</v>
      </c>
      <c r="AW216">
        <f>'2012_2020'!AU16</f>
        <v>0.05</v>
      </c>
      <c r="AX216">
        <f>'2012_2020'!AV16</f>
        <v>4.6600000000000003E-2</v>
      </c>
      <c r="AY216">
        <f>'2012_2020'!AW16</f>
        <v>3.6700000000000003E-2</v>
      </c>
      <c r="AZ216">
        <f>'2012_2020'!AX16</f>
        <v>4.2500000000000003E-2</v>
      </c>
      <c r="BA216">
        <f>'2012_2020'!AY16</f>
        <v>3.5299999999999998E-2</v>
      </c>
      <c r="BB216">
        <f>'2012_2020'!AZ16</f>
        <v>4.5100000000000001E-2</v>
      </c>
      <c r="BC216">
        <f>'2012_2020'!BA16</f>
        <v>2.0400000000000001E-2</v>
      </c>
      <c r="BD216">
        <f>'2012_2020'!BB16</f>
        <v>1.4799999999999999E-4</v>
      </c>
      <c r="BE216">
        <f>'2012_2020'!BC16</f>
        <v>-6.8599999999999998E-4</v>
      </c>
      <c r="BF216">
        <f>'2012_2020'!BD16</f>
        <v>1.26E-2</v>
      </c>
      <c r="BG216">
        <f>'2012_2020'!BE16</f>
        <v>2.1600000000000001E-2</v>
      </c>
      <c r="BH216">
        <f>'2012_2020'!BF16</f>
        <v>3.8199999999999998E-2</v>
      </c>
      <c r="BI216">
        <f>'2012_2020'!BG16</f>
        <v>6.0999999999999999E-2</v>
      </c>
      <c r="BJ216">
        <f>'2012_2020'!BH16</f>
        <v>6.1800000000000001E-2</v>
      </c>
      <c r="BK216">
        <f>'2012_2020'!BI16</f>
        <v>7.5800000000000006E-2</v>
      </c>
      <c r="BL216">
        <f>'2012_2020'!BJ16</f>
        <v>8.2600000000000007E-2</v>
      </c>
      <c r="BM216">
        <f>'2012_2020'!BK16</f>
        <v>7.3700000000000002E-2</v>
      </c>
      <c r="BN216">
        <f>'2012_2020'!BL16</f>
        <v>2.9000000000000001E-2</v>
      </c>
      <c r="BO216">
        <f>'2012_2020'!BM16</f>
        <v>-1.37E-2</v>
      </c>
      <c r="BP216">
        <f>'2012_2020'!BN16</f>
        <v>-4.1000000000000002E-2</v>
      </c>
      <c r="BQ216">
        <f>'2012_2020'!BO16</f>
        <v>-5.0200000000000002E-2</v>
      </c>
      <c r="BR216">
        <f>'2012_2020'!BP16</f>
        <v>-5.0200000000000002E-2</v>
      </c>
      <c r="BS216">
        <f>'2012_2020'!BQ16</f>
        <v>-5.7299999999999997E-2</v>
      </c>
      <c r="BT216">
        <f>'2012_2020'!BR16</f>
        <v>-6.4600000000000005E-2</v>
      </c>
      <c r="BU216">
        <f>'2012_2020'!BS16</f>
        <v>-1.4800000000000001E-2</v>
      </c>
      <c r="BV216">
        <f>'2012_2020'!BT16</f>
        <v>9.0200000000000002E-2</v>
      </c>
      <c r="BW216">
        <f>'2012_2020'!BU16</f>
        <v>0.128</v>
      </c>
      <c r="BX216">
        <f>'2012_2020'!BV16</f>
        <v>0.10199999999999999</v>
      </c>
      <c r="BY216">
        <f>'2012_2020'!BW16</f>
        <v>6.3E-2</v>
      </c>
      <c r="BZ216">
        <f>'2012_2020'!BX16</f>
        <v>4.0800000000000003E-2</v>
      </c>
      <c r="CA216">
        <f>'2012_2020'!BY16</f>
        <v>2.0899999999999998E-2</v>
      </c>
      <c r="CB216">
        <f>'2012_2020'!BZ16</f>
        <v>5.45E-2</v>
      </c>
      <c r="CC216">
        <f>'2012_2020'!CA16</f>
        <v>2.4899999999999999E-2</v>
      </c>
      <c r="CD216">
        <f>'2012_2020'!CB16</f>
        <v>-2.9399999999999999E-2</v>
      </c>
      <c r="CE216">
        <f>'2012_2020'!CC16</f>
        <v>-5.0500000000000003E-2</v>
      </c>
      <c r="CF216">
        <f>'2012_2020'!CD16</f>
        <v>-8.5900000000000004E-2</v>
      </c>
      <c r="CG216">
        <f>'2012_2020'!CE16</f>
        <v>-6.0900000000000003E-2</v>
      </c>
      <c r="CH216">
        <f>'2012_2020'!CF16</f>
        <v>6.13E-2</v>
      </c>
      <c r="CI216">
        <f>'2012_2020'!CG16</f>
        <v>0.14399999999999999</v>
      </c>
      <c r="CJ216">
        <f>'2012_2020'!CH16</f>
        <v>0.17100000000000001</v>
      </c>
      <c r="CK216">
        <f>'2012_2020'!CI16</f>
        <v>-6.13E-2</v>
      </c>
      <c r="CL216">
        <f>'2012_2020'!CJ16</f>
        <v>-0.105</v>
      </c>
      <c r="CM216">
        <f>'2012_2020'!CK16</f>
        <v>-0.11</v>
      </c>
      <c r="CN216">
        <f>'2012_2020'!CL16</f>
        <v>-1.3899999999999999E-2</v>
      </c>
      <c r="CO216">
        <f>'2012_2020'!CM16</f>
        <v>-1.4999999999999999E-2</v>
      </c>
      <c r="CP216">
        <f>'2012_2020'!CN16</f>
        <v>-4.4200000000000003E-2</v>
      </c>
      <c r="CQ216">
        <f>'2012_2020'!CO16</f>
        <v>-0.158</v>
      </c>
      <c r="CR216">
        <f>'2012_2020'!CP16</f>
        <v>-2.3900000000000001E-2</v>
      </c>
      <c r="CS216">
        <f>'2012_2020'!CQ16</f>
        <v>6.1499999999999999E-2</v>
      </c>
      <c r="CT216">
        <f>'2012_2020'!CR16</f>
        <v>-1.47E-2</v>
      </c>
      <c r="CU216">
        <f>'2012_2020'!CS16</f>
        <v>6.6400000000000001E-2</v>
      </c>
      <c r="CV216">
        <f>'2012_2020'!CT16</f>
        <v>-0.16300000000000001</v>
      </c>
      <c r="CW216">
        <f>'2012_2020'!CU16</f>
        <v>2.52E-2</v>
      </c>
      <c r="CX216">
        <f>'2012_2020'!CV16</f>
        <v>-6.08E-2</v>
      </c>
    </row>
    <row r="217" spans="1:102" x14ac:dyDescent="0.2">
      <c r="A217" t="s">
        <v>210</v>
      </c>
      <c r="B217" t="s">
        <v>219</v>
      </c>
      <c r="C217" t="s">
        <v>222</v>
      </c>
      <c r="D217">
        <f>'2012_2020'!B17</f>
        <v>7.9500000000000001E-2</v>
      </c>
      <c r="E217">
        <f>'2012_2020'!C17</f>
        <v>6.8500000000000005E-2</v>
      </c>
      <c r="F217">
        <f>'2012_2020'!D17</f>
        <v>3.7600000000000001E-2</v>
      </c>
      <c r="G217">
        <f>'2012_2020'!E17</f>
        <v>6.0999999999999999E-2</v>
      </c>
      <c r="H217">
        <f>'2012_2020'!F17</f>
        <v>-8.5500000000000003E-3</v>
      </c>
      <c r="I217">
        <f>'2012_2020'!G17</f>
        <v>3.1899999999999998E-2</v>
      </c>
      <c r="J217">
        <f>'2012_2020'!H17</f>
        <v>9.9500000000000005E-3</v>
      </c>
      <c r="K217">
        <f>'2012_2020'!I17</f>
        <v>4.47E-3</v>
      </c>
      <c r="L217">
        <f>'2012_2020'!J17</f>
        <v>1.03E-2</v>
      </c>
      <c r="M217">
        <f>'2012_2020'!K17</f>
        <v>-1.6199999999999999E-2</v>
      </c>
      <c r="N217">
        <f>'2012_2020'!L17</f>
        <v>-1.3100000000000001E-2</v>
      </c>
      <c r="O217">
        <f>'2012_2020'!M17</f>
        <v>8.8999999999999999E-3</v>
      </c>
      <c r="P217">
        <f>'2012_2020'!N17</f>
        <v>6.4700000000000001E-4</v>
      </c>
      <c r="Q217">
        <f>'2012_2020'!O17</f>
        <v>-1.7799999999999999E-3</v>
      </c>
      <c r="R217">
        <f>'2012_2020'!P17</f>
        <v>-4.3400000000000001E-3</v>
      </c>
      <c r="S217">
        <f>'2012_2020'!Q17</f>
        <v>-3.8700000000000002E-3</v>
      </c>
      <c r="T217">
        <f>'2012_2020'!R17</f>
        <v>1.7799999999999999E-3</v>
      </c>
      <c r="U217">
        <f>'2012_2020'!S17</f>
        <v>2.1099999999999999E-3</v>
      </c>
      <c r="V217">
        <f>'2012_2020'!T17</f>
        <v>4.8399999999999997E-3</v>
      </c>
      <c r="W217">
        <f>'2012_2020'!U17</f>
        <v>3.4399999999999999E-3</v>
      </c>
      <c r="X217">
        <f>'2012_2020'!V17</f>
        <v>4.0600000000000002E-3</v>
      </c>
      <c r="Y217">
        <f>'2012_2020'!W17</f>
        <v>8.5299999999999994E-3</v>
      </c>
      <c r="Z217">
        <f>'2012_2020'!X17</f>
        <v>8.1499999999999993E-3</v>
      </c>
      <c r="AA217">
        <f>'2012_2020'!Y17</f>
        <v>8.5699999999999995E-3</v>
      </c>
      <c r="AB217">
        <f>'2012_2020'!Z17</f>
        <v>7.9000000000000008E-3</v>
      </c>
      <c r="AC217">
        <f>'2012_2020'!AA17</f>
        <v>8.5199999999999998E-3</v>
      </c>
      <c r="AD217">
        <f>'2012_2020'!AB17</f>
        <v>8.8000000000000005E-3</v>
      </c>
      <c r="AE217">
        <f>'2012_2020'!AC17</f>
        <v>8.3300000000000006E-3</v>
      </c>
      <c r="AF217">
        <f>'2012_2020'!AD17</f>
        <v>8.0800000000000004E-3</v>
      </c>
      <c r="AG217">
        <f>'2012_2020'!AE17</f>
        <v>7.5700000000000003E-3</v>
      </c>
      <c r="AH217">
        <f>'2012_2020'!AF17</f>
        <v>7.8300000000000002E-3</v>
      </c>
      <c r="AI217">
        <f>'2012_2020'!AG17</f>
        <v>7.62E-3</v>
      </c>
      <c r="AJ217">
        <f>'2012_2020'!AH17</f>
        <v>6.7400000000000003E-3</v>
      </c>
      <c r="AK217">
        <f>'2012_2020'!AI17</f>
        <v>4.7999999999999996E-3</v>
      </c>
      <c r="AL217">
        <f>'2012_2020'!AJ17</f>
        <v>2.16E-3</v>
      </c>
      <c r="AM217">
        <f>'2012_2020'!AK17</f>
        <v>2.7000000000000001E-3</v>
      </c>
      <c r="AN217">
        <f>'2012_2020'!AL17</f>
        <v>3.3500000000000001E-3</v>
      </c>
      <c r="AO217">
        <f>'2012_2020'!AM17</f>
        <v>4.9100000000000003E-3</v>
      </c>
      <c r="AP217">
        <f>'2012_2020'!AN17</f>
        <v>6.7999999999999996E-3</v>
      </c>
      <c r="AQ217">
        <f>'2012_2020'!AO17</f>
        <v>9.8300000000000002E-3</v>
      </c>
      <c r="AR217">
        <f>'2012_2020'!AP17</f>
        <v>1.2800000000000001E-2</v>
      </c>
      <c r="AS217">
        <f>'2012_2020'!AQ17</f>
        <v>1.54E-2</v>
      </c>
      <c r="AT217">
        <f>'2012_2020'!AR17</f>
        <v>1.52E-2</v>
      </c>
      <c r="AU217">
        <f>'2012_2020'!AS17</f>
        <v>1.4999999999999999E-2</v>
      </c>
      <c r="AV217">
        <f>'2012_2020'!AT17</f>
        <v>1.2999999999999999E-2</v>
      </c>
      <c r="AW217">
        <f>'2012_2020'!AU17</f>
        <v>1.3299999999999999E-2</v>
      </c>
      <c r="AX217">
        <f>'2012_2020'!AV17</f>
        <v>1.2699999999999999E-2</v>
      </c>
      <c r="AY217">
        <f>'2012_2020'!AW17</f>
        <v>1.32E-2</v>
      </c>
      <c r="AZ217">
        <f>'2012_2020'!AX17</f>
        <v>1.0800000000000001E-2</v>
      </c>
      <c r="BA217">
        <f>'2012_2020'!AY17</f>
        <v>1.14E-2</v>
      </c>
      <c r="BB217">
        <f>'2012_2020'!AZ17</f>
        <v>1.06E-2</v>
      </c>
      <c r="BC217">
        <f>'2012_2020'!BA17</f>
        <v>1.6199999999999999E-2</v>
      </c>
      <c r="BD217">
        <f>'2012_2020'!BB17</f>
        <v>1.7899999999999999E-2</v>
      </c>
      <c r="BE217">
        <f>'2012_2020'!BC17</f>
        <v>1.9099999999999999E-2</v>
      </c>
      <c r="BF217">
        <f>'2012_2020'!BD17</f>
        <v>1.5699999999999999E-2</v>
      </c>
      <c r="BG217">
        <f>'2012_2020'!BE17</f>
        <v>1.44E-2</v>
      </c>
      <c r="BH217">
        <f>'2012_2020'!BF17</f>
        <v>1.0999999999999999E-2</v>
      </c>
      <c r="BI217">
        <f>'2012_2020'!BG17</f>
        <v>8.26E-3</v>
      </c>
      <c r="BJ217">
        <f>'2012_2020'!BH17</f>
        <v>9.8700000000000003E-3</v>
      </c>
      <c r="BK217">
        <f>'2012_2020'!BI17</f>
        <v>5.9699999999999996E-3</v>
      </c>
      <c r="BL217">
        <f>'2012_2020'!BJ17</f>
        <v>4.2700000000000004E-3</v>
      </c>
      <c r="BM217">
        <f>'2012_2020'!BK17</f>
        <v>9.0799999999999995E-3</v>
      </c>
      <c r="BN217">
        <f>'2012_2020'!BL17</f>
        <v>1.84E-2</v>
      </c>
      <c r="BO217">
        <f>'2012_2020'!BM17</f>
        <v>2.46E-2</v>
      </c>
      <c r="BP217">
        <f>'2012_2020'!BN17</f>
        <v>3.1300000000000001E-2</v>
      </c>
      <c r="BQ217">
        <f>'2012_2020'!BO17</f>
        <v>3.2000000000000001E-2</v>
      </c>
      <c r="BR217">
        <f>'2012_2020'!BP17</f>
        <v>3.09E-2</v>
      </c>
      <c r="BS217">
        <f>'2012_2020'!BQ17</f>
        <v>3.0099999999999998E-2</v>
      </c>
      <c r="BT217">
        <f>'2012_2020'!BR17</f>
        <v>2.87E-2</v>
      </c>
      <c r="BU217">
        <f>'2012_2020'!BS17</f>
        <v>1.9800000000000002E-2</v>
      </c>
      <c r="BV217">
        <f>'2012_2020'!BT17</f>
        <v>2.4299999999999999E-3</v>
      </c>
      <c r="BW217">
        <f>'2012_2020'!BU17</f>
        <v>-3.5300000000000002E-3</v>
      </c>
      <c r="BX217">
        <f>'2012_2020'!BV17</f>
        <v>9.6900000000000003E-4</v>
      </c>
      <c r="BY217">
        <f>'2012_2020'!BW17</f>
        <v>1.23E-2</v>
      </c>
      <c r="BZ217">
        <f>'2012_2020'!BX17</f>
        <v>1.77E-2</v>
      </c>
      <c r="CA217">
        <f>'2012_2020'!BY17</f>
        <v>1.8700000000000001E-2</v>
      </c>
      <c r="CB217">
        <f>'2012_2020'!BZ17</f>
        <v>7.8499999999999993E-3</v>
      </c>
      <c r="CC217">
        <f>'2012_2020'!CA17</f>
        <v>1.1299999999999999E-2</v>
      </c>
      <c r="CD217">
        <f>'2012_2020'!CB17</f>
        <v>2.2599999999999999E-2</v>
      </c>
      <c r="CE217">
        <f>'2012_2020'!CC17</f>
        <v>2.4899999999999999E-2</v>
      </c>
      <c r="CF217">
        <f>'2012_2020'!CD17</f>
        <v>3.2500000000000001E-2</v>
      </c>
      <c r="CG217">
        <f>'2012_2020'!CE17</f>
        <v>2.5600000000000001E-2</v>
      </c>
      <c r="CH217">
        <f>'2012_2020'!CF17</f>
        <v>2.3500000000000001E-3</v>
      </c>
      <c r="CI217">
        <f>'2012_2020'!CG17</f>
        <v>-1.7600000000000001E-2</v>
      </c>
      <c r="CJ217">
        <f>'2012_2020'!CH17</f>
        <v>-2.4400000000000002E-2</v>
      </c>
      <c r="CK217">
        <f>'2012_2020'!CI17</f>
        <v>2.3199999999999998E-2</v>
      </c>
      <c r="CL217">
        <f>'2012_2020'!CJ17</f>
        <v>3.4200000000000001E-2</v>
      </c>
      <c r="CM217">
        <f>'2012_2020'!CK17</f>
        <v>3.3300000000000003E-2</v>
      </c>
      <c r="CN217">
        <f>'2012_2020'!CL17</f>
        <v>1.01E-2</v>
      </c>
      <c r="CO217">
        <f>'2012_2020'!CM17</f>
        <v>1.47E-2</v>
      </c>
      <c r="CP217">
        <f>'2012_2020'!CN17</f>
        <v>1.84E-2</v>
      </c>
      <c r="CQ217">
        <f>'2012_2020'!CO17</f>
        <v>4.1300000000000003E-2</v>
      </c>
      <c r="CR217">
        <f>'2012_2020'!CP17</f>
        <v>1.64E-3</v>
      </c>
      <c r="CS217">
        <f>'2012_2020'!CQ17</f>
        <v>-2.7699999999999999E-2</v>
      </c>
      <c r="CT217">
        <f>'2012_2020'!CR17</f>
        <v>3.0400000000000002E-3</v>
      </c>
      <c r="CU217">
        <f>'2012_2020'!CS17</f>
        <v>-3.6400000000000002E-2</v>
      </c>
      <c r="CV217">
        <f>'2012_2020'!CT17</f>
        <v>1.6199999999999999E-2</v>
      </c>
      <c r="CW217">
        <f>'2012_2020'!CU17</f>
        <v>-2.8400000000000002E-2</v>
      </c>
      <c r="CX217">
        <f>'2012_2020'!CV17</f>
        <v>4.19E-2</v>
      </c>
    </row>
    <row r="218" spans="1:102" x14ac:dyDescent="0.2">
      <c r="A218" t="s">
        <v>211</v>
      </c>
      <c r="B218" t="s">
        <v>219</v>
      </c>
      <c r="C218" t="s">
        <v>222</v>
      </c>
      <c r="D218">
        <f>'2012_2020'!B18</f>
        <v>2.2100000000000002E-2</v>
      </c>
      <c r="E218">
        <f>'2012_2020'!C18</f>
        <v>1.3299999999999999E-2</v>
      </c>
      <c r="F218">
        <f>'2012_2020'!D18</f>
        <v>1.5299999999999999E-2</v>
      </c>
      <c r="G218">
        <f>'2012_2020'!E18</f>
        <v>2.87E-2</v>
      </c>
      <c r="H218">
        <f>'2012_2020'!F18</f>
        <v>5.96E-3</v>
      </c>
      <c r="I218">
        <f>'2012_2020'!G18</f>
        <v>1.5299999999999999E-2</v>
      </c>
      <c r="J218">
        <f>'2012_2020'!H18</f>
        <v>6.4599999999999996E-3</v>
      </c>
      <c r="K218">
        <f>'2012_2020'!I18</f>
        <v>1.2999999999999999E-2</v>
      </c>
      <c r="L218">
        <f>'2012_2020'!J18</f>
        <v>1.7100000000000001E-2</v>
      </c>
      <c r="M218">
        <f>'2012_2020'!K18</f>
        <v>7.5199999999999998E-3</v>
      </c>
      <c r="N218">
        <f>'2012_2020'!L18</f>
        <v>1.04E-2</v>
      </c>
      <c r="O218">
        <f>'2012_2020'!M18</f>
        <v>1.8800000000000001E-2</v>
      </c>
      <c r="P218">
        <f>'2012_2020'!N18</f>
        <v>1.4999999999999999E-2</v>
      </c>
      <c r="Q218">
        <f>'2012_2020'!O18</f>
        <v>1.55E-2</v>
      </c>
      <c r="R218">
        <f>'2012_2020'!P18</f>
        <v>1.24E-2</v>
      </c>
      <c r="S218">
        <f>'2012_2020'!Q18</f>
        <v>1.0699999999999999E-2</v>
      </c>
      <c r="T218">
        <f>'2012_2020'!R18</f>
        <v>9.1299999999999992E-3</v>
      </c>
      <c r="U218">
        <f>'2012_2020'!S18</f>
        <v>1.12E-2</v>
      </c>
      <c r="V218">
        <f>'2012_2020'!T18</f>
        <v>1.03E-2</v>
      </c>
      <c r="W218">
        <f>'2012_2020'!U18</f>
        <v>9.3699999999999999E-3</v>
      </c>
      <c r="X218">
        <f>'2012_2020'!V18</f>
        <v>8.6199999999999992E-3</v>
      </c>
      <c r="Y218">
        <f>'2012_2020'!W18</f>
        <v>1.17E-2</v>
      </c>
      <c r="Z218">
        <f>'2012_2020'!X18</f>
        <v>9.8600000000000007E-3</v>
      </c>
      <c r="AA218">
        <f>'2012_2020'!Y18</f>
        <v>1.14E-2</v>
      </c>
      <c r="AB218">
        <f>'2012_2020'!Z18</f>
        <v>1.0200000000000001E-2</v>
      </c>
      <c r="AC218">
        <f>'2012_2020'!AA18</f>
        <v>9.1599999999999997E-3</v>
      </c>
      <c r="AD218">
        <f>'2012_2020'!AB18</f>
        <v>9.9900000000000006E-3</v>
      </c>
      <c r="AE218">
        <f>'2012_2020'!AC18</f>
        <v>8.4200000000000004E-3</v>
      </c>
      <c r="AF218">
        <f>'2012_2020'!AD18</f>
        <v>8.5299999999999994E-3</v>
      </c>
      <c r="AG218">
        <f>'2012_2020'!AE18</f>
        <v>1.06E-2</v>
      </c>
      <c r="AH218">
        <f>'2012_2020'!AF18</f>
        <v>8.7500000000000008E-3</v>
      </c>
      <c r="AI218">
        <f>'2012_2020'!AG18</f>
        <v>8.0099999999999998E-3</v>
      </c>
      <c r="AJ218">
        <f>'2012_2020'!AH18</f>
        <v>7.4999999999999997E-3</v>
      </c>
      <c r="AK218">
        <f>'2012_2020'!AI18</f>
        <v>4.2300000000000003E-3</v>
      </c>
      <c r="AL218">
        <f>'2012_2020'!AJ18</f>
        <v>2.1299999999999999E-3</v>
      </c>
      <c r="AM218">
        <f>'2012_2020'!AK18</f>
        <v>2.0100000000000001E-3</v>
      </c>
      <c r="AN218">
        <f>'2012_2020'!AL18</f>
        <v>-6.8300000000000001E-4</v>
      </c>
      <c r="AO218">
        <f>'2012_2020'!AM18</f>
        <v>4.3200000000000001E-3</v>
      </c>
      <c r="AP218">
        <f>'2012_2020'!AN18</f>
        <v>5.7200000000000003E-3</v>
      </c>
      <c r="AQ218">
        <f>'2012_2020'!AO18</f>
        <v>3.63E-3</v>
      </c>
      <c r="AR218">
        <f>'2012_2020'!AP18</f>
        <v>4.5700000000000003E-3</v>
      </c>
      <c r="AS218">
        <f>'2012_2020'!AQ18</f>
        <v>3.8400000000000001E-3</v>
      </c>
      <c r="AT218">
        <f>'2012_2020'!AR18</f>
        <v>2.7499999999999998E-3</v>
      </c>
      <c r="AU218">
        <f>'2012_2020'!AS18</f>
        <v>8.1099999999999998E-4</v>
      </c>
      <c r="AV218">
        <f>'2012_2020'!AT18</f>
        <v>1.3600000000000001E-3</v>
      </c>
      <c r="AW218">
        <f>'2012_2020'!AU18</f>
        <v>1.92E-3</v>
      </c>
      <c r="AX218">
        <f>'2012_2020'!AV18</f>
        <v>3.3999999999999998E-3</v>
      </c>
      <c r="AY218">
        <f>'2012_2020'!AW18</f>
        <v>3.3100000000000002E-4</v>
      </c>
      <c r="AZ218">
        <f>'2012_2020'!AX18</f>
        <v>9.1100000000000003E-4</v>
      </c>
      <c r="BA218">
        <f>'2012_2020'!AY18</f>
        <v>-8.6799999999999996E-4</v>
      </c>
      <c r="BB218">
        <f>'2012_2020'!AZ18</f>
        <v>-2.8500000000000001E-3</v>
      </c>
      <c r="BC218">
        <f>'2012_2020'!BA18</f>
        <v>-2.4099999999999998E-3</v>
      </c>
      <c r="BD218">
        <f>'2012_2020'!BB18</f>
        <v>2.47E-3</v>
      </c>
      <c r="BE218">
        <f>'2012_2020'!BC18</f>
        <v>3.7200000000000002E-3</v>
      </c>
      <c r="BF218">
        <f>'2012_2020'!BD18</f>
        <v>-9.1600000000000004E-4</v>
      </c>
      <c r="BG218">
        <f>'2012_2020'!BE18</f>
        <v>7.2099999999999996E-4</v>
      </c>
      <c r="BH218">
        <f>'2012_2020'!BF18</f>
        <v>-3.6800000000000001E-3</v>
      </c>
      <c r="BI218">
        <f>'2012_2020'!BG18</f>
        <v>-6.5900000000000004E-3</v>
      </c>
      <c r="BJ218">
        <f>'2012_2020'!BH18</f>
        <v>-4.5199999999999997E-3</v>
      </c>
      <c r="BK218">
        <f>'2012_2020'!BI18</f>
        <v>-9.5099999999999994E-3</v>
      </c>
      <c r="BL218">
        <f>'2012_2020'!BJ18</f>
        <v>-1.24E-2</v>
      </c>
      <c r="BM218">
        <f>'2012_2020'!BK18</f>
        <v>-8.5699999999999995E-3</v>
      </c>
      <c r="BN218">
        <f>'2012_2020'!BL18</f>
        <v>-1.09E-3</v>
      </c>
      <c r="BO218">
        <f>'2012_2020'!BM18</f>
        <v>4.3499999999999997E-3</v>
      </c>
      <c r="BP218">
        <f>'2012_2020'!BN18</f>
        <v>9.2599999999999991E-3</v>
      </c>
      <c r="BQ218">
        <f>'2012_2020'!BO18</f>
        <v>7.0600000000000003E-3</v>
      </c>
      <c r="BR218">
        <f>'2012_2020'!BP18</f>
        <v>1.72E-2</v>
      </c>
      <c r="BS218">
        <f>'2012_2020'!BQ18</f>
        <v>0.02</v>
      </c>
      <c r="BT218">
        <f>'2012_2020'!BR18</f>
        <v>1.37E-2</v>
      </c>
      <c r="BU218">
        <f>'2012_2020'!BS18</f>
        <v>6.7000000000000002E-3</v>
      </c>
      <c r="BV218">
        <f>'2012_2020'!BT18</f>
        <v>-5.4999999999999997E-3</v>
      </c>
      <c r="BW218">
        <f>'2012_2020'!BU18</f>
        <v>-1.3899999999999999E-2</v>
      </c>
      <c r="BX218">
        <f>'2012_2020'!BV18</f>
        <v>-1.29E-2</v>
      </c>
      <c r="BY218">
        <f>'2012_2020'!BW18</f>
        <v>-8.0999999999999996E-3</v>
      </c>
      <c r="BZ218">
        <f>'2012_2020'!BX18</f>
        <v>-6.2300000000000003E-3</v>
      </c>
      <c r="CA218">
        <f>'2012_2020'!BY18</f>
        <v>2.4699999999999999E-4</v>
      </c>
      <c r="CB218">
        <f>'2012_2020'!BZ18</f>
        <v>-1.3100000000000001E-2</v>
      </c>
      <c r="CC218">
        <f>'2012_2020'!CA18</f>
        <v>-9.1199999999999996E-3</v>
      </c>
      <c r="CD218">
        <f>'2012_2020'!CB18</f>
        <v>-5.4000000000000003E-3</v>
      </c>
      <c r="CE218">
        <f>'2012_2020'!CC18</f>
        <v>-1.4599999999999999E-3</v>
      </c>
      <c r="CF218">
        <f>'2012_2020'!CD18</f>
        <v>7.9000000000000008E-3</v>
      </c>
      <c r="CG218">
        <f>'2012_2020'!CE18</f>
        <v>3.3300000000000001E-3</v>
      </c>
      <c r="CH218">
        <f>'2012_2020'!CF18</f>
        <v>-1.38E-2</v>
      </c>
      <c r="CI218">
        <f>'2012_2020'!CG18</f>
        <v>-3.4599999999999999E-2</v>
      </c>
      <c r="CJ218">
        <f>'2012_2020'!CH18</f>
        <v>-4.2299999999999997E-2</v>
      </c>
      <c r="CK218">
        <f>'2012_2020'!CI18</f>
        <v>-6.96E-3</v>
      </c>
      <c r="CL218">
        <f>'2012_2020'!CJ18</f>
        <v>-2.72E-4</v>
      </c>
      <c r="CM218">
        <f>'2012_2020'!CK18</f>
        <v>3.0699999999999998E-3</v>
      </c>
      <c r="CN218">
        <f>'2012_2020'!CL18</f>
        <v>-2.98E-2</v>
      </c>
      <c r="CO218">
        <f>'2012_2020'!CM18</f>
        <v>-3.0800000000000001E-2</v>
      </c>
      <c r="CP218">
        <f>'2012_2020'!CN18</f>
        <v>-2.06E-2</v>
      </c>
      <c r="CQ218">
        <f>'2012_2020'!CO18</f>
        <v>-1.6999999999999999E-3</v>
      </c>
      <c r="CR218">
        <f>'2012_2020'!CP18</f>
        <v>-2.7E-2</v>
      </c>
      <c r="CS218">
        <f>'2012_2020'!CQ18</f>
        <v>-4.1200000000000001E-2</v>
      </c>
      <c r="CT218">
        <f>'2012_2020'!CR18</f>
        <v>-3.9300000000000002E-2</v>
      </c>
      <c r="CU218">
        <f>'2012_2020'!CS18</f>
        <v>-6.2799999999999995E-2</v>
      </c>
      <c r="CV218">
        <f>'2012_2020'!CT18</f>
        <v>-1.77E-2</v>
      </c>
      <c r="CW218">
        <f>'2012_2020'!CU18</f>
        <v>-6.1800000000000001E-2</v>
      </c>
      <c r="CX218">
        <f>'2012_2020'!CV18</f>
        <v>-3.6900000000000002E-2</v>
      </c>
    </row>
    <row r="219" spans="1:102" x14ac:dyDescent="0.2">
      <c r="A219" t="s">
        <v>212</v>
      </c>
      <c r="B219" t="s">
        <v>219</v>
      </c>
      <c r="C219" t="s">
        <v>222</v>
      </c>
      <c r="D219">
        <f>'2012_2020'!B19</f>
        <v>3.2399999999999998E-2</v>
      </c>
      <c r="E219">
        <f>'2012_2020'!C19</f>
        <v>1.11E-2</v>
      </c>
      <c r="F219">
        <f>'2012_2020'!D19</f>
        <v>-5.5799999999999999E-3</v>
      </c>
      <c r="G219">
        <f>'2012_2020'!E19</f>
        <v>1.95E-2</v>
      </c>
      <c r="H219">
        <f>'2012_2020'!F19</f>
        <v>-1.29E-2</v>
      </c>
      <c r="I219">
        <f>'2012_2020'!G19</f>
        <v>3.46E-3</v>
      </c>
      <c r="J219">
        <f>'2012_2020'!H19</f>
        <v>-2.4299999999999999E-3</v>
      </c>
      <c r="K219">
        <f>'2012_2020'!I19</f>
        <v>-2.15E-3</v>
      </c>
      <c r="L219">
        <f>'2012_2020'!J19</f>
        <v>1.3799999999999999E-3</v>
      </c>
      <c r="M219">
        <f>'2012_2020'!K19</f>
        <v>-8.6700000000000006E-3</v>
      </c>
      <c r="N219">
        <f>'2012_2020'!L19</f>
        <v>-6.2599999999999999E-3</v>
      </c>
      <c r="O219">
        <f>'2012_2020'!M19</f>
        <v>5.0699999999999999E-3</v>
      </c>
      <c r="P219">
        <f>'2012_2020'!N19</f>
        <v>2.4599999999999999E-3</v>
      </c>
      <c r="Q219">
        <f>'2012_2020'!O19</f>
        <v>1.74E-3</v>
      </c>
      <c r="R219">
        <f>'2012_2020'!P19</f>
        <v>-7.2999999999999996E-4</v>
      </c>
      <c r="S219">
        <f>'2012_2020'!Q19</f>
        <v>-6.1799999999999995E-4</v>
      </c>
      <c r="T219">
        <f>'2012_2020'!R19</f>
        <v>5.13E-4</v>
      </c>
      <c r="U219">
        <f>'2012_2020'!S19</f>
        <v>1.15E-3</v>
      </c>
      <c r="V219">
        <f>'2012_2020'!T19</f>
        <v>1.7700000000000001E-3</v>
      </c>
      <c r="W219">
        <f>'2012_2020'!U19</f>
        <v>1.32E-3</v>
      </c>
      <c r="X219">
        <f>'2012_2020'!V19</f>
        <v>1.6800000000000001E-3</v>
      </c>
      <c r="Y219">
        <f>'2012_2020'!W19</f>
        <v>2.3800000000000002E-3</v>
      </c>
      <c r="Z219">
        <f>'2012_2020'!X19</f>
        <v>2.1800000000000001E-3</v>
      </c>
      <c r="AA219">
        <f>'2012_2020'!Y19</f>
        <v>2.15E-3</v>
      </c>
      <c r="AB219">
        <f>'2012_2020'!Z19</f>
        <v>1.9499999999999999E-3</v>
      </c>
      <c r="AC219">
        <f>'2012_2020'!AA19</f>
        <v>1.8E-3</v>
      </c>
      <c r="AD219">
        <f>'2012_2020'!AB19</f>
        <v>1.3799999999999999E-3</v>
      </c>
      <c r="AE219">
        <f>'2012_2020'!AC19</f>
        <v>7.6300000000000001E-4</v>
      </c>
      <c r="AF219">
        <f>'2012_2020'!AD19</f>
        <v>6.0599999999999998E-4</v>
      </c>
      <c r="AG219">
        <f>'2012_2020'!AE19</f>
        <v>-5.44E-4</v>
      </c>
      <c r="AH219">
        <f>'2012_2020'!AF19</f>
        <v>-9.5399999999999999E-4</v>
      </c>
      <c r="AI219">
        <f>'2012_2020'!AG19</f>
        <v>-9.4300000000000004E-4</v>
      </c>
      <c r="AJ219">
        <f>'2012_2020'!AH19</f>
        <v>-5.4600000000000004E-4</v>
      </c>
      <c r="AK219">
        <f>'2012_2020'!AI19</f>
        <v>-5.5099999999999995E-4</v>
      </c>
      <c r="AL219">
        <f>'2012_2020'!AJ19</f>
        <v>-6.2600000000000004E-4</v>
      </c>
      <c r="AM219">
        <f>'2012_2020'!AK19</f>
        <v>-6.8000000000000005E-4</v>
      </c>
      <c r="AN219">
        <f>'2012_2020'!AL19</f>
        <v>-7.7999999999999999E-4</v>
      </c>
      <c r="AO219">
        <f>'2012_2020'!AM19</f>
        <v>-3.5599999999999998E-4</v>
      </c>
      <c r="AP219">
        <f>'2012_2020'!AN19</f>
        <v>7.86E-5</v>
      </c>
      <c r="AQ219">
        <f>'2012_2020'!AO19</f>
        <v>4.0999999999999999E-4</v>
      </c>
      <c r="AR219">
        <f>'2012_2020'!AP19</f>
        <v>7.5000000000000002E-4</v>
      </c>
      <c r="AS219">
        <f>'2012_2020'!AQ19</f>
        <v>5.9800000000000001E-4</v>
      </c>
      <c r="AT219">
        <f>'2012_2020'!AR19</f>
        <v>6.4800000000000003E-4</v>
      </c>
      <c r="AU219">
        <f>'2012_2020'!AS19</f>
        <v>7.0399999999999998E-4</v>
      </c>
      <c r="AV219">
        <f>'2012_2020'!AT19</f>
        <v>5.0199999999999995E-4</v>
      </c>
      <c r="AW219">
        <f>'2012_2020'!AU19</f>
        <v>6.6600000000000003E-4</v>
      </c>
      <c r="AX219">
        <f>'2012_2020'!AV19</f>
        <v>6.8900000000000005E-4</v>
      </c>
      <c r="AY219">
        <f>'2012_2020'!AW19</f>
        <v>2.6400000000000002E-4</v>
      </c>
      <c r="AZ219">
        <f>'2012_2020'!AX19</f>
        <v>-1.33E-5</v>
      </c>
      <c r="BA219">
        <f>'2012_2020'!AY19</f>
        <v>-4.8000000000000001E-4</v>
      </c>
      <c r="BB219">
        <f>'2012_2020'!AZ19</f>
        <v>-7.7700000000000002E-4</v>
      </c>
      <c r="BC219">
        <f>'2012_2020'!BA19</f>
        <v>-3.4000000000000002E-4</v>
      </c>
      <c r="BD219">
        <f>'2012_2020'!BB19</f>
        <v>3.8699999999999997E-4</v>
      </c>
      <c r="BE219">
        <f>'2012_2020'!BC19</f>
        <v>4.64E-4</v>
      </c>
      <c r="BF219">
        <f>'2012_2020'!BD19</f>
        <v>2.8899999999999998E-4</v>
      </c>
      <c r="BG219">
        <f>'2012_2020'!BE19</f>
        <v>4.66E-4</v>
      </c>
      <c r="BH219">
        <f>'2012_2020'!BF19</f>
        <v>2.02E-4</v>
      </c>
      <c r="BI219">
        <f>'2012_2020'!BG19</f>
        <v>3.9199999999999997E-5</v>
      </c>
      <c r="BJ219">
        <f>'2012_2020'!BH19</f>
        <v>2.2599999999999999E-4</v>
      </c>
      <c r="BK219">
        <f>'2012_2020'!BI19</f>
        <v>7.7700000000000005E-5</v>
      </c>
      <c r="BL219">
        <f>'2012_2020'!BJ19</f>
        <v>7.8399999999999995E-5</v>
      </c>
      <c r="BM219">
        <f>'2012_2020'!BK19</f>
        <v>4.8500000000000003E-4</v>
      </c>
      <c r="BN219">
        <f>'2012_2020'!BL19</f>
        <v>9.5399999999999999E-4</v>
      </c>
      <c r="BO219">
        <f>'2012_2020'!BM19</f>
        <v>1.67E-3</v>
      </c>
      <c r="BP219">
        <f>'2012_2020'!BN19</f>
        <v>2.1900000000000001E-3</v>
      </c>
      <c r="BQ219">
        <f>'2012_2020'!BO19</f>
        <v>2.65E-3</v>
      </c>
      <c r="BR219">
        <f>'2012_2020'!BP19</f>
        <v>2.7200000000000002E-3</v>
      </c>
      <c r="BS219">
        <f>'2012_2020'!BQ19</f>
        <v>2.0500000000000002E-3</v>
      </c>
      <c r="BT219">
        <f>'2012_2020'!BR19</f>
        <v>2.7200000000000002E-3</v>
      </c>
      <c r="BU219">
        <f>'2012_2020'!BS19</f>
        <v>2.5600000000000002E-3</v>
      </c>
      <c r="BV219">
        <f>'2012_2020'!BT19</f>
        <v>1.47E-3</v>
      </c>
      <c r="BW219">
        <f>'2012_2020'!BU19</f>
        <v>1.81E-3</v>
      </c>
      <c r="BX219">
        <f>'2012_2020'!BV19</f>
        <v>1.2899999999999999E-3</v>
      </c>
      <c r="BY219">
        <f>'2012_2020'!BW19</f>
        <v>1.98E-3</v>
      </c>
      <c r="BZ219">
        <f>'2012_2020'!BX19</f>
        <v>2.5000000000000001E-3</v>
      </c>
      <c r="CA219">
        <f>'2012_2020'!BY19</f>
        <v>3.3999999999999998E-3</v>
      </c>
      <c r="CB219">
        <f>'2012_2020'!BZ19</f>
        <v>3.2000000000000002E-3</v>
      </c>
      <c r="CC219">
        <f>'2012_2020'!CA19</f>
        <v>3.3E-3</v>
      </c>
      <c r="CD219">
        <f>'2012_2020'!CB19</f>
        <v>2.5200000000000001E-3</v>
      </c>
      <c r="CE219">
        <f>'2012_2020'!CC19</f>
        <v>2.2899999999999999E-3</v>
      </c>
      <c r="CF219">
        <f>'2012_2020'!CD19</f>
        <v>2.1900000000000001E-3</v>
      </c>
      <c r="CG219">
        <f>'2012_2020'!CE19</f>
        <v>2.2599999999999999E-3</v>
      </c>
      <c r="CH219">
        <f>'2012_2020'!CF19</f>
        <v>8.52E-4</v>
      </c>
      <c r="CI219">
        <f>'2012_2020'!CG19</f>
        <v>-5.7700000000000004E-4</v>
      </c>
      <c r="CJ219">
        <f>'2012_2020'!CH19</f>
        <v>-1.8400000000000001E-3</v>
      </c>
      <c r="CK219">
        <f>'2012_2020'!CI19</f>
        <v>1.9100000000000001E-4</v>
      </c>
      <c r="CL219">
        <f>'2012_2020'!CJ19</f>
        <v>7.9000000000000001E-4</v>
      </c>
      <c r="CM219">
        <f>'2012_2020'!CK19</f>
        <v>1.1299999999999999E-3</v>
      </c>
      <c r="CN219">
        <f>'2012_2020'!CL19</f>
        <v>6.4499999999999996E-4</v>
      </c>
      <c r="CO219">
        <f>'2012_2020'!CM19</f>
        <v>-1.4100000000000001E-4</v>
      </c>
      <c r="CP219">
        <f>'2012_2020'!CN19</f>
        <v>-8.43E-4</v>
      </c>
      <c r="CQ219">
        <f>'2012_2020'!CO19</f>
        <v>1.66E-5</v>
      </c>
      <c r="CR219">
        <f>'2012_2020'!CP19</f>
        <v>-1.89E-3</v>
      </c>
      <c r="CS219">
        <f>'2012_2020'!CQ19</f>
        <v>-3.2000000000000002E-3</v>
      </c>
      <c r="CT219">
        <f>'2012_2020'!CR19</f>
        <v>-3.2599999999999999E-3</v>
      </c>
      <c r="CU219">
        <f>'2012_2020'!CS19</f>
        <v>-4.1999999999999997E-3</v>
      </c>
      <c r="CV219">
        <f>'2012_2020'!CT19</f>
        <v>-3.3400000000000001E-3</v>
      </c>
      <c r="CW219">
        <f>'2012_2020'!CU19</f>
        <v>-4.79E-3</v>
      </c>
      <c r="CX219">
        <f>'2012_2020'!CV19</f>
        <v>-4.8099999999999998E-4</v>
      </c>
    </row>
    <row r="220" spans="1:102" x14ac:dyDescent="0.2">
      <c r="A220" t="s">
        <v>213</v>
      </c>
      <c r="B220" t="s">
        <v>219</v>
      </c>
      <c r="C220" t="s">
        <v>222</v>
      </c>
      <c r="D220">
        <f>'2012_2020'!B20</f>
        <v>-7.1499999999999994E-2</v>
      </c>
      <c r="E220">
        <f>'2012_2020'!C20</f>
        <v>-0.03</v>
      </c>
      <c r="F220">
        <f>'2012_2020'!D20</f>
        <v>3.4700000000000002E-2</v>
      </c>
      <c r="G220">
        <f>'2012_2020'!E20</f>
        <v>-0.108</v>
      </c>
      <c r="H220">
        <f>'2012_2020'!F20</f>
        <v>0.104</v>
      </c>
      <c r="I220">
        <f>'2012_2020'!G20</f>
        <v>-4.8599999999999997E-2</v>
      </c>
      <c r="J220">
        <f>'2012_2020'!H20</f>
        <v>2.7E-2</v>
      </c>
      <c r="K220">
        <f>'2012_2020'!I20</f>
        <v>2.3199999999999998E-2</v>
      </c>
      <c r="L220">
        <f>'2012_2020'!J20</f>
        <v>-1.0200000000000001E-2</v>
      </c>
      <c r="M220">
        <f>'2012_2020'!K20</f>
        <v>0.115</v>
      </c>
      <c r="N220">
        <f>'2012_2020'!L20</f>
        <v>0.10299999999999999</v>
      </c>
      <c r="O220">
        <f>'2012_2020'!M20</f>
        <v>-3.4099999999999998E-2</v>
      </c>
      <c r="P220">
        <f>'2012_2020'!N20</f>
        <v>1.6199999999999999E-2</v>
      </c>
      <c r="Q220">
        <f>'2012_2020'!O20</f>
        <v>3.4599999999999999E-2</v>
      </c>
      <c r="R220">
        <f>'2012_2020'!P20</f>
        <v>5.45E-2</v>
      </c>
      <c r="S220">
        <f>'2012_2020'!Q20</f>
        <v>3.7100000000000001E-2</v>
      </c>
      <c r="T220">
        <f>'2012_2020'!R20</f>
        <v>1.3899999999999999E-2</v>
      </c>
      <c r="U220">
        <f>'2012_2020'!S20</f>
        <v>3.3600000000000001E-3</v>
      </c>
      <c r="V220">
        <f>'2012_2020'!T20</f>
        <v>-1.1299999999999999E-3</v>
      </c>
      <c r="W220">
        <f>'2012_2020'!U20</f>
        <v>-3.8E-3</v>
      </c>
      <c r="X220">
        <f>'2012_2020'!V20</f>
        <v>-1.0999999999999999E-2</v>
      </c>
      <c r="Y220">
        <f>'2012_2020'!W20</f>
        <v>-2.52E-2</v>
      </c>
      <c r="Z220">
        <f>'2012_2020'!X20</f>
        <v>-1.7600000000000001E-2</v>
      </c>
      <c r="AA220">
        <f>'2012_2020'!Y20</f>
        <v>-5.3299999999999997E-3</v>
      </c>
      <c r="AB220">
        <f>'2012_2020'!Z20</f>
        <v>5.1000000000000004E-3</v>
      </c>
      <c r="AC220">
        <f>'2012_2020'!AA20</f>
        <v>1.38E-2</v>
      </c>
      <c r="AD220">
        <f>'2012_2020'!AB20</f>
        <v>1.5900000000000001E-2</v>
      </c>
      <c r="AE220">
        <f>'2012_2020'!AC20</f>
        <v>1.41E-2</v>
      </c>
      <c r="AF220">
        <f>'2012_2020'!AD20</f>
        <v>1.44E-2</v>
      </c>
      <c r="AG220">
        <f>'2012_2020'!AE20</f>
        <v>1.01E-2</v>
      </c>
      <c r="AH220">
        <f>'2012_2020'!AF20</f>
        <v>1.8599999999999998E-2</v>
      </c>
      <c r="AI220">
        <f>'2012_2020'!AG20</f>
        <v>1.67E-2</v>
      </c>
      <c r="AJ220">
        <f>'2012_2020'!AH20</f>
        <v>1.3299999999999999E-2</v>
      </c>
      <c r="AK220">
        <f>'2012_2020'!AI20</f>
        <v>1.5100000000000001E-2</v>
      </c>
      <c r="AL220">
        <f>'2012_2020'!AJ20</f>
        <v>1.8100000000000002E-2</v>
      </c>
      <c r="AM220">
        <f>'2012_2020'!AK20</f>
        <v>1.18E-2</v>
      </c>
      <c r="AN220">
        <f>'2012_2020'!AL20</f>
        <v>7.0299999999999998E-3</v>
      </c>
      <c r="AO220">
        <f>'2012_2020'!AM20</f>
        <v>6.96E-3</v>
      </c>
      <c r="AP220">
        <f>'2012_2020'!AN20</f>
        <v>1.12E-2</v>
      </c>
      <c r="AQ220">
        <f>'2012_2020'!AO20</f>
        <v>1.3599999999999999E-2</v>
      </c>
      <c r="AR220">
        <f>'2012_2020'!AP20</f>
        <v>1.23E-2</v>
      </c>
      <c r="AS220">
        <f>'2012_2020'!AQ20</f>
        <v>1.01E-2</v>
      </c>
      <c r="AT220">
        <f>'2012_2020'!AR20</f>
        <v>9.3500000000000007E-3</v>
      </c>
      <c r="AU220">
        <f>'2012_2020'!AS20</f>
        <v>1.2699999999999999E-2</v>
      </c>
      <c r="AV220">
        <f>'2012_2020'!AT20</f>
        <v>2.4899999999999999E-2</v>
      </c>
      <c r="AW220">
        <f>'2012_2020'!AU20</f>
        <v>2.76E-2</v>
      </c>
      <c r="AX220">
        <f>'2012_2020'!AV20</f>
        <v>1.7999999999999999E-2</v>
      </c>
      <c r="AY220">
        <f>'2012_2020'!AW20</f>
        <v>1.6199999999999999E-2</v>
      </c>
      <c r="AZ220">
        <f>'2012_2020'!AX20</f>
        <v>1.26E-2</v>
      </c>
      <c r="BA220">
        <f>'2012_2020'!AY20</f>
        <v>1.4200000000000001E-2</v>
      </c>
      <c r="BB220">
        <f>'2012_2020'!AZ20</f>
        <v>9.9500000000000005E-3</v>
      </c>
      <c r="BC220">
        <f>'2012_2020'!BA20</f>
        <v>1.3100000000000001E-2</v>
      </c>
      <c r="BD220">
        <f>'2012_2020'!BB20</f>
        <v>9.8099999999999993E-3</v>
      </c>
      <c r="BE220">
        <f>'2012_2020'!BC20</f>
        <v>1.17E-2</v>
      </c>
      <c r="BF220">
        <f>'2012_2020'!BD20</f>
        <v>1.23E-2</v>
      </c>
      <c r="BG220">
        <f>'2012_2020'!BE20</f>
        <v>2.01E-2</v>
      </c>
      <c r="BH220">
        <f>'2012_2020'!BF20</f>
        <v>2.5000000000000001E-2</v>
      </c>
      <c r="BI220">
        <f>'2012_2020'!BG20</f>
        <v>1.8499999999999999E-2</v>
      </c>
      <c r="BJ220">
        <f>'2012_2020'!BH20</f>
        <v>1.8100000000000002E-2</v>
      </c>
      <c r="BK220">
        <f>'2012_2020'!BI20</f>
        <v>1.5599999999999999E-2</v>
      </c>
      <c r="BL220">
        <f>'2012_2020'!BJ20</f>
        <v>1.4500000000000001E-2</v>
      </c>
      <c r="BM220">
        <f>'2012_2020'!BK20</f>
        <v>8.7899999999999992E-3</v>
      </c>
      <c r="BN220">
        <f>'2012_2020'!BL20</f>
        <v>4.1000000000000003E-3</v>
      </c>
      <c r="BO220">
        <f>'2012_2020'!BM20</f>
        <v>1.7799999999999999E-3</v>
      </c>
      <c r="BP220">
        <f>'2012_2020'!BN20</f>
        <v>1.6299999999999999E-3</v>
      </c>
      <c r="BQ220">
        <f>'2012_2020'!BO20</f>
        <v>7.28E-3</v>
      </c>
      <c r="BR220">
        <f>'2012_2020'!BP20</f>
        <v>1.35E-2</v>
      </c>
      <c r="BS220">
        <f>'2012_2020'!BQ20</f>
        <v>1.8499999999999999E-2</v>
      </c>
      <c r="BT220">
        <f>'2012_2020'!BR20</f>
        <v>2.9000000000000001E-2</v>
      </c>
      <c r="BU220">
        <f>'2012_2020'!BS20</f>
        <v>3.1800000000000002E-2</v>
      </c>
      <c r="BV220">
        <f>'2012_2020'!BT20</f>
        <v>3.6600000000000001E-2</v>
      </c>
      <c r="BW220">
        <f>'2012_2020'!BU20</f>
        <v>3.9E-2</v>
      </c>
      <c r="BX220">
        <f>'2012_2020'!BV20</f>
        <v>2.3800000000000002E-2</v>
      </c>
      <c r="BY220">
        <f>'2012_2020'!BW20</f>
        <v>3.4299999999999997E-2</v>
      </c>
      <c r="BZ220">
        <f>'2012_2020'!BX20</f>
        <v>3.49E-2</v>
      </c>
      <c r="CA220">
        <f>'2012_2020'!BY20</f>
        <v>3.2500000000000001E-2</v>
      </c>
      <c r="CB220">
        <f>'2012_2020'!BZ20</f>
        <v>3.3399999999999999E-2</v>
      </c>
      <c r="CC220">
        <f>'2012_2020'!CA20</f>
        <v>4.4900000000000002E-2</v>
      </c>
      <c r="CD220">
        <f>'2012_2020'!CB20</f>
        <v>3.3700000000000001E-2</v>
      </c>
      <c r="CE220">
        <f>'2012_2020'!CC20</f>
        <v>3.1E-2</v>
      </c>
      <c r="CF220">
        <f>'2012_2020'!CD20</f>
        <v>3.15E-2</v>
      </c>
      <c r="CG220">
        <f>'2012_2020'!CE20</f>
        <v>4.1500000000000002E-2</v>
      </c>
      <c r="CH220">
        <f>'2012_2020'!CF20</f>
        <v>3.7199999999999997E-2</v>
      </c>
      <c r="CI220">
        <f>'2012_2020'!CG20</f>
        <v>3.9399999999999998E-2</v>
      </c>
      <c r="CJ220">
        <f>'2012_2020'!CH20</f>
        <v>3.2300000000000002E-2</v>
      </c>
      <c r="CK220">
        <f>'2012_2020'!CI20</f>
        <v>2.9600000000000001E-2</v>
      </c>
      <c r="CL220">
        <f>'2012_2020'!CJ20</f>
        <v>2.5100000000000001E-2</v>
      </c>
      <c r="CM220">
        <f>'2012_2020'!CK20</f>
        <v>3.7199999999999997E-2</v>
      </c>
      <c r="CN220">
        <f>'2012_2020'!CL20</f>
        <v>5.3800000000000001E-2</v>
      </c>
      <c r="CO220">
        <f>'2012_2020'!CM20</f>
        <v>4.6699999999999998E-2</v>
      </c>
      <c r="CP220">
        <f>'2012_2020'!CN20</f>
        <v>4.6800000000000001E-2</v>
      </c>
      <c r="CQ220">
        <f>'2012_2020'!CO20</f>
        <v>5.1400000000000001E-2</v>
      </c>
      <c r="CR220">
        <f>'2012_2020'!CP20</f>
        <v>6.2600000000000003E-2</v>
      </c>
      <c r="CS220">
        <f>'2012_2020'!CQ20</f>
        <v>6.1400000000000003E-2</v>
      </c>
      <c r="CT220">
        <f>'2012_2020'!CR20</f>
        <v>6.4000000000000001E-2</v>
      </c>
      <c r="CU220">
        <f>'2012_2020'!CS20</f>
        <v>5.67E-2</v>
      </c>
      <c r="CV220">
        <f>'2012_2020'!CT20</f>
        <v>3.8399999999999997E-2</v>
      </c>
      <c r="CW220">
        <f>'2012_2020'!CU20</f>
        <v>6.6400000000000001E-2</v>
      </c>
      <c r="CX220">
        <f>'2012_2020'!CV20</f>
        <v>6.6699999999999995E-2</v>
      </c>
    </row>
    <row r="221" spans="1:102" x14ac:dyDescent="0.2">
      <c r="A221" t="s">
        <v>214</v>
      </c>
      <c r="B221" t="s">
        <v>219</v>
      </c>
      <c r="C221" t="s">
        <v>222</v>
      </c>
      <c r="D221">
        <f>'2012_2020'!B21</f>
        <v>3.2300000000000002E-2</v>
      </c>
      <c r="E221">
        <f>'2012_2020'!C21</f>
        <v>4.3700000000000003E-2</v>
      </c>
      <c r="F221">
        <f>'2012_2020'!D21</f>
        <v>3.6799999999999999E-2</v>
      </c>
      <c r="G221">
        <f>'2012_2020'!E21</f>
        <v>2.7900000000000001E-2</v>
      </c>
      <c r="H221">
        <f>'2012_2020'!F21</f>
        <v>5.3100000000000001E-2</v>
      </c>
      <c r="I221">
        <f>'2012_2020'!G21</f>
        <v>4.1300000000000003E-2</v>
      </c>
      <c r="J221">
        <f>'2012_2020'!H21</f>
        <v>3.3399999999999999E-2</v>
      </c>
      <c r="K221">
        <f>'2012_2020'!I21</f>
        <v>2.3800000000000002E-2</v>
      </c>
      <c r="L221">
        <f>'2012_2020'!J21</f>
        <v>2.2800000000000001E-2</v>
      </c>
      <c r="M221">
        <f>'2012_2020'!K21</f>
        <v>0.02</v>
      </c>
      <c r="N221">
        <f>'2012_2020'!L21</f>
        <v>1.5100000000000001E-2</v>
      </c>
      <c r="O221">
        <f>'2012_2020'!M21</f>
        <v>3.3600000000000001E-3</v>
      </c>
      <c r="P221">
        <f>'2012_2020'!N21</f>
        <v>1.6799999999999999E-2</v>
      </c>
      <c r="Q221">
        <f>'2012_2020'!O21</f>
        <v>2.4599999999999999E-3</v>
      </c>
      <c r="R221">
        <f>'2012_2020'!P21</f>
        <v>4.3600000000000002E-3</v>
      </c>
      <c r="S221">
        <f>'2012_2020'!Q21</f>
        <v>8.0999999999999996E-3</v>
      </c>
      <c r="T221">
        <f>'2012_2020'!R21</f>
        <v>-7.6400000000000003E-4</v>
      </c>
      <c r="U221">
        <f>'2012_2020'!S21</f>
        <v>4.5700000000000003E-3</v>
      </c>
      <c r="V221">
        <f>'2012_2020'!T21</f>
        <v>2.6099999999999999E-3</v>
      </c>
      <c r="W221">
        <f>'2012_2020'!U21</f>
        <v>1.8500000000000001E-3</v>
      </c>
      <c r="X221">
        <f>'2012_2020'!V21</f>
        <v>3.2000000000000002E-3</v>
      </c>
      <c r="Y221">
        <f>'2012_2020'!W21</f>
        <v>1.9799999999999999E-4</v>
      </c>
      <c r="Z221">
        <f>'2012_2020'!X21</f>
        <v>-2E-3</v>
      </c>
      <c r="AA221">
        <f>'2012_2020'!Y21</f>
        <v>-5.2100000000000002E-3</v>
      </c>
      <c r="AB221">
        <f>'2012_2020'!Z21</f>
        <v>4.3699999999999998E-3</v>
      </c>
      <c r="AC221">
        <f>'2012_2020'!AA21</f>
        <v>-2.97E-3</v>
      </c>
      <c r="AD221">
        <f>'2012_2020'!AB21</f>
        <v>-7.8600000000000002E-4</v>
      </c>
      <c r="AE221">
        <f>'2012_2020'!AC21</f>
        <v>-2.0500000000000002E-3</v>
      </c>
      <c r="AF221">
        <f>'2012_2020'!AD21</f>
        <v>4.45E-3</v>
      </c>
      <c r="AG221">
        <f>'2012_2020'!AE21</f>
        <v>6.5900000000000004E-3</v>
      </c>
      <c r="AH221">
        <f>'2012_2020'!AF21</f>
        <v>5.5799999999999999E-3</v>
      </c>
      <c r="AI221">
        <f>'2012_2020'!AG21</f>
        <v>9.7000000000000005E-4</v>
      </c>
      <c r="AJ221">
        <f>'2012_2020'!AH21</f>
        <v>3.96E-3</v>
      </c>
      <c r="AK221">
        <f>'2012_2020'!AI21</f>
        <v>1.47E-4</v>
      </c>
      <c r="AL221">
        <f>'2012_2020'!AJ21</f>
        <v>2.4499999999999999E-3</v>
      </c>
      <c r="AM221">
        <f>'2012_2020'!AK21</f>
        <v>2.7699999999999999E-3</v>
      </c>
      <c r="AN221">
        <f>'2012_2020'!AL21</f>
        <v>-1.31E-3</v>
      </c>
      <c r="AO221">
        <f>'2012_2020'!AM21</f>
        <v>-1.9E-3</v>
      </c>
      <c r="AP221">
        <f>'2012_2020'!AN21</f>
        <v>4.1900000000000001E-3</v>
      </c>
      <c r="AQ221">
        <f>'2012_2020'!AO21</f>
        <v>2.6199999999999999E-3</v>
      </c>
      <c r="AR221">
        <f>'2012_2020'!AP21</f>
        <v>3.9899999999999996E-3</v>
      </c>
      <c r="AS221">
        <f>'2012_2020'!AQ21</f>
        <v>-7.0500000000000006E-5</v>
      </c>
      <c r="AT221">
        <f>'2012_2020'!AR21</f>
        <v>-5.9699999999999998E-4</v>
      </c>
      <c r="AU221">
        <f>'2012_2020'!AS21</f>
        <v>-1.42E-3</v>
      </c>
      <c r="AV221">
        <f>'2012_2020'!AT21</f>
        <v>6.0099999999999997E-4</v>
      </c>
      <c r="AW221">
        <f>'2012_2020'!AU21</f>
        <v>5.62E-4</v>
      </c>
      <c r="AX221">
        <f>'2012_2020'!AV21</f>
        <v>-5.2400000000000005E-4</v>
      </c>
      <c r="AY221">
        <f>'2012_2020'!AW21</f>
        <v>1.17E-3</v>
      </c>
      <c r="AZ221">
        <f>'2012_2020'!AX21</f>
        <v>4.62E-3</v>
      </c>
      <c r="BA221">
        <f>'2012_2020'!AY21</f>
        <v>1.66E-3</v>
      </c>
      <c r="BB221">
        <f>'2012_2020'!AZ21</f>
        <v>2.0999999999999999E-3</v>
      </c>
      <c r="BC221">
        <f>'2012_2020'!BA21</f>
        <v>4.0299999999999997E-5</v>
      </c>
      <c r="BD221">
        <f>'2012_2020'!BB21</f>
        <v>5.0900000000000001E-4</v>
      </c>
      <c r="BE221">
        <f>'2012_2020'!BC21</f>
        <v>8.9599999999999999E-4</v>
      </c>
      <c r="BF221">
        <f>'2012_2020'!BD21</f>
        <v>2.65E-3</v>
      </c>
      <c r="BG221">
        <f>'2012_2020'!BE21</f>
        <v>1.9400000000000001E-3</v>
      </c>
      <c r="BH221">
        <f>'2012_2020'!BF21</f>
        <v>1.4400000000000001E-3</v>
      </c>
      <c r="BI221">
        <f>'2012_2020'!BG21</f>
        <v>1.7099999999999999E-3</v>
      </c>
      <c r="BJ221">
        <f>'2012_2020'!BH21</f>
        <v>-2.0699999999999998E-3</v>
      </c>
      <c r="BK221">
        <f>'2012_2020'!BI21</f>
        <v>8.26E-3</v>
      </c>
      <c r="BL221">
        <f>'2012_2020'!BJ21</f>
        <v>1.31E-3</v>
      </c>
      <c r="BM221">
        <f>'2012_2020'!BK21</f>
        <v>3.9899999999999996E-3</v>
      </c>
      <c r="BN221">
        <f>'2012_2020'!BL21</f>
        <v>5.3299999999999997E-3</v>
      </c>
      <c r="BO221">
        <f>'2012_2020'!BM21</f>
        <v>6.9899999999999997E-3</v>
      </c>
      <c r="BP221">
        <f>'2012_2020'!BN21</f>
        <v>6.0000000000000001E-3</v>
      </c>
      <c r="BQ221">
        <f>'2012_2020'!BO21</f>
        <v>1.5299999999999999E-3</v>
      </c>
      <c r="BR221">
        <f>'2012_2020'!BP21</f>
        <v>-8.9099999999999995E-3</v>
      </c>
      <c r="BS221">
        <f>'2012_2020'!BQ21</f>
        <v>-2.7000000000000001E-3</v>
      </c>
      <c r="BT221">
        <f>'2012_2020'!BR21</f>
        <v>5.62E-3</v>
      </c>
      <c r="BU221">
        <f>'2012_2020'!BS21</f>
        <v>6.0299999999999998E-3</v>
      </c>
      <c r="BV221">
        <f>'2012_2020'!BT21</f>
        <v>4.1599999999999996E-3</v>
      </c>
      <c r="BW221">
        <f>'2012_2020'!BU21</f>
        <v>2.5400000000000002E-3</v>
      </c>
      <c r="BX221">
        <f>'2012_2020'!BV21</f>
        <v>7.5399999999999998E-3</v>
      </c>
      <c r="BY221">
        <f>'2012_2020'!BW21</f>
        <v>5.3099999999999996E-3</v>
      </c>
      <c r="BZ221">
        <f>'2012_2020'!BX21</f>
        <v>6.2500000000000001E-4</v>
      </c>
      <c r="CA221">
        <f>'2012_2020'!BY21</f>
        <v>3.0100000000000001E-3</v>
      </c>
      <c r="CB221">
        <f>'2012_2020'!BZ21</f>
        <v>1.0500000000000001E-2</v>
      </c>
      <c r="CC221">
        <f>'2012_2020'!CA21</f>
        <v>6.7999999999999996E-3</v>
      </c>
      <c r="CD221">
        <f>'2012_2020'!CB21</f>
        <v>1.2200000000000001E-2</v>
      </c>
      <c r="CE221">
        <f>'2012_2020'!CC21</f>
        <v>1.2500000000000001E-2</v>
      </c>
      <c r="CF221">
        <f>'2012_2020'!CD21</f>
        <v>-1.0300000000000001E-3</v>
      </c>
      <c r="CG221">
        <f>'2012_2020'!CE21</f>
        <v>1.18E-2</v>
      </c>
      <c r="CH221">
        <f>'2012_2020'!CF21</f>
        <v>8.4899999999999993E-3</v>
      </c>
      <c r="CI221">
        <f>'2012_2020'!CG21</f>
        <v>1.5900000000000001E-2</v>
      </c>
      <c r="CJ221">
        <f>'2012_2020'!CH21</f>
        <v>9.7400000000000004E-3</v>
      </c>
      <c r="CK221">
        <f>'2012_2020'!CI21</f>
        <v>1.6899999999999998E-2</v>
      </c>
      <c r="CL221">
        <f>'2012_2020'!CJ21</f>
        <v>1.35E-2</v>
      </c>
      <c r="CM221">
        <f>'2012_2020'!CK21</f>
        <v>1.61E-2</v>
      </c>
      <c r="CN221">
        <f>'2012_2020'!CL21</f>
        <v>1.6500000000000001E-2</v>
      </c>
      <c r="CO221">
        <f>'2012_2020'!CM21</f>
        <v>1.52E-2</v>
      </c>
      <c r="CP221">
        <f>'2012_2020'!CN21</f>
        <v>1.5299999999999999E-2</v>
      </c>
      <c r="CQ221">
        <f>'2012_2020'!CO21</f>
        <v>2.63E-2</v>
      </c>
      <c r="CR221">
        <f>'2012_2020'!CP21</f>
        <v>2.98E-2</v>
      </c>
      <c r="CS221">
        <f>'2012_2020'!CQ21</f>
        <v>2.07E-2</v>
      </c>
      <c r="CT221">
        <f>'2012_2020'!CR21</f>
        <v>4.0899999999999999E-2</v>
      </c>
      <c r="CU221">
        <f>'2012_2020'!CS21</f>
        <v>3.6999999999999998E-2</v>
      </c>
      <c r="CV221">
        <f>'2012_2020'!CT21</f>
        <v>3.85E-2</v>
      </c>
      <c r="CW221">
        <f>'2012_2020'!CU21</f>
        <v>3.9399999999999998E-2</v>
      </c>
      <c r="CX221">
        <f>'2012_2020'!CV21</f>
        <v>4.1700000000000001E-2</v>
      </c>
    </row>
    <row r="222" spans="1:102" x14ac:dyDescent="0.2">
      <c r="A222" t="s">
        <v>215</v>
      </c>
      <c r="B222" t="s">
        <v>219</v>
      </c>
      <c r="C222" t="s">
        <v>222</v>
      </c>
      <c r="D222">
        <f>'2012_2020'!B22</f>
        <v>-4.3700000000000003E-2</v>
      </c>
      <c r="E222">
        <f>'2012_2020'!C22</f>
        <v>-5.8599999999999999E-2</v>
      </c>
      <c r="F222">
        <f>'2012_2020'!D22</f>
        <v>-5.4800000000000001E-2</v>
      </c>
      <c r="G222">
        <f>'2012_2020'!E22</f>
        <v>-9.0999999999999998E-2</v>
      </c>
      <c r="H222">
        <f>'2012_2020'!F22</f>
        <v>-3.0700000000000002E-2</v>
      </c>
      <c r="I222">
        <f>'2012_2020'!G22</f>
        <v>-2.8799999999999999E-2</v>
      </c>
      <c r="J222">
        <f>'2012_2020'!H22</f>
        <v>-5.16E-2</v>
      </c>
      <c r="K222">
        <f>'2012_2020'!I22</f>
        <v>-4.9200000000000001E-2</v>
      </c>
      <c r="L222">
        <f>'2012_2020'!J22</f>
        <v>-5.0299999999999997E-2</v>
      </c>
      <c r="M222">
        <f>'2012_2020'!K22</f>
        <v>-3.5000000000000003E-2</v>
      </c>
      <c r="N222">
        <f>'2012_2020'!L22</f>
        <v>-2.1399999999999999E-2</v>
      </c>
      <c r="O222">
        <f>'2012_2020'!M22</f>
        <v>-2.4799999999999999E-2</v>
      </c>
      <c r="P222">
        <f>'2012_2020'!N22</f>
        <v>-1.03E-2</v>
      </c>
      <c r="Q222">
        <f>'2012_2020'!O22</f>
        <v>-6.6699999999999997E-3</v>
      </c>
      <c r="R222">
        <f>'2012_2020'!P22</f>
        <v>1.58E-3</v>
      </c>
      <c r="S222">
        <f>'2012_2020'!Q22</f>
        <v>-4.3300000000000001E-4</v>
      </c>
      <c r="T222">
        <f>'2012_2020'!R22</f>
        <v>2.2899999999999999E-3</v>
      </c>
      <c r="U222">
        <f>'2012_2020'!S22</f>
        <v>-1.1000000000000001E-3</v>
      </c>
      <c r="V222">
        <f>'2012_2020'!T22</f>
        <v>1.26E-4</v>
      </c>
      <c r="W222">
        <f>'2012_2020'!U22</f>
        <v>-2.1299999999999999E-3</v>
      </c>
      <c r="X222">
        <f>'2012_2020'!V22</f>
        <v>-1.97E-3</v>
      </c>
      <c r="Y222">
        <f>'2012_2020'!W22</f>
        <v>-3.2100000000000002E-3</v>
      </c>
      <c r="Z222">
        <f>'2012_2020'!X22</f>
        <v>6.3400000000000001E-4</v>
      </c>
      <c r="AA222">
        <f>'2012_2020'!Y22</f>
        <v>-2.4499999999999999E-4</v>
      </c>
      <c r="AB222">
        <f>'2012_2020'!Z22</f>
        <v>8.8900000000000003E-4</v>
      </c>
      <c r="AC222">
        <f>'2012_2020'!AA22</f>
        <v>9.5100000000000002E-4</v>
      </c>
      <c r="AD222">
        <f>'2012_2020'!AB22</f>
        <v>2.7899999999999999E-3</v>
      </c>
      <c r="AE222">
        <f>'2012_2020'!AC22</f>
        <v>3.9300000000000003E-3</v>
      </c>
      <c r="AF222">
        <f>'2012_2020'!AD22</f>
        <v>2.0999999999999999E-3</v>
      </c>
      <c r="AG222">
        <f>'2012_2020'!AE22</f>
        <v>2.3400000000000001E-3</v>
      </c>
      <c r="AH222">
        <f>'2012_2020'!AF22</f>
        <v>3.14E-3</v>
      </c>
      <c r="AI222">
        <f>'2012_2020'!AG22</f>
        <v>2.7699999999999999E-3</v>
      </c>
      <c r="AJ222">
        <f>'2012_2020'!AH22</f>
        <v>1.65E-3</v>
      </c>
      <c r="AK222">
        <f>'2012_2020'!AI22</f>
        <v>4.4900000000000001E-3</v>
      </c>
      <c r="AL222">
        <f>'2012_2020'!AJ22</f>
        <v>3.5400000000000002E-3</v>
      </c>
      <c r="AM222">
        <f>'2012_2020'!AK22</f>
        <v>2.7200000000000002E-3</v>
      </c>
      <c r="AN222">
        <f>'2012_2020'!AL22</f>
        <v>1.15E-3</v>
      </c>
      <c r="AO222">
        <f>'2012_2020'!AM22</f>
        <v>3.0500000000000002E-3</v>
      </c>
      <c r="AP222">
        <f>'2012_2020'!AN22</f>
        <v>2.6199999999999999E-3</v>
      </c>
      <c r="AQ222">
        <f>'2012_2020'!AO22</f>
        <v>3.81E-3</v>
      </c>
      <c r="AR222">
        <f>'2012_2020'!AP22</f>
        <v>8.3999999999999995E-3</v>
      </c>
      <c r="AS222">
        <f>'2012_2020'!AQ22</f>
        <v>2.8300000000000001E-3</v>
      </c>
      <c r="AT222">
        <f>'2012_2020'!AR22</f>
        <v>3.5599999999999998E-3</v>
      </c>
      <c r="AU222">
        <f>'2012_2020'!AS22</f>
        <v>5.3499999999999997E-3</v>
      </c>
      <c r="AV222">
        <f>'2012_2020'!AT22</f>
        <v>7.4799999999999997E-3</v>
      </c>
      <c r="AW222">
        <f>'2012_2020'!AU22</f>
        <v>7.2899999999999996E-3</v>
      </c>
      <c r="AX222">
        <f>'2012_2020'!AV22</f>
        <v>4.3200000000000001E-3</v>
      </c>
      <c r="AY222">
        <f>'2012_2020'!AW22</f>
        <v>4.4600000000000004E-3</v>
      </c>
      <c r="AZ222">
        <f>'2012_2020'!AX22</f>
        <v>2.63E-3</v>
      </c>
      <c r="BA222">
        <f>'2012_2020'!AY22</f>
        <v>-5.3899999999999998E-4</v>
      </c>
      <c r="BB222">
        <f>'2012_2020'!AZ22</f>
        <v>-2.4099999999999998E-3</v>
      </c>
      <c r="BC222">
        <f>'2012_2020'!BA22</f>
        <v>-2.2100000000000002E-3</v>
      </c>
      <c r="BD222">
        <f>'2012_2020'!BB22</f>
        <v>-1.1199999999999999E-3</v>
      </c>
      <c r="BE222">
        <f>'2012_2020'!BC22</f>
        <v>-6.9999999999999999E-4</v>
      </c>
      <c r="BF222">
        <f>'2012_2020'!BD22</f>
        <v>-4.9899999999999999E-4</v>
      </c>
      <c r="BG222">
        <f>'2012_2020'!BE22</f>
        <v>4.28E-4</v>
      </c>
      <c r="BH222">
        <f>'2012_2020'!BF22</f>
        <v>8.2299999999999995E-4</v>
      </c>
      <c r="BI222">
        <f>'2012_2020'!BG22</f>
        <v>-5.0499999999999998E-3</v>
      </c>
      <c r="BJ222">
        <f>'2012_2020'!BH22</f>
        <v>-6.3899999999999998E-3</v>
      </c>
      <c r="BK222">
        <f>'2012_2020'!BI22</f>
        <v>-4.47E-3</v>
      </c>
      <c r="BL222">
        <f>'2012_2020'!BJ22</f>
        <v>-3.4399999999999999E-3</v>
      </c>
      <c r="BM222">
        <f>'2012_2020'!BK22</f>
        <v>-2.5000000000000001E-3</v>
      </c>
      <c r="BN222">
        <f>'2012_2020'!BL22</f>
        <v>-5.1200000000000004E-3</v>
      </c>
      <c r="BO222">
        <f>'2012_2020'!BM22</f>
        <v>-9.4800000000000006E-3</v>
      </c>
      <c r="BP222">
        <f>'2012_2020'!BN22</f>
        <v>-8.77E-3</v>
      </c>
      <c r="BQ222">
        <f>'2012_2020'!BO22</f>
        <v>-7.7999999999999996E-3</v>
      </c>
      <c r="BR222">
        <f>'2012_2020'!BP22</f>
        <v>-7.7600000000000004E-3</v>
      </c>
      <c r="BS222">
        <f>'2012_2020'!BQ22</f>
        <v>-5.28E-3</v>
      </c>
      <c r="BT222">
        <f>'2012_2020'!BR22</f>
        <v>-1.57E-3</v>
      </c>
      <c r="BU222">
        <f>'2012_2020'!BS22</f>
        <v>-2E-3</v>
      </c>
      <c r="BV222">
        <f>'2012_2020'!BT22</f>
        <v>-3.3899999999999998E-3</v>
      </c>
      <c r="BW222">
        <f>'2012_2020'!BU22</f>
        <v>-3.5100000000000001E-3</v>
      </c>
      <c r="BX222">
        <f>'2012_2020'!BV22</f>
        <v>-8.2199999999999999E-3</v>
      </c>
      <c r="BY222">
        <f>'2012_2020'!BW22</f>
        <v>-9.1699999999999993E-3</v>
      </c>
      <c r="BZ222">
        <f>'2012_2020'!BX22</f>
        <v>-9.6200000000000001E-3</v>
      </c>
      <c r="CA222">
        <f>'2012_2020'!BY22</f>
        <v>3.62E-3</v>
      </c>
      <c r="CB222">
        <f>'2012_2020'!BZ22</f>
        <v>5.1000000000000004E-3</v>
      </c>
      <c r="CC222">
        <f>'2012_2020'!CA22</f>
        <v>9.3900000000000008E-3</v>
      </c>
      <c r="CD222">
        <f>'2012_2020'!CB22</f>
        <v>9.1199999999999996E-3</v>
      </c>
      <c r="CE222">
        <f>'2012_2020'!CC22</f>
        <v>1.09E-2</v>
      </c>
      <c r="CF222">
        <f>'2012_2020'!CD22</f>
        <v>1.0699999999999999E-2</v>
      </c>
      <c r="CG222">
        <f>'2012_2020'!CE22</f>
        <v>8.9099999999999995E-3</v>
      </c>
      <c r="CH222">
        <f>'2012_2020'!CF22</f>
        <v>7.5399999999999998E-3</v>
      </c>
      <c r="CI222">
        <f>'2012_2020'!CG22</f>
        <v>8.7299999999999999E-3</v>
      </c>
      <c r="CJ222">
        <f>'2012_2020'!CH22</f>
        <v>1.41E-2</v>
      </c>
      <c r="CK222">
        <f>'2012_2020'!CI22</f>
        <v>2.1000000000000001E-2</v>
      </c>
      <c r="CL222">
        <f>'2012_2020'!CJ22</f>
        <v>1.7100000000000001E-2</v>
      </c>
      <c r="CM222">
        <f>'2012_2020'!CK22</f>
        <v>7.3499999999999998E-3</v>
      </c>
      <c r="CN222">
        <f>'2012_2020'!CL22</f>
        <v>5.2300000000000003E-3</v>
      </c>
      <c r="CO222">
        <f>'2012_2020'!CM22</f>
        <v>-3.0699999999999998E-3</v>
      </c>
      <c r="CP222">
        <f>'2012_2020'!CN22</f>
        <v>-1.6199999999999999E-3</v>
      </c>
      <c r="CQ222">
        <f>'2012_2020'!CO22</f>
        <v>1.25E-3</v>
      </c>
      <c r="CR222">
        <f>'2012_2020'!CP22</f>
        <v>-1.2E-2</v>
      </c>
      <c r="CS222">
        <f>'2012_2020'!CQ22</f>
        <v>-8.6499999999999997E-3</v>
      </c>
      <c r="CT222">
        <f>'2012_2020'!CR22</f>
        <v>-8.6999999999999994E-3</v>
      </c>
      <c r="CU222">
        <f>'2012_2020'!CS22</f>
        <v>-8.6E-3</v>
      </c>
      <c r="CV222">
        <f>'2012_2020'!CT22</f>
        <v>1.57E-3</v>
      </c>
      <c r="CW222">
        <f>'2012_2020'!CU22</f>
        <v>-4.4099999999999999E-3</v>
      </c>
      <c r="CX222">
        <f>'2012_2020'!CV22</f>
        <v>-6.5900000000000004E-3</v>
      </c>
    </row>
    <row r="223" spans="1:102" x14ac:dyDescent="0.2">
      <c r="A223" t="s">
        <v>216</v>
      </c>
      <c r="B223" t="s">
        <v>219</v>
      </c>
      <c r="C223" t="s">
        <v>222</v>
      </c>
      <c r="D223">
        <f>'2012_2020'!B23</f>
        <v>0.22700000000000001</v>
      </c>
      <c r="E223">
        <f>'2012_2020'!C23</f>
        <v>-0.33300000000000002</v>
      </c>
      <c r="F223">
        <f>'2012_2020'!D23</f>
        <v>-0.68</v>
      </c>
      <c r="G223">
        <f>'2012_2020'!E23</f>
        <v>0.36099999999999999</v>
      </c>
      <c r="H223">
        <f>'2012_2020'!F23</f>
        <v>-0.93</v>
      </c>
      <c r="I223">
        <f>'2012_2020'!G23</f>
        <v>-7.22E-2</v>
      </c>
      <c r="J223">
        <f>'2012_2020'!H23</f>
        <v>-0.375</v>
      </c>
      <c r="K223">
        <f>'2012_2020'!I23</f>
        <v>-0.27</v>
      </c>
      <c r="L223">
        <f>'2012_2020'!J23</f>
        <v>-2.4899999999999999E-2</v>
      </c>
      <c r="M223">
        <f>'2012_2020'!K23</f>
        <v>-0.53100000000000003</v>
      </c>
      <c r="N223">
        <f>'2012_2020'!L23</f>
        <v>-0.43099999999999999</v>
      </c>
      <c r="O223">
        <f>'2012_2020'!M23</f>
        <v>0.183</v>
      </c>
      <c r="P223">
        <f>'2012_2020'!N23</f>
        <v>-4.3400000000000001E-2</v>
      </c>
      <c r="Q223">
        <f>'2012_2020'!O23</f>
        <v>-4.7100000000000003E-2</v>
      </c>
      <c r="R223">
        <f>'2012_2020'!P23</f>
        <v>-0.112</v>
      </c>
      <c r="S223">
        <f>'2012_2020'!Q23</f>
        <v>-8.6499999999999994E-2</v>
      </c>
      <c r="T223">
        <f>'2012_2020'!R23</f>
        <v>4.6699999999999998E-2</v>
      </c>
      <c r="U223">
        <f>'2012_2020'!S23</f>
        <v>8.4599999999999995E-2</v>
      </c>
      <c r="V223">
        <f>'2012_2020'!T23</f>
        <v>0.13100000000000001</v>
      </c>
      <c r="W223">
        <f>'2012_2020'!U23</f>
        <v>0.11899999999999999</v>
      </c>
      <c r="X223">
        <f>'2012_2020'!V23</f>
        <v>9.7600000000000006E-2</v>
      </c>
      <c r="Y223">
        <f>'2012_2020'!W23</f>
        <v>0.19700000000000001</v>
      </c>
      <c r="Z223">
        <f>'2012_2020'!X23</f>
        <v>0.17799999999999999</v>
      </c>
      <c r="AA223">
        <f>'2012_2020'!Y23</f>
        <v>0.13100000000000001</v>
      </c>
      <c r="AB223">
        <f>'2012_2020'!Z23</f>
        <v>8.7599999999999997E-2</v>
      </c>
      <c r="AC223">
        <f>'2012_2020'!AA23</f>
        <v>6.2600000000000003E-2</v>
      </c>
      <c r="AD223">
        <f>'2012_2020'!AB23</f>
        <v>5.3600000000000002E-2</v>
      </c>
      <c r="AE223">
        <f>'2012_2020'!AC23</f>
        <v>3.49E-2</v>
      </c>
      <c r="AF223">
        <f>'2012_2020'!AD23</f>
        <v>2.2499999999999999E-2</v>
      </c>
      <c r="AG223">
        <f>'2012_2020'!AE23</f>
        <v>1.5800000000000002E-2</v>
      </c>
      <c r="AH223">
        <f>'2012_2020'!AF23</f>
        <v>-2.02E-4</v>
      </c>
      <c r="AI223">
        <f>'2012_2020'!AG23</f>
        <v>-8.1600000000000006E-3</v>
      </c>
      <c r="AJ223">
        <f>'2012_2020'!AH23</f>
        <v>-2.6599999999999999E-2</v>
      </c>
      <c r="AK223">
        <f>'2012_2020'!AI23</f>
        <v>-4.3799999999999999E-2</v>
      </c>
      <c r="AL223">
        <f>'2012_2020'!AJ23</f>
        <v>-5.8000000000000003E-2</v>
      </c>
      <c r="AM223">
        <f>'2012_2020'!AK23</f>
        <v>-5.5800000000000002E-2</v>
      </c>
      <c r="AN223">
        <f>'2012_2020'!AL23</f>
        <v>-4.3999999999999997E-2</v>
      </c>
      <c r="AO223">
        <f>'2012_2020'!AM23</f>
        <v>-4.6100000000000002E-2</v>
      </c>
      <c r="AP223">
        <f>'2012_2020'!AN23</f>
        <v>-6.2100000000000002E-2</v>
      </c>
      <c r="AQ223">
        <f>'2012_2020'!AO23</f>
        <v>-4.5699999999999998E-2</v>
      </c>
      <c r="AR223">
        <f>'2012_2020'!AP23</f>
        <v>-4.7899999999999998E-2</v>
      </c>
      <c r="AS223">
        <f>'2012_2020'!AQ23</f>
        <v>-7.0699999999999999E-3</v>
      </c>
      <c r="AT223">
        <f>'2012_2020'!AR23</f>
        <v>-8.5800000000000008E-3</v>
      </c>
      <c r="AU223">
        <f>'2012_2020'!AS23</f>
        <v>-3.6800000000000001E-3</v>
      </c>
      <c r="AV223">
        <f>'2012_2020'!AT23</f>
        <v>-4.2299999999999997E-2</v>
      </c>
      <c r="AW223">
        <f>'2012_2020'!AU23</f>
        <v>-4.7699999999999999E-2</v>
      </c>
      <c r="AX223">
        <f>'2012_2020'!AV23</f>
        <v>-5.0799999999999998E-2</v>
      </c>
      <c r="AY223">
        <f>'2012_2020'!AW23</f>
        <v>-1.1299999999999999E-2</v>
      </c>
      <c r="AZ223">
        <f>'2012_2020'!AX23</f>
        <v>-1.49E-2</v>
      </c>
      <c r="BA223">
        <f>'2012_2020'!AY23</f>
        <v>1.5299999999999999E-2</v>
      </c>
      <c r="BB223">
        <f>'2012_2020'!AZ23</f>
        <v>2.9100000000000001E-2</v>
      </c>
      <c r="BC223">
        <f>'2012_2020'!BA23</f>
        <v>5.8099999999999999E-2</v>
      </c>
      <c r="BD223">
        <f>'2012_2020'!BB23</f>
        <v>6.3899999999999998E-2</v>
      </c>
      <c r="BE223">
        <f>'2012_2020'!BC23</f>
        <v>7.4300000000000005E-2</v>
      </c>
      <c r="BF223">
        <f>'2012_2020'!BD23</f>
        <v>6.9000000000000006E-2</v>
      </c>
      <c r="BG223">
        <f>'2012_2020'!BE23</f>
        <v>3.7199999999999997E-2</v>
      </c>
      <c r="BH223">
        <f>'2012_2020'!BF23</f>
        <v>-4.1900000000000001E-3</v>
      </c>
      <c r="BI223">
        <f>'2012_2020'!BG23</f>
        <v>-3.6299999999999999E-2</v>
      </c>
      <c r="BJ223">
        <f>'2012_2020'!BH23</f>
        <v>-5.91E-2</v>
      </c>
      <c r="BK223">
        <f>'2012_2020'!BI23</f>
        <v>-6.7199999999999996E-2</v>
      </c>
      <c r="BL223">
        <f>'2012_2020'!BJ23</f>
        <v>-4.1700000000000001E-2</v>
      </c>
      <c r="BM223">
        <f>'2012_2020'!BK23</f>
        <v>-3.0800000000000001E-2</v>
      </c>
      <c r="BN223">
        <f>'2012_2020'!BL23</f>
        <v>7.7600000000000004E-3</v>
      </c>
      <c r="BO223">
        <f>'2012_2020'!BM23</f>
        <v>0.10100000000000001</v>
      </c>
      <c r="BP223">
        <f>'2012_2020'!BN23</f>
        <v>0.183</v>
      </c>
      <c r="BQ223">
        <f>'2012_2020'!BO23</f>
        <v>0.17699999999999999</v>
      </c>
      <c r="BR223">
        <f>'2012_2020'!BP23</f>
        <v>0.13300000000000001</v>
      </c>
      <c r="BS223">
        <f>'2012_2020'!BQ23</f>
        <v>0.11700000000000001</v>
      </c>
      <c r="BT223">
        <f>'2012_2020'!BR23</f>
        <v>0.114</v>
      </c>
      <c r="BU223">
        <f>'2012_2020'!BS23</f>
        <v>4.4999999999999998E-2</v>
      </c>
      <c r="BV223">
        <f>'2012_2020'!BT23</f>
        <v>-0.111</v>
      </c>
      <c r="BW223">
        <f>'2012_2020'!BU23</f>
        <v>-0.16300000000000001</v>
      </c>
      <c r="BX223">
        <f>'2012_2020'!BV23</f>
        <v>-0.104</v>
      </c>
      <c r="BY223">
        <f>'2012_2020'!BW23</f>
        <v>-3.2500000000000001E-2</v>
      </c>
      <c r="BZ223">
        <f>'2012_2020'!BX23</f>
        <v>3.0300000000000001E-3</v>
      </c>
      <c r="CA223">
        <f>'2012_2020'!BY23</f>
        <v>-1.0999999999999999E-2</v>
      </c>
      <c r="CB223">
        <f>'2012_2020'!BZ23</f>
        <v>-6.8199999999999997E-3</v>
      </c>
      <c r="CC223">
        <f>'2012_2020'!CA23</f>
        <v>1.38E-2</v>
      </c>
      <c r="CD223">
        <f>'2012_2020'!CB23</f>
        <v>9.9400000000000002E-2</v>
      </c>
      <c r="CE223">
        <f>'2012_2020'!CC23</f>
        <v>0.188</v>
      </c>
      <c r="CF223">
        <f>'2012_2020'!CD23</f>
        <v>0.20899999999999999</v>
      </c>
      <c r="CG223">
        <f>'2012_2020'!CE23</f>
        <v>0.126</v>
      </c>
      <c r="CH223">
        <f>'2012_2020'!CF23</f>
        <v>-7.5399999999999995E-2</v>
      </c>
      <c r="CI223">
        <f>'2012_2020'!CG23</f>
        <v>-0.17100000000000001</v>
      </c>
      <c r="CJ223">
        <f>'2012_2020'!CH23</f>
        <v>-0.158</v>
      </c>
      <c r="CK223">
        <f>'2012_2020'!CI23</f>
        <v>0.19800000000000001</v>
      </c>
      <c r="CL223">
        <f>'2012_2020'!CJ23</f>
        <v>0.26100000000000001</v>
      </c>
      <c r="CM223">
        <f>'2012_2020'!CK23</f>
        <v>0.20100000000000001</v>
      </c>
      <c r="CN223">
        <f>'2012_2020'!CL23</f>
        <v>0.106</v>
      </c>
      <c r="CO223">
        <f>'2012_2020'!CM23</f>
        <v>0.11700000000000001</v>
      </c>
      <c r="CP223">
        <f>'2012_2020'!CN23</f>
        <v>0.18099999999999999</v>
      </c>
      <c r="CQ223">
        <f>'2012_2020'!CO23</f>
        <v>0.28399999999999997</v>
      </c>
      <c r="CR223">
        <f>'2012_2020'!CP23</f>
        <v>0.14099999999999999</v>
      </c>
      <c r="CS223">
        <f>'2012_2020'!CQ23</f>
        <v>4.1599999999999996E-3</v>
      </c>
      <c r="CT223">
        <f>'2012_2020'!CR23</f>
        <v>9.4899999999999998E-2</v>
      </c>
      <c r="CU223">
        <f>'2012_2020'!CS23</f>
        <v>-8.0199999999999994E-3</v>
      </c>
      <c r="CV223">
        <f>'2012_2020'!CT23</f>
        <v>0.34200000000000003</v>
      </c>
      <c r="CW223">
        <f>'2012_2020'!CU23</f>
        <v>-7.9399999999999991E-3</v>
      </c>
      <c r="CX223">
        <f>'2012_2020'!CV23</f>
        <v>3.6700000000000003E-2</v>
      </c>
    </row>
    <row r="224" spans="1:102" x14ac:dyDescent="0.2">
      <c r="A224" t="s">
        <v>5909</v>
      </c>
      <c r="B224" t="s">
        <v>219</v>
      </c>
      <c r="C224" t="s">
        <v>222</v>
      </c>
      <c r="D224">
        <f>'2012_2020 Int_Confianca'!B61</f>
        <v>-0.28699999999999998</v>
      </c>
      <c r="E224">
        <f>'2012_2020 Int_Confianca'!C61</f>
        <v>0.1007</v>
      </c>
      <c r="F224">
        <f>'2012_2020 Int_Confianca'!D61</f>
        <v>0.44990000000000002</v>
      </c>
      <c r="G224">
        <f>'2012_2020 Int_Confianca'!E61</f>
        <v>-0.1615</v>
      </c>
      <c r="H224">
        <f>'2012_2020 Int_Confianca'!F61</f>
        <v>0.625</v>
      </c>
      <c r="I224">
        <f>'2012_2020 Int_Confianca'!G61</f>
        <v>9.8500000000000004E-2</v>
      </c>
      <c r="J224">
        <f>'2012_2020 Int_Confianca'!H61</f>
        <v>0.29210000000000003</v>
      </c>
      <c r="K224">
        <f>'2012_2020 Int_Confianca'!I61</f>
        <v>0.20669999999999999</v>
      </c>
      <c r="L224">
        <f>'2012_2020 Int_Confianca'!J61</f>
        <v>6.4600000000000005E-2</v>
      </c>
      <c r="M224">
        <f>'2012_2020 Int_Confianca'!K61</f>
        <v>0.32919999999999999</v>
      </c>
      <c r="N224">
        <f>'2012_2020 Int_Confianca'!L61</f>
        <v>0.25340000000000001</v>
      </c>
      <c r="O224">
        <f>'2012_2020 Int_Confianca'!M61</f>
        <v>-5.3900000000000003E-2</v>
      </c>
      <c r="P224">
        <f>'2012_2020 Int_Confianca'!N61</f>
        <v>1.83E-2</v>
      </c>
      <c r="Q224">
        <f>'2012_2020 Int_Confianca'!O61</f>
        <v>2.2599999999999999E-2</v>
      </c>
      <c r="R224">
        <f>'2012_2020 Int_Confianca'!P61</f>
        <v>6.0699999999999997E-2</v>
      </c>
      <c r="S224">
        <f>'2012_2020 Int_Confianca'!Q61</f>
        <v>6.0900000000000003E-2</v>
      </c>
      <c r="T224">
        <f>'2012_2020 Int_Confianca'!R61</f>
        <v>3.8999999999999998E-3</v>
      </c>
      <c r="U224">
        <f>'2012_2020 Int_Confianca'!S61</f>
        <v>-2.18E-2</v>
      </c>
      <c r="V224">
        <f>'2012_2020 Int_Confianca'!T61</f>
        <v>-5.0099999999999999E-2</v>
      </c>
      <c r="W224">
        <f>'2012_2020 Int_Confianca'!U61</f>
        <v>-5.0599999999999999E-2</v>
      </c>
      <c r="X224">
        <f>'2012_2020 Int_Confianca'!V61</f>
        <v>-4.2900000000000001E-2</v>
      </c>
      <c r="Y224">
        <f>'2012_2020 Int_Confianca'!W61</f>
        <v>-8.0500000000000002E-2</v>
      </c>
      <c r="Z224">
        <f>'2012_2020 Int_Confianca'!X61</f>
        <v>-7.4499999999999997E-2</v>
      </c>
      <c r="AA224">
        <f>'2012_2020 Int_Confianca'!Y61</f>
        <v>-6.8699999999999997E-2</v>
      </c>
      <c r="AB224">
        <f>'2012_2020 Int_Confianca'!Z61</f>
        <v>-6.3899999999999998E-2</v>
      </c>
      <c r="AC224">
        <f>'2012_2020 Int_Confianca'!AA61</f>
        <v>-6.1499999999999999E-2</v>
      </c>
      <c r="AD224">
        <f>'2012_2020 Int_Confianca'!AB61</f>
        <v>-5.3199999999999997E-2</v>
      </c>
      <c r="AE224">
        <f>'2012_2020 Int_Confianca'!AC61</f>
        <v>-4.5999999999999999E-2</v>
      </c>
      <c r="AF224">
        <f>'2012_2020 Int_Confianca'!AD61</f>
        <v>-4.6399999999999997E-2</v>
      </c>
      <c r="AG224">
        <f>'2012_2020 Int_Confianca'!AE61</f>
        <v>-4.7899999999999998E-2</v>
      </c>
      <c r="AH224">
        <f>'2012_2020 Int_Confianca'!AF61</f>
        <v>-4.7E-2</v>
      </c>
      <c r="AI224">
        <f>'2012_2020 Int_Confianca'!AG61</f>
        <v>-4.2299999999999997E-2</v>
      </c>
      <c r="AJ224">
        <f>'2012_2020 Int_Confianca'!AH61</f>
        <v>-3.8800000000000001E-2</v>
      </c>
      <c r="AK224">
        <f>'2012_2020 Int_Confianca'!AI61</f>
        <v>-3.7400000000000003E-2</v>
      </c>
      <c r="AL224">
        <f>'2012_2020 Int_Confianca'!AJ61</f>
        <v>-1.95E-2</v>
      </c>
      <c r="AM224">
        <f>'2012_2020 Int_Confianca'!AK61</f>
        <v>-1.2E-2</v>
      </c>
      <c r="AN224">
        <f>'2012_2020 Int_Confianca'!AL61</f>
        <v>-2.0500000000000001E-2</v>
      </c>
      <c r="AO224">
        <f>'2012_2020 Int_Confianca'!AM61</f>
        <v>-3.78E-2</v>
      </c>
      <c r="AP224">
        <f>'2012_2020 Int_Confianca'!AN61</f>
        <v>-5.0700000000000002E-2</v>
      </c>
      <c r="AQ224">
        <f>'2012_2020 Int_Confianca'!AO61</f>
        <v>-6.4199999999999993E-2</v>
      </c>
      <c r="AR224">
        <f>'2012_2020 Int_Confianca'!AP61</f>
        <v>-6.8699999999999997E-2</v>
      </c>
      <c r="AS224">
        <f>'2012_2020 Int_Confianca'!AQ61</f>
        <v>-8.3500000000000005E-2</v>
      </c>
      <c r="AT224">
        <f>'2012_2020 Int_Confianca'!AR61</f>
        <v>-8.6699999999999999E-2</v>
      </c>
      <c r="AU224">
        <f>'2012_2020 Int_Confianca'!AS61</f>
        <v>-8.72E-2</v>
      </c>
      <c r="AV224">
        <f>'2012_2020 Int_Confianca'!AT61</f>
        <v>-8.7999999999999995E-2</v>
      </c>
      <c r="AW224">
        <f>'2012_2020 Int_Confianca'!AU61</f>
        <v>-8.2299999999999998E-2</v>
      </c>
      <c r="AX224">
        <f>'2012_2020 Int_Confianca'!AV61</f>
        <v>-7.9500000000000001E-2</v>
      </c>
      <c r="AY224">
        <f>'2012_2020 Int_Confianca'!AW61</f>
        <v>-9.0999999999999998E-2</v>
      </c>
      <c r="AZ224">
        <f>'2012_2020 Int_Confianca'!AX61</f>
        <v>-8.8800000000000004E-2</v>
      </c>
      <c r="BA224">
        <f>'2012_2020 Int_Confianca'!AY61</f>
        <v>-0.1014</v>
      </c>
      <c r="BB224">
        <f>'2012_2020 Int_Confianca'!AZ61</f>
        <v>-0.1042</v>
      </c>
      <c r="BC224">
        <f>'2012_2020 Int_Confianca'!BA61</f>
        <v>-0.1328</v>
      </c>
      <c r="BD224">
        <f>'2012_2020 Int_Confianca'!BB61</f>
        <v>-0.1643</v>
      </c>
      <c r="BE224">
        <f>'2012_2020 Int_Confianca'!BC61</f>
        <v>-0.1847</v>
      </c>
      <c r="BF224">
        <f>'2012_2020 Int_Confianca'!BD61</f>
        <v>-0.1651</v>
      </c>
      <c r="BG224">
        <f>'2012_2020 Int_Confianca'!BE61</f>
        <v>-0.16869999999999999</v>
      </c>
      <c r="BH224">
        <f>'2012_2020 Int_Confianca'!BF61</f>
        <v>-0.15190000000000001</v>
      </c>
      <c r="BI224">
        <f>'2012_2020 Int_Confianca'!BG61</f>
        <v>-0.12820000000000001</v>
      </c>
      <c r="BJ224">
        <f>'2012_2020 Int_Confianca'!BH61</f>
        <v>-0.1179</v>
      </c>
      <c r="BK224">
        <f>'2012_2020 Int_Confianca'!BI61</f>
        <v>-9.6799999999999997E-2</v>
      </c>
      <c r="BL224">
        <f>'2012_2020 Int_Confianca'!BJ61</f>
        <v>-9.1200000000000003E-2</v>
      </c>
      <c r="BM224">
        <f>'2012_2020 Int_Confianca'!BK61</f>
        <v>-0.1202</v>
      </c>
      <c r="BN224">
        <f>'2012_2020 Int_Confianca'!BL61</f>
        <v>-0.15640000000000001</v>
      </c>
      <c r="BO224">
        <f>'2012_2020 Int_Confianca'!BM61</f>
        <v>-0.20230000000000001</v>
      </c>
      <c r="BP224">
        <f>'2012_2020 Int_Confianca'!BN61</f>
        <v>-0.2369</v>
      </c>
      <c r="BQ224">
        <f>'2012_2020 Int_Confianca'!BO61</f>
        <v>-0.25259999999999999</v>
      </c>
      <c r="BR224">
        <f>'2012_2020 Int_Confianca'!BP61</f>
        <v>-0.2487</v>
      </c>
      <c r="BS224">
        <f>'2012_2020 Int_Confianca'!BQ61</f>
        <v>-0.2596</v>
      </c>
      <c r="BT224">
        <f>'2012_2020 Int_Confianca'!BR61</f>
        <v>-0.26640000000000003</v>
      </c>
      <c r="BU224">
        <f>'2012_2020 Int_Confianca'!BS61</f>
        <v>-0.2329</v>
      </c>
      <c r="BV224">
        <f>'2012_2020 Int_Confianca'!BT61</f>
        <v>-0.15890000000000001</v>
      </c>
      <c r="BW224">
        <f>'2012_2020 Int_Confianca'!BU61</f>
        <v>-0.13320000000000001</v>
      </c>
      <c r="BX224">
        <f>'2012_2020 Int_Confianca'!BV61</f>
        <v>-0.16239999999999999</v>
      </c>
      <c r="BY224">
        <f>'2012_2020 Int_Confianca'!BW61</f>
        <v>-0.22120000000000001</v>
      </c>
      <c r="BZ224">
        <f>'2012_2020 Int_Confianca'!BX61</f>
        <v>-0.2394</v>
      </c>
      <c r="CA224">
        <f>'2012_2020 Int_Confianca'!BY61</f>
        <v>-0.25519999999999998</v>
      </c>
      <c r="CB224">
        <f>'2012_2020 Int_Confianca'!BZ61</f>
        <v>-0.22969999999999999</v>
      </c>
      <c r="CC224">
        <f>'2012_2020 Int_Confianca'!CA61</f>
        <v>-0.27439999999999998</v>
      </c>
      <c r="CD224">
        <f>'2012_2020 Int_Confianca'!CB61</f>
        <v>-0.33160000000000001</v>
      </c>
      <c r="CE224">
        <f>'2012_2020 Int_Confianca'!CC61</f>
        <v>-0.38030000000000003</v>
      </c>
      <c r="CF224">
        <f>'2012_2020 Int_Confianca'!CD61</f>
        <v>-0.42630000000000001</v>
      </c>
      <c r="CG224">
        <f>'2012_2020 Int_Confianca'!CE61</f>
        <v>-0.3931</v>
      </c>
      <c r="CH224">
        <f>'2012_2020 Int_Confianca'!CF61</f>
        <v>-0.2576</v>
      </c>
      <c r="CI224">
        <f>'2012_2020 Int_Confianca'!CG61</f>
        <v>-0.1711</v>
      </c>
      <c r="CJ224">
        <f>'2012_2020 Int_Confianca'!CH61</f>
        <v>-0.18759999999999999</v>
      </c>
      <c r="CK224">
        <f>'2012_2020 Int_Confianca'!CI61</f>
        <v>-0.45190000000000002</v>
      </c>
      <c r="CL224">
        <f>'2012_2020 Int_Confianca'!CJ61</f>
        <v>-0.4753</v>
      </c>
      <c r="CM224">
        <f>'2012_2020 Int_Confianca'!CK61</f>
        <v>-0.46300000000000002</v>
      </c>
      <c r="CN224">
        <f>'2012_2020 Int_Confianca'!CL61</f>
        <v>-0.41620000000000001</v>
      </c>
      <c r="CO224">
        <f>'2012_2020 Int_Confianca'!CM61</f>
        <v>-0.42230000000000001</v>
      </c>
      <c r="CP224">
        <f>'2012_2020 Int_Confianca'!CN61</f>
        <v>-0.41959999999999997</v>
      </c>
      <c r="CQ224">
        <f>'2012_2020 Int_Confianca'!CO61</f>
        <v>-0.56410000000000005</v>
      </c>
      <c r="CR224">
        <f>'2012_2020 Int_Confianca'!CP61</f>
        <v>-0.5111</v>
      </c>
      <c r="CS224">
        <f>'2012_2020 Int_Confianca'!CQ61</f>
        <v>-0.40670000000000001</v>
      </c>
      <c r="CT224">
        <f>'2012_2020 Int_Confianca'!CR61</f>
        <v>-0.5081</v>
      </c>
      <c r="CU224">
        <f>'2012_2020 Int_Confianca'!CS61</f>
        <v>-0.33689999999999998</v>
      </c>
      <c r="CV224">
        <f>'2012_2020 Int_Confianca'!CT61</f>
        <v>-0.55589999999999995</v>
      </c>
      <c r="CW224">
        <f>'2012_2020 Int_Confianca'!CU61</f>
        <v>-0.43730000000000002</v>
      </c>
      <c r="CX224">
        <f>'2012_2020 Int_Confianca'!CV61</f>
        <v>-0.41170000000000001</v>
      </c>
    </row>
    <row r="225" spans="1:102" x14ac:dyDescent="0.2">
      <c r="A225" t="s">
        <v>5910</v>
      </c>
      <c r="B225" t="s">
        <v>219</v>
      </c>
      <c r="C225" t="s">
        <v>222</v>
      </c>
      <c r="D225">
        <f>'2012_2020 Int_Confianca'!B62</f>
        <v>0.33279999999999998</v>
      </c>
      <c r="E225">
        <f>'2012_2020 Int_Confianca'!C62</f>
        <v>0.76919999999999999</v>
      </c>
      <c r="F225">
        <f>'2012_2020 Int_Confianca'!D62</f>
        <v>1.0487</v>
      </c>
      <c r="G225">
        <f>'2012_2020 Int_Confianca'!E62</f>
        <v>0.22090000000000001</v>
      </c>
      <c r="H225">
        <f>'2012_2020 Int_Confianca'!F62</f>
        <v>1.0943000000000001</v>
      </c>
      <c r="I225">
        <f>'2012_2020 Int_Confianca'!G62</f>
        <v>0.4476</v>
      </c>
      <c r="J225">
        <f>'2012_2020 Int_Confianca'!H62</f>
        <v>0.63780000000000003</v>
      </c>
      <c r="K225">
        <f>'2012_2020 Int_Confianca'!I62</f>
        <v>0.50539999999999996</v>
      </c>
      <c r="L225">
        <f>'2012_2020 Int_Confianca'!J62</f>
        <v>0.32400000000000001</v>
      </c>
      <c r="M225">
        <f>'2012_2020 Int_Confianca'!K62</f>
        <v>0.57089999999999996</v>
      </c>
      <c r="N225">
        <f>'2012_2020 Int_Confianca'!L62</f>
        <v>0.46820000000000001</v>
      </c>
      <c r="O225">
        <f>'2012_2020 Int_Confianca'!M62</f>
        <v>9.5799999999999996E-2</v>
      </c>
      <c r="P225">
        <f>'2012_2020 Int_Confianca'!N62</f>
        <v>0.15939999999999999</v>
      </c>
      <c r="Q225">
        <f>'2012_2020 Int_Confianca'!O62</f>
        <v>0.14549999999999999</v>
      </c>
      <c r="R225">
        <f>'2012_2020 Int_Confianca'!P62</f>
        <v>0.16639999999999999</v>
      </c>
      <c r="S225">
        <f>'2012_2020 Int_Confianca'!Q62</f>
        <v>0.15540000000000001</v>
      </c>
      <c r="T225">
        <f>'2012_2020 Int_Confianca'!R62</f>
        <v>8.5800000000000001E-2</v>
      </c>
      <c r="U225">
        <f>'2012_2020 Int_Confianca'!S62</f>
        <v>5.4600000000000003E-2</v>
      </c>
      <c r="V225">
        <f>'2012_2020 Int_Confianca'!T62</f>
        <v>1.7999999999999999E-2</v>
      </c>
      <c r="W225">
        <f>'2012_2020 Int_Confianca'!U62</f>
        <v>1.52E-2</v>
      </c>
      <c r="X225">
        <f>'2012_2020 Int_Confianca'!V62</f>
        <v>2.0799999999999999E-2</v>
      </c>
      <c r="Y225">
        <f>'2012_2020 Int_Confianca'!W62</f>
        <v>-2.2100000000000002E-2</v>
      </c>
      <c r="Z225">
        <f>'2012_2020 Int_Confianca'!X62</f>
        <v>-1.6299999999999999E-2</v>
      </c>
      <c r="AA225">
        <f>'2012_2020 Int_Confianca'!Y62</f>
        <v>-1.11E-2</v>
      </c>
      <c r="AB225">
        <f>'2012_2020 Int_Confianca'!Z62</f>
        <v>-7.1999999999999998E-3</v>
      </c>
      <c r="AC225">
        <f>'2012_2020 Int_Confianca'!AA62</f>
        <v>-5.7999999999999996E-3</v>
      </c>
      <c r="AD225">
        <f>'2012_2020 Int_Confianca'!AB62</f>
        <v>2E-3</v>
      </c>
      <c r="AE225">
        <f>'2012_2020 Int_Confianca'!AC62</f>
        <v>9.2999999999999992E-3</v>
      </c>
      <c r="AF225">
        <f>'2012_2020 Int_Confianca'!AD62</f>
        <v>9.1000000000000004E-3</v>
      </c>
      <c r="AG225">
        <f>'2012_2020 Int_Confianca'!AE62</f>
        <v>8.3000000000000001E-3</v>
      </c>
      <c r="AH225">
        <f>'2012_2020 Int_Confianca'!AF62</f>
        <v>1.0999999999999999E-2</v>
      </c>
      <c r="AI225">
        <f>'2012_2020 Int_Confianca'!AG62</f>
        <v>1.6500000000000001E-2</v>
      </c>
      <c r="AJ225">
        <f>'2012_2020 Int_Confianca'!AH62</f>
        <v>2.0899999999999998E-2</v>
      </c>
      <c r="AK225">
        <f>'2012_2020 Int_Confianca'!AI62</f>
        <v>2.46E-2</v>
      </c>
      <c r="AL225">
        <f>'2012_2020 Int_Confianca'!AJ62</f>
        <v>4.5400000000000003E-2</v>
      </c>
      <c r="AM225">
        <f>'2012_2020 Int_Confianca'!AK62</f>
        <v>5.28E-2</v>
      </c>
      <c r="AN225">
        <f>'2012_2020 Int_Confianca'!AL62</f>
        <v>4.4900000000000002E-2</v>
      </c>
      <c r="AO225">
        <f>'2012_2020 Int_Confianca'!AM62</f>
        <v>2.7900000000000001E-2</v>
      </c>
      <c r="AP225">
        <f>'2012_2020 Int_Confianca'!AN62</f>
        <v>1.5100000000000001E-2</v>
      </c>
      <c r="AQ225">
        <f>'2012_2020 Int_Confianca'!AO62</f>
        <v>1.9E-3</v>
      </c>
      <c r="AR225">
        <f>'2012_2020 Int_Confianca'!AP62</f>
        <v>-2.3E-3</v>
      </c>
      <c r="AS225">
        <f>'2012_2020 Int_Confianca'!AQ62</f>
        <v>-1.6899999999999998E-2</v>
      </c>
      <c r="AT225">
        <f>'2012_2020 Int_Confianca'!AR62</f>
        <v>-2.0299999999999999E-2</v>
      </c>
      <c r="AU225">
        <f>'2012_2020 Int_Confianca'!AS62</f>
        <v>-2.0899999999999998E-2</v>
      </c>
      <c r="AV225">
        <f>'2012_2020 Int_Confianca'!AT62</f>
        <v>-2.24E-2</v>
      </c>
      <c r="AW225">
        <f>'2012_2020 Int_Confianca'!AU62</f>
        <v>-1.6899999999999998E-2</v>
      </c>
      <c r="AX225">
        <f>'2012_2020 Int_Confianca'!AV62</f>
        <v>-1.4200000000000001E-2</v>
      </c>
      <c r="AY225">
        <f>'2012_2020 Int_Confianca'!AW62</f>
        <v>-2.5600000000000001E-2</v>
      </c>
      <c r="AZ225">
        <f>'2012_2020 Int_Confianca'!AX62</f>
        <v>-2.3099999999999999E-2</v>
      </c>
      <c r="BA225">
        <f>'2012_2020 Int_Confianca'!AY62</f>
        <v>-3.4599999999999999E-2</v>
      </c>
      <c r="BB225">
        <f>'2012_2020 Int_Confianca'!AZ62</f>
        <v>-3.5900000000000001E-2</v>
      </c>
      <c r="BC225">
        <f>'2012_2020 Int_Confianca'!BA62</f>
        <v>-6.3600000000000004E-2</v>
      </c>
      <c r="BD225">
        <f>'2012_2020 Int_Confianca'!BB62</f>
        <v>-9.4299999999999995E-2</v>
      </c>
      <c r="BE225">
        <f>'2012_2020 Int_Confianca'!BC62</f>
        <v>-0.1132</v>
      </c>
      <c r="BF225">
        <f>'2012_2020 Int_Confianca'!BD62</f>
        <v>-9.1200000000000003E-2</v>
      </c>
      <c r="BG225">
        <f>'2012_2020 Int_Confianca'!BE62</f>
        <v>-9.6299999999999997E-2</v>
      </c>
      <c r="BH225">
        <f>'2012_2020 Int_Confianca'!BF62</f>
        <v>-7.8700000000000006E-2</v>
      </c>
      <c r="BI225">
        <f>'2012_2020 Int_Confianca'!BG62</f>
        <v>-5.4199999999999998E-2</v>
      </c>
      <c r="BJ225">
        <f>'2012_2020 Int_Confianca'!BH62</f>
        <v>-4.3900000000000002E-2</v>
      </c>
      <c r="BK225">
        <f>'2012_2020 Int_Confianca'!BI62</f>
        <v>-2.1499999999999998E-2</v>
      </c>
      <c r="BL225">
        <f>'2012_2020 Int_Confianca'!BJ62</f>
        <v>-1.6400000000000001E-2</v>
      </c>
      <c r="BM225">
        <f>'2012_2020 Int_Confianca'!BK62</f>
        <v>-4.5400000000000003E-2</v>
      </c>
      <c r="BN225">
        <f>'2012_2020 Int_Confianca'!BL62</f>
        <v>-8.1600000000000006E-2</v>
      </c>
      <c r="BO225">
        <f>'2012_2020 Int_Confianca'!BM62</f>
        <v>-0.1295</v>
      </c>
      <c r="BP225">
        <f>'2012_2020 Int_Confianca'!BN62</f>
        <v>-0.16470000000000001</v>
      </c>
      <c r="BQ225">
        <f>'2012_2020 Int_Confianca'!BO62</f>
        <v>-0.18</v>
      </c>
      <c r="BR225">
        <f>'2012_2020 Int_Confianca'!BP62</f>
        <v>-0.17910000000000001</v>
      </c>
      <c r="BS225">
        <f>'2012_2020 Int_Confianca'!BQ62</f>
        <v>-0.19040000000000001</v>
      </c>
      <c r="BT225">
        <f>'2012_2020 Int_Confianca'!BR62</f>
        <v>-0.1986</v>
      </c>
      <c r="BU225">
        <f>'2012_2020 Int_Confianca'!BS62</f>
        <v>-0.1598</v>
      </c>
      <c r="BV225">
        <f>'2012_2020 Int_Confianca'!BT62</f>
        <v>-7.3499999999999996E-2</v>
      </c>
      <c r="BW225">
        <f>'2012_2020 Int_Confianca'!BU62</f>
        <v>-4.2599999999999999E-2</v>
      </c>
      <c r="BX225">
        <f>'2012_2020 Int_Confianca'!BV62</f>
        <v>-7.0900000000000005E-2</v>
      </c>
      <c r="BY225">
        <f>'2012_2020 Int_Confianca'!BW62</f>
        <v>-0.13200000000000001</v>
      </c>
      <c r="BZ225">
        <f>'2012_2020 Int_Confianca'!BX62</f>
        <v>-0.15229999999999999</v>
      </c>
      <c r="CA225">
        <f>'2012_2020 Int_Confianca'!BY62</f>
        <v>-0.16839999999999999</v>
      </c>
      <c r="CB225">
        <f>'2012_2020 Int_Confianca'!BZ62</f>
        <v>-0.14169999999999999</v>
      </c>
      <c r="CC225">
        <f>'2012_2020 Int_Confianca'!CA62</f>
        <v>-0.18459999999999999</v>
      </c>
      <c r="CD225">
        <f>'2012_2020 Int_Confianca'!CB62</f>
        <v>-0.2407</v>
      </c>
      <c r="CE225">
        <f>'2012_2020 Int_Confianca'!CC62</f>
        <v>-0.28739999999999999</v>
      </c>
      <c r="CF225">
        <f>'2012_2020 Int_Confianca'!CD62</f>
        <v>-0.33250000000000002</v>
      </c>
      <c r="CG225">
        <f>'2012_2020 Int_Confianca'!CE62</f>
        <v>-0.30109999999999998</v>
      </c>
      <c r="CH225">
        <f>'2012_2020 Int_Confianca'!CF62</f>
        <v>-0.16800000000000001</v>
      </c>
      <c r="CI225">
        <f>'2012_2020 Int_Confianca'!CG62</f>
        <v>-7.6200000000000004E-2</v>
      </c>
      <c r="CJ225">
        <f>'2012_2020 Int_Confianca'!CH62</f>
        <v>-8.4599999999999995E-2</v>
      </c>
      <c r="CK225">
        <f>'2012_2020 Int_Confianca'!CI62</f>
        <v>-0.34810000000000002</v>
      </c>
      <c r="CL225">
        <f>'2012_2020 Int_Confianca'!CJ62</f>
        <v>-0.3755</v>
      </c>
      <c r="CM225">
        <f>'2012_2020 Int_Confianca'!CK62</f>
        <v>-0.36630000000000001</v>
      </c>
      <c r="CN225">
        <f>'2012_2020 Int_Confianca'!CL62</f>
        <v>-0.30120000000000002</v>
      </c>
      <c r="CO225">
        <f>'2012_2020 Int_Confianca'!CM62</f>
        <v>-0.30370000000000003</v>
      </c>
      <c r="CP225">
        <f>'2012_2020 Int_Confianca'!CN62</f>
        <v>-0.30809999999999998</v>
      </c>
      <c r="CQ225">
        <f>'2012_2020 Int_Confianca'!CO62</f>
        <v>-0.44290000000000002</v>
      </c>
      <c r="CR225">
        <f>'2012_2020 Int_Confianca'!CP62</f>
        <v>-0.34939999999999999</v>
      </c>
      <c r="CS225">
        <f>'2012_2020 Int_Confianca'!CQ62</f>
        <v>-0.23960000000000001</v>
      </c>
      <c r="CT225">
        <f>'2012_2020 Int_Confianca'!CR62</f>
        <v>-0.31869999999999998</v>
      </c>
      <c r="CU225">
        <f>'2012_2020 Int_Confianca'!CS62</f>
        <v>-0.15210000000000001</v>
      </c>
      <c r="CV225">
        <f>'2012_2020 Int_Confianca'!CT62</f>
        <v>-0.34560000000000002</v>
      </c>
      <c r="CW225">
        <f>'2012_2020 Int_Confianca'!CU62</f>
        <v>-0.1198</v>
      </c>
      <c r="CX225">
        <f>'2012_2020 Int_Confianca'!CV62</f>
        <v>-0.19259999999999999</v>
      </c>
    </row>
    <row r="226" spans="1:102" x14ac:dyDescent="0.2">
      <c r="A226" t="s">
        <v>5911</v>
      </c>
      <c r="B226" t="s">
        <v>219</v>
      </c>
      <c r="C226" t="s">
        <v>222</v>
      </c>
      <c r="D226">
        <f>'2012_2020 Int_Confianca'!B63</f>
        <v>-0.23519999999999999</v>
      </c>
      <c r="E226">
        <f>'2012_2020 Int_Confianca'!C63</f>
        <v>-0.2084</v>
      </c>
      <c r="F226">
        <f>'2012_2020 Int_Confianca'!D63</f>
        <v>-0.1953</v>
      </c>
      <c r="G226">
        <f>'2012_2020 Int_Confianca'!E63</f>
        <v>-0.32390000000000002</v>
      </c>
      <c r="H226">
        <f>'2012_2020 Int_Confianca'!F63</f>
        <v>-9.7500000000000003E-2</v>
      </c>
      <c r="I226">
        <f>'2012_2020 Int_Confianca'!G63</f>
        <v>-0.25330000000000003</v>
      </c>
      <c r="J226">
        <f>'2012_2020 Int_Confianca'!H63</f>
        <v>-0.1515</v>
      </c>
      <c r="K226">
        <f>'2012_2020 Int_Confianca'!I63</f>
        <v>-0.1338</v>
      </c>
      <c r="L226">
        <f>'2012_2020 Int_Confianca'!J63</f>
        <v>-0.16239999999999999</v>
      </c>
      <c r="M226">
        <f>'2012_2020 Int_Confianca'!K63</f>
        <v>-3.5200000000000002E-2</v>
      </c>
      <c r="N226">
        <f>'2012_2020 Int_Confianca'!L63</f>
        <v>-4.0000000000000001E-3</v>
      </c>
      <c r="O226">
        <f>'2012_2020 Int_Confianca'!M63</f>
        <v>-0.1106</v>
      </c>
      <c r="P226">
        <f>'2012_2020 Int_Confianca'!N63</f>
        <v>-4.6699999999999998E-2</v>
      </c>
      <c r="Q226">
        <f>'2012_2020 Int_Confianca'!O63</f>
        <v>-3.5799999999999998E-2</v>
      </c>
      <c r="R226">
        <f>'2012_2020 Int_Confianca'!P63</f>
        <v>-1.7899999999999999E-2</v>
      </c>
      <c r="S226">
        <f>'2012_2020 Int_Confianca'!Q63</f>
        <v>-1.55E-2</v>
      </c>
      <c r="T226">
        <f>'2012_2020 Int_Confianca'!R63</f>
        <v>-4.2799999999999998E-2</v>
      </c>
      <c r="U226">
        <f>'2012_2020 Int_Confianca'!S63</f>
        <v>-4.5499999999999999E-2</v>
      </c>
      <c r="V226">
        <f>'2012_2020 Int_Confianca'!T63</f>
        <v>-4.9500000000000002E-2</v>
      </c>
      <c r="W226">
        <f>'2012_2020 Int_Confianca'!U63</f>
        <v>-3.61E-2</v>
      </c>
      <c r="X226">
        <f>'2012_2020 Int_Confianca'!V63</f>
        <v>-2.9600000000000001E-2</v>
      </c>
      <c r="Y226">
        <f>'2012_2020 Int_Confianca'!W63</f>
        <v>-5.4699999999999999E-2</v>
      </c>
      <c r="Z226">
        <f>'2012_2020 Int_Confianca'!X63</f>
        <v>-5.5899999999999998E-2</v>
      </c>
      <c r="AA226">
        <f>'2012_2020 Int_Confianca'!Y63</f>
        <v>-4.3700000000000003E-2</v>
      </c>
      <c r="AB226">
        <f>'2012_2020 Int_Confianca'!Z63</f>
        <v>-3.5000000000000003E-2</v>
      </c>
      <c r="AC226">
        <f>'2012_2020 Int_Confianca'!AA63</f>
        <v>-2.8299999999999999E-2</v>
      </c>
      <c r="AD226">
        <f>'2012_2020 Int_Confianca'!AB63</f>
        <v>-2.24E-2</v>
      </c>
      <c r="AE226">
        <f>'2012_2020 Int_Confianca'!AC63</f>
        <v>-1.78E-2</v>
      </c>
      <c r="AF226">
        <f>'2012_2020 Int_Confianca'!AD63</f>
        <v>-1.4200000000000001E-2</v>
      </c>
      <c r="AG226">
        <f>'2012_2020 Int_Confianca'!AE63</f>
        <v>-8.3000000000000001E-3</v>
      </c>
      <c r="AH226">
        <f>'2012_2020 Int_Confianca'!AF63</f>
        <v>6.4000000000000003E-3</v>
      </c>
      <c r="AI226">
        <f>'2012_2020 Int_Confianca'!AG63</f>
        <v>1.21E-2</v>
      </c>
      <c r="AJ226">
        <f>'2012_2020 Int_Confianca'!AH63</f>
        <v>2.23E-2</v>
      </c>
      <c r="AK226">
        <f>'2012_2020 Int_Confianca'!AI63</f>
        <v>3.1099999999999999E-2</v>
      </c>
      <c r="AL226">
        <f>'2012_2020 Int_Confianca'!AJ63</f>
        <v>4.5400000000000003E-2</v>
      </c>
      <c r="AM226">
        <f>'2012_2020 Int_Confianca'!AK63</f>
        <v>4.5199999999999997E-2</v>
      </c>
      <c r="AN226">
        <f>'2012_2020 Int_Confianca'!AL63</f>
        <v>4.7399999999999998E-2</v>
      </c>
      <c r="AO226">
        <f>'2012_2020 Int_Confianca'!AM63</f>
        <v>3.9899999999999998E-2</v>
      </c>
      <c r="AP226">
        <f>'2012_2020 Int_Confianca'!AN63</f>
        <v>4.0399999999999998E-2</v>
      </c>
      <c r="AQ226">
        <f>'2012_2020 Int_Confianca'!AO63</f>
        <v>3.85E-2</v>
      </c>
      <c r="AR226">
        <f>'2012_2020 Int_Confianca'!AP63</f>
        <v>3.8399999999999997E-2</v>
      </c>
      <c r="AS226">
        <f>'2012_2020 Int_Confianca'!AQ63</f>
        <v>2.1000000000000001E-2</v>
      </c>
      <c r="AT226">
        <f>'2012_2020 Int_Confianca'!AR63</f>
        <v>2.1499999999999998E-2</v>
      </c>
      <c r="AU226">
        <f>'2012_2020 Int_Confianca'!AS63</f>
        <v>2.0799999999999999E-2</v>
      </c>
      <c r="AV226">
        <f>'2012_2020 Int_Confianca'!AT63</f>
        <v>2.6800000000000001E-2</v>
      </c>
      <c r="AW226">
        <f>'2012_2020 Int_Confianca'!AU63</f>
        <v>2.5000000000000001E-2</v>
      </c>
      <c r="AX226">
        <f>'2012_2020 Int_Confianca'!AV63</f>
        <v>2.1600000000000001E-2</v>
      </c>
      <c r="AY226">
        <f>'2012_2020 Int_Confianca'!AW63</f>
        <v>1.1599999999999999E-2</v>
      </c>
      <c r="AZ226">
        <f>'2012_2020 Int_Confianca'!AX63</f>
        <v>1.7399999999999999E-2</v>
      </c>
      <c r="BA226">
        <f>'2012_2020 Int_Confianca'!AY63</f>
        <v>9.9000000000000008E-3</v>
      </c>
      <c r="BB226">
        <f>'2012_2020 Int_Confianca'!AZ63</f>
        <v>1.9199999999999998E-2</v>
      </c>
      <c r="BC226">
        <f>'2012_2020 Int_Confianca'!BA63</f>
        <v>-5.8999999999999999E-3</v>
      </c>
      <c r="BD226">
        <f>'2012_2020 Int_Confianca'!BB63</f>
        <v>-2.64E-2</v>
      </c>
      <c r="BE226">
        <f>'2012_2020 Int_Confianca'!BC63</f>
        <v>-2.7900000000000001E-2</v>
      </c>
      <c r="BF226">
        <f>'2012_2020 Int_Confianca'!BD63</f>
        <v>-1.54E-2</v>
      </c>
      <c r="BG226">
        <f>'2012_2020 Int_Confianca'!BE63</f>
        <v>-6.1999999999999998E-3</v>
      </c>
      <c r="BH226">
        <f>'2012_2020 Int_Confianca'!BF63</f>
        <v>1.01E-2</v>
      </c>
      <c r="BI226">
        <f>'2012_2020 Int_Confianca'!BG63</f>
        <v>3.2599999999999997E-2</v>
      </c>
      <c r="BJ226">
        <f>'2012_2020 Int_Confianca'!BH63</f>
        <v>3.3599999999999998E-2</v>
      </c>
      <c r="BK226">
        <f>'2012_2020 Int_Confianca'!BI63</f>
        <v>4.7300000000000002E-2</v>
      </c>
      <c r="BL226">
        <f>'2012_2020 Int_Confianca'!BJ63</f>
        <v>5.3900000000000003E-2</v>
      </c>
      <c r="BM226">
        <f>'2012_2020 Int_Confianca'!BK63</f>
        <v>4.48E-2</v>
      </c>
      <c r="BN226">
        <f>'2012_2020 Int_Confianca'!BL63</f>
        <v>0</v>
      </c>
      <c r="BO226">
        <f>'2012_2020 Int_Confianca'!BM63</f>
        <v>-4.2299999999999997E-2</v>
      </c>
      <c r="BP226">
        <f>'2012_2020 Int_Confianca'!BN63</f>
        <v>-6.9500000000000006E-2</v>
      </c>
      <c r="BQ226">
        <f>'2012_2020 Int_Confianca'!BO63</f>
        <v>-7.9000000000000001E-2</v>
      </c>
      <c r="BR226">
        <f>'2012_2020 Int_Confianca'!BP63</f>
        <v>-7.8399999999999997E-2</v>
      </c>
      <c r="BS226">
        <f>'2012_2020 Int_Confianca'!BQ63</f>
        <v>-8.5400000000000004E-2</v>
      </c>
      <c r="BT226">
        <f>'2012_2020 Int_Confianca'!BR63</f>
        <v>-9.2600000000000002E-2</v>
      </c>
      <c r="BU226">
        <f>'2012_2020 Int_Confianca'!BS63</f>
        <v>-4.48E-2</v>
      </c>
      <c r="BV226">
        <f>'2012_2020 Int_Confianca'!BT63</f>
        <v>5.5800000000000002E-2</v>
      </c>
      <c r="BW226">
        <f>'2012_2020 Int_Confianca'!BU63</f>
        <v>9.0999999999999998E-2</v>
      </c>
      <c r="BX226">
        <f>'2012_2020 Int_Confianca'!BV63</f>
        <v>6.4799999999999996E-2</v>
      </c>
      <c r="BY226">
        <f>'2012_2020 Int_Confianca'!BW63</f>
        <v>2.6599999999999999E-2</v>
      </c>
      <c r="BZ226">
        <f>'2012_2020 Int_Confianca'!BX63</f>
        <v>5.1000000000000004E-3</v>
      </c>
      <c r="CA226">
        <f>'2012_2020 Int_Confianca'!BY63</f>
        <v>-1.4500000000000001E-2</v>
      </c>
      <c r="CB226">
        <f>'2012_2020 Int_Confianca'!BZ63</f>
        <v>1.83E-2</v>
      </c>
      <c r="CC226">
        <f>'2012_2020 Int_Confianca'!CA63</f>
        <v>-1.2500000000000001E-2</v>
      </c>
      <c r="CD226">
        <f>'2012_2020 Int_Confianca'!CB63</f>
        <v>-6.7599999999999993E-2</v>
      </c>
      <c r="CE226">
        <f>'2012_2020 Int_Confianca'!CC63</f>
        <v>-8.9700000000000002E-2</v>
      </c>
      <c r="CF226">
        <f>'2012_2020 Int_Confianca'!CD63</f>
        <v>-0.12529999999999999</v>
      </c>
      <c r="CG226">
        <f>'2012_2020 Int_Confianca'!CE63</f>
        <v>-9.9599999999999994E-2</v>
      </c>
      <c r="CH226">
        <f>'2012_2020 Int_Confianca'!CF63</f>
        <v>2.07E-2</v>
      </c>
      <c r="CI226">
        <f>'2012_2020 Int_Confianca'!CG63</f>
        <v>9.9699999999999997E-2</v>
      </c>
      <c r="CJ226">
        <f>'2012_2020 Int_Confianca'!CH63</f>
        <v>0.1241</v>
      </c>
      <c r="CK226">
        <f>'2012_2020 Int_Confianca'!CI63</f>
        <v>-0.10979999999999999</v>
      </c>
      <c r="CL226">
        <f>'2012_2020 Int_Confianca'!CJ63</f>
        <v>-0.152</v>
      </c>
      <c r="CM226">
        <f>'2012_2020 Int_Confianca'!CK63</f>
        <v>-0.15429999999999999</v>
      </c>
      <c r="CN226">
        <f>'2012_2020 Int_Confianca'!CL63</f>
        <v>-6.4500000000000002E-2</v>
      </c>
      <c r="CO226">
        <f>'2012_2020 Int_Confianca'!CM63</f>
        <v>-6.6299999999999998E-2</v>
      </c>
      <c r="CP226">
        <f>'2012_2020 Int_Confianca'!CN63</f>
        <v>-9.1899999999999996E-2</v>
      </c>
      <c r="CQ226">
        <f>'2012_2020 Int_Confianca'!CO63</f>
        <v>-0.20930000000000001</v>
      </c>
      <c r="CR226">
        <f>'2012_2020 Int_Confianca'!CP63</f>
        <v>-8.9300000000000004E-2</v>
      </c>
      <c r="CS226">
        <f>'2012_2020 Int_Confianca'!CQ63</f>
        <v>-2.5999999999999999E-3</v>
      </c>
      <c r="CT226">
        <f>'2012_2020 Int_Confianca'!CR63</f>
        <v>-8.6400000000000005E-2</v>
      </c>
      <c r="CU226">
        <f>'2012_2020 Int_Confianca'!CS63</f>
        <v>-2.9999999999999997E-4</v>
      </c>
      <c r="CV226">
        <f>'2012_2020 Int_Confianca'!CT63</f>
        <v>-0.23430000000000001</v>
      </c>
      <c r="CW226">
        <f>'2012_2020 Int_Confianca'!CU63</f>
        <v>-6.88E-2</v>
      </c>
      <c r="CX226">
        <f>'2012_2020 Int_Confianca'!CV63</f>
        <v>-0.15890000000000001</v>
      </c>
    </row>
    <row r="227" spans="1:102" x14ac:dyDescent="0.2">
      <c r="A227" t="s">
        <v>5912</v>
      </c>
      <c r="B227" t="s">
        <v>219</v>
      </c>
      <c r="C227" t="s">
        <v>222</v>
      </c>
      <c r="D227">
        <f>'2012_2020 Int_Confianca'!B64</f>
        <v>6.1000000000000004E-3</v>
      </c>
      <c r="E227">
        <f>'2012_2020 Int_Confianca'!C64</f>
        <v>4.8300000000000003E-2</v>
      </c>
      <c r="F227">
        <f>'2012_2020 Int_Confianca'!D64</f>
        <v>5.4300000000000001E-2</v>
      </c>
      <c r="G227">
        <f>'2012_2020 Int_Confianca'!E64</f>
        <v>-0.15010000000000001</v>
      </c>
      <c r="H227">
        <f>'2012_2020 Int_Confianca'!F64</f>
        <v>0.1016</v>
      </c>
      <c r="I227">
        <f>'2012_2020 Int_Confianca'!G64</f>
        <v>-8.6300000000000002E-2</v>
      </c>
      <c r="J227">
        <f>'2012_2020 Int_Confianca'!H64</f>
        <v>1.6500000000000001E-2</v>
      </c>
      <c r="K227">
        <f>'2012_2020 Int_Confianca'!I64</f>
        <v>3.7999999999999999E-2</v>
      </c>
      <c r="L227">
        <f>'2012_2020 Int_Confianca'!J64</f>
        <v>-1.2E-2</v>
      </c>
      <c r="M227">
        <f>'2012_2020 Int_Confianca'!K64</f>
        <v>0.1072</v>
      </c>
      <c r="N227">
        <f>'2012_2020 Int_Confianca'!L64</f>
        <v>0.12529999999999999</v>
      </c>
      <c r="O227">
        <f>'2012_2020 Int_Confianca'!M64</f>
        <v>-1.9800000000000002E-2</v>
      </c>
      <c r="P227">
        <f>'2012_2020 Int_Confianca'!N64</f>
        <v>0.04</v>
      </c>
      <c r="Q227">
        <f>'2012_2020 Int_Confianca'!O64</f>
        <v>4.0800000000000003E-2</v>
      </c>
      <c r="R227">
        <f>'2012_2020 Int_Confianca'!P64</f>
        <v>4.8599999999999997E-2</v>
      </c>
      <c r="S227">
        <f>'2012_2020 Int_Confianca'!Q64</f>
        <v>4.4900000000000002E-2</v>
      </c>
      <c r="T227">
        <f>'2012_2020 Int_Confianca'!R64</f>
        <v>1.0699999999999999E-2</v>
      </c>
      <c r="U227">
        <f>'2012_2020 Int_Confianca'!S64</f>
        <v>5.0000000000000001E-3</v>
      </c>
      <c r="V227">
        <f>'2012_2020 Int_Confianca'!T64</f>
        <v>-3.5000000000000001E-3</v>
      </c>
      <c r="W227">
        <f>'2012_2020 Int_Confianca'!U64</f>
        <v>9.4999999999999998E-3</v>
      </c>
      <c r="X227">
        <f>'2012_2020 Int_Confianca'!V64</f>
        <v>1.4800000000000001E-2</v>
      </c>
      <c r="Y227">
        <f>'2012_2020 Int_Confianca'!W64</f>
        <v>-1.34E-2</v>
      </c>
      <c r="Z227">
        <f>'2012_2020 Int_Confianca'!X64</f>
        <v>-1.4800000000000001E-2</v>
      </c>
      <c r="AA227">
        <f>'2012_2020 Int_Confianca'!Y64</f>
        <v>-2.5999999999999999E-3</v>
      </c>
      <c r="AB227">
        <f>'2012_2020 Int_Confianca'!Z64</f>
        <v>5.8999999999999999E-3</v>
      </c>
      <c r="AC227">
        <f>'2012_2020 Int_Confianca'!AA64</f>
        <v>1.21E-2</v>
      </c>
      <c r="AD227">
        <f>'2012_2020 Int_Confianca'!AB64</f>
        <v>1.7999999999999999E-2</v>
      </c>
      <c r="AE227">
        <f>'2012_2020 Int_Confianca'!AC64</f>
        <v>2.3E-2</v>
      </c>
      <c r="AF227">
        <f>'2012_2020 Int_Confianca'!AD64</f>
        <v>2.6700000000000002E-2</v>
      </c>
      <c r="AG227">
        <f>'2012_2020 Int_Confianca'!AE64</f>
        <v>3.3099999999999997E-2</v>
      </c>
      <c r="AH227">
        <f>'2012_2020 Int_Confianca'!AF64</f>
        <v>4.9299999999999997E-2</v>
      </c>
      <c r="AI227">
        <f>'2012_2020 Int_Confianca'!AG64</f>
        <v>5.5800000000000002E-2</v>
      </c>
      <c r="AJ227">
        <f>'2012_2020 Int_Confianca'!AH64</f>
        <v>6.6500000000000004E-2</v>
      </c>
      <c r="AK227">
        <f>'2012_2020 Int_Confianca'!AI64</f>
        <v>7.7200000000000005E-2</v>
      </c>
      <c r="AL227">
        <f>'2012_2020 Int_Confianca'!AJ64</f>
        <v>9.3600000000000003E-2</v>
      </c>
      <c r="AM227">
        <f>'2012_2020 Int_Confianca'!AK64</f>
        <v>9.4299999999999995E-2</v>
      </c>
      <c r="AN227">
        <f>'2012_2020 Int_Confianca'!AL64</f>
        <v>9.7000000000000003E-2</v>
      </c>
      <c r="AO227">
        <f>'2012_2020 Int_Confianca'!AM64</f>
        <v>9.01E-2</v>
      </c>
      <c r="AP227">
        <f>'2012_2020 Int_Confianca'!AN64</f>
        <v>9.0899999999999995E-2</v>
      </c>
      <c r="AQ227">
        <f>'2012_2020 Int_Confianca'!AO64</f>
        <v>8.9300000000000004E-2</v>
      </c>
      <c r="AR227">
        <f>'2012_2020 Int_Confianca'!AP64</f>
        <v>8.9099999999999999E-2</v>
      </c>
      <c r="AS227">
        <f>'2012_2020 Int_Confianca'!AQ64</f>
        <v>7.1900000000000006E-2</v>
      </c>
      <c r="AT227">
        <f>'2012_2020 Int_Confianca'!AR64</f>
        <v>7.22E-2</v>
      </c>
      <c r="AU227">
        <f>'2012_2020 Int_Confianca'!AS64</f>
        <v>7.1400000000000005E-2</v>
      </c>
      <c r="AV227">
        <f>'2012_2020 Int_Confianca'!AT64</f>
        <v>7.6899999999999996E-2</v>
      </c>
      <c r="AW227">
        <f>'2012_2020 Int_Confianca'!AU64</f>
        <v>7.4999999999999997E-2</v>
      </c>
      <c r="AX227">
        <f>'2012_2020 Int_Confianca'!AV64</f>
        <v>7.1499999999999994E-2</v>
      </c>
      <c r="AY227">
        <f>'2012_2020 Int_Confianca'!AW64</f>
        <v>6.1699999999999998E-2</v>
      </c>
      <c r="AZ227">
        <f>'2012_2020 Int_Confianca'!AX64</f>
        <v>6.7599999999999993E-2</v>
      </c>
      <c r="BA227">
        <f>'2012_2020 Int_Confianca'!AY64</f>
        <v>6.08E-2</v>
      </c>
      <c r="BB227">
        <f>'2012_2020 Int_Confianca'!AZ64</f>
        <v>7.0999999999999994E-2</v>
      </c>
      <c r="BC227">
        <f>'2012_2020 Int_Confianca'!BA64</f>
        <v>4.6800000000000001E-2</v>
      </c>
      <c r="BD227">
        <f>'2012_2020 Int_Confianca'!BB64</f>
        <v>2.6700000000000002E-2</v>
      </c>
      <c r="BE227">
        <f>'2012_2020 Int_Confianca'!BC64</f>
        <v>2.6499999999999999E-2</v>
      </c>
      <c r="BF227">
        <f>'2012_2020 Int_Confianca'!BD64</f>
        <v>4.07E-2</v>
      </c>
      <c r="BG227">
        <f>'2012_2020 Int_Confianca'!BE64</f>
        <v>4.9399999999999999E-2</v>
      </c>
      <c r="BH227">
        <f>'2012_2020 Int_Confianca'!BF64</f>
        <v>6.6199999999999995E-2</v>
      </c>
      <c r="BI227">
        <f>'2012_2020 Int_Confianca'!BG64</f>
        <v>8.9300000000000004E-2</v>
      </c>
      <c r="BJ227">
        <f>'2012_2020 Int_Confianca'!BH64</f>
        <v>9.01E-2</v>
      </c>
      <c r="BK227">
        <f>'2012_2020 Int_Confianca'!BI64</f>
        <v>0.10440000000000001</v>
      </c>
      <c r="BL227">
        <f>'2012_2020 Int_Confianca'!BJ64</f>
        <v>0.1114</v>
      </c>
      <c r="BM227">
        <f>'2012_2020 Int_Confianca'!BK64</f>
        <v>0.1026</v>
      </c>
      <c r="BN227">
        <f>'2012_2020 Int_Confianca'!BL64</f>
        <v>5.8099999999999999E-2</v>
      </c>
      <c r="BO227">
        <f>'2012_2020 Int_Confianca'!BM64</f>
        <v>1.4999999999999999E-2</v>
      </c>
      <c r="BP227">
        <f>'2012_2020 Int_Confianca'!BN64</f>
        <v>-1.2500000000000001E-2</v>
      </c>
      <c r="BQ227">
        <f>'2012_2020 Int_Confianca'!BO64</f>
        <v>-2.1399999999999999E-2</v>
      </c>
      <c r="BR227">
        <f>'2012_2020 Int_Confianca'!BP64</f>
        <v>-2.1999999999999999E-2</v>
      </c>
      <c r="BS227">
        <f>'2012_2020 Int_Confianca'!BQ64</f>
        <v>-2.92E-2</v>
      </c>
      <c r="BT227">
        <f>'2012_2020 Int_Confianca'!BR64</f>
        <v>-3.6600000000000001E-2</v>
      </c>
      <c r="BU227">
        <f>'2012_2020 Int_Confianca'!BS64</f>
        <v>1.52E-2</v>
      </c>
      <c r="BV227">
        <f>'2012_2020 Int_Confianca'!BT64</f>
        <v>0.1246</v>
      </c>
      <c r="BW227">
        <f>'2012_2020 Int_Confianca'!BU64</f>
        <v>0.16520000000000001</v>
      </c>
      <c r="BX227">
        <f>'2012_2020 Int_Confianca'!BV64</f>
        <v>0.1394</v>
      </c>
      <c r="BY227">
        <f>'2012_2020 Int_Confianca'!BW64</f>
        <v>9.9400000000000002E-2</v>
      </c>
      <c r="BZ227">
        <f>'2012_2020 Int_Confianca'!BX64</f>
        <v>7.6499999999999999E-2</v>
      </c>
      <c r="CA227">
        <f>'2012_2020 Int_Confianca'!BY64</f>
        <v>5.6399999999999999E-2</v>
      </c>
      <c r="CB227">
        <f>'2012_2020 Int_Confianca'!BZ64</f>
        <v>9.0800000000000006E-2</v>
      </c>
      <c r="CC227">
        <f>'2012_2020 Int_Confianca'!CA64</f>
        <v>6.2300000000000001E-2</v>
      </c>
      <c r="CD227">
        <f>'2012_2020 Int_Confianca'!CB64</f>
        <v>8.8000000000000005E-3</v>
      </c>
      <c r="CE227">
        <f>'2012_2020 Int_Confianca'!CC64</f>
        <v>-1.1299999999999999E-2</v>
      </c>
      <c r="CF227">
        <f>'2012_2020 Int_Confianca'!CD64</f>
        <v>-4.6399999999999997E-2</v>
      </c>
      <c r="CG227">
        <f>'2012_2020 Int_Confianca'!CE64</f>
        <v>-2.2200000000000001E-2</v>
      </c>
      <c r="CH227">
        <f>'2012_2020 Int_Confianca'!CF64</f>
        <v>0.10199999999999999</v>
      </c>
      <c r="CI227">
        <f>'2012_2020 Int_Confianca'!CG64</f>
        <v>0.1875</v>
      </c>
      <c r="CJ227">
        <f>'2012_2020 Int_Confianca'!CH64</f>
        <v>0.21859999999999999</v>
      </c>
      <c r="CK227">
        <f>'2012_2020 Int_Confianca'!CI64</f>
        <v>-1.2800000000000001E-2</v>
      </c>
      <c r="CL227">
        <f>'2012_2020 Int_Confianca'!CJ64</f>
        <v>-5.8900000000000001E-2</v>
      </c>
      <c r="CM227">
        <f>'2012_2020 Int_Confianca'!CK64</f>
        <v>-6.6400000000000001E-2</v>
      </c>
      <c r="CN227">
        <f>'2012_2020 Int_Confianca'!CL64</f>
        <v>3.6700000000000003E-2</v>
      </c>
      <c r="CO227">
        <f>'2012_2020 Int_Confianca'!CM64</f>
        <v>3.6200000000000003E-2</v>
      </c>
      <c r="CP227">
        <f>'2012_2020 Int_Confianca'!CN64</f>
        <v>3.5000000000000001E-3</v>
      </c>
      <c r="CQ227">
        <f>'2012_2020 Int_Confianca'!CO64</f>
        <v>-0.1065</v>
      </c>
      <c r="CR227">
        <f>'2012_2020 Int_Confianca'!CP64</f>
        <v>4.1399999999999999E-2</v>
      </c>
      <c r="CS227">
        <f>'2012_2020 Int_Confianca'!CQ64</f>
        <v>0.12570000000000001</v>
      </c>
      <c r="CT227">
        <f>'2012_2020 Int_Confianca'!CR64</f>
        <v>5.7000000000000002E-2</v>
      </c>
      <c r="CU227">
        <f>'2012_2020 Int_Confianca'!CS64</f>
        <v>0.13320000000000001</v>
      </c>
      <c r="CV227">
        <f>'2012_2020 Int_Confianca'!CT64</f>
        <v>-9.0800000000000006E-2</v>
      </c>
      <c r="CW227">
        <f>'2012_2020 Int_Confianca'!CU64</f>
        <v>0.1192</v>
      </c>
      <c r="CX227">
        <f>'2012_2020 Int_Confianca'!CV64</f>
        <v>3.7199999999999997E-2</v>
      </c>
    </row>
    <row r="228" spans="1:102" x14ac:dyDescent="0.2">
      <c r="A228" t="s">
        <v>5913</v>
      </c>
      <c r="B228" t="s">
        <v>219</v>
      </c>
      <c r="C228" t="s">
        <v>222</v>
      </c>
      <c r="D228">
        <f>'2012_2020 Int_Confianca'!B65</f>
        <v>5.33E-2</v>
      </c>
      <c r="E228">
        <f>'2012_2020 Int_Confianca'!C65</f>
        <v>4.2099999999999999E-2</v>
      </c>
      <c r="F228">
        <f>'2012_2020 Int_Confianca'!D65</f>
        <v>1.3899999999999999E-2</v>
      </c>
      <c r="G228">
        <f>'2012_2020 Int_Confianca'!E65</f>
        <v>4.3900000000000002E-2</v>
      </c>
      <c r="H228">
        <f>'2012_2020 Int_Confianca'!F65</f>
        <v>-2.81E-2</v>
      </c>
      <c r="I228">
        <f>'2012_2020 Int_Confianca'!G65</f>
        <v>1.5900000000000001E-2</v>
      </c>
      <c r="J228">
        <f>'2012_2020 Int_Confianca'!H65</f>
        <v>-6.1000000000000004E-3</v>
      </c>
      <c r="K228">
        <f>'2012_2020 Int_Confianca'!I65</f>
        <v>-1.03E-2</v>
      </c>
      <c r="L228">
        <f>'2012_2020 Int_Confianca'!J65</f>
        <v>-3.0999999999999999E-3</v>
      </c>
      <c r="M228">
        <f>'2012_2020 Int_Confianca'!K65</f>
        <v>-2.87E-2</v>
      </c>
      <c r="N228">
        <f>'2012_2020 Int_Confianca'!L65</f>
        <v>-2.46E-2</v>
      </c>
      <c r="O228">
        <f>'2012_2020 Int_Confianca'!M65</f>
        <v>4.0000000000000002E-4</v>
      </c>
      <c r="P228">
        <f>'2012_2020 Int_Confianca'!N65</f>
        <v>-7.4999999999999997E-3</v>
      </c>
      <c r="Q228">
        <f>'2012_2020 Int_Confianca'!O65</f>
        <v>-8.9999999999999993E-3</v>
      </c>
      <c r="R228">
        <f>'2012_2020 Int_Confianca'!P65</f>
        <v>-1.0699999999999999E-2</v>
      </c>
      <c r="S228">
        <f>'2012_2020 Int_Confianca'!Q65</f>
        <v>-9.7000000000000003E-3</v>
      </c>
      <c r="T228">
        <f>'2012_2020 Int_Confianca'!R65</f>
        <v>-3.5000000000000001E-3</v>
      </c>
      <c r="U228">
        <f>'2012_2020 Int_Confianca'!S65</f>
        <v>-2.8999999999999998E-3</v>
      </c>
      <c r="V228">
        <f>'2012_2020 Int_Confianca'!T65</f>
        <v>2.0000000000000001E-4</v>
      </c>
      <c r="W228">
        <f>'2012_2020 Int_Confianca'!U65</f>
        <v>-1.1000000000000001E-3</v>
      </c>
      <c r="X228">
        <f>'2012_2020 Int_Confianca'!V65</f>
        <v>-5.0000000000000001E-4</v>
      </c>
      <c r="Y228">
        <f>'2012_2020 Int_Confianca'!W65</f>
        <v>4.3E-3</v>
      </c>
      <c r="Z228">
        <f>'2012_2020 Int_Confianca'!X65</f>
        <v>3.8999999999999998E-3</v>
      </c>
      <c r="AA228">
        <f>'2012_2020 Int_Confianca'!Y65</f>
        <v>4.3E-3</v>
      </c>
      <c r="AB228">
        <f>'2012_2020 Int_Confianca'!Z65</f>
        <v>3.5999999999999999E-3</v>
      </c>
      <c r="AC228">
        <f>'2012_2020 Int_Confianca'!AA65</f>
        <v>4.3E-3</v>
      </c>
      <c r="AD228">
        <f>'2012_2020 Int_Confianca'!AB65</f>
        <v>4.5999999999999999E-3</v>
      </c>
      <c r="AE228">
        <f>'2012_2020 Int_Confianca'!AC65</f>
        <v>4.0000000000000001E-3</v>
      </c>
      <c r="AF228">
        <f>'2012_2020 Int_Confianca'!AD65</f>
        <v>3.7000000000000002E-3</v>
      </c>
      <c r="AG228">
        <f>'2012_2020 Int_Confianca'!AE65</f>
        <v>3.0999999999999999E-3</v>
      </c>
      <c r="AH228">
        <f>'2012_2020 Int_Confianca'!AF65</f>
        <v>3.2000000000000002E-3</v>
      </c>
      <c r="AI228">
        <f>'2012_2020 Int_Confianca'!AG65</f>
        <v>2.8999999999999998E-3</v>
      </c>
      <c r="AJ228">
        <f>'2012_2020 Int_Confianca'!AH65</f>
        <v>1.9E-3</v>
      </c>
      <c r="AK228">
        <f>'2012_2020 Int_Confianca'!AI65</f>
        <v>-2.9999999999999997E-4</v>
      </c>
      <c r="AL228">
        <f>'2012_2020 Int_Confianca'!AJ65</f>
        <v>-3.2000000000000002E-3</v>
      </c>
      <c r="AM228">
        <f>'2012_2020 Int_Confianca'!AK65</f>
        <v>-2.7000000000000001E-3</v>
      </c>
      <c r="AN228">
        <f>'2012_2020 Int_Confianca'!AL65</f>
        <v>-2.2000000000000001E-3</v>
      </c>
      <c r="AO228">
        <f>'2012_2020 Int_Confianca'!AM65</f>
        <v>-6.9999999999999999E-4</v>
      </c>
      <c r="AP228">
        <f>'2012_2020 Int_Confianca'!AN65</f>
        <v>1.1000000000000001E-3</v>
      </c>
      <c r="AQ228">
        <f>'2012_2020 Int_Confianca'!AO65</f>
        <v>4.0000000000000001E-3</v>
      </c>
      <c r="AR228">
        <f>'2012_2020 Int_Confianca'!AP65</f>
        <v>7.0000000000000001E-3</v>
      </c>
      <c r="AS228">
        <f>'2012_2020 Int_Confianca'!AQ65</f>
        <v>9.4999999999999998E-3</v>
      </c>
      <c r="AT228">
        <f>'2012_2020 Int_Confianca'!AR65</f>
        <v>9.2999999999999992E-3</v>
      </c>
      <c r="AU228">
        <f>'2012_2020 Int_Confianca'!AS65</f>
        <v>9.1000000000000004E-3</v>
      </c>
      <c r="AV228">
        <f>'2012_2020 Int_Confianca'!AT65</f>
        <v>7.0000000000000001E-3</v>
      </c>
      <c r="AW228">
        <f>'2012_2020 Int_Confianca'!AU65</f>
        <v>7.3000000000000001E-3</v>
      </c>
      <c r="AX228">
        <f>'2012_2020 Int_Confianca'!AV65</f>
        <v>6.7000000000000002E-3</v>
      </c>
      <c r="AY228">
        <f>'2012_2020 Int_Confianca'!AW65</f>
        <v>7.1999999999999998E-3</v>
      </c>
      <c r="AZ228">
        <f>'2012_2020 Int_Confianca'!AX65</f>
        <v>4.7999999999999996E-3</v>
      </c>
      <c r="BA228">
        <f>'2012_2020 Int_Confianca'!AY65</f>
        <v>5.3E-3</v>
      </c>
      <c r="BB228">
        <f>'2012_2020 Int_Confianca'!AZ65</f>
        <v>4.4000000000000003E-3</v>
      </c>
      <c r="BC228">
        <f>'2012_2020 Int_Confianca'!BA65</f>
        <v>9.9000000000000008E-3</v>
      </c>
      <c r="BD228">
        <f>'2012_2020 Int_Confianca'!BB65</f>
        <v>1.14E-2</v>
      </c>
      <c r="BE228">
        <f>'2012_2020 Int_Confianca'!BC65</f>
        <v>1.2500000000000001E-2</v>
      </c>
      <c r="BF228">
        <f>'2012_2020 Int_Confianca'!BD65</f>
        <v>8.8000000000000005E-3</v>
      </c>
      <c r="BG228">
        <f>'2012_2020 Int_Confianca'!BE65</f>
        <v>7.4999999999999997E-3</v>
      </c>
      <c r="BH228">
        <f>'2012_2020 Int_Confianca'!BF65</f>
        <v>4.0000000000000001E-3</v>
      </c>
      <c r="BI228">
        <f>'2012_2020 Int_Confianca'!BG65</f>
        <v>1.1000000000000001E-3</v>
      </c>
      <c r="BJ228">
        <f>'2012_2020 Int_Confianca'!BH65</f>
        <v>2.7000000000000001E-3</v>
      </c>
      <c r="BK228">
        <f>'2012_2020 Int_Confianca'!BI65</f>
        <v>-1.2999999999999999E-3</v>
      </c>
      <c r="BL228">
        <f>'2012_2020 Int_Confianca'!BJ65</f>
        <v>-3.0999999999999999E-3</v>
      </c>
      <c r="BM228">
        <f>'2012_2020 Int_Confianca'!BK65</f>
        <v>1.6000000000000001E-3</v>
      </c>
      <c r="BN228">
        <f>'2012_2020 Int_Confianca'!BL65</f>
        <v>1.0800000000000001E-2</v>
      </c>
      <c r="BO228">
        <f>'2012_2020 Int_Confianca'!BM65</f>
        <v>1.7100000000000001E-2</v>
      </c>
      <c r="BP228">
        <f>'2012_2020 Int_Confianca'!BN65</f>
        <v>2.3800000000000002E-2</v>
      </c>
      <c r="BQ228">
        <f>'2012_2020 Int_Confianca'!BO65</f>
        <v>2.4500000000000001E-2</v>
      </c>
      <c r="BR228">
        <f>'2012_2020 Int_Confianca'!BP65</f>
        <v>2.3400000000000001E-2</v>
      </c>
      <c r="BS228">
        <f>'2012_2020 Int_Confianca'!BQ65</f>
        <v>2.2599999999999999E-2</v>
      </c>
      <c r="BT228">
        <f>'2012_2020 Int_Confianca'!BR65</f>
        <v>2.12E-2</v>
      </c>
      <c r="BU228">
        <f>'2012_2020 Int_Confianca'!BS65</f>
        <v>1.17E-2</v>
      </c>
      <c r="BV228">
        <f>'2012_2020 Int_Confianca'!BT65</f>
        <v>-6.8999999999999999E-3</v>
      </c>
      <c r="BW228">
        <f>'2012_2020 Int_Confianca'!BU65</f>
        <v>-1.3599999999999999E-2</v>
      </c>
      <c r="BX228">
        <f>'2012_2020 Int_Confianca'!BV65</f>
        <v>-9.2999999999999992E-3</v>
      </c>
      <c r="BY228">
        <f>'2012_2020 Int_Confianca'!BW65</f>
        <v>2.0999999999999999E-3</v>
      </c>
      <c r="BZ228">
        <f>'2012_2020 Int_Confianca'!BX65</f>
        <v>7.7000000000000002E-3</v>
      </c>
      <c r="CA228">
        <f>'2012_2020 Int_Confianca'!BY65</f>
        <v>8.6999999999999994E-3</v>
      </c>
      <c r="CB228">
        <f>'2012_2020 Int_Confianca'!BZ65</f>
        <v>-2.3999999999999998E-3</v>
      </c>
      <c r="CC228">
        <f>'2012_2020 Int_Confianca'!CA65</f>
        <v>5.9999999999999995E-4</v>
      </c>
      <c r="CD228">
        <f>'2012_2020 Int_Confianca'!CB65</f>
        <v>1.1599999999999999E-2</v>
      </c>
      <c r="CE228">
        <f>'2012_2020 Int_Confianca'!CC65</f>
        <v>1.35E-2</v>
      </c>
      <c r="CF228">
        <f>'2012_2020 Int_Confianca'!CD65</f>
        <v>2.0899999999999998E-2</v>
      </c>
      <c r="CG228">
        <f>'2012_2020 Int_Confianca'!CE65</f>
        <v>1.4E-2</v>
      </c>
      <c r="CH228">
        <f>'2012_2020 Int_Confianca'!CF65</f>
        <v>-0.01</v>
      </c>
      <c r="CI228">
        <f>'2012_2020 Int_Confianca'!CG65</f>
        <v>-3.1099999999999999E-2</v>
      </c>
      <c r="CJ228">
        <f>'2012_2020 Int_Confianca'!CH65</f>
        <v>-3.9199999999999999E-2</v>
      </c>
      <c r="CK228">
        <f>'2012_2020 Int_Confianca'!CI65</f>
        <v>7.7999999999999996E-3</v>
      </c>
      <c r="CL228">
        <f>'2012_2020 Int_Confianca'!CJ65</f>
        <v>1.9300000000000001E-2</v>
      </c>
      <c r="CM228">
        <f>'2012_2020 Int_Confianca'!CK65</f>
        <v>1.8700000000000001E-2</v>
      </c>
      <c r="CN228">
        <f>'2012_2020 Int_Confianca'!CL65</f>
        <v>-7.1000000000000004E-3</v>
      </c>
      <c r="CO228">
        <f>'2012_2020 Int_Confianca'!CM65</f>
        <v>-3.2000000000000002E-3</v>
      </c>
      <c r="CP228">
        <f>'2012_2020 Int_Confianca'!CN65</f>
        <v>1.4E-3</v>
      </c>
      <c r="CQ228">
        <f>'2012_2020 Int_Confianca'!CO65</f>
        <v>2.23E-2</v>
      </c>
      <c r="CR228">
        <f>'2012_2020 Int_Confianca'!CP65</f>
        <v>-2.3400000000000001E-2</v>
      </c>
      <c r="CS228">
        <f>'2012_2020 Int_Confianca'!CQ65</f>
        <v>-5.33E-2</v>
      </c>
      <c r="CT228">
        <f>'2012_2020 Int_Confianca'!CR65</f>
        <v>-2.69E-2</v>
      </c>
      <c r="CU228">
        <f>'2012_2020 Int_Confianca'!CS65</f>
        <v>-6.5600000000000006E-2</v>
      </c>
      <c r="CV228">
        <f>'2012_2020 Int_Confianca'!CT65</f>
        <v>-1.55E-2</v>
      </c>
      <c r="CW228">
        <f>'2012_2020 Int_Confianca'!CU65</f>
        <v>-7.2300000000000003E-2</v>
      </c>
      <c r="CX228">
        <f>'2012_2020 Int_Confianca'!CV65</f>
        <v>-5.7999999999999996E-3</v>
      </c>
    </row>
    <row r="229" spans="1:102" x14ac:dyDescent="0.2">
      <c r="A229" t="s">
        <v>5914</v>
      </c>
      <c r="B229" t="s">
        <v>219</v>
      </c>
      <c r="C229" t="s">
        <v>222</v>
      </c>
      <c r="D229">
        <f>'2012_2020 Int_Confianca'!B66</f>
        <v>0.1056</v>
      </c>
      <c r="E229">
        <f>'2012_2020 Int_Confianca'!C66</f>
        <v>9.5000000000000001E-2</v>
      </c>
      <c r="F229">
        <f>'2012_2020 Int_Confianca'!D66</f>
        <v>6.1199999999999997E-2</v>
      </c>
      <c r="G229">
        <f>'2012_2020 Int_Confianca'!E66</f>
        <v>7.8100000000000003E-2</v>
      </c>
      <c r="H229">
        <f>'2012_2020 Int_Confianca'!F66</f>
        <v>1.0999999999999999E-2</v>
      </c>
      <c r="I229">
        <f>'2012_2020 Int_Confianca'!G66</f>
        <v>4.8000000000000001E-2</v>
      </c>
      <c r="J229">
        <f>'2012_2020 Int_Confianca'!H66</f>
        <v>2.5999999999999999E-2</v>
      </c>
      <c r="K229">
        <f>'2012_2020 Int_Confianca'!I66</f>
        <v>1.9300000000000001E-2</v>
      </c>
      <c r="L229">
        <f>'2012_2020 Int_Confianca'!J66</f>
        <v>2.3699999999999999E-2</v>
      </c>
      <c r="M229">
        <f>'2012_2020 Int_Confianca'!K66</f>
        <v>-3.7000000000000002E-3</v>
      </c>
      <c r="N229">
        <f>'2012_2020 Int_Confianca'!L66</f>
        <v>-1.6999999999999999E-3</v>
      </c>
      <c r="O229">
        <f>'2012_2020 Int_Confianca'!M66</f>
        <v>1.7399999999999999E-2</v>
      </c>
      <c r="P229">
        <f>'2012_2020 Int_Confianca'!N66</f>
        <v>8.8000000000000005E-3</v>
      </c>
      <c r="Q229">
        <f>'2012_2020 Int_Confianca'!O66</f>
        <v>5.4999999999999997E-3</v>
      </c>
      <c r="R229">
        <f>'2012_2020 Int_Confianca'!P66</f>
        <v>2E-3</v>
      </c>
      <c r="S229">
        <f>'2012_2020 Int_Confianca'!Q66</f>
        <v>2E-3</v>
      </c>
      <c r="T229">
        <f>'2012_2020 Int_Confianca'!R66</f>
        <v>7.0000000000000001E-3</v>
      </c>
      <c r="U229">
        <f>'2012_2020 Int_Confianca'!S66</f>
        <v>7.1000000000000004E-3</v>
      </c>
      <c r="V229">
        <f>'2012_2020 Int_Confianca'!T66</f>
        <v>9.4999999999999998E-3</v>
      </c>
      <c r="W229">
        <f>'2012_2020 Int_Confianca'!U66</f>
        <v>8.0000000000000002E-3</v>
      </c>
      <c r="X229">
        <f>'2012_2020 Int_Confianca'!V66</f>
        <v>8.6E-3</v>
      </c>
      <c r="Y229">
        <f>'2012_2020 Int_Confianca'!W66</f>
        <v>1.2800000000000001E-2</v>
      </c>
      <c r="Z229">
        <f>'2012_2020 Int_Confianca'!X66</f>
        <v>1.24E-2</v>
      </c>
      <c r="AA229">
        <f>'2012_2020 Int_Confianca'!Y66</f>
        <v>1.29E-2</v>
      </c>
      <c r="AB229">
        <f>'2012_2020 Int_Confianca'!Z66</f>
        <v>1.2200000000000001E-2</v>
      </c>
      <c r="AC229">
        <f>'2012_2020 Int_Confianca'!AA66</f>
        <v>1.2800000000000001E-2</v>
      </c>
      <c r="AD229">
        <f>'2012_2020 Int_Confianca'!AB66</f>
        <v>1.3100000000000001E-2</v>
      </c>
      <c r="AE229">
        <f>'2012_2020 Int_Confianca'!AC66</f>
        <v>1.26E-2</v>
      </c>
      <c r="AF229">
        <f>'2012_2020 Int_Confianca'!AD66</f>
        <v>1.24E-2</v>
      </c>
      <c r="AG229">
        <f>'2012_2020 Int_Confianca'!AE66</f>
        <v>1.2E-2</v>
      </c>
      <c r="AH229">
        <f>'2012_2020 Int_Confianca'!AF66</f>
        <v>1.24E-2</v>
      </c>
      <c r="AI229">
        <f>'2012_2020 Int_Confianca'!AG66</f>
        <v>1.23E-2</v>
      </c>
      <c r="AJ229">
        <f>'2012_2020 Int_Confianca'!AH66</f>
        <v>1.15E-2</v>
      </c>
      <c r="AK229">
        <f>'2012_2020 Int_Confianca'!AI66</f>
        <v>9.9000000000000008E-3</v>
      </c>
      <c r="AL229">
        <f>'2012_2020 Int_Confianca'!AJ66</f>
        <v>7.4999999999999997E-3</v>
      </c>
      <c r="AM229">
        <f>'2012_2020 Int_Confianca'!AK66</f>
        <v>8.0999999999999996E-3</v>
      </c>
      <c r="AN229">
        <f>'2012_2020 Int_Confianca'!AL66</f>
        <v>8.8999999999999999E-3</v>
      </c>
      <c r="AO229">
        <f>'2012_2020 Int_Confianca'!AM66</f>
        <v>1.06E-2</v>
      </c>
      <c r="AP229">
        <f>'2012_2020 Int_Confianca'!AN66</f>
        <v>1.2500000000000001E-2</v>
      </c>
      <c r="AQ229">
        <f>'2012_2020 Int_Confianca'!AO66</f>
        <v>1.5599999999999999E-2</v>
      </c>
      <c r="AR229">
        <f>'2012_2020 Int_Confianca'!AP66</f>
        <v>1.8700000000000001E-2</v>
      </c>
      <c r="AS229">
        <f>'2012_2020 Int_Confianca'!AQ66</f>
        <v>2.1399999999999999E-2</v>
      </c>
      <c r="AT229">
        <f>'2012_2020 Int_Confianca'!AR66</f>
        <v>2.12E-2</v>
      </c>
      <c r="AU229">
        <f>'2012_2020 Int_Confianca'!AS66</f>
        <v>2.1000000000000001E-2</v>
      </c>
      <c r="AV229">
        <f>'2012_2020 Int_Confianca'!AT66</f>
        <v>1.89E-2</v>
      </c>
      <c r="AW229">
        <f>'2012_2020 Int_Confianca'!AU66</f>
        <v>1.9199999999999998E-2</v>
      </c>
      <c r="AX229">
        <f>'2012_2020 Int_Confianca'!AV66</f>
        <v>1.8700000000000001E-2</v>
      </c>
      <c r="AY229">
        <f>'2012_2020 Int_Confianca'!AW66</f>
        <v>1.9199999999999998E-2</v>
      </c>
      <c r="AZ229">
        <f>'2012_2020 Int_Confianca'!AX66</f>
        <v>1.6899999999999998E-2</v>
      </c>
      <c r="BA229">
        <f>'2012_2020 Int_Confianca'!AY66</f>
        <v>1.7500000000000002E-2</v>
      </c>
      <c r="BB229">
        <f>'2012_2020 Int_Confianca'!AZ66</f>
        <v>1.6899999999999998E-2</v>
      </c>
      <c r="BC229">
        <f>'2012_2020 Int_Confianca'!BA66</f>
        <v>2.2599999999999999E-2</v>
      </c>
      <c r="BD229">
        <f>'2012_2020 Int_Confianca'!BB66</f>
        <v>2.4400000000000002E-2</v>
      </c>
      <c r="BE229">
        <f>'2012_2020 Int_Confianca'!BC66</f>
        <v>2.58E-2</v>
      </c>
      <c r="BF229">
        <f>'2012_2020 Int_Confianca'!BD66</f>
        <v>2.2599999999999999E-2</v>
      </c>
      <c r="BG229">
        <f>'2012_2020 Int_Confianca'!BE66</f>
        <v>2.1399999999999999E-2</v>
      </c>
      <c r="BH229">
        <f>'2012_2020 Int_Confianca'!BF66</f>
        <v>1.7999999999999999E-2</v>
      </c>
      <c r="BI229">
        <f>'2012_2020 Int_Confianca'!BG66</f>
        <v>1.54E-2</v>
      </c>
      <c r="BJ229">
        <f>'2012_2020 Int_Confianca'!BH66</f>
        <v>1.7000000000000001E-2</v>
      </c>
      <c r="BK229">
        <f>'2012_2020 Int_Confianca'!BI66</f>
        <v>1.32E-2</v>
      </c>
      <c r="BL229">
        <f>'2012_2020 Int_Confianca'!BJ66</f>
        <v>1.1599999999999999E-2</v>
      </c>
      <c r="BM229">
        <f>'2012_2020 Int_Confianca'!BK66</f>
        <v>1.6500000000000001E-2</v>
      </c>
      <c r="BN229">
        <f>'2012_2020 Int_Confianca'!BL66</f>
        <v>2.5899999999999999E-2</v>
      </c>
      <c r="BO229">
        <f>'2012_2020 Int_Confianca'!BM66</f>
        <v>3.2099999999999997E-2</v>
      </c>
      <c r="BP229">
        <f>'2012_2020 Int_Confianca'!BN66</f>
        <v>3.8800000000000001E-2</v>
      </c>
      <c r="BQ229">
        <f>'2012_2020 Int_Confianca'!BO66</f>
        <v>3.9600000000000003E-2</v>
      </c>
      <c r="BR229">
        <f>'2012_2020 Int_Confianca'!BP66</f>
        <v>3.8399999999999997E-2</v>
      </c>
      <c r="BS229">
        <f>'2012_2020 Int_Confianca'!BQ66</f>
        <v>3.7600000000000001E-2</v>
      </c>
      <c r="BT229">
        <f>'2012_2020 Int_Confianca'!BR66</f>
        <v>3.6200000000000003E-2</v>
      </c>
      <c r="BU229">
        <f>'2012_2020 Int_Confianca'!BS66</f>
        <v>2.7900000000000001E-2</v>
      </c>
      <c r="BV229">
        <f>'2012_2020 Int_Confianca'!BT66</f>
        <v>1.18E-2</v>
      </c>
      <c r="BW229">
        <f>'2012_2020 Int_Confianca'!BU66</f>
        <v>6.6E-3</v>
      </c>
      <c r="BX229">
        <f>'2012_2020 Int_Confianca'!BV66</f>
        <v>1.12E-2</v>
      </c>
      <c r="BY229">
        <f>'2012_2020 Int_Confianca'!BW66</f>
        <v>2.2499999999999999E-2</v>
      </c>
      <c r="BZ229">
        <f>'2012_2020 Int_Confianca'!BX66</f>
        <v>2.7699999999999999E-2</v>
      </c>
      <c r="CA229">
        <f>'2012_2020 Int_Confianca'!BY66</f>
        <v>2.86E-2</v>
      </c>
      <c r="CB229">
        <f>'2012_2020 Int_Confianca'!BZ66</f>
        <v>1.8100000000000002E-2</v>
      </c>
      <c r="CC229">
        <f>'2012_2020 Int_Confianca'!CA66</f>
        <v>2.1899999999999999E-2</v>
      </c>
      <c r="CD229">
        <f>'2012_2020 Int_Confianca'!CB66</f>
        <v>3.3599999999999998E-2</v>
      </c>
      <c r="CE229">
        <f>'2012_2020 Int_Confianca'!CC66</f>
        <v>3.6200000000000003E-2</v>
      </c>
      <c r="CF229">
        <f>'2012_2020 Int_Confianca'!CD66</f>
        <v>4.41E-2</v>
      </c>
      <c r="CG229">
        <f>'2012_2020 Int_Confianca'!CE66</f>
        <v>3.7100000000000001E-2</v>
      </c>
      <c r="CH229">
        <f>'2012_2020 Int_Confianca'!CF66</f>
        <v>1.47E-2</v>
      </c>
      <c r="CI229">
        <f>'2012_2020 Int_Confianca'!CG66</f>
        <v>-4.1000000000000003E-3</v>
      </c>
      <c r="CJ229">
        <f>'2012_2020 Int_Confianca'!CH66</f>
        <v>-9.5999999999999992E-3</v>
      </c>
      <c r="CK229">
        <f>'2012_2020 Int_Confianca'!CI66</f>
        <v>3.8600000000000002E-2</v>
      </c>
      <c r="CL229">
        <f>'2012_2020 Int_Confianca'!CJ66</f>
        <v>4.9099999999999998E-2</v>
      </c>
      <c r="CM229">
        <f>'2012_2020 Int_Confianca'!CK66</f>
        <v>4.7800000000000002E-2</v>
      </c>
      <c r="CN229">
        <f>'2012_2020 Int_Confianca'!CL66</f>
        <v>2.7400000000000001E-2</v>
      </c>
      <c r="CO229">
        <f>'2012_2020 Int_Confianca'!CM66</f>
        <v>3.27E-2</v>
      </c>
      <c r="CP229">
        <f>'2012_2020 Int_Confianca'!CN66</f>
        <v>3.5299999999999998E-2</v>
      </c>
      <c r="CQ229">
        <f>'2012_2020 Int_Confianca'!CO66</f>
        <v>6.0299999999999999E-2</v>
      </c>
      <c r="CR229">
        <f>'2012_2020 Int_Confianca'!CP66</f>
        <v>2.6700000000000002E-2</v>
      </c>
      <c r="CS229">
        <f>'2012_2020 Int_Confianca'!CQ66</f>
        <v>-2E-3</v>
      </c>
      <c r="CT229">
        <f>'2012_2020 Int_Confianca'!CR66</f>
        <v>3.3000000000000002E-2</v>
      </c>
      <c r="CU229">
        <f>'2012_2020 Int_Confianca'!CS66</f>
        <v>-7.1999999999999998E-3</v>
      </c>
      <c r="CV229">
        <f>'2012_2020 Int_Confianca'!CT66</f>
        <v>4.7899999999999998E-2</v>
      </c>
      <c r="CW229">
        <f>'2012_2020 Int_Confianca'!CU66</f>
        <v>1.55E-2</v>
      </c>
      <c r="CX229">
        <f>'2012_2020 Int_Confianca'!CV66</f>
        <v>8.9599999999999999E-2</v>
      </c>
    </row>
    <row r="230" spans="1:102" x14ac:dyDescent="0.2">
      <c r="A230" t="s">
        <v>5915</v>
      </c>
      <c r="B230" t="s">
        <v>219</v>
      </c>
      <c r="C230" t="s">
        <v>222</v>
      </c>
      <c r="D230">
        <f>'2012_2020 Int_Confianca'!B67</f>
        <v>-4.3E-3</v>
      </c>
      <c r="E230">
        <f>'2012_2020 Int_Confianca'!C67</f>
        <v>-1.5100000000000001E-2</v>
      </c>
      <c r="F230">
        <f>'2012_2020 Int_Confianca'!D67</f>
        <v>-1.15E-2</v>
      </c>
      <c r="G230">
        <f>'2012_2020 Int_Confianca'!E67</f>
        <v>8.9999999999999993E-3</v>
      </c>
      <c r="H230">
        <f>'2012_2020 Int_Confianca'!F67</f>
        <v>-1.6899999999999998E-2</v>
      </c>
      <c r="I230">
        <f>'2012_2020 Int_Confianca'!G67</f>
        <v>-3.7000000000000002E-3</v>
      </c>
      <c r="J230">
        <f>'2012_2020 Int_Confianca'!H67</f>
        <v>-1.26E-2</v>
      </c>
      <c r="K230">
        <f>'2012_2020 Int_Confianca'!I67</f>
        <v>-5.0000000000000001E-3</v>
      </c>
      <c r="L230">
        <f>'2012_2020 Int_Confianca'!J67</f>
        <v>4.0000000000000002E-4</v>
      </c>
      <c r="M230">
        <f>'2012_2020 Int_Confianca'!K67</f>
        <v>-8.0999999999999996E-3</v>
      </c>
      <c r="N230">
        <f>'2012_2020 Int_Confianca'!L67</f>
        <v>-4.0000000000000001E-3</v>
      </c>
      <c r="O230">
        <f>'2012_2020 Int_Confianca'!M67</f>
        <v>8.2000000000000007E-3</v>
      </c>
      <c r="P230">
        <f>'2012_2020 Int_Confianca'!N67</f>
        <v>4.8999999999999998E-3</v>
      </c>
      <c r="Q230">
        <f>'2012_2020 Int_Confianca'!O67</f>
        <v>6.4999999999999997E-3</v>
      </c>
      <c r="R230">
        <f>'2012_2020 Int_Confianca'!P67</f>
        <v>4.4000000000000003E-3</v>
      </c>
      <c r="S230">
        <f>'2012_2020 Int_Confianca'!Q67</f>
        <v>3.3999999999999998E-3</v>
      </c>
      <c r="T230">
        <f>'2012_2020 Int_Confianca'!R67</f>
        <v>2.7000000000000001E-3</v>
      </c>
      <c r="U230">
        <f>'2012_2020 Int_Confianca'!S67</f>
        <v>5.0000000000000001E-3</v>
      </c>
      <c r="V230">
        <f>'2012_2020 Int_Confianca'!T67</f>
        <v>4.5999999999999999E-3</v>
      </c>
      <c r="W230">
        <f>'2012_2020 Int_Confianca'!U67</f>
        <v>3.8E-3</v>
      </c>
      <c r="X230">
        <f>'2012_2020 Int_Confianca'!V67</f>
        <v>3.0999999999999999E-3</v>
      </c>
      <c r="Y230">
        <f>'2012_2020 Int_Confianca'!W67</f>
        <v>6.4999999999999997E-3</v>
      </c>
      <c r="Z230">
        <f>'2012_2020 Int_Confianca'!X67</f>
        <v>4.7000000000000002E-3</v>
      </c>
      <c r="AA230">
        <f>'2012_2020 Int_Confianca'!Y67</f>
        <v>6.1999999999999998E-3</v>
      </c>
      <c r="AB230">
        <f>'2012_2020 Int_Confianca'!Z67</f>
        <v>5.0000000000000001E-3</v>
      </c>
      <c r="AC230">
        <f>'2012_2020 Int_Confianca'!AA67</f>
        <v>4.0000000000000001E-3</v>
      </c>
      <c r="AD230">
        <f>'2012_2020 Int_Confianca'!AB67</f>
        <v>4.7999999999999996E-3</v>
      </c>
      <c r="AE230">
        <f>'2012_2020 Int_Confianca'!AC67</f>
        <v>3.2000000000000002E-3</v>
      </c>
      <c r="AF230">
        <f>'2012_2020 Int_Confianca'!AD67</f>
        <v>3.2000000000000002E-3</v>
      </c>
      <c r="AG230">
        <f>'2012_2020 Int_Confianca'!AE67</f>
        <v>5.1999999999999998E-3</v>
      </c>
      <c r="AH230">
        <f>'2012_2020 Int_Confianca'!AF67</f>
        <v>3.0999999999999999E-3</v>
      </c>
      <c r="AI230">
        <f>'2012_2020 Int_Confianca'!AG67</f>
        <v>2.2000000000000001E-3</v>
      </c>
      <c r="AJ230">
        <f>'2012_2020 Int_Confianca'!AH67</f>
        <v>1.6000000000000001E-3</v>
      </c>
      <c r="AK230">
        <f>'2012_2020 Int_Confianca'!AI67</f>
        <v>-1.9E-3</v>
      </c>
      <c r="AL230">
        <f>'2012_2020 Int_Confianca'!AJ67</f>
        <v>-4.3E-3</v>
      </c>
      <c r="AM230">
        <f>'2012_2020 Int_Confianca'!AK67</f>
        <v>-4.5999999999999999E-3</v>
      </c>
      <c r="AN230">
        <f>'2012_2020 Int_Confianca'!AL67</f>
        <v>-7.4000000000000003E-3</v>
      </c>
      <c r="AO230">
        <f>'2012_2020 Int_Confianca'!AM67</f>
        <v>-2.5999999999999999E-3</v>
      </c>
      <c r="AP230">
        <f>'2012_2020 Int_Confianca'!AN67</f>
        <v>-1.2999999999999999E-3</v>
      </c>
      <c r="AQ230">
        <f>'2012_2020 Int_Confianca'!AO67</f>
        <v>-3.3999999999999998E-3</v>
      </c>
      <c r="AR230">
        <f>'2012_2020 Int_Confianca'!AP67</f>
        <v>-2.5999999999999999E-3</v>
      </c>
      <c r="AS230">
        <f>'2012_2020 Int_Confianca'!AQ67</f>
        <v>-3.3999999999999998E-3</v>
      </c>
      <c r="AT230">
        <f>'2012_2020 Int_Confianca'!AR67</f>
        <v>-4.5999999999999999E-3</v>
      </c>
      <c r="AU230">
        <f>'2012_2020 Int_Confianca'!AS67</f>
        <v>-6.4999999999999997E-3</v>
      </c>
      <c r="AV230">
        <f>'2012_2020 Int_Confianca'!AT67</f>
        <v>-5.8999999999999999E-3</v>
      </c>
      <c r="AW230">
        <f>'2012_2020 Int_Confianca'!AU67</f>
        <v>-5.4000000000000003E-3</v>
      </c>
      <c r="AX230">
        <f>'2012_2020 Int_Confianca'!AV67</f>
        <v>-4.0000000000000001E-3</v>
      </c>
      <c r="AY230">
        <f>'2012_2020 Int_Confianca'!AW67</f>
        <v>-7.1000000000000004E-3</v>
      </c>
      <c r="AZ230">
        <f>'2012_2020 Int_Confianca'!AX67</f>
        <v>-6.6E-3</v>
      </c>
      <c r="BA230">
        <f>'2012_2020 Int_Confianca'!AY67</f>
        <v>-8.5000000000000006E-3</v>
      </c>
      <c r="BB230">
        <f>'2012_2020 Int_Confianca'!AZ67</f>
        <v>-1.0699999999999999E-2</v>
      </c>
      <c r="BC230">
        <f>'2012_2020 Int_Confianca'!BA67</f>
        <v>-1.04E-2</v>
      </c>
      <c r="BD230">
        <f>'2012_2020 Int_Confianca'!BB67</f>
        <v>-5.7000000000000002E-3</v>
      </c>
      <c r="BE230">
        <f>'2012_2020 Int_Confianca'!BC67</f>
        <v>-4.7000000000000002E-3</v>
      </c>
      <c r="BF230">
        <f>'2012_2020 Int_Confianca'!BD67</f>
        <v>-9.5999999999999992E-3</v>
      </c>
      <c r="BG230">
        <f>'2012_2020 Int_Confianca'!BE67</f>
        <v>-8.0000000000000002E-3</v>
      </c>
      <c r="BH230">
        <f>'2012_2020 Int_Confianca'!BF67</f>
        <v>-1.2500000000000001E-2</v>
      </c>
      <c r="BI230">
        <f>'2012_2020 Int_Confianca'!BG67</f>
        <v>-1.55E-2</v>
      </c>
      <c r="BJ230">
        <f>'2012_2020 Int_Confianca'!BH67</f>
        <v>-1.35E-2</v>
      </c>
      <c r="BK230">
        <f>'2012_2020 Int_Confianca'!BI67</f>
        <v>-1.8599999999999998E-2</v>
      </c>
      <c r="BL230">
        <f>'2012_2020 Int_Confianca'!BJ67</f>
        <v>-2.1600000000000001E-2</v>
      </c>
      <c r="BM230">
        <f>'2012_2020 Int_Confianca'!BK67</f>
        <v>-1.7899999999999999E-2</v>
      </c>
      <c r="BN230">
        <f>'2012_2020 Int_Confianca'!BL67</f>
        <v>-1.0500000000000001E-2</v>
      </c>
      <c r="BO230">
        <f>'2012_2020 Int_Confianca'!BM67</f>
        <v>-4.8999999999999998E-3</v>
      </c>
      <c r="BP230">
        <f>'2012_2020 Int_Confianca'!BN67</f>
        <v>0</v>
      </c>
      <c r="BQ230">
        <f>'2012_2020 Int_Confianca'!BO67</f>
        <v>-2.3E-3</v>
      </c>
      <c r="BR230">
        <f>'2012_2020 Int_Confianca'!BP67</f>
        <v>8.0000000000000002E-3</v>
      </c>
      <c r="BS230">
        <f>'2012_2020 Int_Confianca'!BQ67</f>
        <v>1.0800000000000001E-2</v>
      </c>
      <c r="BT230">
        <f>'2012_2020 Int_Confianca'!BR67</f>
        <v>4.4999999999999997E-3</v>
      </c>
      <c r="BU230">
        <f>'2012_2020 Int_Confianca'!BS67</f>
        <v>-3.2000000000000002E-3</v>
      </c>
      <c r="BV230">
        <f>'2012_2020 Int_Confianca'!BT67</f>
        <v>-1.6899999999999998E-2</v>
      </c>
      <c r="BW230">
        <f>'2012_2020 Int_Confianca'!BU67</f>
        <v>-2.6100000000000002E-2</v>
      </c>
      <c r="BX230">
        <f>'2012_2020 Int_Confianca'!BV67</f>
        <v>-2.53E-2</v>
      </c>
      <c r="BY230">
        <f>'2012_2020 Int_Confianca'!BW67</f>
        <v>-2.0400000000000001E-2</v>
      </c>
      <c r="BZ230">
        <f>'2012_2020 Int_Confianca'!BX67</f>
        <v>-1.83E-2</v>
      </c>
      <c r="CA230">
        <f>'2012_2020 Int_Confianca'!BY67</f>
        <v>-1.17E-2</v>
      </c>
      <c r="CB230">
        <f>'2012_2020 Int_Confianca'!BZ67</f>
        <v>-2.53E-2</v>
      </c>
      <c r="CC230">
        <f>'2012_2020 Int_Confianca'!CA67</f>
        <v>-2.1700000000000001E-2</v>
      </c>
      <c r="CD230">
        <f>'2012_2020 Int_Confianca'!CB67</f>
        <v>-1.83E-2</v>
      </c>
      <c r="CE230">
        <f>'2012_2020 Int_Confianca'!CC67</f>
        <v>-1.46E-2</v>
      </c>
      <c r="CF230">
        <f>'2012_2020 Int_Confianca'!CD67</f>
        <v>-5.4000000000000003E-3</v>
      </c>
      <c r="CG230">
        <f>'2012_2020 Int_Confianca'!CE67</f>
        <v>-9.7999999999999997E-3</v>
      </c>
      <c r="CH230">
        <f>'2012_2020 Int_Confianca'!CF67</f>
        <v>-2.7699999999999999E-2</v>
      </c>
      <c r="CI230">
        <f>'2012_2020 Int_Confianca'!CG67</f>
        <v>-4.9500000000000002E-2</v>
      </c>
      <c r="CJ230">
        <f>'2012_2020 Int_Confianca'!CH67</f>
        <v>-5.8400000000000001E-2</v>
      </c>
      <c r="CK230">
        <f>'2012_2020 Int_Confianca'!CI67</f>
        <v>-2.35E-2</v>
      </c>
      <c r="CL230">
        <f>'2012_2020 Int_Confianca'!CJ67</f>
        <v>-1.6199999999999999E-2</v>
      </c>
      <c r="CM230">
        <f>'2012_2020 Int_Confianca'!CK67</f>
        <v>-1.23E-2</v>
      </c>
      <c r="CN230">
        <f>'2012_2020 Int_Confianca'!CL67</f>
        <v>-4.7699999999999999E-2</v>
      </c>
      <c r="CO230">
        <f>'2012_2020 Int_Confianca'!CM67</f>
        <v>-4.9099999999999998E-2</v>
      </c>
      <c r="CP230">
        <f>'2012_2020 Int_Confianca'!CN67</f>
        <v>-3.7699999999999997E-2</v>
      </c>
      <c r="CQ230">
        <f>'2012_2020 Int_Confianca'!CO67</f>
        <v>-2.0500000000000001E-2</v>
      </c>
      <c r="CR230">
        <f>'2012_2020 Int_Confianca'!CP67</f>
        <v>-5.1400000000000001E-2</v>
      </c>
      <c r="CS230">
        <f>'2012_2020 Int_Confianca'!CQ67</f>
        <v>-6.5699999999999995E-2</v>
      </c>
      <c r="CT230">
        <f>'2012_2020 Int_Confianca'!CR67</f>
        <v>-6.7500000000000004E-2</v>
      </c>
      <c r="CU230">
        <f>'2012_2020 Int_Confianca'!CS67</f>
        <v>-8.9899999999999994E-2</v>
      </c>
      <c r="CV230">
        <f>'2012_2020 Int_Confianca'!CT67</f>
        <v>-4.6800000000000001E-2</v>
      </c>
      <c r="CW230">
        <f>'2012_2020 Int_Confianca'!CU67</f>
        <v>-0.10249999999999999</v>
      </c>
      <c r="CX230">
        <f>'2012_2020 Int_Confianca'!CV67</f>
        <v>-7.8399999999999997E-2</v>
      </c>
    </row>
    <row r="231" spans="1:102" x14ac:dyDescent="0.2">
      <c r="A231" t="s">
        <v>5916</v>
      </c>
      <c r="B231" t="s">
        <v>219</v>
      </c>
      <c r="C231" t="s">
        <v>222</v>
      </c>
      <c r="D231">
        <f>'2012_2020 Int_Confianca'!B68</f>
        <v>4.8599999999999997E-2</v>
      </c>
      <c r="E231">
        <f>'2012_2020 Int_Confianca'!C68</f>
        <v>4.1700000000000001E-2</v>
      </c>
      <c r="F231">
        <f>'2012_2020 Int_Confianca'!D68</f>
        <v>4.2099999999999999E-2</v>
      </c>
      <c r="G231">
        <f>'2012_2020 Int_Confianca'!E68</f>
        <v>4.8399999999999999E-2</v>
      </c>
      <c r="H231">
        <f>'2012_2020 Int_Confianca'!F68</f>
        <v>2.8799999999999999E-2</v>
      </c>
      <c r="I231">
        <f>'2012_2020 Int_Confianca'!G68</f>
        <v>3.4299999999999997E-2</v>
      </c>
      <c r="J231">
        <f>'2012_2020 Int_Confianca'!H68</f>
        <v>2.5600000000000001E-2</v>
      </c>
      <c r="K231">
        <f>'2012_2020 Int_Confianca'!I68</f>
        <v>3.1099999999999999E-2</v>
      </c>
      <c r="L231">
        <f>'2012_2020 Int_Confianca'!J68</f>
        <v>3.39E-2</v>
      </c>
      <c r="M231">
        <f>'2012_2020 Int_Confianca'!K68</f>
        <v>2.3199999999999998E-2</v>
      </c>
      <c r="N231">
        <f>'2012_2020 Int_Confianca'!L68</f>
        <v>2.47E-2</v>
      </c>
      <c r="O231">
        <f>'2012_2020 Int_Confianca'!M68</f>
        <v>2.93E-2</v>
      </c>
      <c r="P231">
        <f>'2012_2020 Int_Confianca'!N68</f>
        <v>2.5100000000000001E-2</v>
      </c>
      <c r="Q231">
        <f>'2012_2020 Int_Confianca'!O68</f>
        <v>2.46E-2</v>
      </c>
      <c r="R231">
        <f>'2012_2020 Int_Confianca'!P68</f>
        <v>2.0299999999999999E-2</v>
      </c>
      <c r="S231">
        <f>'2012_2020 Int_Confianca'!Q68</f>
        <v>1.7899999999999999E-2</v>
      </c>
      <c r="T231">
        <f>'2012_2020 Int_Confianca'!R68</f>
        <v>1.5599999999999999E-2</v>
      </c>
      <c r="U231">
        <f>'2012_2020 Int_Confianca'!S68</f>
        <v>1.7399999999999999E-2</v>
      </c>
      <c r="V231">
        <f>'2012_2020 Int_Confianca'!T68</f>
        <v>1.6E-2</v>
      </c>
      <c r="W231">
        <f>'2012_2020 Int_Confianca'!U68</f>
        <v>1.4999999999999999E-2</v>
      </c>
      <c r="X231">
        <f>'2012_2020 Int_Confianca'!V68</f>
        <v>1.41E-2</v>
      </c>
      <c r="Y231">
        <f>'2012_2020 Int_Confianca'!W68</f>
        <v>1.6899999999999998E-2</v>
      </c>
      <c r="Z231">
        <f>'2012_2020 Int_Confianca'!X68</f>
        <v>1.5100000000000001E-2</v>
      </c>
      <c r="AA231">
        <f>'2012_2020 Int_Confianca'!Y68</f>
        <v>1.67E-2</v>
      </c>
      <c r="AB231">
        <f>'2012_2020 Int_Confianca'!Z68</f>
        <v>1.55E-2</v>
      </c>
      <c r="AC231">
        <f>'2012_2020 Int_Confianca'!AA68</f>
        <v>1.43E-2</v>
      </c>
      <c r="AD231">
        <f>'2012_2020 Int_Confianca'!AB68</f>
        <v>1.52E-2</v>
      </c>
      <c r="AE231">
        <f>'2012_2020 Int_Confianca'!AC68</f>
        <v>1.37E-2</v>
      </c>
      <c r="AF231">
        <f>'2012_2020 Int_Confianca'!AD68</f>
        <v>1.38E-2</v>
      </c>
      <c r="AG231">
        <f>'2012_2020 Int_Confianca'!AE68</f>
        <v>1.6E-2</v>
      </c>
      <c r="AH231">
        <f>'2012_2020 Int_Confianca'!AF68</f>
        <v>1.44E-2</v>
      </c>
      <c r="AI231">
        <f>'2012_2020 Int_Confianca'!AG68</f>
        <v>1.38E-2</v>
      </c>
      <c r="AJ231">
        <f>'2012_2020 Int_Confianca'!AH68</f>
        <v>1.34E-2</v>
      </c>
      <c r="AK231">
        <f>'2012_2020 Int_Confianca'!AI68</f>
        <v>1.04E-2</v>
      </c>
      <c r="AL231">
        <f>'2012_2020 Int_Confianca'!AJ68</f>
        <v>8.6E-3</v>
      </c>
      <c r="AM231">
        <f>'2012_2020 Int_Confianca'!AK68</f>
        <v>8.6999999999999994E-3</v>
      </c>
      <c r="AN231">
        <f>'2012_2020 Int_Confianca'!AL68</f>
        <v>6.1000000000000004E-3</v>
      </c>
      <c r="AO231">
        <f>'2012_2020 Int_Confianca'!AM68</f>
        <v>1.12E-2</v>
      </c>
      <c r="AP231">
        <f>'2012_2020 Int_Confianca'!AN68</f>
        <v>1.2699999999999999E-2</v>
      </c>
      <c r="AQ231">
        <f>'2012_2020 Int_Confianca'!AO68</f>
        <v>1.0699999999999999E-2</v>
      </c>
      <c r="AR231">
        <f>'2012_2020 Int_Confianca'!AP68</f>
        <v>1.18E-2</v>
      </c>
      <c r="AS231">
        <f>'2012_2020 Int_Confianca'!AQ68</f>
        <v>1.11E-2</v>
      </c>
      <c r="AT231">
        <f>'2012_2020 Int_Confianca'!AR68</f>
        <v>1.01E-2</v>
      </c>
      <c r="AU231">
        <f>'2012_2020 Int_Confianca'!AS68</f>
        <v>8.0999999999999996E-3</v>
      </c>
      <c r="AV231">
        <f>'2012_2020 Int_Confianca'!AT68</f>
        <v>8.6999999999999994E-3</v>
      </c>
      <c r="AW231">
        <f>'2012_2020 Int_Confianca'!AU68</f>
        <v>9.1999999999999998E-3</v>
      </c>
      <c r="AX231">
        <f>'2012_2020 Int_Confianca'!AV68</f>
        <v>1.0800000000000001E-2</v>
      </c>
      <c r="AY231">
        <f>'2012_2020 Int_Confianca'!AW68</f>
        <v>7.7999999999999996E-3</v>
      </c>
      <c r="AZ231">
        <f>'2012_2020 Int_Confianca'!AX68</f>
        <v>8.3999999999999995E-3</v>
      </c>
      <c r="BA231">
        <f>'2012_2020 Int_Confianca'!AY68</f>
        <v>6.7999999999999996E-3</v>
      </c>
      <c r="BB231">
        <f>'2012_2020 Int_Confianca'!AZ68</f>
        <v>5.0000000000000001E-3</v>
      </c>
      <c r="BC231">
        <f>'2012_2020 Int_Confianca'!BA68</f>
        <v>5.5999999999999999E-3</v>
      </c>
      <c r="BD231">
        <f>'2012_2020 Int_Confianca'!BB68</f>
        <v>1.06E-2</v>
      </c>
      <c r="BE231">
        <f>'2012_2020 Int_Confianca'!BC68</f>
        <v>1.21E-2</v>
      </c>
      <c r="BF231">
        <f>'2012_2020 Int_Confianca'!BD68</f>
        <v>7.7999999999999996E-3</v>
      </c>
      <c r="BG231">
        <f>'2012_2020 Int_Confianca'!BE68</f>
        <v>9.4000000000000004E-3</v>
      </c>
      <c r="BH231">
        <f>'2012_2020 Int_Confianca'!BF68</f>
        <v>5.1000000000000004E-3</v>
      </c>
      <c r="BI231">
        <f>'2012_2020 Int_Confianca'!BG68</f>
        <v>2.3E-3</v>
      </c>
      <c r="BJ231">
        <f>'2012_2020 Int_Confianca'!BH68</f>
        <v>4.4000000000000003E-3</v>
      </c>
      <c r="BK231">
        <f>'2012_2020 Int_Confianca'!BI68</f>
        <v>-4.0000000000000002E-4</v>
      </c>
      <c r="BL231">
        <f>'2012_2020 Int_Confianca'!BJ68</f>
        <v>-3.2000000000000002E-3</v>
      </c>
      <c r="BM231">
        <f>'2012_2020 Int_Confianca'!BK68</f>
        <v>6.9999999999999999E-4</v>
      </c>
      <c r="BN231">
        <f>'2012_2020 Int_Confianca'!BL68</f>
        <v>8.3000000000000001E-3</v>
      </c>
      <c r="BO231">
        <f>'2012_2020 Int_Confianca'!BM68</f>
        <v>1.3599999999999999E-2</v>
      </c>
      <c r="BP231">
        <f>'2012_2020 Int_Confianca'!BN68</f>
        <v>1.8499999999999999E-2</v>
      </c>
      <c r="BQ231">
        <f>'2012_2020 Int_Confianca'!BO68</f>
        <v>1.6400000000000001E-2</v>
      </c>
      <c r="BR231">
        <f>'2012_2020 Int_Confianca'!BP68</f>
        <v>2.64E-2</v>
      </c>
      <c r="BS231">
        <f>'2012_2020 Int_Confianca'!BQ68</f>
        <v>2.92E-2</v>
      </c>
      <c r="BT231">
        <f>'2012_2020 Int_Confianca'!BR68</f>
        <v>2.29E-2</v>
      </c>
      <c r="BU231">
        <f>'2012_2020 Int_Confianca'!BS68</f>
        <v>1.66E-2</v>
      </c>
      <c r="BV231">
        <f>'2012_2020 Int_Confianca'!BT68</f>
        <v>5.8999999999999999E-3</v>
      </c>
      <c r="BW231">
        <f>'2012_2020 Int_Confianca'!BU68</f>
        <v>-1.6000000000000001E-3</v>
      </c>
      <c r="BX231">
        <f>'2012_2020 Int_Confianca'!BV68</f>
        <v>-5.0000000000000001E-4</v>
      </c>
      <c r="BY231">
        <f>'2012_2020 Int_Confianca'!BW68</f>
        <v>4.1999999999999997E-3</v>
      </c>
      <c r="BZ231">
        <f>'2012_2020 Int_Confianca'!BX68</f>
        <v>5.7999999999999996E-3</v>
      </c>
      <c r="CA231">
        <f>'2012_2020 Int_Confianca'!BY68</f>
        <v>1.2200000000000001E-2</v>
      </c>
      <c r="CB231">
        <f>'2012_2020 Int_Confianca'!BZ68</f>
        <v>-8.9999999999999998E-4</v>
      </c>
      <c r="CC231">
        <f>'2012_2020 Int_Confianca'!CA68</f>
        <v>3.3999999999999998E-3</v>
      </c>
      <c r="CD231">
        <f>'2012_2020 Int_Confianca'!CB68</f>
        <v>7.4999999999999997E-3</v>
      </c>
      <c r="CE231">
        <f>'2012_2020 Int_Confianca'!CC68</f>
        <v>1.17E-2</v>
      </c>
      <c r="CF231">
        <f>'2012_2020 Int_Confianca'!CD68</f>
        <v>2.12E-2</v>
      </c>
      <c r="CG231">
        <f>'2012_2020 Int_Confianca'!CE68</f>
        <v>1.6400000000000001E-2</v>
      </c>
      <c r="CH231">
        <f>'2012_2020 Int_Confianca'!CF68</f>
        <v>1E-4</v>
      </c>
      <c r="CI231">
        <f>'2012_2020 Int_Confianca'!CG68</f>
        <v>-1.9699999999999999E-2</v>
      </c>
      <c r="CJ231">
        <f>'2012_2020 Int_Confianca'!CH68</f>
        <v>-2.6100000000000002E-2</v>
      </c>
      <c r="CK231">
        <f>'2012_2020 Int_Confianca'!CI68</f>
        <v>9.5999999999999992E-3</v>
      </c>
      <c r="CL231">
        <f>'2012_2020 Int_Confianca'!CJ68</f>
        <v>1.5599999999999999E-2</v>
      </c>
      <c r="CM231">
        <f>'2012_2020 Int_Confianca'!CK68</f>
        <v>1.84E-2</v>
      </c>
      <c r="CN231">
        <f>'2012_2020 Int_Confianca'!CL68</f>
        <v>-1.1900000000000001E-2</v>
      </c>
      <c r="CO231">
        <f>'2012_2020 Int_Confianca'!CM68</f>
        <v>-1.2500000000000001E-2</v>
      </c>
      <c r="CP231">
        <f>'2012_2020 Int_Confianca'!CN68</f>
        <v>-3.5000000000000001E-3</v>
      </c>
      <c r="CQ231">
        <f>'2012_2020 Int_Confianca'!CO68</f>
        <v>1.7100000000000001E-2</v>
      </c>
      <c r="CR231">
        <f>'2012_2020 Int_Confianca'!CP68</f>
        <v>-2.7000000000000001E-3</v>
      </c>
      <c r="CS231">
        <f>'2012_2020 Int_Confianca'!CQ68</f>
        <v>-1.67E-2</v>
      </c>
      <c r="CT231">
        <f>'2012_2020 Int_Confianca'!CR68</f>
        <v>-1.11E-2</v>
      </c>
      <c r="CU231">
        <f>'2012_2020 Int_Confianca'!CS68</f>
        <v>-3.5700000000000003E-2</v>
      </c>
      <c r="CV231">
        <f>'2012_2020 Int_Confianca'!CT68</f>
        <v>1.14E-2</v>
      </c>
      <c r="CW231">
        <f>'2012_2020 Int_Confianca'!CU68</f>
        <v>-2.1100000000000001E-2</v>
      </c>
      <c r="CX231">
        <f>'2012_2020 Int_Confianca'!CV68</f>
        <v>4.7000000000000002E-3</v>
      </c>
    </row>
    <row r="232" spans="1:102" x14ac:dyDescent="0.2">
      <c r="A232" t="s">
        <v>5917</v>
      </c>
      <c r="B232" t="s">
        <v>219</v>
      </c>
      <c r="C232" t="s">
        <v>222</v>
      </c>
      <c r="D232">
        <f>'2012_2020 Int_Confianca'!B69</f>
        <v>1.8599999999999998E-2</v>
      </c>
      <c r="E232">
        <f>'2012_2020 Int_Confianca'!C69</f>
        <v>-3.3999999999999998E-3</v>
      </c>
      <c r="F232">
        <f>'2012_2020 Int_Confianca'!D69</f>
        <v>-1.84E-2</v>
      </c>
      <c r="G232">
        <f>'2012_2020 Int_Confianca'!E69</f>
        <v>1.06E-2</v>
      </c>
      <c r="H232">
        <f>'2012_2020 Int_Confianca'!F69</f>
        <v>-2.29E-2</v>
      </c>
      <c r="I232">
        <f>'2012_2020 Int_Confianca'!G69</f>
        <v>-4.4000000000000003E-3</v>
      </c>
      <c r="J232">
        <f>'2012_2020 Int_Confianca'!H69</f>
        <v>-1.01E-2</v>
      </c>
      <c r="K232">
        <f>'2012_2020 Int_Confianca'!I69</f>
        <v>-8.8999999999999999E-3</v>
      </c>
      <c r="L232">
        <f>'2012_2020 Int_Confianca'!J69</f>
        <v>-4.7000000000000002E-3</v>
      </c>
      <c r="M232">
        <f>'2012_2020 Int_Confianca'!K69</f>
        <v>-1.41E-2</v>
      </c>
      <c r="N232">
        <f>'2012_2020 Int_Confianca'!L69</f>
        <v>-1.12E-2</v>
      </c>
      <c r="O232">
        <f>'2012_2020 Int_Confianca'!M69</f>
        <v>1.4E-3</v>
      </c>
      <c r="P232">
        <f>'2012_2020 Int_Confianca'!N69</f>
        <v>-8.9999999999999998E-4</v>
      </c>
      <c r="Q232">
        <f>'2012_2020 Int_Confianca'!O69</f>
        <v>-1.1999999999999999E-3</v>
      </c>
      <c r="R232">
        <f>'2012_2020 Int_Confianca'!P69</f>
        <v>-3.3999999999999998E-3</v>
      </c>
      <c r="S232">
        <f>'2012_2020 Int_Confianca'!Q69</f>
        <v>-3.0000000000000001E-3</v>
      </c>
      <c r="T232">
        <f>'2012_2020 Int_Confianca'!R69</f>
        <v>-1.5E-3</v>
      </c>
      <c r="U232">
        <f>'2012_2020 Int_Confianca'!S69</f>
        <v>-8.0000000000000004E-4</v>
      </c>
      <c r="V232">
        <f>'2012_2020 Int_Confianca'!T69</f>
        <v>0</v>
      </c>
      <c r="W232">
        <f>'2012_2020 Int_Confianca'!U69</f>
        <v>-4.0000000000000002E-4</v>
      </c>
      <c r="X232">
        <f>'2012_2020 Int_Confianca'!V69</f>
        <v>1E-4</v>
      </c>
      <c r="Y232">
        <f>'2012_2020 Int_Confianca'!W69</f>
        <v>8.9999999999999998E-4</v>
      </c>
      <c r="Z232">
        <f>'2012_2020 Int_Confianca'!X69</f>
        <v>6.9999999999999999E-4</v>
      </c>
      <c r="AA232">
        <f>'2012_2020 Int_Confianca'!Y69</f>
        <v>6.9999999999999999E-4</v>
      </c>
      <c r="AB232">
        <f>'2012_2020 Int_Confianca'!Z69</f>
        <v>5.0000000000000001E-4</v>
      </c>
      <c r="AC232">
        <f>'2012_2020 Int_Confianca'!AA69</f>
        <v>4.0000000000000002E-4</v>
      </c>
      <c r="AD232">
        <f>'2012_2020 Int_Confianca'!AB69</f>
        <v>0</v>
      </c>
      <c r="AE232">
        <f>'2012_2020 Int_Confianca'!AC69</f>
        <v>-5.9999999999999995E-4</v>
      </c>
      <c r="AF232">
        <f>'2012_2020 Int_Confianca'!AD69</f>
        <v>-8.0000000000000004E-4</v>
      </c>
      <c r="AG232">
        <f>'2012_2020 Int_Confianca'!AE69</f>
        <v>-2E-3</v>
      </c>
      <c r="AH232">
        <f>'2012_2020 Int_Confianca'!AF69</f>
        <v>-2.3999999999999998E-3</v>
      </c>
      <c r="AI232">
        <f>'2012_2020 Int_Confianca'!AG69</f>
        <v>-2.3999999999999998E-3</v>
      </c>
      <c r="AJ232">
        <f>'2012_2020 Int_Confianca'!AH69</f>
        <v>-2E-3</v>
      </c>
      <c r="AK232">
        <f>'2012_2020 Int_Confianca'!AI69</f>
        <v>-2.0999999999999999E-3</v>
      </c>
      <c r="AL232">
        <f>'2012_2020 Int_Confianca'!AJ69</f>
        <v>-2.2000000000000001E-3</v>
      </c>
      <c r="AM232">
        <f>'2012_2020 Int_Confianca'!AK69</f>
        <v>-2.3E-3</v>
      </c>
      <c r="AN232">
        <f>'2012_2020 Int_Confianca'!AL69</f>
        <v>-2.3999999999999998E-3</v>
      </c>
      <c r="AO232">
        <f>'2012_2020 Int_Confianca'!AM69</f>
        <v>-2E-3</v>
      </c>
      <c r="AP232">
        <f>'2012_2020 Int_Confianca'!AN69</f>
        <v>-1.6000000000000001E-3</v>
      </c>
      <c r="AQ232">
        <f>'2012_2020 Int_Confianca'!AO69</f>
        <v>-1.1999999999999999E-3</v>
      </c>
      <c r="AR232">
        <f>'2012_2020 Int_Confianca'!AP69</f>
        <v>-8.9999999999999998E-4</v>
      </c>
      <c r="AS232">
        <f>'2012_2020 Int_Confianca'!AQ69</f>
        <v>-1.1000000000000001E-3</v>
      </c>
      <c r="AT232">
        <f>'2012_2020 Int_Confianca'!AR69</f>
        <v>-1E-3</v>
      </c>
      <c r="AU232">
        <f>'2012_2020 Int_Confianca'!AS69</f>
        <v>-8.9999999999999998E-4</v>
      </c>
      <c r="AV232">
        <f>'2012_2020 Int_Confianca'!AT69</f>
        <v>-1.1000000000000001E-3</v>
      </c>
      <c r="AW232">
        <f>'2012_2020 Int_Confianca'!AU69</f>
        <v>-1E-3</v>
      </c>
      <c r="AX232">
        <f>'2012_2020 Int_Confianca'!AV69</f>
        <v>-8.9999999999999998E-4</v>
      </c>
      <c r="AY232">
        <f>'2012_2020 Int_Confianca'!AW69</f>
        <v>-1.4E-3</v>
      </c>
      <c r="AZ232">
        <f>'2012_2020 Int_Confianca'!AX69</f>
        <v>-1.6000000000000001E-3</v>
      </c>
      <c r="BA232">
        <f>'2012_2020 Int_Confianca'!AY69</f>
        <v>-2.0999999999999999E-3</v>
      </c>
      <c r="BB232">
        <f>'2012_2020 Int_Confianca'!AZ69</f>
        <v>-2.5000000000000001E-3</v>
      </c>
      <c r="BC232">
        <f>'2012_2020 Int_Confianca'!BA69</f>
        <v>-2.0999999999999999E-3</v>
      </c>
      <c r="BD232">
        <f>'2012_2020 Int_Confianca'!BB69</f>
        <v>-1.4E-3</v>
      </c>
      <c r="BE232">
        <f>'2012_2020 Int_Confianca'!BC69</f>
        <v>-1.2999999999999999E-3</v>
      </c>
      <c r="BF232">
        <f>'2012_2020 Int_Confianca'!BD69</f>
        <v>-1.5E-3</v>
      </c>
      <c r="BG232">
        <f>'2012_2020 Int_Confianca'!BE69</f>
        <v>-1.2999999999999999E-3</v>
      </c>
      <c r="BH232">
        <f>'2012_2020 Int_Confianca'!BF69</f>
        <v>-1.6000000000000001E-3</v>
      </c>
      <c r="BI232">
        <f>'2012_2020 Int_Confianca'!BG69</f>
        <v>-1.8E-3</v>
      </c>
      <c r="BJ232">
        <f>'2012_2020 Int_Confianca'!BH69</f>
        <v>-1.6000000000000001E-3</v>
      </c>
      <c r="BK232">
        <f>'2012_2020 Int_Confianca'!BI69</f>
        <v>-1.8E-3</v>
      </c>
      <c r="BL232">
        <f>'2012_2020 Int_Confianca'!BJ69</f>
        <v>-1.8E-3</v>
      </c>
      <c r="BM232">
        <f>'2012_2020 Int_Confianca'!BK69</f>
        <v>-1.4E-3</v>
      </c>
      <c r="BN232">
        <f>'2012_2020 Int_Confianca'!BL69</f>
        <v>-8.9999999999999998E-4</v>
      </c>
      <c r="BO232">
        <f>'2012_2020 Int_Confianca'!BM69</f>
        <v>-2.0000000000000001E-4</v>
      </c>
      <c r="BP232">
        <f>'2012_2020 Int_Confianca'!BN69</f>
        <v>4.0000000000000002E-4</v>
      </c>
      <c r="BQ232">
        <f>'2012_2020 Int_Confianca'!BO69</f>
        <v>8.0000000000000004E-4</v>
      </c>
      <c r="BR232">
        <f>'2012_2020 Int_Confianca'!BP69</f>
        <v>8.9999999999999998E-4</v>
      </c>
      <c r="BS232">
        <f>'2012_2020 Int_Confianca'!BQ69</f>
        <v>2.9999999999999997E-4</v>
      </c>
      <c r="BT232">
        <f>'2012_2020 Int_Confianca'!BR69</f>
        <v>1E-3</v>
      </c>
      <c r="BU232">
        <f>'2012_2020 Int_Confianca'!BS69</f>
        <v>6.9999999999999999E-4</v>
      </c>
      <c r="BV232">
        <f>'2012_2020 Int_Confianca'!BT69</f>
        <v>-6.9999999999999999E-4</v>
      </c>
      <c r="BW232">
        <f>'2012_2020 Int_Confianca'!BU69</f>
        <v>-5.0000000000000001E-4</v>
      </c>
      <c r="BX232">
        <f>'2012_2020 Int_Confianca'!BV69</f>
        <v>-1E-3</v>
      </c>
      <c r="BY232">
        <f>'2012_2020 Int_Confianca'!BW69</f>
        <v>-2.9999999999999997E-4</v>
      </c>
      <c r="BZ232">
        <f>'2012_2020 Int_Confianca'!BX69</f>
        <v>2.9999999999999997E-4</v>
      </c>
      <c r="CA232">
        <f>'2012_2020 Int_Confianca'!BY69</f>
        <v>1.1999999999999999E-3</v>
      </c>
      <c r="CB232">
        <f>'2012_2020 Int_Confianca'!BZ69</f>
        <v>1E-3</v>
      </c>
      <c r="CC232">
        <f>'2012_2020 Int_Confianca'!CA69</f>
        <v>1E-3</v>
      </c>
      <c r="CD232">
        <f>'2012_2020 Int_Confianca'!CB69</f>
        <v>2.0000000000000001E-4</v>
      </c>
      <c r="CE232">
        <f>'2012_2020 Int_Confianca'!CC69</f>
        <v>0</v>
      </c>
      <c r="CF232">
        <f>'2012_2020 Int_Confianca'!CD69</f>
        <v>-2.0000000000000001E-4</v>
      </c>
      <c r="CG232">
        <f>'2012_2020 Int_Confianca'!CE69</f>
        <v>0</v>
      </c>
      <c r="CH232">
        <f>'2012_2020 Int_Confianca'!CF69</f>
        <v>-1.5E-3</v>
      </c>
      <c r="CI232">
        <f>'2012_2020 Int_Confianca'!CG69</f>
        <v>-3.0999999999999999E-3</v>
      </c>
      <c r="CJ232">
        <f>'2012_2020 Int_Confianca'!CH69</f>
        <v>-4.5999999999999999E-3</v>
      </c>
      <c r="CK232">
        <f>'2012_2020 Int_Confianca'!CI69</f>
        <v>-2.5999999999999999E-3</v>
      </c>
      <c r="CL232">
        <f>'2012_2020 Int_Confianca'!CJ69</f>
        <v>-1.9E-3</v>
      </c>
      <c r="CM232">
        <f>'2012_2020 Int_Confianca'!CK69</f>
        <v>-1.4E-3</v>
      </c>
      <c r="CN232">
        <f>'2012_2020 Int_Confianca'!CL69</f>
        <v>-2.3E-3</v>
      </c>
      <c r="CO232">
        <f>'2012_2020 Int_Confianca'!CM69</f>
        <v>-3.0999999999999999E-3</v>
      </c>
      <c r="CP232">
        <f>'2012_2020 Int_Confianca'!CN69</f>
        <v>-3.5999999999999999E-3</v>
      </c>
      <c r="CQ232">
        <f>'2012_2020 Int_Confianca'!CO69</f>
        <v>-2.8999999999999998E-3</v>
      </c>
      <c r="CR232">
        <f>'2012_2020 Int_Confianca'!CP69</f>
        <v>-5.5999999999999999E-3</v>
      </c>
      <c r="CS232">
        <f>'2012_2020 Int_Confianca'!CQ69</f>
        <v>-6.8999999999999999E-3</v>
      </c>
      <c r="CT232">
        <f>'2012_2020 Int_Confianca'!CR69</f>
        <v>-7.4000000000000003E-3</v>
      </c>
      <c r="CU232">
        <f>'2012_2020 Int_Confianca'!CS69</f>
        <v>-8.0999999999999996E-3</v>
      </c>
      <c r="CV232">
        <f>'2012_2020 Int_Confianca'!CT69</f>
        <v>-7.7000000000000002E-3</v>
      </c>
      <c r="CW232">
        <f>'2012_2020 Int_Confianca'!CU69</f>
        <v>-1.04E-2</v>
      </c>
      <c r="CX232">
        <f>'2012_2020 Int_Confianca'!CV69</f>
        <v>-7.1000000000000004E-3</v>
      </c>
    </row>
    <row r="233" spans="1:102" x14ac:dyDescent="0.2">
      <c r="A233" t="s">
        <v>5918</v>
      </c>
      <c r="B233" t="s">
        <v>219</v>
      </c>
      <c r="C233" t="s">
        <v>222</v>
      </c>
      <c r="D233">
        <f>'2012_2020 Int_Confianca'!B70</f>
        <v>4.6300000000000001E-2</v>
      </c>
      <c r="E233">
        <f>'2012_2020 Int_Confianca'!C70</f>
        <v>2.5600000000000001E-2</v>
      </c>
      <c r="F233">
        <f>'2012_2020 Int_Confianca'!D70</f>
        <v>7.1999999999999998E-3</v>
      </c>
      <c r="G233">
        <f>'2012_2020 Int_Confianca'!E70</f>
        <v>2.8400000000000002E-2</v>
      </c>
      <c r="H233">
        <f>'2012_2020 Int_Confianca'!F70</f>
        <v>-2.8999999999999998E-3</v>
      </c>
      <c r="I233">
        <f>'2012_2020 Int_Confianca'!G70</f>
        <v>1.1299999999999999E-2</v>
      </c>
      <c r="J233">
        <f>'2012_2020 Int_Confianca'!H70</f>
        <v>5.1999999999999998E-3</v>
      </c>
      <c r="K233">
        <f>'2012_2020 Int_Confianca'!I70</f>
        <v>4.5999999999999999E-3</v>
      </c>
      <c r="L233">
        <f>'2012_2020 Int_Confianca'!J70</f>
        <v>7.4000000000000003E-3</v>
      </c>
      <c r="M233">
        <f>'2012_2020 Int_Confianca'!K70</f>
        <v>-3.2000000000000002E-3</v>
      </c>
      <c r="N233">
        <f>'2012_2020 Int_Confianca'!L70</f>
        <v>-1.2999999999999999E-3</v>
      </c>
      <c r="O233">
        <f>'2012_2020 Int_Confianca'!M70</f>
        <v>8.6999999999999994E-3</v>
      </c>
      <c r="P233">
        <f>'2012_2020 Int_Confianca'!N70</f>
        <v>5.7999999999999996E-3</v>
      </c>
      <c r="Q233">
        <f>'2012_2020 Int_Confianca'!O70</f>
        <v>4.7000000000000002E-3</v>
      </c>
      <c r="R233">
        <f>'2012_2020 Int_Confianca'!P70</f>
        <v>1.9E-3</v>
      </c>
      <c r="S233">
        <f>'2012_2020 Int_Confianca'!Q70</f>
        <v>1.6999999999999999E-3</v>
      </c>
      <c r="T233">
        <f>'2012_2020 Int_Confianca'!R70</f>
        <v>2.5999999999999999E-3</v>
      </c>
      <c r="U233">
        <f>'2012_2020 Int_Confianca'!S70</f>
        <v>3.0999999999999999E-3</v>
      </c>
      <c r="V233">
        <f>'2012_2020 Int_Confianca'!T70</f>
        <v>3.5000000000000001E-3</v>
      </c>
      <c r="W233">
        <f>'2012_2020 Int_Confianca'!U70</f>
        <v>3.0000000000000001E-3</v>
      </c>
      <c r="X233">
        <f>'2012_2020 Int_Confianca'!V70</f>
        <v>3.3E-3</v>
      </c>
      <c r="Y233">
        <f>'2012_2020 Int_Confianca'!W70</f>
        <v>3.8999999999999998E-3</v>
      </c>
      <c r="Z233">
        <f>'2012_2020 Int_Confianca'!X70</f>
        <v>3.7000000000000002E-3</v>
      </c>
      <c r="AA233">
        <f>'2012_2020 Int_Confianca'!Y70</f>
        <v>3.5999999999999999E-3</v>
      </c>
      <c r="AB233">
        <f>'2012_2020 Int_Confianca'!Z70</f>
        <v>3.3999999999999998E-3</v>
      </c>
      <c r="AC233">
        <f>'2012_2020 Int_Confianca'!AA70</f>
        <v>3.2000000000000002E-3</v>
      </c>
      <c r="AD233">
        <f>'2012_2020 Int_Confianca'!AB70</f>
        <v>2.8E-3</v>
      </c>
      <c r="AE233">
        <f>'2012_2020 Int_Confianca'!AC70</f>
        <v>2.2000000000000001E-3</v>
      </c>
      <c r="AF233">
        <f>'2012_2020 Int_Confianca'!AD70</f>
        <v>2E-3</v>
      </c>
      <c r="AG233">
        <f>'2012_2020 Int_Confianca'!AE70</f>
        <v>8.9999999999999998E-4</v>
      </c>
      <c r="AH233">
        <f>'2012_2020 Int_Confianca'!AF70</f>
        <v>5.0000000000000001E-4</v>
      </c>
      <c r="AI233">
        <f>'2012_2020 Int_Confianca'!AG70</f>
        <v>5.0000000000000001E-4</v>
      </c>
      <c r="AJ233">
        <f>'2012_2020 Int_Confianca'!AH70</f>
        <v>8.9999999999999998E-4</v>
      </c>
      <c r="AK233">
        <f>'2012_2020 Int_Confianca'!AI70</f>
        <v>1E-3</v>
      </c>
      <c r="AL233">
        <f>'2012_2020 Int_Confianca'!AJ70</f>
        <v>1E-3</v>
      </c>
      <c r="AM233">
        <f>'2012_2020 Int_Confianca'!AK70</f>
        <v>8.9999999999999998E-4</v>
      </c>
      <c r="AN233">
        <f>'2012_2020 Int_Confianca'!AL70</f>
        <v>8.0000000000000004E-4</v>
      </c>
      <c r="AO233">
        <f>'2012_2020 Int_Confianca'!AM70</f>
        <v>1.2999999999999999E-3</v>
      </c>
      <c r="AP233">
        <f>'2012_2020 Int_Confianca'!AN70</f>
        <v>1.6999999999999999E-3</v>
      </c>
      <c r="AQ233">
        <f>'2012_2020 Int_Confianca'!AO70</f>
        <v>2.0999999999999999E-3</v>
      </c>
      <c r="AR233">
        <f>'2012_2020 Int_Confianca'!AP70</f>
        <v>2.3999999999999998E-3</v>
      </c>
      <c r="AS233">
        <f>'2012_2020 Int_Confianca'!AQ70</f>
        <v>2.3E-3</v>
      </c>
      <c r="AT233">
        <f>'2012_2020 Int_Confianca'!AR70</f>
        <v>2.3E-3</v>
      </c>
      <c r="AU233">
        <f>'2012_2020 Int_Confianca'!AS70</f>
        <v>2.3999999999999998E-3</v>
      </c>
      <c r="AV233">
        <f>'2012_2020 Int_Confianca'!AT70</f>
        <v>2.0999999999999999E-3</v>
      </c>
      <c r="AW233">
        <f>'2012_2020 Int_Confianca'!AU70</f>
        <v>2.3E-3</v>
      </c>
      <c r="AX233">
        <f>'2012_2020 Int_Confianca'!AV70</f>
        <v>2.3E-3</v>
      </c>
      <c r="AY233">
        <f>'2012_2020 Int_Confianca'!AW70</f>
        <v>1.9E-3</v>
      </c>
      <c r="AZ233">
        <f>'2012_2020 Int_Confianca'!AX70</f>
        <v>1.6000000000000001E-3</v>
      </c>
      <c r="BA233">
        <f>'2012_2020 Int_Confianca'!AY70</f>
        <v>1.1999999999999999E-3</v>
      </c>
      <c r="BB233">
        <f>'2012_2020 Int_Confianca'!AZ70</f>
        <v>8.9999999999999998E-4</v>
      </c>
      <c r="BC233">
        <f>'2012_2020 Int_Confianca'!BA70</f>
        <v>1.4E-3</v>
      </c>
      <c r="BD233">
        <f>'2012_2020 Int_Confianca'!BB70</f>
        <v>2.0999999999999999E-3</v>
      </c>
      <c r="BE233">
        <f>'2012_2020 Int_Confianca'!BC70</f>
        <v>2.2000000000000001E-3</v>
      </c>
      <c r="BF233">
        <f>'2012_2020 Int_Confianca'!BD70</f>
        <v>2.0999999999999999E-3</v>
      </c>
      <c r="BG233">
        <f>'2012_2020 Int_Confianca'!BE70</f>
        <v>2.3E-3</v>
      </c>
      <c r="BH233">
        <f>'2012_2020 Int_Confianca'!BF70</f>
        <v>2E-3</v>
      </c>
      <c r="BI233">
        <f>'2012_2020 Int_Confianca'!BG70</f>
        <v>1.9E-3</v>
      </c>
      <c r="BJ233">
        <f>'2012_2020 Int_Confianca'!BH70</f>
        <v>2.0999999999999999E-3</v>
      </c>
      <c r="BK233">
        <f>'2012_2020 Int_Confianca'!BI70</f>
        <v>1.9E-3</v>
      </c>
      <c r="BL233">
        <f>'2012_2020 Int_Confianca'!BJ70</f>
        <v>1.9E-3</v>
      </c>
      <c r="BM233">
        <f>'2012_2020 Int_Confianca'!BK70</f>
        <v>2.3E-3</v>
      </c>
      <c r="BN233">
        <f>'2012_2020 Int_Confianca'!BL70</f>
        <v>2.8E-3</v>
      </c>
      <c r="BO233">
        <f>'2012_2020 Int_Confianca'!BM70</f>
        <v>3.5000000000000001E-3</v>
      </c>
      <c r="BP233">
        <f>'2012_2020 Int_Confianca'!BN70</f>
        <v>4.0000000000000001E-3</v>
      </c>
      <c r="BQ233">
        <f>'2012_2020 Int_Confianca'!BO70</f>
        <v>4.4999999999999997E-3</v>
      </c>
      <c r="BR233">
        <f>'2012_2020 Int_Confianca'!BP70</f>
        <v>4.4999999999999997E-3</v>
      </c>
      <c r="BS233">
        <f>'2012_2020 Int_Confianca'!BQ70</f>
        <v>3.8E-3</v>
      </c>
      <c r="BT233">
        <f>'2012_2020 Int_Confianca'!BR70</f>
        <v>4.4999999999999997E-3</v>
      </c>
      <c r="BU233">
        <f>'2012_2020 Int_Confianca'!BS70</f>
        <v>4.4000000000000003E-3</v>
      </c>
      <c r="BV233">
        <f>'2012_2020 Int_Confianca'!BT70</f>
        <v>3.5999999999999999E-3</v>
      </c>
      <c r="BW233">
        <f>'2012_2020 Int_Confianca'!BU70</f>
        <v>4.1000000000000003E-3</v>
      </c>
      <c r="BX233">
        <f>'2012_2020 Int_Confianca'!BV70</f>
        <v>3.5999999999999999E-3</v>
      </c>
      <c r="BY233">
        <f>'2012_2020 Int_Confianca'!BW70</f>
        <v>4.1999999999999997E-3</v>
      </c>
      <c r="BZ233">
        <f>'2012_2020 Int_Confianca'!BX70</f>
        <v>4.7000000000000002E-3</v>
      </c>
      <c r="CA233">
        <f>'2012_2020 Int_Confianca'!BY70</f>
        <v>5.5999999999999999E-3</v>
      </c>
      <c r="CB233">
        <f>'2012_2020 Int_Confianca'!BZ70</f>
        <v>5.4000000000000003E-3</v>
      </c>
      <c r="CC233">
        <f>'2012_2020 Int_Confianca'!CA70</f>
        <v>5.5999999999999999E-3</v>
      </c>
      <c r="CD233">
        <f>'2012_2020 Int_Confianca'!CB70</f>
        <v>4.7999999999999996E-3</v>
      </c>
      <c r="CE233">
        <f>'2012_2020 Int_Confianca'!CC70</f>
        <v>4.5999999999999999E-3</v>
      </c>
      <c r="CF233">
        <f>'2012_2020 Int_Confianca'!CD70</f>
        <v>4.4999999999999997E-3</v>
      </c>
      <c r="CG233">
        <f>'2012_2020 Int_Confianca'!CE70</f>
        <v>4.4999999999999997E-3</v>
      </c>
      <c r="CH233">
        <f>'2012_2020 Int_Confianca'!CF70</f>
        <v>3.2000000000000002E-3</v>
      </c>
      <c r="CI233">
        <f>'2012_2020 Int_Confianca'!CG70</f>
        <v>2E-3</v>
      </c>
      <c r="CJ233">
        <f>'2012_2020 Int_Confianca'!CH70</f>
        <v>8.9999999999999998E-4</v>
      </c>
      <c r="CK233">
        <f>'2012_2020 Int_Confianca'!CI70</f>
        <v>3.0000000000000001E-3</v>
      </c>
      <c r="CL233">
        <f>'2012_2020 Int_Confianca'!CJ70</f>
        <v>3.5000000000000001E-3</v>
      </c>
      <c r="CM233">
        <f>'2012_2020 Int_Confianca'!CK70</f>
        <v>3.7000000000000002E-3</v>
      </c>
      <c r="CN233">
        <f>'2012_2020 Int_Confianca'!CL70</f>
        <v>3.5000000000000001E-3</v>
      </c>
      <c r="CO233">
        <f>'2012_2020 Int_Confianca'!CM70</f>
        <v>2.8E-3</v>
      </c>
      <c r="CP233">
        <f>'2012_2020 Int_Confianca'!CN70</f>
        <v>1.9E-3</v>
      </c>
      <c r="CQ233">
        <f>'2012_2020 Int_Confianca'!CO70</f>
        <v>3.0000000000000001E-3</v>
      </c>
      <c r="CR233">
        <f>'2012_2020 Int_Confianca'!CP70</f>
        <v>1.9E-3</v>
      </c>
      <c r="CS233">
        <f>'2012_2020 Int_Confianca'!CQ70</f>
        <v>5.0000000000000001E-4</v>
      </c>
      <c r="CT233">
        <f>'2012_2020 Int_Confianca'!CR70</f>
        <v>8.9999999999999998E-4</v>
      </c>
      <c r="CU233">
        <f>'2012_2020 Int_Confianca'!CS70</f>
        <v>-2.9999999999999997E-4</v>
      </c>
      <c r="CV233">
        <f>'2012_2020 Int_Confianca'!CT70</f>
        <v>1E-3</v>
      </c>
      <c r="CW233">
        <f>'2012_2020 Int_Confianca'!CU70</f>
        <v>8.0000000000000004E-4</v>
      </c>
      <c r="CX233">
        <f>'2012_2020 Int_Confianca'!CV70</f>
        <v>6.1000000000000004E-3</v>
      </c>
    </row>
    <row r="234" spans="1:102" x14ac:dyDescent="0.2">
      <c r="A234" t="s">
        <v>5919</v>
      </c>
      <c r="B234" t="s">
        <v>219</v>
      </c>
      <c r="C234" t="s">
        <v>222</v>
      </c>
      <c r="D234">
        <f>'2012_2020 Int_Confianca'!B71</f>
        <v>-9.64E-2</v>
      </c>
      <c r="E234">
        <f>'2012_2020 Int_Confianca'!C71</f>
        <v>-5.67E-2</v>
      </c>
      <c r="F234">
        <f>'2012_2020 Int_Confianca'!D71</f>
        <v>9.7000000000000003E-3</v>
      </c>
      <c r="G234">
        <f>'2012_2020 Int_Confianca'!E71</f>
        <v>-0.1268</v>
      </c>
      <c r="H234">
        <f>'2012_2020 Int_Confianca'!F71</f>
        <v>8.2199999999999995E-2</v>
      </c>
      <c r="I234">
        <f>'2012_2020 Int_Confianca'!G71</f>
        <v>-6.7599999999999993E-2</v>
      </c>
      <c r="J234">
        <f>'2012_2020 Int_Confianca'!H71</f>
        <v>7.7999999999999996E-3</v>
      </c>
      <c r="K234">
        <f>'2012_2020 Int_Confianca'!I71</f>
        <v>4.8999999999999998E-3</v>
      </c>
      <c r="L234">
        <f>'2012_2020 Int_Confianca'!J71</f>
        <v>-2.7099999999999999E-2</v>
      </c>
      <c r="M234">
        <f>'2012_2020 Int_Confianca'!K71</f>
        <v>9.8699999999999996E-2</v>
      </c>
      <c r="N234">
        <f>'2012_2020 Int_Confianca'!L71</f>
        <v>8.8099999999999998E-2</v>
      </c>
      <c r="O234">
        <f>'2012_2020 Int_Confianca'!M71</f>
        <v>-4.5199999999999997E-2</v>
      </c>
      <c r="P234">
        <f>'2012_2020 Int_Confianca'!N71</f>
        <v>5.5999999999999999E-3</v>
      </c>
      <c r="Q234">
        <f>'2012_2020 Int_Confianca'!O71</f>
        <v>2.5000000000000001E-2</v>
      </c>
      <c r="R234">
        <f>'2012_2020 Int_Confianca'!P71</f>
        <v>4.6100000000000002E-2</v>
      </c>
      <c r="S234">
        <f>'2012_2020 Int_Confianca'!Q71</f>
        <v>2.9399999999999999E-2</v>
      </c>
      <c r="T234">
        <f>'2012_2020 Int_Confianca'!R71</f>
        <v>7.1000000000000004E-3</v>
      </c>
      <c r="U234">
        <f>'2012_2020 Int_Confianca'!S71</f>
        <v>-3.2000000000000002E-3</v>
      </c>
      <c r="V234">
        <f>'2012_2020 Int_Confianca'!T71</f>
        <v>-7.1999999999999998E-3</v>
      </c>
      <c r="W234">
        <f>'2012_2020 Int_Confianca'!U71</f>
        <v>-9.7999999999999997E-3</v>
      </c>
      <c r="X234">
        <f>'2012_2020 Int_Confianca'!V71</f>
        <v>-1.6899999999999998E-2</v>
      </c>
      <c r="Y234">
        <f>'2012_2020 Int_Confianca'!W71</f>
        <v>-3.0700000000000002E-2</v>
      </c>
      <c r="Z234">
        <f>'2012_2020 Int_Confianca'!X71</f>
        <v>-2.3199999999999998E-2</v>
      </c>
      <c r="AA234">
        <f>'2012_2020 Int_Confianca'!Y71</f>
        <v>-1.09E-2</v>
      </c>
      <c r="AB234">
        <f>'2012_2020 Int_Confianca'!Z71</f>
        <v>-5.0000000000000001E-4</v>
      </c>
      <c r="AC234">
        <f>'2012_2020 Int_Confianca'!AA71</f>
        <v>8.2000000000000007E-3</v>
      </c>
      <c r="AD234">
        <f>'2012_2020 Int_Confianca'!AB71</f>
        <v>1.04E-2</v>
      </c>
      <c r="AE234">
        <f>'2012_2020 Int_Confianca'!AC71</f>
        <v>8.5000000000000006E-3</v>
      </c>
      <c r="AF234">
        <f>'2012_2020 Int_Confianca'!AD71</f>
        <v>8.6999999999999994E-3</v>
      </c>
      <c r="AG234">
        <f>'2012_2020 Int_Confianca'!AE71</f>
        <v>4.4000000000000003E-3</v>
      </c>
      <c r="AH234">
        <f>'2012_2020 Int_Confianca'!AF71</f>
        <v>1.2699999999999999E-2</v>
      </c>
      <c r="AI234">
        <f>'2012_2020 Int_Confianca'!AG71</f>
        <v>1.0699999999999999E-2</v>
      </c>
      <c r="AJ234">
        <f>'2012_2020 Int_Confianca'!AH71</f>
        <v>7.1999999999999998E-3</v>
      </c>
      <c r="AK234">
        <f>'2012_2020 Int_Confianca'!AI71</f>
        <v>8.8000000000000005E-3</v>
      </c>
      <c r="AL234">
        <f>'2012_2020 Int_Confianca'!AJ71</f>
        <v>1.14E-2</v>
      </c>
      <c r="AM234">
        <f>'2012_2020 Int_Confianca'!AK71</f>
        <v>5.0000000000000001E-3</v>
      </c>
      <c r="AN234">
        <f>'2012_2020 Int_Confianca'!AL71</f>
        <v>1E-4</v>
      </c>
      <c r="AO234">
        <f>'2012_2020 Int_Confianca'!AM71</f>
        <v>-1E-4</v>
      </c>
      <c r="AP234">
        <f>'2012_2020 Int_Confianca'!AN71</f>
        <v>4.0000000000000001E-3</v>
      </c>
      <c r="AQ234">
        <f>'2012_2020 Int_Confianca'!AO71</f>
        <v>6.4000000000000003E-3</v>
      </c>
      <c r="AR234">
        <f>'2012_2020 Int_Confianca'!AP71</f>
        <v>5.0000000000000001E-3</v>
      </c>
      <c r="AS234">
        <f>'2012_2020 Int_Confianca'!AQ71</f>
        <v>2.7000000000000001E-3</v>
      </c>
      <c r="AT234">
        <f>'2012_2020 Int_Confianca'!AR71</f>
        <v>1.9E-3</v>
      </c>
      <c r="AU234">
        <f>'2012_2020 Int_Confianca'!AS71</f>
        <v>5.3E-3</v>
      </c>
      <c r="AV234">
        <f>'2012_2020 Int_Confianca'!AT71</f>
        <v>1.7500000000000002E-2</v>
      </c>
      <c r="AW234">
        <f>'2012_2020 Int_Confianca'!AU71</f>
        <v>2.0199999999999999E-2</v>
      </c>
      <c r="AX234">
        <f>'2012_2020 Int_Confianca'!AV71</f>
        <v>1.06E-2</v>
      </c>
      <c r="AY234">
        <f>'2012_2020 Int_Confianca'!AW71</f>
        <v>8.6999999999999994E-3</v>
      </c>
      <c r="AZ234">
        <f>'2012_2020 Int_Confianca'!AX71</f>
        <v>5.1000000000000004E-3</v>
      </c>
      <c r="BA234">
        <f>'2012_2020 Int_Confianca'!AY71</f>
        <v>6.4999999999999997E-3</v>
      </c>
      <c r="BB234">
        <f>'2012_2020 Int_Confianca'!AZ71</f>
        <v>2.0999999999999999E-3</v>
      </c>
      <c r="BC234">
        <f>'2012_2020 Int_Confianca'!BA71</f>
        <v>5.1000000000000004E-3</v>
      </c>
      <c r="BD234">
        <f>'2012_2020 Int_Confianca'!BB71</f>
        <v>1.6000000000000001E-3</v>
      </c>
      <c r="BE234">
        <f>'2012_2020 Int_Confianca'!BC71</f>
        <v>3.3999999999999998E-3</v>
      </c>
      <c r="BF234">
        <f>'2012_2020 Int_Confianca'!BD71</f>
        <v>3.5999999999999999E-3</v>
      </c>
      <c r="BG234">
        <f>'2012_2020 Int_Confianca'!BE71</f>
        <v>1.15E-2</v>
      </c>
      <c r="BH234">
        <f>'2012_2020 Int_Confianca'!BF71</f>
        <v>1.6199999999999999E-2</v>
      </c>
      <c r="BI234">
        <f>'2012_2020 Int_Confianca'!BG71</f>
        <v>9.5999999999999992E-3</v>
      </c>
      <c r="BJ234">
        <f>'2012_2020 Int_Confianca'!BH71</f>
        <v>9.1999999999999998E-3</v>
      </c>
      <c r="BK234">
        <f>'2012_2020 Int_Confianca'!BI71</f>
        <v>6.4999999999999997E-3</v>
      </c>
      <c r="BL234">
        <f>'2012_2020 Int_Confianca'!BJ71</f>
        <v>5.3E-3</v>
      </c>
      <c r="BM234">
        <f>'2012_2020 Int_Confianca'!BK71</f>
        <v>-4.0000000000000002E-4</v>
      </c>
      <c r="BN234">
        <f>'2012_2020 Int_Confianca'!BL71</f>
        <v>-5.1999999999999998E-3</v>
      </c>
      <c r="BO234">
        <f>'2012_2020 Int_Confianca'!BM71</f>
        <v>-7.4999999999999997E-3</v>
      </c>
      <c r="BP234">
        <f>'2012_2020 Int_Confianca'!BN71</f>
        <v>-7.6E-3</v>
      </c>
      <c r="BQ234">
        <f>'2012_2020 Int_Confianca'!BO71</f>
        <v>-2E-3</v>
      </c>
      <c r="BR234">
        <f>'2012_2020 Int_Confianca'!BP71</f>
        <v>4.3E-3</v>
      </c>
      <c r="BS234">
        <f>'2012_2020 Int_Confianca'!BQ71</f>
        <v>9.2999999999999992E-3</v>
      </c>
      <c r="BT234">
        <f>'2012_2020 Int_Confianca'!BR71</f>
        <v>1.9800000000000002E-2</v>
      </c>
      <c r="BU234">
        <f>'2012_2020 Int_Confianca'!BS71</f>
        <v>2.1999999999999999E-2</v>
      </c>
      <c r="BV234">
        <f>'2012_2020 Int_Confianca'!BT71</f>
        <v>2.52E-2</v>
      </c>
      <c r="BW234">
        <f>'2012_2020 Int_Confianca'!BU71</f>
        <v>2.6700000000000002E-2</v>
      </c>
      <c r="BX234">
        <f>'2012_2020 Int_Confianca'!BV71</f>
        <v>1.14E-2</v>
      </c>
      <c r="BY234">
        <f>'2012_2020 Int_Confianca'!BW71</f>
        <v>2.1999999999999999E-2</v>
      </c>
      <c r="BZ234">
        <f>'2012_2020 Int_Confianca'!BX71</f>
        <v>2.2800000000000001E-2</v>
      </c>
      <c r="CA234">
        <f>'2012_2020 Int_Confianca'!BY71</f>
        <v>2.0500000000000001E-2</v>
      </c>
      <c r="CB234">
        <f>'2012_2020 Int_Confianca'!BZ71</f>
        <v>2.1000000000000001E-2</v>
      </c>
      <c r="CC234">
        <f>'2012_2020 Int_Confianca'!CA71</f>
        <v>3.2099999999999997E-2</v>
      </c>
      <c r="CD234">
        <f>'2012_2020 Int_Confianca'!CB71</f>
        <v>2.06E-2</v>
      </c>
      <c r="CE234">
        <f>'2012_2020 Int_Confianca'!CC71</f>
        <v>1.7500000000000002E-2</v>
      </c>
      <c r="CF234">
        <f>'2012_2020 Int_Confianca'!CD71</f>
        <v>1.78E-2</v>
      </c>
      <c r="CG234">
        <f>'2012_2020 Int_Confianca'!CE71</f>
        <v>2.8000000000000001E-2</v>
      </c>
      <c r="CH234">
        <f>'2012_2020 Int_Confianca'!CF71</f>
        <v>2.2800000000000001E-2</v>
      </c>
      <c r="CI234">
        <f>'2012_2020 Int_Confianca'!CG71</f>
        <v>2.3800000000000002E-2</v>
      </c>
      <c r="CJ234">
        <f>'2012_2020 Int_Confianca'!CH71</f>
        <v>1.5299999999999999E-2</v>
      </c>
      <c r="CK234">
        <f>'2012_2020 Int_Confianca'!CI71</f>
        <v>1.1900000000000001E-2</v>
      </c>
      <c r="CL234">
        <f>'2012_2020 Int_Confianca'!CJ71</f>
        <v>8.0999999999999996E-3</v>
      </c>
      <c r="CM234">
        <f>'2012_2020 Int_Confianca'!CK71</f>
        <v>2.07E-2</v>
      </c>
      <c r="CN234">
        <f>'2012_2020 Int_Confianca'!CL71</f>
        <v>3.44E-2</v>
      </c>
      <c r="CO234">
        <f>'2012_2020 Int_Confianca'!CM71</f>
        <v>2.6599999999999999E-2</v>
      </c>
      <c r="CP234">
        <f>'2012_2020 Int_Confianca'!CN71</f>
        <v>2.8400000000000002E-2</v>
      </c>
      <c r="CQ234">
        <f>'2012_2020 Int_Confianca'!CO71</f>
        <v>3.1E-2</v>
      </c>
      <c r="CR234">
        <f>'2012_2020 Int_Confianca'!CP71</f>
        <v>3.6200000000000003E-2</v>
      </c>
      <c r="CS234">
        <f>'2012_2020 Int_Confianca'!CQ71</f>
        <v>3.4799999999999998E-2</v>
      </c>
      <c r="CT234">
        <f>'2012_2020 Int_Confianca'!CR71</f>
        <v>3.3300000000000003E-2</v>
      </c>
      <c r="CU234">
        <f>'2012_2020 Int_Confianca'!CS71</f>
        <v>2.7699999999999999E-2</v>
      </c>
      <c r="CV234">
        <f>'2012_2020 Int_Confianca'!CT71</f>
        <v>5.0000000000000001E-3</v>
      </c>
      <c r="CW234">
        <f>'2012_2020 Int_Confianca'!CU71</f>
        <v>2.01E-2</v>
      </c>
      <c r="CX234">
        <f>'2012_2020 Int_Confianca'!CV71</f>
        <v>1.7100000000000001E-2</v>
      </c>
    </row>
    <row r="235" spans="1:102" x14ac:dyDescent="0.2">
      <c r="A235" t="s">
        <v>5920</v>
      </c>
      <c r="B235" t="s">
        <v>219</v>
      </c>
      <c r="C235" t="s">
        <v>222</v>
      </c>
      <c r="D235">
        <f>'2012_2020 Int_Confianca'!B72</f>
        <v>-4.6600000000000003E-2</v>
      </c>
      <c r="E235">
        <f>'2012_2020 Int_Confianca'!C72</f>
        <v>-3.3E-3</v>
      </c>
      <c r="F235">
        <f>'2012_2020 Int_Confianca'!D72</f>
        <v>5.96E-2</v>
      </c>
      <c r="G235">
        <f>'2012_2020 Int_Confianca'!E72</f>
        <v>-8.8800000000000004E-2</v>
      </c>
      <c r="H235">
        <f>'2012_2020 Int_Confianca'!F72</f>
        <v>0.1265</v>
      </c>
      <c r="I235">
        <f>'2012_2020 Int_Confianca'!G72</f>
        <v>-2.9700000000000001E-2</v>
      </c>
      <c r="J235">
        <f>'2012_2020 Int_Confianca'!H72</f>
        <v>4.6199999999999998E-2</v>
      </c>
      <c r="K235">
        <f>'2012_2020 Int_Confianca'!I72</f>
        <v>4.1500000000000002E-2</v>
      </c>
      <c r="L235">
        <f>'2012_2020 Int_Confianca'!J72</f>
        <v>6.6E-3</v>
      </c>
      <c r="M235">
        <f>'2012_2020 Int_Confianca'!K72</f>
        <v>0.13039999999999999</v>
      </c>
      <c r="N235">
        <f>'2012_2020 Int_Confianca'!L72</f>
        <v>0.1176</v>
      </c>
      <c r="O235">
        <f>'2012_2020 Int_Confianca'!M72</f>
        <v>-2.3099999999999999E-2</v>
      </c>
      <c r="P235">
        <f>'2012_2020 Int_Confianca'!N72</f>
        <v>2.6800000000000001E-2</v>
      </c>
      <c r="Q235">
        <f>'2012_2020 Int_Confianca'!O72</f>
        <v>4.41E-2</v>
      </c>
      <c r="R235">
        <f>'2012_2020 Int_Confianca'!P72</f>
        <v>6.2899999999999998E-2</v>
      </c>
      <c r="S235">
        <f>'2012_2020 Int_Confianca'!Q72</f>
        <v>4.4699999999999997E-2</v>
      </c>
      <c r="T235">
        <f>'2012_2020 Int_Confianca'!R72</f>
        <v>2.0799999999999999E-2</v>
      </c>
      <c r="U235">
        <f>'2012_2020 Int_Confianca'!S72</f>
        <v>9.9000000000000008E-3</v>
      </c>
      <c r="V235">
        <f>'2012_2020 Int_Confianca'!T72</f>
        <v>4.8999999999999998E-3</v>
      </c>
      <c r="W235">
        <f>'2012_2020 Int_Confianca'!U72</f>
        <v>2.2000000000000001E-3</v>
      </c>
      <c r="X235">
        <f>'2012_2020 Int_Confianca'!V72</f>
        <v>-5.1000000000000004E-3</v>
      </c>
      <c r="Y235">
        <f>'2012_2020 Int_Confianca'!W72</f>
        <v>-1.9699999999999999E-2</v>
      </c>
      <c r="Z235">
        <f>'2012_2020 Int_Confianca'!X72</f>
        <v>-1.21E-2</v>
      </c>
      <c r="AA235">
        <f>'2012_2020 Int_Confianca'!Y72</f>
        <v>2.9999999999999997E-4</v>
      </c>
      <c r="AB235">
        <f>'2012_2020 Int_Confianca'!Z72</f>
        <v>1.0699999999999999E-2</v>
      </c>
      <c r="AC235">
        <f>'2012_2020 Int_Confianca'!AA72</f>
        <v>1.9300000000000001E-2</v>
      </c>
      <c r="AD235">
        <f>'2012_2020 Int_Confianca'!AB72</f>
        <v>2.1499999999999998E-2</v>
      </c>
      <c r="AE235">
        <f>'2012_2020 Int_Confianca'!AC72</f>
        <v>1.9699999999999999E-2</v>
      </c>
      <c r="AF235">
        <f>'2012_2020 Int_Confianca'!AD72</f>
        <v>0.02</v>
      </c>
      <c r="AG235">
        <f>'2012_2020 Int_Confianca'!AE72</f>
        <v>1.5800000000000002E-2</v>
      </c>
      <c r="AH235">
        <f>'2012_2020 Int_Confianca'!AF72</f>
        <v>2.4500000000000001E-2</v>
      </c>
      <c r="AI235">
        <f>'2012_2020 Int_Confianca'!AG72</f>
        <v>2.2700000000000001E-2</v>
      </c>
      <c r="AJ235">
        <f>'2012_2020 Int_Confianca'!AH72</f>
        <v>1.9400000000000001E-2</v>
      </c>
      <c r="AK235">
        <f>'2012_2020 Int_Confianca'!AI72</f>
        <v>2.1499999999999998E-2</v>
      </c>
      <c r="AL235">
        <f>'2012_2020 Int_Confianca'!AJ72</f>
        <v>2.4799999999999999E-2</v>
      </c>
      <c r="AM235">
        <f>'2012_2020 Int_Confianca'!AK72</f>
        <v>1.8700000000000001E-2</v>
      </c>
      <c r="AN235">
        <f>'2012_2020 Int_Confianca'!AL72</f>
        <v>1.4E-2</v>
      </c>
      <c r="AO235">
        <f>'2012_2020 Int_Confianca'!AM72</f>
        <v>1.4E-2</v>
      </c>
      <c r="AP235">
        <f>'2012_2020 Int_Confianca'!AN72</f>
        <v>1.83E-2</v>
      </c>
      <c r="AQ235">
        <f>'2012_2020 Int_Confianca'!AO72</f>
        <v>2.0799999999999999E-2</v>
      </c>
      <c r="AR235">
        <f>'2012_2020 Int_Confianca'!AP72</f>
        <v>1.9599999999999999E-2</v>
      </c>
      <c r="AS235">
        <f>'2012_2020 Int_Confianca'!AQ72</f>
        <v>1.7500000000000002E-2</v>
      </c>
      <c r="AT235">
        <f>'2012_2020 Int_Confianca'!AR72</f>
        <v>1.6799999999999999E-2</v>
      </c>
      <c r="AU235">
        <f>'2012_2020 Int_Confianca'!AS72</f>
        <v>2.01E-2</v>
      </c>
      <c r="AV235">
        <f>'2012_2020 Int_Confianca'!AT72</f>
        <v>3.2399999999999998E-2</v>
      </c>
      <c r="AW235">
        <f>'2012_2020 Int_Confianca'!AU72</f>
        <v>3.5000000000000003E-2</v>
      </c>
      <c r="AX235">
        <f>'2012_2020 Int_Confianca'!AV72</f>
        <v>2.5499999999999998E-2</v>
      </c>
      <c r="AY235">
        <f>'2012_2020 Int_Confianca'!AW72</f>
        <v>2.3800000000000002E-2</v>
      </c>
      <c r="AZ235">
        <f>'2012_2020 Int_Confianca'!AX72</f>
        <v>2.0199999999999999E-2</v>
      </c>
      <c r="BA235">
        <f>'2012_2020 Int_Confianca'!AY72</f>
        <v>2.18E-2</v>
      </c>
      <c r="BB235">
        <f>'2012_2020 Int_Confianca'!AZ72</f>
        <v>1.78E-2</v>
      </c>
      <c r="BC235">
        <f>'2012_2020 Int_Confianca'!BA72</f>
        <v>2.1100000000000001E-2</v>
      </c>
      <c r="BD235">
        <f>'2012_2020 Int_Confianca'!BB72</f>
        <v>1.7999999999999999E-2</v>
      </c>
      <c r="BE235">
        <f>'2012_2020 Int_Confianca'!BC72</f>
        <v>2.01E-2</v>
      </c>
      <c r="BF235">
        <f>'2012_2020 Int_Confianca'!BD72</f>
        <v>2.0899999999999998E-2</v>
      </c>
      <c r="BG235">
        <f>'2012_2020 Int_Confianca'!BE72</f>
        <v>2.8799999999999999E-2</v>
      </c>
      <c r="BH235">
        <f>'2012_2020 Int_Confianca'!BF72</f>
        <v>3.3799999999999997E-2</v>
      </c>
      <c r="BI235">
        <f>'2012_2020 Int_Confianca'!BG72</f>
        <v>2.7400000000000001E-2</v>
      </c>
      <c r="BJ235">
        <f>'2012_2020 Int_Confianca'!BH72</f>
        <v>2.7099999999999999E-2</v>
      </c>
      <c r="BK235">
        <f>'2012_2020 Int_Confianca'!BI72</f>
        <v>2.47E-2</v>
      </c>
      <c r="BL235">
        <f>'2012_2020 Int_Confianca'!BJ72</f>
        <v>2.3599999999999999E-2</v>
      </c>
      <c r="BM235">
        <f>'2012_2020 Int_Confianca'!BK72</f>
        <v>1.7999999999999999E-2</v>
      </c>
      <c r="BN235">
        <f>'2012_2020 Int_Confianca'!BL72</f>
        <v>1.34E-2</v>
      </c>
      <c r="BO235">
        <f>'2012_2020 Int_Confianca'!BM72</f>
        <v>1.0999999999999999E-2</v>
      </c>
      <c r="BP235">
        <f>'2012_2020 Int_Confianca'!BN72</f>
        <v>1.0800000000000001E-2</v>
      </c>
      <c r="BQ235">
        <f>'2012_2020 Int_Confianca'!BO72</f>
        <v>1.66E-2</v>
      </c>
      <c r="BR235">
        <f>'2012_2020 Int_Confianca'!BP72</f>
        <v>2.2599999999999999E-2</v>
      </c>
      <c r="BS235">
        <f>'2012_2020 Int_Confianca'!BQ72</f>
        <v>2.7699999999999999E-2</v>
      </c>
      <c r="BT235">
        <f>'2012_2020 Int_Confianca'!BR72</f>
        <v>3.8199999999999998E-2</v>
      </c>
      <c r="BU235">
        <f>'2012_2020 Int_Confianca'!BS72</f>
        <v>4.1700000000000001E-2</v>
      </c>
      <c r="BV235">
        <f>'2012_2020 Int_Confianca'!BT72</f>
        <v>4.8000000000000001E-2</v>
      </c>
      <c r="BW235">
        <f>'2012_2020 Int_Confianca'!BU72</f>
        <v>5.1200000000000002E-2</v>
      </c>
      <c r="BX235">
        <f>'2012_2020 Int_Confianca'!BV72</f>
        <v>3.6200000000000003E-2</v>
      </c>
      <c r="BY235">
        <f>'2012_2020 Int_Confianca'!BW72</f>
        <v>4.6600000000000003E-2</v>
      </c>
      <c r="BZ235">
        <f>'2012_2020 Int_Confianca'!BX72</f>
        <v>4.7100000000000003E-2</v>
      </c>
      <c r="CA235">
        <f>'2012_2020 Int_Confianca'!BY72</f>
        <v>4.4600000000000001E-2</v>
      </c>
      <c r="CB235">
        <f>'2012_2020 Int_Confianca'!BZ72</f>
        <v>4.5699999999999998E-2</v>
      </c>
      <c r="CC235">
        <f>'2012_2020 Int_Confianca'!CA72</f>
        <v>5.7700000000000001E-2</v>
      </c>
      <c r="CD235">
        <f>'2012_2020 Int_Confianca'!CB72</f>
        <v>4.6800000000000001E-2</v>
      </c>
      <c r="CE235">
        <f>'2012_2020 Int_Confianca'!CC72</f>
        <v>4.4499999999999998E-2</v>
      </c>
      <c r="CF235">
        <f>'2012_2020 Int_Confianca'!CD72</f>
        <v>4.5100000000000001E-2</v>
      </c>
      <c r="CG235">
        <f>'2012_2020 Int_Confianca'!CE72</f>
        <v>5.5E-2</v>
      </c>
      <c r="CH235">
        <f>'2012_2020 Int_Confianca'!CF72</f>
        <v>5.16E-2</v>
      </c>
      <c r="CI235">
        <f>'2012_2020 Int_Confianca'!CG72</f>
        <v>5.5E-2</v>
      </c>
      <c r="CJ235">
        <f>'2012_2020 Int_Confianca'!CH72</f>
        <v>4.9399999999999999E-2</v>
      </c>
      <c r="CK235">
        <f>'2012_2020 Int_Confianca'!CI72</f>
        <v>4.7300000000000002E-2</v>
      </c>
      <c r="CL235">
        <f>'2012_2020 Int_Confianca'!CJ72</f>
        <v>4.2200000000000001E-2</v>
      </c>
      <c r="CM235">
        <f>'2012_2020 Int_Confianca'!CK72</f>
        <v>5.3800000000000001E-2</v>
      </c>
      <c r="CN235">
        <f>'2012_2020 Int_Confianca'!CL72</f>
        <v>7.3300000000000004E-2</v>
      </c>
      <c r="CO235">
        <f>'2012_2020 Int_Confianca'!CM72</f>
        <v>6.6900000000000001E-2</v>
      </c>
      <c r="CP235">
        <f>'2012_2020 Int_Confianca'!CN72</f>
        <v>6.5100000000000005E-2</v>
      </c>
      <c r="CQ235">
        <f>'2012_2020 Int_Confianca'!CO72</f>
        <v>7.1800000000000003E-2</v>
      </c>
      <c r="CR235">
        <f>'2012_2020 Int_Confianca'!CP72</f>
        <v>8.8900000000000007E-2</v>
      </c>
      <c r="CS235">
        <f>'2012_2020 Int_Confianca'!CQ72</f>
        <v>8.7900000000000006E-2</v>
      </c>
      <c r="CT235">
        <f>'2012_2020 Int_Confianca'!CR72</f>
        <v>9.4700000000000006E-2</v>
      </c>
      <c r="CU235">
        <f>'2012_2020 Int_Confianca'!CS72</f>
        <v>8.5699999999999998E-2</v>
      </c>
      <c r="CV235">
        <f>'2012_2020 Int_Confianca'!CT72</f>
        <v>7.17E-2</v>
      </c>
      <c r="CW235">
        <f>'2012_2020 Int_Confianca'!CU72</f>
        <v>0.1128</v>
      </c>
      <c r="CX235">
        <f>'2012_2020 Int_Confianca'!CV72</f>
        <v>0.1162</v>
      </c>
    </row>
    <row r="236" spans="1:102" x14ac:dyDescent="0.2">
      <c r="A236" t="s">
        <v>5921</v>
      </c>
      <c r="B236" t="s">
        <v>219</v>
      </c>
      <c r="C236" t="s">
        <v>222</v>
      </c>
      <c r="D236">
        <f>'2012_2020 Int_Confianca'!B73</f>
        <v>1.7999999999999999E-2</v>
      </c>
      <c r="E236">
        <f>'2012_2020 Int_Confianca'!C73</f>
        <v>2.6800000000000001E-2</v>
      </c>
      <c r="F236">
        <f>'2012_2020 Int_Confianca'!D73</f>
        <v>2.1100000000000001E-2</v>
      </c>
      <c r="G236">
        <f>'2012_2020 Int_Confianca'!E73</f>
        <v>1.6500000000000001E-2</v>
      </c>
      <c r="H236">
        <f>'2012_2020 Int_Confianca'!F73</f>
        <v>3.95E-2</v>
      </c>
      <c r="I236">
        <f>'2012_2020 Int_Confianca'!G73</f>
        <v>3.0099999999999998E-2</v>
      </c>
      <c r="J236">
        <f>'2012_2020 Int_Confianca'!H73</f>
        <v>2.2200000000000001E-2</v>
      </c>
      <c r="K236">
        <f>'2012_2020 Int_Confianca'!I73</f>
        <v>1.3599999999999999E-2</v>
      </c>
      <c r="L236">
        <f>'2012_2020 Int_Confianca'!J73</f>
        <v>1.34E-2</v>
      </c>
      <c r="M236">
        <f>'2012_2020 Int_Confianca'!K73</f>
        <v>1.1299999999999999E-2</v>
      </c>
      <c r="N236">
        <f>'2012_2020 Int_Confianca'!L73</f>
        <v>7.1999999999999998E-3</v>
      </c>
      <c r="O236">
        <f>'2012_2020 Int_Confianca'!M73</f>
        <v>-2.5000000000000001E-3</v>
      </c>
      <c r="P236">
        <f>'2012_2020 Int_Confianca'!N73</f>
        <v>1.12E-2</v>
      </c>
      <c r="Q236">
        <f>'2012_2020 Int_Confianca'!O73</f>
        <v>-2.5000000000000001E-3</v>
      </c>
      <c r="R236">
        <f>'2012_2020 Int_Confianca'!P73</f>
        <v>0</v>
      </c>
      <c r="S236">
        <f>'2012_2020 Int_Confianca'!Q73</f>
        <v>4.1000000000000003E-3</v>
      </c>
      <c r="T236">
        <f>'2012_2020 Int_Confianca'!R73</f>
        <v>-4.3E-3</v>
      </c>
      <c r="U236">
        <f>'2012_2020 Int_Confianca'!S73</f>
        <v>1.1999999999999999E-3</v>
      </c>
      <c r="V236">
        <f>'2012_2020 Int_Confianca'!T73</f>
        <v>-5.0000000000000001E-4</v>
      </c>
      <c r="W236">
        <f>'2012_2020 Int_Confianca'!U73</f>
        <v>-1.1999999999999999E-3</v>
      </c>
      <c r="X236">
        <f>'2012_2020 Int_Confianca'!V73</f>
        <v>2.0000000000000001E-4</v>
      </c>
      <c r="Y236">
        <f>'2012_2020 Int_Confianca'!W73</f>
        <v>-2.5999999999999999E-3</v>
      </c>
      <c r="Z236">
        <f>'2012_2020 Int_Confianca'!X73</f>
        <v>-4.7999999999999996E-3</v>
      </c>
      <c r="AA236">
        <f>'2012_2020 Int_Confianca'!Y73</f>
        <v>-8.0000000000000002E-3</v>
      </c>
      <c r="AB236">
        <f>'2012_2020 Int_Confianca'!Z73</f>
        <v>1.6000000000000001E-3</v>
      </c>
      <c r="AC236">
        <f>'2012_2020 Int_Confianca'!AA73</f>
        <v>-5.7000000000000002E-3</v>
      </c>
      <c r="AD236">
        <f>'2012_2020 Int_Confianca'!AB73</f>
        <v>-3.5000000000000001E-3</v>
      </c>
      <c r="AE236">
        <f>'2012_2020 Int_Confianca'!AC73</f>
        <v>-4.7999999999999996E-3</v>
      </c>
      <c r="AF236">
        <f>'2012_2020 Int_Confianca'!AD73</f>
        <v>1.6000000000000001E-3</v>
      </c>
      <c r="AG236">
        <f>'2012_2020 Int_Confianca'!AE73</f>
        <v>3.7000000000000002E-3</v>
      </c>
      <c r="AH236">
        <f>'2012_2020 Int_Confianca'!AF73</f>
        <v>2.5999999999999999E-3</v>
      </c>
      <c r="AI236">
        <f>'2012_2020 Int_Confianca'!AG73</f>
        <v>-2.0999999999999999E-3</v>
      </c>
      <c r="AJ236">
        <f>'2012_2020 Int_Confianca'!AH73</f>
        <v>8.9999999999999998E-4</v>
      </c>
      <c r="AK236">
        <f>'2012_2020 Int_Confianca'!AI73</f>
        <v>-3.0999999999999999E-3</v>
      </c>
      <c r="AL236">
        <f>'2012_2020 Int_Confianca'!AJ73</f>
        <v>-1E-3</v>
      </c>
      <c r="AM236">
        <f>'2012_2020 Int_Confianca'!AK73</f>
        <v>-6.9999999999999999E-4</v>
      </c>
      <c r="AN236">
        <f>'2012_2020 Int_Confianca'!AL73</f>
        <v>-4.7999999999999996E-3</v>
      </c>
      <c r="AO236">
        <f>'2012_2020 Int_Confianca'!AM73</f>
        <v>-5.4999999999999997E-3</v>
      </c>
      <c r="AP236">
        <f>'2012_2020 Int_Confianca'!AN73</f>
        <v>5.9999999999999995E-4</v>
      </c>
      <c r="AQ236">
        <f>'2012_2020 Int_Confianca'!AO73</f>
        <v>-1E-3</v>
      </c>
      <c r="AR236">
        <f>'2012_2020 Int_Confianca'!AP73</f>
        <v>2.9999999999999997E-4</v>
      </c>
      <c r="AS236">
        <f>'2012_2020 Int_Confianca'!AQ73</f>
        <v>-3.8E-3</v>
      </c>
      <c r="AT236">
        <f>'2012_2020 Int_Confianca'!AR73</f>
        <v>-4.4000000000000003E-3</v>
      </c>
      <c r="AU236">
        <f>'2012_2020 Int_Confianca'!AS73</f>
        <v>-5.1999999999999998E-3</v>
      </c>
      <c r="AV236">
        <f>'2012_2020 Int_Confianca'!AT73</f>
        <v>-3.2000000000000002E-3</v>
      </c>
      <c r="AW236">
        <f>'2012_2020 Int_Confianca'!AU73</f>
        <v>-3.2000000000000002E-3</v>
      </c>
      <c r="AX236">
        <f>'2012_2020 Int_Confianca'!AV73</f>
        <v>-4.3E-3</v>
      </c>
      <c r="AY236">
        <f>'2012_2020 Int_Confianca'!AW73</f>
        <v>-2.5999999999999999E-3</v>
      </c>
      <c r="AZ236">
        <f>'2012_2020 Int_Confianca'!AX73</f>
        <v>8.0000000000000004E-4</v>
      </c>
      <c r="BA236">
        <f>'2012_2020 Int_Confianca'!AY73</f>
        <v>-2.3E-3</v>
      </c>
      <c r="BB236">
        <f>'2012_2020 Int_Confianca'!AZ73</f>
        <v>-1.9E-3</v>
      </c>
      <c r="BC236">
        <f>'2012_2020 Int_Confianca'!BA73</f>
        <v>-4.1000000000000003E-3</v>
      </c>
      <c r="BD236">
        <f>'2012_2020 Int_Confianca'!BB73</f>
        <v>-3.7000000000000002E-3</v>
      </c>
      <c r="BE236">
        <f>'2012_2020 Int_Confianca'!BC73</f>
        <v>-3.3999999999999998E-3</v>
      </c>
      <c r="BF236">
        <f>'2012_2020 Int_Confianca'!BD73</f>
        <v>-1.8E-3</v>
      </c>
      <c r="BG236">
        <f>'2012_2020 Int_Confianca'!BE73</f>
        <v>-2.5000000000000001E-3</v>
      </c>
      <c r="BH236">
        <f>'2012_2020 Int_Confianca'!BF73</f>
        <v>-3.0999999999999999E-3</v>
      </c>
      <c r="BI236">
        <f>'2012_2020 Int_Confianca'!BG73</f>
        <v>-2.8999999999999998E-3</v>
      </c>
      <c r="BJ236">
        <f>'2012_2020 Int_Confianca'!BH73</f>
        <v>-6.7000000000000002E-3</v>
      </c>
      <c r="BK236">
        <f>'2012_2020 Int_Confianca'!BI73</f>
        <v>3.5999999999999999E-3</v>
      </c>
      <c r="BL236">
        <f>'2012_2020 Int_Confianca'!BJ73</f>
        <v>-3.3999999999999998E-3</v>
      </c>
      <c r="BM236">
        <f>'2012_2020 Int_Confianca'!BK73</f>
        <v>-8.0000000000000004E-4</v>
      </c>
      <c r="BN236">
        <f>'2012_2020 Int_Confianca'!BL73</f>
        <v>5.0000000000000001E-4</v>
      </c>
      <c r="BO236">
        <f>'2012_2020 Int_Confianca'!BM73</f>
        <v>2.2000000000000001E-3</v>
      </c>
      <c r="BP236">
        <f>'2012_2020 Int_Confianca'!BN73</f>
        <v>1.2999999999999999E-3</v>
      </c>
      <c r="BQ236">
        <f>'2012_2020 Int_Confianca'!BO73</f>
        <v>-3.3E-3</v>
      </c>
      <c r="BR236">
        <f>'2012_2020 Int_Confianca'!BP73</f>
        <v>-1.37E-2</v>
      </c>
      <c r="BS236">
        <f>'2012_2020 Int_Confianca'!BQ73</f>
        <v>-7.4000000000000003E-3</v>
      </c>
      <c r="BT236">
        <f>'2012_2020 Int_Confianca'!BR73</f>
        <v>8.9999999999999998E-4</v>
      </c>
      <c r="BU236">
        <f>'2012_2020 Int_Confianca'!BS73</f>
        <v>8.9999999999999998E-4</v>
      </c>
      <c r="BV236">
        <f>'2012_2020 Int_Confianca'!BT73</f>
        <v>-1.6999999999999999E-3</v>
      </c>
      <c r="BW236">
        <f>'2012_2020 Int_Confianca'!BU73</f>
        <v>-3.8E-3</v>
      </c>
      <c r="BX236">
        <f>'2012_2020 Int_Confianca'!BV73</f>
        <v>1.1999999999999999E-3</v>
      </c>
      <c r="BY236">
        <f>'2012_2020 Int_Confianca'!BW73</f>
        <v>-1E-3</v>
      </c>
      <c r="BZ236">
        <f>'2012_2020 Int_Confianca'!BX73</f>
        <v>-5.4999999999999997E-3</v>
      </c>
      <c r="CA236">
        <f>'2012_2020 Int_Confianca'!BY73</f>
        <v>-3.0999999999999999E-3</v>
      </c>
      <c r="CB236">
        <f>'2012_2020 Int_Confianca'!BZ73</f>
        <v>4.4000000000000003E-3</v>
      </c>
      <c r="CC236">
        <f>'2012_2020 Int_Confianca'!CA73</f>
        <v>4.0000000000000002E-4</v>
      </c>
      <c r="CD236">
        <f>'2012_2020 Int_Confianca'!CB73</f>
        <v>5.5999999999999999E-3</v>
      </c>
      <c r="CE236">
        <f>'2012_2020 Int_Confianca'!CC73</f>
        <v>5.7999999999999996E-3</v>
      </c>
      <c r="CF236">
        <f>'2012_2020 Int_Confianca'!CD73</f>
        <v>-7.7999999999999996E-3</v>
      </c>
      <c r="CG236">
        <f>'2012_2020 Int_Confianca'!CE73</f>
        <v>5.1000000000000004E-3</v>
      </c>
      <c r="CH236">
        <f>'2012_2020 Int_Confianca'!CF73</f>
        <v>1.4E-3</v>
      </c>
      <c r="CI236">
        <f>'2012_2020 Int_Confianca'!CG73</f>
        <v>8.2000000000000007E-3</v>
      </c>
      <c r="CJ236">
        <f>'2012_2020 Int_Confianca'!CH73</f>
        <v>1.4E-3</v>
      </c>
      <c r="CK236">
        <f>'2012_2020 Int_Confianca'!CI73</f>
        <v>8.3000000000000001E-3</v>
      </c>
      <c r="CL236">
        <f>'2012_2020 Int_Confianca'!CJ73</f>
        <v>5.1999999999999998E-3</v>
      </c>
      <c r="CM236">
        <f>'2012_2020 Int_Confianca'!CK73</f>
        <v>8.0000000000000002E-3</v>
      </c>
      <c r="CN236">
        <f>'2012_2020 Int_Confianca'!CL73</f>
        <v>6.8999999999999999E-3</v>
      </c>
      <c r="CO236">
        <f>'2012_2020 Int_Confianca'!CM73</f>
        <v>5.3E-3</v>
      </c>
      <c r="CP236">
        <f>'2012_2020 Int_Confianca'!CN73</f>
        <v>6.1000000000000004E-3</v>
      </c>
      <c r="CQ236">
        <f>'2012_2020 Int_Confianca'!CO73</f>
        <v>1.6E-2</v>
      </c>
      <c r="CR236">
        <f>'2012_2020 Int_Confianca'!CP73</f>
        <v>1.6400000000000001E-2</v>
      </c>
      <c r="CS236">
        <f>'2012_2020 Int_Confianca'!CQ73</f>
        <v>7.1999999999999998E-3</v>
      </c>
      <c r="CT236">
        <f>'2012_2020 Int_Confianca'!CR73</f>
        <v>2.53E-2</v>
      </c>
      <c r="CU236">
        <f>'2012_2020 Int_Confianca'!CS73</f>
        <v>2.1899999999999999E-2</v>
      </c>
      <c r="CV236">
        <f>'2012_2020 Int_Confianca'!CT73</f>
        <v>2.2599999999999999E-2</v>
      </c>
      <c r="CW236">
        <f>'2012_2020 Int_Confianca'!CU73</f>
        <v>1.8100000000000002E-2</v>
      </c>
      <c r="CX236">
        <f>'2012_2020 Int_Confianca'!CV73</f>
        <v>1.8800000000000001E-2</v>
      </c>
    </row>
    <row r="237" spans="1:102" x14ac:dyDescent="0.2">
      <c r="A237" t="s">
        <v>5922</v>
      </c>
      <c r="B237" t="s">
        <v>219</v>
      </c>
      <c r="C237" t="s">
        <v>222</v>
      </c>
      <c r="D237">
        <f>'2012_2020 Int_Confianca'!B74</f>
        <v>4.65E-2</v>
      </c>
      <c r="E237">
        <f>'2012_2020 Int_Confianca'!C74</f>
        <v>6.0499999999999998E-2</v>
      </c>
      <c r="F237">
        <f>'2012_2020 Int_Confianca'!D74</f>
        <v>5.2499999999999998E-2</v>
      </c>
      <c r="G237">
        <f>'2012_2020 Int_Confianca'!E74</f>
        <v>3.9199999999999999E-2</v>
      </c>
      <c r="H237">
        <f>'2012_2020 Int_Confianca'!F74</f>
        <v>6.6699999999999995E-2</v>
      </c>
      <c r="I237">
        <f>'2012_2020 Int_Confianca'!G74</f>
        <v>5.2499999999999998E-2</v>
      </c>
      <c r="J237">
        <f>'2012_2020 Int_Confianca'!H74</f>
        <v>4.4600000000000001E-2</v>
      </c>
      <c r="K237">
        <f>'2012_2020 Int_Confianca'!I74</f>
        <v>3.4099999999999998E-2</v>
      </c>
      <c r="L237">
        <f>'2012_2020 Int_Confianca'!J74</f>
        <v>3.2099999999999997E-2</v>
      </c>
      <c r="M237">
        <f>'2012_2020 Int_Confianca'!K74</f>
        <v>2.87E-2</v>
      </c>
      <c r="N237">
        <f>'2012_2020 Int_Confianca'!L74</f>
        <v>2.3099999999999999E-2</v>
      </c>
      <c r="O237">
        <f>'2012_2020 Int_Confianca'!M74</f>
        <v>9.1999999999999998E-3</v>
      </c>
      <c r="P237">
        <f>'2012_2020 Int_Confianca'!N74</f>
        <v>2.24E-2</v>
      </c>
      <c r="Q237">
        <f>'2012_2020 Int_Confianca'!O74</f>
        <v>7.4999999999999997E-3</v>
      </c>
      <c r="R237">
        <f>'2012_2020 Int_Confianca'!P74</f>
        <v>8.6999999999999994E-3</v>
      </c>
      <c r="S237">
        <f>'2012_2020 Int_Confianca'!Q74</f>
        <v>1.21E-2</v>
      </c>
      <c r="T237">
        <f>'2012_2020 Int_Confianca'!R74</f>
        <v>2.8E-3</v>
      </c>
      <c r="U237">
        <f>'2012_2020 Int_Confianca'!S74</f>
        <v>7.9000000000000008E-3</v>
      </c>
      <c r="V237">
        <f>'2012_2020 Int_Confianca'!T74</f>
        <v>5.7000000000000002E-3</v>
      </c>
      <c r="W237">
        <f>'2012_2020 Int_Confianca'!U74</f>
        <v>4.8999999999999998E-3</v>
      </c>
      <c r="X237">
        <f>'2012_2020 Int_Confianca'!V74</f>
        <v>6.1999999999999998E-3</v>
      </c>
      <c r="Y237">
        <f>'2012_2020 Int_Confianca'!W74</f>
        <v>3.0000000000000001E-3</v>
      </c>
      <c r="Z237">
        <f>'2012_2020 Int_Confianca'!X74</f>
        <v>8.0000000000000004E-4</v>
      </c>
      <c r="AA237">
        <f>'2012_2020 Int_Confianca'!Y74</f>
        <v>-2.3999999999999998E-3</v>
      </c>
      <c r="AB237">
        <f>'2012_2020 Int_Confianca'!Z74</f>
        <v>7.1999999999999998E-3</v>
      </c>
      <c r="AC237">
        <f>'2012_2020 Int_Confianca'!AA74</f>
        <v>-2.0000000000000001E-4</v>
      </c>
      <c r="AD237">
        <f>'2012_2020 Int_Confianca'!AB74</f>
        <v>2E-3</v>
      </c>
      <c r="AE237">
        <f>'2012_2020 Int_Confianca'!AC74</f>
        <v>6.9999999999999999E-4</v>
      </c>
      <c r="AF237">
        <f>'2012_2020 Int_Confianca'!AD74</f>
        <v>7.3000000000000001E-3</v>
      </c>
      <c r="AG237">
        <f>'2012_2020 Int_Confianca'!AE74</f>
        <v>9.4999999999999998E-3</v>
      </c>
      <c r="AH237">
        <f>'2012_2020 Int_Confianca'!AF74</f>
        <v>8.6E-3</v>
      </c>
      <c r="AI237">
        <f>'2012_2020 Int_Confianca'!AG74</f>
        <v>4.0000000000000001E-3</v>
      </c>
      <c r="AJ237">
        <f>'2012_2020 Int_Confianca'!AH74</f>
        <v>7.1000000000000004E-3</v>
      </c>
      <c r="AK237">
        <f>'2012_2020 Int_Confianca'!AI74</f>
        <v>3.3999999999999998E-3</v>
      </c>
      <c r="AL237">
        <f>'2012_2020 Int_Confianca'!AJ74</f>
        <v>5.7999999999999996E-3</v>
      </c>
      <c r="AM237">
        <f>'2012_2020 Int_Confianca'!AK74</f>
        <v>6.1999999999999998E-3</v>
      </c>
      <c r="AN237">
        <f>'2012_2020 Int_Confianca'!AL74</f>
        <v>2.2000000000000001E-3</v>
      </c>
      <c r="AO237">
        <f>'2012_2020 Int_Confianca'!AM74</f>
        <v>1.6999999999999999E-3</v>
      </c>
      <c r="AP237">
        <f>'2012_2020 Int_Confianca'!AN74</f>
        <v>7.7999999999999996E-3</v>
      </c>
      <c r="AQ237">
        <f>'2012_2020 Int_Confianca'!AO74</f>
        <v>6.3E-3</v>
      </c>
      <c r="AR237">
        <f>'2012_2020 Int_Confianca'!AP74</f>
        <v>7.7000000000000002E-3</v>
      </c>
      <c r="AS237">
        <f>'2012_2020 Int_Confianca'!AQ74</f>
        <v>3.7000000000000002E-3</v>
      </c>
      <c r="AT237">
        <f>'2012_2020 Int_Confianca'!AR74</f>
        <v>3.2000000000000002E-3</v>
      </c>
      <c r="AU237">
        <f>'2012_2020 Int_Confianca'!AS74</f>
        <v>2.3999999999999998E-3</v>
      </c>
      <c r="AV237">
        <f>'2012_2020 Int_Confianca'!AT74</f>
        <v>4.4000000000000003E-3</v>
      </c>
      <c r="AW237">
        <f>'2012_2020 Int_Confianca'!AU74</f>
        <v>4.3E-3</v>
      </c>
      <c r="AX237">
        <f>'2012_2020 Int_Confianca'!AV74</f>
        <v>3.3E-3</v>
      </c>
      <c r="AY237">
        <f>'2012_2020 Int_Confianca'!AW74</f>
        <v>5.0000000000000001E-3</v>
      </c>
      <c r="AZ237">
        <f>'2012_2020 Int_Confianca'!AX74</f>
        <v>8.5000000000000006E-3</v>
      </c>
      <c r="BA237">
        <f>'2012_2020 Int_Confianca'!AY74</f>
        <v>5.5999999999999999E-3</v>
      </c>
      <c r="BB237">
        <f>'2012_2020 Int_Confianca'!AZ74</f>
        <v>6.1000000000000004E-3</v>
      </c>
      <c r="BC237">
        <f>'2012_2020 Int_Confianca'!BA74</f>
        <v>4.1000000000000003E-3</v>
      </c>
      <c r="BD237">
        <f>'2012_2020 Int_Confianca'!BB74</f>
        <v>4.7000000000000002E-3</v>
      </c>
      <c r="BE237">
        <f>'2012_2020 Int_Confianca'!BC74</f>
        <v>5.1999999999999998E-3</v>
      </c>
      <c r="BF237">
        <f>'2012_2020 Int_Confianca'!BD74</f>
        <v>7.1000000000000004E-3</v>
      </c>
      <c r="BG237">
        <f>'2012_2020 Int_Confianca'!BE74</f>
        <v>6.4000000000000003E-3</v>
      </c>
      <c r="BH237">
        <f>'2012_2020 Int_Confianca'!BF74</f>
        <v>6.0000000000000001E-3</v>
      </c>
      <c r="BI237">
        <f>'2012_2020 Int_Confianca'!BG74</f>
        <v>6.3E-3</v>
      </c>
      <c r="BJ237">
        <f>'2012_2020 Int_Confianca'!BH74</f>
        <v>2.5000000000000001E-3</v>
      </c>
      <c r="BK237">
        <f>'2012_2020 Int_Confianca'!BI74</f>
        <v>1.29E-2</v>
      </c>
      <c r="BL237">
        <f>'2012_2020 Int_Confianca'!BJ74</f>
        <v>6.0000000000000001E-3</v>
      </c>
      <c r="BM237">
        <f>'2012_2020 Int_Confianca'!BK74</f>
        <v>8.6999999999999994E-3</v>
      </c>
      <c r="BN237">
        <f>'2012_2020 Int_Confianca'!BL74</f>
        <v>1.01E-2</v>
      </c>
      <c r="BO237">
        <f>'2012_2020 Int_Confianca'!BM74</f>
        <v>1.17E-2</v>
      </c>
      <c r="BP237">
        <f>'2012_2020 Int_Confianca'!BN74</f>
        <v>1.0699999999999999E-2</v>
      </c>
      <c r="BQ237">
        <f>'2012_2020 Int_Confianca'!BO74</f>
        <v>6.3E-3</v>
      </c>
      <c r="BR237">
        <f>'2012_2020 Int_Confianca'!BP74</f>
        <v>-4.1999999999999997E-3</v>
      </c>
      <c r="BS237">
        <f>'2012_2020 Int_Confianca'!BQ74</f>
        <v>2E-3</v>
      </c>
      <c r="BT237">
        <f>'2012_2020 Int_Confianca'!BR74</f>
        <v>1.04E-2</v>
      </c>
      <c r="BU237">
        <f>'2012_2020 Int_Confianca'!BS74</f>
        <v>1.11E-2</v>
      </c>
      <c r="BV237">
        <f>'2012_2020 Int_Confianca'!BT74</f>
        <v>0.01</v>
      </c>
      <c r="BW237">
        <f>'2012_2020 Int_Confianca'!BU74</f>
        <v>8.8000000000000005E-3</v>
      </c>
      <c r="BX237">
        <f>'2012_2020 Int_Confianca'!BV74</f>
        <v>1.3899999999999999E-2</v>
      </c>
      <c r="BY237">
        <f>'2012_2020 Int_Confianca'!BW74</f>
        <v>1.1599999999999999E-2</v>
      </c>
      <c r="BZ237">
        <f>'2012_2020 Int_Confianca'!BX74</f>
        <v>6.7999999999999996E-3</v>
      </c>
      <c r="CA237">
        <f>'2012_2020 Int_Confianca'!BY74</f>
        <v>9.1000000000000004E-3</v>
      </c>
      <c r="CB237">
        <f>'2012_2020 Int_Confianca'!BZ74</f>
        <v>1.67E-2</v>
      </c>
      <c r="CC237">
        <f>'2012_2020 Int_Confianca'!CA74</f>
        <v>1.32E-2</v>
      </c>
      <c r="CD237">
        <f>'2012_2020 Int_Confianca'!CB74</f>
        <v>1.8700000000000001E-2</v>
      </c>
      <c r="CE237">
        <f>'2012_2020 Int_Confianca'!CC74</f>
        <v>1.9199999999999998E-2</v>
      </c>
      <c r="CF237">
        <f>'2012_2020 Int_Confianca'!CD74</f>
        <v>5.7999999999999996E-3</v>
      </c>
      <c r="CG237">
        <f>'2012_2020 Int_Confianca'!CE74</f>
        <v>1.8599999999999998E-2</v>
      </c>
      <c r="CH237">
        <f>'2012_2020 Int_Confianca'!CF74</f>
        <v>1.5599999999999999E-2</v>
      </c>
      <c r="CI237">
        <f>'2012_2020 Int_Confianca'!CG74</f>
        <v>2.3599999999999999E-2</v>
      </c>
      <c r="CJ237">
        <f>'2012_2020 Int_Confianca'!CH74</f>
        <v>1.8100000000000002E-2</v>
      </c>
      <c r="CK237">
        <f>'2012_2020 Int_Confianca'!CI74</f>
        <v>2.5600000000000001E-2</v>
      </c>
      <c r="CL237">
        <f>'2012_2020 Int_Confianca'!CJ74</f>
        <v>2.1899999999999999E-2</v>
      </c>
      <c r="CM237">
        <f>'2012_2020 Int_Confianca'!CK74</f>
        <v>2.4299999999999999E-2</v>
      </c>
      <c r="CN237">
        <f>'2012_2020 Int_Confianca'!CL74</f>
        <v>2.5999999999999999E-2</v>
      </c>
      <c r="CO237">
        <f>'2012_2020 Int_Confianca'!CM74</f>
        <v>2.5000000000000001E-2</v>
      </c>
      <c r="CP237">
        <f>'2012_2020 Int_Confianca'!CN74</f>
        <v>2.46E-2</v>
      </c>
      <c r="CQ237">
        <f>'2012_2020 Int_Confianca'!CO74</f>
        <v>3.6600000000000001E-2</v>
      </c>
      <c r="CR237">
        <f>'2012_2020 Int_Confianca'!CP74</f>
        <v>4.3200000000000002E-2</v>
      </c>
      <c r="CS237">
        <f>'2012_2020 Int_Confianca'!CQ74</f>
        <v>3.4200000000000001E-2</v>
      </c>
      <c r="CT237">
        <f>'2012_2020 Int_Confianca'!CR74</f>
        <v>5.6500000000000002E-2</v>
      </c>
      <c r="CU237">
        <f>'2012_2020 Int_Confianca'!CS74</f>
        <v>5.1999999999999998E-2</v>
      </c>
      <c r="CV237">
        <f>'2012_2020 Int_Confianca'!CT74</f>
        <v>5.4399999999999997E-2</v>
      </c>
      <c r="CW237">
        <f>'2012_2020 Int_Confianca'!CU74</f>
        <v>6.0699999999999997E-2</v>
      </c>
      <c r="CX237">
        <f>'2012_2020 Int_Confianca'!CV74</f>
        <v>6.4699999999999994E-2</v>
      </c>
    </row>
    <row r="238" spans="1:102" x14ac:dyDescent="0.2">
      <c r="A238" t="s">
        <v>5923</v>
      </c>
      <c r="B238" t="s">
        <v>219</v>
      </c>
      <c r="C238" t="s">
        <v>222</v>
      </c>
      <c r="D238">
        <f>'2012_2020 Int_Confianca'!B75</f>
        <v>-8.0299999999999996E-2</v>
      </c>
      <c r="E238">
        <f>'2012_2020 Int_Confianca'!C75</f>
        <v>-0.11269999999999999</v>
      </c>
      <c r="F238">
        <f>'2012_2020 Int_Confianca'!D75</f>
        <v>-0.14349999999999999</v>
      </c>
      <c r="G238">
        <f>'2012_2020 Int_Confianca'!E75</f>
        <v>-0.2039</v>
      </c>
      <c r="H238">
        <f>'2012_2020 Int_Confianca'!F75</f>
        <v>-0.15870000000000001</v>
      </c>
      <c r="I238">
        <f>'2012_2020 Int_Confianca'!G75</f>
        <v>-0.13070000000000001</v>
      </c>
      <c r="J238">
        <f>'2012_2020 Int_Confianca'!H75</f>
        <v>-0.15590000000000001</v>
      </c>
      <c r="K238">
        <f>'2012_2020 Int_Confianca'!I75</f>
        <v>-0.13730000000000001</v>
      </c>
      <c r="L238">
        <f>'2012_2020 Int_Confianca'!J75</f>
        <v>-0.12809999999999999</v>
      </c>
      <c r="M238">
        <f>'2012_2020 Int_Confianca'!K75</f>
        <v>-0.1018</v>
      </c>
      <c r="N238">
        <f>'2012_2020 Int_Confianca'!L75</f>
        <v>-8.6099999999999996E-2</v>
      </c>
      <c r="O238">
        <f>'2012_2020 Int_Confianca'!M75</f>
        <v>-7.1599999999999997E-2</v>
      </c>
      <c r="P238">
        <f>'2012_2020 Int_Confianca'!N75</f>
        <v>-5.4100000000000002E-2</v>
      </c>
      <c r="Q238">
        <f>'2012_2020 Int_Confianca'!O75</f>
        <v>-4.4499999999999998E-2</v>
      </c>
      <c r="R238">
        <f>'2012_2020 Int_Confianca'!P75</f>
        <v>-3.0300000000000001E-2</v>
      </c>
      <c r="S238">
        <f>'2012_2020 Int_Confianca'!Q75</f>
        <v>-2.86E-2</v>
      </c>
      <c r="T238">
        <f>'2012_2020 Int_Confianca'!R75</f>
        <v>-2.2499999999999999E-2</v>
      </c>
      <c r="U238">
        <f>'2012_2020 Int_Confianca'!S75</f>
        <v>-2.4299999999999999E-2</v>
      </c>
      <c r="V238">
        <f>'2012_2020 Int_Confianca'!T75</f>
        <v>-2.06E-2</v>
      </c>
      <c r="W238">
        <f>'2012_2020 Int_Confianca'!U75</f>
        <v>-2.2200000000000001E-2</v>
      </c>
      <c r="X238">
        <f>'2012_2020 Int_Confianca'!V75</f>
        <v>-2.12E-2</v>
      </c>
      <c r="Y238">
        <f>'2012_2020 Int_Confianca'!W75</f>
        <v>-2.1000000000000001E-2</v>
      </c>
      <c r="Z238">
        <f>'2012_2020 Int_Confianca'!X75</f>
        <v>-1.7100000000000001E-2</v>
      </c>
      <c r="AA238">
        <f>'2012_2020 Int_Confianca'!Y75</f>
        <v>-1.7600000000000001E-2</v>
      </c>
      <c r="AB238">
        <f>'2012_2020 Int_Confianca'!Z75</f>
        <v>-1.6299999999999999E-2</v>
      </c>
      <c r="AC238">
        <f>'2012_2020 Int_Confianca'!AA75</f>
        <v>-1.5900000000000001E-2</v>
      </c>
      <c r="AD238">
        <f>'2012_2020 Int_Confianca'!AB75</f>
        <v>-1.38E-2</v>
      </c>
      <c r="AE238">
        <f>'2012_2020 Int_Confianca'!AC75</f>
        <v>-1.2500000000000001E-2</v>
      </c>
      <c r="AF238">
        <f>'2012_2020 Int_Confianca'!AD75</f>
        <v>-1.44E-2</v>
      </c>
      <c r="AG238">
        <f>'2012_2020 Int_Confianca'!AE75</f>
        <v>-1.4200000000000001E-2</v>
      </c>
      <c r="AH238">
        <f>'2012_2020 Int_Confianca'!AF75</f>
        <v>-1.3899999999999999E-2</v>
      </c>
      <c r="AI238">
        <f>'2012_2020 Int_Confianca'!AG75</f>
        <v>-1.4500000000000001E-2</v>
      </c>
      <c r="AJ238">
        <f>'2012_2020 Int_Confianca'!AH75</f>
        <v>-1.6E-2</v>
      </c>
      <c r="AK238">
        <f>'2012_2020 Int_Confianca'!AI75</f>
        <v>-1.3899999999999999E-2</v>
      </c>
      <c r="AL238">
        <f>'2012_2020 Int_Confianca'!AJ75</f>
        <v>-1.6E-2</v>
      </c>
      <c r="AM238">
        <f>'2012_2020 Int_Confianca'!AK75</f>
        <v>-1.72E-2</v>
      </c>
      <c r="AN238">
        <f>'2012_2020 Int_Confianca'!AL75</f>
        <v>-1.9E-2</v>
      </c>
      <c r="AO238">
        <f>'2012_2020 Int_Confianca'!AM75</f>
        <v>-1.7299999999999999E-2</v>
      </c>
      <c r="AP238">
        <f>'2012_2020 Int_Confianca'!AN75</f>
        <v>-1.7999999999999999E-2</v>
      </c>
      <c r="AQ238">
        <f>'2012_2020 Int_Confianca'!AO75</f>
        <v>-1.6899999999999998E-2</v>
      </c>
      <c r="AR238">
        <f>'2012_2020 Int_Confianca'!AP75</f>
        <v>-1.2999999999999999E-2</v>
      </c>
      <c r="AS238">
        <f>'2012_2020 Int_Confianca'!AQ75</f>
        <v>-1.9599999999999999E-2</v>
      </c>
      <c r="AT238">
        <f>'2012_2020 Int_Confianca'!AR75</f>
        <v>-1.9E-2</v>
      </c>
      <c r="AU238">
        <f>'2012_2020 Int_Confianca'!AS75</f>
        <v>-1.72E-2</v>
      </c>
      <c r="AV238">
        <f>'2012_2020 Int_Confianca'!AT75</f>
        <v>-1.4999999999999999E-2</v>
      </c>
      <c r="AW238">
        <f>'2012_2020 Int_Confianca'!AU75</f>
        <v>-1.52E-2</v>
      </c>
      <c r="AX238">
        <f>'2012_2020 Int_Confianca'!AV75</f>
        <v>-1.84E-2</v>
      </c>
      <c r="AY238">
        <f>'2012_2020 Int_Confianca'!AW75</f>
        <v>-1.84E-2</v>
      </c>
      <c r="AZ238">
        <f>'2012_2020 Int_Confianca'!AX75</f>
        <v>-2.01E-2</v>
      </c>
      <c r="BA238">
        <f>'2012_2020 Int_Confianca'!AY75</f>
        <v>-2.3599999999999999E-2</v>
      </c>
      <c r="BB238">
        <f>'2012_2020 Int_Confianca'!AZ75</f>
        <v>-2.6200000000000001E-2</v>
      </c>
      <c r="BC238">
        <f>'2012_2020 Int_Confianca'!BA75</f>
        <v>-2.63E-2</v>
      </c>
      <c r="BD238">
        <f>'2012_2020 Int_Confianca'!BB75</f>
        <v>-2.6200000000000001E-2</v>
      </c>
      <c r="BE238">
        <f>'2012_2020 Int_Confianca'!BC75</f>
        <v>-2.64E-2</v>
      </c>
      <c r="BF238">
        <f>'2012_2020 Int_Confianca'!BD75</f>
        <v>-2.7400000000000001E-2</v>
      </c>
      <c r="BG238">
        <f>'2012_2020 Int_Confianca'!BE75</f>
        <v>-2.6800000000000001E-2</v>
      </c>
      <c r="BH238">
        <f>'2012_2020 Int_Confianca'!BF75</f>
        <v>-2.69E-2</v>
      </c>
      <c r="BI238">
        <f>'2012_2020 Int_Confianca'!BG75</f>
        <v>-3.2599999999999997E-2</v>
      </c>
      <c r="BJ238">
        <f>'2012_2020 Int_Confianca'!BH75</f>
        <v>-3.4200000000000001E-2</v>
      </c>
      <c r="BK238">
        <f>'2012_2020 Int_Confianca'!BI75</f>
        <v>-3.3099999999999997E-2</v>
      </c>
      <c r="BL238">
        <f>'2012_2020 Int_Confianca'!BJ75</f>
        <v>-3.2599999999999997E-2</v>
      </c>
      <c r="BM238">
        <f>'2012_2020 Int_Confianca'!BK75</f>
        <v>-3.1899999999999998E-2</v>
      </c>
      <c r="BN238">
        <f>'2012_2020 Int_Confianca'!BL75</f>
        <v>-3.5000000000000003E-2</v>
      </c>
      <c r="BO238">
        <f>'2012_2020 Int_Confianca'!BM75</f>
        <v>-3.8899999999999997E-2</v>
      </c>
      <c r="BP238">
        <f>'2012_2020 Int_Confianca'!BN75</f>
        <v>-3.8100000000000002E-2</v>
      </c>
      <c r="BQ238">
        <f>'2012_2020 Int_Confianca'!BO75</f>
        <v>-3.7499999999999999E-2</v>
      </c>
      <c r="BR238">
        <f>'2012_2020 Int_Confianca'!BP75</f>
        <v>-3.7699999999999997E-2</v>
      </c>
      <c r="BS238">
        <f>'2012_2020 Int_Confianca'!BQ75</f>
        <v>-3.6200000000000003E-2</v>
      </c>
      <c r="BT238">
        <f>'2012_2020 Int_Confianca'!BR75</f>
        <v>-3.3099999999999997E-2</v>
      </c>
      <c r="BU238">
        <f>'2012_2020 Int_Confianca'!BS75</f>
        <v>-3.6600000000000001E-2</v>
      </c>
      <c r="BV238">
        <f>'2012_2020 Int_Confianca'!BT75</f>
        <v>-4.4900000000000002E-2</v>
      </c>
      <c r="BW238">
        <f>'2012_2020 Int_Confianca'!BU75</f>
        <v>-4.9200000000000001E-2</v>
      </c>
      <c r="BX238">
        <f>'2012_2020 Int_Confianca'!BV75</f>
        <v>-5.5E-2</v>
      </c>
      <c r="BY238">
        <f>'2012_2020 Int_Confianca'!BW75</f>
        <v>-5.5599999999999997E-2</v>
      </c>
      <c r="BZ238">
        <f>'2012_2020 Int_Confianca'!BX75</f>
        <v>-5.57E-2</v>
      </c>
      <c r="CA238">
        <f>'2012_2020 Int_Confianca'!BY75</f>
        <v>-3.7100000000000001E-2</v>
      </c>
      <c r="CB238">
        <f>'2012_2020 Int_Confianca'!BZ75</f>
        <v>-3.7499999999999999E-2</v>
      </c>
      <c r="CC238">
        <f>'2012_2020 Int_Confianca'!CA75</f>
        <v>-3.5099999999999999E-2</v>
      </c>
      <c r="CD238">
        <f>'2012_2020 Int_Confianca'!CB75</f>
        <v>-3.7100000000000001E-2</v>
      </c>
      <c r="CE238">
        <f>'2012_2020 Int_Confianca'!CC75</f>
        <v>-3.7100000000000001E-2</v>
      </c>
      <c r="CF238">
        <f>'2012_2020 Int_Confianca'!CD75</f>
        <v>-3.8899999999999997E-2</v>
      </c>
      <c r="CG238">
        <f>'2012_2020 Int_Confianca'!CE75</f>
        <v>-4.07E-2</v>
      </c>
      <c r="CH238">
        <f>'2012_2020 Int_Confianca'!CF75</f>
        <v>-4.7399999999999998E-2</v>
      </c>
      <c r="CI238">
        <f>'2012_2020 Int_Confianca'!CG75</f>
        <v>-5.28E-2</v>
      </c>
      <c r="CJ238">
        <f>'2012_2020 Int_Confianca'!CH75</f>
        <v>-5.4300000000000001E-2</v>
      </c>
      <c r="CK238">
        <f>'2012_2020 Int_Confianca'!CI75</f>
        <v>-4.8500000000000001E-2</v>
      </c>
      <c r="CL238">
        <f>'2012_2020 Int_Confianca'!CJ75</f>
        <v>-5.0099999999999999E-2</v>
      </c>
      <c r="CM238">
        <f>'2012_2020 Int_Confianca'!CK75</f>
        <v>-5.96E-2</v>
      </c>
      <c r="CN238">
        <f>'2012_2020 Int_Confianca'!CL75</f>
        <v>-7.7299999999999994E-2</v>
      </c>
      <c r="CO238">
        <f>'2012_2020 Int_Confianca'!CM75</f>
        <v>-9.0700000000000003E-2</v>
      </c>
      <c r="CP238">
        <f>'2012_2020 Int_Confianca'!CN75</f>
        <v>-8.7499999999999994E-2</v>
      </c>
      <c r="CQ238">
        <f>'2012_2020 Int_Confianca'!CO75</f>
        <v>-9.5899999999999999E-2</v>
      </c>
      <c r="CR238">
        <f>'2012_2020 Int_Confianca'!CP75</f>
        <v>-0.1479</v>
      </c>
      <c r="CS238">
        <f>'2012_2020 Int_Confianca'!CQ75</f>
        <v>-2.98E-2</v>
      </c>
      <c r="CT238">
        <f>'2012_2020 Int_Confianca'!CR75</f>
        <v>-3.2800000000000003E-2</v>
      </c>
      <c r="CU238">
        <f>'2012_2020 Int_Confianca'!CS75</f>
        <v>-2.8899999999999999E-2</v>
      </c>
      <c r="CV238">
        <f>'2012_2020 Int_Confianca'!CT75</f>
        <v>-1.9099999999999999E-2</v>
      </c>
      <c r="CW238">
        <f>'2012_2020 Int_Confianca'!CU75</f>
        <v>-2.8500000000000001E-2</v>
      </c>
      <c r="CX238">
        <f>'2012_2020 Int_Confianca'!CV75</f>
        <v>-2.98E-2</v>
      </c>
    </row>
    <row r="239" spans="1:102" x14ac:dyDescent="0.2">
      <c r="A239" t="s">
        <v>5924</v>
      </c>
      <c r="B239" t="s">
        <v>219</v>
      </c>
      <c r="C239" t="s">
        <v>222</v>
      </c>
      <c r="D239">
        <f>'2012_2020 Int_Confianca'!B76</f>
        <v>-7.0000000000000001E-3</v>
      </c>
      <c r="E239">
        <f>'2012_2020 Int_Confianca'!C76</f>
        <v>-4.4999999999999997E-3</v>
      </c>
      <c r="F239">
        <f>'2012_2020 Int_Confianca'!D76</f>
        <v>3.39E-2</v>
      </c>
      <c r="G239">
        <f>'2012_2020 Int_Confianca'!E76</f>
        <v>2.1899999999999999E-2</v>
      </c>
      <c r="H239">
        <f>'2012_2020 Int_Confianca'!F76</f>
        <v>9.7299999999999998E-2</v>
      </c>
      <c r="I239">
        <f>'2012_2020 Int_Confianca'!G76</f>
        <v>7.3099999999999998E-2</v>
      </c>
      <c r="J239">
        <f>'2012_2020 Int_Confianca'!H76</f>
        <v>5.2699999999999997E-2</v>
      </c>
      <c r="K239">
        <f>'2012_2020 Int_Confianca'!I76</f>
        <v>3.9E-2</v>
      </c>
      <c r="L239">
        <f>'2012_2020 Int_Confianca'!J76</f>
        <v>2.76E-2</v>
      </c>
      <c r="M239">
        <f>'2012_2020 Int_Confianca'!K76</f>
        <v>3.1699999999999999E-2</v>
      </c>
      <c r="N239">
        <f>'2012_2020 Int_Confianca'!L76</f>
        <v>4.3400000000000001E-2</v>
      </c>
      <c r="O239">
        <f>'2012_2020 Int_Confianca'!M76</f>
        <v>2.1999999999999999E-2</v>
      </c>
      <c r="P239">
        <f>'2012_2020 Int_Confianca'!N76</f>
        <v>3.3500000000000002E-2</v>
      </c>
      <c r="Q239">
        <f>'2012_2020 Int_Confianca'!O76</f>
        <v>3.1199999999999999E-2</v>
      </c>
      <c r="R239">
        <f>'2012_2020 Int_Confianca'!P76</f>
        <v>3.3500000000000002E-2</v>
      </c>
      <c r="S239">
        <f>'2012_2020 Int_Confianca'!Q76</f>
        <v>2.7699999999999999E-2</v>
      </c>
      <c r="T239">
        <f>'2012_2020 Int_Confianca'!R76</f>
        <v>2.7E-2</v>
      </c>
      <c r="U239">
        <f>'2012_2020 Int_Confianca'!S76</f>
        <v>2.2100000000000002E-2</v>
      </c>
      <c r="V239">
        <f>'2012_2020 Int_Confianca'!T76</f>
        <v>2.0899999999999998E-2</v>
      </c>
      <c r="W239">
        <f>'2012_2020 Int_Confianca'!U76</f>
        <v>1.7899999999999999E-2</v>
      </c>
      <c r="X239">
        <f>'2012_2020 Int_Confianca'!V76</f>
        <v>1.72E-2</v>
      </c>
      <c r="Y239">
        <f>'2012_2020 Int_Confianca'!W76</f>
        <v>1.46E-2</v>
      </c>
      <c r="Z239">
        <f>'2012_2020 Int_Confianca'!X76</f>
        <v>1.83E-2</v>
      </c>
      <c r="AA239">
        <f>'2012_2020 Int_Confianca'!Y76</f>
        <v>1.7100000000000001E-2</v>
      </c>
      <c r="AB239">
        <f>'2012_2020 Int_Confianca'!Z76</f>
        <v>1.8100000000000002E-2</v>
      </c>
      <c r="AC239">
        <f>'2012_2020 Int_Confianca'!AA76</f>
        <v>1.78E-2</v>
      </c>
      <c r="AD239">
        <f>'2012_2020 Int_Confianca'!AB76</f>
        <v>1.9400000000000001E-2</v>
      </c>
      <c r="AE239">
        <f>'2012_2020 Int_Confianca'!AC76</f>
        <v>2.0400000000000001E-2</v>
      </c>
      <c r="AF239">
        <f>'2012_2020 Int_Confianca'!AD76</f>
        <v>1.8599999999999998E-2</v>
      </c>
      <c r="AG239">
        <f>'2012_2020 Int_Confianca'!AE76</f>
        <v>1.89E-2</v>
      </c>
      <c r="AH239">
        <f>'2012_2020 Int_Confianca'!AF76</f>
        <v>2.0199999999999999E-2</v>
      </c>
      <c r="AI239">
        <f>'2012_2020 Int_Confianca'!AG76</f>
        <v>2.01E-2</v>
      </c>
      <c r="AJ239">
        <f>'2012_2020 Int_Confianca'!AH76</f>
        <v>1.9300000000000001E-2</v>
      </c>
      <c r="AK239">
        <f>'2012_2020 Int_Confianca'!AI76</f>
        <v>2.29E-2</v>
      </c>
      <c r="AL239">
        <f>'2012_2020 Int_Confianca'!AJ76</f>
        <v>2.3099999999999999E-2</v>
      </c>
      <c r="AM239">
        <f>'2012_2020 Int_Confianca'!AK76</f>
        <v>2.2599999999999999E-2</v>
      </c>
      <c r="AN239">
        <f>'2012_2020 Int_Confianca'!AL76</f>
        <v>2.1299999999999999E-2</v>
      </c>
      <c r="AO239">
        <f>'2012_2020 Int_Confianca'!AM76</f>
        <v>2.3400000000000001E-2</v>
      </c>
      <c r="AP239">
        <f>'2012_2020 Int_Confianca'!AN76</f>
        <v>2.3300000000000001E-2</v>
      </c>
      <c r="AQ239">
        <f>'2012_2020 Int_Confianca'!AO76</f>
        <v>2.46E-2</v>
      </c>
      <c r="AR239">
        <f>'2012_2020 Int_Confianca'!AP76</f>
        <v>2.98E-2</v>
      </c>
      <c r="AS239">
        <f>'2012_2020 Int_Confianca'!AQ76</f>
        <v>2.53E-2</v>
      </c>
      <c r="AT239">
        <f>'2012_2020 Int_Confianca'!AR76</f>
        <v>2.6100000000000002E-2</v>
      </c>
      <c r="AU239">
        <f>'2012_2020 Int_Confianca'!AS76</f>
        <v>2.7900000000000001E-2</v>
      </c>
      <c r="AV239">
        <f>'2012_2020 Int_Confianca'!AT76</f>
        <v>0.03</v>
      </c>
      <c r="AW239">
        <f>'2012_2020 Int_Confianca'!AU76</f>
        <v>2.98E-2</v>
      </c>
      <c r="AX239">
        <f>'2012_2020 Int_Confianca'!AV76</f>
        <v>2.7099999999999999E-2</v>
      </c>
      <c r="AY239">
        <f>'2012_2020 Int_Confianca'!AW76</f>
        <v>2.7400000000000001E-2</v>
      </c>
      <c r="AZ239">
        <f>'2012_2020 Int_Confianca'!AX76</f>
        <v>2.53E-2</v>
      </c>
      <c r="BA239">
        <f>'2012_2020 Int_Confianca'!AY76</f>
        <v>2.2499999999999999E-2</v>
      </c>
      <c r="BB239">
        <f>'2012_2020 Int_Confianca'!AZ76</f>
        <v>2.1299999999999999E-2</v>
      </c>
      <c r="BC239">
        <f>'2012_2020 Int_Confianca'!BA76</f>
        <v>2.1899999999999999E-2</v>
      </c>
      <c r="BD239">
        <f>'2012_2020 Int_Confianca'!BB76</f>
        <v>2.4E-2</v>
      </c>
      <c r="BE239">
        <f>'2012_2020 Int_Confianca'!BC76</f>
        <v>2.5000000000000001E-2</v>
      </c>
      <c r="BF239">
        <f>'2012_2020 Int_Confianca'!BD76</f>
        <v>2.64E-2</v>
      </c>
      <c r="BG239">
        <f>'2012_2020 Int_Confianca'!BE76</f>
        <v>2.7699999999999999E-2</v>
      </c>
      <c r="BH239">
        <f>'2012_2020 Int_Confianca'!BF76</f>
        <v>2.8500000000000001E-2</v>
      </c>
      <c r="BI239">
        <f>'2012_2020 Int_Confianca'!BG76</f>
        <v>2.2499999999999999E-2</v>
      </c>
      <c r="BJ239">
        <f>'2012_2020 Int_Confianca'!BH76</f>
        <v>2.1399999999999999E-2</v>
      </c>
      <c r="BK239">
        <f>'2012_2020 Int_Confianca'!BI76</f>
        <v>2.4199999999999999E-2</v>
      </c>
      <c r="BL239">
        <f>'2012_2020 Int_Confianca'!BJ76</f>
        <v>2.5700000000000001E-2</v>
      </c>
      <c r="BM239">
        <f>'2012_2020 Int_Confianca'!BK76</f>
        <v>2.69E-2</v>
      </c>
      <c r="BN239">
        <f>'2012_2020 Int_Confianca'!BL76</f>
        <v>2.4799999999999999E-2</v>
      </c>
      <c r="BO239">
        <f>'2012_2020 Int_Confianca'!BM76</f>
        <v>0.02</v>
      </c>
      <c r="BP239">
        <f>'2012_2020 Int_Confianca'!BN76</f>
        <v>2.06E-2</v>
      </c>
      <c r="BQ239">
        <f>'2012_2020 Int_Confianca'!BO76</f>
        <v>2.1899999999999999E-2</v>
      </c>
      <c r="BR239">
        <f>'2012_2020 Int_Confianca'!BP76</f>
        <v>2.2200000000000001E-2</v>
      </c>
      <c r="BS239">
        <f>'2012_2020 Int_Confianca'!BQ76</f>
        <v>2.5600000000000001E-2</v>
      </c>
      <c r="BT239">
        <f>'2012_2020 Int_Confianca'!BR76</f>
        <v>2.9899999999999999E-2</v>
      </c>
      <c r="BU239">
        <f>'2012_2020 Int_Confianca'!BS76</f>
        <v>3.2599999999999997E-2</v>
      </c>
      <c r="BV239">
        <f>'2012_2020 Int_Confianca'!BT76</f>
        <v>3.8100000000000002E-2</v>
      </c>
      <c r="BW239">
        <f>'2012_2020 Int_Confianca'!BU76</f>
        <v>4.2200000000000001E-2</v>
      </c>
      <c r="BX239">
        <f>'2012_2020 Int_Confianca'!BV76</f>
        <v>3.8600000000000002E-2</v>
      </c>
      <c r="BY239">
        <f>'2012_2020 Int_Confianca'!BW76</f>
        <v>3.73E-2</v>
      </c>
      <c r="BZ239">
        <f>'2012_2020 Int_Confianca'!BX76</f>
        <v>3.6499999999999998E-2</v>
      </c>
      <c r="CA239">
        <f>'2012_2020 Int_Confianca'!BY76</f>
        <v>4.4400000000000002E-2</v>
      </c>
      <c r="CB239">
        <f>'2012_2020 Int_Confianca'!BZ76</f>
        <v>4.7699999999999999E-2</v>
      </c>
      <c r="CC239">
        <f>'2012_2020 Int_Confianca'!CA76</f>
        <v>5.3900000000000003E-2</v>
      </c>
      <c r="CD239">
        <f>'2012_2020 Int_Confianca'!CB76</f>
        <v>5.5300000000000002E-2</v>
      </c>
      <c r="CE239">
        <f>'2012_2020 Int_Confianca'!CC76</f>
        <v>5.8900000000000001E-2</v>
      </c>
      <c r="CF239">
        <f>'2012_2020 Int_Confianca'!CD76</f>
        <v>6.0299999999999999E-2</v>
      </c>
      <c r="CG239">
        <f>'2012_2020 Int_Confianca'!CE76</f>
        <v>5.8500000000000003E-2</v>
      </c>
      <c r="CH239">
        <f>'2012_2020 Int_Confianca'!CF76</f>
        <v>6.25E-2</v>
      </c>
      <c r="CI239">
        <f>'2012_2020 Int_Confianca'!CG76</f>
        <v>7.0300000000000001E-2</v>
      </c>
      <c r="CJ239">
        <f>'2012_2020 Int_Confianca'!CH76</f>
        <v>8.2400000000000001E-2</v>
      </c>
      <c r="CK239">
        <f>'2012_2020 Int_Confianca'!CI76</f>
        <v>9.0499999999999997E-2</v>
      </c>
      <c r="CL239">
        <f>'2012_2020 Int_Confianca'!CJ76</f>
        <v>8.4400000000000003E-2</v>
      </c>
      <c r="CM239">
        <f>'2012_2020 Int_Confianca'!CK76</f>
        <v>7.4300000000000005E-2</v>
      </c>
      <c r="CN239">
        <f>'2012_2020 Int_Confianca'!CL76</f>
        <v>8.77E-2</v>
      </c>
      <c r="CO239">
        <f>'2012_2020 Int_Confianca'!CM76</f>
        <v>8.4599999999999995E-2</v>
      </c>
      <c r="CP239">
        <f>'2012_2020 Int_Confianca'!CN76</f>
        <v>8.43E-2</v>
      </c>
      <c r="CQ239">
        <f>'2012_2020 Int_Confianca'!CO76</f>
        <v>9.8400000000000001E-2</v>
      </c>
      <c r="CR239">
        <f>'2012_2020 Int_Confianca'!CP76</f>
        <v>0.1239</v>
      </c>
      <c r="CS239">
        <f>'2012_2020 Int_Confianca'!CQ76</f>
        <v>1.2500000000000001E-2</v>
      </c>
      <c r="CT239">
        <f>'2012_2020 Int_Confianca'!CR76</f>
        <v>1.54E-2</v>
      </c>
      <c r="CU239">
        <f>'2012_2020 Int_Confianca'!CS76</f>
        <v>1.17E-2</v>
      </c>
      <c r="CV239">
        <f>'2012_2020 Int_Confianca'!CT76</f>
        <v>2.2200000000000001E-2</v>
      </c>
      <c r="CW239">
        <f>'2012_2020 Int_Confianca'!CU76</f>
        <v>1.9699999999999999E-2</v>
      </c>
      <c r="CX239">
        <f>'2012_2020 Int_Confianca'!CV76</f>
        <v>1.66E-2</v>
      </c>
    </row>
    <row r="240" spans="1:102" x14ac:dyDescent="0.2">
      <c r="A240" t="s">
        <v>5927</v>
      </c>
      <c r="B240" t="s">
        <v>219</v>
      </c>
      <c r="C240" t="s">
        <v>222</v>
      </c>
      <c r="D240">
        <f>'2012_2020 Int_Confianca'!B77</f>
        <v>-0.1147</v>
      </c>
      <c r="E240">
        <f>'2012_2020 Int_Confianca'!C77</f>
        <v>-0.70689999999999997</v>
      </c>
      <c r="F240">
        <f>'2012_2020 Int_Confianca'!D77</f>
        <v>-1.0263</v>
      </c>
      <c r="G240">
        <f>'2012_2020 Int_Confianca'!E77</f>
        <v>0.11700000000000001</v>
      </c>
      <c r="H240">
        <f>'2012_2020 Int_Confianca'!F77</f>
        <v>-1.2232000000000001</v>
      </c>
      <c r="I240">
        <f>'2012_2020 Int_Confianca'!G77</f>
        <v>-0.29809999999999998</v>
      </c>
      <c r="J240">
        <f>'2012_2020 Int_Confianca'!H77</f>
        <v>-0.60099999999999998</v>
      </c>
      <c r="K240">
        <f>'2012_2020 Int_Confianca'!I77</f>
        <v>-0.47549999999999998</v>
      </c>
      <c r="L240">
        <f>'2012_2020 Int_Confianca'!J77</f>
        <v>-0.2044</v>
      </c>
      <c r="M240">
        <f>'2012_2020 Int_Confianca'!K77</f>
        <v>-0.69689999999999996</v>
      </c>
      <c r="N240">
        <f>'2012_2020 Int_Confianca'!L77</f>
        <v>-0.58099999999999996</v>
      </c>
      <c r="O240">
        <f>'2012_2020 Int_Confianca'!M77</f>
        <v>7.8399999999999997E-2</v>
      </c>
      <c r="P240">
        <f>'2012_2020 Int_Confianca'!N77</f>
        <v>-0.14249999999999999</v>
      </c>
      <c r="Q240">
        <f>'2012_2020 Int_Confianca'!O77</f>
        <v>-0.13339999999999999</v>
      </c>
      <c r="R240">
        <f>'2012_2020 Int_Confianca'!P77</f>
        <v>-0.1857</v>
      </c>
      <c r="S240">
        <f>'2012_2020 Int_Confianca'!Q77</f>
        <v>-0.1527</v>
      </c>
      <c r="T240">
        <f>'2012_2020 Int_Confianca'!R77</f>
        <v>-1.0999999999999999E-2</v>
      </c>
      <c r="U240">
        <f>'2012_2020 Int_Confianca'!S77</f>
        <v>3.0499999999999999E-2</v>
      </c>
      <c r="V240">
        <f>'2012_2020 Int_Confianca'!T77</f>
        <v>8.2600000000000007E-2</v>
      </c>
      <c r="W240">
        <f>'2012_2020 Int_Confianca'!U77</f>
        <v>7.2099999999999997E-2</v>
      </c>
      <c r="X240">
        <f>'2012_2020 Int_Confianca'!V77</f>
        <v>5.1999999999999998E-2</v>
      </c>
      <c r="Y240">
        <f>'2012_2020 Int_Confianca'!W77</f>
        <v>0.15459999999999999</v>
      </c>
      <c r="Z240">
        <f>'2012_2020 Int_Confianca'!X77</f>
        <v>0.1363</v>
      </c>
      <c r="AA240">
        <f>'2012_2020 Int_Confianca'!Y77</f>
        <v>8.9300000000000004E-2</v>
      </c>
      <c r="AB240">
        <f>'2012_2020 Int_Confianca'!Z77</f>
        <v>4.6699999999999998E-2</v>
      </c>
      <c r="AC240">
        <f>'2012_2020 Int_Confianca'!AA77</f>
        <v>2.2499999999999999E-2</v>
      </c>
      <c r="AD240">
        <f>'2012_2020 Int_Confianca'!AB77</f>
        <v>1.37E-2</v>
      </c>
      <c r="AE240">
        <f>'2012_2020 Int_Confianca'!AC77</f>
        <v>-5.0000000000000001E-3</v>
      </c>
      <c r="AF240">
        <f>'2012_2020 Int_Confianca'!AD77</f>
        <v>-1.7500000000000002E-2</v>
      </c>
      <c r="AG240">
        <f>'2012_2020 Int_Confianca'!AE77</f>
        <v>-2.4799999999999999E-2</v>
      </c>
      <c r="AH240">
        <f>'2012_2020 Int_Confianca'!AF77</f>
        <v>-4.2099999999999999E-2</v>
      </c>
      <c r="AI240">
        <f>'2012_2020 Int_Confianca'!AG77</f>
        <v>-5.0700000000000002E-2</v>
      </c>
      <c r="AJ240">
        <f>'2012_2020 Int_Confianca'!AH77</f>
        <v>-6.9900000000000004E-2</v>
      </c>
      <c r="AK240">
        <f>'2012_2020 Int_Confianca'!AI77</f>
        <v>-8.8700000000000001E-2</v>
      </c>
      <c r="AL240">
        <f>'2012_2020 Int_Confianca'!AJ77</f>
        <v>-0.1052</v>
      </c>
      <c r="AM240">
        <f>'2012_2020 Int_Confianca'!AK77</f>
        <v>-0.10340000000000001</v>
      </c>
      <c r="AN240">
        <f>'2012_2020 Int_Confianca'!AL77</f>
        <v>-9.2200000000000004E-2</v>
      </c>
      <c r="AO240">
        <f>'2012_2020 Int_Confianca'!AM77</f>
        <v>-9.4600000000000004E-2</v>
      </c>
      <c r="AP240">
        <f>'2012_2020 Int_Confianca'!AN77</f>
        <v>-0.1108</v>
      </c>
      <c r="AQ240">
        <f>'2012_2020 Int_Confianca'!AO77</f>
        <v>-9.4700000000000006E-2</v>
      </c>
      <c r="AR240">
        <f>'2012_2020 Int_Confianca'!AP77</f>
        <v>-9.7000000000000003E-2</v>
      </c>
      <c r="AS240">
        <f>'2012_2020 Int_Confianca'!AQ77</f>
        <v>-5.6899999999999999E-2</v>
      </c>
      <c r="AT240">
        <f>'2012_2020 Int_Confianca'!AR77</f>
        <v>-5.8400000000000001E-2</v>
      </c>
      <c r="AU240">
        <f>'2012_2020 Int_Confianca'!AS77</f>
        <v>-5.3400000000000003E-2</v>
      </c>
      <c r="AV240">
        <f>'2012_2020 Int_Confianca'!AT77</f>
        <v>-9.1600000000000001E-2</v>
      </c>
      <c r="AW240">
        <f>'2012_2020 Int_Confianca'!AU77</f>
        <v>-9.69E-2</v>
      </c>
      <c r="AX240">
        <f>'2012_2020 Int_Confianca'!AV77</f>
        <v>-0.1002</v>
      </c>
      <c r="AY240">
        <f>'2012_2020 Int_Confianca'!AW77</f>
        <v>-6.08E-2</v>
      </c>
      <c r="AZ240">
        <f>'2012_2020 Int_Confianca'!AX77</f>
        <v>-6.4500000000000002E-2</v>
      </c>
      <c r="BA240">
        <f>'2012_2020 Int_Confianca'!AY77</f>
        <v>-3.4700000000000002E-2</v>
      </c>
      <c r="BB240">
        <f>'2012_2020 Int_Confianca'!AZ77</f>
        <v>-2.1899999999999999E-2</v>
      </c>
      <c r="BC240">
        <f>'2012_2020 Int_Confianca'!BA77</f>
        <v>6.3E-3</v>
      </c>
      <c r="BD240">
        <f>'2012_2020 Int_Confianca'!BB77</f>
        <v>1.12E-2</v>
      </c>
      <c r="BE240">
        <f>'2012_2020 Int_Confianca'!BC77</f>
        <v>2.0500000000000001E-2</v>
      </c>
      <c r="BF240">
        <f>'2012_2020 Int_Confianca'!BD77</f>
        <v>1.32E-2</v>
      </c>
      <c r="BG240">
        <f>'2012_2020 Int_Confianca'!BE77</f>
        <v>-1.8100000000000002E-2</v>
      </c>
      <c r="BH240">
        <f>'2012_2020 Int_Confianca'!BF77</f>
        <v>-6.0100000000000001E-2</v>
      </c>
      <c r="BI240">
        <f>'2012_2020 Int_Confianca'!BG77</f>
        <v>-9.2700000000000005E-2</v>
      </c>
      <c r="BJ240">
        <f>'2012_2020 Int_Confianca'!BH77</f>
        <v>-0.1154</v>
      </c>
      <c r="BK240">
        <f>'2012_2020 Int_Confianca'!BI77</f>
        <v>-0.1246</v>
      </c>
      <c r="BL240">
        <f>'2012_2020 Int_Confianca'!BJ77</f>
        <v>-9.9199999999999997E-2</v>
      </c>
      <c r="BM240">
        <f>'2012_2020 Int_Confianca'!BK77</f>
        <v>-8.8499999999999995E-2</v>
      </c>
      <c r="BN240">
        <f>'2012_2020 Int_Confianca'!BL77</f>
        <v>-5.0299999999999997E-2</v>
      </c>
      <c r="BO240">
        <f>'2012_2020 Int_Confianca'!BM77</f>
        <v>4.3999999999999997E-2</v>
      </c>
      <c r="BP240">
        <f>'2012_2020 Int_Confianca'!BN77</f>
        <v>0.1268</v>
      </c>
      <c r="BQ240">
        <f>'2012_2020 Int_Confianca'!BO77</f>
        <v>0.1197</v>
      </c>
      <c r="BR240">
        <f>'2012_2020 Int_Confianca'!BP77</f>
        <v>7.6999999999999999E-2</v>
      </c>
      <c r="BS240">
        <f>'2012_2020 Int_Confianca'!BQ77</f>
        <v>6.0999999999999999E-2</v>
      </c>
      <c r="BT240">
        <f>'2012_2020 Int_Confianca'!BR77</f>
        <v>5.7799999999999997E-2</v>
      </c>
      <c r="BU240">
        <f>'2012_2020 Int_Confianca'!BS77</f>
        <v>-1.5699999999999999E-2</v>
      </c>
      <c r="BV240">
        <f>'2012_2020 Int_Confianca'!BT77</f>
        <v>-0.18229999999999999</v>
      </c>
      <c r="BW240">
        <f>'2012_2020 Int_Confianca'!BU77</f>
        <v>-0.24</v>
      </c>
      <c r="BX240">
        <f>'2012_2020 Int_Confianca'!BV77</f>
        <v>-0.18229999999999999</v>
      </c>
      <c r="BY240">
        <f>'2012_2020 Int_Confianca'!BW77</f>
        <v>-0.1089</v>
      </c>
      <c r="BZ240">
        <f>'2012_2020 Int_Confianca'!BX77</f>
        <v>-7.22E-2</v>
      </c>
      <c r="CA240">
        <f>'2012_2020 Int_Confianca'!BY77</f>
        <v>-8.2900000000000001E-2</v>
      </c>
      <c r="CB240">
        <f>'2012_2020 Int_Confianca'!BZ77</f>
        <v>-8.0699999999999994E-2</v>
      </c>
      <c r="CC240">
        <f>'2012_2020 Int_Confianca'!CA77</f>
        <v>-6.2300000000000001E-2</v>
      </c>
      <c r="CD240">
        <f>'2012_2020 Int_Confianca'!CB77</f>
        <v>2.1600000000000001E-2</v>
      </c>
      <c r="CE240">
        <f>'2012_2020 Int_Confianca'!CC77</f>
        <v>0.1077</v>
      </c>
      <c r="CF240">
        <f>'2012_2020 Int_Confianca'!CD77</f>
        <v>0.1275</v>
      </c>
      <c r="CG240">
        <f>'2012_2020 Int_Confianca'!CE77</f>
        <v>4.5699999999999998E-2</v>
      </c>
      <c r="CH240">
        <f>'2012_2020 Int_Confianca'!CF77</f>
        <v>-0.15939999999999999</v>
      </c>
      <c r="CI240">
        <f>'2012_2020 Int_Confianca'!CG77</f>
        <v>-0.26279999999999998</v>
      </c>
      <c r="CJ240">
        <f>'2012_2020 Int_Confianca'!CH77</f>
        <v>-0.25800000000000001</v>
      </c>
      <c r="CK240">
        <f>'2012_2020 Int_Confianca'!CI77</f>
        <v>9.6699999999999994E-2</v>
      </c>
      <c r="CL240">
        <f>'2012_2020 Int_Confianca'!CJ77</f>
        <v>0.16400000000000001</v>
      </c>
      <c r="CM240">
        <f>'2012_2020 Int_Confianca'!CK77</f>
        <v>0.1062</v>
      </c>
      <c r="CN240">
        <f>'2012_2020 Int_Confianca'!CL77</f>
        <v>-8.3999999999999995E-3</v>
      </c>
      <c r="CO240">
        <f>'2012_2020 Int_Confianca'!CM77</f>
        <v>-2.3999999999999998E-3</v>
      </c>
      <c r="CP240">
        <f>'2012_2020 Int_Confianca'!CN77</f>
        <v>6.6100000000000006E-2</v>
      </c>
      <c r="CQ240">
        <f>'2012_2020 Int_Confianca'!CO77</f>
        <v>0.1573</v>
      </c>
      <c r="CR240">
        <f>'2012_2020 Int_Confianca'!CP77</f>
        <v>-3.2199999999999999E-2</v>
      </c>
      <c r="CS240">
        <f>'2012_2020 Int_Confianca'!CQ77</f>
        <v>-0.10920000000000001</v>
      </c>
      <c r="CT240">
        <f>'2012_2020 Int_Confianca'!CR77</f>
        <v>-3.2599999999999997E-2</v>
      </c>
      <c r="CU240">
        <f>'2012_2020 Int_Confianca'!CS77</f>
        <v>-0.12989999999999999</v>
      </c>
      <c r="CV240">
        <f>'2012_2020 Int_Confianca'!CT77</f>
        <v>0.21190000000000001</v>
      </c>
      <c r="CW240">
        <f>'2012_2020 Int_Confianca'!CU77</f>
        <v>-0.19520000000000001</v>
      </c>
      <c r="CX240">
        <f>'2012_2020 Int_Confianca'!CV77</f>
        <v>-0.11269999999999999</v>
      </c>
    </row>
    <row r="241" spans="1:102" x14ac:dyDescent="0.2">
      <c r="A241" t="s">
        <v>5928</v>
      </c>
      <c r="B241" t="s">
        <v>219</v>
      </c>
      <c r="C241" t="s">
        <v>222</v>
      </c>
      <c r="D241">
        <f>'2012_2020 Int_Confianca'!B78</f>
        <v>0.56930000000000003</v>
      </c>
      <c r="E241">
        <f>'2012_2020 Int_Confianca'!C78</f>
        <v>3.9899999999999998E-2</v>
      </c>
      <c r="F241">
        <f>'2012_2020 Int_Confianca'!D78</f>
        <v>-0.33460000000000001</v>
      </c>
      <c r="G241">
        <f>'2012_2020 Int_Confianca'!E78</f>
        <v>0.60560000000000003</v>
      </c>
      <c r="H241">
        <f>'2012_2020 Int_Confianca'!F78</f>
        <v>-0.63619999999999999</v>
      </c>
      <c r="I241">
        <f>'2012_2020 Int_Confianca'!G78</f>
        <v>0.1537</v>
      </c>
      <c r="J241">
        <f>'2012_2020 Int_Confianca'!H78</f>
        <v>-0.1489</v>
      </c>
      <c r="K241">
        <f>'2012_2020 Int_Confianca'!I78</f>
        <v>-6.3899999999999998E-2</v>
      </c>
      <c r="L241">
        <f>'2012_2020 Int_Confianca'!J78</f>
        <v>0.1547</v>
      </c>
      <c r="M241">
        <f>'2012_2020 Int_Confianca'!K78</f>
        <v>-0.36570000000000003</v>
      </c>
      <c r="N241">
        <f>'2012_2020 Int_Confianca'!L78</f>
        <v>-0.28100000000000003</v>
      </c>
      <c r="O241">
        <f>'2012_2020 Int_Confianca'!M78</f>
        <v>0.28810000000000002</v>
      </c>
      <c r="P241">
        <f>'2012_2020 Int_Confianca'!N78</f>
        <v>5.5599999999999997E-2</v>
      </c>
      <c r="Q241">
        <f>'2012_2020 Int_Confianca'!O78</f>
        <v>3.9199999999999999E-2</v>
      </c>
      <c r="R241">
        <f>'2012_2020 Int_Confianca'!P78</f>
        <v>-3.7400000000000003E-2</v>
      </c>
      <c r="S241">
        <f>'2012_2020 Int_Confianca'!Q78</f>
        <v>-2.0199999999999999E-2</v>
      </c>
      <c r="T241">
        <f>'2012_2020 Int_Confianca'!R78</f>
        <v>0.1045</v>
      </c>
      <c r="U241">
        <f>'2012_2020 Int_Confianca'!S78</f>
        <v>0.13869999999999999</v>
      </c>
      <c r="V241">
        <f>'2012_2020 Int_Confianca'!T78</f>
        <v>0.1794</v>
      </c>
      <c r="W241">
        <f>'2012_2020 Int_Confianca'!U78</f>
        <v>0.16639999999999999</v>
      </c>
      <c r="X241">
        <f>'2012_2020 Int_Confianca'!V78</f>
        <v>0.14319999999999999</v>
      </c>
      <c r="Y241">
        <f>'2012_2020 Int_Confianca'!W78</f>
        <v>0.23849999999999999</v>
      </c>
      <c r="Z241">
        <f>'2012_2020 Int_Confianca'!X78</f>
        <v>0.21990000000000001</v>
      </c>
      <c r="AA241">
        <f>'2012_2020 Int_Confianca'!Y78</f>
        <v>0.1719</v>
      </c>
      <c r="AB241">
        <f>'2012_2020 Int_Confianca'!Z78</f>
        <v>0.12839999999999999</v>
      </c>
      <c r="AC241">
        <f>'2012_2020 Int_Confianca'!AA78</f>
        <v>0.1028</v>
      </c>
      <c r="AD241">
        <f>'2012_2020 Int_Confianca'!AB78</f>
        <v>9.3399999999999997E-2</v>
      </c>
      <c r="AE241">
        <f>'2012_2020 Int_Confianca'!AC78</f>
        <v>7.4800000000000005E-2</v>
      </c>
      <c r="AF241">
        <f>'2012_2020 Int_Confianca'!AD78</f>
        <v>6.2600000000000003E-2</v>
      </c>
      <c r="AG241">
        <f>'2012_2020 Int_Confianca'!AE78</f>
        <v>5.6399999999999999E-2</v>
      </c>
      <c r="AH241">
        <f>'2012_2020 Int_Confianca'!AF78</f>
        <v>4.1700000000000001E-2</v>
      </c>
      <c r="AI241">
        <f>'2012_2020 Int_Confianca'!AG78</f>
        <v>3.44E-2</v>
      </c>
      <c r="AJ241">
        <f>'2012_2020 Int_Confianca'!AH78</f>
        <v>1.66E-2</v>
      </c>
      <c r="AK241">
        <f>'2012_2020 Int_Confianca'!AI78</f>
        <v>1.1999999999999999E-3</v>
      </c>
      <c r="AL241">
        <f>'2012_2020 Int_Confianca'!AJ78</f>
        <v>-1.0800000000000001E-2</v>
      </c>
      <c r="AM241">
        <f>'2012_2020 Int_Confianca'!AK78</f>
        <v>-8.2000000000000007E-3</v>
      </c>
      <c r="AN241">
        <f>'2012_2020 Int_Confianca'!AL78</f>
        <v>4.1000000000000003E-3</v>
      </c>
      <c r="AO241">
        <f>'2012_2020 Int_Confianca'!AM78</f>
        <v>2.3999999999999998E-3</v>
      </c>
      <c r="AP241">
        <f>'2012_2020 Int_Confianca'!AN78</f>
        <v>-1.34E-2</v>
      </c>
      <c r="AQ241">
        <f>'2012_2020 Int_Confianca'!AO78</f>
        <v>3.3E-3</v>
      </c>
      <c r="AR241">
        <f>'2012_2020 Int_Confianca'!AP78</f>
        <v>1.2999999999999999E-3</v>
      </c>
      <c r="AS241">
        <f>'2012_2020 Int_Confianca'!AQ78</f>
        <v>4.2799999999999998E-2</v>
      </c>
      <c r="AT241">
        <f>'2012_2020 Int_Confianca'!AR78</f>
        <v>4.1200000000000001E-2</v>
      </c>
      <c r="AU241">
        <f>'2012_2020 Int_Confianca'!AS78</f>
        <v>4.5999999999999999E-2</v>
      </c>
      <c r="AV241">
        <f>'2012_2020 Int_Confianca'!AT78</f>
        <v>7.1000000000000004E-3</v>
      </c>
      <c r="AW241">
        <f>'2012_2020 Int_Confianca'!AU78</f>
        <v>1.5E-3</v>
      </c>
      <c r="AX241">
        <f>'2012_2020 Int_Confianca'!AV78</f>
        <v>-1.5E-3</v>
      </c>
      <c r="AY241">
        <f>'2012_2020 Int_Confianca'!AW78</f>
        <v>3.8300000000000001E-2</v>
      </c>
      <c r="AZ241">
        <f>'2012_2020 Int_Confianca'!AX78</f>
        <v>3.4599999999999999E-2</v>
      </c>
      <c r="BA241">
        <f>'2012_2020 Int_Confianca'!AY78</f>
        <v>6.5199999999999994E-2</v>
      </c>
      <c r="BB241">
        <f>'2012_2020 Int_Confianca'!AZ78</f>
        <v>8.0199999999999994E-2</v>
      </c>
      <c r="BC241">
        <f>'2012_2020 Int_Confianca'!BA78</f>
        <v>0.1099</v>
      </c>
      <c r="BD241">
        <f>'2012_2020 Int_Confianca'!BB78</f>
        <v>0.1166</v>
      </c>
      <c r="BE241">
        <f>'2012_2020 Int_Confianca'!BC78</f>
        <v>0.12820000000000001</v>
      </c>
      <c r="BF241">
        <f>'2012_2020 Int_Confianca'!BD78</f>
        <v>0.12479999999999999</v>
      </c>
      <c r="BG241">
        <f>'2012_2020 Int_Confianca'!BE78</f>
        <v>9.2600000000000002E-2</v>
      </c>
      <c r="BH241">
        <f>'2012_2020 Int_Confianca'!BF78</f>
        <v>5.1700000000000003E-2</v>
      </c>
      <c r="BI241">
        <f>'2012_2020 Int_Confianca'!BG78</f>
        <v>0.02</v>
      </c>
      <c r="BJ241">
        <f>'2012_2020 Int_Confianca'!BH78</f>
        <v>-2.8E-3</v>
      </c>
      <c r="BK241">
        <f>'2012_2020 Int_Confianca'!BI78</f>
        <v>-9.7999999999999997E-3</v>
      </c>
      <c r="BL241">
        <f>'2012_2020 Int_Confianca'!BJ78</f>
        <v>1.5900000000000001E-2</v>
      </c>
      <c r="BM241">
        <f>'2012_2020 Int_Confianca'!BK78</f>
        <v>2.7E-2</v>
      </c>
      <c r="BN241">
        <f>'2012_2020 Int_Confianca'!BL78</f>
        <v>6.5799999999999997E-2</v>
      </c>
      <c r="BO241">
        <f>'2012_2020 Int_Confianca'!BM78</f>
        <v>0.1578</v>
      </c>
      <c r="BP241">
        <f>'2012_2020 Int_Confianca'!BN78</f>
        <v>0.23980000000000001</v>
      </c>
      <c r="BQ241">
        <f>'2012_2020 Int_Confianca'!BO78</f>
        <v>0.2336</v>
      </c>
      <c r="BR241">
        <f>'2012_2020 Int_Confianca'!BP78</f>
        <v>0.18859999999999999</v>
      </c>
      <c r="BS241">
        <f>'2012_2020 Int_Confianca'!BQ78</f>
        <v>0.17330000000000001</v>
      </c>
      <c r="BT241">
        <f>'2012_2020 Int_Confianca'!BR78</f>
        <v>0.16980000000000001</v>
      </c>
      <c r="BU241">
        <f>'2012_2020 Int_Confianca'!BS78</f>
        <v>0.1057</v>
      </c>
      <c r="BV241">
        <f>'2012_2020 Int_Confianca'!BT78</f>
        <v>-3.9899999999999998E-2</v>
      </c>
      <c r="BW241">
        <f>'2012_2020 Int_Confianca'!BU78</f>
        <v>-8.6199999999999999E-2</v>
      </c>
      <c r="BX241">
        <f>'2012_2020 Int_Confianca'!BV78</f>
        <v>-2.6499999999999999E-2</v>
      </c>
      <c r="BY241">
        <f>'2012_2020 Int_Confianca'!BW78</f>
        <v>4.3799999999999999E-2</v>
      </c>
      <c r="BZ241">
        <f>'2012_2020 Int_Confianca'!BX78</f>
        <v>7.8299999999999995E-2</v>
      </c>
      <c r="CA241">
        <f>'2012_2020 Int_Confianca'!BY78</f>
        <v>6.08E-2</v>
      </c>
      <c r="CB241">
        <f>'2012_2020 Int_Confianca'!BZ78</f>
        <v>6.7000000000000004E-2</v>
      </c>
      <c r="CC241">
        <f>'2012_2020 Int_Confianca'!CA78</f>
        <v>8.9899999999999994E-2</v>
      </c>
      <c r="CD241">
        <f>'2012_2020 Int_Confianca'!CB78</f>
        <v>0.1772</v>
      </c>
      <c r="CE241">
        <f>'2012_2020 Int_Confianca'!CC78</f>
        <v>0.2676</v>
      </c>
      <c r="CF241">
        <f>'2012_2020 Int_Confianca'!CD78</f>
        <v>0.29010000000000002</v>
      </c>
      <c r="CG241">
        <f>'2012_2020 Int_Confianca'!CE78</f>
        <v>0.20649999999999999</v>
      </c>
      <c r="CH241">
        <f>'2012_2020 Int_Confianca'!CF78</f>
        <v>8.6E-3</v>
      </c>
      <c r="CI241">
        <f>'2012_2020 Int_Confianca'!CG78</f>
        <v>-0.08</v>
      </c>
      <c r="CJ241">
        <f>'2012_2020 Int_Confianca'!CH78</f>
        <v>-5.8099999999999999E-2</v>
      </c>
      <c r="CK241">
        <f>'2012_2020 Int_Confianca'!CI78</f>
        <v>0.29930000000000001</v>
      </c>
      <c r="CL241">
        <f>'2012_2020 Int_Confianca'!CJ78</f>
        <v>0.35899999999999999</v>
      </c>
      <c r="CM241">
        <f>'2012_2020 Int_Confianca'!CK78</f>
        <v>0.29649999999999999</v>
      </c>
      <c r="CN241">
        <f>'2012_2020 Int_Confianca'!CL78</f>
        <v>0.22040000000000001</v>
      </c>
      <c r="CO241">
        <f>'2012_2020 Int_Confianca'!CM78</f>
        <v>0.23619999999999999</v>
      </c>
      <c r="CP241">
        <f>'2012_2020 Int_Confianca'!CN78</f>
        <v>0.29509999999999997</v>
      </c>
      <c r="CQ241">
        <f>'2012_2020 Int_Confianca'!CO78</f>
        <v>0.41089999999999999</v>
      </c>
      <c r="CR241">
        <f>'2012_2020 Int_Confianca'!CP78</f>
        <v>0.31369999999999998</v>
      </c>
      <c r="CS241">
        <f>'2012_2020 Int_Confianca'!CQ78</f>
        <v>0.11749999999999999</v>
      </c>
      <c r="CT241">
        <f>'2012_2020 Int_Confianca'!CR78</f>
        <v>0.22239999999999999</v>
      </c>
      <c r="CU241">
        <f>'2012_2020 Int_Confianca'!CS78</f>
        <v>0.1138</v>
      </c>
      <c r="CV241">
        <f>'2012_2020 Int_Confianca'!CT78</f>
        <v>0.47210000000000002</v>
      </c>
      <c r="CW241">
        <f>'2012_2020 Int_Confianca'!CU78</f>
        <v>0.17929999999999999</v>
      </c>
      <c r="CX241">
        <f>'2012_2020 Int_Confianca'!CV78</f>
        <v>0.1862</v>
      </c>
    </row>
    <row r="242" spans="1:102" x14ac:dyDescent="0.2">
      <c r="A242" t="s">
        <v>208</v>
      </c>
      <c r="B242" t="s">
        <v>220</v>
      </c>
      <c r="C242" t="s">
        <v>222</v>
      </c>
      <c r="D242">
        <f>D191+D215</f>
        <v>7.46E-2</v>
      </c>
      <c r="E242">
        <f>E191+E215</f>
        <v>0.50760000000000005</v>
      </c>
      <c r="F242">
        <f>F191+F215</f>
        <v>0.81930000000000003</v>
      </c>
      <c r="G242">
        <f>G191+G215</f>
        <v>9.870000000000001E-2</v>
      </c>
      <c r="H242">
        <f>H191+H215</f>
        <v>0.92649999999999999</v>
      </c>
      <c r="I242">
        <f>I191+I215</f>
        <v>0.34490000000000004</v>
      </c>
      <c r="J242">
        <f>J191+J215</f>
        <v>0.5363</v>
      </c>
      <c r="K242">
        <f>K191+K215</f>
        <v>0.42369999999999997</v>
      </c>
      <c r="L242">
        <f>L191+L215</f>
        <v>0.26419999999999999</v>
      </c>
      <c r="M242">
        <f>M191+M215</f>
        <v>0.50790000000000002</v>
      </c>
      <c r="N242">
        <f>N191+N215</f>
        <v>0.41830000000000001</v>
      </c>
      <c r="O242">
        <f>O191+O215</f>
        <v>7.5600000000000001E-2</v>
      </c>
      <c r="P242">
        <f>P191+P215</f>
        <v>0.1396</v>
      </c>
      <c r="Q242">
        <f>Q191+Q215</f>
        <v>0.1318</v>
      </c>
      <c r="R242">
        <f>R191+R215</f>
        <v>0.1555</v>
      </c>
      <c r="S242">
        <f>S191+S215</f>
        <v>0.1464</v>
      </c>
      <c r="T242">
        <f>T191+T215</f>
        <v>8.2600000000000007E-2</v>
      </c>
      <c r="U242">
        <f>U191+U215</f>
        <v>5.4400000000000004E-2</v>
      </c>
      <c r="V242">
        <f>V191+V215</f>
        <v>2.18E-2</v>
      </c>
      <c r="W242">
        <f>W191+W215</f>
        <v>2.0499999999999997E-2</v>
      </c>
      <c r="X242">
        <f>X191+X215</f>
        <v>2.7500000000000004E-2</v>
      </c>
      <c r="Y242">
        <f>Y191+Y215</f>
        <v>-1.1499999999999996E-2</v>
      </c>
      <c r="Z242">
        <f>Z191+Z215</f>
        <v>-4.8000000000000057E-3</v>
      </c>
      <c r="AA242">
        <f>AA191+AA215</f>
        <v>1.8999999999999989E-3</v>
      </c>
      <c r="AB242">
        <f>AB191+AB215</f>
        <v>7.1000000000000021E-3</v>
      </c>
      <c r="AC242">
        <f>AC191+AC215</f>
        <v>9.2999999999999958E-3</v>
      </c>
      <c r="AD242">
        <f>AD191+AD215</f>
        <v>1.7899999999999996E-2</v>
      </c>
      <c r="AE242">
        <f>AE191+AE215</f>
        <v>2.6000000000000002E-2</v>
      </c>
      <c r="AF242">
        <f>AF191+AF215</f>
        <v>2.7099999999999999E-2</v>
      </c>
      <c r="AG242">
        <f>AG191+AG215</f>
        <v>2.8000000000000001E-2</v>
      </c>
      <c r="AH242">
        <f>AH191+AH215</f>
        <v>3.2000000000000001E-2</v>
      </c>
      <c r="AI242">
        <f>AI191+AI215</f>
        <v>3.9399999999999998E-2</v>
      </c>
      <c r="AJ242">
        <f>AJ191+AJ215</f>
        <v>4.555E-2</v>
      </c>
      <c r="AK242">
        <f>AK191+AK215</f>
        <v>5.0909999999999997E-2</v>
      </c>
      <c r="AL242">
        <f>AL191+AL215</f>
        <v>7.2900000000000006E-2</v>
      </c>
      <c r="AM242">
        <f>AM191+AM215</f>
        <v>8.2699999999999996E-2</v>
      </c>
      <c r="AN242">
        <f>AN191+AN215</f>
        <v>7.6999999999999999E-2</v>
      </c>
      <c r="AO242">
        <f>AO191+AO215</f>
        <v>6.3759999999999997E-2</v>
      </c>
      <c r="AP242">
        <f>AP191+AP215</f>
        <v>5.3600000000000009E-2</v>
      </c>
      <c r="AQ242">
        <f>AQ191+AQ215</f>
        <v>4.3399999999999994E-2</v>
      </c>
      <c r="AR242">
        <f>AR191+AR215</f>
        <v>4.1299999999999996E-2</v>
      </c>
      <c r="AS242">
        <f>AS191+AS215</f>
        <v>2.93E-2</v>
      </c>
      <c r="AT242">
        <f>AT191+AT215</f>
        <v>2.8000000000000004E-2</v>
      </c>
      <c r="AU242">
        <f>AU191+AU215</f>
        <v>2.8500000000000004E-2</v>
      </c>
      <c r="AV242">
        <f>AV191+AV215</f>
        <v>2.86E-2</v>
      </c>
      <c r="AW242">
        <f>AW191+AW215</f>
        <v>3.4800000000000005E-2</v>
      </c>
      <c r="AX242">
        <f>AX191+AX215</f>
        <v>3.8299999999999994E-2</v>
      </c>
      <c r="AY242">
        <f>AY191+AY215</f>
        <v>2.9500000000000005E-2</v>
      </c>
      <c r="AZ242">
        <f>AZ191+AZ215</f>
        <v>3.3399999999999992E-2</v>
      </c>
      <c r="BA242">
        <f>BA191+BA215</f>
        <v>2.4899999999999992E-2</v>
      </c>
      <c r="BB242">
        <f>BB191+BB215</f>
        <v>2.579999999999999E-2</v>
      </c>
      <c r="BC242">
        <f>BC191+BC215</f>
        <v>3.7999999999999978E-3</v>
      </c>
      <c r="BD242">
        <f>BD191+BD215</f>
        <v>-2.1000000000000005E-2</v>
      </c>
      <c r="BE242">
        <f>BE191+BE215</f>
        <v>-3.599999999999999E-2</v>
      </c>
      <c r="BF242">
        <f>BF191+BF215</f>
        <v>-1.2999999999999998E-2</v>
      </c>
      <c r="BG242">
        <f>BG191+BG215</f>
        <v>-1.4000000000000012E-2</v>
      </c>
      <c r="BH242">
        <f>BH191+BH215</f>
        <v>2.0000000000000018E-3</v>
      </c>
      <c r="BI242">
        <f>BI191+BI215</f>
        <v>2.5800000000000003E-2</v>
      </c>
      <c r="BJ242">
        <f>BJ191+BJ215</f>
        <v>3.7099999999999994E-2</v>
      </c>
      <c r="BK242">
        <f>BK191+BK215</f>
        <v>5.8899999999999994E-2</v>
      </c>
      <c r="BL242">
        <f>BL191+BL215</f>
        <v>6.6199999999999995E-2</v>
      </c>
      <c r="BM242">
        <f>BM191+BM215</f>
        <v>4.2200000000000001E-2</v>
      </c>
      <c r="BN242">
        <f>BN191+BN215</f>
        <v>1.2000000000000011E-2</v>
      </c>
      <c r="BO242">
        <f>BO191+BO215</f>
        <v>-0.03</v>
      </c>
      <c r="BP242">
        <f>BP191+BP215</f>
        <v>-6.0999999999999999E-2</v>
      </c>
      <c r="BQ242">
        <f>BQ191+BQ215</f>
        <v>-7.2000000000000008E-2</v>
      </c>
      <c r="BR242">
        <f>BR191+BR215</f>
        <v>-6.9000000000000006E-2</v>
      </c>
      <c r="BS242">
        <f>BS191+BS215</f>
        <v>-8.0000000000000016E-2</v>
      </c>
      <c r="BT242">
        <f>BT191+BT215</f>
        <v>-8.7000000000000022E-2</v>
      </c>
      <c r="BU242">
        <f>BU191+BU215</f>
        <v>-4.5000000000000012E-2</v>
      </c>
      <c r="BV242">
        <f>BV191+BV215</f>
        <v>4.4999999999999998E-2</v>
      </c>
      <c r="BW242">
        <f>BW191+BW215</f>
        <v>8.1100000000000005E-2</v>
      </c>
      <c r="BX242">
        <f>BX191+BX215</f>
        <v>5.6999999999999981E-2</v>
      </c>
      <c r="BY242">
        <f>BY191+BY215</f>
        <v>4.0000000000000036E-3</v>
      </c>
      <c r="BZ242">
        <f>BZ191+BZ215</f>
        <v>-1.5000000000000013E-2</v>
      </c>
      <c r="CA242">
        <f>CA191+CA215</f>
        <v>-3.2000000000000001E-2</v>
      </c>
      <c r="CB242">
        <f>CB191+CB215</f>
        <v>-8.0000000000000071E-3</v>
      </c>
      <c r="CC242">
        <f>CC191+CC215</f>
        <v>-4.1000000000000009E-2</v>
      </c>
      <c r="CD242">
        <f>CD191+CD215</f>
        <v>-8.5999999999999965E-2</v>
      </c>
      <c r="CE242">
        <f>CE191+CE215</f>
        <v>-0.12400000000000003</v>
      </c>
      <c r="CF242">
        <f>CF191+CF215</f>
        <v>-0.161</v>
      </c>
      <c r="CG242">
        <f>CG191+CG215</f>
        <v>-0.13799999999999998</v>
      </c>
      <c r="CH242">
        <f>CH191+CH215</f>
        <v>-1.5999999999999986E-2</v>
      </c>
      <c r="CI242">
        <f>CI191+CI215</f>
        <v>6.8000000000000005E-2</v>
      </c>
      <c r="CJ242">
        <f>CJ191+CJ215</f>
        <v>6.7000000000000004E-2</v>
      </c>
      <c r="CK242">
        <f>CK191+CK215</f>
        <v>-0.15100000000000002</v>
      </c>
      <c r="CL242">
        <f>CL191+CL215</f>
        <v>-0.17899999999999999</v>
      </c>
      <c r="CM242">
        <f>CM191+CM215</f>
        <v>-0.18</v>
      </c>
      <c r="CN242">
        <f>CN191+CN215</f>
        <v>-0.11699999999999999</v>
      </c>
      <c r="CO242">
        <f>CO191+CO215</f>
        <v>-0.122</v>
      </c>
      <c r="CP242">
        <f>CP191+CP215</f>
        <v>-0.13999999999999999</v>
      </c>
      <c r="CQ242">
        <f>CQ191+CQ215</f>
        <v>-0.249</v>
      </c>
      <c r="CR242">
        <f>CR191+CR215</f>
        <v>-0.14999999999999997</v>
      </c>
      <c r="CS242">
        <f>CS191+CS215</f>
        <v>-7.8000000000000014E-2</v>
      </c>
      <c r="CT242">
        <f>CT191+CT215</f>
        <v>-0.13699999999999996</v>
      </c>
      <c r="CU242">
        <f>CU191+CU215</f>
        <v>-2.5999999999999995E-2</v>
      </c>
      <c r="CV242">
        <f>CV191+CV215</f>
        <v>-0.2</v>
      </c>
      <c r="CW242">
        <f>CW191+CW215</f>
        <v>-3.8000000000000034E-2</v>
      </c>
      <c r="CX242">
        <f>CX191+CX215</f>
        <v>-8.8999999999999996E-2</v>
      </c>
    </row>
    <row r="243" spans="1:102" x14ac:dyDescent="0.2">
      <c r="A243" t="s">
        <v>209</v>
      </c>
      <c r="B243" t="s">
        <v>220</v>
      </c>
      <c r="C243" t="s">
        <v>222</v>
      </c>
      <c r="D243">
        <f>D192+D216</f>
        <v>-0.1095</v>
      </c>
      <c r="E243">
        <f>E192+E216</f>
        <v>-6.8599999999999994E-2</v>
      </c>
      <c r="F243">
        <f>F192+F216</f>
        <v>-5.6199999999999993E-2</v>
      </c>
      <c r="G243">
        <f>G192+G216</f>
        <v>-0.22199999999999998</v>
      </c>
      <c r="H243">
        <f>H192+H216</f>
        <v>1.7129999999999999E-2</v>
      </c>
      <c r="I243">
        <f>I192+I216</f>
        <v>-0.15310000000000001</v>
      </c>
      <c r="J243">
        <f>J192+J216</f>
        <v>-5.1000000000000004E-2</v>
      </c>
      <c r="K243">
        <f>K192+K216</f>
        <v>-3.2199999999999999E-2</v>
      </c>
      <c r="L243">
        <f>L192+L216</f>
        <v>-7.1199999999999999E-2</v>
      </c>
      <c r="M243">
        <f>M192+M216</f>
        <v>4.9399999999999999E-2</v>
      </c>
      <c r="N243">
        <f>N192+N216</f>
        <v>7.3800000000000004E-2</v>
      </c>
      <c r="O243">
        <f>O192+O216</f>
        <v>-5.2699999999999997E-2</v>
      </c>
      <c r="P243">
        <f>P192+P216</f>
        <v>8.3800000000000003E-3</v>
      </c>
      <c r="Q243">
        <f>Q192+Q216</f>
        <v>1.338E-2</v>
      </c>
      <c r="R243">
        <f>R192+R216</f>
        <v>2.479E-2</v>
      </c>
      <c r="S243">
        <f>S192+S216</f>
        <v>2.3710000000000002E-2</v>
      </c>
      <c r="T243">
        <f>T192+T216</f>
        <v>-7.1300000000000009E-3</v>
      </c>
      <c r="U243">
        <f>U192+U216</f>
        <v>-1.1359999999999999E-2</v>
      </c>
      <c r="V243">
        <f>V192+V216</f>
        <v>-1.7770000000000001E-2</v>
      </c>
      <c r="W243">
        <f>W192+W216</f>
        <v>-4.5399999999999989E-3</v>
      </c>
      <c r="X243">
        <f>X192+X216</f>
        <v>1.2500000000000002E-3</v>
      </c>
      <c r="Y243">
        <f>Y192+Y216</f>
        <v>-2.5209999999999996E-2</v>
      </c>
      <c r="Z243">
        <f>Z192+Z216</f>
        <v>-2.64E-2</v>
      </c>
      <c r="AA243">
        <f>AA192+AA216</f>
        <v>-1.3919999999999998E-2</v>
      </c>
      <c r="AB243">
        <f>AB192+AB216</f>
        <v>-5.0700000000000016E-3</v>
      </c>
      <c r="AC243">
        <f>AC192+AC216</f>
        <v>1.3700000000000014E-3</v>
      </c>
      <c r="AD243">
        <f>AD192+AD216</f>
        <v>7.5099999999999993E-3</v>
      </c>
      <c r="AE243">
        <f>AE192+AE216</f>
        <v>1.243E-2</v>
      </c>
      <c r="AF243">
        <f>AF192+AF216</f>
        <v>1.6230000000000001E-2</v>
      </c>
      <c r="AG243">
        <f>AG192+AG216</f>
        <v>2.2699999999999998E-2</v>
      </c>
      <c r="AH243">
        <f>AH192+AH216</f>
        <v>3.8399999999999997E-2</v>
      </c>
      <c r="AI243">
        <f>AI192+AI216</f>
        <v>4.4999999999999998E-2</v>
      </c>
      <c r="AJ243">
        <f>AJ192+AJ216</f>
        <v>5.57E-2</v>
      </c>
      <c r="AK243">
        <f>AK192+AK216</f>
        <v>6.6000000000000003E-2</v>
      </c>
      <c r="AL243">
        <f>AL192+AL216</f>
        <v>8.1900000000000001E-2</v>
      </c>
      <c r="AM243">
        <f>AM192+AM216</f>
        <v>8.2400000000000001E-2</v>
      </c>
      <c r="AN243">
        <f>AN192+AN216</f>
        <v>8.5400000000000004E-2</v>
      </c>
      <c r="AO243">
        <f>AO192+AO216</f>
        <v>7.8899999999999998E-2</v>
      </c>
      <c r="AP243">
        <f>AP192+AP216</f>
        <v>0.08</v>
      </c>
      <c r="AQ243">
        <f>AQ192+AQ216</f>
        <v>7.8899999999999998E-2</v>
      </c>
      <c r="AR243">
        <f>AR192+AR216</f>
        <v>7.9199999999999993E-2</v>
      </c>
      <c r="AS243">
        <f>AS192+AS216</f>
        <v>6.25E-2</v>
      </c>
      <c r="AT243">
        <f>AT192+AT216</f>
        <v>6.3299999999999995E-2</v>
      </c>
      <c r="AU243">
        <f>AU192+AU216</f>
        <v>6.2600000000000003E-2</v>
      </c>
      <c r="AV243">
        <f>AV192+AV216</f>
        <v>6.8500000000000005E-2</v>
      </c>
      <c r="AW243">
        <f>AW192+AW216</f>
        <v>6.6600000000000006E-2</v>
      </c>
      <c r="AX243">
        <f>AX192+AX216</f>
        <v>6.3299999999999995E-2</v>
      </c>
      <c r="AY243">
        <f>AY192+AY216</f>
        <v>5.3900000000000003E-2</v>
      </c>
      <c r="AZ243">
        <f>AZ192+AZ216</f>
        <v>5.9900000000000002E-2</v>
      </c>
      <c r="BA243">
        <f>BA192+BA216</f>
        <v>5.33E-2</v>
      </c>
      <c r="BB243">
        <f>BB192+BB216</f>
        <v>6.3399999999999998E-2</v>
      </c>
      <c r="BC243">
        <f>BC192+BC216</f>
        <v>3.9699999999999999E-2</v>
      </c>
      <c r="BD243">
        <f>BD192+BD216</f>
        <v>2.0548E-2</v>
      </c>
      <c r="BE243">
        <f>BE192+BE216</f>
        <v>2.0414000000000002E-2</v>
      </c>
      <c r="BF243">
        <f>BF192+BF216</f>
        <v>3.4200000000000001E-2</v>
      </c>
      <c r="BG243">
        <f>BG192+BG216</f>
        <v>4.3400000000000001E-2</v>
      </c>
      <c r="BH243">
        <f>BH192+BH216</f>
        <v>5.9899999999999995E-2</v>
      </c>
      <c r="BI243">
        <f>BI192+BI216</f>
        <v>8.2400000000000001E-2</v>
      </c>
      <c r="BJ243">
        <f>BJ192+BJ216</f>
        <v>8.3299999999999999E-2</v>
      </c>
      <c r="BK243">
        <f>BK192+BK216</f>
        <v>9.7200000000000009E-2</v>
      </c>
      <c r="BL243">
        <f>BL192+BL216</f>
        <v>0.1041</v>
      </c>
      <c r="BM243">
        <f>BM192+BM216</f>
        <v>9.5700000000000007E-2</v>
      </c>
      <c r="BN243">
        <f>BN192+BN216</f>
        <v>5.1900000000000002E-2</v>
      </c>
      <c r="BO243">
        <f>BO192+BO216</f>
        <v>9.9999999999999985E-3</v>
      </c>
      <c r="BP243">
        <f>BP192+BP216</f>
        <v>-1.6800000000000002E-2</v>
      </c>
      <c r="BQ243">
        <f>BQ192+BQ216</f>
        <v>-2.5700000000000001E-2</v>
      </c>
      <c r="BR243">
        <f>BR192+BR216</f>
        <v>-2.5900000000000003E-2</v>
      </c>
      <c r="BS243">
        <f>BS192+BS216</f>
        <v>-3.2899999999999999E-2</v>
      </c>
      <c r="BT243">
        <f>BT192+BT216</f>
        <v>-4.02E-2</v>
      </c>
      <c r="BU243">
        <f>BU192+BU216</f>
        <v>9.9999999999999985E-3</v>
      </c>
      <c r="BV243">
        <f>BV192+BV216</f>
        <v>0.1164</v>
      </c>
      <c r="BW243">
        <f>BW192+BW216</f>
        <v>0.15540000000000001</v>
      </c>
      <c r="BX243">
        <f>BX192+BX216</f>
        <v>0.13009999999999999</v>
      </c>
      <c r="BY243">
        <f>BY192+BY216</f>
        <v>9.1799999999999993E-2</v>
      </c>
      <c r="BZ243">
        <f>BZ192+BZ216</f>
        <v>6.93E-2</v>
      </c>
      <c r="CA243">
        <f>CA192+CA216</f>
        <v>4.9299999999999997E-2</v>
      </c>
      <c r="CB243">
        <f>CB192+CB216</f>
        <v>8.2299999999999998E-2</v>
      </c>
      <c r="CC243">
        <f>CC192+CC216</f>
        <v>5.3900000000000003E-2</v>
      </c>
      <c r="CD243">
        <f>CD192+CD216</f>
        <v>1.1999999999999997E-3</v>
      </c>
      <c r="CE243">
        <f>CE192+CE216</f>
        <v>-1.9000000000000003E-2</v>
      </c>
      <c r="CF243">
        <f>CF192+CF216</f>
        <v>-5.3200000000000004E-2</v>
      </c>
      <c r="CG243">
        <f>CG192+CG216</f>
        <v>-2.9700000000000004E-2</v>
      </c>
      <c r="CH243">
        <f>CH192+CH216</f>
        <v>9.06E-2</v>
      </c>
      <c r="CI243">
        <f>CI192+CI216</f>
        <v>0.1729</v>
      </c>
      <c r="CJ243">
        <f>CJ192+CJ216</f>
        <v>0.20130000000000001</v>
      </c>
      <c r="CK243">
        <f>CK192+CK216</f>
        <v>-2.4100000000000003E-2</v>
      </c>
      <c r="CL243">
        <f>CL192+CL216</f>
        <v>-6.8399999999999989E-2</v>
      </c>
      <c r="CM243">
        <f>CM192+CM216</f>
        <v>-7.5200000000000003E-2</v>
      </c>
      <c r="CN243">
        <f>CN192+CN216</f>
        <v>2.2000000000000002E-2</v>
      </c>
      <c r="CO243">
        <f>CO192+CO216</f>
        <v>2.0400000000000001E-2</v>
      </c>
      <c r="CP243">
        <f>CP192+CP216</f>
        <v>-1.0600000000000005E-2</v>
      </c>
      <c r="CQ243">
        <f>CQ192+CQ216</f>
        <v>-0.11960000000000001</v>
      </c>
      <c r="CR243">
        <f>CR192+CR216</f>
        <v>1.8499999999999999E-2</v>
      </c>
      <c r="CS243">
        <f>CS192+CS216</f>
        <v>9.8500000000000004E-2</v>
      </c>
      <c r="CT243">
        <f>CT192+CT216</f>
        <v>2.7900000000000001E-2</v>
      </c>
      <c r="CU243">
        <f>CU192+CU216</f>
        <v>0.10009999999999999</v>
      </c>
      <c r="CV243">
        <f>CV192+CV216</f>
        <v>-0.12290000000000001</v>
      </c>
      <c r="CW243">
        <f>CW192+CW216</f>
        <v>6.5700000000000008E-2</v>
      </c>
      <c r="CX243">
        <f>CX192+CX216</f>
        <v>-2.3E-2</v>
      </c>
    </row>
    <row r="244" spans="1:102" x14ac:dyDescent="0.2">
      <c r="A244" t="s">
        <v>210</v>
      </c>
      <c r="B244" t="s">
        <v>220</v>
      </c>
      <c r="C244" t="s">
        <v>222</v>
      </c>
      <c r="D244">
        <f>D193+D217</f>
        <v>7.281E-2</v>
      </c>
      <c r="E244">
        <f>E193+E217</f>
        <v>6.0580000000000009E-2</v>
      </c>
      <c r="F244">
        <f>F193+F217</f>
        <v>3.0330000000000003E-2</v>
      </c>
      <c r="G244">
        <f>G193+G217</f>
        <v>5.4529999999999995E-2</v>
      </c>
      <c r="H244">
        <f>H193+H217</f>
        <v>-1.4409999999999999E-2</v>
      </c>
      <c r="I244">
        <f>I193+I217</f>
        <v>2.6029999999999998E-2</v>
      </c>
      <c r="J244">
        <f>J193+J217</f>
        <v>4.7800000000000004E-3</v>
      </c>
      <c r="K244">
        <f>K193+K217</f>
        <v>-1.0000000000000026E-4</v>
      </c>
      <c r="L244">
        <f>L193+L217</f>
        <v>5.96E-3</v>
      </c>
      <c r="M244">
        <f>M193+M217</f>
        <v>-1.951E-2</v>
      </c>
      <c r="N244">
        <f>N193+N217</f>
        <v>-1.6150000000000001E-2</v>
      </c>
      <c r="O244">
        <f>O193+O217</f>
        <v>6.2100000000000002E-3</v>
      </c>
      <c r="P244">
        <f>P193+P217</f>
        <v>-1.7130000000000001E-3</v>
      </c>
      <c r="Q244">
        <f>Q193+Q217</f>
        <v>-3.8300000000000001E-3</v>
      </c>
      <c r="R244">
        <f>R193+R217</f>
        <v>-6.0400000000000002E-3</v>
      </c>
      <c r="S244">
        <f>S193+S217</f>
        <v>-5.45E-3</v>
      </c>
      <c r="T244">
        <f>T193+T217</f>
        <v>2.2999999999999995E-4</v>
      </c>
      <c r="U244">
        <f>U193+U217</f>
        <v>5.8999999999999981E-4</v>
      </c>
      <c r="V244">
        <f>V193+V217</f>
        <v>3.3099999999999996E-3</v>
      </c>
      <c r="W244">
        <f>W193+W217</f>
        <v>1.91E-3</v>
      </c>
      <c r="X244">
        <f>X193+X217</f>
        <v>2.4300000000000003E-3</v>
      </c>
      <c r="Y244">
        <f>Y193+Y217</f>
        <v>6.8199999999999997E-3</v>
      </c>
      <c r="Z244">
        <f>Z193+Z217</f>
        <v>6.389999999999999E-3</v>
      </c>
      <c r="AA244">
        <f>AA193+AA217</f>
        <v>6.7299999999999999E-3</v>
      </c>
      <c r="AB244">
        <f>AB193+AB217</f>
        <v>6.0300000000000006E-3</v>
      </c>
      <c r="AC244">
        <f>AC193+AC217</f>
        <v>6.5899999999999995E-3</v>
      </c>
      <c r="AD244">
        <f>AD193+AD217</f>
        <v>6.8000000000000005E-3</v>
      </c>
      <c r="AE244">
        <f>AE193+AE217</f>
        <v>6.2300000000000012E-3</v>
      </c>
      <c r="AF244">
        <f>AF193+AF217</f>
        <v>5.9000000000000007E-3</v>
      </c>
      <c r="AG244">
        <f>AG193+AG217</f>
        <v>5.2700000000000004E-3</v>
      </c>
      <c r="AH244">
        <f>AH193+AH217</f>
        <v>5.3699999999999998E-3</v>
      </c>
      <c r="AI244">
        <f>AI193+AI217</f>
        <v>5.0400000000000002E-3</v>
      </c>
      <c r="AJ244">
        <f>AJ193+AJ217</f>
        <v>4.0600000000000002E-3</v>
      </c>
      <c r="AK244">
        <f>AK193+AK217</f>
        <v>1.9599999999999995E-3</v>
      </c>
      <c r="AL244">
        <f>AL193+AL217</f>
        <v>-8.1999999999999998E-4</v>
      </c>
      <c r="AM244">
        <f>AM193+AM217</f>
        <v>-4.2999999999999983E-4</v>
      </c>
      <c r="AN244">
        <f>AN193+AN217</f>
        <v>1.2999999999999991E-4</v>
      </c>
      <c r="AO244">
        <f>AO193+AO217</f>
        <v>1.4700000000000004E-3</v>
      </c>
      <c r="AP244">
        <f>AP193+AP217</f>
        <v>3.2099999999999997E-3</v>
      </c>
      <c r="AQ244">
        <f>AQ193+AQ217</f>
        <v>5.9900000000000005E-3</v>
      </c>
      <c r="AR244">
        <f>AR193+AR217</f>
        <v>8.8500000000000002E-3</v>
      </c>
      <c r="AS244">
        <f>AS193+AS217</f>
        <v>1.133E-2</v>
      </c>
      <c r="AT244">
        <f>AT193+AT217</f>
        <v>1.106E-2</v>
      </c>
      <c r="AU244">
        <f>AU193+AU217</f>
        <v>1.0829999999999999E-2</v>
      </c>
      <c r="AV244">
        <f>AV193+AV217</f>
        <v>8.8400000000000006E-3</v>
      </c>
      <c r="AW244">
        <f>AW193+AW217</f>
        <v>9.1199999999999996E-3</v>
      </c>
      <c r="AX244">
        <f>AX193+AX217</f>
        <v>8.5000000000000006E-3</v>
      </c>
      <c r="AY244">
        <f>AY193+AY217</f>
        <v>8.879999999999999E-3</v>
      </c>
      <c r="AZ244">
        <f>AZ193+AZ217</f>
        <v>6.4000000000000003E-3</v>
      </c>
      <c r="BA244">
        <f>BA193+BA217</f>
        <v>6.8400000000000006E-3</v>
      </c>
      <c r="BB244">
        <f>BB193+BB217</f>
        <v>5.9500000000000004E-3</v>
      </c>
      <c r="BC244">
        <f>BC193+BC217</f>
        <v>1.1299999999999999E-2</v>
      </c>
      <c r="BD244">
        <f>BD193+BD217</f>
        <v>1.277E-2</v>
      </c>
      <c r="BE244">
        <f>BE193+BE217</f>
        <v>1.3859999999999999E-2</v>
      </c>
      <c r="BF244">
        <f>BF193+BF217</f>
        <v>1.0409999999999999E-2</v>
      </c>
      <c r="BG244">
        <f>BG193+BG217</f>
        <v>9.0799999999999995E-3</v>
      </c>
      <c r="BH244">
        <f>BH193+BH217</f>
        <v>5.7199999999999994E-3</v>
      </c>
      <c r="BI244">
        <f>BI193+BI217</f>
        <v>3.0800000000000003E-3</v>
      </c>
      <c r="BJ244">
        <f>BJ193+BJ217</f>
        <v>4.7000000000000002E-3</v>
      </c>
      <c r="BK244">
        <f>BK193+BK217</f>
        <v>8.399999999999996E-4</v>
      </c>
      <c r="BL244">
        <f>BL193+BL217</f>
        <v>-8.7999999999999971E-4</v>
      </c>
      <c r="BM244">
        <f>BM193+BM217</f>
        <v>3.8299999999999992E-3</v>
      </c>
      <c r="BN244">
        <f>BN193+BN217</f>
        <v>1.2889999999999999E-2</v>
      </c>
      <c r="BO244">
        <f>BO193+BO217</f>
        <v>1.908E-2</v>
      </c>
      <c r="BP244">
        <f>BP193+BP217</f>
        <v>2.5660000000000002E-2</v>
      </c>
      <c r="BQ244">
        <f>BQ193+BQ217</f>
        <v>2.6340000000000002E-2</v>
      </c>
      <c r="BR244">
        <f>BR193+BR217</f>
        <v>2.529E-2</v>
      </c>
      <c r="BS244">
        <f>BS193+BS217</f>
        <v>2.4509999999999997E-2</v>
      </c>
      <c r="BT244">
        <f>BT193+BT217</f>
        <v>2.317E-2</v>
      </c>
      <c r="BU244">
        <f>BU193+BU217</f>
        <v>1.4240000000000003E-2</v>
      </c>
      <c r="BV244">
        <f>BV193+BV217</f>
        <v>-3.4499999999999999E-3</v>
      </c>
      <c r="BW244">
        <f>BW193+BW217</f>
        <v>-9.6299999999999997E-3</v>
      </c>
      <c r="BX244">
        <f>BX193+BX217</f>
        <v>-5.2009999999999999E-3</v>
      </c>
      <c r="BY244">
        <f>BY193+BY217</f>
        <v>5.94E-3</v>
      </c>
      <c r="BZ244">
        <f>BZ193+BZ217</f>
        <v>1.1390000000000001E-2</v>
      </c>
      <c r="CA244">
        <f>CA193+CA217</f>
        <v>1.2450000000000001E-2</v>
      </c>
      <c r="CB244">
        <f>CB193+CB217</f>
        <v>1.8399999999999996E-3</v>
      </c>
      <c r="CC244">
        <f>CC193+CC217</f>
        <v>4.9499999999999995E-3</v>
      </c>
      <c r="CD244">
        <f>CD193+CD217</f>
        <v>1.5919999999999997E-2</v>
      </c>
      <c r="CE244">
        <f>CE193+CE217</f>
        <v>1.8169999999999999E-2</v>
      </c>
      <c r="CF244">
        <f>CF193+CF217</f>
        <v>2.5520000000000001E-2</v>
      </c>
      <c r="CG244">
        <f>CG193+CG217</f>
        <v>1.8970000000000001E-2</v>
      </c>
      <c r="CH244">
        <f>CH193+CH217</f>
        <v>-3.9500000000000004E-3</v>
      </c>
      <c r="CI244">
        <f>CI193+CI217</f>
        <v>-2.3720000000000001E-2</v>
      </c>
      <c r="CJ244">
        <f>CJ193+CJ217</f>
        <v>-3.0850000000000002E-2</v>
      </c>
      <c r="CK244">
        <f>CK193+CK217</f>
        <v>1.5489999999999999E-2</v>
      </c>
      <c r="CL244">
        <f>CL193+CL217</f>
        <v>2.6610000000000002E-2</v>
      </c>
      <c r="CM244">
        <f>CM193+CM217</f>
        <v>2.5830000000000002E-2</v>
      </c>
      <c r="CN244">
        <f>CN193+CN217</f>
        <v>2.3999999999999994E-3</v>
      </c>
      <c r="CO244">
        <f>CO193+CO217</f>
        <v>6.9999999999999993E-3</v>
      </c>
      <c r="CP244">
        <f>CP193+CP217</f>
        <v>1.094E-2</v>
      </c>
      <c r="CQ244">
        <f>CQ193+CQ217</f>
        <v>3.2600000000000004E-2</v>
      </c>
      <c r="CR244">
        <f>CR193+CR217</f>
        <v>-7.8800000000000016E-3</v>
      </c>
      <c r="CS244">
        <f>CS193+CS217</f>
        <v>-3.6049999999999999E-2</v>
      </c>
      <c r="CT244">
        <f>CT193+CT217</f>
        <v>-7.1600000000000006E-3</v>
      </c>
      <c r="CU244">
        <f>CU193+CU217</f>
        <v>-4.4690000000000001E-2</v>
      </c>
      <c r="CV244">
        <f>CV193+CV217</f>
        <v>6.8099999999999983E-3</v>
      </c>
      <c r="CW244">
        <f>CW193+CW217</f>
        <v>-3.8190000000000002E-2</v>
      </c>
      <c r="CX244">
        <f>CX193+CX217</f>
        <v>3.245E-2</v>
      </c>
    </row>
    <row r="245" spans="1:102" x14ac:dyDescent="0.2">
      <c r="A245" t="s">
        <v>211</v>
      </c>
      <c r="B245" t="s">
        <v>220</v>
      </c>
      <c r="C245" t="s">
        <v>222</v>
      </c>
      <c r="D245">
        <f>D194+D218</f>
        <v>1.7900000000000003E-2</v>
      </c>
      <c r="E245">
        <f>E194+E218</f>
        <v>8.5599999999999982E-3</v>
      </c>
      <c r="F245">
        <f>F194+F218</f>
        <v>1.09E-2</v>
      </c>
      <c r="G245">
        <f>G194+G218</f>
        <v>2.4549999999999999E-2</v>
      </c>
      <c r="H245">
        <f>H194+H218</f>
        <v>2.2300000000000002E-3</v>
      </c>
      <c r="I245">
        <f>I194+I218</f>
        <v>1.158E-2</v>
      </c>
      <c r="J245">
        <f>J194+J218</f>
        <v>2.8899999999999998E-3</v>
      </c>
      <c r="K245">
        <f>K194+K218</f>
        <v>9.3600000000000003E-3</v>
      </c>
      <c r="L245">
        <f>L194+L218</f>
        <v>1.3730000000000001E-2</v>
      </c>
      <c r="M245">
        <f>M194+M218</f>
        <v>4.6699999999999997E-3</v>
      </c>
      <c r="N245">
        <f>N194+N218</f>
        <v>7.4599999999999996E-3</v>
      </c>
      <c r="O245">
        <f>O194+O218</f>
        <v>1.592E-2</v>
      </c>
      <c r="P245">
        <f>P194+P218</f>
        <v>1.2289999999999999E-2</v>
      </c>
      <c r="Q245">
        <f>Q194+Q218</f>
        <v>1.289E-2</v>
      </c>
      <c r="R245">
        <f>R194+R218</f>
        <v>1.0189999999999999E-2</v>
      </c>
      <c r="S245">
        <f>S194+S218</f>
        <v>8.5299999999999994E-3</v>
      </c>
      <c r="T245">
        <f>T194+T218</f>
        <v>7.1399999999999988E-3</v>
      </c>
      <c r="U245">
        <f>U194+U218</f>
        <v>9.11E-3</v>
      </c>
      <c r="V245">
        <f>V194+V218</f>
        <v>8.2699999999999996E-3</v>
      </c>
      <c r="W245">
        <f>W194+W218</f>
        <v>7.3499999999999998E-3</v>
      </c>
      <c r="X245">
        <f>X194+X218</f>
        <v>6.579999999999999E-3</v>
      </c>
      <c r="Y245">
        <f>Y194+Y218</f>
        <v>9.58E-3</v>
      </c>
      <c r="Z245">
        <f>Z194+Z218</f>
        <v>7.7500000000000008E-3</v>
      </c>
      <c r="AA245">
        <f>AA194+AA218</f>
        <v>9.2099999999999994E-3</v>
      </c>
      <c r="AB245">
        <f>AB194+AB218</f>
        <v>8.0800000000000004E-3</v>
      </c>
      <c r="AC245">
        <f>AC194+AC218</f>
        <v>7.0399999999999994E-3</v>
      </c>
      <c r="AD245">
        <f>AD194+AD218</f>
        <v>7.79E-3</v>
      </c>
      <c r="AE245">
        <f>AE194+AE218</f>
        <v>6.2400000000000008E-3</v>
      </c>
      <c r="AF245">
        <f>AF194+AF218</f>
        <v>6.2799999999999991E-3</v>
      </c>
      <c r="AG245">
        <f>AG194+AG218</f>
        <v>8.0800000000000004E-3</v>
      </c>
      <c r="AH245">
        <f>AH194+AH218</f>
        <v>6.2000000000000006E-3</v>
      </c>
      <c r="AI245">
        <f>AI194+AI218</f>
        <v>5.3600000000000002E-3</v>
      </c>
      <c r="AJ245">
        <f>AJ194+AJ218</f>
        <v>4.6999999999999993E-3</v>
      </c>
      <c r="AK245">
        <f>AK194+AK218</f>
        <v>1.3600000000000001E-3</v>
      </c>
      <c r="AL245">
        <f>AL194+AL218</f>
        <v>-8.8000000000000014E-4</v>
      </c>
      <c r="AM245">
        <f>AM194+AM218</f>
        <v>-1.0699999999999998E-3</v>
      </c>
      <c r="AN245">
        <f>AN194+AN218</f>
        <v>-3.7929999999999999E-3</v>
      </c>
      <c r="AO245">
        <f>AO194+AO218</f>
        <v>9.3999999999999986E-4</v>
      </c>
      <c r="AP245">
        <f>AP194+AP218</f>
        <v>2.1900000000000001E-3</v>
      </c>
      <c r="AQ245">
        <f>AQ194+AQ218</f>
        <v>6.0000000000000157E-5</v>
      </c>
      <c r="AR245">
        <f>AR194+AR218</f>
        <v>8.5000000000000006E-4</v>
      </c>
      <c r="AS245">
        <f>AS194+AS218</f>
        <v>9.0000000000000236E-5</v>
      </c>
      <c r="AT245">
        <f>AT194+AT218</f>
        <v>-1.0500000000000002E-3</v>
      </c>
      <c r="AU245">
        <f>AU194+AU218</f>
        <v>-2.9889999999999999E-3</v>
      </c>
      <c r="AV245">
        <f>AV194+AV218</f>
        <v>-2.4299999999999999E-3</v>
      </c>
      <c r="AW245">
        <f>AW194+AW218</f>
        <v>-1.98E-3</v>
      </c>
      <c r="AX245">
        <f>AX194+AX218</f>
        <v>-5.6999999999999976E-4</v>
      </c>
      <c r="AY245">
        <f>AY194+AY218</f>
        <v>-3.5889999999999997E-3</v>
      </c>
      <c r="AZ245">
        <f>AZ194+AZ218</f>
        <v>-3.1389999999999999E-3</v>
      </c>
      <c r="BA245">
        <f>BA194+BA218</f>
        <v>-5.0079999999999994E-3</v>
      </c>
      <c r="BB245">
        <f>BB194+BB218</f>
        <v>-7.0499999999999998E-3</v>
      </c>
      <c r="BC245">
        <f>BC194+BC218</f>
        <v>-6.79E-3</v>
      </c>
      <c r="BD245">
        <f>BD194+BD218</f>
        <v>-2.15E-3</v>
      </c>
      <c r="BE245">
        <f>BE194+BE218</f>
        <v>-1.1900000000000001E-3</v>
      </c>
      <c r="BF245">
        <f>BF194+BF218</f>
        <v>-5.836E-3</v>
      </c>
      <c r="BG245">
        <f>BG194+BG218</f>
        <v>-4.2589999999999998E-3</v>
      </c>
      <c r="BH245">
        <f>BH194+BH218</f>
        <v>-8.6899999999999998E-3</v>
      </c>
      <c r="BI245">
        <f>BI194+BI218</f>
        <v>-1.1640000000000001E-2</v>
      </c>
      <c r="BJ245">
        <f>BJ194+BJ218</f>
        <v>-9.7199999999999995E-3</v>
      </c>
      <c r="BK245">
        <f>BK194+BK218</f>
        <v>-1.455E-2</v>
      </c>
      <c r="BL245">
        <f>BL194+BL218</f>
        <v>-1.738E-2</v>
      </c>
      <c r="BM245">
        <f>BM194+BM218</f>
        <v>-1.384E-2</v>
      </c>
      <c r="BN245">
        <f>BN194+BN218</f>
        <v>-6.6899999999999998E-3</v>
      </c>
      <c r="BO245">
        <f>BO194+BO218</f>
        <v>-1.4400000000000003E-3</v>
      </c>
      <c r="BP245">
        <f>BP194+BP218</f>
        <v>3.3199999999999992E-3</v>
      </c>
      <c r="BQ245">
        <f>BQ194+BQ218</f>
        <v>1.0500000000000006E-3</v>
      </c>
      <c r="BR245">
        <f>BR194+BR218</f>
        <v>1.094E-2</v>
      </c>
      <c r="BS245">
        <f>BS194+BS218</f>
        <v>1.3729999999999999E-2</v>
      </c>
      <c r="BT245">
        <f>BT194+BT218</f>
        <v>7.5700000000000003E-3</v>
      </c>
      <c r="BU245">
        <f>BU194+BU218</f>
        <v>4.8999999999999998E-4</v>
      </c>
      <c r="BV245">
        <f>BV194+BV218</f>
        <v>-1.2240000000000001E-2</v>
      </c>
      <c r="BW245">
        <f>BW194+BW218</f>
        <v>-2.0929999999999997E-2</v>
      </c>
      <c r="BX245">
        <f>BX194+BX218</f>
        <v>-2.001E-2</v>
      </c>
      <c r="BY245">
        <f>BY194+BY218</f>
        <v>-1.5339999999999999E-2</v>
      </c>
      <c r="BZ245">
        <f>BZ194+BZ218</f>
        <v>-1.349E-2</v>
      </c>
      <c r="CA245">
        <f>CA194+CA218</f>
        <v>-7.1630000000000001E-3</v>
      </c>
      <c r="CB245">
        <f>CB194+CB218</f>
        <v>-2.0109999999999999E-2</v>
      </c>
      <c r="CC245">
        <f>CC194+CC218</f>
        <v>-1.6480000000000002E-2</v>
      </c>
      <c r="CD245">
        <f>CD194+CD218</f>
        <v>-1.303E-2</v>
      </c>
      <c r="CE245">
        <f>CE194+CE218</f>
        <v>-9.3699999999999999E-3</v>
      </c>
      <c r="CF245">
        <f>CF194+CF218</f>
        <v>-2.9999999999999992E-4</v>
      </c>
      <c r="CG245">
        <f>CG194+CG218</f>
        <v>-4.5700000000000011E-3</v>
      </c>
      <c r="CH245">
        <f>CH194+CH218</f>
        <v>-2.1409999999999998E-2</v>
      </c>
      <c r="CI245">
        <f>CI194+CI218</f>
        <v>-4.1610000000000001E-2</v>
      </c>
      <c r="CJ245">
        <f>CJ194+CJ218</f>
        <v>-4.965E-2</v>
      </c>
      <c r="CK245">
        <f>CK194+CK218</f>
        <v>-1.5980000000000001E-2</v>
      </c>
      <c r="CL245">
        <f>CL194+CL218</f>
        <v>-9.101999999999999E-3</v>
      </c>
      <c r="CM245">
        <f>CM194+CM218</f>
        <v>-5.6400000000000009E-3</v>
      </c>
      <c r="CN245">
        <f>CN194+CN218</f>
        <v>-3.8589999999999999E-2</v>
      </c>
      <c r="CO245">
        <f>CO194+CO218</f>
        <v>-3.9280000000000002E-2</v>
      </c>
      <c r="CP245">
        <f>CP194+CP218</f>
        <v>-2.8740000000000002E-2</v>
      </c>
      <c r="CQ245">
        <f>CQ194+CQ218</f>
        <v>-1.111E-2</v>
      </c>
      <c r="CR245">
        <f>CR194+CR218</f>
        <v>-3.7699999999999997E-2</v>
      </c>
      <c r="CS245">
        <f>CS194+CS218</f>
        <v>-5.0880000000000002E-2</v>
      </c>
      <c r="CT245">
        <f>CT194+CT218</f>
        <v>-5.0100000000000006E-2</v>
      </c>
      <c r="CU245">
        <f>CU194+CU218</f>
        <v>-7.1609999999999993E-2</v>
      </c>
      <c r="CV245">
        <f>CV194+CV218</f>
        <v>-2.86E-2</v>
      </c>
      <c r="CW245">
        <f>CW194+CW218</f>
        <v>-7.2099999999999997E-2</v>
      </c>
      <c r="CX245">
        <f>CX194+CX218</f>
        <v>-4.5630000000000004E-2</v>
      </c>
    </row>
    <row r="246" spans="1:102" x14ac:dyDescent="0.2">
      <c r="A246" t="s">
        <v>212</v>
      </c>
      <c r="B246" t="s">
        <v>220</v>
      </c>
      <c r="C246" t="s">
        <v>222</v>
      </c>
      <c r="D246">
        <f>D195+D219</f>
        <v>4.1549999999999997E-2</v>
      </c>
      <c r="E246">
        <f>E195+E219</f>
        <v>2.1700000000000001E-2</v>
      </c>
      <c r="F246">
        <f>F195+F219</f>
        <v>4.0700000000000007E-3</v>
      </c>
      <c r="G246">
        <f>G195+G219</f>
        <v>2.8170000000000001E-2</v>
      </c>
      <c r="H246">
        <f>H195+H219</f>
        <v>-5.1799999999999997E-3</v>
      </c>
      <c r="I246">
        <f>I195+I219</f>
        <v>1.0829999999999999E-2</v>
      </c>
      <c r="J246">
        <f>J195+J219</f>
        <v>4.5100000000000001E-3</v>
      </c>
      <c r="K246">
        <f>K195+K219</f>
        <v>4.3099999999999996E-3</v>
      </c>
      <c r="L246">
        <f>L195+L219</f>
        <v>7.43E-3</v>
      </c>
      <c r="M246">
        <f>M195+M219</f>
        <v>-3.8800000000000006E-3</v>
      </c>
      <c r="N246">
        <f>N195+N219</f>
        <v>-1.8900000000000002E-3</v>
      </c>
      <c r="O246">
        <f>O195+O219</f>
        <v>8.8900000000000003E-3</v>
      </c>
      <c r="P246">
        <f>P195+P219</f>
        <v>5.8700000000000002E-3</v>
      </c>
      <c r="Q246">
        <f>Q195+Q219</f>
        <v>4.64E-3</v>
      </c>
      <c r="R246">
        <f>R195+R219</f>
        <v>1.58E-3</v>
      </c>
      <c r="S246">
        <f>S195+S219</f>
        <v>1.4519999999999997E-3</v>
      </c>
      <c r="T246">
        <f>T195+T219</f>
        <v>2.4130000000000002E-3</v>
      </c>
      <c r="U246">
        <f>U195+U219</f>
        <v>2.9499999999999999E-3</v>
      </c>
      <c r="V246">
        <f>V195+V219</f>
        <v>3.4299999999999999E-3</v>
      </c>
      <c r="W246">
        <f>W195+W219</f>
        <v>2.8900000000000002E-3</v>
      </c>
      <c r="X246">
        <f>X195+X219</f>
        <v>3.2100000000000002E-3</v>
      </c>
      <c r="Y246">
        <f>Y195+Y219</f>
        <v>3.8400000000000001E-3</v>
      </c>
      <c r="Z246">
        <f>Z195+Z219</f>
        <v>3.5999999999999999E-3</v>
      </c>
      <c r="AA246">
        <f>AA195+AA219</f>
        <v>3.5399999999999997E-3</v>
      </c>
      <c r="AB246">
        <f>AB195+AB219</f>
        <v>3.29E-3</v>
      </c>
      <c r="AC246">
        <f>AC195+AC219</f>
        <v>3.13E-3</v>
      </c>
      <c r="AD246">
        <f>AD195+AD219</f>
        <v>2.65E-3</v>
      </c>
      <c r="AE246">
        <f>AE195+AE219</f>
        <v>1.993E-3</v>
      </c>
      <c r="AF246">
        <f>AF195+AF219</f>
        <v>1.836E-3</v>
      </c>
      <c r="AG246">
        <f>AG195+AG219</f>
        <v>6.559999999999999E-4</v>
      </c>
      <c r="AH246">
        <f>AH195+AH219</f>
        <v>2.360000000000001E-4</v>
      </c>
      <c r="AI246">
        <f>AI195+AI219</f>
        <v>2.2699999999999999E-4</v>
      </c>
      <c r="AJ246">
        <f>AJ195+AJ219</f>
        <v>6.5399999999999985E-4</v>
      </c>
      <c r="AK246">
        <f>AK195+AK219</f>
        <v>6.69E-4</v>
      </c>
      <c r="AL246">
        <f>AL195+AL219</f>
        <v>6.4400000000000004E-4</v>
      </c>
      <c r="AM246">
        <f>AM195+AM219</f>
        <v>5.8E-4</v>
      </c>
      <c r="AN246">
        <f>AN195+AN219</f>
        <v>4.7000000000000004E-4</v>
      </c>
      <c r="AO246">
        <f>AO195+AO219</f>
        <v>9.2400000000000013E-4</v>
      </c>
      <c r="AP246">
        <f>AP195+AP219</f>
        <v>1.3486000000000001E-3</v>
      </c>
      <c r="AQ246">
        <f>AQ195+AQ219</f>
        <v>1.6900000000000001E-3</v>
      </c>
      <c r="AR246">
        <f>AR195+AR219</f>
        <v>2.0400000000000001E-3</v>
      </c>
      <c r="AS246">
        <f>AS195+AS219</f>
        <v>1.8979999999999999E-3</v>
      </c>
      <c r="AT246">
        <f>AT195+AT219</f>
        <v>1.928E-3</v>
      </c>
      <c r="AU246">
        <f>AU195+AU219</f>
        <v>1.954E-3</v>
      </c>
      <c r="AV246">
        <f>AV195+AV219</f>
        <v>1.722E-3</v>
      </c>
      <c r="AW246">
        <f>AW195+AW219</f>
        <v>1.9060000000000001E-3</v>
      </c>
      <c r="AX246">
        <f>AX195+AX219</f>
        <v>1.9090000000000001E-3</v>
      </c>
      <c r="AY246">
        <f>AY195+AY219</f>
        <v>1.4239999999999999E-3</v>
      </c>
      <c r="AZ246">
        <f>AZ195+AZ219</f>
        <v>1.1267E-3</v>
      </c>
      <c r="BA246">
        <f>BA195+BA219</f>
        <v>6.3999999999999994E-4</v>
      </c>
      <c r="BB246">
        <f>BB195+BB219</f>
        <v>3.4299999999999988E-4</v>
      </c>
      <c r="BC246">
        <f>BC195+BC219</f>
        <v>8.3000000000000001E-4</v>
      </c>
      <c r="BD246">
        <f>BD195+BD219</f>
        <v>1.5969999999999999E-3</v>
      </c>
      <c r="BE246">
        <f>BE195+BE219</f>
        <v>1.6739999999999999E-3</v>
      </c>
      <c r="BF246">
        <f>BF195+BF219</f>
        <v>1.4989999999999999E-3</v>
      </c>
      <c r="BG246">
        <f>BG195+BG219</f>
        <v>1.6560000000000001E-3</v>
      </c>
      <c r="BH246">
        <f>BH195+BH219</f>
        <v>1.3319999999999999E-3</v>
      </c>
      <c r="BI246">
        <f>BI195+BI219</f>
        <v>1.1492000000000002E-3</v>
      </c>
      <c r="BJ246">
        <f>BJ195+BJ219</f>
        <v>1.366E-3</v>
      </c>
      <c r="BK246">
        <f>BK195+BK219</f>
        <v>1.1677E-3</v>
      </c>
      <c r="BL246">
        <f>BL195+BL219</f>
        <v>1.1684E-3</v>
      </c>
      <c r="BM246">
        <f>BM195+BM219</f>
        <v>1.575E-3</v>
      </c>
      <c r="BN246">
        <f>BN195+BN219</f>
        <v>2.0439999999999998E-3</v>
      </c>
      <c r="BO246">
        <f t="shared" ref="BO246" si="42">BO195+BO219</f>
        <v>2.7499999999999998E-3</v>
      </c>
      <c r="BP246">
        <f>BP195+BP219</f>
        <v>3.31E-3</v>
      </c>
      <c r="BQ246">
        <f>BQ195+BQ219</f>
        <v>3.81E-3</v>
      </c>
      <c r="BR246">
        <f>BR195+BR219</f>
        <v>3.8400000000000001E-3</v>
      </c>
      <c r="BS246">
        <f>BS195+BS219</f>
        <v>3.1400000000000004E-3</v>
      </c>
      <c r="BT246">
        <f>BT195+BT219</f>
        <v>3.8200000000000005E-3</v>
      </c>
      <c r="BU246">
        <f>BU195+BU219</f>
        <v>3.7000000000000002E-3</v>
      </c>
      <c r="BV246">
        <f>BV195+BV219</f>
        <v>2.7299999999999998E-3</v>
      </c>
      <c r="BW246">
        <f>BW195+BW219</f>
        <v>3.13E-3</v>
      </c>
      <c r="BX246">
        <f>BX195+BX219</f>
        <v>2.5399999999999997E-3</v>
      </c>
      <c r="BY246">
        <f>BY195+BY219</f>
        <v>3.2699999999999999E-3</v>
      </c>
      <c r="BZ246">
        <f>BZ195+BZ219</f>
        <v>3.79E-3</v>
      </c>
      <c r="CA246">
        <f>CA195+CA219</f>
        <v>4.6800000000000001E-3</v>
      </c>
      <c r="CB246">
        <f>CB195+CB219</f>
        <v>4.4099999999999999E-3</v>
      </c>
      <c r="CC246">
        <f>CC195+CC219</f>
        <v>4.5399999999999998E-3</v>
      </c>
      <c r="CD246">
        <f>CD195+CD219</f>
        <v>3.7000000000000002E-3</v>
      </c>
      <c r="CE246">
        <f>CE195+CE219</f>
        <v>3.4399999999999999E-3</v>
      </c>
      <c r="CF246">
        <f>CF195+CF219</f>
        <v>3.3E-3</v>
      </c>
      <c r="CG246">
        <f>CG195+CG219</f>
        <v>3.32E-3</v>
      </c>
      <c r="CH246">
        <f>CH195+CH219</f>
        <v>1.815E-3</v>
      </c>
      <c r="CI246">
        <f>CI195+CI219</f>
        <v>3.1499999999999996E-4</v>
      </c>
      <c r="CJ246">
        <f>CJ195+CJ219</f>
        <v>-1.0610000000000001E-3</v>
      </c>
      <c r="CK246">
        <f>CK195+CK219</f>
        <v>1.121E-3</v>
      </c>
      <c r="CL246">
        <f>CL195+CL219</f>
        <v>1.73E-3</v>
      </c>
      <c r="CM246">
        <f>CM195+CM219</f>
        <v>2.0100000000000001E-3</v>
      </c>
      <c r="CN246">
        <f>CN195+CN219</f>
        <v>1.5529999999999999E-3</v>
      </c>
      <c r="CO246">
        <f>CO195+CO219</f>
        <v>6.8500000000000006E-4</v>
      </c>
      <c r="CP246">
        <f>CP195+CP219</f>
        <v>-6.3000000000000013E-5</v>
      </c>
      <c r="CQ246">
        <f>CQ195+CQ219</f>
        <v>8.3359999999999999E-4</v>
      </c>
      <c r="CR246">
        <f>CR195+CR219</f>
        <v>-1.013E-3</v>
      </c>
      <c r="CS246">
        <f>CS195+CS219</f>
        <v>-2.467E-3</v>
      </c>
      <c r="CT246">
        <f>CT195+CT219</f>
        <v>-2.5149999999999999E-3</v>
      </c>
      <c r="CU246">
        <f>CU195+CU219</f>
        <v>-3.6419999999999998E-3</v>
      </c>
      <c r="CV246">
        <f>CV195+CV219</f>
        <v>-2.5999999999999999E-3</v>
      </c>
      <c r="CW246">
        <f>CW195+CW219</f>
        <v>-4.2769999999999996E-3</v>
      </c>
      <c r="CX246">
        <f>CX195+CX219</f>
        <v>2.1100000000000003E-4</v>
      </c>
    </row>
    <row r="247" spans="1:102" x14ac:dyDescent="0.2">
      <c r="A247" t="s">
        <v>213</v>
      </c>
      <c r="B247" t="s">
        <v>220</v>
      </c>
      <c r="C247" t="s">
        <v>222</v>
      </c>
      <c r="D247">
        <f>D196+D220</f>
        <v>-8.4399999999999989E-2</v>
      </c>
      <c r="E247">
        <f>E196+E220</f>
        <v>-4.8299999999999996E-2</v>
      </c>
      <c r="F247">
        <f>F196+F220</f>
        <v>1.54E-2</v>
      </c>
      <c r="G247">
        <f>G196+G220</f>
        <v>-0.12809999999999999</v>
      </c>
      <c r="H247">
        <f>H196+H220</f>
        <v>8.3900000000000002E-2</v>
      </c>
      <c r="I247">
        <f>I196+I220</f>
        <v>-7.0599999999999996E-2</v>
      </c>
      <c r="J247">
        <f>J196+J220</f>
        <v>5.000000000000001E-3</v>
      </c>
      <c r="K247">
        <f>K196+K220</f>
        <v>1.8999999999999989E-3</v>
      </c>
      <c r="L247">
        <f>L196+L220</f>
        <v>-3.1800000000000002E-2</v>
      </c>
      <c r="M247">
        <f>M196+M220</f>
        <v>9.7500000000000003E-2</v>
      </c>
      <c r="N247">
        <f>N196+N220</f>
        <v>8.5999999999999993E-2</v>
      </c>
      <c r="O247">
        <f>O196+O220</f>
        <v>-0.05</v>
      </c>
      <c r="P247">
        <f>P196+P220</f>
        <v>1.8999999999999989E-3</v>
      </c>
      <c r="Q247">
        <f>Q196+Q220</f>
        <v>2.2199999999999998E-2</v>
      </c>
      <c r="R247">
        <f>R196+R220</f>
        <v>4.4499999999999998E-2</v>
      </c>
      <c r="S247">
        <f>S196+S220</f>
        <v>2.819E-2</v>
      </c>
      <c r="T247">
        <f>T196+T220</f>
        <v>5.5499999999999994E-3</v>
      </c>
      <c r="U247">
        <f>U196+U220</f>
        <v>-4.6899999999999997E-3</v>
      </c>
      <c r="V247">
        <f>V196+V220</f>
        <v>-8.1899999999999994E-3</v>
      </c>
      <c r="W247">
        <f>W196+W220</f>
        <v>-1.031E-2</v>
      </c>
      <c r="X247">
        <f>X196+X220</f>
        <v>-1.7159999999999998E-2</v>
      </c>
      <c r="Y247">
        <f>Y196+Y220</f>
        <v>-3.108E-2</v>
      </c>
      <c r="Z247">
        <f>Z196+Z220</f>
        <v>-2.3140000000000001E-2</v>
      </c>
      <c r="AA247">
        <f>AA196+AA220</f>
        <v>-1.044E-2</v>
      </c>
      <c r="AB247">
        <f>AB196+AB220</f>
        <v>3.7000000000000054E-4</v>
      </c>
      <c r="AC247">
        <f>AC196+AC220</f>
        <v>9.3999999999999986E-3</v>
      </c>
      <c r="AD247">
        <f>AD196+AD220</f>
        <v>1.1720000000000001E-2</v>
      </c>
      <c r="AE247">
        <f>AE196+AE220</f>
        <v>1.004E-2</v>
      </c>
      <c r="AF247">
        <f>AF196+AF220</f>
        <v>1.0489999999999999E-2</v>
      </c>
      <c r="AG247">
        <f>AG196+AG220</f>
        <v>6.2599999999999999E-3</v>
      </c>
      <c r="AH247">
        <f>AH196+AH220</f>
        <v>1.4919999999999999E-2</v>
      </c>
      <c r="AI247">
        <f>AI196+AI220</f>
        <v>1.325E-2</v>
      </c>
      <c r="AJ247">
        <f>AJ196+AJ220</f>
        <v>9.9999999999999985E-3</v>
      </c>
      <c r="AK247">
        <f>AK196+AK220</f>
        <v>1.193E-2</v>
      </c>
      <c r="AL247">
        <f>AL196+AL220</f>
        <v>1.5030000000000002E-2</v>
      </c>
      <c r="AM247">
        <f>AM196+AM220</f>
        <v>8.7799999999999996E-3</v>
      </c>
      <c r="AN247">
        <f>AN196+AN220</f>
        <v>4.0099999999999997E-3</v>
      </c>
      <c r="AO247">
        <f>AO196+AO220</f>
        <v>4.0099999999999997E-3</v>
      </c>
      <c r="AP247">
        <f>AP196+AP220</f>
        <v>8.3800000000000003E-3</v>
      </c>
      <c r="AQ247">
        <f>AQ196+AQ220</f>
        <v>1.098E-2</v>
      </c>
      <c r="AR247">
        <f>AR196+AR220</f>
        <v>9.7999999999999997E-3</v>
      </c>
      <c r="AS247">
        <f>AS196+AS220</f>
        <v>7.8200000000000006E-3</v>
      </c>
      <c r="AT247">
        <f>AT196+AT220</f>
        <v>7.3200000000000001E-3</v>
      </c>
      <c r="AU247">
        <f>AU196+AU220</f>
        <v>1.091E-2</v>
      </c>
      <c r="AV247">
        <f>AV196+AV220</f>
        <v>2.3369999999999998E-2</v>
      </c>
      <c r="AW247">
        <f>AW196+AW220</f>
        <v>2.6159999999999999E-2</v>
      </c>
      <c r="AX247">
        <f>AX196+AX220</f>
        <v>1.6569999999999998E-2</v>
      </c>
      <c r="AY247">
        <f>AY196+AY220</f>
        <v>1.4829999999999999E-2</v>
      </c>
      <c r="AZ247">
        <f>AZ196+AZ220</f>
        <v>1.123E-2</v>
      </c>
      <c r="BA247">
        <f>BA196+BA220</f>
        <v>1.3000000000000001E-2</v>
      </c>
      <c r="BB247">
        <f>BB196+BB220</f>
        <v>8.8200000000000014E-3</v>
      </c>
      <c r="BC247">
        <f>BC196+BC220</f>
        <v>1.2110000000000001E-2</v>
      </c>
      <c r="BD247">
        <f>BD196+BD220</f>
        <v>8.905999999999999E-3</v>
      </c>
      <c r="BE247">
        <f>BE196+BE220</f>
        <v>1.0923E-2</v>
      </c>
      <c r="BF247">
        <f>BF196+BF220</f>
        <v>1.1789000000000001E-2</v>
      </c>
      <c r="BG247">
        <f>BG196+BG220</f>
        <v>1.9812E-2</v>
      </c>
      <c r="BH247">
        <f>BH196+BH220</f>
        <v>2.4820000000000002E-2</v>
      </c>
      <c r="BI247">
        <f>BI196+BI220</f>
        <v>1.8367999999999999E-2</v>
      </c>
      <c r="BJ247">
        <f>BJ196+BJ220</f>
        <v>1.7917000000000002E-2</v>
      </c>
      <c r="BK247">
        <f>BK196+BK220</f>
        <v>1.5495E-2</v>
      </c>
      <c r="BL247">
        <f>BL196+BL220</f>
        <v>1.4389000000000001E-2</v>
      </c>
      <c r="BM247">
        <f>BM196+BM220</f>
        <v>8.6629999999999988E-3</v>
      </c>
      <c r="BN247">
        <f>BN196+BN220</f>
        <v>3.9910000000000006E-3</v>
      </c>
      <c r="BO247">
        <f>BO196+BO220</f>
        <v>1.780956E-3</v>
      </c>
      <c r="BP247">
        <f>BP196+BP220</f>
        <v>1.859E-3</v>
      </c>
      <c r="BQ247">
        <f>BQ196+BQ220</f>
        <v>7.6049999999999998E-3</v>
      </c>
      <c r="BR247">
        <f>BR196+BR220</f>
        <v>1.3864E-2</v>
      </c>
      <c r="BS247">
        <f>BS196+BS220</f>
        <v>1.8914E-2</v>
      </c>
      <c r="BT247">
        <f>BT196+BT220</f>
        <v>2.9567000000000003E-2</v>
      </c>
      <c r="BU247">
        <f>BU196+BU220</f>
        <v>3.2459000000000002E-2</v>
      </c>
      <c r="BV247">
        <f>BV196+BV220</f>
        <v>3.7345999999999997E-2</v>
      </c>
      <c r="BW247">
        <f>BW196+BW220</f>
        <v>3.9898000000000003E-2</v>
      </c>
      <c r="BX247">
        <f>BX196+BX220</f>
        <v>2.4517000000000001E-2</v>
      </c>
      <c r="BY247">
        <f>BY196+BY220</f>
        <v>3.5224999999999999E-2</v>
      </c>
      <c r="BZ247">
        <f>BZ196+BZ220</f>
        <v>3.5843E-2</v>
      </c>
      <c r="CA247">
        <f>CA196+CA220</f>
        <v>3.3450000000000001E-2</v>
      </c>
      <c r="CB247">
        <f>CB196+CB220</f>
        <v>3.4509999999999999E-2</v>
      </c>
      <c r="CC247">
        <f>CC196+CC220</f>
        <v>4.6020000000000005E-2</v>
      </c>
      <c r="CD247">
        <f>CD196+CD220</f>
        <v>3.4759999999999999E-2</v>
      </c>
      <c r="CE247">
        <f>CE196+CE220</f>
        <v>3.1994000000000002E-2</v>
      </c>
      <c r="CF247">
        <f>CF196+CF220</f>
        <v>3.2479000000000001E-2</v>
      </c>
      <c r="CG247">
        <f>CG196+CG220</f>
        <v>4.2710000000000005E-2</v>
      </c>
      <c r="CH247">
        <f>CH196+CH220</f>
        <v>3.8339999999999999E-2</v>
      </c>
      <c r="CI247">
        <f>CI196+CI220</f>
        <v>4.0325E-2</v>
      </c>
      <c r="CJ247">
        <f>CJ196+CJ220</f>
        <v>3.3094999999999999E-2</v>
      </c>
      <c r="CK247">
        <f>CK196+CK220</f>
        <v>3.0620000000000001E-2</v>
      </c>
      <c r="CL247">
        <f>CL196+CL220</f>
        <v>2.6013000000000001E-2</v>
      </c>
      <c r="CM247">
        <f>CM196+CM220</f>
        <v>3.7969999999999997E-2</v>
      </c>
      <c r="CN247">
        <f>CN196+CN220</f>
        <v>5.4920000000000004E-2</v>
      </c>
      <c r="CO247">
        <f>CO196+CO220</f>
        <v>4.777E-2</v>
      </c>
      <c r="CP247">
        <f>CP196+CP220</f>
        <v>4.7611000000000001E-2</v>
      </c>
      <c r="CQ247">
        <f>CQ196+CQ220</f>
        <v>5.2450000000000004E-2</v>
      </c>
      <c r="CR247">
        <f>CR196+CR220</f>
        <v>6.3829999999999998E-2</v>
      </c>
      <c r="CS247">
        <f>CS196+CS220</f>
        <v>6.2330000000000003E-2</v>
      </c>
      <c r="CT247">
        <f>CT196+CT220</f>
        <v>6.4740000000000006E-2</v>
      </c>
      <c r="CU247">
        <f>CU196+CU220</f>
        <v>5.7063000000000003E-2</v>
      </c>
      <c r="CV247">
        <f>CV196+CV220</f>
        <v>3.8913999999999997E-2</v>
      </c>
      <c r="CW247">
        <f>CW196+CW220</f>
        <v>6.7326999999999998E-2</v>
      </c>
      <c r="CX247">
        <f>CX196+CX220</f>
        <v>6.7636999999999989E-2</v>
      </c>
    </row>
    <row r="248" spans="1:102" x14ac:dyDescent="0.2">
      <c r="A248" t="s">
        <v>214</v>
      </c>
      <c r="B248" t="s">
        <v>220</v>
      </c>
      <c r="C248" t="s">
        <v>222</v>
      </c>
      <c r="D248">
        <f>D197+D221</f>
        <v>4.4500000000000005E-2</v>
      </c>
      <c r="E248">
        <f>E197+E221</f>
        <v>5.7400000000000007E-2</v>
      </c>
      <c r="F248">
        <f>F197+F221</f>
        <v>5.0200000000000002E-2</v>
      </c>
      <c r="G248">
        <f>G197+G221</f>
        <v>4.07E-2</v>
      </c>
      <c r="H248">
        <f>H197+H221</f>
        <v>6.4500000000000002E-2</v>
      </c>
      <c r="I248">
        <f>I197+I221</f>
        <v>5.3000000000000005E-2</v>
      </c>
      <c r="J248">
        <f>J197+J221</f>
        <v>4.4399999999999995E-2</v>
      </c>
      <c r="K248">
        <f>K197+K221</f>
        <v>3.3490000000000006E-2</v>
      </c>
      <c r="L248">
        <f>L197+L221</f>
        <v>3.2899999999999999E-2</v>
      </c>
      <c r="M248">
        <f>M197+M221</f>
        <v>2.794E-2</v>
      </c>
      <c r="N248">
        <f>N197+N221</f>
        <v>2.2540000000000001E-2</v>
      </c>
      <c r="O248">
        <f>O197+O221</f>
        <v>1.0319999999999999E-2</v>
      </c>
      <c r="P248">
        <f>P197+P221</f>
        <v>2.3089999999999999E-2</v>
      </c>
      <c r="Q248">
        <f>Q197+Q221</f>
        <v>7.8799999999999999E-3</v>
      </c>
      <c r="R248">
        <f>R197+R221</f>
        <v>8.9300000000000004E-3</v>
      </c>
      <c r="S248">
        <f>S197+S221</f>
        <v>1.231E-2</v>
      </c>
      <c r="T248">
        <f>T197+T221</f>
        <v>2.7959999999999999E-3</v>
      </c>
      <c r="U248">
        <f>U197+U221</f>
        <v>8.3800000000000003E-3</v>
      </c>
      <c r="V248">
        <f>V197+V221</f>
        <v>6.0099999999999997E-3</v>
      </c>
      <c r="W248">
        <f>W197+W221</f>
        <v>5.3800000000000002E-3</v>
      </c>
      <c r="X248">
        <f>X197+X221</f>
        <v>6.6E-3</v>
      </c>
      <c r="Y248">
        <f>Y197+Y221</f>
        <v>3.4679999999999997E-3</v>
      </c>
      <c r="Z248">
        <f>Z197+Z221</f>
        <v>1.4299999999999998E-3</v>
      </c>
      <c r="AA248">
        <f>AA197+AA221</f>
        <v>-1.9600000000000004E-3</v>
      </c>
      <c r="AB248">
        <f>AB197+AB221</f>
        <v>7.6699999999999997E-3</v>
      </c>
      <c r="AC248">
        <f>AC197+AC221</f>
        <v>2.1000000000000012E-4</v>
      </c>
      <c r="AD248">
        <f>AD197+AD221</f>
        <v>2.3340000000000001E-3</v>
      </c>
      <c r="AE248">
        <f>AE197+AE221</f>
        <v>9.5999999999999992E-4</v>
      </c>
      <c r="AF248">
        <f>AF197+AF221</f>
        <v>7.6899999999999998E-3</v>
      </c>
      <c r="AG248">
        <f>AG197+AG221</f>
        <v>9.8200000000000006E-3</v>
      </c>
      <c r="AH248">
        <f>AH197+AH221</f>
        <v>8.6700000000000006E-3</v>
      </c>
      <c r="AI248">
        <f>AI197+AI221</f>
        <v>4.0899999999999999E-3</v>
      </c>
      <c r="AJ248">
        <f>AJ197+AJ221</f>
        <v>7.1999999999999998E-3</v>
      </c>
      <c r="AK248">
        <f>AK197+AK221</f>
        <v>3.3470000000000001E-3</v>
      </c>
      <c r="AL248">
        <f>AL197+AL221</f>
        <v>5.8799999999999998E-3</v>
      </c>
      <c r="AM248">
        <f>AM197+AM221</f>
        <v>6.1200000000000004E-3</v>
      </c>
      <c r="AN248">
        <f>AN197+AN221</f>
        <v>2.0799999999999998E-3</v>
      </c>
      <c r="AO248">
        <f>AO197+AO221</f>
        <v>1.5499999999999999E-3</v>
      </c>
      <c r="AP248">
        <f>AP197+AP221</f>
        <v>7.6E-3</v>
      </c>
      <c r="AQ248">
        <f>AQ197+AQ221</f>
        <v>6.0899999999999999E-3</v>
      </c>
      <c r="AR248">
        <f>AR197+AR221</f>
        <v>7.4699999999999992E-3</v>
      </c>
      <c r="AS248">
        <f>AS197+AS221</f>
        <v>3.2695000000000003E-3</v>
      </c>
      <c r="AT248">
        <f>AT197+AT221</f>
        <v>2.7929999999999999E-3</v>
      </c>
      <c r="AU248">
        <f>AU197+AU221</f>
        <v>1.8599999999999999E-3</v>
      </c>
      <c r="AV248">
        <f>AV197+AV221</f>
        <v>3.761E-3</v>
      </c>
      <c r="AW248">
        <f>AW197+AW221</f>
        <v>3.7720000000000002E-3</v>
      </c>
      <c r="AX248">
        <f>AX197+AX221</f>
        <v>2.516E-3</v>
      </c>
      <c r="AY248">
        <f>AY197+AY221</f>
        <v>4.0600000000000002E-3</v>
      </c>
      <c r="AZ248">
        <f>AZ197+AZ221</f>
        <v>7.5300000000000002E-3</v>
      </c>
      <c r="BA248">
        <f>BA197+BA221</f>
        <v>4.5699999999999994E-3</v>
      </c>
      <c r="BB248">
        <f>BB197+BB221</f>
        <v>5.0499999999999998E-3</v>
      </c>
      <c r="BC248">
        <f>BC197+BC221</f>
        <v>3.1002999999999998E-3</v>
      </c>
      <c r="BD248">
        <f>BD197+BD221</f>
        <v>3.7190000000000001E-3</v>
      </c>
      <c r="BE248">
        <f>BE197+BE221</f>
        <v>4.0759999999999998E-3</v>
      </c>
      <c r="BF248">
        <f>BF197+BF221</f>
        <v>5.7299999999999999E-3</v>
      </c>
      <c r="BG248">
        <f>BG197+BG221</f>
        <v>4.9800000000000001E-3</v>
      </c>
      <c r="BH248">
        <f>BH197+BH221</f>
        <v>4.4000000000000003E-3</v>
      </c>
      <c r="BI248">
        <f>BI197+BI221</f>
        <v>4.7000000000000002E-3</v>
      </c>
      <c r="BJ248">
        <f>BJ197+BJ221</f>
        <v>5.9000000000000025E-4</v>
      </c>
      <c r="BK248">
        <f>BK197+BK221</f>
        <v>1.0869999999999999E-2</v>
      </c>
      <c r="BL248">
        <f>BL197+BL221</f>
        <v>3.8600000000000001E-3</v>
      </c>
      <c r="BM248">
        <f>BM197+BM221</f>
        <v>6.5699999999999995E-3</v>
      </c>
      <c r="BN248">
        <f>BN197+BN221</f>
        <v>8.1099999999999992E-3</v>
      </c>
      <c r="BO248">
        <f>BO197+BO221</f>
        <v>9.6900000000000007E-3</v>
      </c>
      <c r="BP248">
        <f>BP197+BP221</f>
        <v>8.660000000000001E-3</v>
      </c>
      <c r="BQ248">
        <f>BQ197+BQ221</f>
        <v>4.1700000000000001E-3</v>
      </c>
      <c r="BR248">
        <f>BR197+BR221</f>
        <v>-6.2799999999999991E-3</v>
      </c>
      <c r="BS248">
        <f>BS197+BS221</f>
        <v>-2.6000000000000025E-4</v>
      </c>
      <c r="BT248">
        <f>BT197+BT221</f>
        <v>7.9500000000000005E-3</v>
      </c>
      <c r="BU248">
        <f>BU197+BU221</f>
        <v>8.2899999999999988E-3</v>
      </c>
      <c r="BV248">
        <f>BV197+BV221</f>
        <v>6.579999999999999E-3</v>
      </c>
      <c r="BW248">
        <f>BW197+BW221</f>
        <v>5.0200000000000002E-3</v>
      </c>
      <c r="BX248">
        <f>BX197+BX221</f>
        <v>0.01</v>
      </c>
      <c r="BY248">
        <f>BY197+BY221</f>
        <v>7.6899999999999998E-3</v>
      </c>
      <c r="BZ248">
        <f>BZ197+BZ221</f>
        <v>3.0050000000000003E-3</v>
      </c>
      <c r="CA248">
        <f>CA197+CA221</f>
        <v>5.1900000000000002E-3</v>
      </c>
      <c r="CB248">
        <f>CB197+CB221</f>
        <v>1.2620000000000001E-2</v>
      </c>
      <c r="CC248">
        <f>CC197+CC221</f>
        <v>9.0100000000000006E-3</v>
      </c>
      <c r="CD248">
        <f>CD197+CD221</f>
        <v>1.4450000000000001E-2</v>
      </c>
      <c r="CE248">
        <f>CE197+CE221</f>
        <v>1.473E-2</v>
      </c>
      <c r="CF248">
        <f>CF197+CF221</f>
        <v>1.1900000000000001E-3</v>
      </c>
      <c r="CG248">
        <f>CG197+CG221</f>
        <v>1.384E-2</v>
      </c>
      <c r="CH248">
        <f>CH197+CH221</f>
        <v>1.0449999999999999E-2</v>
      </c>
      <c r="CI248">
        <f>CI197+CI221</f>
        <v>1.7520000000000001E-2</v>
      </c>
      <c r="CJ248">
        <f>CJ197+CJ221</f>
        <v>1.1480000000000001E-2</v>
      </c>
      <c r="CK248">
        <f>CK197+CK221</f>
        <v>1.9049999999999997E-2</v>
      </c>
      <c r="CL248">
        <f>CL197+CL221</f>
        <v>1.545E-2</v>
      </c>
      <c r="CM248">
        <f>CM197+CM221</f>
        <v>1.78E-2</v>
      </c>
      <c r="CN248">
        <f>CN197+CN221</f>
        <v>1.8350000000000002E-2</v>
      </c>
      <c r="CO248">
        <f>CO197+CO221</f>
        <v>1.694E-2</v>
      </c>
      <c r="CP248">
        <f>CP197+CP221</f>
        <v>1.6629999999999999E-2</v>
      </c>
      <c r="CQ248">
        <f>CQ197+CQ221</f>
        <v>2.8080000000000001E-2</v>
      </c>
      <c r="CR248">
        <f>CR197+CR221</f>
        <v>3.1530000000000002E-2</v>
      </c>
      <c r="CS248">
        <f>CS197+CS221</f>
        <v>2.1940000000000001E-2</v>
      </c>
      <c r="CT248">
        <f>CT197+CT221</f>
        <v>4.2459999999999998E-2</v>
      </c>
      <c r="CU248">
        <f>CU197+CU221</f>
        <v>3.7905999999999995E-2</v>
      </c>
      <c r="CV248">
        <f>CV197+CV221</f>
        <v>3.9333E-2</v>
      </c>
      <c r="CW248">
        <f>CW197+CW221</f>
        <v>4.0184999999999998E-2</v>
      </c>
      <c r="CX248">
        <f>CX197+CX221</f>
        <v>4.2647000000000004E-2</v>
      </c>
    </row>
    <row r="249" spans="1:102" x14ac:dyDescent="0.2">
      <c r="A249" t="s">
        <v>215</v>
      </c>
      <c r="B249" t="s">
        <v>220</v>
      </c>
      <c r="C249" t="s">
        <v>222</v>
      </c>
      <c r="D249">
        <f>D198+D222</f>
        <v>-1.8200000000000004E-2</v>
      </c>
      <c r="E249">
        <f>E198+E222</f>
        <v>-2.7299999999999998E-2</v>
      </c>
      <c r="F249">
        <f>F198+F222</f>
        <v>-2.5100000000000001E-2</v>
      </c>
      <c r="G249">
        <f>G198+G222</f>
        <v>-6.0999999999999999E-2</v>
      </c>
      <c r="H249">
        <f>H198+H222</f>
        <v>-4.2000000000000023E-3</v>
      </c>
      <c r="I249">
        <f>I198+I222</f>
        <v>-2.0999999999999977E-3</v>
      </c>
      <c r="J249">
        <f>J198+J222</f>
        <v>-2.7400000000000001E-2</v>
      </c>
      <c r="K249">
        <f>K198+K222</f>
        <v>-2.75E-2</v>
      </c>
      <c r="L249">
        <f>L198+L222</f>
        <v>-2.9599999999999998E-2</v>
      </c>
      <c r="M249">
        <f>M198+M222</f>
        <v>-1.9200000000000002E-2</v>
      </c>
      <c r="N249">
        <f>N198+N222</f>
        <v>-6.4999999999999988E-3</v>
      </c>
      <c r="O249">
        <f>O198+O222</f>
        <v>-1.0999999999999999E-2</v>
      </c>
      <c r="P249">
        <f>P198+P222</f>
        <v>1.9000000000000006E-3</v>
      </c>
      <c r="Q249">
        <f>Q198+Q222</f>
        <v>3.8300000000000009E-3</v>
      </c>
      <c r="R249">
        <f>R198+R222</f>
        <v>9.7900000000000001E-3</v>
      </c>
      <c r="S249">
        <f>S198+S222</f>
        <v>7.1869999999999998E-3</v>
      </c>
      <c r="T249">
        <f>T198+T222</f>
        <v>9.1800000000000007E-3</v>
      </c>
      <c r="U249">
        <f>U198+U222</f>
        <v>5.5100000000000001E-3</v>
      </c>
      <c r="V249">
        <f>V198+V222</f>
        <v>5.9360000000000003E-3</v>
      </c>
      <c r="W249">
        <f>W198+W222</f>
        <v>3.2799999999999999E-3</v>
      </c>
      <c r="X249">
        <f>X198+X222</f>
        <v>3.2800000000000004E-3</v>
      </c>
      <c r="Y249">
        <f>Y198+Y222</f>
        <v>1.9699999999999995E-3</v>
      </c>
      <c r="Z249">
        <f>Z198+Z222</f>
        <v>5.8539999999999998E-3</v>
      </c>
      <c r="AA249">
        <f>AA198+AA222</f>
        <v>4.8850000000000005E-3</v>
      </c>
      <c r="AB249">
        <f>AB198+AB222</f>
        <v>5.9789999999999999E-3</v>
      </c>
      <c r="AC249">
        <f>AC198+AC222</f>
        <v>5.8810000000000008E-3</v>
      </c>
      <c r="AD249">
        <f>AD198+AD222</f>
        <v>7.6600000000000001E-3</v>
      </c>
      <c r="AE249">
        <f>AE198+AE222</f>
        <v>8.7600000000000004E-3</v>
      </c>
      <c r="AF249">
        <f>AF198+AF222</f>
        <v>6.9199999999999991E-3</v>
      </c>
      <c r="AG249">
        <f>AG198+AG222</f>
        <v>7.2399999999999999E-3</v>
      </c>
      <c r="AH249">
        <f>AH198+AH222</f>
        <v>7.9799999999999992E-3</v>
      </c>
      <c r="AI249">
        <f>AI198+AI222</f>
        <v>7.5799999999999999E-3</v>
      </c>
      <c r="AJ249">
        <f>AJ198+AJ222</f>
        <v>6.4100000000000008E-3</v>
      </c>
      <c r="AK249">
        <f>AK198+AK222</f>
        <v>9.4799999999999988E-3</v>
      </c>
      <c r="AL249">
        <f>AL198+AL222</f>
        <v>8.4700000000000001E-3</v>
      </c>
      <c r="AM249">
        <f>AM198+AM222</f>
        <v>7.4700000000000001E-3</v>
      </c>
      <c r="AN249">
        <f>AN198+AN222</f>
        <v>5.77E-3</v>
      </c>
      <c r="AO249">
        <f>AO198+AO222</f>
        <v>7.5300000000000002E-3</v>
      </c>
      <c r="AP249">
        <f>AP198+AP222</f>
        <v>7.1500000000000001E-3</v>
      </c>
      <c r="AQ249">
        <f>AQ198+AQ222</f>
        <v>8.4399999999999996E-3</v>
      </c>
      <c r="AR249">
        <f>AR198+AR222</f>
        <v>1.3100000000000001E-2</v>
      </c>
      <c r="AS249">
        <f>AS198+AS222</f>
        <v>7.4000000000000003E-3</v>
      </c>
      <c r="AT249">
        <f>AT198+AT222</f>
        <v>8.150000000000001E-3</v>
      </c>
      <c r="AU249">
        <f>AU198+AU222</f>
        <v>9.7999999999999997E-3</v>
      </c>
      <c r="AV249">
        <f>AV198+AV222</f>
        <v>1.155E-2</v>
      </c>
      <c r="AW249">
        <f>AW198+AW222</f>
        <v>1.133E-2</v>
      </c>
      <c r="AX249">
        <f>AX198+AX222</f>
        <v>8.4599999999999988E-3</v>
      </c>
      <c r="AY249">
        <f>AY198+AY222</f>
        <v>8.8699999999999994E-3</v>
      </c>
      <c r="AZ249">
        <f>AZ198+AZ222</f>
        <v>6.7600000000000004E-3</v>
      </c>
      <c r="BA249">
        <f>BA198+BA222</f>
        <v>3.7009999999999999E-3</v>
      </c>
      <c r="BB249">
        <f>BB198+BB222</f>
        <v>1.7299999999999998E-3</v>
      </c>
      <c r="BC249">
        <f>BC198+BC222</f>
        <v>2.0299999999999997E-3</v>
      </c>
      <c r="BD249">
        <f>BD198+BD222</f>
        <v>3.2699999999999999E-3</v>
      </c>
      <c r="BE249">
        <f>BE198+BE222</f>
        <v>3.7999999999999996E-3</v>
      </c>
      <c r="BF249">
        <f>BF198+BF222</f>
        <v>4.241E-3</v>
      </c>
      <c r="BG249">
        <f>BG198+BG222</f>
        <v>5.1879999999999999E-3</v>
      </c>
      <c r="BH249">
        <f>BH198+BH222</f>
        <v>5.2630000000000003E-3</v>
      </c>
      <c r="BI249">
        <f>BI198+BI222</f>
        <v>-9.1999999999999981E-4</v>
      </c>
      <c r="BJ249">
        <f>BJ198+BJ222</f>
        <v>-2.1700000000000001E-3</v>
      </c>
      <c r="BK249">
        <f>BK198+BK222</f>
        <v>-1.2999999999999991E-4</v>
      </c>
      <c r="BL249">
        <f>BL198+BL222</f>
        <v>8.1999999999999998E-4</v>
      </c>
      <c r="BM249">
        <f>BM198+BM222</f>
        <v>1.6599999999999996E-3</v>
      </c>
      <c r="BN249">
        <f>BN198+BN222</f>
        <v>-7.3000000000000061E-4</v>
      </c>
      <c r="BO249">
        <f>BO198+BO222</f>
        <v>-5.1800000000000006E-3</v>
      </c>
      <c r="BP249">
        <f>BP198+BP222</f>
        <v>-4.5999999999999999E-3</v>
      </c>
      <c r="BQ249">
        <f>BQ198+BQ222</f>
        <v>-4.0400000000000002E-3</v>
      </c>
      <c r="BR249">
        <f>BR198+BR222</f>
        <v>-4.0100000000000005E-3</v>
      </c>
      <c r="BS249">
        <f>BS198+BS222</f>
        <v>-1.5300000000000001E-3</v>
      </c>
      <c r="BT249">
        <f>BT198+BT222</f>
        <v>2.2100000000000002E-3</v>
      </c>
      <c r="BU249">
        <f>BU198+BU222</f>
        <v>1.34E-3</v>
      </c>
      <c r="BV249">
        <f>BV198+BV222</f>
        <v>-4.4999999999999988E-4</v>
      </c>
      <c r="BW249">
        <f>BW198+BW222</f>
        <v>-7.8000000000000031E-4</v>
      </c>
      <c r="BX249">
        <f>BX198+BX222</f>
        <v>-5.9299999999999995E-3</v>
      </c>
      <c r="BY249">
        <f>BY198+BY222</f>
        <v>-6.6399999999999992E-3</v>
      </c>
      <c r="BZ249">
        <f>BZ198+BZ222</f>
        <v>-7.7299999999999999E-3</v>
      </c>
      <c r="CA249">
        <f>CA198+CA222</f>
        <v>5.5100000000000001E-3</v>
      </c>
      <c r="CB249">
        <f>CB198+CB222</f>
        <v>7.2200000000000007E-3</v>
      </c>
      <c r="CC249">
        <f>CC198+CC222</f>
        <v>1.1050000000000001E-2</v>
      </c>
      <c r="CD249">
        <f>CD198+CD222</f>
        <v>1.0409999999999999E-2</v>
      </c>
      <c r="CE249">
        <f>CE198+CE222</f>
        <v>1.08185E-2</v>
      </c>
      <c r="CF249">
        <f>CF198+CF222</f>
        <v>1.021E-2</v>
      </c>
      <c r="CG249">
        <f>CG198+CG222</f>
        <v>8.5649999999999997E-3</v>
      </c>
      <c r="CH249">
        <f t="shared" ref="CH249:CX249" si="43">CH198+CH222</f>
        <v>6.7359999999999998E-3</v>
      </c>
      <c r="CI249">
        <f t="shared" si="43"/>
        <v>8.2410000000000001E-3</v>
      </c>
      <c r="CJ249">
        <f t="shared" si="43"/>
        <v>1.299E-2</v>
      </c>
      <c r="CK249">
        <f t="shared" si="43"/>
        <v>1.814E-2</v>
      </c>
      <c r="CL249">
        <f t="shared" si="43"/>
        <v>1.2900000000000002E-2</v>
      </c>
      <c r="CM249">
        <f t="shared" si="43"/>
        <v>2.5699999999999994E-3</v>
      </c>
      <c r="CN249">
        <f t="shared" si="43"/>
        <v>-9.6999999999999951E-4</v>
      </c>
      <c r="CO249">
        <f t="shared" si="43"/>
        <v>-9.7000000000000003E-3</v>
      </c>
      <c r="CP249">
        <f t="shared" si="43"/>
        <v>-7.980000000000001E-3</v>
      </c>
      <c r="CQ249">
        <f t="shared" si="43"/>
        <v>-6.7499999999999999E-3</v>
      </c>
      <c r="CR249">
        <f t="shared" si="43"/>
        <v>-2.18E-2</v>
      </c>
      <c r="CS249">
        <f t="shared" si="43"/>
        <v>-1.7680000000000001E-2</v>
      </c>
      <c r="CT249">
        <f t="shared" si="43"/>
        <v>-1.95E-2</v>
      </c>
      <c r="CU249">
        <f t="shared" si="43"/>
        <v>-1.8079999999999999E-2</v>
      </c>
      <c r="CV249">
        <f t="shared" si="43"/>
        <v>-1.013E-2</v>
      </c>
      <c r="CW249">
        <f t="shared" si="43"/>
        <v>-1.881E-2</v>
      </c>
      <c r="CX249">
        <f t="shared" si="43"/>
        <v>-2.179E-2</v>
      </c>
    </row>
    <row r="250" spans="1:102" x14ac:dyDescent="0.2">
      <c r="A250" t="s">
        <v>216</v>
      </c>
      <c r="B250" t="s">
        <v>220</v>
      </c>
      <c r="C250" t="s">
        <v>222</v>
      </c>
      <c r="D250">
        <f>D223</f>
        <v>0.22700000000000001</v>
      </c>
      <c r="E250">
        <f t="shared" ref="E250:BP250" si="44">E223</f>
        <v>-0.33300000000000002</v>
      </c>
      <c r="F250">
        <f t="shared" si="44"/>
        <v>-0.68</v>
      </c>
      <c r="G250">
        <f t="shared" si="44"/>
        <v>0.36099999999999999</v>
      </c>
      <c r="H250">
        <f t="shared" si="44"/>
        <v>-0.93</v>
      </c>
      <c r="I250">
        <f t="shared" si="44"/>
        <v>-7.22E-2</v>
      </c>
      <c r="J250">
        <f t="shared" si="44"/>
        <v>-0.375</v>
      </c>
      <c r="K250">
        <f t="shared" si="44"/>
        <v>-0.27</v>
      </c>
      <c r="L250">
        <f t="shared" si="44"/>
        <v>-2.4899999999999999E-2</v>
      </c>
      <c r="M250">
        <f t="shared" si="44"/>
        <v>-0.53100000000000003</v>
      </c>
      <c r="N250">
        <f t="shared" si="44"/>
        <v>-0.43099999999999999</v>
      </c>
      <c r="O250">
        <f t="shared" si="44"/>
        <v>0.183</v>
      </c>
      <c r="P250">
        <f t="shared" si="44"/>
        <v>-4.3400000000000001E-2</v>
      </c>
      <c r="Q250">
        <f t="shared" si="44"/>
        <v>-4.7100000000000003E-2</v>
      </c>
      <c r="R250">
        <f t="shared" si="44"/>
        <v>-0.112</v>
      </c>
      <c r="S250">
        <f t="shared" si="44"/>
        <v>-8.6499999999999994E-2</v>
      </c>
      <c r="T250">
        <f t="shared" si="44"/>
        <v>4.6699999999999998E-2</v>
      </c>
      <c r="U250">
        <f t="shared" si="44"/>
        <v>8.4599999999999995E-2</v>
      </c>
      <c r="V250">
        <f t="shared" si="44"/>
        <v>0.13100000000000001</v>
      </c>
      <c r="W250">
        <f t="shared" si="44"/>
        <v>0.11899999999999999</v>
      </c>
      <c r="X250">
        <f t="shared" si="44"/>
        <v>9.7600000000000006E-2</v>
      </c>
      <c r="Y250">
        <f t="shared" si="44"/>
        <v>0.19700000000000001</v>
      </c>
      <c r="Z250">
        <f t="shared" si="44"/>
        <v>0.17799999999999999</v>
      </c>
      <c r="AA250">
        <f t="shared" si="44"/>
        <v>0.13100000000000001</v>
      </c>
      <c r="AB250">
        <f t="shared" si="44"/>
        <v>8.7599999999999997E-2</v>
      </c>
      <c r="AC250">
        <f t="shared" si="44"/>
        <v>6.2600000000000003E-2</v>
      </c>
      <c r="AD250">
        <f t="shared" si="44"/>
        <v>5.3600000000000002E-2</v>
      </c>
      <c r="AE250">
        <f t="shared" si="44"/>
        <v>3.49E-2</v>
      </c>
      <c r="AF250">
        <f t="shared" si="44"/>
        <v>2.2499999999999999E-2</v>
      </c>
      <c r="AG250">
        <f t="shared" si="44"/>
        <v>1.5800000000000002E-2</v>
      </c>
      <c r="AH250">
        <f t="shared" si="44"/>
        <v>-2.02E-4</v>
      </c>
      <c r="AI250">
        <f t="shared" si="44"/>
        <v>-8.1600000000000006E-3</v>
      </c>
      <c r="AJ250">
        <f t="shared" si="44"/>
        <v>-2.6599999999999999E-2</v>
      </c>
      <c r="AK250">
        <f t="shared" si="44"/>
        <v>-4.3799999999999999E-2</v>
      </c>
      <c r="AL250">
        <f t="shared" si="44"/>
        <v>-5.8000000000000003E-2</v>
      </c>
      <c r="AM250">
        <f t="shared" si="44"/>
        <v>-5.5800000000000002E-2</v>
      </c>
      <c r="AN250">
        <f t="shared" si="44"/>
        <v>-4.3999999999999997E-2</v>
      </c>
      <c r="AO250">
        <f t="shared" si="44"/>
        <v>-4.6100000000000002E-2</v>
      </c>
      <c r="AP250">
        <f t="shared" si="44"/>
        <v>-6.2100000000000002E-2</v>
      </c>
      <c r="AQ250">
        <f t="shared" si="44"/>
        <v>-4.5699999999999998E-2</v>
      </c>
      <c r="AR250">
        <f t="shared" si="44"/>
        <v>-4.7899999999999998E-2</v>
      </c>
      <c r="AS250">
        <f t="shared" si="44"/>
        <v>-7.0699999999999999E-3</v>
      </c>
      <c r="AT250">
        <f t="shared" si="44"/>
        <v>-8.5800000000000008E-3</v>
      </c>
      <c r="AU250">
        <f t="shared" si="44"/>
        <v>-3.6800000000000001E-3</v>
      </c>
      <c r="AV250">
        <f t="shared" si="44"/>
        <v>-4.2299999999999997E-2</v>
      </c>
      <c r="AW250">
        <f t="shared" si="44"/>
        <v>-4.7699999999999999E-2</v>
      </c>
      <c r="AX250">
        <f t="shared" si="44"/>
        <v>-5.0799999999999998E-2</v>
      </c>
      <c r="AY250">
        <f t="shared" si="44"/>
        <v>-1.1299999999999999E-2</v>
      </c>
      <c r="AZ250">
        <f t="shared" si="44"/>
        <v>-1.49E-2</v>
      </c>
      <c r="BA250">
        <f t="shared" si="44"/>
        <v>1.5299999999999999E-2</v>
      </c>
      <c r="BB250">
        <f t="shared" si="44"/>
        <v>2.9100000000000001E-2</v>
      </c>
      <c r="BC250">
        <f t="shared" si="44"/>
        <v>5.8099999999999999E-2</v>
      </c>
      <c r="BD250">
        <f t="shared" si="44"/>
        <v>6.3899999999999998E-2</v>
      </c>
      <c r="BE250">
        <f t="shared" si="44"/>
        <v>7.4300000000000005E-2</v>
      </c>
      <c r="BF250">
        <f t="shared" si="44"/>
        <v>6.9000000000000006E-2</v>
      </c>
      <c r="BG250">
        <f t="shared" si="44"/>
        <v>3.7199999999999997E-2</v>
      </c>
      <c r="BH250">
        <f t="shared" si="44"/>
        <v>-4.1900000000000001E-3</v>
      </c>
      <c r="BI250">
        <f t="shared" si="44"/>
        <v>-3.6299999999999999E-2</v>
      </c>
      <c r="BJ250">
        <f t="shared" si="44"/>
        <v>-5.91E-2</v>
      </c>
      <c r="BK250">
        <f t="shared" si="44"/>
        <v>-6.7199999999999996E-2</v>
      </c>
      <c r="BL250">
        <f t="shared" si="44"/>
        <v>-4.1700000000000001E-2</v>
      </c>
      <c r="BM250">
        <f t="shared" si="44"/>
        <v>-3.0800000000000001E-2</v>
      </c>
      <c r="BN250">
        <f t="shared" si="44"/>
        <v>7.7600000000000004E-3</v>
      </c>
      <c r="BO250">
        <f t="shared" si="44"/>
        <v>0.10100000000000001</v>
      </c>
      <c r="BP250">
        <f t="shared" si="44"/>
        <v>0.183</v>
      </c>
      <c r="BQ250">
        <f t="shared" ref="BQ250:CX250" si="45">BQ223</f>
        <v>0.17699999999999999</v>
      </c>
      <c r="BR250">
        <f t="shared" si="45"/>
        <v>0.13300000000000001</v>
      </c>
      <c r="BS250">
        <f t="shared" si="45"/>
        <v>0.11700000000000001</v>
      </c>
      <c r="BT250">
        <f t="shared" si="45"/>
        <v>0.114</v>
      </c>
      <c r="BU250">
        <f t="shared" si="45"/>
        <v>4.4999999999999998E-2</v>
      </c>
      <c r="BV250">
        <f t="shared" si="45"/>
        <v>-0.111</v>
      </c>
      <c r="BW250">
        <f t="shared" si="45"/>
        <v>-0.16300000000000001</v>
      </c>
      <c r="BX250">
        <f t="shared" si="45"/>
        <v>-0.104</v>
      </c>
      <c r="BY250">
        <f t="shared" si="45"/>
        <v>-3.2500000000000001E-2</v>
      </c>
      <c r="BZ250">
        <f t="shared" si="45"/>
        <v>3.0300000000000001E-3</v>
      </c>
      <c r="CA250">
        <f t="shared" si="45"/>
        <v>-1.0999999999999999E-2</v>
      </c>
      <c r="CB250">
        <f t="shared" si="45"/>
        <v>-6.8199999999999997E-3</v>
      </c>
      <c r="CC250">
        <f t="shared" si="45"/>
        <v>1.38E-2</v>
      </c>
      <c r="CD250">
        <f t="shared" si="45"/>
        <v>9.9400000000000002E-2</v>
      </c>
      <c r="CE250">
        <f t="shared" si="45"/>
        <v>0.188</v>
      </c>
      <c r="CF250">
        <f t="shared" si="45"/>
        <v>0.20899999999999999</v>
      </c>
      <c r="CG250">
        <f t="shared" si="45"/>
        <v>0.126</v>
      </c>
      <c r="CH250">
        <f t="shared" si="45"/>
        <v>-7.5399999999999995E-2</v>
      </c>
      <c r="CI250">
        <f t="shared" si="45"/>
        <v>-0.17100000000000001</v>
      </c>
      <c r="CJ250">
        <f t="shared" si="45"/>
        <v>-0.158</v>
      </c>
      <c r="CK250">
        <f t="shared" si="45"/>
        <v>0.19800000000000001</v>
      </c>
      <c r="CL250">
        <f t="shared" si="45"/>
        <v>0.26100000000000001</v>
      </c>
      <c r="CM250">
        <f t="shared" si="45"/>
        <v>0.20100000000000001</v>
      </c>
      <c r="CN250">
        <f t="shared" si="45"/>
        <v>0.106</v>
      </c>
      <c r="CO250">
        <f t="shared" si="45"/>
        <v>0.11700000000000001</v>
      </c>
      <c r="CP250">
        <f t="shared" si="45"/>
        <v>0.18099999999999999</v>
      </c>
      <c r="CQ250">
        <f t="shared" si="45"/>
        <v>0.28399999999999997</v>
      </c>
      <c r="CR250">
        <f t="shared" si="45"/>
        <v>0.14099999999999999</v>
      </c>
      <c r="CS250">
        <f t="shared" si="45"/>
        <v>4.1599999999999996E-3</v>
      </c>
      <c r="CT250">
        <f t="shared" si="45"/>
        <v>9.4899999999999998E-2</v>
      </c>
      <c r="CU250">
        <f t="shared" si="45"/>
        <v>-8.0199999999999994E-3</v>
      </c>
      <c r="CV250">
        <f t="shared" si="45"/>
        <v>0.34200000000000003</v>
      </c>
      <c r="CW250">
        <f t="shared" si="45"/>
        <v>-7.9399999999999991E-3</v>
      </c>
      <c r="CX250">
        <f t="shared" si="45"/>
        <v>3.6700000000000003E-2</v>
      </c>
    </row>
    <row r="251" spans="1:102" x14ac:dyDescent="0.2">
      <c r="A251" t="s">
        <v>5909</v>
      </c>
      <c r="B251" t="s">
        <v>220</v>
      </c>
      <c r="C251" t="s">
        <v>222</v>
      </c>
      <c r="D251">
        <f>D199+D224</f>
        <v>-0.24249999999999999</v>
      </c>
      <c r="E251">
        <f t="shared" ref="E251:BP265" si="46">E199+E224</f>
        <v>0.16639999999999999</v>
      </c>
      <c r="F251">
        <f t="shared" si="46"/>
        <v>0.51439999999999997</v>
      </c>
      <c r="G251">
        <f t="shared" si="46"/>
        <v>-9.7700000000000009E-2</v>
      </c>
      <c r="H251">
        <f t="shared" si="46"/>
        <v>0.68689999999999996</v>
      </c>
      <c r="I251">
        <f t="shared" si="46"/>
        <v>0.1658</v>
      </c>
      <c r="J251">
        <f t="shared" si="46"/>
        <v>0.35910000000000003</v>
      </c>
      <c r="K251">
        <f t="shared" si="46"/>
        <v>0.27049999999999996</v>
      </c>
      <c r="L251">
        <f t="shared" si="46"/>
        <v>0.13100000000000001</v>
      </c>
      <c r="M251">
        <f t="shared" si="46"/>
        <v>0.38400000000000001</v>
      </c>
      <c r="N251">
        <f t="shared" si="46"/>
        <v>0.30780000000000002</v>
      </c>
      <c r="O251">
        <f t="shared" si="46"/>
        <v>-1.9000000000000059E-3</v>
      </c>
      <c r="P251">
        <f t="shared" si="46"/>
        <v>6.6500000000000004E-2</v>
      </c>
      <c r="Q251">
        <f t="shared" si="46"/>
        <v>6.8099999999999994E-2</v>
      </c>
      <c r="R251">
        <f t="shared" si="46"/>
        <v>0.1003</v>
      </c>
      <c r="S251">
        <f t="shared" si="46"/>
        <v>9.7600000000000006E-2</v>
      </c>
      <c r="T251">
        <f t="shared" si="46"/>
        <v>4.0100000000000004E-2</v>
      </c>
      <c r="U251">
        <f t="shared" si="46"/>
        <v>1.4600000000000002E-2</v>
      </c>
      <c r="V251">
        <f t="shared" si="46"/>
        <v>-1.3899999999999996E-2</v>
      </c>
      <c r="W251">
        <f t="shared" si="46"/>
        <v>-1.3899999999999996E-2</v>
      </c>
      <c r="X251">
        <f t="shared" si="46"/>
        <v>-5.9000000000000025E-3</v>
      </c>
      <c r="Y251">
        <f t="shared" si="46"/>
        <v>-4.2300000000000004E-2</v>
      </c>
      <c r="Z251">
        <f t="shared" si="46"/>
        <v>-3.5499999999999997E-2</v>
      </c>
      <c r="AA251">
        <f t="shared" si="46"/>
        <v>-2.8499999999999998E-2</v>
      </c>
      <c r="AB251">
        <f t="shared" si="46"/>
        <v>-2.3E-2</v>
      </c>
      <c r="AC251">
        <f t="shared" si="46"/>
        <v>-2.0199999999999996E-2</v>
      </c>
      <c r="AD251">
        <f t="shared" si="46"/>
        <v>-1.14E-2</v>
      </c>
      <c r="AE251">
        <f t="shared" si="46"/>
        <v>-3.2999999999999974E-3</v>
      </c>
      <c r="AF251">
        <f t="shared" si="46"/>
        <v>-2.3999999999999994E-3</v>
      </c>
      <c r="AG251">
        <f t="shared" si="46"/>
        <v>-1.799999999999996E-3</v>
      </c>
      <c r="AH251">
        <f t="shared" si="46"/>
        <v>1.1999999999999997E-3</v>
      </c>
      <c r="AI251">
        <f t="shared" si="46"/>
        <v>8.100000000000003E-3</v>
      </c>
      <c r="AJ251">
        <f t="shared" si="46"/>
        <v>1.3699999999999997E-2</v>
      </c>
      <c r="AK251">
        <f t="shared" si="46"/>
        <v>1.7799999999999996E-2</v>
      </c>
      <c r="AL251">
        <f t="shared" si="46"/>
        <v>3.8300000000000001E-2</v>
      </c>
      <c r="AM251">
        <f t="shared" si="46"/>
        <v>4.8100000000000004E-2</v>
      </c>
      <c r="AN251">
        <f t="shared" si="46"/>
        <v>4.1999999999999996E-2</v>
      </c>
      <c r="AO251">
        <f t="shared" si="46"/>
        <v>2.8399999999999995E-2</v>
      </c>
      <c r="AP251">
        <f t="shared" si="46"/>
        <v>1.8200000000000001E-2</v>
      </c>
      <c r="AQ251">
        <f t="shared" si="46"/>
        <v>7.6000000000000095E-3</v>
      </c>
      <c r="AR251">
        <f t="shared" si="46"/>
        <v>5.2999999999999992E-3</v>
      </c>
      <c r="AS251">
        <f t="shared" si="46"/>
        <v>-6.8000000000000005E-3</v>
      </c>
      <c r="AT251">
        <f t="shared" si="46"/>
        <v>-8.0999999999999961E-3</v>
      </c>
      <c r="AU251">
        <f t="shared" si="46"/>
        <v>-7.5000000000000067E-3</v>
      </c>
      <c r="AV251">
        <f t="shared" si="46"/>
        <v>-7.1999999999999981E-3</v>
      </c>
      <c r="AW251">
        <f t="shared" si="46"/>
        <v>-8.9999999999999802E-4</v>
      </c>
      <c r="AX251">
        <f t="shared" si="46"/>
        <v>2.6000000000000051E-3</v>
      </c>
      <c r="AY251">
        <f t="shared" si="46"/>
        <v>-6.3E-3</v>
      </c>
      <c r="AZ251">
        <f t="shared" si="46"/>
        <v>-2.6000000000000051E-3</v>
      </c>
      <c r="BA251">
        <f t="shared" si="46"/>
        <v>-1.1800000000000005E-2</v>
      </c>
      <c r="BB251">
        <f t="shared" si="46"/>
        <v>-1.1900000000000008E-2</v>
      </c>
      <c r="BC251">
        <f t="shared" si="46"/>
        <v>-3.49E-2</v>
      </c>
      <c r="BD251">
        <f t="shared" si="46"/>
        <v>-6.0200000000000004E-2</v>
      </c>
      <c r="BE251">
        <f t="shared" si="46"/>
        <v>-7.6200000000000004E-2</v>
      </c>
      <c r="BF251">
        <f t="shared" si="46"/>
        <v>-5.3800000000000001E-2</v>
      </c>
      <c r="BG251">
        <f t="shared" si="46"/>
        <v>-5.5399999999999991E-2</v>
      </c>
      <c r="BH251">
        <f t="shared" si="46"/>
        <v>-3.8700000000000012E-2</v>
      </c>
      <c r="BI251">
        <f t="shared" si="46"/>
        <v>-1.5500000000000014E-2</v>
      </c>
      <c r="BJ251">
        <f t="shared" si="46"/>
        <v>-4.6000000000000069E-3</v>
      </c>
      <c r="BK251">
        <f t="shared" si="46"/>
        <v>1.7100000000000004E-2</v>
      </c>
      <c r="BL251">
        <f t="shared" si="46"/>
        <v>2.3999999999999994E-2</v>
      </c>
      <c r="BM251">
        <f t="shared" si="46"/>
        <v>0</v>
      </c>
      <c r="BN251">
        <f t="shared" si="46"/>
        <v>-3.040000000000001E-2</v>
      </c>
      <c r="BO251">
        <f t="shared" si="46"/>
        <v>-7.1300000000000002E-2</v>
      </c>
      <c r="BP251">
        <f t="shared" si="46"/>
        <v>-0.1018</v>
      </c>
      <c r="BQ251">
        <f t="shared" ref="BQ251:CX258" si="47">BQ199+BQ224</f>
        <v>-0.11379999999999998</v>
      </c>
      <c r="BR251">
        <f t="shared" si="47"/>
        <v>-0.10950000000000001</v>
      </c>
      <c r="BS251">
        <f t="shared" si="47"/>
        <v>-0.12</v>
      </c>
      <c r="BT251">
        <f t="shared" si="47"/>
        <v>-0.12590000000000001</v>
      </c>
      <c r="BU251">
        <f t="shared" si="47"/>
        <v>-8.7999999999999995E-2</v>
      </c>
      <c r="BV251">
        <f t="shared" si="47"/>
        <v>-4.500000000000004E-3</v>
      </c>
      <c r="BW251">
        <f t="shared" si="47"/>
        <v>2.9599999999999987E-2</v>
      </c>
      <c r="BX251">
        <f t="shared" si="47"/>
        <v>5.2999999999999992E-3</v>
      </c>
      <c r="BY251">
        <f t="shared" si="47"/>
        <v>-4.7600000000000003E-2</v>
      </c>
      <c r="BZ251">
        <f t="shared" si="47"/>
        <v>-6.5500000000000003E-2</v>
      </c>
      <c r="CA251">
        <f t="shared" si="47"/>
        <v>-8.1899999999999973E-2</v>
      </c>
      <c r="CB251">
        <f t="shared" si="47"/>
        <v>-5.8299999999999991E-2</v>
      </c>
      <c r="CC251">
        <f t="shared" si="47"/>
        <v>-9.3499999999999972E-2</v>
      </c>
      <c r="CD251">
        <f t="shared" si="47"/>
        <v>-0.1399</v>
      </c>
      <c r="CE251">
        <f t="shared" si="47"/>
        <v>-0.17880000000000001</v>
      </c>
      <c r="CF251">
        <f t="shared" si="47"/>
        <v>-0.21690000000000001</v>
      </c>
      <c r="CG251">
        <f t="shared" si="47"/>
        <v>-0.19240000000000002</v>
      </c>
      <c r="CH251">
        <f t="shared" si="47"/>
        <v>-6.88E-2</v>
      </c>
      <c r="CI251">
        <f t="shared" si="47"/>
        <v>1.2800000000000006E-2</v>
      </c>
      <c r="CJ251">
        <f t="shared" si="47"/>
        <v>6.5000000000000058E-3</v>
      </c>
      <c r="CK251">
        <f t="shared" si="47"/>
        <v>-0.21310000000000001</v>
      </c>
      <c r="CL251">
        <f t="shared" si="47"/>
        <v>-0.24010000000000001</v>
      </c>
      <c r="CM251">
        <f t="shared" si="47"/>
        <v>-0.23850000000000002</v>
      </c>
      <c r="CN251">
        <f t="shared" si="47"/>
        <v>-0.18480000000000002</v>
      </c>
      <c r="CO251">
        <f t="shared" si="47"/>
        <v>-0.19240000000000002</v>
      </c>
      <c r="CP251">
        <f t="shared" si="47"/>
        <v>-0.20609999999999998</v>
      </c>
      <c r="CQ251">
        <f t="shared" si="47"/>
        <v>-0.32180000000000009</v>
      </c>
      <c r="CR251">
        <f t="shared" si="47"/>
        <v>-0.24440000000000001</v>
      </c>
      <c r="CS251">
        <f t="shared" si="47"/>
        <v>-0.17400000000000002</v>
      </c>
      <c r="CT251">
        <f t="shared" si="47"/>
        <v>-0.24630000000000002</v>
      </c>
      <c r="CU251">
        <f t="shared" si="47"/>
        <v>-0.13059999999999997</v>
      </c>
      <c r="CV251">
        <f t="shared" si="47"/>
        <v>-0.31959999999999994</v>
      </c>
      <c r="CW251">
        <f t="shared" si="47"/>
        <v>-0.21170000000000003</v>
      </c>
      <c r="CX251">
        <f t="shared" si="47"/>
        <v>-0.2172</v>
      </c>
    </row>
    <row r="252" spans="1:102" x14ac:dyDescent="0.2">
      <c r="A252" t="s">
        <v>5910</v>
      </c>
      <c r="B252" t="s">
        <v>220</v>
      </c>
      <c r="C252" t="s">
        <v>222</v>
      </c>
      <c r="D252">
        <f t="shared" ref="D252:BO252" si="48">D200+D225</f>
        <v>0.3916</v>
      </c>
      <c r="E252">
        <f t="shared" si="48"/>
        <v>0.84870000000000001</v>
      </c>
      <c r="F252">
        <f t="shared" si="48"/>
        <v>1.1248</v>
      </c>
      <c r="G252">
        <f t="shared" si="48"/>
        <v>0.29500000000000004</v>
      </c>
      <c r="H252">
        <f t="shared" si="48"/>
        <v>1.1653</v>
      </c>
      <c r="I252">
        <f t="shared" si="48"/>
        <v>0.52410000000000001</v>
      </c>
      <c r="J252">
        <f t="shared" si="48"/>
        <v>0.71340000000000003</v>
      </c>
      <c r="K252">
        <f t="shared" si="48"/>
        <v>0.57699999999999996</v>
      </c>
      <c r="L252">
        <f t="shared" si="48"/>
        <v>0.39810000000000001</v>
      </c>
      <c r="M252">
        <f t="shared" si="48"/>
        <v>0.63189999999999991</v>
      </c>
      <c r="N252">
        <f t="shared" si="48"/>
        <v>0.52849999999999997</v>
      </c>
      <c r="O252">
        <f t="shared" si="48"/>
        <v>0.1532</v>
      </c>
      <c r="P252">
        <f t="shared" si="48"/>
        <v>0.21249999999999999</v>
      </c>
      <c r="Q252">
        <f t="shared" si="48"/>
        <v>0.19550000000000001</v>
      </c>
      <c r="R252">
        <f t="shared" si="48"/>
        <v>0.20979999999999999</v>
      </c>
      <c r="S252">
        <f t="shared" si="48"/>
        <v>0.19550000000000001</v>
      </c>
      <c r="T252">
        <f t="shared" si="48"/>
        <v>0.12529999999999999</v>
      </c>
      <c r="U252">
        <f t="shared" si="48"/>
        <v>9.4299999999999995E-2</v>
      </c>
      <c r="V252">
        <f t="shared" si="48"/>
        <v>5.7399999999999993E-2</v>
      </c>
      <c r="W252">
        <f t="shared" si="48"/>
        <v>5.5E-2</v>
      </c>
      <c r="X252">
        <f t="shared" si="48"/>
        <v>6.0999999999999999E-2</v>
      </c>
      <c r="Y252">
        <f t="shared" si="48"/>
        <v>1.9200000000000002E-2</v>
      </c>
      <c r="Z252">
        <f t="shared" si="48"/>
        <v>2.5900000000000003E-2</v>
      </c>
      <c r="AA252">
        <f t="shared" si="48"/>
        <v>3.2300000000000002E-2</v>
      </c>
      <c r="AB252">
        <f t="shared" si="48"/>
        <v>3.7000000000000005E-2</v>
      </c>
      <c r="AC252">
        <f t="shared" si="48"/>
        <v>3.8800000000000001E-2</v>
      </c>
      <c r="AD252">
        <f t="shared" si="48"/>
        <v>4.7100000000000003E-2</v>
      </c>
      <c r="AE252">
        <f t="shared" si="48"/>
        <v>5.5400000000000005E-2</v>
      </c>
      <c r="AF252">
        <f t="shared" si="48"/>
        <v>5.6599999999999998E-2</v>
      </c>
      <c r="AG252">
        <f t="shared" si="48"/>
        <v>5.79E-2</v>
      </c>
      <c r="AH252">
        <f t="shared" si="48"/>
        <v>6.2799999999999995E-2</v>
      </c>
      <c r="AI252">
        <f t="shared" si="48"/>
        <v>7.0699999999999999E-2</v>
      </c>
      <c r="AJ252">
        <f t="shared" si="48"/>
        <v>7.7299999999999994E-2</v>
      </c>
      <c r="AK252">
        <f t="shared" si="48"/>
        <v>8.3900000000000002E-2</v>
      </c>
      <c r="AL252">
        <f t="shared" si="48"/>
        <v>0.10750000000000001</v>
      </c>
      <c r="AM252">
        <f t="shared" si="48"/>
        <v>0.1174</v>
      </c>
      <c r="AN252">
        <f t="shared" si="48"/>
        <v>0.11200000000000002</v>
      </c>
      <c r="AO252">
        <f t="shared" si="48"/>
        <v>9.9000000000000005E-2</v>
      </c>
      <c r="AP252">
        <f t="shared" si="48"/>
        <v>8.9099999999999999E-2</v>
      </c>
      <c r="AQ252">
        <f t="shared" si="48"/>
        <v>7.9100000000000004E-2</v>
      </c>
      <c r="AR252">
        <f t="shared" si="48"/>
        <v>7.7200000000000005E-2</v>
      </c>
      <c r="AS252">
        <f t="shared" si="48"/>
        <v>6.54E-2</v>
      </c>
      <c r="AT252">
        <f t="shared" si="48"/>
        <v>6.4100000000000004E-2</v>
      </c>
      <c r="AU252">
        <f t="shared" si="48"/>
        <v>6.4600000000000005E-2</v>
      </c>
      <c r="AV252">
        <f t="shared" si="48"/>
        <v>6.4299999999999996E-2</v>
      </c>
      <c r="AW252">
        <f t="shared" si="48"/>
        <v>7.0500000000000007E-2</v>
      </c>
      <c r="AX252">
        <f t="shared" si="48"/>
        <v>7.3999999999999996E-2</v>
      </c>
      <c r="AY252">
        <f t="shared" si="48"/>
        <v>6.5299999999999997E-2</v>
      </c>
      <c r="AZ252">
        <f t="shared" si="48"/>
        <v>6.9500000000000006E-2</v>
      </c>
      <c r="BA252">
        <f t="shared" si="48"/>
        <v>6.1599999999999995E-2</v>
      </c>
      <c r="BB252">
        <f t="shared" si="48"/>
        <v>6.3299999999999995E-2</v>
      </c>
      <c r="BC252">
        <f t="shared" si="48"/>
        <v>4.1599999999999998E-2</v>
      </c>
      <c r="BD252">
        <f t="shared" si="48"/>
        <v>1.7500000000000002E-2</v>
      </c>
      <c r="BE252">
        <f t="shared" si="48"/>
        <v>3.3000000000000113E-3</v>
      </c>
      <c r="BF252">
        <f t="shared" si="48"/>
        <v>2.8399999999999995E-2</v>
      </c>
      <c r="BG252">
        <f t="shared" si="48"/>
        <v>2.5400000000000006E-2</v>
      </c>
      <c r="BH252">
        <f t="shared" si="48"/>
        <v>4.2999999999999997E-2</v>
      </c>
      <c r="BI252">
        <f t="shared" si="48"/>
        <v>6.7000000000000004E-2</v>
      </c>
      <c r="BJ252">
        <f t="shared" si="48"/>
        <v>7.7899999999999997E-2</v>
      </c>
      <c r="BK252">
        <f t="shared" si="48"/>
        <v>0.1011</v>
      </c>
      <c r="BL252">
        <f t="shared" si="48"/>
        <v>0.1076</v>
      </c>
      <c r="BM252">
        <f t="shared" si="48"/>
        <v>8.3999999999999991E-2</v>
      </c>
      <c r="BN252">
        <f t="shared" si="48"/>
        <v>5.3999999999999992E-2</v>
      </c>
      <c r="BO252">
        <f t="shared" si="48"/>
        <v>1.1599999999999999E-2</v>
      </c>
      <c r="BP252">
        <f t="shared" si="46"/>
        <v>-1.9200000000000023E-2</v>
      </c>
      <c r="BQ252">
        <f t="shared" si="47"/>
        <v>-3.0499999999999999E-2</v>
      </c>
      <c r="BR252">
        <f t="shared" si="47"/>
        <v>-2.8999999999999998E-2</v>
      </c>
      <c r="BS252">
        <f t="shared" si="47"/>
        <v>-3.9900000000000019E-2</v>
      </c>
      <c r="BT252">
        <f t="shared" si="47"/>
        <v>-4.7100000000000003E-2</v>
      </c>
      <c r="BU252">
        <f t="shared" si="47"/>
        <v>-3.3999999999999864E-3</v>
      </c>
      <c r="BV252">
        <f t="shared" si="47"/>
        <v>9.3199999999999991E-2</v>
      </c>
      <c r="BW252">
        <f t="shared" si="47"/>
        <v>0.1331</v>
      </c>
      <c r="BX252">
        <f t="shared" si="47"/>
        <v>0.1103</v>
      </c>
      <c r="BY252">
        <f t="shared" si="47"/>
        <v>5.5599999999999983E-2</v>
      </c>
      <c r="BZ252">
        <f t="shared" si="47"/>
        <v>3.5799999999999998E-2</v>
      </c>
      <c r="CA252">
        <f t="shared" si="47"/>
        <v>1.9100000000000006E-2</v>
      </c>
      <c r="CB252">
        <f t="shared" si="47"/>
        <v>4.3800000000000006E-2</v>
      </c>
      <c r="CC252">
        <f t="shared" si="47"/>
        <v>1.1300000000000004E-2</v>
      </c>
      <c r="CD252">
        <f t="shared" si="47"/>
        <v>-3.3000000000000002E-2</v>
      </c>
      <c r="CE252">
        <f t="shared" si="47"/>
        <v>-6.8899999999999989E-2</v>
      </c>
      <c r="CF252">
        <f t="shared" si="47"/>
        <v>-0.1053</v>
      </c>
      <c r="CG252">
        <f t="shared" si="47"/>
        <v>-8.3299999999999985E-2</v>
      </c>
      <c r="CH252">
        <f t="shared" si="47"/>
        <v>3.7099999999999994E-2</v>
      </c>
      <c r="CI252">
        <f t="shared" si="47"/>
        <v>0.12369999999999999</v>
      </c>
      <c r="CJ252">
        <f t="shared" si="47"/>
        <v>0.12659999999999999</v>
      </c>
      <c r="CK252">
        <f t="shared" si="47"/>
        <v>-8.8000000000000023E-2</v>
      </c>
      <c r="CL252">
        <f t="shared" si="47"/>
        <v>-0.11909999999999998</v>
      </c>
      <c r="CM252">
        <f t="shared" si="47"/>
        <v>-0.12140000000000001</v>
      </c>
      <c r="CN252">
        <f t="shared" si="47"/>
        <v>-4.8399999999999999E-2</v>
      </c>
      <c r="CO252">
        <f t="shared" si="47"/>
        <v>-5.2300000000000013E-2</v>
      </c>
      <c r="CP252">
        <f t="shared" si="47"/>
        <v>-7.4299999999999977E-2</v>
      </c>
      <c r="CQ252">
        <f t="shared" si="47"/>
        <v>-0.17720000000000002</v>
      </c>
      <c r="CR252">
        <f t="shared" si="47"/>
        <v>-5.6099999999999983E-2</v>
      </c>
      <c r="CS252">
        <f t="shared" si="47"/>
        <v>1.6899999999999998E-2</v>
      </c>
      <c r="CT252">
        <f t="shared" si="47"/>
        <v>-2.8899999999999981E-2</v>
      </c>
      <c r="CU252">
        <f t="shared" si="47"/>
        <v>7.7499999999999986E-2</v>
      </c>
      <c r="CV252">
        <f t="shared" si="47"/>
        <v>-8.0500000000000016E-2</v>
      </c>
      <c r="CW252">
        <f t="shared" si="47"/>
        <v>0.13739999999999997</v>
      </c>
      <c r="CX252">
        <f t="shared" si="47"/>
        <v>3.8099999999999995E-2</v>
      </c>
    </row>
    <row r="253" spans="1:102" x14ac:dyDescent="0.2">
      <c r="A253" t="s">
        <v>5911</v>
      </c>
      <c r="B253" t="s">
        <v>220</v>
      </c>
      <c r="C253" t="s">
        <v>222</v>
      </c>
      <c r="D253">
        <f t="shared" ref="D253:BO253" si="49">D201+D226</f>
        <v>-0.23269999999999999</v>
      </c>
      <c r="E253">
        <f t="shared" si="49"/>
        <v>-0.19980000000000001</v>
      </c>
      <c r="F253">
        <f t="shared" si="49"/>
        <v>-0.18360000000000001</v>
      </c>
      <c r="G253">
        <f t="shared" si="49"/>
        <v>-0.31120000000000003</v>
      </c>
      <c r="H253">
        <f t="shared" si="49"/>
        <v>-8.4500000000000006E-2</v>
      </c>
      <c r="I253">
        <f t="shared" si="49"/>
        <v>-0.23850000000000002</v>
      </c>
      <c r="J253">
        <f t="shared" si="49"/>
        <v>-0.13699999999999998</v>
      </c>
      <c r="K253">
        <f t="shared" si="49"/>
        <v>-0.12</v>
      </c>
      <c r="L253">
        <f t="shared" si="49"/>
        <v>-0.1482</v>
      </c>
      <c r="M253">
        <f t="shared" si="49"/>
        <v>-2.3300000000000001E-2</v>
      </c>
      <c r="N253">
        <f t="shared" si="49"/>
        <v>7.7000000000000002E-3</v>
      </c>
      <c r="O253">
        <f t="shared" si="49"/>
        <v>-9.9500000000000005E-2</v>
      </c>
      <c r="P253">
        <f t="shared" si="49"/>
        <v>-3.6299999999999999E-2</v>
      </c>
      <c r="Q253">
        <f t="shared" si="49"/>
        <v>-2.5999999999999999E-2</v>
      </c>
      <c r="R253">
        <f t="shared" si="49"/>
        <v>-9.3999999999999986E-3</v>
      </c>
      <c r="S253">
        <f t="shared" si="49"/>
        <v>-7.4000000000000003E-3</v>
      </c>
      <c r="T253">
        <f t="shared" si="49"/>
        <v>-3.4799999999999998E-2</v>
      </c>
      <c r="U253">
        <f t="shared" si="49"/>
        <v>-3.7499999999999999E-2</v>
      </c>
      <c r="V253">
        <f t="shared" si="49"/>
        <v>-4.1599999999999998E-2</v>
      </c>
      <c r="W253">
        <f t="shared" si="49"/>
        <v>-2.8199999999999999E-2</v>
      </c>
      <c r="X253">
        <f t="shared" si="49"/>
        <v>-2.1700000000000001E-2</v>
      </c>
      <c r="Y253">
        <f t="shared" si="49"/>
        <v>-4.6600000000000003E-2</v>
      </c>
      <c r="Z253">
        <f t="shared" si="49"/>
        <v>-4.7699999999999999E-2</v>
      </c>
      <c r="AA253">
        <f t="shared" si="49"/>
        <v>-3.5400000000000001E-2</v>
      </c>
      <c r="AB253">
        <f t="shared" si="49"/>
        <v>-2.6400000000000003E-2</v>
      </c>
      <c r="AC253">
        <f t="shared" si="49"/>
        <v>-1.9699999999999999E-2</v>
      </c>
      <c r="AD253">
        <f t="shared" si="49"/>
        <v>-1.3599999999999999E-2</v>
      </c>
      <c r="AE253">
        <f t="shared" si="49"/>
        <v>-8.8999999999999999E-3</v>
      </c>
      <c r="AF253">
        <f t="shared" si="49"/>
        <v>-5.1000000000000004E-3</v>
      </c>
      <c r="AG253">
        <f t="shared" si="49"/>
        <v>1.1000000000000003E-3</v>
      </c>
      <c r="AH253">
        <f t="shared" si="49"/>
        <v>1.61E-2</v>
      </c>
      <c r="AI253">
        <f t="shared" si="49"/>
        <v>2.2100000000000002E-2</v>
      </c>
      <c r="AJ253">
        <f t="shared" si="49"/>
        <v>3.2600000000000004E-2</v>
      </c>
      <c r="AK253">
        <f t="shared" si="49"/>
        <v>4.1999999999999996E-2</v>
      </c>
      <c r="AL253">
        <f t="shared" si="49"/>
        <v>5.67E-2</v>
      </c>
      <c r="AM253">
        <f t="shared" si="49"/>
        <v>5.6799999999999996E-2</v>
      </c>
      <c r="AN253">
        <f t="shared" si="49"/>
        <v>5.9499999999999997E-2</v>
      </c>
      <c r="AO253">
        <f t="shared" si="49"/>
        <v>5.2499999999999998E-2</v>
      </c>
      <c r="AP253">
        <f t="shared" si="49"/>
        <v>5.3499999999999999E-2</v>
      </c>
      <c r="AQ253">
        <f t="shared" si="49"/>
        <v>5.2199999999999996E-2</v>
      </c>
      <c r="AR253">
        <f t="shared" si="49"/>
        <v>5.2499999999999998E-2</v>
      </c>
      <c r="AS253">
        <f t="shared" si="49"/>
        <v>3.56E-2</v>
      </c>
      <c r="AT253">
        <f t="shared" si="49"/>
        <v>3.6400000000000002E-2</v>
      </c>
      <c r="AU253">
        <f t="shared" si="49"/>
        <v>3.5900000000000001E-2</v>
      </c>
      <c r="AV253">
        <f t="shared" si="49"/>
        <v>4.19E-2</v>
      </c>
      <c r="AW253">
        <f t="shared" si="49"/>
        <v>4.02E-2</v>
      </c>
      <c r="AX253">
        <f t="shared" si="49"/>
        <v>3.6900000000000002E-2</v>
      </c>
      <c r="AY253">
        <f t="shared" si="49"/>
        <v>2.7400000000000001E-2</v>
      </c>
      <c r="AZ253">
        <f t="shared" si="49"/>
        <v>3.3299999999999996E-2</v>
      </c>
      <c r="BA253">
        <f t="shared" si="49"/>
        <v>2.6300000000000004E-2</v>
      </c>
      <c r="BB253">
        <f t="shared" si="49"/>
        <v>3.5900000000000001E-2</v>
      </c>
      <c r="BC253">
        <f t="shared" si="49"/>
        <v>1.1800000000000001E-2</v>
      </c>
      <c r="BD253">
        <f t="shared" si="49"/>
        <v>-7.8000000000000014E-3</v>
      </c>
      <c r="BE253">
        <f t="shared" si="49"/>
        <v>-8.6E-3</v>
      </c>
      <c r="BF253">
        <f t="shared" si="49"/>
        <v>4.2999999999999983E-3</v>
      </c>
      <c r="BG253">
        <f t="shared" si="49"/>
        <v>1.37E-2</v>
      </c>
      <c r="BH253">
        <f t="shared" si="49"/>
        <v>2.9900000000000003E-2</v>
      </c>
      <c r="BI253">
        <f t="shared" si="49"/>
        <v>5.2199999999999996E-2</v>
      </c>
      <c r="BJ253">
        <f t="shared" si="49"/>
        <v>5.3199999999999997E-2</v>
      </c>
      <c r="BK253">
        <f t="shared" si="49"/>
        <v>6.6900000000000001E-2</v>
      </c>
      <c r="BL253">
        <f t="shared" si="49"/>
        <v>7.3599999999999999E-2</v>
      </c>
      <c r="BM253">
        <f t="shared" si="49"/>
        <v>6.4899999999999999E-2</v>
      </c>
      <c r="BN253">
        <f t="shared" si="49"/>
        <v>2.0899999999999998E-2</v>
      </c>
      <c r="BO253">
        <f t="shared" si="49"/>
        <v>-2.0699999999999996E-2</v>
      </c>
      <c r="BP253">
        <f t="shared" si="46"/>
        <v>-4.7400000000000005E-2</v>
      </c>
      <c r="BQ253">
        <f t="shared" si="47"/>
        <v>-5.6599999999999998E-2</v>
      </c>
      <c r="BR253">
        <f t="shared" si="47"/>
        <v>-5.62E-2</v>
      </c>
      <c r="BS253">
        <f t="shared" si="47"/>
        <v>-6.3100000000000003E-2</v>
      </c>
      <c r="BT253">
        <f t="shared" si="47"/>
        <v>-7.0300000000000001E-2</v>
      </c>
      <c r="BU253">
        <f t="shared" si="47"/>
        <v>-2.2099999999999998E-2</v>
      </c>
      <c r="BV253">
        <f t="shared" si="47"/>
        <v>7.980000000000001E-2</v>
      </c>
      <c r="BW253">
        <f t="shared" si="47"/>
        <v>0.11609999999999999</v>
      </c>
      <c r="BX253">
        <f t="shared" si="47"/>
        <v>9.0499999999999997E-2</v>
      </c>
      <c r="BY253">
        <f t="shared" si="47"/>
        <v>5.2900000000000003E-2</v>
      </c>
      <c r="BZ253">
        <f t="shared" si="47"/>
        <v>3.1200000000000002E-2</v>
      </c>
      <c r="CA253">
        <f t="shared" si="47"/>
        <v>1.1399999999999999E-2</v>
      </c>
      <c r="CB253">
        <f t="shared" si="47"/>
        <v>4.3700000000000003E-2</v>
      </c>
      <c r="CC253">
        <f t="shared" si="47"/>
        <v>1.3999999999999999E-2</v>
      </c>
      <c r="CD253">
        <f t="shared" si="47"/>
        <v>-3.9699999999999992E-2</v>
      </c>
      <c r="CE253">
        <f t="shared" si="47"/>
        <v>-6.0900000000000003E-2</v>
      </c>
      <c r="CF253">
        <f t="shared" si="47"/>
        <v>-9.5399999999999999E-2</v>
      </c>
      <c r="CG253">
        <f t="shared" si="47"/>
        <v>-7.1099999999999997E-2</v>
      </c>
      <c r="CH253">
        <f t="shared" si="47"/>
        <v>4.7500000000000001E-2</v>
      </c>
      <c r="CI253">
        <f t="shared" si="47"/>
        <v>0.12609999999999999</v>
      </c>
      <c r="CJ253">
        <f t="shared" si="47"/>
        <v>0.1517</v>
      </c>
      <c r="CK253">
        <f t="shared" si="47"/>
        <v>-7.5899999999999995E-2</v>
      </c>
      <c r="CL253">
        <f t="shared" si="47"/>
        <v>-0.1186</v>
      </c>
      <c r="CM253">
        <f t="shared" si="47"/>
        <v>-0.12259999999999999</v>
      </c>
      <c r="CN253">
        <f t="shared" si="47"/>
        <v>-3.1800000000000002E-2</v>
      </c>
      <c r="CO253">
        <f t="shared" si="47"/>
        <v>-3.4099999999999998E-2</v>
      </c>
      <c r="CP253">
        <f t="shared" si="47"/>
        <v>-6.1399999999999996E-2</v>
      </c>
      <c r="CQ253">
        <f t="shared" si="47"/>
        <v>-0.1744</v>
      </c>
      <c r="CR253">
        <f t="shared" si="47"/>
        <v>-5.0800000000000005E-2</v>
      </c>
      <c r="CS253">
        <f t="shared" si="47"/>
        <v>3.1E-2</v>
      </c>
      <c r="CT253">
        <f t="shared" si="47"/>
        <v>-4.7900000000000005E-2</v>
      </c>
      <c r="CU253">
        <f t="shared" si="47"/>
        <v>3.0099999999999998E-2</v>
      </c>
      <c r="CV253">
        <f t="shared" si="47"/>
        <v>-0.19820000000000002</v>
      </c>
      <c r="CW253">
        <f t="shared" si="47"/>
        <v>-3.27E-2</v>
      </c>
      <c r="CX253">
        <f t="shared" si="47"/>
        <v>-0.12590000000000001</v>
      </c>
    </row>
    <row r="254" spans="1:102" x14ac:dyDescent="0.2">
      <c r="A254" t="s">
        <v>5912</v>
      </c>
      <c r="B254" t="s">
        <v>220</v>
      </c>
      <c r="C254" t="s">
        <v>222</v>
      </c>
      <c r="D254">
        <f t="shared" ref="D254:BO254" si="50">D202+D227</f>
        <v>1.4499999999999999E-2</v>
      </c>
      <c r="E254">
        <f t="shared" si="50"/>
        <v>6.2600000000000003E-2</v>
      </c>
      <c r="F254">
        <f t="shared" si="50"/>
        <v>7.1199999999999999E-2</v>
      </c>
      <c r="G254">
        <f t="shared" si="50"/>
        <v>-0.1328</v>
      </c>
      <c r="H254">
        <f t="shared" si="50"/>
        <v>0.1187</v>
      </c>
      <c r="I254">
        <f t="shared" si="50"/>
        <v>-6.720000000000001E-2</v>
      </c>
      <c r="J254">
        <f t="shared" si="50"/>
        <v>3.5000000000000003E-2</v>
      </c>
      <c r="K254">
        <f t="shared" si="50"/>
        <v>5.5599999999999997E-2</v>
      </c>
      <c r="L254">
        <f t="shared" si="50"/>
        <v>5.899999999999999E-3</v>
      </c>
      <c r="M254">
        <f t="shared" si="50"/>
        <v>0.1221</v>
      </c>
      <c r="N254">
        <f t="shared" si="50"/>
        <v>0.1399</v>
      </c>
      <c r="O254">
        <f t="shared" si="50"/>
        <v>-6.0000000000000019E-3</v>
      </c>
      <c r="P254">
        <f t="shared" si="50"/>
        <v>5.2900000000000003E-2</v>
      </c>
      <c r="Q254">
        <f t="shared" si="50"/>
        <v>5.28E-2</v>
      </c>
      <c r="R254">
        <f t="shared" si="50"/>
        <v>5.8999999999999997E-2</v>
      </c>
      <c r="S254">
        <f t="shared" si="50"/>
        <v>5.4800000000000001E-2</v>
      </c>
      <c r="T254">
        <f t="shared" si="50"/>
        <v>2.0400000000000001E-2</v>
      </c>
      <c r="U254">
        <f t="shared" si="50"/>
        <v>1.4700000000000001E-2</v>
      </c>
      <c r="V254">
        <f t="shared" si="50"/>
        <v>6.0999999999999995E-3</v>
      </c>
      <c r="W254">
        <f t="shared" si="50"/>
        <v>1.9099999999999999E-2</v>
      </c>
      <c r="X254">
        <f t="shared" si="50"/>
        <v>2.4300000000000002E-2</v>
      </c>
      <c r="Y254">
        <f t="shared" si="50"/>
        <v>-3.7000000000000002E-3</v>
      </c>
      <c r="Z254">
        <f t="shared" si="50"/>
        <v>-5.000000000000001E-3</v>
      </c>
      <c r="AA254">
        <f t="shared" si="50"/>
        <v>7.4000000000000003E-3</v>
      </c>
      <c r="AB254">
        <f t="shared" si="50"/>
        <v>1.6199999999999999E-2</v>
      </c>
      <c r="AC254">
        <f t="shared" si="50"/>
        <v>2.24E-2</v>
      </c>
      <c r="AD254">
        <f t="shared" si="50"/>
        <v>2.8499999999999998E-2</v>
      </c>
      <c r="AE254">
        <f t="shared" si="50"/>
        <v>3.3700000000000001E-2</v>
      </c>
      <c r="AF254">
        <f t="shared" si="50"/>
        <v>3.7600000000000001E-2</v>
      </c>
      <c r="AG254">
        <f t="shared" si="50"/>
        <v>4.4399999999999995E-2</v>
      </c>
      <c r="AH254">
        <f t="shared" si="50"/>
        <v>6.0899999999999996E-2</v>
      </c>
      <c r="AI254">
        <f t="shared" si="50"/>
        <v>6.7799999999999999E-2</v>
      </c>
      <c r="AJ254">
        <f t="shared" si="50"/>
        <v>7.8800000000000009E-2</v>
      </c>
      <c r="AK254">
        <f t="shared" si="50"/>
        <v>9.0200000000000002E-2</v>
      </c>
      <c r="AL254">
        <f t="shared" si="50"/>
        <v>0.1071</v>
      </c>
      <c r="AM254">
        <f t="shared" si="50"/>
        <v>0.1081</v>
      </c>
      <c r="AN254">
        <f t="shared" si="50"/>
        <v>0.1114</v>
      </c>
      <c r="AO254">
        <f t="shared" si="50"/>
        <v>0.1052</v>
      </c>
      <c r="AP254">
        <f t="shared" si="50"/>
        <v>0.1065</v>
      </c>
      <c r="AQ254">
        <f t="shared" si="50"/>
        <v>0.1056</v>
      </c>
      <c r="AR254">
        <f t="shared" si="50"/>
        <v>0.10589999999999999</v>
      </c>
      <c r="AS254">
        <f t="shared" si="50"/>
        <v>8.9300000000000004E-2</v>
      </c>
      <c r="AT254">
        <f t="shared" si="50"/>
        <v>0.09</v>
      </c>
      <c r="AU254">
        <f t="shared" si="50"/>
        <v>8.9400000000000007E-2</v>
      </c>
      <c r="AV254">
        <f t="shared" si="50"/>
        <v>9.4899999999999998E-2</v>
      </c>
      <c r="AW254">
        <f t="shared" si="50"/>
        <v>9.3100000000000002E-2</v>
      </c>
      <c r="AX254">
        <f t="shared" si="50"/>
        <v>8.9700000000000002E-2</v>
      </c>
      <c r="AY254">
        <f t="shared" si="50"/>
        <v>8.0399999999999999E-2</v>
      </c>
      <c r="AZ254">
        <f t="shared" si="50"/>
        <v>8.6499999999999994E-2</v>
      </c>
      <c r="BA254">
        <f t="shared" si="50"/>
        <v>8.0299999999999996E-2</v>
      </c>
      <c r="BB254">
        <f t="shared" si="50"/>
        <v>9.0899999999999995E-2</v>
      </c>
      <c r="BC254">
        <f t="shared" si="50"/>
        <v>6.7799999999999999E-2</v>
      </c>
      <c r="BD254">
        <f t="shared" si="50"/>
        <v>4.8800000000000003E-2</v>
      </c>
      <c r="BE254">
        <f t="shared" si="50"/>
        <v>4.9399999999999999E-2</v>
      </c>
      <c r="BF254">
        <f t="shared" si="50"/>
        <v>6.4100000000000004E-2</v>
      </c>
      <c r="BG254">
        <f t="shared" si="50"/>
        <v>7.3099999999999998E-2</v>
      </c>
      <c r="BH254">
        <f t="shared" si="50"/>
        <v>8.9700000000000002E-2</v>
      </c>
      <c r="BI254">
        <f t="shared" si="50"/>
        <v>0.1125</v>
      </c>
      <c r="BJ254">
        <f t="shared" si="50"/>
        <v>0.1134</v>
      </c>
      <c r="BK254">
        <f t="shared" si="50"/>
        <v>0.12759999999999999</v>
      </c>
      <c r="BL254">
        <f t="shared" si="50"/>
        <v>0.1348</v>
      </c>
      <c r="BM254">
        <f t="shared" si="50"/>
        <v>0.1265</v>
      </c>
      <c r="BN254">
        <f t="shared" si="50"/>
        <v>8.2900000000000001E-2</v>
      </c>
      <c r="BO254">
        <f t="shared" si="50"/>
        <v>4.07E-2</v>
      </c>
      <c r="BP254">
        <f t="shared" si="46"/>
        <v>1.38E-2</v>
      </c>
      <c r="BQ254">
        <f t="shared" si="47"/>
        <v>5.1999999999999998E-3</v>
      </c>
      <c r="BR254">
        <f t="shared" si="47"/>
        <v>4.4000000000000011E-3</v>
      </c>
      <c r="BS254">
        <f t="shared" si="47"/>
        <v>-2.700000000000001E-3</v>
      </c>
      <c r="BT254">
        <f t="shared" si="47"/>
        <v>-1.0100000000000001E-2</v>
      </c>
      <c r="BU254">
        <f t="shared" si="47"/>
        <v>4.2099999999999999E-2</v>
      </c>
      <c r="BV254">
        <f t="shared" si="47"/>
        <v>0.15310000000000001</v>
      </c>
      <c r="BW254">
        <f t="shared" si="47"/>
        <v>0.19500000000000001</v>
      </c>
      <c r="BX254">
        <f t="shared" si="47"/>
        <v>0.1699</v>
      </c>
      <c r="BY254">
        <f t="shared" si="47"/>
        <v>0.13070000000000001</v>
      </c>
      <c r="BZ254">
        <f t="shared" si="47"/>
        <v>0.1075</v>
      </c>
      <c r="CA254">
        <f t="shared" si="47"/>
        <v>8.72E-2</v>
      </c>
      <c r="CB254">
        <f t="shared" si="47"/>
        <v>0.12100000000000001</v>
      </c>
      <c r="CC254">
        <f t="shared" si="47"/>
        <v>9.3799999999999994E-2</v>
      </c>
      <c r="CD254">
        <f t="shared" si="47"/>
        <v>4.2000000000000003E-2</v>
      </c>
      <c r="CE254">
        <f t="shared" si="47"/>
        <v>2.2900000000000004E-2</v>
      </c>
      <c r="CF254">
        <f t="shared" si="47"/>
        <v>-1.09E-2</v>
      </c>
      <c r="CG254">
        <f t="shared" si="47"/>
        <v>1.1699999999999999E-2</v>
      </c>
      <c r="CH254">
        <f t="shared" si="47"/>
        <v>0.13389999999999999</v>
      </c>
      <c r="CI254">
        <f t="shared" si="47"/>
        <v>0.21889999999999998</v>
      </c>
      <c r="CJ254">
        <f t="shared" si="47"/>
        <v>0.2515</v>
      </c>
      <c r="CK254">
        <f t="shared" si="47"/>
        <v>2.76E-2</v>
      </c>
      <c r="CL254">
        <f t="shared" si="47"/>
        <v>-1.9099999999999999E-2</v>
      </c>
      <c r="CM254">
        <f t="shared" si="47"/>
        <v>-2.8499999999999998E-2</v>
      </c>
      <c r="CN254">
        <f t="shared" si="47"/>
        <v>7.5800000000000006E-2</v>
      </c>
      <c r="CO254">
        <f t="shared" si="47"/>
        <v>7.4800000000000005E-2</v>
      </c>
      <c r="CP254">
        <f t="shared" si="47"/>
        <v>4.0100000000000004E-2</v>
      </c>
      <c r="CQ254">
        <f t="shared" si="47"/>
        <v>-6.4599999999999991E-2</v>
      </c>
      <c r="CR254">
        <f t="shared" si="47"/>
        <v>8.77E-2</v>
      </c>
      <c r="CS254">
        <f t="shared" si="47"/>
        <v>0.16620000000000001</v>
      </c>
      <c r="CT254">
        <f t="shared" si="47"/>
        <v>0.1036</v>
      </c>
      <c r="CU254">
        <f t="shared" si="47"/>
        <v>0.17020000000000002</v>
      </c>
      <c r="CV254">
        <f t="shared" si="47"/>
        <v>-4.6600000000000003E-2</v>
      </c>
      <c r="CW254">
        <f t="shared" si="47"/>
        <v>0.1641</v>
      </c>
      <c r="CX254">
        <f t="shared" si="47"/>
        <v>7.9799999999999996E-2</v>
      </c>
    </row>
    <row r="255" spans="1:102" x14ac:dyDescent="0.2">
      <c r="A255" t="s">
        <v>5913</v>
      </c>
      <c r="B255" t="s">
        <v>220</v>
      </c>
      <c r="C255" t="s">
        <v>222</v>
      </c>
      <c r="D255">
        <f t="shared" ref="D255:BO255" si="51">D203+D228</f>
        <v>4.48E-2</v>
      </c>
      <c r="E255">
        <f t="shared" si="51"/>
        <v>3.2199999999999999E-2</v>
      </c>
      <c r="F255">
        <f t="shared" si="51"/>
        <v>4.7999999999999987E-3</v>
      </c>
      <c r="G255">
        <f t="shared" si="51"/>
        <v>3.5799999999999998E-2</v>
      </c>
      <c r="H255">
        <f t="shared" si="51"/>
        <v>-3.5400000000000001E-2</v>
      </c>
      <c r="I255">
        <f t="shared" si="51"/>
        <v>8.6E-3</v>
      </c>
      <c r="J255">
        <f t="shared" si="51"/>
        <v>-1.2500000000000001E-2</v>
      </c>
      <c r="K255">
        <f t="shared" si="51"/>
        <v>-1.6E-2</v>
      </c>
      <c r="L255">
        <f t="shared" si="51"/>
        <v>-8.5000000000000006E-3</v>
      </c>
      <c r="M255">
        <f t="shared" si="51"/>
        <v>-3.2800000000000003E-2</v>
      </c>
      <c r="N255">
        <f t="shared" si="51"/>
        <v>-2.8400000000000002E-2</v>
      </c>
      <c r="O255">
        <f t="shared" si="51"/>
        <v>-2.9999999999999996E-3</v>
      </c>
      <c r="P255">
        <f t="shared" si="51"/>
        <v>-1.0499999999999999E-2</v>
      </c>
      <c r="Q255">
        <f t="shared" si="51"/>
        <v>-1.1599999999999999E-2</v>
      </c>
      <c r="R255">
        <f t="shared" si="51"/>
        <v>-1.2799999999999999E-2</v>
      </c>
      <c r="S255">
        <f t="shared" si="51"/>
        <v>-1.17E-2</v>
      </c>
      <c r="T255">
        <f t="shared" si="51"/>
        <v>-5.4000000000000003E-3</v>
      </c>
      <c r="U255">
        <f t="shared" si="51"/>
        <v>-4.7999999999999996E-3</v>
      </c>
      <c r="V255">
        <f t="shared" si="51"/>
        <v>-1.6999999999999999E-3</v>
      </c>
      <c r="W255">
        <f t="shared" si="51"/>
        <v>-3.0000000000000001E-3</v>
      </c>
      <c r="X255">
        <f t="shared" si="51"/>
        <v>-2.5000000000000001E-3</v>
      </c>
      <c r="Y255">
        <f t="shared" si="51"/>
        <v>2.2000000000000001E-3</v>
      </c>
      <c r="Z255">
        <f t="shared" si="51"/>
        <v>1.6999999999999997E-3</v>
      </c>
      <c r="AA255">
        <f t="shared" si="51"/>
        <v>2E-3</v>
      </c>
      <c r="AB255">
        <f t="shared" si="51"/>
        <v>1.2999999999999999E-3</v>
      </c>
      <c r="AC255">
        <f t="shared" si="51"/>
        <v>1.9000000000000002E-3</v>
      </c>
      <c r="AD255">
        <f t="shared" si="51"/>
        <v>2.0999999999999999E-3</v>
      </c>
      <c r="AE255">
        <f t="shared" si="51"/>
        <v>1.4000000000000002E-3</v>
      </c>
      <c r="AF255">
        <f t="shared" si="51"/>
        <v>1E-3</v>
      </c>
      <c r="AG255">
        <f t="shared" si="51"/>
        <v>2.9999999999999992E-4</v>
      </c>
      <c r="AH255">
        <f t="shared" si="51"/>
        <v>2.0000000000000009E-4</v>
      </c>
      <c r="AI255">
        <f t="shared" si="51"/>
        <v>-3.0000000000000035E-4</v>
      </c>
      <c r="AJ255">
        <f t="shared" si="51"/>
        <v>-1.4E-3</v>
      </c>
      <c r="AK255">
        <f t="shared" si="51"/>
        <v>-3.8E-3</v>
      </c>
      <c r="AL255">
        <f t="shared" si="51"/>
        <v>-6.8999999999999999E-3</v>
      </c>
      <c r="AM255">
        <f t="shared" si="51"/>
        <v>-6.6E-3</v>
      </c>
      <c r="AN255">
        <f t="shared" si="51"/>
        <v>-6.2000000000000006E-3</v>
      </c>
      <c r="AO255">
        <f t="shared" si="51"/>
        <v>-4.8999999999999998E-3</v>
      </c>
      <c r="AP255">
        <f t="shared" si="51"/>
        <v>-3.3E-3</v>
      </c>
      <c r="AQ255">
        <f t="shared" si="51"/>
        <v>-7.000000000000001E-4</v>
      </c>
      <c r="AR255">
        <f t="shared" si="51"/>
        <v>2.1000000000000003E-3</v>
      </c>
      <c r="AS255">
        <f t="shared" si="51"/>
        <v>4.4999999999999997E-3</v>
      </c>
      <c r="AT255">
        <f t="shared" si="51"/>
        <v>4.1999999999999989E-3</v>
      </c>
      <c r="AU255">
        <f t="shared" si="51"/>
        <v>4.0000000000000001E-3</v>
      </c>
      <c r="AV255">
        <f t="shared" si="51"/>
        <v>1.8999999999999998E-3</v>
      </c>
      <c r="AW255">
        <f t="shared" si="51"/>
        <v>2.1000000000000003E-3</v>
      </c>
      <c r="AX255">
        <f t="shared" si="51"/>
        <v>1.5000000000000005E-3</v>
      </c>
      <c r="AY255">
        <f t="shared" si="51"/>
        <v>1.8999999999999998E-3</v>
      </c>
      <c r="AZ255">
        <f t="shared" si="51"/>
        <v>-6.0000000000000071E-4</v>
      </c>
      <c r="BA255">
        <f t="shared" si="51"/>
        <v>-2.9999999999999992E-4</v>
      </c>
      <c r="BB255">
        <f t="shared" si="51"/>
        <v>-1.2999999999999999E-3</v>
      </c>
      <c r="BC255">
        <f t="shared" si="51"/>
        <v>3.9000000000000007E-3</v>
      </c>
      <c r="BD255">
        <f t="shared" si="51"/>
        <v>5.1000000000000004E-3</v>
      </c>
      <c r="BE255">
        <f t="shared" si="51"/>
        <v>6.000000000000001E-3</v>
      </c>
      <c r="BF255">
        <f t="shared" si="51"/>
        <v>2.3000000000000008E-3</v>
      </c>
      <c r="BG255">
        <f t="shared" si="51"/>
        <v>8.9999999999999976E-4</v>
      </c>
      <c r="BH255">
        <f t="shared" si="51"/>
        <v>-2.4999999999999996E-3</v>
      </c>
      <c r="BI255">
        <f t="shared" si="51"/>
        <v>-5.3E-3</v>
      </c>
      <c r="BJ255">
        <f t="shared" si="51"/>
        <v>-3.7000000000000002E-3</v>
      </c>
      <c r="BK255">
        <f t="shared" si="51"/>
        <v>-7.6E-3</v>
      </c>
      <c r="BL255">
        <f t="shared" si="51"/>
        <v>-9.4999999999999998E-3</v>
      </c>
      <c r="BM255">
        <f t="shared" si="51"/>
        <v>-4.8999999999999998E-3</v>
      </c>
      <c r="BN255">
        <f t="shared" si="51"/>
        <v>4.000000000000001E-3</v>
      </c>
      <c r="BO255">
        <f t="shared" si="51"/>
        <v>1.03E-2</v>
      </c>
      <c r="BP255">
        <f t="shared" si="46"/>
        <v>1.6800000000000002E-2</v>
      </c>
      <c r="BQ255">
        <f t="shared" si="47"/>
        <v>1.7500000000000002E-2</v>
      </c>
      <c r="BR255">
        <f t="shared" si="47"/>
        <v>1.6500000000000001E-2</v>
      </c>
      <c r="BS255">
        <f t="shared" si="47"/>
        <v>1.5699999999999999E-2</v>
      </c>
      <c r="BT255">
        <f t="shared" si="47"/>
        <v>1.44E-2</v>
      </c>
      <c r="BU255">
        <f t="shared" si="47"/>
        <v>4.8000000000000004E-3</v>
      </c>
      <c r="BV255">
        <f t="shared" si="47"/>
        <v>-1.4200000000000001E-2</v>
      </c>
      <c r="BW255">
        <f t="shared" si="47"/>
        <v>-2.1100000000000001E-2</v>
      </c>
      <c r="BX255">
        <f t="shared" si="47"/>
        <v>-1.6899999999999998E-2</v>
      </c>
      <c r="BY255">
        <f t="shared" si="47"/>
        <v>-5.8000000000000013E-3</v>
      </c>
      <c r="BZ255">
        <f t="shared" si="47"/>
        <v>-9.9999999999999395E-5</v>
      </c>
      <c r="CA255">
        <f t="shared" si="47"/>
        <v>9.9999999999999915E-4</v>
      </c>
      <c r="CB255">
        <f t="shared" si="47"/>
        <v>-9.7999999999999997E-3</v>
      </c>
      <c r="CC255">
        <f t="shared" si="47"/>
        <v>-7.1999999999999998E-3</v>
      </c>
      <c r="CD255">
        <f t="shared" si="47"/>
        <v>3.2999999999999991E-3</v>
      </c>
      <c r="CE255">
        <f t="shared" si="47"/>
        <v>5.1999999999999998E-3</v>
      </c>
      <c r="CF255">
        <f t="shared" si="47"/>
        <v>1.2299999999999998E-2</v>
      </c>
      <c r="CG255">
        <f t="shared" si="47"/>
        <v>5.7999999999999996E-3</v>
      </c>
      <c r="CH255">
        <f t="shared" si="47"/>
        <v>-1.78E-2</v>
      </c>
      <c r="CI255">
        <f t="shared" si="47"/>
        <v>-3.8699999999999998E-2</v>
      </c>
      <c r="CJ255">
        <f t="shared" si="47"/>
        <v>-4.7199999999999999E-2</v>
      </c>
      <c r="CK255">
        <f t="shared" si="47"/>
        <v>-1.7000000000000001E-3</v>
      </c>
      <c r="CL255">
        <f t="shared" si="47"/>
        <v>9.9000000000000008E-3</v>
      </c>
      <c r="CM255">
        <f t="shared" si="47"/>
        <v>9.4000000000000021E-3</v>
      </c>
      <c r="CN255">
        <f t="shared" si="47"/>
        <v>-1.66E-2</v>
      </c>
      <c r="CO255">
        <f t="shared" si="47"/>
        <v>-1.2699999999999999E-2</v>
      </c>
      <c r="CP255">
        <f t="shared" si="47"/>
        <v>-7.7999999999999996E-3</v>
      </c>
      <c r="CQ255">
        <f t="shared" si="47"/>
        <v>1.15E-2</v>
      </c>
      <c r="CR255">
        <f t="shared" si="47"/>
        <v>-3.5200000000000002E-2</v>
      </c>
      <c r="CS255">
        <f t="shared" si="47"/>
        <v>-6.3700000000000007E-2</v>
      </c>
      <c r="CT255">
        <f t="shared" si="47"/>
        <v>-3.9599999999999996E-2</v>
      </c>
      <c r="CU255">
        <f t="shared" si="47"/>
        <v>-7.5900000000000009E-2</v>
      </c>
      <c r="CV255">
        <f t="shared" si="47"/>
        <v>-2.7299999999999998E-2</v>
      </c>
      <c r="CW255">
        <f t="shared" si="47"/>
        <v>-8.4600000000000009E-2</v>
      </c>
      <c r="CX255">
        <f t="shared" si="47"/>
        <v>-1.78E-2</v>
      </c>
    </row>
    <row r="256" spans="1:102" x14ac:dyDescent="0.2">
      <c r="A256" t="s">
        <v>5914</v>
      </c>
      <c r="B256" t="s">
        <v>220</v>
      </c>
      <c r="C256" t="s">
        <v>222</v>
      </c>
      <c r="D256">
        <f t="shared" ref="D256:BO256" si="52">D204+D229</f>
        <v>0.1007</v>
      </c>
      <c r="E256">
        <f t="shared" si="52"/>
        <v>8.9099999999999999E-2</v>
      </c>
      <c r="F256">
        <f t="shared" si="52"/>
        <v>5.57E-2</v>
      </c>
      <c r="G256">
        <f t="shared" si="52"/>
        <v>7.3200000000000001E-2</v>
      </c>
      <c r="H256">
        <f t="shared" si="52"/>
        <v>6.5999999999999991E-3</v>
      </c>
      <c r="I256">
        <f t="shared" si="52"/>
        <v>4.36E-2</v>
      </c>
      <c r="J256">
        <f t="shared" si="52"/>
        <v>2.2099999999999998E-2</v>
      </c>
      <c r="K256">
        <f t="shared" si="52"/>
        <v>1.5900000000000001E-2</v>
      </c>
      <c r="L256">
        <f t="shared" si="52"/>
        <v>2.0399999999999998E-2</v>
      </c>
      <c r="M256">
        <f t="shared" si="52"/>
        <v>-6.2000000000000006E-3</v>
      </c>
      <c r="N256">
        <f t="shared" si="52"/>
        <v>-4.0000000000000001E-3</v>
      </c>
      <c r="O256">
        <f t="shared" si="52"/>
        <v>1.5399999999999999E-2</v>
      </c>
      <c r="P256">
        <f t="shared" si="52"/>
        <v>7.000000000000001E-3</v>
      </c>
      <c r="Q256">
        <f t="shared" si="52"/>
        <v>4.0000000000000001E-3</v>
      </c>
      <c r="R256">
        <f t="shared" si="52"/>
        <v>7.000000000000001E-4</v>
      </c>
      <c r="S256">
        <f t="shared" si="52"/>
        <v>8.0000000000000015E-4</v>
      </c>
      <c r="T256">
        <f t="shared" si="52"/>
        <v>5.8000000000000005E-3</v>
      </c>
      <c r="U256">
        <f t="shared" si="52"/>
        <v>6.0000000000000001E-3</v>
      </c>
      <c r="V256">
        <f t="shared" si="52"/>
        <v>8.3999999999999995E-3</v>
      </c>
      <c r="W256">
        <f t="shared" si="52"/>
        <v>6.8000000000000005E-3</v>
      </c>
      <c r="X256">
        <f t="shared" si="52"/>
        <v>7.4000000000000003E-3</v>
      </c>
      <c r="Y256">
        <f t="shared" si="52"/>
        <v>1.15E-2</v>
      </c>
      <c r="Z256">
        <f t="shared" si="52"/>
        <v>1.1099999999999999E-2</v>
      </c>
      <c r="AA256">
        <f t="shared" si="52"/>
        <v>1.15E-2</v>
      </c>
      <c r="AB256">
        <f t="shared" si="52"/>
        <v>1.0800000000000001E-2</v>
      </c>
      <c r="AC256">
        <f t="shared" si="52"/>
        <v>1.1300000000000001E-2</v>
      </c>
      <c r="AD256">
        <f t="shared" si="52"/>
        <v>1.1600000000000001E-2</v>
      </c>
      <c r="AE256">
        <f t="shared" si="52"/>
        <v>1.0999999999999999E-2</v>
      </c>
      <c r="AF256">
        <f t="shared" si="52"/>
        <v>1.0699999999999999E-2</v>
      </c>
      <c r="AG256">
        <f t="shared" si="52"/>
        <v>1.0200000000000001E-2</v>
      </c>
      <c r="AH256">
        <f t="shared" si="52"/>
        <v>1.0499999999999999E-2</v>
      </c>
      <c r="AI256">
        <f t="shared" si="52"/>
        <v>1.03E-2</v>
      </c>
      <c r="AJ256">
        <f t="shared" si="52"/>
        <v>9.4999999999999998E-3</v>
      </c>
      <c r="AK256">
        <f t="shared" si="52"/>
        <v>7.7000000000000002E-3</v>
      </c>
      <c r="AL256">
        <f t="shared" si="52"/>
        <v>5.1999999999999998E-3</v>
      </c>
      <c r="AM256">
        <f t="shared" si="52"/>
        <v>5.7000000000000002E-3</v>
      </c>
      <c r="AN256">
        <f t="shared" si="52"/>
        <v>6.3999999999999994E-3</v>
      </c>
      <c r="AO256">
        <f t="shared" si="52"/>
        <v>8.0000000000000002E-3</v>
      </c>
      <c r="AP256">
        <f t="shared" si="52"/>
        <v>9.7999999999999997E-3</v>
      </c>
      <c r="AQ256">
        <f t="shared" si="52"/>
        <v>1.2699999999999999E-2</v>
      </c>
      <c r="AR256">
        <f t="shared" si="52"/>
        <v>1.5700000000000002E-2</v>
      </c>
      <c r="AS256">
        <f t="shared" si="52"/>
        <v>1.83E-2</v>
      </c>
      <c r="AT256">
        <f t="shared" si="52"/>
        <v>1.7999999999999999E-2</v>
      </c>
      <c r="AU256">
        <f t="shared" si="52"/>
        <v>1.78E-2</v>
      </c>
      <c r="AV256">
        <f t="shared" si="52"/>
        <v>1.5699999999999999E-2</v>
      </c>
      <c r="AW256">
        <f t="shared" si="52"/>
        <v>1.5999999999999997E-2</v>
      </c>
      <c r="AX256">
        <f t="shared" si="52"/>
        <v>1.5500000000000002E-2</v>
      </c>
      <c r="AY256">
        <f t="shared" si="52"/>
        <v>1.5899999999999997E-2</v>
      </c>
      <c r="AZ256">
        <f t="shared" si="52"/>
        <v>1.3499999999999998E-2</v>
      </c>
      <c r="BA256">
        <f t="shared" si="52"/>
        <v>1.4000000000000002E-2</v>
      </c>
      <c r="BB256">
        <f t="shared" si="52"/>
        <v>1.3299999999999999E-2</v>
      </c>
      <c r="BC256">
        <f t="shared" si="52"/>
        <v>1.8799999999999997E-2</v>
      </c>
      <c r="BD256">
        <f t="shared" si="52"/>
        <v>2.0500000000000001E-2</v>
      </c>
      <c r="BE256">
        <f t="shared" si="52"/>
        <v>2.18E-2</v>
      </c>
      <c r="BF256">
        <f t="shared" si="52"/>
        <v>1.8499999999999999E-2</v>
      </c>
      <c r="BG256">
        <f t="shared" si="52"/>
        <v>1.7299999999999999E-2</v>
      </c>
      <c r="BH256">
        <f t="shared" si="52"/>
        <v>1.3899999999999999E-2</v>
      </c>
      <c r="BI256">
        <f t="shared" si="52"/>
        <v>1.14E-2</v>
      </c>
      <c r="BJ256">
        <f t="shared" si="52"/>
        <v>1.3000000000000001E-2</v>
      </c>
      <c r="BK256">
        <f t="shared" si="52"/>
        <v>9.2999999999999992E-3</v>
      </c>
      <c r="BL256">
        <f t="shared" si="52"/>
        <v>7.5999999999999991E-3</v>
      </c>
      <c r="BM256">
        <f t="shared" si="52"/>
        <v>1.2500000000000001E-2</v>
      </c>
      <c r="BN256">
        <f t="shared" si="52"/>
        <v>2.1700000000000001E-2</v>
      </c>
      <c r="BO256">
        <f t="shared" si="52"/>
        <v>2.7899999999999998E-2</v>
      </c>
      <c r="BP256">
        <f t="shared" si="46"/>
        <v>3.4500000000000003E-2</v>
      </c>
      <c r="BQ256">
        <f t="shared" si="47"/>
        <v>3.5300000000000005E-2</v>
      </c>
      <c r="BR256">
        <f t="shared" si="47"/>
        <v>3.4099999999999998E-2</v>
      </c>
      <c r="BS256">
        <f t="shared" si="47"/>
        <v>3.3300000000000003E-2</v>
      </c>
      <c r="BT256">
        <f t="shared" si="47"/>
        <v>3.2000000000000001E-2</v>
      </c>
      <c r="BU256">
        <f t="shared" si="47"/>
        <v>2.3600000000000003E-2</v>
      </c>
      <c r="BV256">
        <f t="shared" si="47"/>
        <v>7.3000000000000001E-3</v>
      </c>
      <c r="BW256">
        <f t="shared" si="47"/>
        <v>1.8999999999999998E-3</v>
      </c>
      <c r="BX256">
        <f t="shared" si="47"/>
        <v>6.4999999999999997E-3</v>
      </c>
      <c r="BY256">
        <f t="shared" si="47"/>
        <v>1.7599999999999998E-2</v>
      </c>
      <c r="BZ256">
        <f t="shared" si="47"/>
        <v>2.29E-2</v>
      </c>
      <c r="CA256">
        <f t="shared" si="47"/>
        <v>2.3800000000000002E-2</v>
      </c>
      <c r="CB256">
        <f t="shared" si="47"/>
        <v>1.3500000000000002E-2</v>
      </c>
      <c r="CC256">
        <f t="shared" si="47"/>
        <v>1.7000000000000001E-2</v>
      </c>
      <c r="CD256">
        <f t="shared" si="47"/>
        <v>2.8499999999999998E-2</v>
      </c>
      <c r="CE256">
        <f t="shared" si="47"/>
        <v>3.1100000000000003E-2</v>
      </c>
      <c r="CF256">
        <f t="shared" si="47"/>
        <v>3.8800000000000001E-2</v>
      </c>
      <c r="CG256">
        <f t="shared" si="47"/>
        <v>3.2000000000000001E-2</v>
      </c>
      <c r="CH256">
        <f t="shared" si="47"/>
        <v>9.8999999999999991E-3</v>
      </c>
      <c r="CI256">
        <f t="shared" si="47"/>
        <v>-8.8000000000000005E-3</v>
      </c>
      <c r="CJ256">
        <f t="shared" si="47"/>
        <v>-1.4499999999999999E-2</v>
      </c>
      <c r="CK256">
        <f t="shared" si="47"/>
        <v>3.27E-2</v>
      </c>
      <c r="CL256">
        <f t="shared" si="47"/>
        <v>4.3299999999999998E-2</v>
      </c>
      <c r="CM256">
        <f t="shared" si="47"/>
        <v>4.2099999999999999E-2</v>
      </c>
      <c r="CN256">
        <f t="shared" si="47"/>
        <v>2.1500000000000002E-2</v>
      </c>
      <c r="CO256">
        <f t="shared" si="47"/>
        <v>2.6800000000000001E-2</v>
      </c>
      <c r="CP256">
        <f t="shared" si="47"/>
        <v>2.9599999999999998E-2</v>
      </c>
      <c r="CQ256">
        <f t="shared" si="47"/>
        <v>5.3699999999999998E-2</v>
      </c>
      <c r="CR256">
        <f t="shared" si="47"/>
        <v>1.9500000000000003E-2</v>
      </c>
      <c r="CS256">
        <f t="shared" si="47"/>
        <v>-8.3000000000000001E-3</v>
      </c>
      <c r="CT256">
        <f t="shared" si="47"/>
        <v>2.5300000000000003E-2</v>
      </c>
      <c r="CU256">
        <f t="shared" si="47"/>
        <v>-1.35E-2</v>
      </c>
      <c r="CV256">
        <f t="shared" si="47"/>
        <v>4.0899999999999999E-2</v>
      </c>
      <c r="CW256">
        <f t="shared" si="47"/>
        <v>8.199999999999999E-3</v>
      </c>
      <c r="CX256">
        <f t="shared" si="47"/>
        <v>8.2699999999999996E-2</v>
      </c>
    </row>
    <row r="257" spans="1:102" x14ac:dyDescent="0.2">
      <c r="A257" t="s">
        <v>5915</v>
      </c>
      <c r="B257" t="s">
        <v>220</v>
      </c>
      <c r="C257" t="s">
        <v>222</v>
      </c>
      <c r="D257">
        <f t="shared" ref="D257:BO257" si="53">D205+D230</f>
        <v>-1.01E-2</v>
      </c>
      <c r="E257">
        <f t="shared" si="53"/>
        <v>-2.1400000000000002E-2</v>
      </c>
      <c r="F257">
        <f t="shared" si="53"/>
        <v>-1.72E-2</v>
      </c>
      <c r="G257">
        <f t="shared" si="53"/>
        <v>3.6999999999999993E-3</v>
      </c>
      <c r="H257">
        <f t="shared" si="53"/>
        <v>-2.1699999999999997E-2</v>
      </c>
      <c r="I257">
        <f t="shared" si="53"/>
        <v>-8.4000000000000012E-3</v>
      </c>
      <c r="J257">
        <f t="shared" si="53"/>
        <v>-1.7100000000000001E-2</v>
      </c>
      <c r="K257">
        <f t="shared" si="53"/>
        <v>-9.4999999999999998E-3</v>
      </c>
      <c r="L257">
        <f t="shared" si="53"/>
        <v>-3.7999999999999996E-3</v>
      </c>
      <c r="M257">
        <f t="shared" si="53"/>
        <v>-1.1599999999999999E-2</v>
      </c>
      <c r="N257">
        <f t="shared" si="53"/>
        <v>-7.6E-3</v>
      </c>
      <c r="O257">
        <f t="shared" si="53"/>
        <v>4.7000000000000011E-3</v>
      </c>
      <c r="P257">
        <f t="shared" si="53"/>
        <v>1.5999999999999999E-3</v>
      </c>
      <c r="Q257">
        <f t="shared" si="53"/>
        <v>3.3999999999999998E-3</v>
      </c>
      <c r="R257">
        <f t="shared" si="53"/>
        <v>1.8000000000000004E-3</v>
      </c>
      <c r="S257">
        <f t="shared" si="53"/>
        <v>7.9999999999999993E-4</v>
      </c>
      <c r="T257">
        <f t="shared" si="53"/>
        <v>3.0000000000000035E-4</v>
      </c>
      <c r="U257">
        <f t="shared" si="53"/>
        <v>2.5000000000000001E-3</v>
      </c>
      <c r="V257">
        <f t="shared" si="53"/>
        <v>2.2000000000000001E-3</v>
      </c>
      <c r="W257">
        <f t="shared" si="53"/>
        <v>1.4000000000000002E-3</v>
      </c>
      <c r="X257">
        <f t="shared" si="53"/>
        <v>7.000000000000001E-4</v>
      </c>
      <c r="Y257">
        <f t="shared" si="53"/>
        <v>4.0000000000000001E-3</v>
      </c>
      <c r="Z257">
        <f t="shared" si="53"/>
        <v>2.2000000000000001E-3</v>
      </c>
      <c r="AA257">
        <f t="shared" si="53"/>
        <v>3.6999999999999997E-3</v>
      </c>
      <c r="AB257">
        <f t="shared" si="53"/>
        <v>2.5000000000000001E-3</v>
      </c>
      <c r="AC257">
        <f t="shared" si="53"/>
        <v>1.5E-3</v>
      </c>
      <c r="AD257">
        <f t="shared" si="53"/>
        <v>2.1999999999999997E-3</v>
      </c>
      <c r="AE257">
        <f t="shared" si="53"/>
        <v>7.000000000000001E-4</v>
      </c>
      <c r="AF257">
        <f t="shared" si="53"/>
        <v>6.0000000000000027E-4</v>
      </c>
      <c r="AG257">
        <f t="shared" si="53"/>
        <v>2.3E-3</v>
      </c>
      <c r="AH257">
        <f t="shared" si="53"/>
        <v>2.0000000000000009E-4</v>
      </c>
      <c r="AI257">
        <f t="shared" si="53"/>
        <v>-7.9999999999999993E-4</v>
      </c>
      <c r="AJ257">
        <f t="shared" si="53"/>
        <v>-1.6000000000000001E-3</v>
      </c>
      <c r="AK257">
        <f t="shared" si="53"/>
        <v>-5.1999999999999998E-3</v>
      </c>
      <c r="AL257">
        <f t="shared" si="53"/>
        <v>-7.7999999999999996E-3</v>
      </c>
      <c r="AM257">
        <f t="shared" si="53"/>
        <v>-8.0999999999999996E-3</v>
      </c>
      <c r="AN257">
        <f t="shared" si="53"/>
        <v>-1.0999999999999999E-2</v>
      </c>
      <c r="AO257">
        <f t="shared" si="53"/>
        <v>-6.4999999999999997E-3</v>
      </c>
      <c r="AP257">
        <f t="shared" si="53"/>
        <v>-5.3E-3</v>
      </c>
      <c r="AQ257">
        <f t="shared" si="53"/>
        <v>-7.4999999999999997E-3</v>
      </c>
      <c r="AR257">
        <f t="shared" si="53"/>
        <v>-6.7999999999999996E-3</v>
      </c>
      <c r="AS257">
        <f t="shared" si="53"/>
        <v>-7.7000000000000002E-3</v>
      </c>
      <c r="AT257">
        <f t="shared" si="53"/>
        <v>-8.8999999999999999E-3</v>
      </c>
      <c r="AU257">
        <f t="shared" si="53"/>
        <v>-1.0800000000000001E-2</v>
      </c>
      <c r="AV257">
        <f t="shared" si="53"/>
        <v>-1.0200000000000001E-2</v>
      </c>
      <c r="AW257">
        <f t="shared" si="53"/>
        <v>-9.8999999999999991E-3</v>
      </c>
      <c r="AX257">
        <f t="shared" si="53"/>
        <v>-8.5000000000000006E-3</v>
      </c>
      <c r="AY257">
        <f t="shared" si="53"/>
        <v>-1.1599999999999999E-2</v>
      </c>
      <c r="AZ257">
        <f t="shared" si="53"/>
        <v>-1.12E-2</v>
      </c>
      <c r="BA257">
        <f t="shared" si="53"/>
        <v>-1.32E-2</v>
      </c>
      <c r="BB257">
        <f t="shared" si="53"/>
        <v>-1.55E-2</v>
      </c>
      <c r="BC257">
        <f t="shared" si="53"/>
        <v>-1.54E-2</v>
      </c>
      <c r="BD257">
        <f t="shared" si="53"/>
        <v>-1.0999999999999999E-2</v>
      </c>
      <c r="BE257">
        <f t="shared" si="53"/>
        <v>-1.03E-2</v>
      </c>
      <c r="BF257">
        <f t="shared" si="53"/>
        <v>-1.5199999999999998E-2</v>
      </c>
      <c r="BG257">
        <f t="shared" si="53"/>
        <v>-1.37E-2</v>
      </c>
      <c r="BH257">
        <f t="shared" si="53"/>
        <v>-1.8200000000000001E-2</v>
      </c>
      <c r="BI257">
        <f t="shared" si="53"/>
        <v>-2.12E-2</v>
      </c>
      <c r="BJ257">
        <f t="shared" si="53"/>
        <v>-1.9400000000000001E-2</v>
      </c>
      <c r="BK257">
        <f t="shared" si="53"/>
        <v>-2.4299999999999999E-2</v>
      </c>
      <c r="BL257">
        <f t="shared" si="53"/>
        <v>-2.7300000000000001E-2</v>
      </c>
      <c r="BM257">
        <f t="shared" si="53"/>
        <v>-2.3899999999999998E-2</v>
      </c>
      <c r="BN257">
        <f t="shared" si="53"/>
        <v>-1.6900000000000002E-2</v>
      </c>
      <c r="BO257">
        <f t="shared" si="53"/>
        <v>-1.15E-2</v>
      </c>
      <c r="BP257">
        <f t="shared" si="46"/>
        <v>-6.7000000000000002E-3</v>
      </c>
      <c r="BQ257">
        <f t="shared" si="47"/>
        <v>-9.1000000000000004E-3</v>
      </c>
      <c r="BR257">
        <f t="shared" si="47"/>
        <v>8.9999999999999976E-4</v>
      </c>
      <c r="BS257">
        <f t="shared" si="47"/>
        <v>3.7000000000000002E-3</v>
      </c>
      <c r="BT257">
        <f t="shared" si="47"/>
        <v>-2.5000000000000005E-3</v>
      </c>
      <c r="BU257">
        <f t="shared" si="47"/>
        <v>-1.0200000000000001E-2</v>
      </c>
      <c r="BV257">
        <f t="shared" si="47"/>
        <v>-2.4499999999999997E-2</v>
      </c>
      <c r="BW257">
        <f t="shared" si="47"/>
        <v>-3.4100000000000005E-2</v>
      </c>
      <c r="BX257">
        <f t="shared" si="47"/>
        <v>-3.3399999999999999E-2</v>
      </c>
      <c r="BY257">
        <f t="shared" si="47"/>
        <v>-2.86E-2</v>
      </c>
      <c r="BZ257">
        <f t="shared" si="47"/>
        <v>-2.6500000000000003E-2</v>
      </c>
      <c r="CA257">
        <f t="shared" si="47"/>
        <v>-2.01E-2</v>
      </c>
      <c r="CB257">
        <f t="shared" si="47"/>
        <v>-3.3299999999999996E-2</v>
      </c>
      <c r="CC257">
        <f t="shared" si="47"/>
        <v>-3.0100000000000002E-2</v>
      </c>
      <c r="CD257">
        <f t="shared" si="47"/>
        <v>-2.7E-2</v>
      </c>
      <c r="CE257">
        <f t="shared" si="47"/>
        <v>-2.3599999999999999E-2</v>
      </c>
      <c r="CF257">
        <f t="shared" si="47"/>
        <v>-1.47E-2</v>
      </c>
      <c r="CG257">
        <f t="shared" si="47"/>
        <v>-1.8799999999999997E-2</v>
      </c>
      <c r="CH257">
        <f t="shared" si="47"/>
        <v>-3.6400000000000002E-2</v>
      </c>
      <c r="CI257">
        <f t="shared" si="47"/>
        <v>-5.7500000000000002E-2</v>
      </c>
      <c r="CJ257">
        <f t="shared" si="47"/>
        <v>-6.6799999999999998E-2</v>
      </c>
      <c r="CK257">
        <f t="shared" si="47"/>
        <v>-3.3799999999999997E-2</v>
      </c>
      <c r="CL257">
        <f t="shared" si="47"/>
        <v>-2.6299999999999997E-2</v>
      </c>
      <c r="CM257">
        <f t="shared" si="47"/>
        <v>-2.23E-2</v>
      </c>
      <c r="CN257">
        <f t="shared" si="47"/>
        <v>-5.7799999999999997E-2</v>
      </c>
      <c r="CO257">
        <f t="shared" si="47"/>
        <v>-5.8799999999999998E-2</v>
      </c>
      <c r="CP257">
        <f t="shared" si="47"/>
        <v>-4.7E-2</v>
      </c>
      <c r="CQ257">
        <f t="shared" si="47"/>
        <v>-3.1300000000000001E-2</v>
      </c>
      <c r="CR257">
        <f t="shared" si="47"/>
        <v>-6.3700000000000007E-2</v>
      </c>
      <c r="CS257">
        <f t="shared" si="47"/>
        <v>-7.6899999999999996E-2</v>
      </c>
      <c r="CT257">
        <f t="shared" si="47"/>
        <v>-0.08</v>
      </c>
      <c r="CU257">
        <f t="shared" si="47"/>
        <v>-0.10009999999999999</v>
      </c>
      <c r="CV257">
        <f t="shared" si="47"/>
        <v>-5.9499999999999997E-2</v>
      </c>
      <c r="CW257">
        <f t="shared" si="47"/>
        <v>-0.1147</v>
      </c>
      <c r="CX257">
        <f t="shared" si="47"/>
        <v>-8.929999999999999E-2</v>
      </c>
    </row>
    <row r="258" spans="1:102" x14ac:dyDescent="0.2">
      <c r="A258" t="s">
        <v>5916</v>
      </c>
      <c r="B258" t="s">
        <v>220</v>
      </c>
      <c r="C258" t="s">
        <v>222</v>
      </c>
      <c r="D258">
        <f t="shared" ref="D258:BO258" si="54">D206+D231</f>
        <v>4.5999999999999999E-2</v>
      </c>
      <c r="E258">
        <f t="shared" si="54"/>
        <v>3.85E-2</v>
      </c>
      <c r="F258">
        <f t="shared" si="54"/>
        <v>3.9E-2</v>
      </c>
      <c r="G258">
        <f t="shared" si="54"/>
        <v>4.5399999999999996E-2</v>
      </c>
      <c r="H258">
        <f t="shared" si="54"/>
        <v>2.6099999999999998E-2</v>
      </c>
      <c r="I258">
        <f t="shared" si="54"/>
        <v>3.1599999999999996E-2</v>
      </c>
      <c r="J258">
        <f t="shared" si="54"/>
        <v>2.3E-2</v>
      </c>
      <c r="K258">
        <f t="shared" si="54"/>
        <v>2.8299999999999999E-2</v>
      </c>
      <c r="L258">
        <f t="shared" si="54"/>
        <v>3.1399999999999997E-2</v>
      </c>
      <c r="M258">
        <f t="shared" si="54"/>
        <v>2.0999999999999998E-2</v>
      </c>
      <c r="N258">
        <f t="shared" si="54"/>
        <v>2.24E-2</v>
      </c>
      <c r="O258">
        <f t="shared" si="54"/>
        <v>2.7E-2</v>
      </c>
      <c r="P258">
        <f t="shared" si="54"/>
        <v>2.29E-2</v>
      </c>
      <c r="Q258">
        <f t="shared" si="54"/>
        <v>2.2499999999999999E-2</v>
      </c>
      <c r="R258">
        <f t="shared" si="54"/>
        <v>1.8499999999999999E-2</v>
      </c>
      <c r="S258">
        <f t="shared" si="54"/>
        <v>1.61E-2</v>
      </c>
      <c r="T258">
        <f t="shared" si="54"/>
        <v>1.3999999999999999E-2</v>
      </c>
      <c r="U258">
        <f t="shared" si="54"/>
        <v>1.5699999999999999E-2</v>
      </c>
      <c r="V258">
        <f t="shared" si="54"/>
        <v>1.43E-2</v>
      </c>
      <c r="W258">
        <f t="shared" si="54"/>
        <v>1.3299999999999999E-2</v>
      </c>
      <c r="X258">
        <f t="shared" si="54"/>
        <v>1.24E-2</v>
      </c>
      <c r="Y258">
        <f t="shared" si="54"/>
        <v>1.5099999999999999E-2</v>
      </c>
      <c r="Z258">
        <f t="shared" si="54"/>
        <v>1.3300000000000001E-2</v>
      </c>
      <c r="AA258">
        <f t="shared" si="54"/>
        <v>1.49E-2</v>
      </c>
      <c r="AB258">
        <f t="shared" si="54"/>
        <v>1.37E-2</v>
      </c>
      <c r="AC258">
        <f t="shared" si="54"/>
        <v>1.2500000000000001E-2</v>
      </c>
      <c r="AD258">
        <f t="shared" si="54"/>
        <v>1.34E-2</v>
      </c>
      <c r="AE258">
        <f t="shared" si="54"/>
        <v>1.1900000000000001E-2</v>
      </c>
      <c r="AF258">
        <f t="shared" si="54"/>
        <v>1.1899999999999999E-2</v>
      </c>
      <c r="AG258">
        <f t="shared" si="54"/>
        <v>1.3900000000000001E-2</v>
      </c>
      <c r="AH258">
        <f t="shared" si="54"/>
        <v>1.2199999999999999E-2</v>
      </c>
      <c r="AI258">
        <f t="shared" si="54"/>
        <v>1.15E-2</v>
      </c>
      <c r="AJ258">
        <f t="shared" si="54"/>
        <v>1.1000000000000001E-2</v>
      </c>
      <c r="AK258">
        <f t="shared" si="54"/>
        <v>8.0000000000000002E-3</v>
      </c>
      <c r="AL258">
        <f t="shared" si="54"/>
        <v>6.0000000000000001E-3</v>
      </c>
      <c r="AM258">
        <f t="shared" si="54"/>
        <v>6.0999999999999995E-3</v>
      </c>
      <c r="AN258">
        <f t="shared" si="54"/>
        <v>3.4000000000000002E-3</v>
      </c>
      <c r="AO258">
        <f t="shared" si="54"/>
        <v>8.3000000000000001E-3</v>
      </c>
      <c r="AP258">
        <f t="shared" si="54"/>
        <v>9.7000000000000003E-3</v>
      </c>
      <c r="AQ258">
        <f t="shared" si="54"/>
        <v>7.5999999999999991E-3</v>
      </c>
      <c r="AR258">
        <f t="shared" si="54"/>
        <v>8.6E-3</v>
      </c>
      <c r="AS258">
        <f t="shared" si="54"/>
        <v>7.9000000000000008E-3</v>
      </c>
      <c r="AT258">
        <f t="shared" si="54"/>
        <v>6.7999999999999996E-3</v>
      </c>
      <c r="AU258">
        <f t="shared" si="54"/>
        <v>4.7999999999999996E-3</v>
      </c>
      <c r="AV258">
        <f t="shared" si="54"/>
        <v>5.3999999999999994E-3</v>
      </c>
      <c r="AW258">
        <f t="shared" si="54"/>
        <v>5.7999999999999996E-3</v>
      </c>
      <c r="AX258">
        <f t="shared" si="54"/>
        <v>7.4000000000000003E-3</v>
      </c>
      <c r="AY258">
        <f t="shared" si="54"/>
        <v>4.3999999999999994E-3</v>
      </c>
      <c r="AZ258">
        <f t="shared" si="54"/>
        <v>4.8999999999999998E-3</v>
      </c>
      <c r="BA258">
        <f t="shared" si="54"/>
        <v>3.1999999999999997E-3</v>
      </c>
      <c r="BB258">
        <f t="shared" si="54"/>
        <v>1.4000000000000002E-3</v>
      </c>
      <c r="BC258">
        <f t="shared" si="54"/>
        <v>1.8E-3</v>
      </c>
      <c r="BD258">
        <f t="shared" si="54"/>
        <v>6.6E-3</v>
      </c>
      <c r="BE258">
        <f t="shared" si="54"/>
        <v>7.9000000000000008E-3</v>
      </c>
      <c r="BF258">
        <f t="shared" si="54"/>
        <v>3.5999999999999999E-3</v>
      </c>
      <c r="BG258">
        <f t="shared" si="54"/>
        <v>5.1000000000000004E-3</v>
      </c>
      <c r="BH258">
        <f t="shared" si="54"/>
        <v>8.0000000000000036E-4</v>
      </c>
      <c r="BI258">
        <f t="shared" si="54"/>
        <v>-2.1000000000000003E-3</v>
      </c>
      <c r="BJ258">
        <f t="shared" si="54"/>
        <v>-9.9999999999999395E-5</v>
      </c>
      <c r="BK258">
        <f t="shared" si="54"/>
        <v>-4.8000000000000004E-3</v>
      </c>
      <c r="BL258">
        <f t="shared" si="54"/>
        <v>-7.4999999999999997E-3</v>
      </c>
      <c r="BM258">
        <f t="shared" si="54"/>
        <v>-3.8999999999999998E-3</v>
      </c>
      <c r="BN258">
        <f t="shared" si="54"/>
        <v>3.5000000000000005E-3</v>
      </c>
      <c r="BO258">
        <f t="shared" si="54"/>
        <v>8.6E-3</v>
      </c>
      <c r="BP258">
        <f t="shared" si="46"/>
        <v>1.3399999999999999E-2</v>
      </c>
      <c r="BQ258">
        <f t="shared" si="47"/>
        <v>1.1200000000000002E-2</v>
      </c>
      <c r="BR258">
        <f t="shared" si="47"/>
        <v>2.0999999999999998E-2</v>
      </c>
      <c r="BS258">
        <f t="shared" si="47"/>
        <v>2.3800000000000002E-2</v>
      </c>
      <c r="BT258">
        <f t="shared" si="47"/>
        <v>1.7600000000000001E-2</v>
      </c>
      <c r="BU258">
        <f t="shared" si="47"/>
        <v>1.12E-2</v>
      </c>
      <c r="BV258">
        <f t="shared" si="47"/>
        <v>1.0000000000000026E-4</v>
      </c>
      <c r="BW258">
        <f t="shared" si="47"/>
        <v>-7.7000000000000002E-3</v>
      </c>
      <c r="BX258">
        <f t="shared" si="47"/>
        <v>-6.6999999999999994E-3</v>
      </c>
      <c r="BY258">
        <f t="shared" si="47"/>
        <v>-2.1000000000000003E-3</v>
      </c>
      <c r="BZ258">
        <f t="shared" si="47"/>
        <v>-5.0000000000000044E-4</v>
      </c>
      <c r="CA258">
        <f t="shared" si="47"/>
        <v>5.8000000000000005E-3</v>
      </c>
      <c r="CB258">
        <f t="shared" si="47"/>
        <v>-7.0000000000000001E-3</v>
      </c>
      <c r="CC258">
        <f t="shared" si="47"/>
        <v>-3.0000000000000005E-3</v>
      </c>
      <c r="CD258">
        <f t="shared" si="47"/>
        <v>8.9999999999999976E-4</v>
      </c>
      <c r="CE258">
        <f t="shared" si="47"/>
        <v>4.9000000000000007E-3</v>
      </c>
      <c r="CF258">
        <f t="shared" si="47"/>
        <v>1.41E-2</v>
      </c>
      <c r="CG258">
        <f t="shared" si="47"/>
        <v>9.6000000000000009E-3</v>
      </c>
      <c r="CH258">
        <f t="shared" ref="CH258:CX258" si="55">CH206+CH231</f>
        <v>-6.4999999999999997E-3</v>
      </c>
      <c r="CI258">
        <f t="shared" si="55"/>
        <v>-2.5700000000000001E-2</v>
      </c>
      <c r="CJ258">
        <f t="shared" si="55"/>
        <v>-3.2399999999999998E-2</v>
      </c>
      <c r="CK258">
        <f t="shared" si="55"/>
        <v>1.8999999999999989E-3</v>
      </c>
      <c r="CL258">
        <f t="shared" si="55"/>
        <v>8.0000000000000002E-3</v>
      </c>
      <c r="CM258">
        <f t="shared" si="55"/>
        <v>1.09E-2</v>
      </c>
      <c r="CN258">
        <f t="shared" si="55"/>
        <v>-1.9400000000000001E-2</v>
      </c>
      <c r="CO258">
        <f t="shared" si="55"/>
        <v>-1.9700000000000002E-2</v>
      </c>
      <c r="CP258">
        <f t="shared" si="55"/>
        <v>-1.04E-2</v>
      </c>
      <c r="CQ258">
        <f t="shared" si="55"/>
        <v>9.1000000000000004E-3</v>
      </c>
      <c r="CR258">
        <f t="shared" si="55"/>
        <v>-1.1800000000000001E-2</v>
      </c>
      <c r="CS258">
        <f t="shared" si="55"/>
        <v>-2.4899999999999999E-2</v>
      </c>
      <c r="CT258">
        <f t="shared" si="55"/>
        <v>-2.0200000000000003E-2</v>
      </c>
      <c r="CU258">
        <f t="shared" si="55"/>
        <v>-4.3099999999999999E-2</v>
      </c>
      <c r="CV258">
        <f t="shared" si="55"/>
        <v>2.4000000000000011E-3</v>
      </c>
      <c r="CW258">
        <f t="shared" si="55"/>
        <v>-2.9400000000000003E-2</v>
      </c>
      <c r="CX258">
        <f t="shared" si="55"/>
        <v>-1.8999999999999998E-3</v>
      </c>
    </row>
    <row r="259" spans="1:102" x14ac:dyDescent="0.2">
      <c r="A259" t="s">
        <v>5917</v>
      </c>
      <c r="B259" t="s">
        <v>220</v>
      </c>
      <c r="C259" t="s">
        <v>222</v>
      </c>
      <c r="D259">
        <f t="shared" ref="D259:BO259" si="56">D207+D232</f>
        <v>2.5799999999999997E-2</v>
      </c>
      <c r="E259">
        <f t="shared" si="56"/>
        <v>5.2999999999999992E-3</v>
      </c>
      <c r="F259">
        <f t="shared" si="56"/>
        <v>-1.0499999999999999E-2</v>
      </c>
      <c r="G259">
        <f t="shared" si="56"/>
        <v>1.78E-2</v>
      </c>
      <c r="H259">
        <f t="shared" si="56"/>
        <v>-1.6500000000000001E-2</v>
      </c>
      <c r="I259">
        <f t="shared" si="56"/>
        <v>1.7000000000000001E-3</v>
      </c>
      <c r="J259">
        <f t="shared" si="56"/>
        <v>-4.3E-3</v>
      </c>
      <c r="K259">
        <f t="shared" si="56"/>
        <v>-3.4999999999999996E-3</v>
      </c>
      <c r="L259">
        <f t="shared" si="56"/>
        <v>2.9999999999999992E-4</v>
      </c>
      <c r="M259">
        <f t="shared" si="56"/>
        <v>-1.01E-2</v>
      </c>
      <c r="N259">
        <f t="shared" si="56"/>
        <v>-7.6E-3</v>
      </c>
      <c r="O259">
        <f t="shared" si="56"/>
        <v>4.5999999999999999E-3</v>
      </c>
      <c r="P259">
        <f t="shared" si="56"/>
        <v>1.9E-3</v>
      </c>
      <c r="Q259">
        <f t="shared" si="56"/>
        <v>1.1999999999999999E-3</v>
      </c>
      <c r="R259">
        <f t="shared" si="56"/>
        <v>-1.4999999999999998E-3</v>
      </c>
      <c r="S259">
        <f t="shared" si="56"/>
        <v>-1.3000000000000002E-3</v>
      </c>
      <c r="T259">
        <f t="shared" si="56"/>
        <v>1.0000000000000005E-4</v>
      </c>
      <c r="U259">
        <f t="shared" si="56"/>
        <v>6.9999999999999999E-4</v>
      </c>
      <c r="V259">
        <f t="shared" si="56"/>
        <v>1.4E-3</v>
      </c>
      <c r="W259">
        <f t="shared" si="56"/>
        <v>8.9999999999999998E-4</v>
      </c>
      <c r="X259">
        <f t="shared" si="56"/>
        <v>1.4E-3</v>
      </c>
      <c r="Y259">
        <f t="shared" si="56"/>
        <v>2.0999999999999999E-3</v>
      </c>
      <c r="Z259">
        <f t="shared" si="56"/>
        <v>1.8999999999999998E-3</v>
      </c>
      <c r="AA259">
        <f t="shared" si="56"/>
        <v>1.8999999999999998E-3</v>
      </c>
      <c r="AB259">
        <f t="shared" si="56"/>
        <v>1.6000000000000001E-3</v>
      </c>
      <c r="AC259">
        <f t="shared" si="56"/>
        <v>1.5E-3</v>
      </c>
      <c r="AD259">
        <f t="shared" si="56"/>
        <v>1.1000000000000001E-3</v>
      </c>
      <c r="AE259">
        <f t="shared" si="56"/>
        <v>4.0000000000000007E-4</v>
      </c>
      <c r="AF259">
        <f t="shared" si="56"/>
        <v>1.9999999999999998E-4</v>
      </c>
      <c r="AG259">
        <f t="shared" si="56"/>
        <v>-1E-3</v>
      </c>
      <c r="AH259">
        <f t="shared" si="56"/>
        <v>-1.3999999999999998E-3</v>
      </c>
      <c r="AI259">
        <f t="shared" si="56"/>
        <v>-1.3999999999999998E-3</v>
      </c>
      <c r="AJ259">
        <f t="shared" si="56"/>
        <v>-1E-3</v>
      </c>
      <c r="AK259">
        <f t="shared" si="56"/>
        <v>-1.0999999999999998E-3</v>
      </c>
      <c r="AL259">
        <f t="shared" si="56"/>
        <v>-1.2000000000000001E-3</v>
      </c>
      <c r="AM259">
        <f t="shared" si="56"/>
        <v>-1.2999999999999999E-3</v>
      </c>
      <c r="AN259">
        <f t="shared" si="56"/>
        <v>-1.3999999999999998E-3</v>
      </c>
      <c r="AO259">
        <f t="shared" si="56"/>
        <v>-8.9999999999999998E-4</v>
      </c>
      <c r="AP259">
        <f t="shared" si="56"/>
        <v>-6.0000000000000006E-4</v>
      </c>
      <c r="AQ259">
        <f t="shared" si="56"/>
        <v>-9.9999999999999829E-5</v>
      </c>
      <c r="AR259">
        <f t="shared" si="56"/>
        <v>2.0000000000000009E-4</v>
      </c>
      <c r="AS259">
        <f t="shared" si="56"/>
        <v>0</v>
      </c>
      <c r="AT259">
        <f t="shared" si="56"/>
        <v>0</v>
      </c>
      <c r="AU259">
        <f t="shared" si="56"/>
        <v>1.0000000000000005E-4</v>
      </c>
      <c r="AV259">
        <f t="shared" si="56"/>
        <v>-1.0000000000000005E-4</v>
      </c>
      <c r="AW259">
        <f t="shared" si="56"/>
        <v>0</v>
      </c>
      <c r="AX259">
        <f t="shared" si="56"/>
        <v>1.0000000000000005E-4</v>
      </c>
      <c r="AY259">
        <f t="shared" si="56"/>
        <v>-5.0000000000000001E-4</v>
      </c>
      <c r="AZ259">
        <f t="shared" si="56"/>
        <v>-7.000000000000001E-4</v>
      </c>
      <c r="BA259">
        <f t="shared" si="56"/>
        <v>-1.1999999999999999E-3</v>
      </c>
      <c r="BB259">
        <f t="shared" si="56"/>
        <v>-1.6000000000000001E-3</v>
      </c>
      <c r="BC259">
        <f t="shared" si="56"/>
        <v>-1.1999999999999999E-3</v>
      </c>
      <c r="BD259">
        <f t="shared" si="56"/>
        <v>-3.9999999999999996E-4</v>
      </c>
      <c r="BE259">
        <f t="shared" si="56"/>
        <v>-2.9999999999999992E-4</v>
      </c>
      <c r="BF259">
        <f t="shared" si="56"/>
        <v>-5.0000000000000001E-4</v>
      </c>
      <c r="BG259">
        <f t="shared" si="56"/>
        <v>-2.9999999999999992E-4</v>
      </c>
      <c r="BH259">
        <f t="shared" si="56"/>
        <v>-7.000000000000001E-4</v>
      </c>
      <c r="BI259">
        <f t="shared" si="56"/>
        <v>-8.9999999999999998E-4</v>
      </c>
      <c r="BJ259">
        <f t="shared" si="56"/>
        <v>-7.000000000000001E-4</v>
      </c>
      <c r="BK259">
        <f t="shared" si="56"/>
        <v>-8.9999999999999998E-4</v>
      </c>
      <c r="BL259">
        <f t="shared" si="56"/>
        <v>-8.9999999999999998E-4</v>
      </c>
      <c r="BM259">
        <f t="shared" si="56"/>
        <v>-5.0000000000000001E-4</v>
      </c>
      <c r="BN259">
        <f t="shared" si="56"/>
        <v>0</v>
      </c>
      <c r="BO259">
        <f t="shared" si="56"/>
        <v>6.9999999999999999E-4</v>
      </c>
      <c r="BP259">
        <f t="shared" si="46"/>
        <v>1.2999999999999999E-3</v>
      </c>
      <c r="BQ259">
        <f t="shared" ref="BQ259:CX265" si="57">BQ207+BQ232</f>
        <v>1.7000000000000001E-3</v>
      </c>
      <c r="BR259">
        <f t="shared" si="57"/>
        <v>1.8E-3</v>
      </c>
      <c r="BS259">
        <f t="shared" si="57"/>
        <v>1.1999999999999999E-3</v>
      </c>
      <c r="BT259">
        <f t="shared" si="57"/>
        <v>1.9E-3</v>
      </c>
      <c r="BU259">
        <f t="shared" si="57"/>
        <v>1.5999999999999999E-3</v>
      </c>
      <c r="BV259">
        <f t="shared" si="57"/>
        <v>3.0000000000000003E-4</v>
      </c>
      <c r="BW259">
        <f t="shared" si="57"/>
        <v>6.0000000000000006E-4</v>
      </c>
      <c r="BX259">
        <f t="shared" si="57"/>
        <v>0</v>
      </c>
      <c r="BY259">
        <f t="shared" si="57"/>
        <v>7.000000000000001E-4</v>
      </c>
      <c r="BZ259">
        <f t="shared" si="57"/>
        <v>1.2999999999999999E-3</v>
      </c>
      <c r="CA259">
        <f t="shared" si="57"/>
        <v>2.1999999999999997E-3</v>
      </c>
      <c r="CB259">
        <f t="shared" si="57"/>
        <v>2E-3</v>
      </c>
      <c r="CC259">
        <f t="shared" si="57"/>
        <v>2E-3</v>
      </c>
      <c r="CD259">
        <f t="shared" si="57"/>
        <v>1.1000000000000001E-3</v>
      </c>
      <c r="CE259">
        <f t="shared" si="57"/>
        <v>8.9999999999999998E-4</v>
      </c>
      <c r="CF259">
        <f t="shared" si="57"/>
        <v>6.9999999999999999E-4</v>
      </c>
      <c r="CG259">
        <f t="shared" si="57"/>
        <v>8.0000000000000004E-4</v>
      </c>
      <c r="CH259">
        <f t="shared" si="57"/>
        <v>-8.0000000000000004E-4</v>
      </c>
      <c r="CI259">
        <f t="shared" si="57"/>
        <v>-2.3999999999999998E-3</v>
      </c>
      <c r="CJ259">
        <f t="shared" si="57"/>
        <v>-4.0000000000000001E-3</v>
      </c>
      <c r="CK259">
        <f t="shared" si="57"/>
        <v>-1.8999999999999998E-3</v>
      </c>
      <c r="CL259">
        <f t="shared" si="57"/>
        <v>-1.2000000000000001E-3</v>
      </c>
      <c r="CM259">
        <f t="shared" si="57"/>
        <v>-8.0000000000000004E-4</v>
      </c>
      <c r="CN259">
        <f t="shared" si="57"/>
        <v>-1.7000000000000001E-3</v>
      </c>
      <c r="CO259">
        <f t="shared" si="57"/>
        <v>-2.5000000000000001E-3</v>
      </c>
      <c r="CP259">
        <f t="shared" si="57"/>
        <v>-3.0999999999999999E-3</v>
      </c>
      <c r="CQ259">
        <f t="shared" si="57"/>
        <v>-2.3999999999999998E-3</v>
      </c>
      <c r="CR259">
        <f t="shared" si="57"/>
        <v>-5.1000000000000004E-3</v>
      </c>
      <c r="CS259">
        <f t="shared" si="57"/>
        <v>-6.4999999999999997E-3</v>
      </c>
      <c r="CT259">
        <f t="shared" si="57"/>
        <v>-7.0000000000000001E-3</v>
      </c>
      <c r="CU259">
        <f t="shared" si="57"/>
        <v>-7.899999999999999E-3</v>
      </c>
      <c r="CV259">
        <f t="shared" si="57"/>
        <v>-7.4000000000000003E-3</v>
      </c>
      <c r="CW259">
        <f t="shared" si="57"/>
        <v>-1.04E-2</v>
      </c>
      <c r="CX259">
        <f t="shared" si="57"/>
        <v>-7.0000000000000001E-3</v>
      </c>
    </row>
    <row r="260" spans="1:102" x14ac:dyDescent="0.2">
      <c r="A260" t="s">
        <v>5918</v>
      </c>
      <c r="B260" t="s">
        <v>220</v>
      </c>
      <c r="C260" t="s">
        <v>222</v>
      </c>
      <c r="D260">
        <f t="shared" ref="D260:BO260" si="58">D208+D233</f>
        <v>5.74E-2</v>
      </c>
      <c r="E260">
        <f t="shared" si="58"/>
        <v>3.8199999999999998E-2</v>
      </c>
      <c r="F260">
        <f t="shared" si="58"/>
        <v>1.8599999999999998E-2</v>
      </c>
      <c r="G260">
        <f t="shared" si="58"/>
        <v>3.8600000000000002E-2</v>
      </c>
      <c r="H260">
        <f t="shared" si="58"/>
        <v>6.0999999999999995E-3</v>
      </c>
      <c r="I260">
        <f t="shared" si="58"/>
        <v>1.9900000000000001E-2</v>
      </c>
      <c r="J260">
        <f t="shared" si="58"/>
        <v>1.3299999999999999E-2</v>
      </c>
      <c r="K260">
        <f t="shared" si="58"/>
        <v>1.21E-2</v>
      </c>
      <c r="L260">
        <f t="shared" si="58"/>
        <v>1.4500000000000001E-2</v>
      </c>
      <c r="M260">
        <f t="shared" si="58"/>
        <v>2.3999999999999998E-3</v>
      </c>
      <c r="N260">
        <f t="shared" si="58"/>
        <v>3.8000000000000004E-3</v>
      </c>
      <c r="O260">
        <f t="shared" si="58"/>
        <v>1.32E-2</v>
      </c>
      <c r="P260">
        <f t="shared" si="58"/>
        <v>9.7999999999999997E-3</v>
      </c>
      <c r="Q260">
        <f t="shared" si="58"/>
        <v>8.0999999999999996E-3</v>
      </c>
      <c r="R260">
        <f t="shared" si="58"/>
        <v>4.5999999999999999E-3</v>
      </c>
      <c r="S260">
        <f t="shared" si="58"/>
        <v>4.0999999999999995E-3</v>
      </c>
      <c r="T260">
        <f t="shared" si="58"/>
        <v>4.8000000000000004E-3</v>
      </c>
      <c r="U260">
        <f t="shared" si="58"/>
        <v>5.1999999999999998E-3</v>
      </c>
      <c r="V260">
        <f t="shared" si="58"/>
        <v>5.4000000000000003E-3</v>
      </c>
      <c r="W260">
        <f t="shared" si="58"/>
        <v>4.8000000000000004E-3</v>
      </c>
      <c r="X260">
        <f t="shared" si="58"/>
        <v>5.1000000000000004E-3</v>
      </c>
      <c r="Y260">
        <f t="shared" si="58"/>
        <v>5.5999999999999999E-3</v>
      </c>
      <c r="Z260">
        <f t="shared" si="58"/>
        <v>5.4000000000000003E-3</v>
      </c>
      <c r="AA260">
        <f t="shared" si="58"/>
        <v>5.1999999999999998E-3</v>
      </c>
      <c r="AB260">
        <f t="shared" si="58"/>
        <v>5.0000000000000001E-3</v>
      </c>
      <c r="AC260">
        <f t="shared" si="58"/>
        <v>4.8000000000000004E-3</v>
      </c>
      <c r="AD260">
        <f t="shared" si="58"/>
        <v>4.3E-3</v>
      </c>
      <c r="AE260">
        <f t="shared" si="58"/>
        <v>3.5999999999999999E-3</v>
      </c>
      <c r="AF260">
        <f t="shared" si="58"/>
        <v>3.4000000000000002E-3</v>
      </c>
      <c r="AG260">
        <f t="shared" si="58"/>
        <v>2.3E-3</v>
      </c>
      <c r="AH260">
        <f t="shared" si="58"/>
        <v>1.9E-3</v>
      </c>
      <c r="AI260">
        <f t="shared" si="58"/>
        <v>1.9E-3</v>
      </c>
      <c r="AJ260">
        <f t="shared" si="58"/>
        <v>2.3E-3</v>
      </c>
      <c r="AK260">
        <f t="shared" si="58"/>
        <v>2.4000000000000002E-3</v>
      </c>
      <c r="AL260">
        <f t="shared" si="58"/>
        <v>2.5000000000000001E-3</v>
      </c>
      <c r="AM260">
        <f t="shared" si="58"/>
        <v>2.4000000000000002E-3</v>
      </c>
      <c r="AN260">
        <f t="shared" si="58"/>
        <v>2.3E-3</v>
      </c>
      <c r="AO260">
        <f t="shared" si="58"/>
        <v>2.8E-3</v>
      </c>
      <c r="AP260">
        <f t="shared" si="58"/>
        <v>3.1999999999999997E-3</v>
      </c>
      <c r="AQ260">
        <f t="shared" si="58"/>
        <v>3.5999999999999999E-3</v>
      </c>
      <c r="AR260">
        <f t="shared" si="58"/>
        <v>3.8999999999999998E-3</v>
      </c>
      <c r="AS260">
        <f t="shared" si="58"/>
        <v>3.8E-3</v>
      </c>
      <c r="AT260">
        <f t="shared" si="58"/>
        <v>3.8E-3</v>
      </c>
      <c r="AU260">
        <f t="shared" si="58"/>
        <v>3.8999999999999998E-3</v>
      </c>
      <c r="AV260">
        <f t="shared" si="58"/>
        <v>3.4999999999999996E-3</v>
      </c>
      <c r="AW260">
        <f t="shared" si="58"/>
        <v>3.8E-3</v>
      </c>
      <c r="AX260">
        <f t="shared" si="58"/>
        <v>3.7000000000000002E-3</v>
      </c>
      <c r="AY260">
        <f t="shared" si="58"/>
        <v>3.3E-3</v>
      </c>
      <c r="AZ260">
        <f t="shared" si="58"/>
        <v>3.0000000000000001E-3</v>
      </c>
      <c r="BA260">
        <f t="shared" si="58"/>
        <v>2.4999999999999996E-3</v>
      </c>
      <c r="BB260">
        <f t="shared" si="58"/>
        <v>2.1999999999999997E-3</v>
      </c>
      <c r="BC260">
        <f t="shared" si="58"/>
        <v>2.8E-3</v>
      </c>
      <c r="BD260">
        <f t="shared" si="58"/>
        <v>3.4999999999999996E-3</v>
      </c>
      <c r="BE260">
        <f t="shared" si="58"/>
        <v>3.5999999999999999E-3</v>
      </c>
      <c r="BF260">
        <f t="shared" si="58"/>
        <v>3.4999999999999996E-3</v>
      </c>
      <c r="BG260">
        <f t="shared" si="58"/>
        <v>3.7000000000000002E-3</v>
      </c>
      <c r="BH260">
        <f t="shared" si="58"/>
        <v>3.3E-3</v>
      </c>
      <c r="BI260">
        <f t="shared" si="58"/>
        <v>3.1999999999999997E-3</v>
      </c>
      <c r="BJ260">
        <f t="shared" si="58"/>
        <v>3.4999999999999996E-3</v>
      </c>
      <c r="BK260">
        <f t="shared" si="58"/>
        <v>3.1999999999999997E-3</v>
      </c>
      <c r="BL260">
        <f t="shared" si="58"/>
        <v>3.1999999999999997E-3</v>
      </c>
      <c r="BM260">
        <f t="shared" si="58"/>
        <v>3.5999999999999999E-3</v>
      </c>
      <c r="BN260">
        <f t="shared" si="58"/>
        <v>4.0999999999999995E-3</v>
      </c>
      <c r="BO260">
        <f t="shared" si="58"/>
        <v>4.8000000000000004E-3</v>
      </c>
      <c r="BP260">
        <f t="shared" si="46"/>
        <v>5.3E-3</v>
      </c>
      <c r="BQ260">
        <f t="shared" si="57"/>
        <v>5.8999999999999999E-3</v>
      </c>
      <c r="BR260">
        <f t="shared" si="57"/>
        <v>5.7999999999999996E-3</v>
      </c>
      <c r="BS260">
        <f t="shared" si="57"/>
        <v>5.1000000000000004E-3</v>
      </c>
      <c r="BT260">
        <f t="shared" si="57"/>
        <v>5.7999999999999996E-3</v>
      </c>
      <c r="BU260">
        <f t="shared" si="57"/>
        <v>5.8000000000000005E-3</v>
      </c>
      <c r="BV260">
        <f t="shared" si="57"/>
        <v>5.1000000000000004E-3</v>
      </c>
      <c r="BW260">
        <f t="shared" si="57"/>
        <v>5.7000000000000002E-3</v>
      </c>
      <c r="BX260">
        <f t="shared" si="57"/>
        <v>5.1000000000000004E-3</v>
      </c>
      <c r="BY260">
        <f t="shared" si="57"/>
        <v>5.7000000000000002E-3</v>
      </c>
      <c r="BZ260">
        <f t="shared" si="57"/>
        <v>6.2000000000000006E-3</v>
      </c>
      <c r="CA260">
        <f t="shared" si="57"/>
        <v>7.1000000000000004E-3</v>
      </c>
      <c r="CB260">
        <f t="shared" si="57"/>
        <v>6.8999999999999999E-3</v>
      </c>
      <c r="CC260">
        <f t="shared" si="57"/>
        <v>7.1000000000000004E-3</v>
      </c>
      <c r="CD260">
        <f t="shared" si="57"/>
        <v>6.1999999999999998E-3</v>
      </c>
      <c r="CE260">
        <f t="shared" si="57"/>
        <v>6.0000000000000001E-3</v>
      </c>
      <c r="CF260">
        <f t="shared" si="57"/>
        <v>5.8999999999999999E-3</v>
      </c>
      <c r="CG260">
        <f t="shared" si="57"/>
        <v>5.7999999999999996E-3</v>
      </c>
      <c r="CH260">
        <f t="shared" si="57"/>
        <v>4.4000000000000003E-3</v>
      </c>
      <c r="CI260">
        <f t="shared" si="57"/>
        <v>3.1000000000000003E-3</v>
      </c>
      <c r="CJ260">
        <f t="shared" si="57"/>
        <v>1.9E-3</v>
      </c>
      <c r="CK260">
        <f t="shared" si="57"/>
        <v>4.1999999999999997E-3</v>
      </c>
      <c r="CL260">
        <f t="shared" si="57"/>
        <v>4.7000000000000002E-3</v>
      </c>
      <c r="CM260">
        <f t="shared" si="57"/>
        <v>4.8000000000000004E-3</v>
      </c>
      <c r="CN260">
        <f t="shared" si="57"/>
        <v>4.7000000000000002E-3</v>
      </c>
      <c r="CO260">
        <f t="shared" si="57"/>
        <v>3.8999999999999998E-3</v>
      </c>
      <c r="CP260">
        <f t="shared" si="57"/>
        <v>2.8999999999999998E-3</v>
      </c>
      <c r="CQ260">
        <f t="shared" si="57"/>
        <v>4.1000000000000003E-3</v>
      </c>
      <c r="CR260">
        <f t="shared" si="57"/>
        <v>3.0999999999999999E-3</v>
      </c>
      <c r="CS260">
        <f t="shared" si="57"/>
        <v>1.5E-3</v>
      </c>
      <c r="CT260">
        <f t="shared" si="57"/>
        <v>2E-3</v>
      </c>
      <c r="CU260">
        <f t="shared" si="57"/>
        <v>6.0000000000000006E-4</v>
      </c>
      <c r="CV260">
        <f t="shared" si="57"/>
        <v>2.1999999999999997E-3</v>
      </c>
      <c r="CW260">
        <f t="shared" si="57"/>
        <v>1.8E-3</v>
      </c>
      <c r="CX260">
        <f t="shared" si="57"/>
        <v>7.4000000000000003E-3</v>
      </c>
    </row>
    <row r="261" spans="1:102" x14ac:dyDescent="0.2">
      <c r="A261" t="s">
        <v>5919</v>
      </c>
      <c r="B261" t="s">
        <v>220</v>
      </c>
      <c r="C261" t="s">
        <v>222</v>
      </c>
      <c r="D261">
        <f t="shared" ref="D261:BO261" si="59">D209+D234</f>
        <v>-0.11169999999999999</v>
      </c>
      <c r="E261">
        <f t="shared" si="59"/>
        <v>-7.8300000000000008E-2</v>
      </c>
      <c r="F261">
        <f t="shared" si="59"/>
        <v>-1.3000000000000001E-2</v>
      </c>
      <c r="G261">
        <f t="shared" si="59"/>
        <v>-0.15049999999999999</v>
      </c>
      <c r="H261">
        <f t="shared" si="59"/>
        <v>5.8599999999999999E-2</v>
      </c>
      <c r="I261">
        <f t="shared" si="59"/>
        <v>-9.3399999999999997E-2</v>
      </c>
      <c r="J261">
        <f t="shared" si="59"/>
        <v>-1.8000000000000002E-2</v>
      </c>
      <c r="K261">
        <f t="shared" si="59"/>
        <v>-2.0200000000000003E-2</v>
      </c>
      <c r="L261">
        <f t="shared" si="59"/>
        <v>-5.2499999999999998E-2</v>
      </c>
      <c r="M261">
        <f t="shared" si="59"/>
        <v>7.8100000000000003E-2</v>
      </c>
      <c r="N261">
        <f t="shared" si="59"/>
        <v>6.8099999999999994E-2</v>
      </c>
      <c r="O261">
        <f t="shared" si="59"/>
        <v>-6.3899999999999998E-2</v>
      </c>
      <c r="P261">
        <f t="shared" si="59"/>
        <v>-1.1199999999999998E-2</v>
      </c>
      <c r="Q261">
        <f t="shared" si="59"/>
        <v>1.0400000000000001E-2</v>
      </c>
      <c r="R261">
        <f t="shared" si="59"/>
        <v>3.4300000000000004E-2</v>
      </c>
      <c r="S261">
        <f t="shared" si="59"/>
        <v>1.89E-2</v>
      </c>
      <c r="T261">
        <f t="shared" si="59"/>
        <v>-2.6999999999999993E-3</v>
      </c>
      <c r="U261">
        <f t="shared" si="59"/>
        <v>-1.2699999999999999E-2</v>
      </c>
      <c r="V261">
        <f t="shared" si="59"/>
        <v>-1.55E-2</v>
      </c>
      <c r="W261">
        <f t="shared" si="59"/>
        <v>-1.7500000000000002E-2</v>
      </c>
      <c r="X261">
        <f t="shared" si="59"/>
        <v>-2.4199999999999999E-2</v>
      </c>
      <c r="Y261">
        <f t="shared" si="59"/>
        <v>-3.7600000000000001E-2</v>
      </c>
      <c r="Z261">
        <f t="shared" si="59"/>
        <v>-2.9699999999999997E-2</v>
      </c>
      <c r="AA261">
        <f t="shared" si="59"/>
        <v>-1.6899999999999998E-2</v>
      </c>
      <c r="AB261">
        <f t="shared" si="59"/>
        <v>-6.0999999999999995E-3</v>
      </c>
      <c r="AC261">
        <f t="shared" si="59"/>
        <v>3.0000000000000009E-3</v>
      </c>
      <c r="AD261">
        <f t="shared" si="59"/>
        <v>5.4999999999999997E-3</v>
      </c>
      <c r="AE261">
        <f t="shared" si="59"/>
        <v>3.700000000000001E-3</v>
      </c>
      <c r="AF261">
        <f t="shared" si="59"/>
        <v>4.0999999999999995E-3</v>
      </c>
      <c r="AG261">
        <f t="shared" si="59"/>
        <v>-9.9999999999999395E-5</v>
      </c>
      <c r="AH261">
        <f t="shared" si="59"/>
        <v>8.3999999999999995E-3</v>
      </c>
      <c r="AI261">
        <f t="shared" si="59"/>
        <v>6.5999999999999991E-3</v>
      </c>
      <c r="AJ261">
        <f t="shared" si="59"/>
        <v>3.3E-3</v>
      </c>
      <c r="AK261">
        <f t="shared" si="59"/>
        <v>5.000000000000001E-3</v>
      </c>
      <c r="AL261">
        <f t="shared" si="59"/>
        <v>7.8000000000000005E-3</v>
      </c>
      <c r="AM261">
        <f t="shared" si="59"/>
        <v>1.4000000000000002E-3</v>
      </c>
      <c r="AN261">
        <f t="shared" si="59"/>
        <v>-3.5000000000000001E-3</v>
      </c>
      <c r="AO261">
        <f t="shared" si="59"/>
        <v>-3.5999999999999999E-3</v>
      </c>
      <c r="AP261">
        <f t="shared" si="59"/>
        <v>6.0000000000000027E-4</v>
      </c>
      <c r="AQ261">
        <f t="shared" si="59"/>
        <v>3.3000000000000004E-3</v>
      </c>
      <c r="AR261">
        <f t="shared" si="59"/>
        <v>2E-3</v>
      </c>
      <c r="AS261">
        <f t="shared" si="59"/>
        <v>0</v>
      </c>
      <c r="AT261">
        <f t="shared" si="59"/>
        <v>-4.9999999999999979E-4</v>
      </c>
      <c r="AU261">
        <f t="shared" si="59"/>
        <v>3.0999999999999999E-3</v>
      </c>
      <c r="AV261">
        <f t="shared" si="59"/>
        <v>1.5600000000000001E-2</v>
      </c>
      <c r="AW261">
        <f t="shared" si="59"/>
        <v>1.84E-2</v>
      </c>
      <c r="AX261">
        <f t="shared" si="59"/>
        <v>8.8000000000000005E-3</v>
      </c>
      <c r="AY261">
        <f t="shared" si="59"/>
        <v>6.9999999999999993E-3</v>
      </c>
      <c r="AZ261">
        <f t="shared" si="59"/>
        <v>3.4000000000000002E-3</v>
      </c>
      <c r="BA261">
        <f t="shared" si="59"/>
        <v>4.9999999999999992E-3</v>
      </c>
      <c r="BB261">
        <f t="shared" si="59"/>
        <v>6.9999999999999988E-4</v>
      </c>
      <c r="BC261">
        <f t="shared" si="59"/>
        <v>3.8000000000000004E-3</v>
      </c>
      <c r="BD261">
        <f t="shared" si="59"/>
        <v>4.0000000000000018E-4</v>
      </c>
      <c r="BE261">
        <f t="shared" si="59"/>
        <v>2.3E-3</v>
      </c>
      <c r="BF261">
        <f t="shared" si="59"/>
        <v>2.8E-3</v>
      </c>
      <c r="BG261">
        <f t="shared" si="59"/>
        <v>1.09E-2</v>
      </c>
      <c r="BH261">
        <f t="shared" si="59"/>
        <v>1.5799999999999998E-2</v>
      </c>
      <c r="BI261">
        <f t="shared" si="59"/>
        <v>9.1999999999999998E-3</v>
      </c>
      <c r="BJ261">
        <f t="shared" si="59"/>
        <v>8.8000000000000005E-3</v>
      </c>
      <c r="BK261">
        <f t="shared" si="59"/>
        <v>6.0999999999999995E-3</v>
      </c>
      <c r="BL261">
        <f t="shared" si="59"/>
        <v>4.8999999999999998E-3</v>
      </c>
      <c r="BM261">
        <f t="shared" si="59"/>
        <v>-8.0000000000000004E-4</v>
      </c>
      <c r="BN261">
        <f t="shared" si="59"/>
        <v>-5.5999999999999999E-3</v>
      </c>
      <c r="BO261">
        <f t="shared" si="59"/>
        <v>-7.7999999999999996E-3</v>
      </c>
      <c r="BP261">
        <f t="shared" si="46"/>
        <v>-7.7000000000000002E-3</v>
      </c>
      <c r="BQ261">
        <f t="shared" si="57"/>
        <v>-2E-3</v>
      </c>
      <c r="BR261">
        <f t="shared" si="57"/>
        <v>4.4000000000000003E-3</v>
      </c>
      <c r="BS261">
        <f t="shared" si="57"/>
        <v>9.3999999999999986E-3</v>
      </c>
      <c r="BT261">
        <f t="shared" si="57"/>
        <v>2.0100000000000003E-2</v>
      </c>
      <c r="BU261">
        <f t="shared" si="57"/>
        <v>2.23E-2</v>
      </c>
      <c r="BV261">
        <f t="shared" si="57"/>
        <v>2.5600000000000001E-2</v>
      </c>
      <c r="BW261">
        <f t="shared" si="57"/>
        <v>2.7200000000000002E-2</v>
      </c>
      <c r="BX261">
        <f t="shared" si="57"/>
        <v>1.18E-2</v>
      </c>
      <c r="BY261">
        <f t="shared" si="57"/>
        <v>2.2499999999999999E-2</v>
      </c>
      <c r="BZ261">
        <f t="shared" si="57"/>
        <v>2.3400000000000001E-2</v>
      </c>
      <c r="CA261">
        <f t="shared" si="57"/>
        <v>2.1100000000000001E-2</v>
      </c>
      <c r="CB261">
        <f t="shared" si="57"/>
        <v>2.1700000000000001E-2</v>
      </c>
      <c r="CC261">
        <f t="shared" si="57"/>
        <v>3.2799999999999996E-2</v>
      </c>
      <c r="CD261">
        <f t="shared" si="57"/>
        <v>2.12E-2</v>
      </c>
      <c r="CE261">
        <f t="shared" si="57"/>
        <v>1.8000000000000002E-2</v>
      </c>
      <c r="CF261">
        <f t="shared" si="57"/>
        <v>1.83E-2</v>
      </c>
      <c r="CG261">
        <f t="shared" si="57"/>
        <v>2.87E-2</v>
      </c>
      <c r="CH261">
        <f t="shared" si="57"/>
        <v>2.35E-2</v>
      </c>
      <c r="CI261">
        <f t="shared" si="57"/>
        <v>2.4300000000000002E-2</v>
      </c>
      <c r="CJ261">
        <f t="shared" si="57"/>
        <v>1.5599999999999999E-2</v>
      </c>
      <c r="CK261">
        <f t="shared" si="57"/>
        <v>1.2400000000000001E-2</v>
      </c>
      <c r="CL261">
        <f t="shared" si="57"/>
        <v>8.4999999999999989E-3</v>
      </c>
      <c r="CM261">
        <f t="shared" si="57"/>
        <v>2.0899999999999998E-2</v>
      </c>
      <c r="CN261">
        <f t="shared" si="57"/>
        <v>3.49E-2</v>
      </c>
      <c r="CO261">
        <f t="shared" si="57"/>
        <v>2.7099999999999999E-2</v>
      </c>
      <c r="CP261">
        <f t="shared" si="57"/>
        <v>2.86E-2</v>
      </c>
      <c r="CQ261">
        <f t="shared" si="57"/>
        <v>3.1399999999999997E-2</v>
      </c>
      <c r="CR261">
        <f t="shared" si="57"/>
        <v>3.6600000000000001E-2</v>
      </c>
      <c r="CS261">
        <f t="shared" si="57"/>
        <v>3.4999999999999996E-2</v>
      </c>
      <c r="CT261">
        <f t="shared" si="57"/>
        <v>3.3100000000000004E-2</v>
      </c>
      <c r="CU261">
        <f t="shared" si="57"/>
        <v>2.7299999999999998E-2</v>
      </c>
      <c r="CV261">
        <f t="shared" si="57"/>
        <v>4.5000000000000005E-3</v>
      </c>
      <c r="CW261">
        <f t="shared" si="57"/>
        <v>1.9799999999999998E-2</v>
      </c>
      <c r="CX261">
        <f t="shared" si="57"/>
        <v>1.6500000000000001E-2</v>
      </c>
    </row>
    <row r="262" spans="1:102" x14ac:dyDescent="0.2">
      <c r="A262" t="s">
        <v>5920</v>
      </c>
      <c r="B262" t="s">
        <v>220</v>
      </c>
      <c r="C262" t="s">
        <v>222</v>
      </c>
      <c r="D262">
        <f t="shared" ref="D262:BO262" si="60">D210+D235</f>
        <v>-5.7100000000000005E-2</v>
      </c>
      <c r="E262">
        <f t="shared" si="60"/>
        <v>-1.8200000000000001E-2</v>
      </c>
      <c r="F262">
        <f t="shared" si="60"/>
        <v>4.3799999999999999E-2</v>
      </c>
      <c r="G262">
        <f t="shared" si="60"/>
        <v>-0.1053</v>
      </c>
      <c r="H262">
        <f t="shared" si="60"/>
        <v>0.11</v>
      </c>
      <c r="I262">
        <f t="shared" si="60"/>
        <v>-4.7800000000000002E-2</v>
      </c>
      <c r="J262">
        <f t="shared" si="60"/>
        <v>2.8099999999999997E-2</v>
      </c>
      <c r="K262">
        <f t="shared" si="60"/>
        <v>2.4E-2</v>
      </c>
      <c r="L262">
        <f t="shared" si="60"/>
        <v>-1.12E-2</v>
      </c>
      <c r="M262">
        <f t="shared" si="60"/>
        <v>0.11599999999999999</v>
      </c>
      <c r="N262">
        <f t="shared" si="60"/>
        <v>0.1036</v>
      </c>
      <c r="O262">
        <f t="shared" si="60"/>
        <v>-3.6199999999999996E-2</v>
      </c>
      <c r="P262">
        <f t="shared" si="60"/>
        <v>1.5100000000000001E-2</v>
      </c>
      <c r="Q262">
        <f t="shared" si="60"/>
        <v>3.39E-2</v>
      </c>
      <c r="R262">
        <f t="shared" si="60"/>
        <v>5.4699999999999999E-2</v>
      </c>
      <c r="S262">
        <f t="shared" si="60"/>
        <v>3.7399999999999996E-2</v>
      </c>
      <c r="T262">
        <f t="shared" si="60"/>
        <v>1.3899999999999999E-2</v>
      </c>
      <c r="U262">
        <f t="shared" si="60"/>
        <v>3.3000000000000008E-3</v>
      </c>
      <c r="V262">
        <f t="shared" si="60"/>
        <v>-8.9999999999999976E-4</v>
      </c>
      <c r="W262">
        <f t="shared" si="60"/>
        <v>-3.2000000000000002E-3</v>
      </c>
      <c r="X262">
        <f t="shared" si="60"/>
        <v>-1.0200000000000001E-2</v>
      </c>
      <c r="Y262">
        <f t="shared" si="60"/>
        <v>-2.4499999999999997E-2</v>
      </c>
      <c r="Z262">
        <f t="shared" si="60"/>
        <v>-1.67E-2</v>
      </c>
      <c r="AA262">
        <f t="shared" si="60"/>
        <v>-3.8999999999999998E-3</v>
      </c>
      <c r="AB262">
        <f t="shared" si="60"/>
        <v>6.7999999999999996E-3</v>
      </c>
      <c r="AC262">
        <f t="shared" si="60"/>
        <v>1.5700000000000002E-2</v>
      </c>
      <c r="AD262">
        <f t="shared" si="60"/>
        <v>1.8099999999999998E-2</v>
      </c>
      <c r="AE262">
        <f t="shared" si="60"/>
        <v>1.6399999999999998E-2</v>
      </c>
      <c r="AF262">
        <f t="shared" si="60"/>
        <v>1.6799999999999999E-2</v>
      </c>
      <c r="AG262">
        <f t="shared" si="60"/>
        <v>1.2700000000000001E-2</v>
      </c>
      <c r="AH262">
        <f t="shared" si="60"/>
        <v>2.1500000000000002E-2</v>
      </c>
      <c r="AI262">
        <f t="shared" si="60"/>
        <v>1.9900000000000001E-2</v>
      </c>
      <c r="AJ262">
        <f t="shared" si="60"/>
        <v>1.67E-2</v>
      </c>
      <c r="AK262">
        <f t="shared" si="60"/>
        <v>1.89E-2</v>
      </c>
      <c r="AL262">
        <f t="shared" si="60"/>
        <v>2.23E-2</v>
      </c>
      <c r="AM262">
        <f t="shared" si="60"/>
        <v>1.6200000000000003E-2</v>
      </c>
      <c r="AN262">
        <f t="shared" si="60"/>
        <v>1.15E-2</v>
      </c>
      <c r="AO262">
        <f t="shared" si="60"/>
        <v>1.1600000000000001E-2</v>
      </c>
      <c r="AP262">
        <f t="shared" si="60"/>
        <v>1.6E-2</v>
      </c>
      <c r="AQ262">
        <f t="shared" si="60"/>
        <v>1.8699999999999998E-2</v>
      </c>
      <c r="AR262">
        <f t="shared" si="60"/>
        <v>1.7599999999999998E-2</v>
      </c>
      <c r="AS262">
        <f t="shared" si="60"/>
        <v>1.5700000000000002E-2</v>
      </c>
      <c r="AT262">
        <f t="shared" si="60"/>
        <v>1.5199999999999998E-2</v>
      </c>
      <c r="AU262">
        <f t="shared" si="60"/>
        <v>1.8700000000000001E-2</v>
      </c>
      <c r="AV262">
        <f t="shared" si="60"/>
        <v>3.1199999999999999E-2</v>
      </c>
      <c r="AW262">
        <f t="shared" si="60"/>
        <v>3.3900000000000007E-2</v>
      </c>
      <c r="AX262">
        <f t="shared" si="60"/>
        <v>2.4399999999999998E-2</v>
      </c>
      <c r="AY262">
        <f t="shared" si="60"/>
        <v>2.2800000000000001E-2</v>
      </c>
      <c r="AZ262">
        <f t="shared" si="60"/>
        <v>1.9099999999999999E-2</v>
      </c>
      <c r="BA262">
        <f t="shared" si="60"/>
        <v>2.0899999999999998E-2</v>
      </c>
      <c r="BB262">
        <f t="shared" si="60"/>
        <v>1.7000000000000001E-2</v>
      </c>
      <c r="BC262">
        <f t="shared" si="60"/>
        <v>2.0400000000000001E-2</v>
      </c>
      <c r="BD262">
        <f t="shared" si="60"/>
        <v>1.7399999999999999E-2</v>
      </c>
      <c r="BE262">
        <f t="shared" si="60"/>
        <v>1.9599999999999999E-2</v>
      </c>
      <c r="BF262">
        <f t="shared" si="60"/>
        <v>2.07E-2</v>
      </c>
      <c r="BG262">
        <f t="shared" si="60"/>
        <v>2.8799999999999999E-2</v>
      </c>
      <c r="BH262">
        <f t="shared" si="60"/>
        <v>3.39E-2</v>
      </c>
      <c r="BI262">
        <f t="shared" si="60"/>
        <v>2.75E-2</v>
      </c>
      <c r="BJ262">
        <f t="shared" si="60"/>
        <v>2.7199999999999998E-2</v>
      </c>
      <c r="BK262">
        <f t="shared" si="60"/>
        <v>2.4799999999999999E-2</v>
      </c>
      <c r="BL262">
        <f t="shared" si="60"/>
        <v>2.3699999999999999E-2</v>
      </c>
      <c r="BM262">
        <f t="shared" si="60"/>
        <v>1.8099999999999998E-2</v>
      </c>
      <c r="BN262">
        <f t="shared" si="60"/>
        <v>1.3600000000000001E-2</v>
      </c>
      <c r="BO262">
        <f t="shared" si="60"/>
        <v>1.1299999999999999E-2</v>
      </c>
      <c r="BP262">
        <f t="shared" si="46"/>
        <v>1.1300000000000001E-2</v>
      </c>
      <c r="BQ262">
        <f t="shared" si="57"/>
        <v>1.72E-2</v>
      </c>
      <c r="BR262">
        <f t="shared" si="57"/>
        <v>2.3299999999999998E-2</v>
      </c>
      <c r="BS262">
        <f t="shared" si="57"/>
        <v>2.8399999999999998E-2</v>
      </c>
      <c r="BT262">
        <f t="shared" si="57"/>
        <v>3.9099999999999996E-2</v>
      </c>
      <c r="BU262">
        <f t="shared" si="57"/>
        <v>4.2700000000000002E-2</v>
      </c>
      <c r="BV262">
        <f t="shared" si="57"/>
        <v>4.9099999999999998E-2</v>
      </c>
      <c r="BW262">
        <f t="shared" si="57"/>
        <v>5.2500000000000005E-2</v>
      </c>
      <c r="BX262">
        <f t="shared" si="57"/>
        <v>3.73E-2</v>
      </c>
      <c r="BY262">
        <f t="shared" si="57"/>
        <v>4.7900000000000005E-2</v>
      </c>
      <c r="BZ262">
        <f t="shared" si="57"/>
        <v>4.8400000000000006E-2</v>
      </c>
      <c r="CA262">
        <f t="shared" si="57"/>
        <v>4.5900000000000003E-2</v>
      </c>
      <c r="CB262">
        <f t="shared" si="57"/>
        <v>4.7199999999999999E-2</v>
      </c>
      <c r="CC262">
        <f t="shared" si="57"/>
        <v>5.9200000000000003E-2</v>
      </c>
      <c r="CD262">
        <f t="shared" si="57"/>
        <v>4.8300000000000003E-2</v>
      </c>
      <c r="CE262">
        <f t="shared" si="57"/>
        <v>4.5899999999999996E-2</v>
      </c>
      <c r="CF262">
        <f t="shared" si="57"/>
        <v>4.65E-2</v>
      </c>
      <c r="CG262">
        <f t="shared" si="57"/>
        <v>5.67E-2</v>
      </c>
      <c r="CH262">
        <f t="shared" si="57"/>
        <v>5.3199999999999997E-2</v>
      </c>
      <c r="CI262">
        <f t="shared" si="57"/>
        <v>5.6399999999999999E-2</v>
      </c>
      <c r="CJ262">
        <f t="shared" si="57"/>
        <v>5.0599999999999999E-2</v>
      </c>
      <c r="CK262">
        <f t="shared" si="57"/>
        <v>4.8899999999999999E-2</v>
      </c>
      <c r="CL262">
        <f t="shared" si="57"/>
        <v>4.3700000000000003E-2</v>
      </c>
      <c r="CM262">
        <f t="shared" si="57"/>
        <v>5.5100000000000003E-2</v>
      </c>
      <c r="CN262">
        <f t="shared" si="57"/>
        <v>7.4999999999999997E-2</v>
      </c>
      <c r="CO262">
        <f t="shared" si="57"/>
        <v>6.8599999999999994E-2</v>
      </c>
      <c r="CP262">
        <f t="shared" si="57"/>
        <v>6.6500000000000004E-2</v>
      </c>
      <c r="CQ262">
        <f t="shared" si="57"/>
        <v>7.3499999999999996E-2</v>
      </c>
      <c r="CR262">
        <f t="shared" si="57"/>
        <v>9.0900000000000009E-2</v>
      </c>
      <c r="CS262">
        <f t="shared" si="57"/>
        <v>8.9599999999999999E-2</v>
      </c>
      <c r="CT262">
        <f t="shared" si="57"/>
        <v>9.6300000000000011E-2</v>
      </c>
      <c r="CU262">
        <f t="shared" si="57"/>
        <v>8.6800000000000002E-2</v>
      </c>
      <c r="CV262">
        <f t="shared" si="57"/>
        <v>7.3300000000000004E-2</v>
      </c>
      <c r="CW262">
        <f t="shared" si="57"/>
        <v>0.11499999999999999</v>
      </c>
      <c r="CX262">
        <f t="shared" si="57"/>
        <v>0.1187</v>
      </c>
    </row>
    <row r="263" spans="1:102" x14ac:dyDescent="0.2">
      <c r="A263" t="s">
        <v>5921</v>
      </c>
      <c r="B263" t="s">
        <v>220</v>
      </c>
      <c r="C263" t="s">
        <v>222</v>
      </c>
      <c r="D263">
        <f t="shared" ref="D263:BO263" si="61">D211+D236</f>
        <v>2.7199999999999998E-2</v>
      </c>
      <c r="E263">
        <f t="shared" si="61"/>
        <v>3.7000000000000005E-2</v>
      </c>
      <c r="F263">
        <f t="shared" si="61"/>
        <v>3.1E-2</v>
      </c>
      <c r="G263">
        <f t="shared" si="61"/>
        <v>2.5899999999999999E-2</v>
      </c>
      <c r="H263">
        <f t="shared" si="61"/>
        <v>4.7800000000000002E-2</v>
      </c>
      <c r="I263">
        <f t="shared" si="61"/>
        <v>3.8599999999999995E-2</v>
      </c>
      <c r="J263">
        <f t="shared" si="61"/>
        <v>3.0100000000000002E-2</v>
      </c>
      <c r="K263">
        <f t="shared" si="61"/>
        <v>2.0499999999999997E-2</v>
      </c>
      <c r="L263">
        <f t="shared" si="61"/>
        <v>2.07E-2</v>
      </c>
      <c r="M263">
        <f t="shared" si="61"/>
        <v>1.7000000000000001E-2</v>
      </c>
      <c r="N263">
        <f t="shared" si="61"/>
        <v>1.2500000000000001E-2</v>
      </c>
      <c r="O263">
        <f t="shared" si="61"/>
        <v>2.3999999999999998E-3</v>
      </c>
      <c r="P263">
        <f t="shared" si="61"/>
        <v>1.5699999999999999E-2</v>
      </c>
      <c r="Q263">
        <f t="shared" si="61"/>
        <v>1.2999999999999999E-3</v>
      </c>
      <c r="R263">
        <f t="shared" si="61"/>
        <v>3.2000000000000002E-3</v>
      </c>
      <c r="S263">
        <f t="shared" si="61"/>
        <v>7.1000000000000004E-3</v>
      </c>
      <c r="T263">
        <f t="shared" si="61"/>
        <v>-1.8E-3</v>
      </c>
      <c r="U263">
        <f t="shared" si="61"/>
        <v>3.8999999999999998E-3</v>
      </c>
      <c r="V263">
        <f t="shared" si="61"/>
        <v>1.8999999999999998E-3</v>
      </c>
      <c r="W263">
        <f t="shared" si="61"/>
        <v>1.3000000000000002E-3</v>
      </c>
      <c r="X263">
        <f t="shared" si="61"/>
        <v>2.5999999999999999E-3</v>
      </c>
      <c r="Y263">
        <f t="shared" si="61"/>
        <v>-2.9999999999999992E-4</v>
      </c>
      <c r="Z263">
        <f t="shared" si="61"/>
        <v>-2.3999999999999998E-3</v>
      </c>
      <c r="AA263">
        <f t="shared" si="61"/>
        <v>-5.7000000000000002E-3</v>
      </c>
      <c r="AB263">
        <f t="shared" si="61"/>
        <v>3.8999999999999998E-3</v>
      </c>
      <c r="AC263">
        <f t="shared" si="61"/>
        <v>-3.5000000000000001E-3</v>
      </c>
      <c r="AD263">
        <f t="shared" si="61"/>
        <v>-1.2999999999999999E-3</v>
      </c>
      <c r="AE263">
        <f t="shared" si="61"/>
        <v>-2.6999999999999997E-3</v>
      </c>
      <c r="AF263">
        <f t="shared" si="61"/>
        <v>3.8999999999999998E-3</v>
      </c>
      <c r="AG263">
        <f t="shared" si="61"/>
        <v>6.0000000000000001E-3</v>
      </c>
      <c r="AH263">
        <f t="shared" si="61"/>
        <v>4.8000000000000004E-3</v>
      </c>
      <c r="AI263">
        <f t="shared" si="61"/>
        <v>1.0000000000000026E-4</v>
      </c>
      <c r="AJ263">
        <f t="shared" si="61"/>
        <v>3.1999999999999997E-3</v>
      </c>
      <c r="AK263">
        <f t="shared" si="61"/>
        <v>-8.9999999999999976E-4</v>
      </c>
      <c r="AL263">
        <f t="shared" si="61"/>
        <v>1.3999999999999998E-3</v>
      </c>
      <c r="AM263">
        <f t="shared" si="61"/>
        <v>1.6999999999999997E-3</v>
      </c>
      <c r="AN263">
        <f t="shared" si="61"/>
        <v>-2.3999999999999998E-3</v>
      </c>
      <c r="AO263">
        <f t="shared" si="61"/>
        <v>-3.0999999999999999E-3</v>
      </c>
      <c r="AP263">
        <f t="shared" si="61"/>
        <v>2.9999999999999996E-3</v>
      </c>
      <c r="AQ263">
        <f t="shared" si="61"/>
        <v>1.5E-3</v>
      </c>
      <c r="AR263">
        <f t="shared" si="61"/>
        <v>2.8E-3</v>
      </c>
      <c r="AS263">
        <f t="shared" si="61"/>
        <v>-1.5E-3</v>
      </c>
      <c r="AT263">
        <f t="shared" si="61"/>
        <v>-2.0000000000000005E-3</v>
      </c>
      <c r="AU263">
        <f t="shared" si="61"/>
        <v>-2.8999999999999998E-3</v>
      </c>
      <c r="AV263">
        <f t="shared" si="61"/>
        <v>-1E-3</v>
      </c>
      <c r="AW263">
        <f t="shared" si="61"/>
        <v>-9.0000000000000019E-4</v>
      </c>
      <c r="AX263">
        <f t="shared" si="61"/>
        <v>-2.2000000000000001E-3</v>
      </c>
      <c r="AY263">
        <f t="shared" si="61"/>
        <v>-5.9999999999999984E-4</v>
      </c>
      <c r="AZ263">
        <f t="shared" si="61"/>
        <v>2.8999999999999998E-3</v>
      </c>
      <c r="BA263">
        <f t="shared" si="61"/>
        <v>-2.0000000000000009E-4</v>
      </c>
      <c r="BB263">
        <f t="shared" si="61"/>
        <v>1.9999999999999987E-4</v>
      </c>
      <c r="BC263">
        <f t="shared" si="61"/>
        <v>-1.9000000000000002E-3</v>
      </c>
      <c r="BD263">
        <f t="shared" si="61"/>
        <v>-1.4000000000000002E-3</v>
      </c>
      <c r="BE263">
        <f t="shared" si="61"/>
        <v>-1.0999999999999998E-3</v>
      </c>
      <c r="BF263">
        <f t="shared" si="61"/>
        <v>4.0000000000000018E-4</v>
      </c>
      <c r="BG263">
        <f t="shared" si="61"/>
        <v>-2.9999999999999992E-4</v>
      </c>
      <c r="BH263">
        <f t="shared" si="61"/>
        <v>-1E-3</v>
      </c>
      <c r="BI263">
        <f t="shared" si="61"/>
        <v>-6.9999999999999967E-4</v>
      </c>
      <c r="BJ263">
        <f t="shared" si="61"/>
        <v>-4.8000000000000004E-3</v>
      </c>
      <c r="BK263">
        <f t="shared" si="61"/>
        <v>5.4999999999999997E-3</v>
      </c>
      <c r="BL263">
        <f t="shared" si="61"/>
        <v>-1.5999999999999999E-3</v>
      </c>
      <c r="BM263">
        <f t="shared" si="61"/>
        <v>1.0999999999999998E-3</v>
      </c>
      <c r="BN263">
        <f t="shared" si="61"/>
        <v>2.5999999999999999E-3</v>
      </c>
      <c r="BO263">
        <f t="shared" si="61"/>
        <v>4.2000000000000006E-3</v>
      </c>
      <c r="BP263">
        <f t="shared" si="46"/>
        <v>3.3E-3</v>
      </c>
      <c r="BQ263">
        <f t="shared" si="57"/>
        <v>-1.4E-3</v>
      </c>
      <c r="BR263">
        <f t="shared" si="57"/>
        <v>-1.17E-2</v>
      </c>
      <c r="BS263">
        <f t="shared" si="57"/>
        <v>-5.6000000000000008E-3</v>
      </c>
      <c r="BT263">
        <f t="shared" si="57"/>
        <v>2.5999999999999999E-3</v>
      </c>
      <c r="BU263">
        <f t="shared" si="57"/>
        <v>2.5999999999999999E-3</v>
      </c>
      <c r="BV263">
        <f t="shared" si="57"/>
        <v>1.0000000000000005E-4</v>
      </c>
      <c r="BW263">
        <f t="shared" si="57"/>
        <v>-2E-3</v>
      </c>
      <c r="BX263">
        <f t="shared" si="57"/>
        <v>3.0000000000000001E-3</v>
      </c>
      <c r="BY263">
        <f t="shared" si="57"/>
        <v>7.9999999999999993E-4</v>
      </c>
      <c r="BZ263">
        <f t="shared" si="57"/>
        <v>-3.6999999999999997E-3</v>
      </c>
      <c r="CA263">
        <f t="shared" si="57"/>
        <v>-1.4999999999999998E-3</v>
      </c>
      <c r="CB263">
        <f t="shared" si="57"/>
        <v>6.0000000000000001E-3</v>
      </c>
      <c r="CC263">
        <f t="shared" si="57"/>
        <v>2.0999999999999999E-3</v>
      </c>
      <c r="CD263">
        <f t="shared" si="57"/>
        <v>7.3000000000000001E-3</v>
      </c>
      <c r="CE263">
        <f t="shared" si="57"/>
        <v>7.4999999999999997E-3</v>
      </c>
      <c r="CF263">
        <f t="shared" si="57"/>
        <v>-6.0999999999999995E-3</v>
      </c>
      <c r="CG263">
        <f t="shared" si="57"/>
        <v>6.6E-3</v>
      </c>
      <c r="CH263">
        <f t="shared" si="57"/>
        <v>2.8999999999999998E-3</v>
      </c>
      <c r="CI263">
        <f t="shared" si="57"/>
        <v>9.4000000000000004E-3</v>
      </c>
      <c r="CJ263">
        <f t="shared" si="57"/>
        <v>2.7000000000000001E-3</v>
      </c>
      <c r="CK263">
        <f t="shared" si="57"/>
        <v>9.9000000000000008E-3</v>
      </c>
      <c r="CL263">
        <f t="shared" si="57"/>
        <v>6.6E-3</v>
      </c>
      <c r="CM263">
        <f t="shared" si="57"/>
        <v>9.1999999999999998E-3</v>
      </c>
      <c r="CN263">
        <f t="shared" si="57"/>
        <v>8.199999999999999E-3</v>
      </c>
      <c r="CO263">
        <f t="shared" si="57"/>
        <v>6.4999999999999997E-3</v>
      </c>
      <c r="CP263">
        <f t="shared" si="57"/>
        <v>7.0000000000000001E-3</v>
      </c>
      <c r="CQ263">
        <f t="shared" si="57"/>
        <v>1.72E-2</v>
      </c>
      <c r="CR263">
        <f t="shared" si="57"/>
        <v>1.7500000000000002E-2</v>
      </c>
      <c r="CS263">
        <f t="shared" si="57"/>
        <v>7.899999999999999E-3</v>
      </c>
      <c r="CT263">
        <f t="shared" si="57"/>
        <v>2.6099999999999998E-2</v>
      </c>
      <c r="CU263">
        <f t="shared" si="57"/>
        <v>2.2200000000000001E-2</v>
      </c>
      <c r="CV263">
        <f t="shared" si="57"/>
        <v>2.2699999999999998E-2</v>
      </c>
      <c r="CW263">
        <f t="shared" si="57"/>
        <v>1.8200000000000001E-2</v>
      </c>
      <c r="CX263">
        <f t="shared" si="57"/>
        <v>1.89E-2</v>
      </c>
    </row>
    <row r="264" spans="1:102" x14ac:dyDescent="0.2">
      <c r="A264" t="s">
        <v>5922</v>
      </c>
      <c r="B264" t="s">
        <v>220</v>
      </c>
      <c r="C264" t="s">
        <v>222</v>
      </c>
      <c r="D264">
        <f t="shared" ref="D264:BO264" si="62">D212+D237</f>
        <v>6.1800000000000001E-2</v>
      </c>
      <c r="E264">
        <f t="shared" si="62"/>
        <v>7.7799999999999994E-2</v>
      </c>
      <c r="F264">
        <f t="shared" si="62"/>
        <v>6.9399999999999989E-2</v>
      </c>
      <c r="G264">
        <f t="shared" si="62"/>
        <v>5.5399999999999998E-2</v>
      </c>
      <c r="H264">
        <f t="shared" si="62"/>
        <v>8.1099999999999992E-2</v>
      </c>
      <c r="I264">
        <f t="shared" si="62"/>
        <v>6.7400000000000002E-2</v>
      </c>
      <c r="J264">
        <f t="shared" si="62"/>
        <v>5.8700000000000002E-2</v>
      </c>
      <c r="K264">
        <f t="shared" si="62"/>
        <v>4.6600000000000003E-2</v>
      </c>
      <c r="L264">
        <f t="shared" si="62"/>
        <v>4.5099999999999994E-2</v>
      </c>
      <c r="M264">
        <f t="shared" si="62"/>
        <v>3.8900000000000004E-2</v>
      </c>
      <c r="N264">
        <f t="shared" si="62"/>
        <v>3.27E-2</v>
      </c>
      <c r="O264">
        <f t="shared" si="62"/>
        <v>1.8200000000000001E-2</v>
      </c>
      <c r="P264">
        <f t="shared" si="62"/>
        <v>3.0499999999999999E-2</v>
      </c>
      <c r="Q264">
        <f t="shared" si="62"/>
        <v>1.4499999999999999E-2</v>
      </c>
      <c r="R264">
        <f t="shared" si="62"/>
        <v>1.4599999999999998E-2</v>
      </c>
      <c r="S264">
        <f t="shared" si="62"/>
        <v>1.7500000000000002E-2</v>
      </c>
      <c r="T264">
        <f t="shared" si="62"/>
        <v>7.4999999999999997E-3</v>
      </c>
      <c r="U264">
        <f t="shared" si="62"/>
        <v>1.2800000000000001E-2</v>
      </c>
      <c r="V264">
        <f t="shared" si="62"/>
        <v>1.0100000000000001E-2</v>
      </c>
      <c r="W264">
        <f t="shared" si="62"/>
        <v>9.4999999999999998E-3</v>
      </c>
      <c r="X264">
        <f t="shared" si="62"/>
        <v>1.06E-2</v>
      </c>
      <c r="Y264">
        <f t="shared" si="62"/>
        <v>7.3000000000000001E-3</v>
      </c>
      <c r="Z264">
        <f t="shared" si="62"/>
        <v>5.2000000000000006E-3</v>
      </c>
      <c r="AA264">
        <f t="shared" si="62"/>
        <v>1.8E-3</v>
      </c>
      <c r="AB264">
        <f t="shared" si="62"/>
        <v>1.15E-2</v>
      </c>
      <c r="AC264">
        <f t="shared" si="62"/>
        <v>4.0000000000000001E-3</v>
      </c>
      <c r="AD264">
        <f t="shared" si="62"/>
        <v>6.1000000000000004E-3</v>
      </c>
      <c r="AE264">
        <f t="shared" si="62"/>
        <v>4.5999999999999999E-3</v>
      </c>
      <c r="AF264">
        <f t="shared" si="62"/>
        <v>1.15E-2</v>
      </c>
      <c r="AG264">
        <f t="shared" si="62"/>
        <v>1.37E-2</v>
      </c>
      <c r="AH264">
        <f t="shared" si="62"/>
        <v>1.26E-2</v>
      </c>
      <c r="AI264">
        <f t="shared" si="62"/>
        <v>8.0999999999999996E-3</v>
      </c>
      <c r="AJ264">
        <f t="shared" si="62"/>
        <v>1.1300000000000001E-2</v>
      </c>
      <c r="AK264">
        <f t="shared" si="62"/>
        <v>7.5999999999999991E-3</v>
      </c>
      <c r="AL264">
        <f t="shared" si="62"/>
        <v>1.0200000000000001E-2</v>
      </c>
      <c r="AM264">
        <f t="shared" si="62"/>
        <v>1.0499999999999999E-2</v>
      </c>
      <c r="AN264">
        <f t="shared" si="62"/>
        <v>6.6E-3</v>
      </c>
      <c r="AO264">
        <f t="shared" si="62"/>
        <v>6.1999999999999998E-3</v>
      </c>
      <c r="AP264">
        <f t="shared" si="62"/>
        <v>1.2199999999999999E-2</v>
      </c>
      <c r="AQ264">
        <f t="shared" si="62"/>
        <v>1.0800000000000001E-2</v>
      </c>
      <c r="AR264">
        <f t="shared" si="62"/>
        <v>1.2199999999999999E-2</v>
      </c>
      <c r="AS264">
        <f t="shared" si="62"/>
        <v>8.0000000000000002E-3</v>
      </c>
      <c r="AT264">
        <f t="shared" si="62"/>
        <v>7.6000000000000009E-3</v>
      </c>
      <c r="AU264">
        <f t="shared" si="62"/>
        <v>6.6999999999999994E-3</v>
      </c>
      <c r="AV264">
        <f t="shared" si="62"/>
        <v>8.5000000000000006E-3</v>
      </c>
      <c r="AW264">
        <f t="shared" si="62"/>
        <v>8.4000000000000012E-3</v>
      </c>
      <c r="AX264">
        <f t="shared" si="62"/>
        <v>7.1999999999999998E-3</v>
      </c>
      <c r="AY264">
        <f t="shared" si="62"/>
        <v>8.6999999999999994E-3</v>
      </c>
      <c r="AZ264">
        <f t="shared" si="62"/>
        <v>1.2200000000000001E-2</v>
      </c>
      <c r="BA264">
        <f t="shared" si="62"/>
        <v>9.4000000000000004E-3</v>
      </c>
      <c r="BB264">
        <f t="shared" si="62"/>
        <v>9.9000000000000008E-3</v>
      </c>
      <c r="BC264">
        <f t="shared" si="62"/>
        <v>8.0000000000000002E-3</v>
      </c>
      <c r="BD264">
        <f t="shared" si="62"/>
        <v>8.8000000000000005E-3</v>
      </c>
      <c r="BE264">
        <f t="shared" si="62"/>
        <v>9.2999999999999992E-3</v>
      </c>
      <c r="BF264">
        <f t="shared" si="62"/>
        <v>1.0999999999999999E-2</v>
      </c>
      <c r="BG264">
        <f t="shared" si="62"/>
        <v>1.03E-2</v>
      </c>
      <c r="BH264">
        <f t="shared" si="62"/>
        <v>9.7999999999999997E-3</v>
      </c>
      <c r="BI264">
        <f t="shared" si="62"/>
        <v>1.01E-2</v>
      </c>
      <c r="BJ264">
        <f t="shared" si="62"/>
        <v>5.8999999999999999E-3</v>
      </c>
      <c r="BK264">
        <f t="shared" si="62"/>
        <v>1.6199999999999999E-2</v>
      </c>
      <c r="BL264">
        <f t="shared" si="62"/>
        <v>9.2999999999999992E-3</v>
      </c>
      <c r="BM264">
        <f t="shared" si="62"/>
        <v>1.2E-2</v>
      </c>
      <c r="BN264">
        <f t="shared" si="62"/>
        <v>1.3599999999999999E-2</v>
      </c>
      <c r="BO264">
        <f t="shared" si="62"/>
        <v>1.5100000000000001E-2</v>
      </c>
      <c r="BP264">
        <f t="shared" si="46"/>
        <v>1.41E-2</v>
      </c>
      <c r="BQ264">
        <f t="shared" si="57"/>
        <v>9.6000000000000009E-3</v>
      </c>
      <c r="BR264">
        <f t="shared" si="57"/>
        <v>-8.9999999999999976E-4</v>
      </c>
      <c r="BS264">
        <f t="shared" si="57"/>
        <v>5.1000000000000004E-3</v>
      </c>
      <c r="BT264">
        <f t="shared" si="57"/>
        <v>1.3299999999999999E-2</v>
      </c>
      <c r="BU264">
        <f t="shared" si="57"/>
        <v>1.3900000000000001E-2</v>
      </c>
      <c r="BV264">
        <f t="shared" si="57"/>
        <v>1.3100000000000001E-2</v>
      </c>
      <c r="BW264">
        <f t="shared" si="57"/>
        <v>1.1900000000000001E-2</v>
      </c>
      <c r="BX264">
        <f t="shared" si="57"/>
        <v>1.6999999999999998E-2</v>
      </c>
      <c r="BY264">
        <f t="shared" si="57"/>
        <v>1.4599999999999998E-2</v>
      </c>
      <c r="BZ264">
        <f t="shared" si="57"/>
        <v>9.7999999999999997E-3</v>
      </c>
      <c r="CA264">
        <f t="shared" si="57"/>
        <v>1.1800000000000001E-2</v>
      </c>
      <c r="CB264">
        <f t="shared" si="57"/>
        <v>1.9299999999999998E-2</v>
      </c>
      <c r="CC264">
        <f t="shared" si="57"/>
        <v>1.5900000000000001E-2</v>
      </c>
      <c r="CD264">
        <f t="shared" si="57"/>
        <v>2.1500000000000002E-2</v>
      </c>
      <c r="CE264">
        <f t="shared" si="57"/>
        <v>2.1999999999999999E-2</v>
      </c>
      <c r="CF264">
        <f t="shared" si="57"/>
        <v>8.6E-3</v>
      </c>
      <c r="CG264">
        <f t="shared" si="57"/>
        <v>2.1099999999999997E-2</v>
      </c>
      <c r="CH264">
        <f t="shared" si="57"/>
        <v>1.7999999999999999E-2</v>
      </c>
      <c r="CI264">
        <f t="shared" si="57"/>
        <v>2.5599999999999998E-2</v>
      </c>
      <c r="CJ264">
        <f t="shared" si="57"/>
        <v>2.0300000000000002E-2</v>
      </c>
      <c r="CK264">
        <f t="shared" si="57"/>
        <v>2.8300000000000002E-2</v>
      </c>
      <c r="CL264">
        <f t="shared" si="57"/>
        <v>2.4399999999999998E-2</v>
      </c>
      <c r="CM264">
        <f t="shared" si="57"/>
        <v>2.6499999999999999E-2</v>
      </c>
      <c r="CN264">
        <f t="shared" si="57"/>
        <v>2.8399999999999998E-2</v>
      </c>
      <c r="CO264">
        <f t="shared" si="57"/>
        <v>2.7200000000000002E-2</v>
      </c>
      <c r="CP264">
        <f t="shared" si="57"/>
        <v>2.64E-2</v>
      </c>
      <c r="CQ264">
        <f t="shared" si="57"/>
        <v>3.9E-2</v>
      </c>
      <c r="CR264">
        <f t="shared" si="57"/>
        <v>4.5600000000000002E-2</v>
      </c>
      <c r="CS264">
        <f t="shared" si="57"/>
        <v>3.6000000000000004E-2</v>
      </c>
      <c r="CT264">
        <f t="shared" si="57"/>
        <v>5.8800000000000005E-2</v>
      </c>
      <c r="CU264">
        <f t="shared" si="57"/>
        <v>5.3499999999999999E-2</v>
      </c>
      <c r="CV264">
        <f t="shared" si="57"/>
        <v>5.5899999999999998E-2</v>
      </c>
      <c r="CW264">
        <f t="shared" si="57"/>
        <v>6.2199999999999998E-2</v>
      </c>
      <c r="CX264">
        <f t="shared" si="57"/>
        <v>6.649999999999999E-2</v>
      </c>
    </row>
    <row r="265" spans="1:102" x14ac:dyDescent="0.2">
      <c r="A265" t="s">
        <v>5923</v>
      </c>
      <c r="B265" t="s">
        <v>220</v>
      </c>
      <c r="C265" t="s">
        <v>222</v>
      </c>
      <c r="D265">
        <f t="shared" ref="D265:BO265" si="63">D213+D238</f>
        <v>-5.8999999999999997E-2</v>
      </c>
      <c r="E265">
        <f t="shared" si="63"/>
        <v>-8.5799999999999987E-2</v>
      </c>
      <c r="F265">
        <f t="shared" si="63"/>
        <v>-0.11769999999999999</v>
      </c>
      <c r="G265">
        <f t="shared" si="63"/>
        <v>-0.17749999999999999</v>
      </c>
      <c r="H265">
        <f t="shared" si="63"/>
        <v>-0.13550000000000001</v>
      </c>
      <c r="I265">
        <f t="shared" si="63"/>
        <v>-0.10730000000000001</v>
      </c>
      <c r="J265">
        <f t="shared" si="63"/>
        <v>-0.1348</v>
      </c>
      <c r="K265">
        <f t="shared" si="63"/>
        <v>-0.11860000000000001</v>
      </c>
      <c r="L265">
        <f t="shared" si="63"/>
        <v>-0.1104</v>
      </c>
      <c r="M265">
        <f t="shared" si="63"/>
        <v>-8.8300000000000003E-2</v>
      </c>
      <c r="N265">
        <f t="shared" si="63"/>
        <v>-7.3399999999999993E-2</v>
      </c>
      <c r="O265">
        <f t="shared" si="63"/>
        <v>-5.9899999999999995E-2</v>
      </c>
      <c r="P265">
        <f t="shared" si="63"/>
        <v>-4.3800000000000006E-2</v>
      </c>
      <c r="Q265">
        <f t="shared" si="63"/>
        <v>-3.5699999999999996E-2</v>
      </c>
      <c r="R265">
        <f t="shared" si="63"/>
        <v>-2.35E-2</v>
      </c>
      <c r="S265">
        <f t="shared" si="63"/>
        <v>-2.23E-2</v>
      </c>
      <c r="T265">
        <f t="shared" si="63"/>
        <v>-1.6899999999999998E-2</v>
      </c>
      <c r="U265">
        <f t="shared" si="63"/>
        <v>-1.89E-2</v>
      </c>
      <c r="V265">
        <f t="shared" si="63"/>
        <v>-1.6E-2</v>
      </c>
      <c r="W265">
        <f t="shared" si="63"/>
        <v>-1.8000000000000002E-2</v>
      </c>
      <c r="X265">
        <f t="shared" si="63"/>
        <v>-1.7100000000000001E-2</v>
      </c>
      <c r="Y265">
        <f t="shared" si="63"/>
        <v>-1.7000000000000001E-2</v>
      </c>
      <c r="Z265">
        <f t="shared" si="63"/>
        <v>-1.3000000000000001E-2</v>
      </c>
      <c r="AA265">
        <f t="shared" si="63"/>
        <v>-1.3600000000000001E-2</v>
      </c>
      <c r="AB265">
        <f t="shared" si="63"/>
        <v>-1.2299999999999998E-2</v>
      </c>
      <c r="AC265">
        <f t="shared" si="63"/>
        <v>-1.2100000000000001E-2</v>
      </c>
      <c r="AD265">
        <f t="shared" si="63"/>
        <v>-0.01</v>
      </c>
      <c r="AE265">
        <f t="shared" si="63"/>
        <v>-8.8000000000000005E-3</v>
      </c>
      <c r="AF265">
        <f t="shared" si="63"/>
        <v>-1.06E-2</v>
      </c>
      <c r="AG265">
        <f t="shared" si="63"/>
        <v>-1.03E-2</v>
      </c>
      <c r="AH265">
        <f t="shared" si="63"/>
        <v>-1.01E-2</v>
      </c>
      <c r="AI265">
        <f t="shared" si="63"/>
        <v>-1.0700000000000001E-2</v>
      </c>
      <c r="AJ265">
        <f t="shared" si="63"/>
        <v>-1.2200000000000001E-2</v>
      </c>
      <c r="AK265">
        <f t="shared" si="63"/>
        <v>-9.8999999999999991E-3</v>
      </c>
      <c r="AL265">
        <f t="shared" si="63"/>
        <v>-1.21E-2</v>
      </c>
      <c r="AM265">
        <f t="shared" si="63"/>
        <v>-1.35E-2</v>
      </c>
      <c r="AN265">
        <f t="shared" si="63"/>
        <v>-1.55E-2</v>
      </c>
      <c r="AO265">
        <f t="shared" si="63"/>
        <v>-1.3899999999999999E-2</v>
      </c>
      <c r="AP265">
        <f t="shared" si="63"/>
        <v>-1.4599999999999998E-2</v>
      </c>
      <c r="AQ265">
        <f t="shared" si="63"/>
        <v>-1.3399999999999999E-2</v>
      </c>
      <c r="AR265">
        <f t="shared" si="63"/>
        <v>-9.3999999999999986E-3</v>
      </c>
      <c r="AS265">
        <f t="shared" si="63"/>
        <v>-1.6199999999999999E-2</v>
      </c>
      <c r="AT265">
        <f t="shared" si="63"/>
        <v>-1.5599999999999999E-2</v>
      </c>
      <c r="AU265">
        <f t="shared" si="63"/>
        <v>-1.3899999999999999E-2</v>
      </c>
      <c r="AV265">
        <f t="shared" si="63"/>
        <v>-1.21E-2</v>
      </c>
      <c r="AW265">
        <f t="shared" si="63"/>
        <v>-1.23E-2</v>
      </c>
      <c r="AX265">
        <f t="shared" si="63"/>
        <v>-1.54E-2</v>
      </c>
      <c r="AY265">
        <f t="shared" si="63"/>
        <v>-1.5099999999999999E-2</v>
      </c>
      <c r="AZ265">
        <f t="shared" si="63"/>
        <v>-1.7000000000000001E-2</v>
      </c>
      <c r="BA265">
        <f t="shared" si="63"/>
        <v>-2.0500000000000001E-2</v>
      </c>
      <c r="BB265">
        <f t="shared" si="63"/>
        <v>-2.3200000000000002E-2</v>
      </c>
      <c r="BC265">
        <f t="shared" si="63"/>
        <v>-2.3200000000000002E-2</v>
      </c>
      <c r="BD265">
        <f t="shared" si="63"/>
        <v>-2.3E-2</v>
      </c>
      <c r="BE265">
        <f t="shared" si="63"/>
        <v>-2.3099999999999999E-2</v>
      </c>
      <c r="BF265">
        <f t="shared" si="63"/>
        <v>-2.3900000000000001E-2</v>
      </c>
      <c r="BG265">
        <f t="shared" si="63"/>
        <v>-2.3300000000000001E-2</v>
      </c>
      <c r="BH265">
        <f t="shared" si="63"/>
        <v>-2.3699999999999999E-2</v>
      </c>
      <c r="BI265">
        <f t="shared" si="63"/>
        <v>-2.9599999999999998E-2</v>
      </c>
      <c r="BJ265">
        <f t="shared" si="63"/>
        <v>-3.1100000000000003E-2</v>
      </c>
      <c r="BK265">
        <f t="shared" si="63"/>
        <v>-2.9899999999999996E-2</v>
      </c>
      <c r="BL265">
        <f t="shared" si="63"/>
        <v>-2.9499999999999998E-2</v>
      </c>
      <c r="BM265">
        <f t="shared" si="63"/>
        <v>-2.8899999999999999E-2</v>
      </c>
      <c r="BN265">
        <f t="shared" si="63"/>
        <v>-3.1800000000000002E-2</v>
      </c>
      <c r="BO265">
        <f t="shared" si="63"/>
        <v>-3.5899999999999994E-2</v>
      </c>
      <c r="BP265">
        <f t="shared" si="46"/>
        <v>-3.5200000000000002E-2</v>
      </c>
      <c r="BQ265">
        <f t="shared" si="57"/>
        <v>-3.4999999999999996E-2</v>
      </c>
      <c r="BR265">
        <f t="shared" si="57"/>
        <v>-3.5199999999999995E-2</v>
      </c>
      <c r="BS265">
        <f t="shared" si="57"/>
        <v>-3.3700000000000001E-2</v>
      </c>
      <c r="BT265">
        <f t="shared" si="57"/>
        <v>-3.0599999999999999E-2</v>
      </c>
      <c r="BU265">
        <f t="shared" si="57"/>
        <v>-3.4500000000000003E-2</v>
      </c>
      <c r="BV265">
        <f t="shared" si="57"/>
        <v>-4.3300000000000005E-2</v>
      </c>
      <c r="BW265">
        <f t="shared" si="57"/>
        <v>-4.7800000000000002E-2</v>
      </c>
      <c r="BX265">
        <f t="shared" si="57"/>
        <v>-5.4100000000000002E-2</v>
      </c>
      <c r="BY265">
        <f t="shared" si="57"/>
        <v>-5.45E-2</v>
      </c>
      <c r="BZ265">
        <f t="shared" si="57"/>
        <v>-5.5199999999999999E-2</v>
      </c>
      <c r="CA265">
        <f t="shared" si="57"/>
        <v>-3.6600000000000001E-2</v>
      </c>
      <c r="CB265">
        <f t="shared" si="57"/>
        <v>-3.6799999999999999E-2</v>
      </c>
      <c r="CC265">
        <f t="shared" si="57"/>
        <v>-3.49E-2</v>
      </c>
      <c r="CD265">
        <f t="shared" si="57"/>
        <v>-3.7400000000000003E-2</v>
      </c>
      <c r="CE265">
        <f t="shared" si="57"/>
        <v>-3.8800000000000001E-2</v>
      </c>
      <c r="CF265">
        <f t="shared" si="57"/>
        <v>-4.1099999999999998E-2</v>
      </c>
      <c r="CG265">
        <f t="shared" si="57"/>
        <v>-4.2700000000000002E-2</v>
      </c>
      <c r="CH265">
        <f t="shared" si="57"/>
        <v>-4.9799999999999997E-2</v>
      </c>
      <c r="CI265">
        <f t="shared" si="57"/>
        <v>-5.4800000000000001E-2</v>
      </c>
      <c r="CJ265">
        <f t="shared" si="57"/>
        <v>-5.7099999999999998E-2</v>
      </c>
      <c r="CK265">
        <f t="shared" si="57"/>
        <v>-5.3400000000000003E-2</v>
      </c>
      <c r="CL265">
        <f t="shared" si="57"/>
        <v>-5.6399999999999999E-2</v>
      </c>
      <c r="CM265">
        <f t="shared" si="57"/>
        <v>-6.6400000000000001E-2</v>
      </c>
      <c r="CN265">
        <f t="shared" si="57"/>
        <v>-8.5699999999999998E-2</v>
      </c>
      <c r="CO265">
        <f t="shared" si="57"/>
        <v>-9.9600000000000008E-2</v>
      </c>
      <c r="CP265">
        <f t="shared" si="57"/>
        <v>-9.6099999999999991E-2</v>
      </c>
      <c r="CQ265">
        <f t="shared" si="57"/>
        <v>-0.1065</v>
      </c>
      <c r="CR265">
        <f t="shared" si="57"/>
        <v>-0.16070000000000001</v>
      </c>
      <c r="CS265">
        <f t="shared" si="57"/>
        <v>-4.1599999999999998E-2</v>
      </c>
      <c r="CT265">
        <f t="shared" si="57"/>
        <v>-4.7E-2</v>
      </c>
      <c r="CU265">
        <f t="shared" si="57"/>
        <v>-4.1399999999999999E-2</v>
      </c>
      <c r="CV265">
        <f t="shared" si="57"/>
        <v>-3.4799999999999998E-2</v>
      </c>
      <c r="CW265">
        <f t="shared" si="57"/>
        <v>-4.7500000000000001E-2</v>
      </c>
      <c r="CX265">
        <f t="shared" si="57"/>
        <v>-5.0699999999999995E-2</v>
      </c>
    </row>
    <row r="266" spans="1:102" x14ac:dyDescent="0.2">
      <c r="A266" t="s">
        <v>5924</v>
      </c>
      <c r="B266" t="s">
        <v>220</v>
      </c>
      <c r="C266" t="s">
        <v>222</v>
      </c>
      <c r="D266">
        <f>D214+D239</f>
        <v>2.2700000000000001E-2</v>
      </c>
      <c r="E266">
        <f t="shared" ref="E266:BP266" si="64">E214+E239</f>
        <v>3.1099999999999999E-2</v>
      </c>
      <c r="F266">
        <f t="shared" si="64"/>
        <v>6.7400000000000002E-2</v>
      </c>
      <c r="G266">
        <f t="shared" si="64"/>
        <v>5.5599999999999997E-2</v>
      </c>
      <c r="H266">
        <f t="shared" si="64"/>
        <v>0.127</v>
      </c>
      <c r="I266">
        <f t="shared" si="64"/>
        <v>0.1031</v>
      </c>
      <c r="J266">
        <f t="shared" si="64"/>
        <v>8.0100000000000005E-2</v>
      </c>
      <c r="K266">
        <f t="shared" si="64"/>
        <v>6.3600000000000004E-2</v>
      </c>
      <c r="L266">
        <f t="shared" si="64"/>
        <v>5.1199999999999996E-2</v>
      </c>
      <c r="M266">
        <f t="shared" si="64"/>
        <v>4.99E-2</v>
      </c>
      <c r="N266">
        <f t="shared" si="64"/>
        <v>6.0499999999999998E-2</v>
      </c>
      <c r="O266">
        <f t="shared" si="64"/>
        <v>3.7900000000000003E-2</v>
      </c>
      <c r="P266">
        <f t="shared" si="64"/>
        <v>4.7600000000000003E-2</v>
      </c>
      <c r="Q266">
        <f t="shared" si="64"/>
        <v>4.3499999999999997E-2</v>
      </c>
      <c r="R266">
        <f t="shared" si="64"/>
        <v>4.3200000000000002E-2</v>
      </c>
      <c r="S266">
        <f t="shared" si="64"/>
        <v>3.6600000000000001E-2</v>
      </c>
      <c r="T266">
        <f t="shared" si="64"/>
        <v>3.5200000000000002E-2</v>
      </c>
      <c r="U266">
        <f t="shared" si="64"/>
        <v>2.9900000000000003E-2</v>
      </c>
      <c r="V266">
        <f t="shared" si="64"/>
        <v>2.7899999999999998E-2</v>
      </c>
      <c r="W266">
        <f t="shared" si="64"/>
        <v>2.4500000000000001E-2</v>
      </c>
      <c r="X266">
        <f t="shared" si="64"/>
        <v>2.3599999999999999E-2</v>
      </c>
      <c r="Y266">
        <f t="shared" si="64"/>
        <v>2.0900000000000002E-2</v>
      </c>
      <c r="Z266">
        <f t="shared" si="64"/>
        <v>2.46E-2</v>
      </c>
      <c r="AA266">
        <f t="shared" si="64"/>
        <v>2.3300000000000001E-2</v>
      </c>
      <c r="AB266">
        <f t="shared" si="64"/>
        <v>2.4300000000000002E-2</v>
      </c>
      <c r="AC266">
        <f t="shared" si="64"/>
        <v>2.3800000000000002E-2</v>
      </c>
      <c r="AD266">
        <f t="shared" si="64"/>
        <v>2.5399999999999999E-2</v>
      </c>
      <c r="AE266">
        <f t="shared" si="64"/>
        <v>2.63E-2</v>
      </c>
      <c r="AF266">
        <f t="shared" si="64"/>
        <v>2.4499999999999997E-2</v>
      </c>
      <c r="AG266">
        <f t="shared" si="64"/>
        <v>2.4799999999999999E-2</v>
      </c>
      <c r="AH266">
        <f t="shared" si="64"/>
        <v>2.6099999999999998E-2</v>
      </c>
      <c r="AI266">
        <f t="shared" si="64"/>
        <v>2.5899999999999999E-2</v>
      </c>
      <c r="AJ266">
        <f t="shared" si="64"/>
        <v>2.5000000000000001E-2</v>
      </c>
      <c r="AK266">
        <f t="shared" si="64"/>
        <v>2.8900000000000002E-2</v>
      </c>
      <c r="AL266">
        <f t="shared" si="64"/>
        <v>2.8999999999999998E-2</v>
      </c>
      <c r="AM266">
        <f t="shared" si="64"/>
        <v>2.8399999999999998E-2</v>
      </c>
      <c r="AN266">
        <f t="shared" si="64"/>
        <v>2.7E-2</v>
      </c>
      <c r="AO266">
        <f t="shared" si="64"/>
        <v>2.9000000000000001E-2</v>
      </c>
      <c r="AP266">
        <f t="shared" si="64"/>
        <v>2.9000000000000001E-2</v>
      </c>
      <c r="AQ266">
        <f t="shared" si="64"/>
        <v>3.04E-2</v>
      </c>
      <c r="AR266">
        <f t="shared" si="64"/>
        <v>3.56E-2</v>
      </c>
      <c r="AS266">
        <f t="shared" si="64"/>
        <v>3.1E-2</v>
      </c>
      <c r="AT266">
        <f t="shared" si="64"/>
        <v>3.1899999999999998E-2</v>
      </c>
      <c r="AU266">
        <f t="shared" si="64"/>
        <v>3.3500000000000002E-2</v>
      </c>
      <c r="AV266">
        <f t="shared" si="64"/>
        <v>3.5199999999999995E-2</v>
      </c>
      <c r="AW266">
        <f t="shared" si="64"/>
        <v>3.5000000000000003E-2</v>
      </c>
      <c r="AX266">
        <f t="shared" si="64"/>
        <v>3.2399999999999998E-2</v>
      </c>
      <c r="AY266">
        <f t="shared" si="64"/>
        <v>3.2899999999999999E-2</v>
      </c>
      <c r="AZ266">
        <f t="shared" si="64"/>
        <v>3.0499999999999999E-2</v>
      </c>
      <c r="BA266">
        <f t="shared" si="64"/>
        <v>2.7799999999999998E-2</v>
      </c>
      <c r="BB266">
        <f t="shared" si="64"/>
        <v>2.6599999999999999E-2</v>
      </c>
      <c r="BC266">
        <f t="shared" si="64"/>
        <v>2.7299999999999998E-2</v>
      </c>
      <c r="BD266">
        <f t="shared" si="64"/>
        <v>2.9600000000000001E-2</v>
      </c>
      <c r="BE266">
        <f t="shared" si="64"/>
        <v>3.0700000000000002E-2</v>
      </c>
      <c r="BF266">
        <f t="shared" si="64"/>
        <v>3.2399999999999998E-2</v>
      </c>
      <c r="BG266">
        <f t="shared" si="64"/>
        <v>3.3700000000000001E-2</v>
      </c>
      <c r="BH266">
        <f t="shared" si="64"/>
        <v>3.4099999999999998E-2</v>
      </c>
      <c r="BI266">
        <f t="shared" si="64"/>
        <v>2.7799999999999998E-2</v>
      </c>
      <c r="BJ266">
        <f t="shared" si="64"/>
        <v>2.6799999999999997E-2</v>
      </c>
      <c r="BK266">
        <f t="shared" si="64"/>
        <v>2.9699999999999997E-2</v>
      </c>
      <c r="BL266">
        <f t="shared" si="64"/>
        <v>3.1100000000000003E-2</v>
      </c>
      <c r="BM266">
        <f t="shared" si="64"/>
        <v>3.2199999999999999E-2</v>
      </c>
      <c r="BN266">
        <f t="shared" si="64"/>
        <v>3.04E-2</v>
      </c>
      <c r="BO266">
        <f t="shared" si="64"/>
        <v>2.5500000000000002E-2</v>
      </c>
      <c r="BP266">
        <f t="shared" si="64"/>
        <v>2.6000000000000002E-2</v>
      </c>
      <c r="BQ266">
        <f t="shared" ref="BQ266:CX266" si="65">BQ214+BQ239</f>
        <v>2.69E-2</v>
      </c>
      <c r="BR266">
        <f t="shared" si="65"/>
        <v>2.7200000000000002E-2</v>
      </c>
      <c r="BS266">
        <f t="shared" si="65"/>
        <v>3.0600000000000002E-2</v>
      </c>
      <c r="BT266">
        <f t="shared" si="65"/>
        <v>3.49E-2</v>
      </c>
      <c r="BU266">
        <f t="shared" si="65"/>
        <v>3.7199999999999997E-2</v>
      </c>
      <c r="BV266">
        <f t="shared" si="65"/>
        <v>4.2300000000000004E-2</v>
      </c>
      <c r="BW266">
        <f t="shared" si="65"/>
        <v>4.6300000000000001E-2</v>
      </c>
      <c r="BX266">
        <f t="shared" si="65"/>
        <v>4.2300000000000004E-2</v>
      </c>
      <c r="BY266">
        <f t="shared" si="65"/>
        <v>4.1300000000000003E-2</v>
      </c>
      <c r="BZ266">
        <f t="shared" si="65"/>
        <v>3.9799999999999995E-2</v>
      </c>
      <c r="CA266">
        <f t="shared" si="65"/>
        <v>4.7699999999999999E-2</v>
      </c>
      <c r="CB266">
        <f t="shared" si="65"/>
        <v>5.1200000000000002E-2</v>
      </c>
      <c r="CC266">
        <f t="shared" si="65"/>
        <v>5.7000000000000002E-2</v>
      </c>
      <c r="CD266">
        <f t="shared" si="65"/>
        <v>5.8099999999999999E-2</v>
      </c>
      <c r="CE266">
        <f t="shared" si="65"/>
        <v>6.0400000000000002E-2</v>
      </c>
      <c r="CF266">
        <f t="shared" si="65"/>
        <v>6.1499999999999999E-2</v>
      </c>
      <c r="CG266">
        <f t="shared" si="65"/>
        <v>5.9800000000000006E-2</v>
      </c>
      <c r="CH266">
        <f t="shared" si="65"/>
        <v>6.3299999999999995E-2</v>
      </c>
      <c r="CI266">
        <f t="shared" si="65"/>
        <v>7.1400000000000005E-2</v>
      </c>
      <c r="CJ266">
        <f t="shared" si="65"/>
        <v>8.2900000000000001E-2</v>
      </c>
      <c r="CK266">
        <f t="shared" si="65"/>
        <v>8.9700000000000002E-2</v>
      </c>
      <c r="CL266">
        <f t="shared" si="65"/>
        <v>8.2299999999999998E-2</v>
      </c>
      <c r="CM266">
        <f t="shared" si="65"/>
        <v>7.1600000000000011E-2</v>
      </c>
      <c r="CN266">
        <f t="shared" si="65"/>
        <v>8.3699999999999997E-2</v>
      </c>
      <c r="CO266">
        <f t="shared" si="65"/>
        <v>8.0199999999999994E-2</v>
      </c>
      <c r="CP266">
        <f t="shared" si="65"/>
        <v>8.0100000000000005E-2</v>
      </c>
      <c r="CQ266">
        <f t="shared" si="65"/>
        <v>9.2999999999999999E-2</v>
      </c>
      <c r="CR266">
        <f t="shared" si="65"/>
        <v>0.1171</v>
      </c>
      <c r="CS266">
        <f t="shared" si="65"/>
        <v>6.3000000000000009E-3</v>
      </c>
      <c r="CT266">
        <f t="shared" si="65"/>
        <v>8.0000000000000002E-3</v>
      </c>
      <c r="CU266">
        <f t="shared" si="65"/>
        <v>5.2000000000000006E-3</v>
      </c>
      <c r="CV266">
        <f t="shared" si="65"/>
        <v>1.4500000000000001E-2</v>
      </c>
      <c r="CW266">
        <f t="shared" si="65"/>
        <v>9.9999999999999985E-3</v>
      </c>
      <c r="CX266">
        <f t="shared" si="65"/>
        <v>7.1999999999999998E-3</v>
      </c>
    </row>
    <row r="267" spans="1:102" x14ac:dyDescent="0.2">
      <c r="A267" t="s">
        <v>5927</v>
      </c>
      <c r="B267" t="s">
        <v>220</v>
      </c>
      <c r="C267" t="s">
        <v>222</v>
      </c>
      <c r="D267">
        <f>D240</f>
        <v>-0.1147</v>
      </c>
      <c r="E267">
        <f t="shared" ref="E267:BP267" si="66">E240</f>
        <v>-0.70689999999999997</v>
      </c>
      <c r="F267">
        <f t="shared" si="66"/>
        <v>-1.0263</v>
      </c>
      <c r="G267">
        <f t="shared" si="66"/>
        <v>0.11700000000000001</v>
      </c>
      <c r="H267">
        <f t="shared" si="66"/>
        <v>-1.2232000000000001</v>
      </c>
      <c r="I267">
        <f t="shared" si="66"/>
        <v>-0.29809999999999998</v>
      </c>
      <c r="J267">
        <f t="shared" si="66"/>
        <v>-0.60099999999999998</v>
      </c>
      <c r="K267">
        <f t="shared" si="66"/>
        <v>-0.47549999999999998</v>
      </c>
      <c r="L267">
        <f t="shared" si="66"/>
        <v>-0.2044</v>
      </c>
      <c r="M267">
        <f t="shared" si="66"/>
        <v>-0.69689999999999996</v>
      </c>
      <c r="N267">
        <f t="shared" si="66"/>
        <v>-0.58099999999999996</v>
      </c>
      <c r="O267">
        <f t="shared" si="66"/>
        <v>7.8399999999999997E-2</v>
      </c>
      <c r="P267">
        <f t="shared" si="66"/>
        <v>-0.14249999999999999</v>
      </c>
      <c r="Q267">
        <f t="shared" si="66"/>
        <v>-0.13339999999999999</v>
      </c>
      <c r="R267">
        <f t="shared" si="66"/>
        <v>-0.1857</v>
      </c>
      <c r="S267">
        <f t="shared" si="66"/>
        <v>-0.1527</v>
      </c>
      <c r="T267">
        <f t="shared" si="66"/>
        <v>-1.0999999999999999E-2</v>
      </c>
      <c r="U267">
        <f t="shared" si="66"/>
        <v>3.0499999999999999E-2</v>
      </c>
      <c r="V267">
        <f t="shared" si="66"/>
        <v>8.2600000000000007E-2</v>
      </c>
      <c r="W267">
        <f t="shared" si="66"/>
        <v>7.2099999999999997E-2</v>
      </c>
      <c r="X267">
        <f t="shared" si="66"/>
        <v>5.1999999999999998E-2</v>
      </c>
      <c r="Y267">
        <f t="shared" si="66"/>
        <v>0.15459999999999999</v>
      </c>
      <c r="Z267">
        <f t="shared" si="66"/>
        <v>0.1363</v>
      </c>
      <c r="AA267">
        <f t="shared" si="66"/>
        <v>8.9300000000000004E-2</v>
      </c>
      <c r="AB267">
        <f t="shared" si="66"/>
        <v>4.6699999999999998E-2</v>
      </c>
      <c r="AC267">
        <f t="shared" si="66"/>
        <v>2.2499999999999999E-2</v>
      </c>
      <c r="AD267">
        <f t="shared" si="66"/>
        <v>1.37E-2</v>
      </c>
      <c r="AE267">
        <f t="shared" si="66"/>
        <v>-5.0000000000000001E-3</v>
      </c>
      <c r="AF267">
        <f t="shared" si="66"/>
        <v>-1.7500000000000002E-2</v>
      </c>
      <c r="AG267">
        <f t="shared" si="66"/>
        <v>-2.4799999999999999E-2</v>
      </c>
      <c r="AH267">
        <f t="shared" si="66"/>
        <v>-4.2099999999999999E-2</v>
      </c>
      <c r="AI267">
        <f t="shared" si="66"/>
        <v>-5.0700000000000002E-2</v>
      </c>
      <c r="AJ267">
        <f t="shared" si="66"/>
        <v>-6.9900000000000004E-2</v>
      </c>
      <c r="AK267">
        <f t="shared" si="66"/>
        <v>-8.8700000000000001E-2</v>
      </c>
      <c r="AL267">
        <f t="shared" si="66"/>
        <v>-0.1052</v>
      </c>
      <c r="AM267">
        <f t="shared" si="66"/>
        <v>-0.10340000000000001</v>
      </c>
      <c r="AN267">
        <f t="shared" si="66"/>
        <v>-9.2200000000000004E-2</v>
      </c>
      <c r="AO267">
        <f t="shared" si="66"/>
        <v>-9.4600000000000004E-2</v>
      </c>
      <c r="AP267">
        <f t="shared" si="66"/>
        <v>-0.1108</v>
      </c>
      <c r="AQ267">
        <f t="shared" si="66"/>
        <v>-9.4700000000000006E-2</v>
      </c>
      <c r="AR267">
        <f t="shared" si="66"/>
        <v>-9.7000000000000003E-2</v>
      </c>
      <c r="AS267">
        <f t="shared" si="66"/>
        <v>-5.6899999999999999E-2</v>
      </c>
      <c r="AT267">
        <f t="shared" si="66"/>
        <v>-5.8400000000000001E-2</v>
      </c>
      <c r="AU267">
        <f t="shared" si="66"/>
        <v>-5.3400000000000003E-2</v>
      </c>
      <c r="AV267">
        <f t="shared" si="66"/>
        <v>-9.1600000000000001E-2</v>
      </c>
      <c r="AW267">
        <f t="shared" si="66"/>
        <v>-9.69E-2</v>
      </c>
      <c r="AX267">
        <f t="shared" si="66"/>
        <v>-0.1002</v>
      </c>
      <c r="AY267">
        <f t="shared" si="66"/>
        <v>-6.08E-2</v>
      </c>
      <c r="AZ267">
        <f t="shared" si="66"/>
        <v>-6.4500000000000002E-2</v>
      </c>
      <c r="BA267">
        <f t="shared" si="66"/>
        <v>-3.4700000000000002E-2</v>
      </c>
      <c r="BB267">
        <f t="shared" si="66"/>
        <v>-2.1899999999999999E-2</v>
      </c>
      <c r="BC267">
        <f t="shared" si="66"/>
        <v>6.3E-3</v>
      </c>
      <c r="BD267">
        <f t="shared" si="66"/>
        <v>1.12E-2</v>
      </c>
      <c r="BE267">
        <f t="shared" si="66"/>
        <v>2.0500000000000001E-2</v>
      </c>
      <c r="BF267">
        <f t="shared" si="66"/>
        <v>1.32E-2</v>
      </c>
      <c r="BG267">
        <f t="shared" si="66"/>
        <v>-1.8100000000000002E-2</v>
      </c>
      <c r="BH267">
        <f t="shared" si="66"/>
        <v>-6.0100000000000001E-2</v>
      </c>
      <c r="BI267">
        <f t="shared" si="66"/>
        <v>-9.2700000000000005E-2</v>
      </c>
      <c r="BJ267">
        <f t="shared" si="66"/>
        <v>-0.1154</v>
      </c>
      <c r="BK267">
        <f t="shared" si="66"/>
        <v>-0.1246</v>
      </c>
      <c r="BL267">
        <f t="shared" si="66"/>
        <v>-9.9199999999999997E-2</v>
      </c>
      <c r="BM267">
        <f t="shared" si="66"/>
        <v>-8.8499999999999995E-2</v>
      </c>
      <c r="BN267">
        <f t="shared" si="66"/>
        <v>-5.0299999999999997E-2</v>
      </c>
      <c r="BO267">
        <f t="shared" si="66"/>
        <v>4.3999999999999997E-2</v>
      </c>
      <c r="BP267">
        <f t="shared" si="66"/>
        <v>0.1268</v>
      </c>
      <c r="BQ267">
        <f t="shared" ref="BQ267:CX267" si="67">BQ240</f>
        <v>0.1197</v>
      </c>
      <c r="BR267">
        <f t="shared" si="67"/>
        <v>7.6999999999999999E-2</v>
      </c>
      <c r="BS267">
        <f t="shared" si="67"/>
        <v>6.0999999999999999E-2</v>
      </c>
      <c r="BT267">
        <f t="shared" si="67"/>
        <v>5.7799999999999997E-2</v>
      </c>
      <c r="BU267">
        <f t="shared" si="67"/>
        <v>-1.5699999999999999E-2</v>
      </c>
      <c r="BV267">
        <f t="shared" si="67"/>
        <v>-0.18229999999999999</v>
      </c>
      <c r="BW267">
        <f t="shared" si="67"/>
        <v>-0.24</v>
      </c>
      <c r="BX267">
        <f t="shared" si="67"/>
        <v>-0.18229999999999999</v>
      </c>
      <c r="BY267">
        <f t="shared" si="67"/>
        <v>-0.1089</v>
      </c>
      <c r="BZ267">
        <f t="shared" si="67"/>
        <v>-7.22E-2</v>
      </c>
      <c r="CA267">
        <f t="shared" si="67"/>
        <v>-8.2900000000000001E-2</v>
      </c>
      <c r="CB267">
        <f t="shared" si="67"/>
        <v>-8.0699999999999994E-2</v>
      </c>
      <c r="CC267">
        <f t="shared" si="67"/>
        <v>-6.2300000000000001E-2</v>
      </c>
      <c r="CD267">
        <f t="shared" si="67"/>
        <v>2.1600000000000001E-2</v>
      </c>
      <c r="CE267">
        <f t="shared" si="67"/>
        <v>0.1077</v>
      </c>
      <c r="CF267">
        <f t="shared" si="67"/>
        <v>0.1275</v>
      </c>
      <c r="CG267">
        <f t="shared" si="67"/>
        <v>4.5699999999999998E-2</v>
      </c>
      <c r="CH267">
        <f t="shared" si="67"/>
        <v>-0.15939999999999999</v>
      </c>
      <c r="CI267">
        <f t="shared" si="67"/>
        <v>-0.26279999999999998</v>
      </c>
      <c r="CJ267">
        <f t="shared" si="67"/>
        <v>-0.25800000000000001</v>
      </c>
      <c r="CK267">
        <f t="shared" si="67"/>
        <v>9.6699999999999994E-2</v>
      </c>
      <c r="CL267">
        <f t="shared" si="67"/>
        <v>0.16400000000000001</v>
      </c>
      <c r="CM267">
        <f t="shared" si="67"/>
        <v>0.1062</v>
      </c>
      <c r="CN267">
        <f t="shared" si="67"/>
        <v>-8.3999999999999995E-3</v>
      </c>
      <c r="CO267">
        <f t="shared" si="67"/>
        <v>-2.3999999999999998E-3</v>
      </c>
      <c r="CP267">
        <f t="shared" si="67"/>
        <v>6.6100000000000006E-2</v>
      </c>
      <c r="CQ267">
        <f t="shared" si="67"/>
        <v>0.1573</v>
      </c>
      <c r="CR267">
        <f t="shared" si="67"/>
        <v>-3.2199999999999999E-2</v>
      </c>
      <c r="CS267">
        <f t="shared" si="67"/>
        <v>-0.10920000000000001</v>
      </c>
      <c r="CT267">
        <f t="shared" si="67"/>
        <v>-3.2599999999999997E-2</v>
      </c>
      <c r="CU267">
        <f t="shared" si="67"/>
        <v>-0.12989999999999999</v>
      </c>
      <c r="CV267">
        <f t="shared" si="67"/>
        <v>0.21190000000000001</v>
      </c>
      <c r="CW267">
        <f t="shared" si="67"/>
        <v>-0.19520000000000001</v>
      </c>
      <c r="CX267">
        <f t="shared" si="67"/>
        <v>-0.11269999999999999</v>
      </c>
    </row>
    <row r="268" spans="1:102" x14ac:dyDescent="0.2">
      <c r="A268" t="s">
        <v>5928</v>
      </c>
      <c r="B268" t="s">
        <v>220</v>
      </c>
      <c r="C268" t="s">
        <v>222</v>
      </c>
      <c r="D268">
        <f>D241</f>
        <v>0.56930000000000003</v>
      </c>
      <c r="E268">
        <f t="shared" ref="E268:BP268" si="68">E241</f>
        <v>3.9899999999999998E-2</v>
      </c>
      <c r="F268">
        <f t="shared" si="68"/>
        <v>-0.33460000000000001</v>
      </c>
      <c r="G268">
        <f t="shared" si="68"/>
        <v>0.60560000000000003</v>
      </c>
      <c r="H268">
        <f t="shared" si="68"/>
        <v>-0.63619999999999999</v>
      </c>
      <c r="I268">
        <f t="shared" si="68"/>
        <v>0.1537</v>
      </c>
      <c r="J268">
        <f t="shared" si="68"/>
        <v>-0.1489</v>
      </c>
      <c r="K268">
        <f t="shared" si="68"/>
        <v>-6.3899999999999998E-2</v>
      </c>
      <c r="L268">
        <f t="shared" si="68"/>
        <v>0.1547</v>
      </c>
      <c r="M268">
        <f t="shared" si="68"/>
        <v>-0.36570000000000003</v>
      </c>
      <c r="N268">
        <f t="shared" si="68"/>
        <v>-0.28100000000000003</v>
      </c>
      <c r="O268">
        <f t="shared" si="68"/>
        <v>0.28810000000000002</v>
      </c>
      <c r="P268">
        <f t="shared" si="68"/>
        <v>5.5599999999999997E-2</v>
      </c>
      <c r="Q268">
        <f t="shared" si="68"/>
        <v>3.9199999999999999E-2</v>
      </c>
      <c r="R268">
        <f t="shared" si="68"/>
        <v>-3.7400000000000003E-2</v>
      </c>
      <c r="S268">
        <f t="shared" si="68"/>
        <v>-2.0199999999999999E-2</v>
      </c>
      <c r="T268">
        <f t="shared" si="68"/>
        <v>0.1045</v>
      </c>
      <c r="U268">
        <f t="shared" si="68"/>
        <v>0.13869999999999999</v>
      </c>
      <c r="V268">
        <f t="shared" si="68"/>
        <v>0.1794</v>
      </c>
      <c r="W268">
        <f t="shared" si="68"/>
        <v>0.16639999999999999</v>
      </c>
      <c r="X268">
        <f t="shared" si="68"/>
        <v>0.14319999999999999</v>
      </c>
      <c r="Y268">
        <f t="shared" si="68"/>
        <v>0.23849999999999999</v>
      </c>
      <c r="Z268">
        <f t="shared" si="68"/>
        <v>0.21990000000000001</v>
      </c>
      <c r="AA268">
        <f t="shared" si="68"/>
        <v>0.1719</v>
      </c>
      <c r="AB268">
        <f t="shared" si="68"/>
        <v>0.12839999999999999</v>
      </c>
      <c r="AC268">
        <f t="shared" si="68"/>
        <v>0.1028</v>
      </c>
      <c r="AD268">
        <f t="shared" si="68"/>
        <v>9.3399999999999997E-2</v>
      </c>
      <c r="AE268">
        <f t="shared" si="68"/>
        <v>7.4800000000000005E-2</v>
      </c>
      <c r="AF268">
        <f t="shared" si="68"/>
        <v>6.2600000000000003E-2</v>
      </c>
      <c r="AG268">
        <f t="shared" si="68"/>
        <v>5.6399999999999999E-2</v>
      </c>
      <c r="AH268">
        <f t="shared" si="68"/>
        <v>4.1700000000000001E-2</v>
      </c>
      <c r="AI268">
        <f t="shared" si="68"/>
        <v>3.44E-2</v>
      </c>
      <c r="AJ268">
        <f t="shared" si="68"/>
        <v>1.66E-2</v>
      </c>
      <c r="AK268">
        <f t="shared" si="68"/>
        <v>1.1999999999999999E-3</v>
      </c>
      <c r="AL268">
        <f t="shared" si="68"/>
        <v>-1.0800000000000001E-2</v>
      </c>
      <c r="AM268">
        <f t="shared" si="68"/>
        <v>-8.2000000000000007E-3</v>
      </c>
      <c r="AN268">
        <f t="shared" si="68"/>
        <v>4.1000000000000003E-3</v>
      </c>
      <c r="AO268">
        <f t="shared" si="68"/>
        <v>2.3999999999999998E-3</v>
      </c>
      <c r="AP268">
        <f t="shared" si="68"/>
        <v>-1.34E-2</v>
      </c>
      <c r="AQ268">
        <f t="shared" si="68"/>
        <v>3.3E-3</v>
      </c>
      <c r="AR268">
        <f t="shared" si="68"/>
        <v>1.2999999999999999E-3</v>
      </c>
      <c r="AS268">
        <f t="shared" si="68"/>
        <v>4.2799999999999998E-2</v>
      </c>
      <c r="AT268">
        <f t="shared" si="68"/>
        <v>4.1200000000000001E-2</v>
      </c>
      <c r="AU268">
        <f t="shared" si="68"/>
        <v>4.5999999999999999E-2</v>
      </c>
      <c r="AV268">
        <f t="shared" si="68"/>
        <v>7.1000000000000004E-3</v>
      </c>
      <c r="AW268">
        <f t="shared" si="68"/>
        <v>1.5E-3</v>
      </c>
      <c r="AX268">
        <f t="shared" si="68"/>
        <v>-1.5E-3</v>
      </c>
      <c r="AY268">
        <f t="shared" si="68"/>
        <v>3.8300000000000001E-2</v>
      </c>
      <c r="AZ268">
        <f t="shared" si="68"/>
        <v>3.4599999999999999E-2</v>
      </c>
      <c r="BA268">
        <f t="shared" si="68"/>
        <v>6.5199999999999994E-2</v>
      </c>
      <c r="BB268">
        <f t="shared" si="68"/>
        <v>8.0199999999999994E-2</v>
      </c>
      <c r="BC268">
        <f t="shared" si="68"/>
        <v>0.1099</v>
      </c>
      <c r="BD268">
        <f t="shared" si="68"/>
        <v>0.1166</v>
      </c>
      <c r="BE268">
        <f t="shared" si="68"/>
        <v>0.12820000000000001</v>
      </c>
      <c r="BF268">
        <f t="shared" si="68"/>
        <v>0.12479999999999999</v>
      </c>
      <c r="BG268">
        <f t="shared" si="68"/>
        <v>9.2600000000000002E-2</v>
      </c>
      <c r="BH268">
        <f t="shared" si="68"/>
        <v>5.1700000000000003E-2</v>
      </c>
      <c r="BI268">
        <f t="shared" si="68"/>
        <v>0.02</v>
      </c>
      <c r="BJ268">
        <f t="shared" si="68"/>
        <v>-2.8E-3</v>
      </c>
      <c r="BK268">
        <f t="shared" si="68"/>
        <v>-9.7999999999999997E-3</v>
      </c>
      <c r="BL268">
        <f t="shared" si="68"/>
        <v>1.5900000000000001E-2</v>
      </c>
      <c r="BM268">
        <f t="shared" si="68"/>
        <v>2.7E-2</v>
      </c>
      <c r="BN268">
        <f t="shared" si="68"/>
        <v>6.5799999999999997E-2</v>
      </c>
      <c r="BO268">
        <f t="shared" si="68"/>
        <v>0.1578</v>
      </c>
      <c r="BP268">
        <f t="shared" si="68"/>
        <v>0.23980000000000001</v>
      </c>
      <c r="BQ268">
        <f t="shared" ref="BQ268:CX268" si="69">BQ241</f>
        <v>0.2336</v>
      </c>
      <c r="BR268">
        <f t="shared" si="69"/>
        <v>0.18859999999999999</v>
      </c>
      <c r="BS268">
        <f t="shared" si="69"/>
        <v>0.17330000000000001</v>
      </c>
      <c r="BT268">
        <f t="shared" si="69"/>
        <v>0.16980000000000001</v>
      </c>
      <c r="BU268">
        <f t="shared" si="69"/>
        <v>0.1057</v>
      </c>
      <c r="BV268">
        <f t="shared" si="69"/>
        <v>-3.9899999999999998E-2</v>
      </c>
      <c r="BW268">
        <f t="shared" si="69"/>
        <v>-8.6199999999999999E-2</v>
      </c>
      <c r="BX268">
        <f t="shared" si="69"/>
        <v>-2.6499999999999999E-2</v>
      </c>
      <c r="BY268">
        <f t="shared" si="69"/>
        <v>4.3799999999999999E-2</v>
      </c>
      <c r="BZ268">
        <f t="shared" si="69"/>
        <v>7.8299999999999995E-2</v>
      </c>
      <c r="CA268">
        <f t="shared" si="69"/>
        <v>6.08E-2</v>
      </c>
      <c r="CB268">
        <f t="shared" si="69"/>
        <v>6.7000000000000004E-2</v>
      </c>
      <c r="CC268">
        <f t="shared" si="69"/>
        <v>8.9899999999999994E-2</v>
      </c>
      <c r="CD268">
        <f t="shared" si="69"/>
        <v>0.1772</v>
      </c>
      <c r="CE268">
        <f t="shared" si="69"/>
        <v>0.2676</v>
      </c>
      <c r="CF268">
        <f t="shared" si="69"/>
        <v>0.29010000000000002</v>
      </c>
      <c r="CG268">
        <f t="shared" si="69"/>
        <v>0.20649999999999999</v>
      </c>
      <c r="CH268">
        <f t="shared" si="69"/>
        <v>8.6E-3</v>
      </c>
      <c r="CI268">
        <f t="shared" si="69"/>
        <v>-0.08</v>
      </c>
      <c r="CJ268">
        <f t="shared" si="69"/>
        <v>-5.8099999999999999E-2</v>
      </c>
      <c r="CK268">
        <f t="shared" si="69"/>
        <v>0.29930000000000001</v>
      </c>
      <c r="CL268">
        <f t="shared" si="69"/>
        <v>0.35899999999999999</v>
      </c>
      <c r="CM268">
        <f t="shared" si="69"/>
        <v>0.29649999999999999</v>
      </c>
      <c r="CN268">
        <f t="shared" si="69"/>
        <v>0.22040000000000001</v>
      </c>
      <c r="CO268">
        <f t="shared" si="69"/>
        <v>0.23619999999999999</v>
      </c>
      <c r="CP268">
        <f t="shared" si="69"/>
        <v>0.29509999999999997</v>
      </c>
      <c r="CQ268">
        <f t="shared" si="69"/>
        <v>0.41089999999999999</v>
      </c>
      <c r="CR268">
        <f t="shared" si="69"/>
        <v>0.31369999999999998</v>
      </c>
      <c r="CS268">
        <f t="shared" si="69"/>
        <v>0.11749999999999999</v>
      </c>
      <c r="CT268">
        <f t="shared" si="69"/>
        <v>0.22239999999999999</v>
      </c>
      <c r="CU268">
        <f t="shared" si="69"/>
        <v>0.1138</v>
      </c>
      <c r="CV268">
        <f t="shared" si="69"/>
        <v>0.47210000000000002</v>
      </c>
      <c r="CW268">
        <f t="shared" si="69"/>
        <v>0.17929999999999999</v>
      </c>
      <c r="CX268">
        <f t="shared" si="69"/>
        <v>0.1862</v>
      </c>
    </row>
    <row r="269" spans="1:102" x14ac:dyDescent="0.2">
      <c r="A269" t="s">
        <v>203</v>
      </c>
      <c r="B269" t="s">
        <v>217</v>
      </c>
      <c r="C269" t="s">
        <v>223</v>
      </c>
      <c r="D269">
        <f>'2020_2021_efet'!B2</f>
        <v>2.3599999999999999E-2</v>
      </c>
      <c r="E269">
        <f>'2020_2021_efet'!C2</f>
        <v>9.4899999999999998E-2</v>
      </c>
      <c r="F269">
        <f>'2020_2021_efet'!D2</f>
        <v>0.16600000000000001</v>
      </c>
      <c r="G269">
        <f>'2020_2021_efet'!E2</f>
        <v>0.371</v>
      </c>
      <c r="H269">
        <f>'2020_2021_efet'!F2</f>
        <v>0.66</v>
      </c>
      <c r="I269">
        <f>'2020_2021_efet'!G2</f>
        <v>0.84099999999999997</v>
      </c>
      <c r="J269">
        <f>'2020_2021_efet'!H2</f>
        <v>0.97299999999999998</v>
      </c>
      <c r="K269">
        <f>'2020_2021_efet'!I2</f>
        <v>1.0669999999999999</v>
      </c>
      <c r="L269">
        <f>'2020_2021_efet'!J2</f>
        <v>1.1779999999999999</v>
      </c>
      <c r="M269">
        <f>'2020_2021_efet'!K2</f>
        <v>1.248</v>
      </c>
      <c r="N269">
        <f>'2020_2021_efet'!L2</f>
        <v>1.3540000000000001</v>
      </c>
      <c r="O269">
        <f>'2020_2021_efet'!M2</f>
        <v>1.401</v>
      </c>
      <c r="P269">
        <f>'2020_2021_efet'!N2</f>
        <v>1.4730000000000001</v>
      </c>
      <c r="Q269">
        <f>'2020_2021_efet'!O2</f>
        <v>1.5409999999999999</v>
      </c>
      <c r="R269">
        <f>'2020_2021_efet'!P2</f>
        <v>1.5389999999999999</v>
      </c>
      <c r="S269">
        <f>'2020_2021_efet'!Q2</f>
        <v>1.619</v>
      </c>
      <c r="T269">
        <f>'2020_2021_efet'!R2</f>
        <v>1.661</v>
      </c>
      <c r="U269">
        <f>'2020_2021_efet'!S2</f>
        <v>1.6719999999999999</v>
      </c>
      <c r="V269">
        <f>'2020_2021_efet'!T2</f>
        <v>1.7070000000000001</v>
      </c>
      <c r="W269">
        <f>'2020_2021_efet'!U2</f>
        <v>1.7549999999999999</v>
      </c>
      <c r="X269">
        <f>'2020_2021_efet'!V2</f>
        <v>1.768</v>
      </c>
      <c r="Y269">
        <f>'2020_2021_efet'!W2</f>
        <v>1.7569999999999999</v>
      </c>
      <c r="Z269">
        <f>'2020_2021_efet'!X2</f>
        <v>1.7589999999999999</v>
      </c>
      <c r="AA269">
        <f>'2020_2021_efet'!Y2</f>
        <v>1.758</v>
      </c>
      <c r="AB269">
        <f>'2020_2021_efet'!Z2</f>
        <v>1.798</v>
      </c>
      <c r="AC269">
        <f>'2020_2021_efet'!AA2</f>
        <v>1.8029999999999999</v>
      </c>
      <c r="AD269">
        <f>'2020_2021_efet'!AB2</f>
        <v>1.837</v>
      </c>
      <c r="AE269">
        <f>'2020_2021_efet'!AC2</f>
        <v>1.845</v>
      </c>
      <c r="AF269">
        <f>'2020_2021_efet'!AD2</f>
        <v>1.859</v>
      </c>
      <c r="AG269">
        <f>'2020_2021_efet'!AE2</f>
        <v>1.853</v>
      </c>
      <c r="AH269">
        <f>'2020_2021_efet'!AF2</f>
        <v>1.855</v>
      </c>
      <c r="AI269">
        <f>'2020_2021_efet'!AG2</f>
        <v>1.9019999999999999</v>
      </c>
      <c r="AJ269">
        <f>'2020_2021_efet'!AH2</f>
        <v>1.925</v>
      </c>
      <c r="AK269">
        <f>'2020_2021_efet'!AI2</f>
        <v>1.9470000000000001</v>
      </c>
      <c r="AL269">
        <f>'2020_2021_efet'!AJ2</f>
        <v>1.9410000000000001</v>
      </c>
      <c r="AM269">
        <f>'2020_2021_efet'!AK2</f>
        <v>1.9610000000000001</v>
      </c>
      <c r="AN269">
        <f>'2020_2021_efet'!AL2</f>
        <v>1.9870000000000001</v>
      </c>
      <c r="AO269">
        <f>'2020_2021_efet'!AM2</f>
        <v>2.02</v>
      </c>
      <c r="AP269">
        <f>'2020_2021_efet'!AN2</f>
        <v>2.0459999999999998</v>
      </c>
      <c r="AQ269">
        <f>'2020_2021_efet'!AO2</f>
        <v>2.0459999999999998</v>
      </c>
      <c r="AR269">
        <f>'2020_2021_efet'!AP2</f>
        <v>2.0680000000000001</v>
      </c>
      <c r="AS269">
        <f>'2020_2021_efet'!AQ2</f>
        <v>2.081</v>
      </c>
      <c r="AT269">
        <f>'2020_2021_efet'!AR2</f>
        <v>2.0950000000000002</v>
      </c>
      <c r="AU269">
        <f>'2020_2021_efet'!AS2</f>
        <v>2.1320000000000001</v>
      </c>
      <c r="AV269">
        <f>'2020_2021_efet'!AT2</f>
        <v>2.14</v>
      </c>
      <c r="AW269">
        <f>'2020_2021_efet'!AU2</f>
        <v>2.165</v>
      </c>
      <c r="AX269">
        <f>'2020_2021_efet'!AV2</f>
        <v>2.1629999999999998</v>
      </c>
      <c r="AY269">
        <f>'2020_2021_efet'!AW2</f>
        <v>2.1680000000000001</v>
      </c>
      <c r="AZ269">
        <f>'2020_2021_efet'!AX2</f>
        <v>2.2160000000000002</v>
      </c>
      <c r="BA269">
        <f>'2020_2021_efet'!AY2</f>
        <v>2.2269999999999999</v>
      </c>
      <c r="BB269">
        <f>'2020_2021_efet'!AZ2</f>
        <v>2.2320000000000002</v>
      </c>
      <c r="BC269">
        <f>'2020_2021_efet'!BA2</f>
        <v>2.2650000000000001</v>
      </c>
      <c r="BD269">
        <f>'2020_2021_efet'!BB2</f>
        <v>2.2759999999999998</v>
      </c>
      <c r="BE269">
        <f>'2020_2021_efet'!BC2</f>
        <v>2.3119999999999998</v>
      </c>
      <c r="BF269">
        <f>'2020_2021_efet'!BD2</f>
        <v>2.3490000000000002</v>
      </c>
      <c r="BG269">
        <f>'2020_2021_efet'!BE2</f>
        <v>2.3580000000000001</v>
      </c>
      <c r="BH269">
        <f>'2020_2021_efet'!BF2</f>
        <v>2.3580000000000001</v>
      </c>
      <c r="BI269">
        <f>'2020_2021_efet'!BG2</f>
        <v>2.399</v>
      </c>
      <c r="BJ269">
        <f>'2020_2021_efet'!BH2</f>
        <v>2.448</v>
      </c>
      <c r="BK269">
        <f>'2020_2021_efet'!BI2</f>
        <v>2.4620000000000002</v>
      </c>
      <c r="BL269">
        <f>'2020_2021_efet'!BJ2</f>
        <v>2.4529999999999998</v>
      </c>
      <c r="BM269">
        <f>'2020_2021_efet'!BK2</f>
        <v>2.456</v>
      </c>
      <c r="BN269">
        <f>'2020_2021_efet'!BL2</f>
        <v>2.4540000000000002</v>
      </c>
      <c r="BO269">
        <f>'2020_2021_efet'!BM2</f>
        <v>2.4950000000000001</v>
      </c>
      <c r="BP269">
        <f>'2020_2021_efet'!BN2</f>
        <v>2.5369999999999999</v>
      </c>
      <c r="BQ269">
        <f>'2020_2021_efet'!BO2</f>
        <v>2.556</v>
      </c>
      <c r="BR269">
        <f>'2020_2021_efet'!BP2</f>
        <v>2.5790000000000002</v>
      </c>
      <c r="BS269">
        <f>'2020_2021_efet'!BQ2</f>
        <v>2.605</v>
      </c>
      <c r="BT269">
        <f>'2020_2021_efet'!BR2</f>
        <v>2.633</v>
      </c>
      <c r="BU269">
        <f>'2020_2021_efet'!BS2</f>
        <v>2.681</v>
      </c>
      <c r="BV269">
        <f>'2020_2021_efet'!BT2</f>
        <v>2.6760000000000002</v>
      </c>
      <c r="BW269">
        <f>'2020_2021_efet'!BU2</f>
        <v>2.738</v>
      </c>
      <c r="BX269">
        <f>'2020_2021_efet'!BV2</f>
        <v>2.7629999999999999</v>
      </c>
      <c r="BY269">
        <f>'2020_2021_efet'!BW2</f>
        <v>2.778</v>
      </c>
      <c r="BZ269">
        <f>'2020_2021_efet'!BX2</f>
        <v>2.8239999999999998</v>
      </c>
      <c r="CA269">
        <f>'2020_2021_efet'!BY2</f>
        <v>2.8660000000000001</v>
      </c>
      <c r="CB269">
        <f>'2020_2021_efet'!BZ2</f>
        <v>2.8559999999999999</v>
      </c>
      <c r="CC269">
        <f>'2020_2021_efet'!CA2</f>
        <v>2.899</v>
      </c>
      <c r="CD269">
        <f>'2020_2021_efet'!CB2</f>
        <v>2.9350000000000001</v>
      </c>
      <c r="CE269">
        <f>'2020_2021_efet'!CC2</f>
        <v>2.972</v>
      </c>
      <c r="CF269">
        <f>'2020_2021_efet'!CD2</f>
        <v>3.0259999999999998</v>
      </c>
      <c r="CG269">
        <f>'2020_2021_efet'!CE2</f>
        <v>3.0739999999999998</v>
      </c>
      <c r="CH269">
        <f>'2020_2021_efet'!CF2</f>
        <v>3.15</v>
      </c>
      <c r="CI269">
        <f>'2020_2021_efet'!CG2</f>
        <v>3.1440000000000001</v>
      </c>
      <c r="CJ269">
        <f>'2020_2021_efet'!CH2</f>
        <v>3.181</v>
      </c>
      <c r="CK269">
        <f>'2020_2021_efet'!CI2</f>
        <v>3.25</v>
      </c>
      <c r="CL269">
        <f>'2020_2021_efet'!CJ2</f>
        <v>3.3</v>
      </c>
      <c r="CM269">
        <f>'2020_2021_efet'!CK2</f>
        <v>3.3780000000000001</v>
      </c>
      <c r="CN269">
        <f>'2020_2021_efet'!CL2</f>
        <v>3.3959999999999999</v>
      </c>
      <c r="CO269">
        <f>'2020_2021_efet'!CM2</f>
        <v>3.464</v>
      </c>
      <c r="CP269">
        <f>'2020_2021_efet'!CN2</f>
        <v>3.5489999999999999</v>
      </c>
      <c r="CQ269">
        <f>'2020_2021_efet'!CO2</f>
        <v>3.6280000000000001</v>
      </c>
      <c r="CR269">
        <f>'2020_2021_efet'!CP2</f>
        <v>3.7040000000000002</v>
      </c>
      <c r="CS269">
        <f>'2020_2021_efet'!CQ2</f>
        <v>3.8559999999999999</v>
      </c>
      <c r="CT269">
        <f>'2020_2021_efet'!CR2</f>
        <v>3.9550000000000001</v>
      </c>
      <c r="CU269">
        <f>'2020_2021_efet'!CS2</f>
        <v>4.0620000000000003</v>
      </c>
      <c r="CV269">
        <f>'2020_2021_efet'!CT2</f>
        <v>4.2830000000000004</v>
      </c>
      <c r="CW269">
        <f>'2020_2021_efet'!CU2</f>
        <v>4.53</v>
      </c>
      <c r="CX269">
        <f>'2020_2021_efet'!CV2</f>
        <v>4.8639999999999999</v>
      </c>
    </row>
    <row r="270" spans="1:102" x14ac:dyDescent="0.2">
      <c r="A270" t="s">
        <v>204</v>
      </c>
      <c r="B270" t="s">
        <v>217</v>
      </c>
      <c r="C270" t="s">
        <v>223</v>
      </c>
      <c r="D270">
        <f>'2020_2021_efet'!B3</f>
        <v>2.0500000000000001E-2</v>
      </c>
      <c r="E270">
        <f>'2020_2021_efet'!C3</f>
        <v>8.8400000000000006E-2</v>
      </c>
      <c r="F270">
        <f>'2020_2021_efet'!D3</f>
        <v>0.156</v>
      </c>
      <c r="G270">
        <f>'2020_2021_efet'!E3</f>
        <v>0.28499999999999998</v>
      </c>
      <c r="H270">
        <f>'2020_2021_efet'!F3</f>
        <v>0.60299999999999998</v>
      </c>
      <c r="I270">
        <f>'2020_2021_efet'!G3</f>
        <v>0.82199999999999995</v>
      </c>
      <c r="J270">
        <f>'2020_2021_efet'!H3</f>
        <v>0.90800000000000003</v>
      </c>
      <c r="K270">
        <f>'2020_2021_efet'!I3</f>
        <v>1.107</v>
      </c>
      <c r="L270">
        <f>'2020_2021_efet'!J3</f>
        <v>1.173</v>
      </c>
      <c r="M270">
        <f>'2020_2021_efet'!K3</f>
        <v>1.29</v>
      </c>
      <c r="N270">
        <f>'2020_2021_efet'!L3</f>
        <v>1.3540000000000001</v>
      </c>
      <c r="O270">
        <f>'2020_2021_efet'!M3</f>
        <v>1.411</v>
      </c>
      <c r="P270">
        <f>'2020_2021_efet'!N3</f>
        <v>1.4870000000000001</v>
      </c>
      <c r="Q270">
        <f>'2020_2021_efet'!O3</f>
        <v>1.5780000000000001</v>
      </c>
      <c r="R270">
        <f>'2020_2021_efet'!P3</f>
        <v>1.5880000000000001</v>
      </c>
      <c r="S270">
        <f>'2020_2021_efet'!Q3</f>
        <v>1.619</v>
      </c>
      <c r="T270">
        <f>'2020_2021_efet'!R3</f>
        <v>1.6619999999999999</v>
      </c>
      <c r="U270">
        <f>'2020_2021_efet'!S3</f>
        <v>1.6990000000000001</v>
      </c>
      <c r="V270">
        <f>'2020_2021_efet'!T3</f>
        <v>1.7170000000000001</v>
      </c>
      <c r="W270">
        <f>'2020_2021_efet'!U3</f>
        <v>1.748</v>
      </c>
      <c r="X270">
        <f>'2020_2021_efet'!V3</f>
        <v>1.7569999999999999</v>
      </c>
      <c r="Y270">
        <f>'2020_2021_efet'!W3</f>
        <v>1.796</v>
      </c>
      <c r="Z270">
        <f>'2020_2021_efet'!X3</f>
        <v>1.802</v>
      </c>
      <c r="AA270">
        <f>'2020_2021_efet'!Y3</f>
        <v>1.804</v>
      </c>
      <c r="AB270">
        <f>'2020_2021_efet'!Z3</f>
        <v>1.8089999999999999</v>
      </c>
      <c r="AC270">
        <f>'2020_2021_efet'!AA3</f>
        <v>1.8340000000000001</v>
      </c>
      <c r="AD270">
        <f>'2020_2021_efet'!AB3</f>
        <v>1.845</v>
      </c>
      <c r="AE270">
        <f>'2020_2021_efet'!AC3</f>
        <v>1.8560000000000001</v>
      </c>
      <c r="AF270">
        <f>'2020_2021_efet'!AD3</f>
        <v>1.877</v>
      </c>
      <c r="AG270">
        <f>'2020_2021_efet'!AE3</f>
        <v>1.889</v>
      </c>
      <c r="AH270">
        <f>'2020_2021_efet'!AF3</f>
        <v>1.903</v>
      </c>
      <c r="AI270">
        <f>'2020_2021_efet'!AG3</f>
        <v>1.9419999999999999</v>
      </c>
      <c r="AJ270">
        <f>'2020_2021_efet'!AH3</f>
        <v>1.9690000000000001</v>
      </c>
      <c r="AK270">
        <f>'2020_2021_efet'!AI3</f>
        <v>1.986</v>
      </c>
      <c r="AL270">
        <f>'2020_2021_efet'!AJ3</f>
        <v>1.9870000000000001</v>
      </c>
      <c r="AM270">
        <f>'2020_2021_efet'!AK3</f>
        <v>2.0009999999999999</v>
      </c>
      <c r="AN270">
        <f>'2020_2021_efet'!AL3</f>
        <v>2.0270000000000001</v>
      </c>
      <c r="AO270">
        <f>'2020_2021_efet'!AM3</f>
        <v>2.0499999999999998</v>
      </c>
      <c r="AP270">
        <f>'2020_2021_efet'!AN3</f>
        <v>2.0710000000000002</v>
      </c>
      <c r="AQ270">
        <f>'2020_2021_efet'!AO3</f>
        <v>2.089</v>
      </c>
      <c r="AR270">
        <f>'2020_2021_efet'!AP3</f>
        <v>2.1070000000000002</v>
      </c>
      <c r="AS270">
        <f>'2020_2021_efet'!AQ3</f>
        <v>2.1139999999999999</v>
      </c>
      <c r="AT270">
        <f>'2020_2021_efet'!AR3</f>
        <v>2.1360000000000001</v>
      </c>
      <c r="AU270">
        <f>'2020_2021_efet'!AS3</f>
        <v>2.1560000000000001</v>
      </c>
      <c r="AV270">
        <f>'2020_2021_efet'!AT3</f>
        <v>2.1779999999999999</v>
      </c>
      <c r="AW270">
        <f>'2020_2021_efet'!AU3</f>
        <v>2.206</v>
      </c>
      <c r="AX270">
        <f>'2020_2021_efet'!AV3</f>
        <v>2.2090000000000001</v>
      </c>
      <c r="AY270">
        <f>'2020_2021_efet'!AW3</f>
        <v>2.2189999999999999</v>
      </c>
      <c r="AZ270">
        <f>'2020_2021_efet'!AX3</f>
        <v>2.2639999999999998</v>
      </c>
      <c r="BA270">
        <f>'2020_2021_efet'!AY3</f>
        <v>2.2730000000000001</v>
      </c>
      <c r="BB270">
        <f>'2020_2021_efet'!AZ3</f>
        <v>2.2879999999999998</v>
      </c>
      <c r="BC270">
        <f>'2020_2021_efet'!BA3</f>
        <v>2.31</v>
      </c>
      <c r="BD270">
        <f>'2020_2021_efet'!BB3</f>
        <v>2.3199999999999998</v>
      </c>
      <c r="BE270">
        <f>'2020_2021_efet'!BC3</f>
        <v>2.351</v>
      </c>
      <c r="BF270">
        <f>'2020_2021_efet'!BD3</f>
        <v>2.3879999999999999</v>
      </c>
      <c r="BG270">
        <f>'2020_2021_efet'!BE3</f>
        <v>2.399</v>
      </c>
      <c r="BH270">
        <f>'2020_2021_efet'!BF3</f>
        <v>2.4039999999999999</v>
      </c>
      <c r="BI270">
        <f>'2020_2021_efet'!BG3</f>
        <v>2.4329999999999998</v>
      </c>
      <c r="BJ270">
        <f>'2020_2021_efet'!BH3</f>
        <v>2.4910000000000001</v>
      </c>
      <c r="BK270">
        <f>'2020_2021_efet'!BI3</f>
        <v>2.4980000000000002</v>
      </c>
      <c r="BL270">
        <f>'2020_2021_efet'!BJ3</f>
        <v>2.4969999999999999</v>
      </c>
      <c r="BM270">
        <f>'2020_2021_efet'!BK3</f>
        <v>2.4969999999999999</v>
      </c>
      <c r="BN270">
        <f>'2020_2021_efet'!BL3</f>
        <v>2.5070000000000001</v>
      </c>
      <c r="BO270">
        <f>'2020_2021_efet'!BM3</f>
        <v>2.5379999999999998</v>
      </c>
      <c r="BP270">
        <f>'2020_2021_efet'!BN3</f>
        <v>2.5760000000000001</v>
      </c>
      <c r="BQ270">
        <f>'2020_2021_efet'!BO3</f>
        <v>2.6040000000000001</v>
      </c>
      <c r="BR270">
        <f>'2020_2021_efet'!BP3</f>
        <v>2.6280000000000001</v>
      </c>
      <c r="BS270">
        <f>'2020_2021_efet'!BQ3</f>
        <v>2.673</v>
      </c>
      <c r="BT270">
        <f>'2020_2021_efet'!BR3</f>
        <v>2.6970000000000001</v>
      </c>
      <c r="BU270">
        <f>'2020_2021_efet'!BS3</f>
        <v>2.7280000000000002</v>
      </c>
      <c r="BV270">
        <f>'2020_2021_efet'!BT3</f>
        <v>2.726</v>
      </c>
      <c r="BW270">
        <f>'2020_2021_efet'!BU3</f>
        <v>2.7770000000000001</v>
      </c>
      <c r="BX270">
        <f>'2020_2021_efet'!BV3</f>
        <v>2.7989999999999999</v>
      </c>
      <c r="BY270">
        <f>'2020_2021_efet'!BW3</f>
        <v>2.8119999999999998</v>
      </c>
      <c r="BZ270">
        <f>'2020_2021_efet'!BX3</f>
        <v>2.859</v>
      </c>
      <c r="CA270">
        <f>'2020_2021_efet'!BY3</f>
        <v>2.9</v>
      </c>
      <c r="CB270">
        <f>'2020_2021_efet'!BZ3</f>
        <v>2.9020000000000001</v>
      </c>
      <c r="CC270">
        <f>'2020_2021_efet'!CA3</f>
        <v>2.9359999999999999</v>
      </c>
      <c r="CD270">
        <f>'2020_2021_efet'!CB3</f>
        <v>2.9750000000000001</v>
      </c>
      <c r="CE270">
        <f>'2020_2021_efet'!CC3</f>
        <v>3.0139999999999998</v>
      </c>
      <c r="CF270">
        <f>'2020_2021_efet'!CD3</f>
        <v>3.0609999999999999</v>
      </c>
      <c r="CG270">
        <f>'2020_2021_efet'!CE3</f>
        <v>3.1070000000000002</v>
      </c>
      <c r="CH270">
        <f>'2020_2021_efet'!CF3</f>
        <v>3.1909999999999998</v>
      </c>
      <c r="CI270">
        <f>'2020_2021_efet'!CG3</f>
        <v>3.19</v>
      </c>
      <c r="CJ270">
        <f>'2020_2021_efet'!CH3</f>
        <v>3.2170000000000001</v>
      </c>
      <c r="CK270">
        <f>'2020_2021_efet'!CI3</f>
        <v>3.3</v>
      </c>
      <c r="CL270">
        <f>'2020_2021_efet'!CJ3</f>
        <v>3.3420000000000001</v>
      </c>
      <c r="CM270">
        <f>'2020_2021_efet'!CK3</f>
        <v>3.415</v>
      </c>
      <c r="CN270">
        <f>'2020_2021_efet'!CL3</f>
        <v>3.427</v>
      </c>
      <c r="CO270">
        <f>'2020_2021_efet'!CM3</f>
        <v>3.5179999999999998</v>
      </c>
      <c r="CP270">
        <f>'2020_2021_efet'!CN3</f>
        <v>3.5960000000000001</v>
      </c>
      <c r="CQ270">
        <f>'2020_2021_efet'!CO3</f>
        <v>3.7</v>
      </c>
      <c r="CR270">
        <f>'2020_2021_efet'!CP3</f>
        <v>3.7869999999999999</v>
      </c>
      <c r="CS270">
        <f>'2020_2021_efet'!CQ3</f>
        <v>3.8849999999999998</v>
      </c>
      <c r="CT270">
        <f>'2020_2021_efet'!CR3</f>
        <v>4.0140000000000002</v>
      </c>
      <c r="CU270">
        <f>'2020_2021_efet'!CS3</f>
        <v>4.1189999999999998</v>
      </c>
      <c r="CV270">
        <f>'2020_2021_efet'!CT3</f>
        <v>4.3449999999999998</v>
      </c>
      <c r="CW270">
        <f>'2020_2021_efet'!CU3</f>
        <v>4.5810000000000004</v>
      </c>
      <c r="CX270">
        <f>'2020_2021_efet'!CV3</f>
        <v>5.0209999999999999</v>
      </c>
    </row>
    <row r="271" spans="1:102" x14ac:dyDescent="0.2">
      <c r="A271" t="s">
        <v>205</v>
      </c>
      <c r="B271" t="s">
        <v>217</v>
      </c>
      <c r="C271" t="s">
        <v>223</v>
      </c>
      <c r="D271">
        <f>'2020_2021_efet'!B4</f>
        <v>3.0899999999999999E-3</v>
      </c>
      <c r="E271">
        <f>'2020_2021_efet'!C4</f>
        <v>6.5199999999999998E-3</v>
      </c>
      <c r="F271">
        <f>'2020_2021_efet'!D4</f>
        <v>9.9399999999999992E-3</v>
      </c>
      <c r="G271">
        <f>'2020_2021_efet'!E4</f>
        <v>8.6099999999999996E-2</v>
      </c>
      <c r="H271">
        <f>'2020_2021_efet'!F4</f>
        <v>5.7000000000000002E-2</v>
      </c>
      <c r="I271">
        <f>'2020_2021_efet'!G4</f>
        <v>1.9099999999999999E-2</v>
      </c>
      <c r="J271">
        <f>'2020_2021_efet'!H4</f>
        <v>6.5199999999999994E-2</v>
      </c>
      <c r="K271">
        <f>'2020_2021_efet'!I4</f>
        <v>-4.07E-2</v>
      </c>
      <c r="L271">
        <f>'2020_2021_efet'!J4</f>
        <v>4.7000000000000002E-3</v>
      </c>
      <c r="M271">
        <f>'2020_2021_efet'!K4</f>
        <v>-4.2500000000000003E-2</v>
      </c>
      <c r="N271">
        <f>'2020_2021_efet'!L4</f>
        <v>-6.0899999999999995E-4</v>
      </c>
      <c r="O271">
        <f>'2020_2021_efet'!M4</f>
        <v>-1.06E-2</v>
      </c>
      <c r="P271">
        <f>'2020_2021_efet'!N4</f>
        <v>-1.4500000000000001E-2</v>
      </c>
      <c r="Q271">
        <f>'2020_2021_efet'!O4</f>
        <v>-3.6700000000000003E-2</v>
      </c>
      <c r="R271">
        <f>'2020_2021_efet'!P4</f>
        <v>-4.87E-2</v>
      </c>
      <c r="S271">
        <f>'2020_2021_efet'!Q4</f>
        <v>2.5700000000000001E-4</v>
      </c>
      <c r="T271">
        <f>'2020_2021_efet'!R4</f>
        <v>-1.1999999999999999E-3</v>
      </c>
      <c r="U271">
        <f>'2020_2021_efet'!S4</f>
        <v>-2.7799999999999998E-2</v>
      </c>
      <c r="V271">
        <f>'2020_2021_efet'!T4</f>
        <v>-9.6799999999999994E-3</v>
      </c>
      <c r="W271">
        <f>'2020_2021_efet'!U4</f>
        <v>7.2899999999999996E-3</v>
      </c>
      <c r="X271">
        <f>'2020_2021_efet'!V4</f>
        <v>1.0999999999999999E-2</v>
      </c>
      <c r="Y271">
        <f>'2020_2021_efet'!W4</f>
        <v>-3.9399999999999998E-2</v>
      </c>
      <c r="Z271">
        <f>'2020_2021_efet'!X4</f>
        <v>-4.3799999999999999E-2</v>
      </c>
      <c r="AA271">
        <f>'2020_2021_efet'!Y4</f>
        <v>-4.58E-2</v>
      </c>
      <c r="AB271">
        <f>'2020_2021_efet'!Z4</f>
        <v>-1.0800000000000001E-2</v>
      </c>
      <c r="AC271">
        <f>'2020_2021_efet'!AA4</f>
        <v>-3.1800000000000002E-2</v>
      </c>
      <c r="AD271">
        <f>'2020_2021_efet'!AB4</f>
        <v>-8.4799999999999997E-3</v>
      </c>
      <c r="AE271">
        <f>'2020_2021_efet'!AC4</f>
        <v>-1.09E-2</v>
      </c>
      <c r="AF271">
        <f>'2020_2021_efet'!AD4</f>
        <v>-1.8100000000000002E-2</v>
      </c>
      <c r="AG271">
        <f>'2020_2021_efet'!AE4</f>
        <v>-3.61E-2</v>
      </c>
      <c r="AH271">
        <f>'2020_2021_efet'!AF4</f>
        <v>-4.7800000000000002E-2</v>
      </c>
      <c r="AI271">
        <f>'2020_2021_efet'!AG4</f>
        <v>-3.9300000000000002E-2</v>
      </c>
      <c r="AJ271">
        <f>'2020_2021_efet'!AH4</f>
        <v>-4.3799999999999999E-2</v>
      </c>
      <c r="AK271">
        <f>'2020_2021_efet'!AI4</f>
        <v>-3.85E-2</v>
      </c>
      <c r="AL271">
        <f>'2020_2021_efet'!AJ4</f>
        <v>-4.5600000000000002E-2</v>
      </c>
      <c r="AM271">
        <f>'2020_2021_efet'!AK4</f>
        <v>-3.9899999999999998E-2</v>
      </c>
      <c r="AN271">
        <f>'2020_2021_efet'!AL4</f>
        <v>-3.9800000000000002E-2</v>
      </c>
      <c r="AO271">
        <f>'2020_2021_efet'!AM4</f>
        <v>-2.92E-2</v>
      </c>
      <c r="AP271">
        <f>'2020_2021_efet'!AN4</f>
        <v>-2.46E-2</v>
      </c>
      <c r="AQ271">
        <f>'2020_2021_efet'!AO4</f>
        <v>-4.2900000000000001E-2</v>
      </c>
      <c r="AR271">
        <f>'2020_2021_efet'!AP4</f>
        <v>-3.95E-2</v>
      </c>
      <c r="AS271">
        <f>'2020_2021_efet'!AQ4</f>
        <v>-3.32E-2</v>
      </c>
      <c r="AT271">
        <f>'2020_2021_efet'!AR4</f>
        <v>-4.07E-2</v>
      </c>
      <c r="AU271">
        <f>'2020_2021_efet'!AS4</f>
        <v>-2.35E-2</v>
      </c>
      <c r="AV271">
        <f>'2020_2021_efet'!AT4</f>
        <v>-3.8399999999999997E-2</v>
      </c>
      <c r="AW271">
        <f>'2020_2021_efet'!AU4</f>
        <v>-4.0599999999999997E-2</v>
      </c>
      <c r="AX271">
        <f>'2020_2021_efet'!AV4</f>
        <v>-4.6600000000000003E-2</v>
      </c>
      <c r="AY271">
        <f>'2020_2021_efet'!AW4</f>
        <v>-5.1900000000000002E-2</v>
      </c>
      <c r="AZ271">
        <f>'2020_2021_efet'!AX4</f>
        <v>-4.7800000000000002E-2</v>
      </c>
      <c r="BA271">
        <f>'2020_2021_efet'!AY4</f>
        <v>-4.58E-2</v>
      </c>
      <c r="BB271">
        <f>'2020_2021_efet'!AZ4</f>
        <v>-5.62E-2</v>
      </c>
      <c r="BC271">
        <f>'2020_2021_efet'!BA4</f>
        <v>-4.5100000000000001E-2</v>
      </c>
      <c r="BD271">
        <f>'2020_2021_efet'!BB4</f>
        <v>-4.4200000000000003E-2</v>
      </c>
      <c r="BE271">
        <f>'2020_2021_efet'!BC4</f>
        <v>-3.8600000000000002E-2</v>
      </c>
      <c r="BF271">
        <f>'2020_2021_efet'!BD4</f>
        <v>-3.8600000000000002E-2</v>
      </c>
      <c r="BG271">
        <f>'2020_2021_efet'!BE4</f>
        <v>-4.0599999999999997E-2</v>
      </c>
      <c r="BH271">
        <f>'2020_2021_efet'!BF4</f>
        <v>-4.5999999999999999E-2</v>
      </c>
      <c r="BI271">
        <f>'2020_2021_efet'!BG4</f>
        <v>-3.3799999999999997E-2</v>
      </c>
      <c r="BJ271">
        <f>'2020_2021_efet'!BH4</f>
        <v>-4.2900000000000001E-2</v>
      </c>
      <c r="BK271">
        <f>'2020_2021_efet'!BI4</f>
        <v>-3.5099999999999999E-2</v>
      </c>
      <c r="BL271">
        <f>'2020_2021_efet'!BJ4</f>
        <v>-4.36E-2</v>
      </c>
      <c r="BM271">
        <f>'2020_2021_efet'!BK4</f>
        <v>-4.07E-2</v>
      </c>
      <c r="BN271">
        <f>'2020_2021_efet'!BL4</f>
        <v>-5.3100000000000001E-2</v>
      </c>
      <c r="BO271">
        <f>'2020_2021_efet'!BM4</f>
        <v>-4.3400000000000001E-2</v>
      </c>
      <c r="BP271">
        <f>'2020_2021_efet'!BN4</f>
        <v>-3.9399999999999998E-2</v>
      </c>
      <c r="BQ271">
        <f>'2020_2021_efet'!BO4</f>
        <v>-4.7800000000000002E-2</v>
      </c>
      <c r="BR271">
        <f>'2020_2021_efet'!BP4</f>
        <v>-4.9000000000000002E-2</v>
      </c>
      <c r="BS271">
        <f>'2020_2021_efet'!BQ4</f>
        <v>-6.83E-2</v>
      </c>
      <c r="BT271">
        <f>'2020_2021_efet'!BR4</f>
        <v>-6.4000000000000001E-2</v>
      </c>
      <c r="BU271">
        <f>'2020_2021_efet'!BS4</f>
        <v>-4.7399999999999998E-2</v>
      </c>
      <c r="BV271">
        <f>'2020_2021_efet'!BT4</f>
        <v>-0.05</v>
      </c>
      <c r="BW271">
        <f>'2020_2021_efet'!BU4</f>
        <v>-3.9E-2</v>
      </c>
      <c r="BX271">
        <f>'2020_2021_efet'!BV4</f>
        <v>-3.6799999999999999E-2</v>
      </c>
      <c r="BY271">
        <f>'2020_2021_efet'!BW4</f>
        <v>-3.39E-2</v>
      </c>
      <c r="BZ271">
        <f>'2020_2021_efet'!BX4</f>
        <v>-3.4799999999999998E-2</v>
      </c>
      <c r="CA271">
        <f>'2020_2021_efet'!BY4</f>
        <v>-3.3799999999999997E-2</v>
      </c>
      <c r="CB271">
        <f>'2020_2021_efet'!BZ4</f>
        <v>-4.6399999999999997E-2</v>
      </c>
      <c r="CC271">
        <f>'2020_2021_efet'!CA4</f>
        <v>-3.6400000000000002E-2</v>
      </c>
      <c r="CD271">
        <f>'2020_2021_efet'!CB4</f>
        <v>-4.0300000000000002E-2</v>
      </c>
      <c r="CE271">
        <f>'2020_2021_efet'!CC4</f>
        <v>-4.1799999999999997E-2</v>
      </c>
      <c r="CF271">
        <f>'2020_2021_efet'!CD4</f>
        <v>-3.5299999999999998E-2</v>
      </c>
      <c r="CG271">
        <f>'2020_2021_efet'!CE4</f>
        <v>-3.3099999999999997E-2</v>
      </c>
      <c r="CH271">
        <f>'2020_2021_efet'!CF4</f>
        <v>-4.0599999999999997E-2</v>
      </c>
      <c r="CI271">
        <f>'2020_2021_efet'!CG4</f>
        <v>-4.6199999999999998E-2</v>
      </c>
      <c r="CJ271">
        <f>'2020_2021_efet'!CH4</f>
        <v>-3.5400000000000001E-2</v>
      </c>
      <c r="CK271">
        <f>'2020_2021_efet'!CI4</f>
        <v>-5.0299999999999997E-2</v>
      </c>
      <c r="CL271">
        <f>'2020_2021_efet'!CJ4</f>
        <v>-4.24E-2</v>
      </c>
      <c r="CM271">
        <f>'2020_2021_efet'!CK4</f>
        <v>-3.7199999999999997E-2</v>
      </c>
      <c r="CN271">
        <f>'2020_2021_efet'!CL4</f>
        <v>-3.0800000000000001E-2</v>
      </c>
      <c r="CO271">
        <f>'2020_2021_efet'!CM4</f>
        <v>-5.3499999999999999E-2</v>
      </c>
      <c r="CP271">
        <f>'2020_2021_efet'!CN4</f>
        <v>-4.7E-2</v>
      </c>
      <c r="CQ271">
        <f>'2020_2021_efet'!CO4</f>
        <v>-7.1300000000000002E-2</v>
      </c>
      <c r="CR271">
        <f>'2020_2021_efet'!CP4</f>
        <v>-8.2799999999999999E-2</v>
      </c>
      <c r="CS271">
        <f>'2020_2021_efet'!CQ4</f>
        <v>-2.8899999999999999E-2</v>
      </c>
      <c r="CT271">
        <f>'2020_2021_efet'!CR4</f>
        <v>-5.9700000000000003E-2</v>
      </c>
      <c r="CU271">
        <f>'2020_2021_efet'!CS4</f>
        <v>-5.6399999999999999E-2</v>
      </c>
      <c r="CV271">
        <f>'2020_2021_efet'!CT4</f>
        <v>-6.2399999999999997E-2</v>
      </c>
      <c r="CW271">
        <f>'2020_2021_efet'!CU4</f>
        <v>-5.0900000000000001E-2</v>
      </c>
      <c r="CX271">
        <f>'2020_2021_efet'!CV4</f>
        <v>-0.157</v>
      </c>
    </row>
    <row r="272" spans="1:102" x14ac:dyDescent="0.2">
      <c r="A272" t="s">
        <v>206</v>
      </c>
      <c r="B272" t="s">
        <v>217</v>
      </c>
      <c r="C272" t="s">
        <v>223</v>
      </c>
      <c r="D272">
        <f>'2020_2021_efet'!B5</f>
        <v>1E-3</v>
      </c>
      <c r="E272">
        <f>'2020_2021_efet'!C5</f>
        <v>1E-3</v>
      </c>
      <c r="F272">
        <f>'2020_2021_efet'!D5</f>
        <v>1E-3</v>
      </c>
      <c r="G272">
        <f>'2020_2021_efet'!E5</f>
        <v>7.0800000000000004E-3</v>
      </c>
      <c r="H272">
        <f>'2020_2021_efet'!F5</f>
        <v>1.0999999999999999E-2</v>
      </c>
      <c r="I272">
        <f>'2020_2021_efet'!G5</f>
        <v>1.46E-2</v>
      </c>
      <c r="J272">
        <f>'2020_2021_efet'!H5</f>
        <v>1.5599999999999999E-2</v>
      </c>
      <c r="K272">
        <f>'2020_2021_efet'!I5</f>
        <v>1.7600000000000001E-2</v>
      </c>
      <c r="L272">
        <f>'2020_2021_efet'!J5</f>
        <v>2.06E-2</v>
      </c>
      <c r="M272">
        <f>'2020_2021_efet'!K5</f>
        <v>2.12E-2</v>
      </c>
      <c r="N272">
        <f>'2020_2021_efet'!L5</f>
        <v>2.1700000000000001E-2</v>
      </c>
      <c r="O272">
        <f>'2020_2021_efet'!M5</f>
        <v>2.3199999999999998E-2</v>
      </c>
      <c r="P272">
        <f>'2020_2021_efet'!N5</f>
        <v>2.1600000000000001E-2</v>
      </c>
      <c r="Q272">
        <f>'2020_2021_efet'!O5</f>
        <v>1.67E-2</v>
      </c>
      <c r="R272">
        <f>'2020_2021_efet'!P5</f>
        <v>1.6899999999999998E-2</v>
      </c>
      <c r="S272">
        <f>'2020_2021_efet'!Q5</f>
        <v>1.67E-2</v>
      </c>
      <c r="T272">
        <f>'2020_2021_efet'!R5</f>
        <v>1.55E-2</v>
      </c>
      <c r="U272">
        <f>'2020_2021_efet'!S5</f>
        <v>1.4999999999999999E-2</v>
      </c>
      <c r="V272">
        <f>'2020_2021_efet'!T5</f>
        <v>1.5299999999999999E-2</v>
      </c>
      <c r="W272">
        <f>'2020_2021_efet'!U5</f>
        <v>1.46E-2</v>
      </c>
      <c r="X272">
        <f>'2020_2021_efet'!V5</f>
        <v>1.5900000000000001E-2</v>
      </c>
      <c r="Y272">
        <f>'2020_2021_efet'!W5</f>
        <v>1.5699999999999999E-2</v>
      </c>
      <c r="Z272">
        <f>'2020_2021_efet'!X5</f>
        <v>1.6400000000000001E-2</v>
      </c>
      <c r="AA272">
        <f>'2020_2021_efet'!Y5</f>
        <v>1.7100000000000001E-2</v>
      </c>
      <c r="AB272">
        <f>'2020_2021_efet'!Z5</f>
        <v>1.77E-2</v>
      </c>
      <c r="AC272">
        <f>'2020_2021_efet'!AA5</f>
        <v>1.8100000000000002E-2</v>
      </c>
      <c r="AD272">
        <f>'2020_2021_efet'!AB5</f>
        <v>1.8800000000000001E-2</v>
      </c>
      <c r="AE272">
        <f>'2020_2021_efet'!AC5</f>
        <v>1.9800000000000002E-2</v>
      </c>
      <c r="AF272">
        <f>'2020_2021_efet'!AD5</f>
        <v>2.1000000000000001E-2</v>
      </c>
      <c r="AG272">
        <f>'2020_2021_efet'!AE5</f>
        <v>2.2800000000000001E-2</v>
      </c>
      <c r="AH272">
        <f>'2020_2021_efet'!AF5</f>
        <v>2.4199999999999999E-2</v>
      </c>
      <c r="AI272">
        <f>'2020_2021_efet'!AG5</f>
        <v>2.6200000000000001E-2</v>
      </c>
      <c r="AJ272">
        <f>'2020_2021_efet'!AH5</f>
        <v>2.7900000000000001E-2</v>
      </c>
      <c r="AK272">
        <f>'2020_2021_efet'!AI5</f>
        <v>2.8799999999999999E-2</v>
      </c>
      <c r="AL272">
        <f>'2020_2021_efet'!AJ5</f>
        <v>2.9399999999999999E-2</v>
      </c>
      <c r="AM272">
        <f>'2020_2021_efet'!AK5</f>
        <v>0.03</v>
      </c>
      <c r="AN272">
        <f>'2020_2021_efet'!AL5</f>
        <v>3.1E-2</v>
      </c>
      <c r="AO272">
        <f>'2020_2021_efet'!AM5</f>
        <v>3.1699999999999999E-2</v>
      </c>
      <c r="AP272">
        <f>'2020_2021_efet'!AN5</f>
        <v>3.2399999999999998E-2</v>
      </c>
      <c r="AQ272">
        <f>'2020_2021_efet'!AO5</f>
        <v>3.3000000000000002E-2</v>
      </c>
      <c r="AR272">
        <f>'2020_2021_efet'!AP5</f>
        <v>3.3300000000000003E-2</v>
      </c>
      <c r="AS272">
        <f>'2020_2021_efet'!AQ5</f>
        <v>3.4200000000000001E-2</v>
      </c>
      <c r="AT272">
        <f>'2020_2021_efet'!AR5</f>
        <v>3.5000000000000003E-2</v>
      </c>
      <c r="AU272">
        <f>'2020_2021_efet'!AS5</f>
        <v>3.5799999999999998E-2</v>
      </c>
      <c r="AV272">
        <f>'2020_2021_efet'!AT5</f>
        <v>3.6799999999999999E-2</v>
      </c>
      <c r="AW272">
        <f>'2020_2021_efet'!AU5</f>
        <v>3.7699999999999997E-2</v>
      </c>
      <c r="AX272">
        <f>'2020_2021_efet'!AV5</f>
        <v>3.8300000000000001E-2</v>
      </c>
      <c r="AY272">
        <f>'2020_2021_efet'!AW5</f>
        <v>3.9E-2</v>
      </c>
      <c r="AZ272">
        <f>'2020_2021_efet'!AX5</f>
        <v>4.0800000000000003E-2</v>
      </c>
      <c r="BA272">
        <f>'2020_2021_efet'!AY5</f>
        <v>4.1500000000000002E-2</v>
      </c>
      <c r="BB272">
        <f>'2020_2021_efet'!AZ5</f>
        <v>4.2200000000000001E-2</v>
      </c>
      <c r="BC272">
        <f>'2020_2021_efet'!BA5</f>
        <v>4.3700000000000003E-2</v>
      </c>
      <c r="BD272">
        <f>'2020_2021_efet'!BB5</f>
        <v>4.4499999999999998E-2</v>
      </c>
      <c r="BE272">
        <f>'2020_2021_efet'!BC5</f>
        <v>4.5600000000000002E-2</v>
      </c>
      <c r="BF272">
        <f>'2020_2021_efet'!BD5</f>
        <v>4.6300000000000001E-2</v>
      </c>
      <c r="BG272">
        <f>'2020_2021_efet'!BE5</f>
        <v>4.6399999999999997E-2</v>
      </c>
      <c r="BH272">
        <f>'2020_2021_efet'!BF5</f>
        <v>4.6300000000000001E-2</v>
      </c>
      <c r="BI272">
        <f>'2020_2021_efet'!BG5</f>
        <v>4.6399999999999997E-2</v>
      </c>
      <c r="BJ272">
        <f>'2020_2021_efet'!BH5</f>
        <v>4.7100000000000003E-2</v>
      </c>
      <c r="BK272">
        <f>'2020_2021_efet'!BI5</f>
        <v>4.7100000000000003E-2</v>
      </c>
      <c r="BL272">
        <f>'2020_2021_efet'!BJ5</f>
        <v>4.7199999999999999E-2</v>
      </c>
      <c r="BM272">
        <f>'2020_2021_efet'!BK5</f>
        <v>4.6899999999999997E-2</v>
      </c>
      <c r="BN272">
        <f>'2020_2021_efet'!BL5</f>
        <v>4.7399999999999998E-2</v>
      </c>
      <c r="BO272">
        <f>'2020_2021_efet'!BM5</f>
        <v>5.0299999999999997E-2</v>
      </c>
      <c r="BP272">
        <f>'2020_2021_efet'!BN5</f>
        <v>5.5199999999999999E-2</v>
      </c>
      <c r="BQ272">
        <f>'2020_2021_efet'!BO5</f>
        <v>5.8999999999999997E-2</v>
      </c>
      <c r="BR272">
        <f>'2020_2021_efet'!BP5</f>
        <v>6.1199999999999997E-2</v>
      </c>
      <c r="BS272">
        <f>'2020_2021_efet'!BQ5</f>
        <v>6.3100000000000003E-2</v>
      </c>
      <c r="BT272">
        <f>'2020_2021_efet'!BR5</f>
        <v>6.3E-2</v>
      </c>
      <c r="BU272">
        <f>'2020_2021_efet'!BS5</f>
        <v>6.3100000000000003E-2</v>
      </c>
      <c r="BV272">
        <f>'2020_2021_efet'!BT5</f>
        <v>6.2399999999999997E-2</v>
      </c>
      <c r="BW272">
        <f>'2020_2021_efet'!BU5</f>
        <v>6.3799999999999996E-2</v>
      </c>
      <c r="BX272">
        <f>'2020_2021_efet'!BV5</f>
        <v>6.3899999999999998E-2</v>
      </c>
      <c r="BY272">
        <f>'2020_2021_efet'!BW5</f>
        <v>6.3899999999999998E-2</v>
      </c>
      <c r="BZ272">
        <f>'2020_2021_efet'!BX5</f>
        <v>6.59E-2</v>
      </c>
      <c r="CA272">
        <f>'2020_2021_efet'!BY5</f>
        <v>6.8099999999999994E-2</v>
      </c>
      <c r="CB272">
        <f>'2020_2021_efet'!BZ5</f>
        <v>6.6900000000000001E-2</v>
      </c>
      <c r="CC272">
        <f>'2020_2021_efet'!CA5</f>
        <v>6.9099999999999995E-2</v>
      </c>
      <c r="CD272">
        <f>'2020_2021_efet'!CB5</f>
        <v>7.4200000000000002E-2</v>
      </c>
      <c r="CE272">
        <f>'2020_2021_efet'!CC5</f>
        <v>7.9200000000000007E-2</v>
      </c>
      <c r="CF272">
        <f>'2020_2021_efet'!CD5</f>
        <v>8.3099999999999993E-2</v>
      </c>
      <c r="CG272">
        <f>'2020_2021_efet'!CE5</f>
        <v>8.2299999999999998E-2</v>
      </c>
      <c r="CH272">
        <f>'2020_2021_efet'!CF5</f>
        <v>7.9600000000000004E-2</v>
      </c>
      <c r="CI272">
        <f>'2020_2021_efet'!CG5</f>
        <v>7.6399999999999996E-2</v>
      </c>
      <c r="CJ272">
        <f>'2020_2021_efet'!CH5</f>
        <v>7.4700000000000003E-2</v>
      </c>
      <c r="CK272">
        <f>'2020_2021_efet'!CI5</f>
        <v>8.4099999999999994E-2</v>
      </c>
      <c r="CL272">
        <f>'2020_2021_efet'!CJ5</f>
        <v>8.3299999999999999E-2</v>
      </c>
      <c r="CM272">
        <f>'2020_2021_efet'!CK5</f>
        <v>8.2799999999999999E-2</v>
      </c>
      <c r="CN272">
        <f>'2020_2021_efet'!CL5</f>
        <v>7.9299999999999995E-2</v>
      </c>
      <c r="CO272">
        <f>'2020_2021_efet'!CM5</f>
        <v>9.1700000000000004E-2</v>
      </c>
      <c r="CP272">
        <f>'2020_2021_efet'!CN5</f>
        <v>9.64E-2</v>
      </c>
      <c r="CQ272">
        <f>'2020_2021_efet'!CO5</f>
        <v>0.10100000000000001</v>
      </c>
      <c r="CR272">
        <f>'2020_2021_efet'!CP5</f>
        <v>9.9699999999999997E-2</v>
      </c>
      <c r="CS272">
        <f>'2020_2021_efet'!CQ5</f>
        <v>9.3399999999999997E-2</v>
      </c>
      <c r="CT272">
        <f>'2020_2021_efet'!CR5</f>
        <v>9.4899999999999998E-2</v>
      </c>
      <c r="CU272">
        <f>'2020_2021_efet'!CS5</f>
        <v>8.2000000000000003E-2</v>
      </c>
      <c r="CV272">
        <f>'2020_2021_efet'!CT5</f>
        <v>0.105</v>
      </c>
      <c r="CW272">
        <f>'2020_2021_efet'!CU5</f>
        <v>8.2699999999999996E-2</v>
      </c>
      <c r="CX272">
        <f>'2020_2021_efet'!CV5</f>
        <v>0.104</v>
      </c>
    </row>
    <row r="273" spans="1:102" x14ac:dyDescent="0.2">
      <c r="A273" t="s">
        <v>207</v>
      </c>
      <c r="B273" t="s">
        <v>217</v>
      </c>
      <c r="C273" t="s">
        <v>223</v>
      </c>
      <c r="D273">
        <f>'2020_2021_efet'!B6</f>
        <v>2.0899999999999998E-3</v>
      </c>
      <c r="E273">
        <f>'2020_2021_efet'!C6</f>
        <v>5.5199999999999997E-3</v>
      </c>
      <c r="F273">
        <f>'2020_2021_efet'!D6</f>
        <v>8.94E-3</v>
      </c>
      <c r="G273">
        <f>'2020_2021_efet'!E6</f>
        <v>7.9000000000000001E-2</v>
      </c>
      <c r="H273">
        <f>'2020_2021_efet'!F6</f>
        <v>4.5999999999999999E-2</v>
      </c>
      <c r="I273">
        <f>'2020_2021_efet'!G6</f>
        <v>4.5500000000000002E-3</v>
      </c>
      <c r="J273">
        <f>'2020_2021_efet'!H6</f>
        <v>4.9700000000000001E-2</v>
      </c>
      <c r="K273">
        <f>'2020_2021_efet'!I6</f>
        <v>-5.8299999999999998E-2</v>
      </c>
      <c r="L273">
        <f>'2020_2021_efet'!J6</f>
        <v>-1.5900000000000001E-2</v>
      </c>
      <c r="M273">
        <f>'2020_2021_efet'!K6</f>
        <v>-6.3700000000000007E-2</v>
      </c>
      <c r="N273">
        <f>'2020_2021_efet'!L6</f>
        <v>-2.23E-2</v>
      </c>
      <c r="O273">
        <f>'2020_2021_efet'!M6</f>
        <v>-3.3799999999999997E-2</v>
      </c>
      <c r="P273">
        <f>'2020_2021_efet'!N6</f>
        <v>-3.61E-2</v>
      </c>
      <c r="Q273">
        <f>'2020_2021_efet'!O6</f>
        <v>-5.3400000000000003E-2</v>
      </c>
      <c r="R273">
        <f>'2020_2021_efet'!P6</f>
        <v>-6.5500000000000003E-2</v>
      </c>
      <c r="S273">
        <f>'2020_2021_efet'!Q6</f>
        <v>-1.6400000000000001E-2</v>
      </c>
      <c r="T273">
        <f>'2020_2021_efet'!R6</f>
        <v>-1.67E-2</v>
      </c>
      <c r="U273">
        <f>'2020_2021_efet'!S6</f>
        <v>-4.2799999999999998E-2</v>
      </c>
      <c r="V273">
        <f>'2020_2021_efet'!T6</f>
        <v>-2.5000000000000001E-2</v>
      </c>
      <c r="W273">
        <f>'2020_2021_efet'!U6</f>
        <v>-7.28E-3</v>
      </c>
      <c r="X273">
        <f>'2020_2021_efet'!V6</f>
        <v>-4.8599999999999997E-3</v>
      </c>
      <c r="Y273">
        <f>'2020_2021_efet'!W6</f>
        <v>-5.5100000000000003E-2</v>
      </c>
      <c r="Z273">
        <f>'2020_2021_efet'!X6</f>
        <v>-6.0199999999999997E-2</v>
      </c>
      <c r="AA273">
        <f>'2020_2021_efet'!Y6</f>
        <v>-6.3E-2</v>
      </c>
      <c r="AB273">
        <f>'2020_2021_efet'!Z6</f>
        <v>-2.8500000000000001E-2</v>
      </c>
      <c r="AC273">
        <f>'2020_2021_efet'!AA6</f>
        <v>-4.99E-2</v>
      </c>
      <c r="AD273">
        <f>'2020_2021_efet'!AB6</f>
        <v>-2.7300000000000001E-2</v>
      </c>
      <c r="AE273">
        <f>'2020_2021_efet'!AC6</f>
        <v>-3.0700000000000002E-2</v>
      </c>
      <c r="AF273">
        <f>'2020_2021_efet'!AD6</f>
        <v>-3.9199999999999999E-2</v>
      </c>
      <c r="AG273">
        <f>'2020_2021_efet'!AE6</f>
        <v>-5.8799999999999998E-2</v>
      </c>
      <c r="AH273">
        <f>'2020_2021_efet'!AF6</f>
        <v>-7.1999999999999995E-2</v>
      </c>
      <c r="AI273">
        <f>'2020_2021_efet'!AG6</f>
        <v>-6.5500000000000003E-2</v>
      </c>
      <c r="AJ273">
        <f>'2020_2021_efet'!AH6</f>
        <v>-7.17E-2</v>
      </c>
      <c r="AK273">
        <f>'2020_2021_efet'!AI6</f>
        <v>-6.7299999999999999E-2</v>
      </c>
      <c r="AL273">
        <f>'2020_2021_efet'!AJ6</f>
        <v>-7.4999999999999997E-2</v>
      </c>
      <c r="AM273">
        <f>'2020_2021_efet'!AK6</f>
        <v>-6.9900000000000004E-2</v>
      </c>
      <c r="AN273">
        <f>'2020_2021_efet'!AL6</f>
        <v>-7.0800000000000002E-2</v>
      </c>
      <c r="AO273">
        <f>'2020_2021_efet'!AM6</f>
        <v>-6.0900000000000003E-2</v>
      </c>
      <c r="AP273">
        <f>'2020_2021_efet'!AN6</f>
        <v>-5.7000000000000002E-2</v>
      </c>
      <c r="AQ273">
        <f>'2020_2021_efet'!AO6</f>
        <v>-7.5899999999999995E-2</v>
      </c>
      <c r="AR273">
        <f>'2020_2021_efet'!AP6</f>
        <v>-7.2800000000000004E-2</v>
      </c>
      <c r="AS273">
        <f>'2020_2021_efet'!AQ6</f>
        <v>-6.7400000000000002E-2</v>
      </c>
      <c r="AT273">
        <f>'2020_2021_efet'!AR6</f>
        <v>-7.5800000000000006E-2</v>
      </c>
      <c r="AU273">
        <f>'2020_2021_efet'!AS6</f>
        <v>-5.9299999999999999E-2</v>
      </c>
      <c r="AV273">
        <f>'2020_2021_efet'!AT6</f>
        <v>-7.51E-2</v>
      </c>
      <c r="AW273">
        <f>'2020_2021_efet'!AU6</f>
        <v>-7.8399999999999997E-2</v>
      </c>
      <c r="AX273">
        <f>'2020_2021_efet'!AV6</f>
        <v>-8.4900000000000003E-2</v>
      </c>
      <c r="AY273">
        <f>'2020_2021_efet'!AW6</f>
        <v>-9.0899999999999995E-2</v>
      </c>
      <c r="AZ273">
        <f>'2020_2021_efet'!AX6</f>
        <v>-8.8700000000000001E-2</v>
      </c>
      <c r="BA273">
        <f>'2020_2021_efet'!AY6</f>
        <v>-8.7400000000000005E-2</v>
      </c>
      <c r="BB273">
        <f>'2020_2021_efet'!AZ6</f>
        <v>-9.8400000000000001E-2</v>
      </c>
      <c r="BC273">
        <f>'2020_2021_efet'!BA6</f>
        <v>-8.8700000000000001E-2</v>
      </c>
      <c r="BD273">
        <f>'2020_2021_efet'!BB6</f>
        <v>-8.8800000000000004E-2</v>
      </c>
      <c r="BE273">
        <f>'2020_2021_efet'!BC6</f>
        <v>-8.43E-2</v>
      </c>
      <c r="BF273">
        <f>'2020_2021_efet'!BD6</f>
        <v>-8.4900000000000003E-2</v>
      </c>
      <c r="BG273">
        <f>'2020_2021_efet'!BE6</f>
        <v>-8.6999999999999994E-2</v>
      </c>
      <c r="BH273">
        <f>'2020_2021_efet'!BF6</f>
        <v>-9.2299999999999993E-2</v>
      </c>
      <c r="BI273">
        <f>'2020_2021_efet'!BG6</f>
        <v>-8.0100000000000005E-2</v>
      </c>
      <c r="BJ273">
        <f>'2020_2021_efet'!BH6</f>
        <v>-0.09</v>
      </c>
      <c r="BK273">
        <f>'2020_2021_efet'!BI6</f>
        <v>-8.2199999999999995E-2</v>
      </c>
      <c r="BL273">
        <f>'2020_2021_efet'!BJ6</f>
        <v>-9.0800000000000006E-2</v>
      </c>
      <c r="BM273">
        <f>'2020_2021_efet'!BK6</f>
        <v>-8.7599999999999997E-2</v>
      </c>
      <c r="BN273">
        <f>'2020_2021_efet'!BL6</f>
        <v>-0.10100000000000001</v>
      </c>
      <c r="BO273">
        <f>'2020_2021_efet'!BM6</f>
        <v>-9.3700000000000006E-2</v>
      </c>
      <c r="BP273">
        <f>'2020_2021_efet'!BN6</f>
        <v>-9.4600000000000004E-2</v>
      </c>
      <c r="BQ273">
        <f>'2020_2021_efet'!BO6</f>
        <v>-0.107</v>
      </c>
      <c r="BR273">
        <f>'2020_2021_efet'!BP6</f>
        <v>-0.11</v>
      </c>
      <c r="BS273">
        <f>'2020_2021_efet'!BQ6</f>
        <v>-0.13100000000000001</v>
      </c>
      <c r="BT273">
        <f>'2020_2021_efet'!BR6</f>
        <v>-0.127</v>
      </c>
      <c r="BU273">
        <f>'2020_2021_efet'!BS6</f>
        <v>-0.111</v>
      </c>
      <c r="BV273">
        <f>'2020_2021_efet'!BT6</f>
        <v>-0.112</v>
      </c>
      <c r="BW273">
        <f>'2020_2021_efet'!BU6</f>
        <v>-0.10299999999999999</v>
      </c>
      <c r="BX273">
        <f>'2020_2021_efet'!BV6</f>
        <v>-0.10100000000000001</v>
      </c>
      <c r="BY273">
        <f>'2020_2021_efet'!BW6</f>
        <v>-9.7799999999999998E-2</v>
      </c>
      <c r="BZ273">
        <f>'2020_2021_efet'!BX6</f>
        <v>-0.10100000000000001</v>
      </c>
      <c r="CA273">
        <f>'2020_2021_efet'!BY6</f>
        <v>-0.10199999999999999</v>
      </c>
      <c r="CB273">
        <f>'2020_2021_efet'!BZ6</f>
        <v>-0.113</v>
      </c>
      <c r="CC273">
        <f>'2020_2021_efet'!CA6</f>
        <v>-0.106</v>
      </c>
      <c r="CD273">
        <f>'2020_2021_efet'!CB6</f>
        <v>-0.114</v>
      </c>
      <c r="CE273">
        <f>'2020_2021_efet'!CC6</f>
        <v>-0.121</v>
      </c>
      <c r="CF273">
        <f>'2020_2021_efet'!CD6</f>
        <v>-0.11799999999999999</v>
      </c>
      <c r="CG273">
        <f>'2020_2021_efet'!CE6</f>
        <v>-0.115</v>
      </c>
      <c r="CH273">
        <f>'2020_2021_efet'!CF6</f>
        <v>-0.12</v>
      </c>
      <c r="CI273">
        <f>'2020_2021_efet'!CG6</f>
        <v>-0.123</v>
      </c>
      <c r="CJ273">
        <f>'2020_2021_efet'!CH6</f>
        <v>-0.11</v>
      </c>
      <c r="CK273">
        <f>'2020_2021_efet'!CI6</f>
        <v>-0.13400000000000001</v>
      </c>
      <c r="CL273">
        <f>'2020_2021_efet'!CJ6</f>
        <v>-0.126</v>
      </c>
      <c r="CM273">
        <f>'2020_2021_efet'!CK6</f>
        <v>-0.12</v>
      </c>
      <c r="CN273">
        <f>'2020_2021_efet'!CL6</f>
        <v>-0.11</v>
      </c>
      <c r="CO273">
        <f>'2020_2021_efet'!CM6</f>
        <v>-0.14499999999999999</v>
      </c>
      <c r="CP273">
        <f>'2020_2021_efet'!CN6</f>
        <v>-0.14299999999999999</v>
      </c>
      <c r="CQ273">
        <f>'2020_2021_efet'!CO6</f>
        <v>-0.17199999999999999</v>
      </c>
      <c r="CR273">
        <f>'2020_2021_efet'!CP6</f>
        <v>-0.182</v>
      </c>
      <c r="CS273">
        <f>'2020_2021_efet'!CQ6</f>
        <v>-0.122</v>
      </c>
      <c r="CT273">
        <f>'2020_2021_efet'!CR6</f>
        <v>-0.155</v>
      </c>
      <c r="CU273">
        <f>'2020_2021_efet'!CS6</f>
        <v>-0.13800000000000001</v>
      </c>
      <c r="CV273">
        <f>'2020_2021_efet'!CT6</f>
        <v>-0.16700000000000001</v>
      </c>
      <c r="CW273">
        <f>'2020_2021_efet'!CU6</f>
        <v>-0.13400000000000001</v>
      </c>
      <c r="CX273">
        <f>'2020_2021_efet'!CV6</f>
        <v>-0.26100000000000001</v>
      </c>
    </row>
    <row r="274" spans="1:102" x14ac:dyDescent="0.2">
      <c r="A274" t="s">
        <v>229</v>
      </c>
      <c r="B274" t="s">
        <v>217</v>
      </c>
      <c r="C274" t="s">
        <v>223</v>
      </c>
      <c r="D274">
        <f>'2020_2021_efet Int_Confianca'!B35</f>
        <v>-2.3999999999999998E-3</v>
      </c>
      <c r="E274">
        <f>'2020_2021_efet Int_Confianca'!C35</f>
        <v>1.1000000000000001E-3</v>
      </c>
      <c r="F274">
        <f>'2020_2021_efet Int_Confianca'!D35</f>
        <v>4.4999999999999997E-3</v>
      </c>
      <c r="G274">
        <f>'2020_2021_efet Int_Confianca'!E35</f>
        <v>7.1999999999999998E-3</v>
      </c>
      <c r="H274">
        <f>'2020_2021_efet Int_Confianca'!F35</f>
        <v>4.1999999999999997E-3</v>
      </c>
      <c r="I274">
        <f>'2020_2021_efet Int_Confianca'!G35</f>
        <v>-1.8599999999999998E-2</v>
      </c>
      <c r="J274">
        <f>'2020_2021_efet Int_Confianca'!H35</f>
        <v>2.87E-2</v>
      </c>
      <c r="K274">
        <f>'2020_2021_efet Int_Confianca'!I35</f>
        <v>-7.1900000000000006E-2</v>
      </c>
      <c r="L274">
        <f>'2020_2021_efet Int_Confianca'!J35</f>
        <v>-2.5399999999999999E-2</v>
      </c>
      <c r="M274">
        <f>'2020_2021_efet Int_Confianca'!K35</f>
        <v>-7.0800000000000002E-2</v>
      </c>
      <c r="N274">
        <f>'2020_2021_efet Int_Confianca'!L35</f>
        <v>-2.6599999999999999E-2</v>
      </c>
      <c r="O274">
        <f>'2020_2021_efet Int_Confianca'!M35</f>
        <v>-3.5499999999999997E-2</v>
      </c>
      <c r="P274">
        <f>'2020_2021_efet Int_Confianca'!N35</f>
        <v>-3.5999999999999997E-2</v>
      </c>
      <c r="Q274">
        <f>'2020_2021_efet Int_Confianca'!O35</f>
        <v>-5.3900000000000003E-2</v>
      </c>
      <c r="R274">
        <f>'2020_2021_efet Int_Confianca'!P35</f>
        <v>-6.6199999999999995E-2</v>
      </c>
      <c r="S274">
        <f>'2020_2021_efet Int_Confianca'!Q35</f>
        <v>-1.37E-2</v>
      </c>
      <c r="T274">
        <f>'2020_2021_efet Int_Confianca'!R35</f>
        <v>-1.2800000000000001E-2</v>
      </c>
      <c r="U274">
        <f>'2020_2021_efet Int_Confianca'!S35</f>
        <v>-3.85E-2</v>
      </c>
      <c r="V274">
        <f>'2020_2021_efet Int_Confianca'!T35</f>
        <v>-1.9099999999999999E-2</v>
      </c>
      <c r="W274">
        <f>'2020_2021_efet Int_Confianca'!U35</f>
        <v>-8.9999999999999998E-4</v>
      </c>
      <c r="X274">
        <f>'2020_2021_efet Int_Confianca'!V35</f>
        <v>2.8E-3</v>
      </c>
      <c r="Y274">
        <f>'2020_2021_efet Int_Confianca'!W35</f>
        <v>-4.7600000000000003E-2</v>
      </c>
      <c r="Z274">
        <f>'2020_2021_efet Int_Confianca'!X35</f>
        <v>-5.2200000000000003E-2</v>
      </c>
      <c r="AA274">
        <f>'2020_2021_efet Int_Confianca'!Y35</f>
        <v>-5.4300000000000001E-2</v>
      </c>
      <c r="AB274">
        <f>'2020_2021_efet Int_Confianca'!Z35</f>
        <v>-1.9E-2</v>
      </c>
      <c r="AC274">
        <f>'2020_2021_efet Int_Confianca'!AA35</f>
        <v>-0.04</v>
      </c>
      <c r="AD274">
        <f>'2020_2021_efet Int_Confianca'!AB35</f>
        <v>-1.6799999999999999E-2</v>
      </c>
      <c r="AE274">
        <f>'2020_2021_efet Int_Confianca'!AC35</f>
        <v>-1.9300000000000001E-2</v>
      </c>
      <c r="AF274">
        <f>'2020_2021_efet Int_Confianca'!AD35</f>
        <v>-2.6800000000000001E-2</v>
      </c>
      <c r="AG274">
        <f>'2020_2021_efet Int_Confianca'!AE35</f>
        <v>-4.4999999999999998E-2</v>
      </c>
      <c r="AH274">
        <f>'2020_2021_efet Int_Confianca'!AF35</f>
        <v>-5.6899999999999999E-2</v>
      </c>
      <c r="AI274">
        <f>'2020_2021_efet Int_Confianca'!AG35</f>
        <v>-4.9099999999999998E-2</v>
      </c>
      <c r="AJ274">
        <f>'2020_2021_efet Int_Confianca'!AH35</f>
        <v>-5.3900000000000003E-2</v>
      </c>
      <c r="AK274">
        <f>'2020_2021_efet Int_Confianca'!AI35</f>
        <v>-4.8899999999999999E-2</v>
      </c>
      <c r="AL274">
        <f>'2020_2021_efet Int_Confianca'!AJ35</f>
        <v>-5.6099999999999997E-2</v>
      </c>
      <c r="AM274">
        <f>'2020_2021_efet Int_Confianca'!AK35</f>
        <v>-5.0700000000000002E-2</v>
      </c>
      <c r="AN274">
        <f>'2020_2021_efet Int_Confianca'!AL35</f>
        <v>-5.0799999999999998E-2</v>
      </c>
      <c r="AO274">
        <f>'2020_2021_efet Int_Confianca'!AM35</f>
        <v>-4.0300000000000002E-2</v>
      </c>
      <c r="AP274">
        <f>'2020_2021_efet Int_Confianca'!AN35</f>
        <v>-3.5700000000000003E-2</v>
      </c>
      <c r="AQ274">
        <f>'2020_2021_efet Int_Confianca'!AO35</f>
        <v>-5.3999999999999999E-2</v>
      </c>
      <c r="AR274">
        <f>'2020_2021_efet Int_Confianca'!AP35</f>
        <v>-5.0599999999999999E-2</v>
      </c>
      <c r="AS274">
        <f>'2020_2021_efet Int_Confianca'!AQ35</f>
        <v>-4.4299999999999999E-2</v>
      </c>
      <c r="AT274">
        <f>'2020_2021_efet Int_Confianca'!AR35</f>
        <v>-5.1900000000000002E-2</v>
      </c>
      <c r="AU274">
        <f>'2020_2021_efet Int_Confianca'!AS35</f>
        <v>-3.4599999999999999E-2</v>
      </c>
      <c r="AV274">
        <f>'2020_2021_efet Int_Confianca'!AT35</f>
        <v>-4.9599999999999998E-2</v>
      </c>
      <c r="AW274">
        <f>'2020_2021_efet Int_Confianca'!AU35</f>
        <v>-5.1900000000000002E-2</v>
      </c>
      <c r="AX274">
        <f>'2020_2021_efet Int_Confianca'!AV35</f>
        <v>-5.8000000000000003E-2</v>
      </c>
      <c r="AY274">
        <f>'2020_2021_efet Int_Confianca'!AW35</f>
        <v>-6.3299999999999995E-2</v>
      </c>
      <c r="AZ274">
        <f>'2020_2021_efet Int_Confianca'!AX35</f>
        <v>-5.9799999999999999E-2</v>
      </c>
      <c r="BA274">
        <f>'2020_2021_efet Int_Confianca'!AY35</f>
        <v>-5.79E-2</v>
      </c>
      <c r="BB274">
        <f>'2020_2021_efet Int_Confianca'!AZ35</f>
        <v>-6.8400000000000002E-2</v>
      </c>
      <c r="BC274">
        <f>'2020_2021_efet Int_Confianca'!BA35</f>
        <v>-5.7599999999999998E-2</v>
      </c>
      <c r="BD274">
        <f>'2020_2021_efet Int_Confianca'!BB35</f>
        <v>-5.6899999999999999E-2</v>
      </c>
      <c r="BE274">
        <f>'2020_2021_efet Int_Confianca'!BC35</f>
        <v>-5.1499999999999997E-2</v>
      </c>
      <c r="BF274">
        <f>'2020_2021_efet Int_Confianca'!BD35</f>
        <v>-5.1400000000000001E-2</v>
      </c>
      <c r="BG274">
        <f>'2020_2021_efet Int_Confianca'!BE35</f>
        <v>-5.3400000000000003E-2</v>
      </c>
      <c r="BH274">
        <f>'2020_2021_efet Int_Confianca'!BF35</f>
        <v>-5.8700000000000002E-2</v>
      </c>
      <c r="BI274">
        <f>'2020_2021_efet Int_Confianca'!BG35</f>
        <v>-4.6300000000000001E-2</v>
      </c>
      <c r="BJ274">
        <f>'2020_2021_efet Int_Confianca'!BH35</f>
        <v>-5.5399999999999998E-2</v>
      </c>
      <c r="BK274">
        <f>'2020_2021_efet Int_Confianca'!BI35</f>
        <v>-4.7600000000000003E-2</v>
      </c>
      <c r="BL274">
        <f>'2020_2021_efet Int_Confianca'!BJ35</f>
        <v>-5.6099999999999997E-2</v>
      </c>
      <c r="BM274">
        <f>'2020_2021_efet Int_Confianca'!BK35</f>
        <v>-5.3199999999999997E-2</v>
      </c>
      <c r="BN274">
        <f>'2020_2021_efet Int_Confianca'!BL35</f>
        <v>-6.5699999999999995E-2</v>
      </c>
      <c r="BO274">
        <f>'2020_2021_efet Int_Confianca'!BM35</f>
        <v>-5.67E-2</v>
      </c>
      <c r="BP274">
        <f>'2020_2021_efet Int_Confianca'!BN35</f>
        <v>-5.3800000000000001E-2</v>
      </c>
      <c r="BQ274">
        <f>'2020_2021_efet Int_Confianca'!BO35</f>
        <v>-6.2799999999999995E-2</v>
      </c>
      <c r="BR274">
        <f>'2020_2021_efet Int_Confianca'!BP35</f>
        <v>-6.4500000000000002E-2</v>
      </c>
      <c r="BS274">
        <f>'2020_2021_efet Int_Confianca'!BQ35</f>
        <v>-8.4199999999999997E-2</v>
      </c>
      <c r="BT274">
        <f>'2020_2021_efet Int_Confianca'!BR35</f>
        <v>-8.0100000000000005E-2</v>
      </c>
      <c r="BU274">
        <f>'2020_2021_efet Int_Confianca'!BS35</f>
        <v>-6.3799999999999996E-2</v>
      </c>
      <c r="BV274">
        <f>'2020_2021_efet Int_Confianca'!BT35</f>
        <v>-6.6299999999999998E-2</v>
      </c>
      <c r="BW274">
        <f>'2020_2021_efet Int_Confianca'!BU35</f>
        <v>-5.5800000000000002E-2</v>
      </c>
      <c r="BX274">
        <f>'2020_2021_efet Int_Confianca'!BV35</f>
        <v>-5.3600000000000002E-2</v>
      </c>
      <c r="BY274">
        <f>'2020_2021_efet Int_Confianca'!BW35</f>
        <v>-5.0700000000000002E-2</v>
      </c>
      <c r="BZ274">
        <f>'2020_2021_efet Int_Confianca'!BX35</f>
        <v>-5.1900000000000002E-2</v>
      </c>
      <c r="CA274">
        <f>'2020_2021_efet Int_Confianca'!BY35</f>
        <v>-5.1499999999999997E-2</v>
      </c>
      <c r="CB274">
        <f>'2020_2021_efet Int_Confianca'!BZ35</f>
        <v>-6.3700000000000007E-2</v>
      </c>
      <c r="CC274">
        <f>'2020_2021_efet Int_Confianca'!CA35</f>
        <v>-5.4800000000000001E-2</v>
      </c>
      <c r="CD274">
        <f>'2020_2021_efet Int_Confianca'!CB35</f>
        <v>-6.0100000000000001E-2</v>
      </c>
      <c r="CE274">
        <f>'2020_2021_efet Int_Confianca'!CC35</f>
        <v>-6.3200000000000006E-2</v>
      </c>
      <c r="CF274">
        <f>'2020_2021_efet Int_Confianca'!CD35</f>
        <v>-5.8000000000000003E-2</v>
      </c>
      <c r="CG274">
        <f>'2020_2021_efet Int_Confianca'!CE35</f>
        <v>-5.5399999999999998E-2</v>
      </c>
      <c r="CH274">
        <f>'2020_2021_efet Int_Confianca'!CF35</f>
        <v>-6.2199999999999998E-2</v>
      </c>
      <c r="CI274">
        <f>'2020_2021_efet Int_Confianca'!CG35</f>
        <v>-6.7000000000000004E-2</v>
      </c>
      <c r="CJ274">
        <f>'2020_2021_efet Int_Confianca'!CH35</f>
        <v>-5.67E-2</v>
      </c>
      <c r="CK274">
        <f>'2020_2021_efet Int_Confianca'!CI35</f>
        <v>-7.4200000000000002E-2</v>
      </c>
      <c r="CL274">
        <f>'2020_2021_efet Int_Confianca'!CJ35</f>
        <v>-6.7100000000000007E-2</v>
      </c>
      <c r="CM274">
        <f>'2020_2021_efet Int_Confianca'!CK35</f>
        <v>-6.2300000000000001E-2</v>
      </c>
      <c r="CN274">
        <f>'2020_2021_efet Int_Confianca'!CL35</f>
        <v>-5.6099999999999997E-2</v>
      </c>
      <c r="CO274">
        <f>'2020_2021_efet Int_Confianca'!CM35</f>
        <v>-8.14E-2</v>
      </c>
      <c r="CP274">
        <f>'2020_2021_efet Int_Confianca'!CN35</f>
        <v>-7.6499999999999999E-2</v>
      </c>
      <c r="CQ274">
        <f>'2020_2021_efet Int_Confianca'!CO35</f>
        <v>-0.10349999999999999</v>
      </c>
      <c r="CR274">
        <f>'2020_2021_efet Int_Confianca'!CP35</f>
        <v>-0.1173</v>
      </c>
      <c r="CS274">
        <f>'2020_2021_efet Int_Confianca'!CQ35</f>
        <v>-6.6000000000000003E-2</v>
      </c>
      <c r="CT274">
        <f>'2020_2021_efet Int_Confianca'!CR35</f>
        <v>-0.1009</v>
      </c>
      <c r="CU274">
        <f>'2020_2021_efet Int_Confianca'!CS35</f>
        <v>-9.5200000000000007E-2</v>
      </c>
      <c r="CV274">
        <f>'2020_2021_efet Int_Confianca'!CT35</f>
        <v>-0.1201</v>
      </c>
      <c r="CW274">
        <f>'2020_2021_efet Int_Confianca'!CU35</f>
        <v>-0.1079</v>
      </c>
      <c r="CX274">
        <f>'2020_2021_efet Int_Confianca'!CV35</f>
        <v>-0.24909999999999999</v>
      </c>
    </row>
    <row r="275" spans="1:102" x14ac:dyDescent="0.2">
      <c r="A275" t="s">
        <v>228</v>
      </c>
      <c r="B275" t="s">
        <v>217</v>
      </c>
      <c r="C275" t="s">
        <v>223</v>
      </c>
      <c r="D275">
        <f>'2020_2021_efet Int_Confianca'!B36</f>
        <v>8.6E-3</v>
      </c>
      <c r="E275">
        <f>'2020_2021_efet Int_Confianca'!C36</f>
        <v>1.2E-2</v>
      </c>
      <c r="F275">
        <f>'2020_2021_efet Int_Confianca'!D36</f>
        <v>1.54E-2</v>
      </c>
      <c r="G275">
        <f>'2020_2021_efet Int_Confianca'!E36</f>
        <v>0.16489999999999999</v>
      </c>
      <c r="H275">
        <f>'2020_2021_efet Int_Confianca'!F36</f>
        <v>0.10970000000000001</v>
      </c>
      <c r="I275">
        <f>'2020_2021_efet Int_Confianca'!G36</f>
        <v>5.6899999999999999E-2</v>
      </c>
      <c r="J275">
        <f>'2020_2021_efet Int_Confianca'!H36</f>
        <v>0.1018</v>
      </c>
      <c r="K275">
        <f>'2020_2021_efet Int_Confianca'!I36</f>
        <v>-9.4999999999999998E-3</v>
      </c>
      <c r="L275">
        <f>'2020_2021_efet Int_Confianca'!J36</f>
        <v>3.4799999999999998E-2</v>
      </c>
      <c r="M275">
        <f>'2020_2021_efet Int_Confianca'!K36</f>
        <v>-1.4200000000000001E-2</v>
      </c>
      <c r="N275">
        <f>'2020_2021_efet Int_Confianca'!L36</f>
        <v>2.5399999999999999E-2</v>
      </c>
      <c r="O275">
        <f>'2020_2021_efet Int_Confianca'!M36</f>
        <v>1.44E-2</v>
      </c>
      <c r="P275">
        <f>'2020_2021_efet Int_Confianca'!N36</f>
        <v>6.8999999999999999E-3</v>
      </c>
      <c r="Q275">
        <f>'2020_2021_efet Int_Confianca'!O36</f>
        <v>-1.95E-2</v>
      </c>
      <c r="R275">
        <f>'2020_2021_efet Int_Confianca'!P36</f>
        <v>-3.1199999999999999E-2</v>
      </c>
      <c r="S275">
        <f>'2020_2021_efet Int_Confianca'!Q36</f>
        <v>1.4200000000000001E-2</v>
      </c>
      <c r="T275">
        <f>'2020_2021_efet Int_Confianca'!R36</f>
        <v>1.04E-2</v>
      </c>
      <c r="U275">
        <f>'2020_2021_efet Int_Confianca'!S36</f>
        <v>-1.7100000000000001E-2</v>
      </c>
      <c r="V275">
        <f>'2020_2021_efet Int_Confianca'!T36</f>
        <v>-2.0000000000000001E-4</v>
      </c>
      <c r="W275">
        <f>'2020_2021_efet Int_Confianca'!U36</f>
        <v>1.55E-2</v>
      </c>
      <c r="X275">
        <f>'2020_2021_efet Int_Confianca'!V36</f>
        <v>1.9199999999999998E-2</v>
      </c>
      <c r="Y275">
        <f>'2020_2021_efet Int_Confianca'!W36</f>
        <v>-3.1099999999999999E-2</v>
      </c>
      <c r="Z275">
        <f>'2020_2021_efet Int_Confianca'!X36</f>
        <v>-3.5499999999999997E-2</v>
      </c>
      <c r="AA275">
        <f>'2020_2021_efet Int_Confianca'!Y36</f>
        <v>-3.7400000000000003E-2</v>
      </c>
      <c r="AB275">
        <f>'2020_2021_efet Int_Confianca'!Z36</f>
        <v>-2.7000000000000001E-3</v>
      </c>
      <c r="AC275">
        <f>'2020_2021_efet Int_Confianca'!AA36</f>
        <v>-2.3599999999999999E-2</v>
      </c>
      <c r="AD275">
        <f>'2020_2021_efet Int_Confianca'!AB36</f>
        <v>-1E-4</v>
      </c>
      <c r="AE275">
        <f>'2020_2021_efet Int_Confianca'!AC36</f>
        <v>-2.3999999999999998E-3</v>
      </c>
      <c r="AF275">
        <f>'2020_2021_efet Int_Confianca'!AD36</f>
        <v>-9.4999999999999998E-3</v>
      </c>
      <c r="AG275">
        <f>'2020_2021_efet Int_Confianca'!AE36</f>
        <v>-2.7099999999999999E-2</v>
      </c>
      <c r="AH275">
        <f>'2020_2021_efet Int_Confianca'!AF36</f>
        <v>-3.8699999999999998E-2</v>
      </c>
      <c r="AI275">
        <f>'2020_2021_efet Int_Confianca'!AG36</f>
        <v>-2.9600000000000001E-2</v>
      </c>
      <c r="AJ275">
        <f>'2020_2021_efet Int_Confianca'!AH36</f>
        <v>-3.3599999999999998E-2</v>
      </c>
      <c r="AK275">
        <f>'2020_2021_efet Int_Confianca'!AI36</f>
        <v>-2.8199999999999999E-2</v>
      </c>
      <c r="AL275">
        <f>'2020_2021_efet Int_Confianca'!AJ36</f>
        <v>-3.5099999999999999E-2</v>
      </c>
      <c r="AM275">
        <f>'2020_2021_efet Int_Confianca'!AK36</f>
        <v>-2.9100000000000001E-2</v>
      </c>
      <c r="AN275">
        <f>'2020_2021_efet Int_Confianca'!AL36</f>
        <v>-2.8899999999999999E-2</v>
      </c>
      <c r="AO275">
        <f>'2020_2021_efet Int_Confianca'!AM36</f>
        <v>-1.8100000000000002E-2</v>
      </c>
      <c r="AP275">
        <f>'2020_2021_efet Int_Confianca'!AN36</f>
        <v>-1.35E-2</v>
      </c>
      <c r="AQ275">
        <f>'2020_2021_efet Int_Confianca'!AO36</f>
        <v>-3.1800000000000002E-2</v>
      </c>
      <c r="AR275">
        <f>'2020_2021_efet Int_Confianca'!AP36</f>
        <v>-2.8299999999999999E-2</v>
      </c>
      <c r="AS275">
        <f>'2020_2021_efet Int_Confianca'!AQ36</f>
        <v>-2.1999999999999999E-2</v>
      </c>
      <c r="AT275">
        <f>'2020_2021_efet Int_Confianca'!AR36</f>
        <v>-2.9600000000000001E-2</v>
      </c>
      <c r="AU275">
        <f>'2020_2021_efet Int_Confianca'!AS36</f>
        <v>-1.24E-2</v>
      </c>
      <c r="AV275">
        <f>'2020_2021_efet Int_Confianca'!AT36</f>
        <v>-2.7199999999999998E-2</v>
      </c>
      <c r="AW275">
        <f>'2020_2021_efet Int_Confianca'!AU36</f>
        <v>-2.93E-2</v>
      </c>
      <c r="AX275">
        <f>'2020_2021_efet Int_Confianca'!AV36</f>
        <v>-3.5200000000000002E-2</v>
      </c>
      <c r="AY275">
        <f>'2020_2021_efet Int_Confianca'!AW36</f>
        <v>-4.0500000000000001E-2</v>
      </c>
      <c r="AZ275">
        <f>'2020_2021_efet Int_Confianca'!AX36</f>
        <v>-3.5900000000000001E-2</v>
      </c>
      <c r="BA275">
        <f>'2020_2021_efet Int_Confianca'!AY36</f>
        <v>-3.3799999999999997E-2</v>
      </c>
      <c r="BB275">
        <f>'2020_2021_efet Int_Confianca'!AZ36</f>
        <v>-4.41E-2</v>
      </c>
      <c r="BC275">
        <f>'2020_2021_efet Int_Confianca'!BA36</f>
        <v>-3.2500000000000001E-2</v>
      </c>
      <c r="BD275">
        <f>'2020_2021_efet Int_Confianca'!BB36</f>
        <v>-3.1600000000000003E-2</v>
      </c>
      <c r="BE275">
        <f>'2020_2021_efet Int_Confianca'!BC36</f>
        <v>-2.5700000000000001E-2</v>
      </c>
      <c r="BF275">
        <f>'2020_2021_efet Int_Confianca'!BD36</f>
        <v>-2.5700000000000001E-2</v>
      </c>
      <c r="BG275">
        <f>'2020_2021_efet Int_Confianca'!BE36</f>
        <v>-2.7900000000000001E-2</v>
      </c>
      <c r="BH275">
        <f>'2020_2021_efet Int_Confianca'!BF36</f>
        <v>-3.32E-2</v>
      </c>
      <c r="BI275">
        <f>'2020_2021_efet Int_Confianca'!BG36</f>
        <v>-2.1299999999999999E-2</v>
      </c>
      <c r="BJ275">
        <f>'2020_2021_efet Int_Confianca'!BH36</f>
        <v>-3.04E-2</v>
      </c>
      <c r="BK275">
        <f>'2020_2021_efet Int_Confianca'!BI36</f>
        <v>-2.2599999999999999E-2</v>
      </c>
      <c r="BL275">
        <f>'2020_2021_efet Int_Confianca'!BJ36</f>
        <v>-3.1099999999999999E-2</v>
      </c>
      <c r="BM275">
        <f>'2020_2021_efet Int_Confianca'!BK36</f>
        <v>-2.8199999999999999E-2</v>
      </c>
      <c r="BN275">
        <f>'2020_2021_efet Int_Confianca'!BL36</f>
        <v>-4.0599999999999997E-2</v>
      </c>
      <c r="BO275">
        <f>'2020_2021_efet Int_Confianca'!BM36</f>
        <v>-3.0200000000000001E-2</v>
      </c>
      <c r="BP275">
        <f>'2020_2021_efet Int_Confianca'!BN36</f>
        <v>-2.5000000000000001E-2</v>
      </c>
      <c r="BQ275">
        <f>'2020_2021_efet Int_Confianca'!BO36</f>
        <v>-3.2899999999999999E-2</v>
      </c>
      <c r="BR275">
        <f>'2020_2021_efet Int_Confianca'!BP36</f>
        <v>-3.3599999999999998E-2</v>
      </c>
      <c r="BS275">
        <f>'2020_2021_efet Int_Confianca'!BQ36</f>
        <v>-5.2400000000000002E-2</v>
      </c>
      <c r="BT275">
        <f>'2020_2021_efet Int_Confianca'!BR36</f>
        <v>-4.7899999999999998E-2</v>
      </c>
      <c r="BU275">
        <f>'2020_2021_efet Int_Confianca'!BS36</f>
        <v>-3.1E-2</v>
      </c>
      <c r="BV275">
        <f>'2020_2021_efet Int_Confianca'!BT36</f>
        <v>-3.3700000000000001E-2</v>
      </c>
      <c r="BW275">
        <f>'2020_2021_efet Int_Confianca'!BU36</f>
        <v>-2.23E-2</v>
      </c>
      <c r="BX275">
        <f>'2020_2021_efet Int_Confianca'!BV36</f>
        <v>-0.02</v>
      </c>
      <c r="BY275">
        <f>'2020_2021_efet Int_Confianca'!BW36</f>
        <v>-1.7100000000000001E-2</v>
      </c>
      <c r="BZ275">
        <f>'2020_2021_efet Int_Confianca'!BX36</f>
        <v>-1.77E-2</v>
      </c>
      <c r="CA275">
        <f>'2020_2021_efet Int_Confianca'!BY36</f>
        <v>-1.6199999999999999E-2</v>
      </c>
      <c r="CB275">
        <f>'2020_2021_efet Int_Confianca'!BZ36</f>
        <v>-2.9100000000000001E-2</v>
      </c>
      <c r="CC275">
        <f>'2020_2021_efet Int_Confianca'!CA36</f>
        <v>-1.7999999999999999E-2</v>
      </c>
      <c r="CD275">
        <f>'2020_2021_efet Int_Confianca'!CB36</f>
        <v>-2.0400000000000001E-2</v>
      </c>
      <c r="CE275">
        <f>'2020_2021_efet Int_Confianca'!CC36</f>
        <v>-2.0400000000000001E-2</v>
      </c>
      <c r="CF275">
        <f>'2020_2021_efet Int_Confianca'!CD36</f>
        <v>-1.2500000000000001E-2</v>
      </c>
      <c r="CG275">
        <f>'2020_2021_efet Int_Confianca'!CE36</f>
        <v>-1.0699999999999999E-2</v>
      </c>
      <c r="CH275">
        <f>'2020_2021_efet Int_Confianca'!CF36</f>
        <v>-1.9E-2</v>
      </c>
      <c r="CI275">
        <f>'2020_2021_efet Int_Confianca'!CG36</f>
        <v>-2.53E-2</v>
      </c>
      <c r="CJ275">
        <f>'2020_2021_efet Int_Confianca'!CH36</f>
        <v>-1.41E-2</v>
      </c>
      <c r="CK275">
        <f>'2020_2021_efet Int_Confianca'!CI36</f>
        <v>-2.64E-2</v>
      </c>
      <c r="CL275">
        <f>'2020_2021_efet Int_Confianca'!CJ36</f>
        <v>-1.7600000000000001E-2</v>
      </c>
      <c r="CM275">
        <f>'2020_2021_efet Int_Confianca'!CK36</f>
        <v>-1.2E-2</v>
      </c>
      <c r="CN275">
        <f>'2020_2021_efet Int_Confianca'!CL36</f>
        <v>-5.4999999999999997E-3</v>
      </c>
      <c r="CO275">
        <f>'2020_2021_efet Int_Confianca'!CM36</f>
        <v>-2.5600000000000001E-2</v>
      </c>
      <c r="CP275">
        <f>'2020_2021_efet Int_Confianca'!CN36</f>
        <v>-1.7500000000000002E-2</v>
      </c>
      <c r="CQ275">
        <f>'2020_2021_efet Int_Confianca'!CO36</f>
        <v>-3.9E-2</v>
      </c>
      <c r="CR275">
        <f>'2020_2021_efet Int_Confianca'!CP36</f>
        <v>-4.82E-2</v>
      </c>
      <c r="CS275">
        <f>'2020_2021_efet Int_Confianca'!CQ36</f>
        <v>8.2000000000000007E-3</v>
      </c>
      <c r="CT275">
        <f>'2020_2021_efet Int_Confianca'!CR36</f>
        <v>-1.84E-2</v>
      </c>
      <c r="CU275">
        <f>'2020_2021_efet Int_Confianca'!CS36</f>
        <v>-1.77E-2</v>
      </c>
      <c r="CV275">
        <f>'2020_2021_efet Int_Confianca'!CT36</f>
        <v>-4.5999999999999999E-3</v>
      </c>
      <c r="CW275">
        <f>'2020_2021_efet Int_Confianca'!CU36</f>
        <v>6.1000000000000004E-3</v>
      </c>
      <c r="CX275">
        <f>'2020_2021_efet Int_Confianca'!CV36</f>
        <v>-6.5000000000000002E-2</v>
      </c>
    </row>
    <row r="276" spans="1:102" x14ac:dyDescent="0.2">
      <c r="A276" t="s">
        <v>231</v>
      </c>
      <c r="B276" t="s">
        <v>217</v>
      </c>
      <c r="C276" t="s">
        <v>223</v>
      </c>
      <c r="D276">
        <f>'2020_2021_efet Int_Confianca'!B37</f>
        <v>-1E-4</v>
      </c>
      <c r="E276">
        <f>'2020_2021_efet Int_Confianca'!C37</f>
        <v>-1E-4</v>
      </c>
      <c r="F276">
        <f>'2020_2021_efet Int_Confianca'!D37</f>
        <v>-1E-4</v>
      </c>
      <c r="G276">
        <f>'2020_2021_efet Int_Confianca'!E37</f>
        <v>-1.72E-2</v>
      </c>
      <c r="H276">
        <f>'2020_2021_efet Int_Confianca'!F37</f>
        <v>-4.8999999999999998E-3</v>
      </c>
      <c r="I276">
        <f>'2020_2021_efet Int_Confianca'!G37</f>
        <v>4.0000000000000002E-4</v>
      </c>
      <c r="J276">
        <f>'2020_2021_efet Int_Confianca'!H37</f>
        <v>2.0999999999999999E-3</v>
      </c>
      <c r="K276">
        <f>'2020_2021_efet Int_Confianca'!I37</f>
        <v>5.0000000000000001E-3</v>
      </c>
      <c r="L276">
        <f>'2020_2021_efet Int_Confianca'!J37</f>
        <v>7.4999999999999997E-3</v>
      </c>
      <c r="M276">
        <f>'2020_2021_efet Int_Confianca'!K37</f>
        <v>8.6999999999999994E-3</v>
      </c>
      <c r="N276">
        <f>'2020_2021_efet Int_Confianca'!L37</f>
        <v>9.4000000000000004E-3</v>
      </c>
      <c r="O276">
        <f>'2020_2021_efet Int_Confianca'!M37</f>
        <v>1.0999999999999999E-2</v>
      </c>
      <c r="P276">
        <f>'2020_2021_efet Int_Confianca'!N37</f>
        <v>1.06E-2</v>
      </c>
      <c r="Q276">
        <f>'2020_2021_efet Int_Confianca'!O37</f>
        <v>8.6999999999999994E-3</v>
      </c>
      <c r="R276">
        <f>'2020_2021_efet Int_Confianca'!P37</f>
        <v>8.6999999999999994E-3</v>
      </c>
      <c r="S276">
        <f>'2020_2021_efet Int_Confianca'!Q37</f>
        <v>9.1000000000000004E-3</v>
      </c>
      <c r="T276">
        <f>'2020_2021_efet Int_Confianca'!R37</f>
        <v>8.9999999999999993E-3</v>
      </c>
      <c r="U276">
        <f>'2020_2021_efet Int_Confianca'!S37</f>
        <v>9.2999999999999992E-3</v>
      </c>
      <c r="V276">
        <f>'2020_2021_efet Int_Confianca'!T37</f>
        <v>9.9000000000000008E-3</v>
      </c>
      <c r="W276">
        <f>'2020_2021_efet Int_Confianca'!U37</f>
        <v>9.7000000000000003E-3</v>
      </c>
      <c r="X276">
        <f>'2020_2021_efet Int_Confianca'!V37</f>
        <v>1.11E-2</v>
      </c>
      <c r="Y276">
        <f>'2020_2021_efet Int_Confianca'!W37</f>
        <v>1.1299999999999999E-2</v>
      </c>
      <c r="Z276">
        <f>'2020_2021_efet Int_Confianca'!X37</f>
        <v>1.2E-2</v>
      </c>
      <c r="AA276">
        <f>'2020_2021_efet Int_Confianca'!Y37</f>
        <v>1.2699999999999999E-2</v>
      </c>
      <c r="AB276">
        <f>'2020_2021_efet Int_Confianca'!Z37</f>
        <v>1.3100000000000001E-2</v>
      </c>
      <c r="AC276">
        <f>'2020_2021_efet Int_Confianca'!AA37</f>
        <v>1.34E-2</v>
      </c>
      <c r="AD276">
        <f>'2020_2021_efet Int_Confianca'!AB37</f>
        <v>1.4200000000000001E-2</v>
      </c>
      <c r="AE276">
        <f>'2020_2021_efet Int_Confianca'!AC37</f>
        <v>1.5100000000000001E-2</v>
      </c>
      <c r="AF276">
        <f>'2020_2021_efet Int_Confianca'!AD37</f>
        <v>1.61E-2</v>
      </c>
      <c r="AG276">
        <f>'2020_2021_efet Int_Confianca'!AE37</f>
        <v>1.78E-2</v>
      </c>
      <c r="AH276">
        <f>'2020_2021_efet Int_Confianca'!AF37</f>
        <v>1.9099999999999999E-2</v>
      </c>
      <c r="AI276">
        <f>'2020_2021_efet Int_Confianca'!AG37</f>
        <v>2.0799999999999999E-2</v>
      </c>
      <c r="AJ276">
        <f>'2020_2021_efet Int_Confianca'!AH37</f>
        <v>2.24E-2</v>
      </c>
      <c r="AK276">
        <f>'2020_2021_efet Int_Confianca'!AI37</f>
        <v>2.3199999999999998E-2</v>
      </c>
      <c r="AL276">
        <f>'2020_2021_efet Int_Confianca'!AJ37</f>
        <v>2.3800000000000002E-2</v>
      </c>
      <c r="AM276">
        <f>'2020_2021_efet Int_Confianca'!AK37</f>
        <v>2.4299999999999999E-2</v>
      </c>
      <c r="AN276">
        <f>'2020_2021_efet Int_Confianca'!AL37</f>
        <v>2.53E-2</v>
      </c>
      <c r="AO276">
        <f>'2020_2021_efet Int_Confianca'!AM37</f>
        <v>2.5999999999999999E-2</v>
      </c>
      <c r="AP276">
        <f>'2020_2021_efet Int_Confianca'!AN37</f>
        <v>2.6599999999999999E-2</v>
      </c>
      <c r="AQ276">
        <f>'2020_2021_efet Int_Confianca'!AO37</f>
        <v>2.7300000000000001E-2</v>
      </c>
      <c r="AR276">
        <f>'2020_2021_efet Int_Confianca'!AP37</f>
        <v>2.75E-2</v>
      </c>
      <c r="AS276">
        <f>'2020_2021_efet Int_Confianca'!AQ37</f>
        <v>2.8400000000000002E-2</v>
      </c>
      <c r="AT276">
        <f>'2020_2021_efet Int_Confianca'!AR37</f>
        <v>2.92E-2</v>
      </c>
      <c r="AU276">
        <f>'2020_2021_efet Int_Confianca'!AS37</f>
        <v>2.9899999999999999E-2</v>
      </c>
      <c r="AV276">
        <f>'2020_2021_efet Int_Confianca'!AT37</f>
        <v>3.0800000000000001E-2</v>
      </c>
      <c r="AW276">
        <f>'2020_2021_efet Int_Confianca'!AU37</f>
        <v>3.1600000000000003E-2</v>
      </c>
      <c r="AX276">
        <f>'2020_2021_efet Int_Confianca'!AV37</f>
        <v>3.2199999999999999E-2</v>
      </c>
      <c r="AY276">
        <f>'2020_2021_efet Int_Confianca'!AW37</f>
        <v>3.2800000000000003E-2</v>
      </c>
      <c r="AZ276">
        <f>'2020_2021_efet Int_Confianca'!AX37</f>
        <v>3.4500000000000003E-2</v>
      </c>
      <c r="BA276">
        <f>'2020_2021_efet Int_Confianca'!AY37</f>
        <v>3.5099999999999999E-2</v>
      </c>
      <c r="BB276">
        <f>'2020_2021_efet Int_Confianca'!AZ37</f>
        <v>3.5700000000000003E-2</v>
      </c>
      <c r="BC276">
        <f>'2020_2021_efet Int_Confianca'!BA37</f>
        <v>3.6999999999999998E-2</v>
      </c>
      <c r="BD276">
        <f>'2020_2021_efet Int_Confianca'!BB37</f>
        <v>3.78E-2</v>
      </c>
      <c r="BE276">
        <f>'2020_2021_efet Int_Confianca'!BC37</f>
        <v>3.8800000000000001E-2</v>
      </c>
      <c r="BF276">
        <f>'2020_2021_efet Int_Confianca'!BD37</f>
        <v>3.9399999999999998E-2</v>
      </c>
      <c r="BG276">
        <f>'2020_2021_efet Int_Confianca'!BE37</f>
        <v>3.9600000000000003E-2</v>
      </c>
      <c r="BH276">
        <f>'2020_2021_efet Int_Confianca'!BF37</f>
        <v>3.9600000000000003E-2</v>
      </c>
      <c r="BI276">
        <f>'2020_2021_efet Int_Confianca'!BG37</f>
        <v>3.9600000000000003E-2</v>
      </c>
      <c r="BJ276">
        <f>'2020_2021_efet Int_Confianca'!BH37</f>
        <v>4.0300000000000002E-2</v>
      </c>
      <c r="BK276">
        <f>'2020_2021_efet Int_Confianca'!BI37</f>
        <v>4.0300000000000002E-2</v>
      </c>
      <c r="BL276">
        <f>'2020_2021_efet Int_Confianca'!BJ37</f>
        <v>4.0500000000000001E-2</v>
      </c>
      <c r="BM276">
        <f>'2020_2021_efet Int_Confianca'!BK37</f>
        <v>4.0099999999999997E-2</v>
      </c>
      <c r="BN276">
        <f>'2020_2021_efet Int_Confianca'!BL37</f>
        <v>4.0599999999999997E-2</v>
      </c>
      <c r="BO276">
        <f>'2020_2021_efet Int_Confianca'!BM37</f>
        <v>4.3099999999999999E-2</v>
      </c>
      <c r="BP276">
        <f>'2020_2021_efet Int_Confianca'!BN37</f>
        <v>4.7300000000000002E-2</v>
      </c>
      <c r="BQ276">
        <f>'2020_2021_efet Int_Confianca'!BO37</f>
        <v>5.0599999999999999E-2</v>
      </c>
      <c r="BR276">
        <f>'2020_2021_efet Int_Confianca'!BP37</f>
        <v>5.2499999999999998E-2</v>
      </c>
      <c r="BS276">
        <f>'2020_2021_efet Int_Confianca'!BQ37</f>
        <v>5.4199999999999998E-2</v>
      </c>
      <c r="BT276">
        <f>'2020_2021_efet Int_Confianca'!BR37</f>
        <v>5.4199999999999998E-2</v>
      </c>
      <c r="BU276">
        <f>'2020_2021_efet Int_Confianca'!BS37</f>
        <v>5.4300000000000001E-2</v>
      </c>
      <c r="BV276">
        <f>'2020_2021_efet Int_Confianca'!BT37</f>
        <v>5.3800000000000001E-2</v>
      </c>
      <c r="BW276">
        <f>'2020_2021_efet Int_Confianca'!BU37</f>
        <v>5.4899999999999997E-2</v>
      </c>
      <c r="BX276">
        <f>'2020_2021_efet Int_Confianca'!BV37</f>
        <v>5.5E-2</v>
      </c>
      <c r="BY276">
        <f>'2020_2021_efet Int_Confianca'!BW37</f>
        <v>5.5E-2</v>
      </c>
      <c r="BZ276">
        <f>'2020_2021_efet Int_Confianca'!BX37</f>
        <v>5.6800000000000003E-2</v>
      </c>
      <c r="CA276">
        <f>'2020_2021_efet Int_Confianca'!BY37</f>
        <v>5.8700000000000002E-2</v>
      </c>
      <c r="CB276">
        <f>'2020_2021_efet Int_Confianca'!BZ37</f>
        <v>5.7599999999999998E-2</v>
      </c>
      <c r="CC276">
        <f>'2020_2021_efet Int_Confianca'!CA37</f>
        <v>5.9499999999999997E-2</v>
      </c>
      <c r="CD276">
        <f>'2020_2021_efet Int_Confianca'!CB37</f>
        <v>6.3899999999999998E-2</v>
      </c>
      <c r="CE276">
        <f>'2020_2021_efet Int_Confianca'!CC37</f>
        <v>6.8199999999999997E-2</v>
      </c>
      <c r="CF276">
        <f>'2020_2021_efet Int_Confianca'!CD37</f>
        <v>7.1599999999999997E-2</v>
      </c>
      <c r="CG276">
        <f>'2020_2021_efet Int_Confianca'!CE37</f>
        <v>7.0800000000000002E-2</v>
      </c>
      <c r="CH276">
        <f>'2020_2021_efet Int_Confianca'!CF37</f>
        <v>6.8599999999999994E-2</v>
      </c>
      <c r="CI276">
        <f>'2020_2021_efet Int_Confianca'!CG37</f>
        <v>6.5799999999999997E-2</v>
      </c>
      <c r="CJ276">
        <f>'2020_2021_efet Int_Confianca'!CH37</f>
        <v>6.4100000000000004E-2</v>
      </c>
      <c r="CK276">
        <f>'2020_2021_efet Int_Confianca'!CI37</f>
        <v>7.22E-2</v>
      </c>
      <c r="CL276">
        <f>'2020_2021_efet Int_Confianca'!CJ37</f>
        <v>7.1599999999999997E-2</v>
      </c>
      <c r="CM276">
        <f>'2020_2021_efet Int_Confianca'!CK37</f>
        <v>7.1099999999999997E-2</v>
      </c>
      <c r="CN276">
        <f>'2020_2021_efet Int_Confianca'!CL37</f>
        <v>6.8000000000000005E-2</v>
      </c>
      <c r="CO276">
        <f>'2020_2021_efet Int_Confianca'!CM37</f>
        <v>7.8600000000000003E-2</v>
      </c>
      <c r="CP276">
        <f>'2020_2021_efet Int_Confianca'!CN37</f>
        <v>8.2600000000000007E-2</v>
      </c>
      <c r="CQ276">
        <f>'2020_2021_efet Int_Confianca'!CO37</f>
        <v>8.5999999999999993E-2</v>
      </c>
      <c r="CR276">
        <f>'2020_2021_efet Int_Confianca'!CP37</f>
        <v>8.5199999999999998E-2</v>
      </c>
      <c r="CS276">
        <f>'2020_2021_efet Int_Confianca'!CQ37</f>
        <v>7.9699999999999993E-2</v>
      </c>
      <c r="CT276">
        <f>'2020_2021_efet Int_Confianca'!CR37</f>
        <v>8.0699999999999994E-2</v>
      </c>
      <c r="CU276">
        <f>'2020_2021_efet Int_Confianca'!CS37</f>
        <v>6.9599999999999995E-2</v>
      </c>
      <c r="CV276">
        <f>'2020_2021_efet Int_Confianca'!CT37</f>
        <v>8.8400000000000006E-2</v>
      </c>
      <c r="CW276">
        <f>'2020_2021_efet Int_Confianca'!CU37</f>
        <v>6.9400000000000003E-2</v>
      </c>
      <c r="CX276">
        <f>'2020_2021_efet Int_Confianca'!CV37</f>
        <v>8.5199999999999998E-2</v>
      </c>
    </row>
    <row r="277" spans="1:102" x14ac:dyDescent="0.2">
      <c r="A277" t="s">
        <v>230</v>
      </c>
      <c r="B277" t="s">
        <v>217</v>
      </c>
      <c r="C277" t="s">
        <v>223</v>
      </c>
      <c r="D277">
        <f>'2020_2021_efet Int_Confianca'!B38</f>
        <v>2.0999999999999999E-3</v>
      </c>
      <c r="E277">
        <f>'2020_2021_efet Int_Confianca'!C38</f>
        <v>2.0999999999999999E-3</v>
      </c>
      <c r="F277">
        <f>'2020_2021_efet Int_Confianca'!D38</f>
        <v>2.0999999999999999E-3</v>
      </c>
      <c r="G277">
        <f>'2020_2021_efet Int_Confianca'!E38</f>
        <v>3.1399999999999997E-2</v>
      </c>
      <c r="H277">
        <f>'2020_2021_efet Int_Confianca'!F38</f>
        <v>2.7E-2</v>
      </c>
      <c r="I277">
        <f>'2020_2021_efet Int_Confianca'!G38</f>
        <v>2.8799999999999999E-2</v>
      </c>
      <c r="J277">
        <f>'2020_2021_efet Int_Confianca'!H38</f>
        <v>2.9000000000000001E-2</v>
      </c>
      <c r="K277">
        <f>'2020_2021_efet Int_Confianca'!I38</f>
        <v>3.0200000000000001E-2</v>
      </c>
      <c r="L277">
        <f>'2020_2021_efet Int_Confianca'!J38</f>
        <v>3.3700000000000001E-2</v>
      </c>
      <c r="M277">
        <f>'2020_2021_efet Int_Confianca'!K38</f>
        <v>3.3799999999999997E-2</v>
      </c>
      <c r="N277">
        <f>'2020_2021_efet Int_Confianca'!L38</f>
        <v>3.39E-2</v>
      </c>
      <c r="O277">
        <f>'2020_2021_efet Int_Confianca'!M38</f>
        <v>3.5400000000000001E-2</v>
      </c>
      <c r="P277">
        <f>'2020_2021_efet Int_Confianca'!N38</f>
        <v>3.2599999999999997E-2</v>
      </c>
      <c r="Q277">
        <f>'2020_2021_efet Int_Confianca'!O38</f>
        <v>2.47E-2</v>
      </c>
      <c r="R277">
        <f>'2020_2021_efet Int_Confianca'!P38</f>
        <v>2.5000000000000001E-2</v>
      </c>
      <c r="S277">
        <f>'2020_2021_efet Int_Confianca'!Q38</f>
        <v>2.4199999999999999E-2</v>
      </c>
      <c r="T277">
        <f>'2020_2021_efet Int_Confianca'!R38</f>
        <v>2.1999999999999999E-2</v>
      </c>
      <c r="U277">
        <f>'2020_2021_efet Int_Confianca'!S38</f>
        <v>2.07E-2</v>
      </c>
      <c r="V277">
        <f>'2020_2021_efet Int_Confianca'!T38</f>
        <v>2.07E-2</v>
      </c>
      <c r="W277">
        <f>'2020_2021_efet Int_Confianca'!U38</f>
        <v>1.9400000000000001E-2</v>
      </c>
      <c r="X277">
        <f>'2020_2021_efet Int_Confianca'!V38</f>
        <v>2.06E-2</v>
      </c>
      <c r="Y277">
        <f>'2020_2021_efet Int_Confianca'!W38</f>
        <v>2.01E-2</v>
      </c>
      <c r="Z277">
        <f>'2020_2021_efet Int_Confianca'!X38</f>
        <v>2.0799999999999999E-2</v>
      </c>
      <c r="AA277">
        <f>'2020_2021_efet Int_Confianca'!Y38</f>
        <v>2.1600000000000001E-2</v>
      </c>
      <c r="AB277">
        <f>'2020_2021_efet Int_Confianca'!Z38</f>
        <v>2.2200000000000001E-2</v>
      </c>
      <c r="AC277">
        <f>'2020_2021_efet Int_Confianca'!AA38</f>
        <v>2.2700000000000001E-2</v>
      </c>
      <c r="AD277">
        <f>'2020_2021_efet Int_Confianca'!AB38</f>
        <v>2.35E-2</v>
      </c>
      <c r="AE277">
        <f>'2020_2021_efet Int_Confianca'!AC38</f>
        <v>2.4500000000000001E-2</v>
      </c>
      <c r="AF277">
        <f>'2020_2021_efet Int_Confianca'!AD38</f>
        <v>2.5999999999999999E-2</v>
      </c>
      <c r="AG277">
        <f>'2020_2021_efet Int_Confianca'!AE38</f>
        <v>2.7799999999999998E-2</v>
      </c>
      <c r="AH277">
        <f>'2020_2021_efet Int_Confianca'!AF38</f>
        <v>2.9399999999999999E-2</v>
      </c>
      <c r="AI277">
        <f>'2020_2021_efet Int_Confianca'!AG38</f>
        <v>3.1600000000000003E-2</v>
      </c>
      <c r="AJ277">
        <f>'2020_2021_efet Int_Confianca'!AH38</f>
        <v>3.3500000000000002E-2</v>
      </c>
      <c r="AK277">
        <f>'2020_2021_efet Int_Confianca'!AI38</f>
        <v>3.44E-2</v>
      </c>
      <c r="AL277">
        <f>'2020_2021_efet Int_Confianca'!AJ38</f>
        <v>3.5000000000000003E-2</v>
      </c>
      <c r="AM277">
        <f>'2020_2021_efet Int_Confianca'!AK38</f>
        <v>3.5700000000000003E-2</v>
      </c>
      <c r="AN277">
        <f>'2020_2021_efet Int_Confianca'!AL38</f>
        <v>3.6700000000000003E-2</v>
      </c>
      <c r="AO277">
        <f>'2020_2021_efet Int_Confianca'!AM38</f>
        <v>3.7400000000000003E-2</v>
      </c>
      <c r="AP277">
        <f>'2020_2021_efet Int_Confianca'!AN38</f>
        <v>3.8100000000000002E-2</v>
      </c>
      <c r="AQ277">
        <f>'2020_2021_efet Int_Confianca'!AO38</f>
        <v>3.8699999999999998E-2</v>
      </c>
      <c r="AR277">
        <f>'2020_2021_efet Int_Confianca'!AP38</f>
        <v>3.9100000000000003E-2</v>
      </c>
      <c r="AS277">
        <f>'2020_2021_efet Int_Confianca'!AQ38</f>
        <v>0.04</v>
      </c>
      <c r="AT277">
        <f>'2020_2021_efet Int_Confianca'!AR38</f>
        <v>4.0899999999999999E-2</v>
      </c>
      <c r="AU277">
        <f>'2020_2021_efet Int_Confianca'!AS38</f>
        <v>4.1700000000000001E-2</v>
      </c>
      <c r="AV277">
        <f>'2020_2021_efet Int_Confianca'!AT38</f>
        <v>4.2700000000000002E-2</v>
      </c>
      <c r="AW277">
        <f>'2020_2021_efet Int_Confianca'!AU38</f>
        <v>4.3799999999999999E-2</v>
      </c>
      <c r="AX277">
        <f>'2020_2021_efet Int_Confianca'!AV38</f>
        <v>4.4400000000000002E-2</v>
      </c>
      <c r="AY277">
        <f>'2020_2021_efet Int_Confianca'!AW38</f>
        <v>4.5199999999999997E-2</v>
      </c>
      <c r="AZ277">
        <f>'2020_2021_efet Int_Confianca'!AX38</f>
        <v>4.7199999999999999E-2</v>
      </c>
      <c r="BA277">
        <f>'2020_2021_efet Int_Confianca'!AY38</f>
        <v>4.8000000000000001E-2</v>
      </c>
      <c r="BB277">
        <f>'2020_2021_efet Int_Confianca'!AZ38</f>
        <v>4.8800000000000003E-2</v>
      </c>
      <c r="BC277">
        <f>'2020_2021_efet Int_Confianca'!BA38</f>
        <v>5.0299999999999997E-2</v>
      </c>
      <c r="BD277">
        <f>'2020_2021_efet Int_Confianca'!BB38</f>
        <v>5.1299999999999998E-2</v>
      </c>
      <c r="BE277">
        <f>'2020_2021_efet Int_Confianca'!BC38</f>
        <v>5.2499999999999998E-2</v>
      </c>
      <c r="BF277">
        <f>'2020_2021_efet Int_Confianca'!BD38</f>
        <v>5.3199999999999997E-2</v>
      </c>
      <c r="BG277">
        <f>'2020_2021_efet Int_Confianca'!BE38</f>
        <v>5.3199999999999997E-2</v>
      </c>
      <c r="BH277">
        <f>'2020_2021_efet Int_Confianca'!BF38</f>
        <v>5.3100000000000001E-2</v>
      </c>
      <c r="BI277">
        <f>'2020_2021_efet Int_Confianca'!BG38</f>
        <v>5.3100000000000001E-2</v>
      </c>
      <c r="BJ277">
        <f>'2020_2021_efet Int_Confianca'!BH38</f>
        <v>5.3800000000000001E-2</v>
      </c>
      <c r="BK277">
        <f>'2020_2021_efet Int_Confianca'!BI38</f>
        <v>5.3800000000000001E-2</v>
      </c>
      <c r="BL277">
        <f>'2020_2021_efet Int_Confianca'!BJ38</f>
        <v>5.3900000000000003E-2</v>
      </c>
      <c r="BM277">
        <f>'2020_2021_efet Int_Confianca'!BK38</f>
        <v>5.3699999999999998E-2</v>
      </c>
      <c r="BN277">
        <f>'2020_2021_efet Int_Confianca'!BL38</f>
        <v>5.4300000000000001E-2</v>
      </c>
      <c r="BO277">
        <f>'2020_2021_efet Int_Confianca'!BM38</f>
        <v>5.7599999999999998E-2</v>
      </c>
      <c r="BP277">
        <f>'2020_2021_efet Int_Confianca'!BN38</f>
        <v>6.3100000000000003E-2</v>
      </c>
      <c r="BQ277">
        <f>'2020_2021_efet Int_Confianca'!BO38</f>
        <v>6.7400000000000002E-2</v>
      </c>
      <c r="BR277">
        <f>'2020_2021_efet Int_Confianca'!BP38</f>
        <v>6.9800000000000001E-2</v>
      </c>
      <c r="BS277">
        <f>'2020_2021_efet Int_Confianca'!BQ38</f>
        <v>7.1900000000000006E-2</v>
      </c>
      <c r="BT277">
        <f>'2020_2021_efet Int_Confianca'!BR38</f>
        <v>7.1800000000000003E-2</v>
      </c>
      <c r="BU277">
        <f>'2020_2021_efet Int_Confianca'!BS38</f>
        <v>7.1900000000000006E-2</v>
      </c>
      <c r="BV277">
        <f>'2020_2021_efet Int_Confianca'!BT38</f>
        <v>7.1099999999999997E-2</v>
      </c>
      <c r="BW277">
        <f>'2020_2021_efet Int_Confianca'!BU38</f>
        <v>7.2599999999999998E-2</v>
      </c>
      <c r="BX277">
        <f>'2020_2021_efet Int_Confianca'!BV38</f>
        <v>7.2800000000000004E-2</v>
      </c>
      <c r="BY277">
        <f>'2020_2021_efet Int_Confianca'!BW38</f>
        <v>7.2800000000000004E-2</v>
      </c>
      <c r="BZ277">
        <f>'2020_2021_efet Int_Confianca'!BX38</f>
        <v>7.51E-2</v>
      </c>
      <c r="CA277">
        <f>'2020_2021_efet Int_Confianca'!BY38</f>
        <v>7.7399999999999997E-2</v>
      </c>
      <c r="CB277">
        <f>'2020_2021_efet Int_Confianca'!BZ38</f>
        <v>7.6100000000000001E-2</v>
      </c>
      <c r="CC277">
        <f>'2020_2021_efet Int_Confianca'!CA38</f>
        <v>7.8700000000000006E-2</v>
      </c>
      <c r="CD277">
        <f>'2020_2021_efet Int_Confianca'!CB38</f>
        <v>8.4400000000000003E-2</v>
      </c>
      <c r="CE277">
        <f>'2020_2021_efet Int_Confianca'!CC38</f>
        <v>9.0200000000000002E-2</v>
      </c>
      <c r="CF277">
        <f>'2020_2021_efet Int_Confianca'!CD38</f>
        <v>9.4600000000000004E-2</v>
      </c>
      <c r="CG277">
        <f>'2020_2021_efet Int_Confianca'!CE38</f>
        <v>9.3700000000000006E-2</v>
      </c>
      <c r="CH277">
        <f>'2020_2021_efet Int_Confianca'!CF38</f>
        <v>9.0700000000000003E-2</v>
      </c>
      <c r="CI277">
        <f>'2020_2021_efet Int_Confianca'!CG38</f>
        <v>8.7099999999999997E-2</v>
      </c>
      <c r="CJ277">
        <f>'2020_2021_efet Int_Confianca'!CH38</f>
        <v>8.5300000000000001E-2</v>
      </c>
      <c r="CK277">
        <f>'2020_2021_efet Int_Confianca'!CI38</f>
        <v>9.5899999999999999E-2</v>
      </c>
      <c r="CL277">
        <f>'2020_2021_efet Int_Confianca'!CJ38</f>
        <v>9.5100000000000004E-2</v>
      </c>
      <c r="CM277">
        <f>'2020_2021_efet Int_Confianca'!CK38</f>
        <v>9.4500000000000001E-2</v>
      </c>
      <c r="CN277">
        <f>'2020_2021_efet Int_Confianca'!CL38</f>
        <v>9.06E-2</v>
      </c>
      <c r="CO277">
        <f>'2020_2021_efet Int_Confianca'!CM38</f>
        <v>0.1047</v>
      </c>
      <c r="CP277">
        <f>'2020_2021_efet Int_Confianca'!CN38</f>
        <v>0.1101</v>
      </c>
      <c r="CQ277">
        <f>'2020_2021_efet Int_Confianca'!CO38</f>
        <v>0.11509999999999999</v>
      </c>
      <c r="CR277">
        <f>'2020_2021_efet Int_Confianca'!CP38</f>
        <v>0.1142</v>
      </c>
      <c r="CS277">
        <f>'2020_2021_efet Int_Confianca'!CQ38</f>
        <v>0.107</v>
      </c>
      <c r="CT277">
        <f>'2020_2021_efet Int_Confianca'!CR38</f>
        <v>0.109</v>
      </c>
      <c r="CU277">
        <f>'2020_2021_efet Int_Confianca'!CS38</f>
        <v>9.4399999999999998E-2</v>
      </c>
      <c r="CV277">
        <f>'2020_2021_efet Int_Confianca'!CT38</f>
        <v>0.1207</v>
      </c>
      <c r="CW277">
        <f>'2020_2021_efet Int_Confianca'!CU38</f>
        <v>9.5899999999999999E-2</v>
      </c>
      <c r="CX277">
        <f>'2020_2021_efet Int_Confianca'!CV38</f>
        <v>0.12239999999999999</v>
      </c>
    </row>
    <row r="278" spans="1:102" x14ac:dyDescent="0.2">
      <c r="A278" t="s">
        <v>233</v>
      </c>
      <c r="B278" t="s">
        <v>217</v>
      </c>
      <c r="C278" t="s">
        <v>223</v>
      </c>
      <c r="D278">
        <f>'2020_2021_efet Int_Confianca'!B39</f>
        <v>-3.2000000000000002E-3</v>
      </c>
      <c r="E278">
        <f>'2020_2021_efet Int_Confianca'!C39</f>
        <v>2.0000000000000001E-4</v>
      </c>
      <c r="F278">
        <f>'2020_2021_efet Int_Confianca'!D39</f>
        <v>3.5999999999999999E-3</v>
      </c>
      <c r="G278">
        <f>'2020_2021_efet Int_Confianca'!E39</f>
        <v>2.3E-3</v>
      </c>
      <c r="H278">
        <f>'2020_2021_efet Int_Confianca'!F39</f>
        <v>-4.4000000000000003E-3</v>
      </c>
      <c r="I278">
        <f>'2020_2021_efet Int_Confianca'!G39</f>
        <v>-3.09E-2</v>
      </c>
      <c r="J278">
        <f>'2020_2021_efet Int_Confianca'!H39</f>
        <v>1.5699999999999999E-2</v>
      </c>
      <c r="K278">
        <f>'2020_2021_efet Int_Confianca'!I39</f>
        <v>-8.6900000000000005E-2</v>
      </c>
      <c r="L278">
        <f>'2020_2021_efet Int_Confianca'!J39</f>
        <v>-4.3299999999999998E-2</v>
      </c>
      <c r="M278">
        <f>'2020_2021_efet Int_Confianca'!K39</f>
        <v>-8.9099999999999999E-2</v>
      </c>
      <c r="N278">
        <f>'2020_2021_efet Int_Confianca'!L39</f>
        <v>-4.5499999999999999E-2</v>
      </c>
      <c r="O278">
        <f>'2020_2021_efet Int_Confianca'!M39</f>
        <v>-5.5800000000000002E-2</v>
      </c>
      <c r="P278">
        <f>'2020_2021_efet Int_Confianca'!N39</f>
        <v>-5.4899999999999997E-2</v>
      </c>
      <c r="Q278">
        <f>'2020_2021_efet Int_Confianca'!O39</f>
        <v>-6.8400000000000002E-2</v>
      </c>
      <c r="R278">
        <f>'2020_2021_efet Int_Confianca'!P39</f>
        <v>-8.0600000000000005E-2</v>
      </c>
      <c r="S278">
        <f>'2020_2021_efet Int_Confianca'!Q39</f>
        <v>-2.8299999999999999E-2</v>
      </c>
      <c r="T278">
        <f>'2020_2021_efet Int_Confianca'!R39</f>
        <v>-2.6599999999999999E-2</v>
      </c>
      <c r="U278">
        <f>'2020_2021_efet Int_Confianca'!S39</f>
        <v>-5.1900000000000002E-2</v>
      </c>
      <c r="V278">
        <f>'2020_2021_efet Int_Confianca'!T39</f>
        <v>-3.3000000000000002E-2</v>
      </c>
      <c r="W278">
        <f>'2020_2021_efet Int_Confianca'!U39</f>
        <v>-1.43E-2</v>
      </c>
      <c r="X278">
        <f>'2020_2021_efet Int_Confianca'!V39</f>
        <v>-1.18E-2</v>
      </c>
      <c r="Y278">
        <f>'2020_2021_efet Int_Confianca'!W39</f>
        <v>-6.2199999999999998E-2</v>
      </c>
      <c r="Z278">
        <f>'2020_2021_efet Int_Confianca'!X39</f>
        <v>-6.7299999999999999E-2</v>
      </c>
      <c r="AA278">
        <f>'2020_2021_efet Int_Confianca'!Y39</f>
        <v>-7.0099999999999996E-2</v>
      </c>
      <c r="AB278">
        <f>'2020_2021_efet Int_Confianca'!Z39</f>
        <v>-3.5400000000000001E-2</v>
      </c>
      <c r="AC278">
        <f>'2020_2021_efet Int_Confianca'!AA39</f>
        <v>-5.6800000000000003E-2</v>
      </c>
      <c r="AD278">
        <f>'2020_2021_efet Int_Confianca'!AB39</f>
        <v>-3.4299999999999997E-2</v>
      </c>
      <c r="AE278">
        <f>'2020_2021_efet Int_Confianca'!AC39</f>
        <v>-3.78E-2</v>
      </c>
      <c r="AF278">
        <f>'2020_2021_efet Int_Confianca'!AD39</f>
        <v>-4.65E-2</v>
      </c>
      <c r="AG278">
        <f>'2020_2021_efet Int_Confianca'!AE39</f>
        <v>-6.6500000000000004E-2</v>
      </c>
      <c r="AH278">
        <f>'2020_2021_efet Int_Confianca'!AF39</f>
        <v>-7.9799999999999996E-2</v>
      </c>
      <c r="AI278">
        <f>'2020_2021_efet Int_Confianca'!AG39</f>
        <v>-7.3800000000000004E-2</v>
      </c>
      <c r="AJ278">
        <f>'2020_2021_efet Int_Confianca'!AH39</f>
        <v>-8.0399999999999999E-2</v>
      </c>
      <c r="AK278">
        <f>'2020_2021_efet Int_Confianca'!AI39</f>
        <v>-7.6200000000000004E-2</v>
      </c>
      <c r="AL278">
        <f>'2020_2021_efet Int_Confianca'!AJ39</f>
        <v>-8.3900000000000002E-2</v>
      </c>
      <c r="AM278">
        <f>'2020_2021_efet Int_Confianca'!AK39</f>
        <v>-7.9100000000000004E-2</v>
      </c>
      <c r="AN278">
        <f>'2020_2021_efet Int_Confianca'!AL39</f>
        <v>-8.0199999999999994E-2</v>
      </c>
      <c r="AO278">
        <f>'2020_2021_efet Int_Confianca'!AM39</f>
        <v>-7.0400000000000004E-2</v>
      </c>
      <c r="AP278">
        <f>'2020_2021_efet Int_Confianca'!AN39</f>
        <v>-6.6500000000000004E-2</v>
      </c>
      <c r="AQ278">
        <f>'2020_2021_efet Int_Confianca'!AO39</f>
        <v>-8.5400000000000004E-2</v>
      </c>
      <c r="AR278">
        <f>'2020_2021_efet Int_Confianca'!AP39</f>
        <v>-8.2299999999999998E-2</v>
      </c>
      <c r="AS278">
        <f>'2020_2021_efet Int_Confianca'!AQ39</f>
        <v>-7.6899999999999996E-2</v>
      </c>
      <c r="AT278">
        <f>'2020_2021_efet Int_Confianca'!AR39</f>
        <v>-8.5300000000000001E-2</v>
      </c>
      <c r="AU278">
        <f>'2020_2021_efet Int_Confianca'!AS39</f>
        <v>-6.8900000000000003E-2</v>
      </c>
      <c r="AV278">
        <f>'2020_2021_efet Int_Confianca'!AT39</f>
        <v>-8.4699999999999998E-2</v>
      </c>
      <c r="AW278">
        <f>'2020_2021_efet Int_Confianca'!AU39</f>
        <v>-8.7999999999999995E-2</v>
      </c>
      <c r="AX278">
        <f>'2020_2021_efet Int_Confianca'!AV39</f>
        <v>-9.4600000000000004E-2</v>
      </c>
      <c r="AY278">
        <f>'2020_2021_efet Int_Confianca'!AW39</f>
        <v>-0.10059999999999999</v>
      </c>
      <c r="AZ278">
        <f>'2020_2021_efet Int_Confianca'!AX39</f>
        <v>-9.8799999999999999E-2</v>
      </c>
      <c r="BA278">
        <f>'2020_2021_efet Int_Confianca'!AY39</f>
        <v>-9.7600000000000006E-2</v>
      </c>
      <c r="BB278">
        <f>'2020_2021_efet Int_Confianca'!AZ39</f>
        <v>-0.10879999999999999</v>
      </c>
      <c r="BC278">
        <f>'2020_2021_efet Int_Confianca'!BA39</f>
        <v>-9.9400000000000002E-2</v>
      </c>
      <c r="BD278">
        <f>'2020_2021_efet Int_Confianca'!BB39</f>
        <v>-9.9500000000000005E-2</v>
      </c>
      <c r="BE278">
        <f>'2020_2021_efet Int_Confianca'!BC39</f>
        <v>-9.5200000000000007E-2</v>
      </c>
      <c r="BF278">
        <f>'2020_2021_efet Int_Confianca'!BD39</f>
        <v>-9.5799999999999996E-2</v>
      </c>
      <c r="BG278">
        <f>'2020_2021_efet Int_Confianca'!BE39</f>
        <v>-9.7799999999999998E-2</v>
      </c>
      <c r="BH278">
        <f>'2020_2021_efet Int_Confianca'!BF39</f>
        <v>-0.1031</v>
      </c>
      <c r="BI278">
        <f>'2020_2021_efet Int_Confianca'!BG39</f>
        <v>-9.0700000000000003E-2</v>
      </c>
      <c r="BJ278">
        <f>'2020_2021_efet Int_Confianca'!BH39</f>
        <v>-0.10059999999999999</v>
      </c>
      <c r="BK278">
        <f>'2020_2021_efet Int_Confianca'!BI39</f>
        <v>-9.2799999999999994E-2</v>
      </c>
      <c r="BL278">
        <f>'2020_2021_efet Int_Confianca'!BJ39</f>
        <v>-0.1014</v>
      </c>
      <c r="BM278">
        <f>'2020_2021_efet Int_Confianca'!BK39</f>
        <v>-9.8199999999999996E-2</v>
      </c>
      <c r="BN278">
        <f>'2020_2021_efet Int_Confianca'!BL39</f>
        <v>-0.11119999999999999</v>
      </c>
      <c r="BO278">
        <f>'2020_2021_efet Int_Confianca'!BM39</f>
        <v>-0.10489999999999999</v>
      </c>
      <c r="BP278">
        <f>'2020_2021_efet Int_Confianca'!BN39</f>
        <v>-0.1067</v>
      </c>
      <c r="BQ278">
        <f>'2020_2021_efet Int_Confianca'!BO39</f>
        <v>-0.1195</v>
      </c>
      <c r="BR278">
        <f>'2020_2021_efet Int_Confianca'!BP39</f>
        <v>-0.12330000000000001</v>
      </c>
      <c r="BS278">
        <f>'2020_2021_efet Int_Confianca'!BQ39</f>
        <v>-0.14480000000000001</v>
      </c>
      <c r="BT278">
        <f>'2020_2021_efet Int_Confianca'!BR39</f>
        <v>-0.1406</v>
      </c>
      <c r="BU278">
        <f>'2020_2021_efet Int_Confianca'!BS39</f>
        <v>-0.1244</v>
      </c>
      <c r="BV278">
        <f>'2020_2021_efet Int_Confianca'!BT39</f>
        <v>-0.1263</v>
      </c>
      <c r="BW278">
        <f>'2020_2021_efet Int_Confianca'!BU39</f>
        <v>-0.11700000000000001</v>
      </c>
      <c r="BX278">
        <f>'2020_2021_efet Int_Confianca'!BV39</f>
        <v>-0.1149</v>
      </c>
      <c r="BY278">
        <f>'2020_2021_efet Int_Confianca'!BW39</f>
        <v>-0.11210000000000001</v>
      </c>
      <c r="BZ278">
        <f>'2020_2021_efet Int_Confianca'!BX39</f>
        <v>-0.1154</v>
      </c>
      <c r="CA278">
        <f>'2020_2021_efet Int_Confianca'!BY39</f>
        <v>-0.11700000000000001</v>
      </c>
      <c r="CB278">
        <f>'2020_2021_efet Int_Confianca'!BZ39</f>
        <v>-0.12820000000000001</v>
      </c>
      <c r="CC278">
        <f>'2020_2021_efet Int_Confianca'!CA39</f>
        <v>-0.1215</v>
      </c>
      <c r="CD278">
        <f>'2020_2021_efet Int_Confianca'!CB39</f>
        <v>-0.13170000000000001</v>
      </c>
      <c r="CE278">
        <f>'2020_2021_efet Int_Confianca'!CC39</f>
        <v>-0.13980000000000001</v>
      </c>
      <c r="CF278">
        <f>'2020_2021_efet Int_Confianca'!CD39</f>
        <v>-0.13850000000000001</v>
      </c>
      <c r="CG278">
        <f>'2020_2021_efet Int_Confianca'!CE39</f>
        <v>-0.13519999999999999</v>
      </c>
      <c r="CH278">
        <f>'2020_2021_efet Int_Confianca'!CF39</f>
        <v>-0.13950000000000001</v>
      </c>
      <c r="CI278">
        <f>'2020_2021_efet Int_Confianca'!CG39</f>
        <v>-0.14130000000000001</v>
      </c>
      <c r="CJ278">
        <f>'2020_2021_efet Int_Confianca'!CH39</f>
        <v>-0.12939999999999999</v>
      </c>
      <c r="CK278">
        <f>'2020_2021_efet Int_Confianca'!CI39</f>
        <v>-0.15609999999999999</v>
      </c>
      <c r="CL278">
        <f>'2020_2021_efet Int_Confianca'!CJ39</f>
        <v>-0.1484</v>
      </c>
      <c r="CM278">
        <f>'2020_2021_efet Int_Confianca'!CK39</f>
        <v>-0.1431</v>
      </c>
      <c r="CN278">
        <f>'2020_2021_efet Int_Confianca'!CL39</f>
        <v>-0.1336</v>
      </c>
      <c r="CO278">
        <f>'2020_2021_efet Int_Confianca'!CM39</f>
        <v>-0.1714</v>
      </c>
      <c r="CP278">
        <f>'2020_2021_efet Int_Confianca'!CN39</f>
        <v>-0.17130000000000001</v>
      </c>
      <c r="CQ278">
        <f>'2020_2021_efet Int_Confianca'!CO39</f>
        <v>-0.20280000000000001</v>
      </c>
      <c r="CR278">
        <f>'2020_2021_efet Int_Confianca'!CP39</f>
        <v>-0.216</v>
      </c>
      <c r="CS278">
        <f>'2020_2021_efet Int_Confianca'!CQ39</f>
        <v>-0.1583</v>
      </c>
      <c r="CT278">
        <f>'2020_2021_efet Int_Confianca'!CR39</f>
        <v>-0.19539999999999999</v>
      </c>
      <c r="CU278">
        <f>'2020_2021_efet Int_Confianca'!CS39</f>
        <v>-0.1772</v>
      </c>
      <c r="CV278">
        <f>'2020_2021_efet Int_Confianca'!CT39</f>
        <v>-0.22550000000000001</v>
      </c>
      <c r="CW278">
        <f>'2020_2021_efet Int_Confianca'!CU39</f>
        <v>-0.1915</v>
      </c>
      <c r="CX278">
        <f>'2020_2021_efet Int_Confianca'!CV39</f>
        <v>-0.35699999999999998</v>
      </c>
    </row>
    <row r="279" spans="1:102" x14ac:dyDescent="0.2">
      <c r="A279" t="s">
        <v>232</v>
      </c>
      <c r="B279" t="s">
        <v>217</v>
      </c>
      <c r="C279" t="s">
        <v>223</v>
      </c>
      <c r="D279">
        <f>'2020_2021_efet Int_Confianca'!B40</f>
        <v>7.4000000000000003E-3</v>
      </c>
      <c r="E279">
        <f>'2020_2021_efet Int_Confianca'!C40</f>
        <v>1.0800000000000001E-2</v>
      </c>
      <c r="F279">
        <f>'2020_2021_efet Int_Confianca'!D40</f>
        <v>1.43E-2</v>
      </c>
      <c r="G279">
        <f>'2020_2021_efet Int_Confianca'!E40</f>
        <v>0.15559999999999999</v>
      </c>
      <c r="H279">
        <f>'2020_2021_efet Int_Confianca'!F40</f>
        <v>9.64E-2</v>
      </c>
      <c r="I279">
        <f>'2020_2021_efet Int_Confianca'!G40</f>
        <v>0.04</v>
      </c>
      <c r="J279">
        <f>'2020_2021_efet Int_Confianca'!H40</f>
        <v>8.3599999999999994E-2</v>
      </c>
      <c r="K279">
        <f>'2020_2021_efet Int_Confianca'!I40</f>
        <v>-2.9700000000000001E-2</v>
      </c>
      <c r="L279">
        <f>'2020_2021_efet Int_Confianca'!J40</f>
        <v>1.14E-2</v>
      </c>
      <c r="M279">
        <f>'2020_2021_efet Int_Confianca'!K40</f>
        <v>-3.8300000000000001E-2</v>
      </c>
      <c r="N279">
        <f>'2020_2021_efet Int_Confianca'!L40</f>
        <v>8.9999999999999998E-4</v>
      </c>
      <c r="O279">
        <f>'2020_2021_efet Int_Confianca'!M40</f>
        <v>-1.18E-2</v>
      </c>
      <c r="P279">
        <f>'2020_2021_efet Int_Confianca'!N40</f>
        <v>-1.7399999999999999E-2</v>
      </c>
      <c r="Q279">
        <f>'2020_2021_efet Int_Confianca'!O40</f>
        <v>-3.8399999999999997E-2</v>
      </c>
      <c r="R279">
        <f>'2020_2021_efet Int_Confianca'!P40</f>
        <v>-5.0500000000000003E-2</v>
      </c>
      <c r="S279">
        <f>'2020_2021_efet Int_Confianca'!Q40</f>
        <v>-4.4999999999999997E-3</v>
      </c>
      <c r="T279">
        <f>'2020_2021_efet Int_Confianca'!R40</f>
        <v>-6.8999999999999999E-3</v>
      </c>
      <c r="U279">
        <f>'2020_2021_efet Int_Confianca'!S40</f>
        <v>-3.3700000000000001E-2</v>
      </c>
      <c r="V279">
        <f>'2020_2021_efet Int_Confianca'!T40</f>
        <v>-1.7000000000000001E-2</v>
      </c>
      <c r="W279">
        <f>'2020_2021_efet Int_Confianca'!U40</f>
        <v>-2.9999999999999997E-4</v>
      </c>
      <c r="X279">
        <f>'2020_2021_efet Int_Confianca'!V40</f>
        <v>2.0999999999999999E-3</v>
      </c>
      <c r="Y279">
        <f>'2020_2021_efet Int_Confianca'!W40</f>
        <v>-4.8000000000000001E-2</v>
      </c>
      <c r="Z279">
        <f>'2020_2021_efet Int_Confianca'!X40</f>
        <v>-5.3100000000000001E-2</v>
      </c>
      <c r="AA279">
        <f>'2020_2021_efet Int_Confianca'!Y40</f>
        <v>-5.5800000000000002E-2</v>
      </c>
      <c r="AB279">
        <f>'2020_2021_efet Int_Confianca'!Z40</f>
        <v>-2.1600000000000001E-2</v>
      </c>
      <c r="AC279">
        <f>'2020_2021_efet Int_Confianca'!AA40</f>
        <v>-4.2999999999999997E-2</v>
      </c>
      <c r="AD279">
        <f>'2020_2021_efet Int_Confianca'!AB40</f>
        <v>-2.0299999999999999E-2</v>
      </c>
      <c r="AE279">
        <f>'2020_2021_efet Int_Confianca'!AC40</f>
        <v>-2.35E-2</v>
      </c>
      <c r="AF279">
        <f>'2020_2021_efet Int_Confianca'!AD40</f>
        <v>-3.1899999999999998E-2</v>
      </c>
      <c r="AG279">
        <f>'2020_2021_efet Int_Confianca'!AE40</f>
        <v>-5.1200000000000002E-2</v>
      </c>
      <c r="AH279">
        <f>'2020_2021_efet Int_Confianca'!AF40</f>
        <v>-6.4299999999999996E-2</v>
      </c>
      <c r="AI279">
        <f>'2020_2021_efet Int_Confianca'!AG40</f>
        <v>-5.7299999999999997E-2</v>
      </c>
      <c r="AJ279">
        <f>'2020_2021_efet Int_Confianca'!AH40</f>
        <v>-6.3E-2</v>
      </c>
      <c r="AK279">
        <f>'2020_2021_efet Int_Confianca'!AI40</f>
        <v>-5.8500000000000003E-2</v>
      </c>
      <c r="AL279">
        <f>'2020_2021_efet Int_Confianca'!AJ40</f>
        <v>-6.6000000000000003E-2</v>
      </c>
      <c r="AM279">
        <f>'2020_2021_efet Int_Confianca'!AK40</f>
        <v>-6.0699999999999997E-2</v>
      </c>
      <c r="AN279">
        <f>'2020_2021_efet Int_Confianca'!AL40</f>
        <v>-6.1499999999999999E-2</v>
      </c>
      <c r="AO279">
        <f>'2020_2021_efet Int_Confianca'!AM40</f>
        <v>-5.1299999999999998E-2</v>
      </c>
      <c r="AP279">
        <f>'2020_2021_efet Int_Confianca'!AN40</f>
        <v>-4.7500000000000001E-2</v>
      </c>
      <c r="AQ279">
        <f>'2020_2021_efet Int_Confianca'!AO40</f>
        <v>-6.6400000000000001E-2</v>
      </c>
      <c r="AR279">
        <f>'2020_2021_efet Int_Confianca'!AP40</f>
        <v>-6.3299999999999995E-2</v>
      </c>
      <c r="AS279">
        <f>'2020_2021_efet Int_Confianca'!AQ40</f>
        <v>-5.79E-2</v>
      </c>
      <c r="AT279">
        <f>'2020_2021_efet Int_Confianca'!AR40</f>
        <v>-6.6299999999999998E-2</v>
      </c>
      <c r="AU279">
        <f>'2020_2021_efet Int_Confianca'!AS40</f>
        <v>-4.9799999999999997E-2</v>
      </c>
      <c r="AV279">
        <f>'2020_2021_efet Int_Confianca'!AT40</f>
        <v>-6.5600000000000006E-2</v>
      </c>
      <c r="AW279">
        <f>'2020_2021_efet Int_Confianca'!AU40</f>
        <v>-6.8699999999999997E-2</v>
      </c>
      <c r="AX279">
        <f>'2020_2021_efet Int_Confianca'!AV40</f>
        <v>-7.5200000000000003E-2</v>
      </c>
      <c r="AY279">
        <f>'2020_2021_efet Int_Confianca'!AW40</f>
        <v>-8.1100000000000005E-2</v>
      </c>
      <c r="AZ279">
        <f>'2020_2021_efet Int_Confianca'!AX40</f>
        <v>-7.85E-2</v>
      </c>
      <c r="BA279">
        <f>'2020_2021_efet Int_Confianca'!AY40</f>
        <v>-7.7100000000000002E-2</v>
      </c>
      <c r="BB279">
        <f>'2020_2021_efet Int_Confianca'!AZ40</f>
        <v>-8.8099999999999998E-2</v>
      </c>
      <c r="BC279">
        <f>'2020_2021_efet Int_Confianca'!BA40</f>
        <v>-7.8100000000000003E-2</v>
      </c>
      <c r="BD279">
        <f>'2020_2021_efet Int_Confianca'!BB40</f>
        <v>-7.8E-2</v>
      </c>
      <c r="BE279">
        <f>'2020_2021_efet Int_Confianca'!BC40</f>
        <v>-7.3300000000000004E-2</v>
      </c>
      <c r="BF279">
        <f>'2020_2021_efet Int_Confianca'!BD40</f>
        <v>-7.3999999999999996E-2</v>
      </c>
      <c r="BG279">
        <f>'2020_2021_efet Int_Confianca'!BE40</f>
        <v>-7.6200000000000004E-2</v>
      </c>
      <c r="BH279">
        <f>'2020_2021_efet Int_Confianca'!BF40</f>
        <v>-8.1500000000000003E-2</v>
      </c>
      <c r="BI279">
        <f>'2020_2021_efet Int_Confianca'!BG40</f>
        <v>-6.9599999999999995E-2</v>
      </c>
      <c r="BJ279">
        <f>'2020_2021_efet Int_Confianca'!BH40</f>
        <v>-7.9399999999999998E-2</v>
      </c>
      <c r="BK279">
        <f>'2020_2021_efet Int_Confianca'!BI40</f>
        <v>-7.1499999999999994E-2</v>
      </c>
      <c r="BL279">
        <f>'2020_2021_efet Int_Confianca'!BJ40</f>
        <v>-8.0199999999999994E-2</v>
      </c>
      <c r="BM279">
        <f>'2020_2021_efet Int_Confianca'!BK40</f>
        <v>-7.6999999999999999E-2</v>
      </c>
      <c r="BN279">
        <f>'2020_2021_efet Int_Confianca'!BL40</f>
        <v>-0.09</v>
      </c>
      <c r="BO279">
        <f>'2020_2021_efet Int_Confianca'!BM40</f>
        <v>-8.2500000000000004E-2</v>
      </c>
      <c r="BP279">
        <f>'2020_2021_efet Int_Confianca'!BN40</f>
        <v>-8.2400000000000001E-2</v>
      </c>
      <c r="BQ279">
        <f>'2020_2021_efet Int_Confianca'!BO40</f>
        <v>-9.4200000000000006E-2</v>
      </c>
      <c r="BR279">
        <f>'2020_2021_efet Int_Confianca'!BP40</f>
        <v>-9.7100000000000006E-2</v>
      </c>
      <c r="BS279">
        <f>'2020_2021_efet Int_Confianca'!BQ40</f>
        <v>-0.1179</v>
      </c>
      <c r="BT279">
        <f>'2020_2021_efet Int_Confianca'!BR40</f>
        <v>-0.1134</v>
      </c>
      <c r="BU279">
        <f>'2020_2021_efet Int_Confianca'!BS40</f>
        <v>-9.6699999999999994E-2</v>
      </c>
      <c r="BV279">
        <f>'2020_2021_efet Int_Confianca'!BT40</f>
        <v>-9.8599999999999993E-2</v>
      </c>
      <c r="BW279">
        <f>'2020_2021_efet Int_Confianca'!BU40</f>
        <v>-8.8599999999999998E-2</v>
      </c>
      <c r="BX279">
        <f>'2020_2021_efet Int_Confianca'!BV40</f>
        <v>-8.6400000000000005E-2</v>
      </c>
      <c r="BY279">
        <f>'2020_2021_efet Int_Confianca'!BW40</f>
        <v>-8.3500000000000005E-2</v>
      </c>
      <c r="BZ279">
        <f>'2020_2021_efet Int_Confianca'!BX40</f>
        <v>-8.6099999999999996E-2</v>
      </c>
      <c r="CA279">
        <f>'2020_2021_efet Int_Confianca'!BY40</f>
        <v>-8.6800000000000002E-2</v>
      </c>
      <c r="CB279">
        <f>'2020_2021_efet Int_Confianca'!BZ40</f>
        <v>-9.8299999999999998E-2</v>
      </c>
      <c r="CC279">
        <f>'2020_2021_efet Int_Confianca'!CA40</f>
        <v>-8.9499999999999996E-2</v>
      </c>
      <c r="CD279">
        <f>'2020_2021_efet Int_Confianca'!CB40</f>
        <v>-9.7100000000000006E-2</v>
      </c>
      <c r="CE279">
        <f>'2020_2021_efet Int_Confianca'!CC40</f>
        <v>-0.1023</v>
      </c>
      <c r="CF279">
        <f>'2020_2021_efet Int_Confianca'!CD40</f>
        <v>-9.8299999999999998E-2</v>
      </c>
      <c r="CG279">
        <f>'2020_2021_efet Int_Confianca'!CE40</f>
        <v>-9.5500000000000002E-2</v>
      </c>
      <c r="CH279">
        <f>'2020_2021_efet Int_Confianca'!CF40</f>
        <v>-0.10100000000000001</v>
      </c>
      <c r="CI279">
        <f>'2020_2021_efet Int_Confianca'!CG40</f>
        <v>-0.10390000000000001</v>
      </c>
      <c r="CJ279">
        <f>'2020_2021_efet Int_Confianca'!CH40</f>
        <v>-9.0800000000000006E-2</v>
      </c>
      <c r="CK279">
        <f>'2020_2021_efet Int_Confianca'!CI40</f>
        <v>-0.11260000000000001</v>
      </c>
      <c r="CL279">
        <f>'2020_2021_efet Int_Confianca'!CJ40</f>
        <v>-0.10299999999999999</v>
      </c>
      <c r="CM279">
        <f>'2020_2021_efet Int_Confianca'!CK40</f>
        <v>-9.6799999999999997E-2</v>
      </c>
      <c r="CN279">
        <f>'2020_2021_efet Int_Confianca'!CL40</f>
        <v>-8.6499999999999994E-2</v>
      </c>
      <c r="CO279">
        <f>'2020_2021_efet Int_Confianca'!CM40</f>
        <v>-0.1188</v>
      </c>
      <c r="CP279">
        <f>'2020_2021_efet Int_Confianca'!CN40</f>
        <v>-0.1154</v>
      </c>
      <c r="CQ279">
        <f>'2020_2021_efet Int_Confianca'!CO40</f>
        <v>-0.14080000000000001</v>
      </c>
      <c r="CR279">
        <f>'2020_2021_efet Int_Confianca'!CP40</f>
        <v>-0.14899999999999999</v>
      </c>
      <c r="CS279">
        <f>'2020_2021_efet Int_Confianca'!CQ40</f>
        <v>-8.6099999999999996E-2</v>
      </c>
      <c r="CT279">
        <f>'2020_2021_efet Int_Confianca'!CR40</f>
        <v>-0.1137</v>
      </c>
      <c r="CU279">
        <f>'2020_2021_efet Int_Confianca'!CS40</f>
        <v>-9.9699999999999997E-2</v>
      </c>
      <c r="CV279">
        <f>'2020_2021_efet Int_Confianca'!CT40</f>
        <v>-0.1082</v>
      </c>
      <c r="CW279">
        <f>'2020_2021_efet Int_Confianca'!CU40</f>
        <v>-7.5700000000000003E-2</v>
      </c>
      <c r="CX279">
        <f>'2020_2021_efet Int_Confianca'!CV40</f>
        <v>-0.16470000000000001</v>
      </c>
    </row>
    <row r="280" spans="1:102" x14ac:dyDescent="0.2">
      <c r="A280" t="s">
        <v>208</v>
      </c>
      <c r="B280" t="s">
        <v>218</v>
      </c>
      <c r="C280" t="s">
        <v>223</v>
      </c>
      <c r="D280">
        <f>'2020_2021_efet'!B7</f>
        <v>1.14E-3</v>
      </c>
      <c r="E280">
        <f>'2020_2021_efet'!C7</f>
        <v>1.14E-3</v>
      </c>
      <c r="F280">
        <f>'2020_2021_efet'!D7</f>
        <v>1.14E-3</v>
      </c>
      <c r="G280">
        <f>'2020_2021_efet'!E7</f>
        <v>2.52E-2</v>
      </c>
      <c r="H280">
        <f>'2020_2021_efet'!F7</f>
        <v>1.8100000000000002E-2</v>
      </c>
      <c r="I280">
        <f>'2020_2021_efet'!G7</f>
        <v>1.72E-2</v>
      </c>
      <c r="J280">
        <f>'2020_2021_efet'!H7</f>
        <v>1.7100000000000001E-2</v>
      </c>
      <c r="K280">
        <f>'2020_2021_efet'!I7</f>
        <v>1.66E-2</v>
      </c>
      <c r="L280">
        <f>'2020_2021_efet'!J7</f>
        <v>1.77E-2</v>
      </c>
      <c r="M280">
        <f>'2020_2021_efet'!K7</f>
        <v>1.6799999999999999E-2</v>
      </c>
      <c r="N280">
        <f>'2020_2021_efet'!L7</f>
        <v>1.72E-2</v>
      </c>
      <c r="O280">
        <f>'2020_2021_efet'!M7</f>
        <v>1.7600000000000001E-2</v>
      </c>
      <c r="P280">
        <f>'2020_2021_efet'!N7</f>
        <v>1.61E-2</v>
      </c>
      <c r="Q280">
        <f>'2020_2021_efet'!O7</f>
        <v>1.2200000000000001E-2</v>
      </c>
      <c r="R280">
        <f>'2020_2021_efet'!P7</f>
        <v>1.26E-2</v>
      </c>
      <c r="S280">
        <f>'2020_2021_efet'!Q7</f>
        <v>1.21E-2</v>
      </c>
      <c r="T280">
        <f>'2020_2021_efet'!R7</f>
        <v>1.0800000000000001E-2</v>
      </c>
      <c r="U280">
        <f>'2020_2021_efet'!S7</f>
        <v>0.01</v>
      </c>
      <c r="V280">
        <f>'2020_2021_efet'!T7</f>
        <v>1.01E-2</v>
      </c>
      <c r="W280">
        <f>'2020_2021_efet'!U7</f>
        <v>9.6399999999999993E-3</v>
      </c>
      <c r="X280">
        <f>'2020_2021_efet'!V7</f>
        <v>1.0200000000000001E-2</v>
      </c>
      <c r="Y280">
        <f>'2020_2021_efet'!W7</f>
        <v>9.8399999999999998E-3</v>
      </c>
      <c r="Z280">
        <f>'2020_2021_efet'!X7</f>
        <v>1.03E-2</v>
      </c>
      <c r="AA280">
        <f>'2020_2021_efet'!Y7</f>
        <v>1.0800000000000001E-2</v>
      </c>
      <c r="AB280">
        <f>'2020_2021_efet'!Z7</f>
        <v>1.12E-2</v>
      </c>
      <c r="AC280">
        <f>'2020_2021_efet'!AA7</f>
        <v>1.14E-2</v>
      </c>
      <c r="AD280">
        <f>'2020_2021_efet'!AB7</f>
        <v>1.23E-2</v>
      </c>
      <c r="AE280">
        <f>'2020_2021_efet'!AC7</f>
        <v>1.3299999999999999E-2</v>
      </c>
      <c r="AF280">
        <f>'2020_2021_efet'!AD7</f>
        <v>1.41E-2</v>
      </c>
      <c r="AG280">
        <f>'2020_2021_efet'!AE7</f>
        <v>1.5100000000000001E-2</v>
      </c>
      <c r="AH280">
        <f>'2020_2021_efet'!AF7</f>
        <v>1.61E-2</v>
      </c>
      <c r="AI280">
        <f>'2020_2021_efet'!AG7</f>
        <v>1.7100000000000001E-2</v>
      </c>
      <c r="AJ280">
        <f>'2020_2021_efet'!AH7</f>
        <v>1.83E-2</v>
      </c>
      <c r="AK280">
        <f>'2020_2021_efet'!AI7</f>
        <v>1.8800000000000001E-2</v>
      </c>
      <c r="AL280">
        <f>'2020_2021_efet'!AJ7</f>
        <v>1.9400000000000001E-2</v>
      </c>
      <c r="AM280">
        <f>'2020_2021_efet'!AK7</f>
        <v>1.9800000000000002E-2</v>
      </c>
      <c r="AN280">
        <f>'2020_2021_efet'!AL7</f>
        <v>2.0500000000000001E-2</v>
      </c>
      <c r="AO280">
        <f>'2020_2021_efet'!AM7</f>
        <v>2.0899999999999998E-2</v>
      </c>
      <c r="AP280">
        <f>'2020_2021_efet'!AN7</f>
        <v>2.1499999999999998E-2</v>
      </c>
      <c r="AQ280">
        <f>'2020_2021_efet'!AO7</f>
        <v>2.18E-2</v>
      </c>
      <c r="AR280">
        <f>'2020_2021_efet'!AP7</f>
        <v>2.2100000000000002E-2</v>
      </c>
      <c r="AS280">
        <f>'2020_2021_efet'!AQ7</f>
        <v>2.2599999999999999E-2</v>
      </c>
      <c r="AT280">
        <f>'2020_2021_efet'!AR7</f>
        <v>2.3300000000000001E-2</v>
      </c>
      <c r="AU280">
        <f>'2020_2021_efet'!AS7</f>
        <v>2.3900000000000001E-2</v>
      </c>
      <c r="AV280">
        <f>'2020_2021_efet'!AT7</f>
        <v>2.47E-2</v>
      </c>
      <c r="AW280">
        <f>'2020_2021_efet'!AU7</f>
        <v>2.5399999999999999E-2</v>
      </c>
      <c r="AX280">
        <f>'2020_2021_efet'!AV7</f>
        <v>2.58E-2</v>
      </c>
      <c r="AY280">
        <f>'2020_2021_efet'!AW7</f>
        <v>2.6499999999999999E-2</v>
      </c>
      <c r="AZ280">
        <f>'2020_2021_efet'!AX7</f>
        <v>2.7799999999999998E-2</v>
      </c>
      <c r="BA280">
        <f>'2020_2021_efet'!AY7</f>
        <v>2.81E-2</v>
      </c>
      <c r="BB280">
        <f>'2020_2021_efet'!AZ7</f>
        <v>2.8899999999999999E-2</v>
      </c>
      <c r="BC280">
        <f>'2020_2021_efet'!BA7</f>
        <v>2.98E-2</v>
      </c>
      <c r="BD280">
        <f>'2020_2021_efet'!BB7</f>
        <v>3.04E-2</v>
      </c>
      <c r="BE280">
        <f>'2020_2021_efet'!BC7</f>
        <v>3.1199999999999999E-2</v>
      </c>
      <c r="BF280">
        <f>'2020_2021_efet'!BD7</f>
        <v>3.1699999999999999E-2</v>
      </c>
      <c r="BG280">
        <f>'2020_2021_efet'!BE7</f>
        <v>3.1899999999999998E-2</v>
      </c>
      <c r="BH280">
        <f>'2020_2021_efet'!BF7</f>
        <v>3.2000000000000001E-2</v>
      </c>
      <c r="BI280">
        <f>'2020_2021_efet'!BG7</f>
        <v>3.1899999999999998E-2</v>
      </c>
      <c r="BJ280">
        <f>'2020_2021_efet'!BH7</f>
        <v>3.2399999999999998E-2</v>
      </c>
      <c r="BK280">
        <f>'2020_2021_efet'!BI7</f>
        <v>3.2500000000000001E-2</v>
      </c>
      <c r="BL280">
        <f>'2020_2021_efet'!BJ7</f>
        <v>3.27E-2</v>
      </c>
      <c r="BM280">
        <f>'2020_2021_efet'!BK7</f>
        <v>3.2899999999999999E-2</v>
      </c>
      <c r="BN280">
        <f>'2020_2021_efet'!BL7</f>
        <v>3.3300000000000003E-2</v>
      </c>
      <c r="BO280">
        <f>'2020_2021_efet'!BM7</f>
        <v>3.5299999999999998E-2</v>
      </c>
      <c r="BP280">
        <f>'2020_2021_efet'!BN7</f>
        <v>3.8899999999999997E-2</v>
      </c>
      <c r="BQ280">
        <f>'2020_2021_efet'!BO7</f>
        <v>4.1700000000000001E-2</v>
      </c>
      <c r="BR280">
        <f>'2020_2021_efet'!BP7</f>
        <v>4.3099999999999999E-2</v>
      </c>
      <c r="BS280">
        <f>'2020_2021_efet'!BQ7</f>
        <v>4.4499999999999998E-2</v>
      </c>
      <c r="BT280">
        <f>'2020_2021_efet'!BR7</f>
        <v>4.4499999999999998E-2</v>
      </c>
      <c r="BU280">
        <f>'2020_2021_efet'!BS7</f>
        <v>4.4499999999999998E-2</v>
      </c>
      <c r="BV280">
        <f>'2020_2021_efet'!BT7</f>
        <v>4.41E-2</v>
      </c>
      <c r="BW280">
        <f>'2020_2021_efet'!BU7</f>
        <v>4.5400000000000003E-2</v>
      </c>
      <c r="BX280">
        <f>'2020_2021_efet'!BV7</f>
        <v>4.5600000000000002E-2</v>
      </c>
      <c r="BY280">
        <f>'2020_2021_efet'!BW7</f>
        <v>4.5400000000000003E-2</v>
      </c>
      <c r="BZ280">
        <f>'2020_2021_efet'!BX7</f>
        <v>4.7E-2</v>
      </c>
      <c r="CA280">
        <f>'2020_2021_efet'!BY7</f>
        <v>4.8300000000000003E-2</v>
      </c>
      <c r="CB280">
        <f>'2020_2021_efet'!BZ7</f>
        <v>4.7800000000000002E-2</v>
      </c>
      <c r="CC280">
        <f>'2020_2021_efet'!CA7</f>
        <v>4.9500000000000002E-2</v>
      </c>
      <c r="CD280">
        <f>'2020_2021_efet'!CB7</f>
        <v>5.3100000000000001E-2</v>
      </c>
      <c r="CE280">
        <f>'2020_2021_efet'!CC7</f>
        <v>5.7099999999999998E-2</v>
      </c>
      <c r="CF280">
        <f>'2020_2021_efet'!CD7</f>
        <v>6.0199999999999997E-2</v>
      </c>
      <c r="CG280">
        <f>'2020_2021_efet'!CE7</f>
        <v>5.9499999999999997E-2</v>
      </c>
      <c r="CH280">
        <f>'2020_2021_efet'!CF7</f>
        <v>5.7799999999999997E-2</v>
      </c>
      <c r="CI280">
        <f>'2020_2021_efet'!CG7</f>
        <v>5.5899999999999998E-2</v>
      </c>
      <c r="CJ280">
        <f>'2020_2021_efet'!CH7</f>
        <v>5.4699999999999999E-2</v>
      </c>
      <c r="CK280">
        <f>'2020_2021_efet'!CI7</f>
        <v>6.1800000000000001E-2</v>
      </c>
      <c r="CL280">
        <f>'2020_2021_efet'!CJ7</f>
        <v>6.1100000000000002E-2</v>
      </c>
      <c r="CM280">
        <f>'2020_2021_efet'!CK7</f>
        <v>6.0900000000000003E-2</v>
      </c>
      <c r="CN280">
        <f>'2020_2021_efet'!CL7</f>
        <v>5.8299999999999998E-2</v>
      </c>
      <c r="CO280">
        <f>'2020_2021_efet'!CM7</f>
        <v>6.7500000000000004E-2</v>
      </c>
      <c r="CP280">
        <f>'2020_2021_efet'!CN7</f>
        <v>7.0999999999999994E-2</v>
      </c>
      <c r="CQ280">
        <f>'2020_2021_efet'!CO7</f>
        <v>7.3899999999999993E-2</v>
      </c>
      <c r="CR280">
        <f>'2020_2021_efet'!CP7</f>
        <v>7.3499999999999996E-2</v>
      </c>
      <c r="CS280">
        <f>'2020_2021_efet'!CQ7</f>
        <v>6.9000000000000006E-2</v>
      </c>
      <c r="CT280">
        <f>'2020_2021_efet'!CR7</f>
        <v>6.9900000000000004E-2</v>
      </c>
      <c r="CU280">
        <f>'2020_2021_efet'!CS7</f>
        <v>6.0299999999999999E-2</v>
      </c>
      <c r="CV280">
        <f>'2020_2021_efet'!CT7</f>
        <v>7.6499999999999999E-2</v>
      </c>
      <c r="CW280">
        <f>'2020_2021_efet'!CU7</f>
        <v>0.06</v>
      </c>
      <c r="CX280">
        <f>'2020_2021_efet'!CV7</f>
        <v>7.2999999999999995E-2</v>
      </c>
    </row>
    <row r="281" spans="1:102" x14ac:dyDescent="0.2">
      <c r="A281" t="s">
        <v>209</v>
      </c>
      <c r="B281" t="s">
        <v>218</v>
      </c>
      <c r="C281" t="s">
        <v>223</v>
      </c>
      <c r="D281">
        <f>'2020_2021_efet'!B8</f>
        <v>2.24E-4</v>
      </c>
      <c r="E281">
        <f>'2020_2021_efet'!C8</f>
        <v>2.24E-4</v>
      </c>
      <c r="F281">
        <f>'2020_2021_efet'!D8</f>
        <v>2.24E-4</v>
      </c>
      <c r="G281">
        <f>'2020_2021_efet'!E8</f>
        <v>1.7000000000000001E-2</v>
      </c>
      <c r="H281">
        <f>'2020_2021_efet'!F8</f>
        <v>1.15E-2</v>
      </c>
      <c r="I281">
        <f>'2020_2021_efet'!G8</f>
        <v>9.92E-3</v>
      </c>
      <c r="J281">
        <f>'2020_2021_efet'!H8</f>
        <v>8.8900000000000003E-3</v>
      </c>
      <c r="K281">
        <f>'2020_2021_efet'!I8</f>
        <v>8.1200000000000005E-3</v>
      </c>
      <c r="L281">
        <f>'2020_2021_efet'!J8</f>
        <v>8.7100000000000007E-3</v>
      </c>
      <c r="M281">
        <f>'2020_2021_efet'!K8</f>
        <v>8.0499999999999999E-3</v>
      </c>
      <c r="N281">
        <f>'2020_2021_efet'!L8</f>
        <v>8.0300000000000007E-3</v>
      </c>
      <c r="O281">
        <f>'2020_2021_efet'!M8</f>
        <v>8.0700000000000008E-3</v>
      </c>
      <c r="P281">
        <f>'2020_2021_efet'!N8</f>
        <v>7.3400000000000002E-3</v>
      </c>
      <c r="Q281">
        <f>'2020_2021_efet'!O8</f>
        <v>5.45E-3</v>
      </c>
      <c r="R281">
        <f>'2020_2021_efet'!P8</f>
        <v>5.5700000000000003E-3</v>
      </c>
      <c r="S281">
        <f>'2020_2021_efet'!Q8</f>
        <v>5.2399999999999999E-3</v>
      </c>
      <c r="T281">
        <f>'2020_2021_efet'!R8</f>
        <v>4.5999999999999999E-3</v>
      </c>
      <c r="U281">
        <f>'2020_2021_efet'!S8</f>
        <v>4.28E-3</v>
      </c>
      <c r="V281">
        <f>'2020_2021_efet'!T8</f>
        <v>4.3099999999999996E-3</v>
      </c>
      <c r="W281">
        <f>'2020_2021_efet'!U8</f>
        <v>4.0000000000000001E-3</v>
      </c>
      <c r="X281">
        <f>'2020_2021_efet'!V8</f>
        <v>4.1900000000000001E-3</v>
      </c>
      <c r="Y281">
        <f>'2020_2021_efet'!W8</f>
        <v>4.0699999999999998E-3</v>
      </c>
      <c r="Z281">
        <f>'2020_2021_efet'!X8</f>
        <v>4.15E-3</v>
      </c>
      <c r="AA281">
        <f>'2020_2021_efet'!Y8</f>
        <v>4.3299999999999996E-3</v>
      </c>
      <c r="AB281">
        <f>'2020_2021_efet'!Z8</f>
        <v>4.45E-3</v>
      </c>
      <c r="AC281">
        <f>'2020_2021_efet'!AA8</f>
        <v>4.4799999999999996E-3</v>
      </c>
      <c r="AD281">
        <f>'2020_2021_efet'!AB8</f>
        <v>4.62E-3</v>
      </c>
      <c r="AE281">
        <f>'2020_2021_efet'!AC8</f>
        <v>4.8399999999999997E-3</v>
      </c>
      <c r="AF281">
        <f>'2020_2021_efet'!AD8</f>
        <v>5.0800000000000003E-3</v>
      </c>
      <c r="AG281">
        <f>'2020_2021_efet'!AE8</f>
        <v>5.5300000000000002E-3</v>
      </c>
      <c r="AH281">
        <f>'2020_2021_efet'!AF8</f>
        <v>5.8999999999999999E-3</v>
      </c>
      <c r="AI281">
        <f>'2020_2021_efet'!AG8</f>
        <v>6.3E-3</v>
      </c>
      <c r="AJ281">
        <f>'2020_2021_efet'!AH8</f>
        <v>6.6899999999999998E-3</v>
      </c>
      <c r="AK281">
        <f>'2020_2021_efet'!AI8</f>
        <v>6.8300000000000001E-3</v>
      </c>
      <c r="AL281">
        <f>'2020_2021_efet'!AJ8</f>
        <v>6.9699999999999996E-3</v>
      </c>
      <c r="AM281">
        <f>'2020_2021_efet'!AK8</f>
        <v>7.1500000000000001E-3</v>
      </c>
      <c r="AN281">
        <f>'2020_2021_efet'!AL8</f>
        <v>7.3200000000000001E-3</v>
      </c>
      <c r="AO281">
        <f>'2020_2021_efet'!AM8</f>
        <v>7.3200000000000001E-3</v>
      </c>
      <c r="AP281">
        <f>'2020_2021_efet'!AN8</f>
        <v>7.4400000000000004E-3</v>
      </c>
      <c r="AQ281">
        <f>'2020_2021_efet'!AO8</f>
        <v>7.4999999999999997E-3</v>
      </c>
      <c r="AR281">
        <f>'2020_2021_efet'!AP8</f>
        <v>7.5300000000000002E-3</v>
      </c>
      <c r="AS281">
        <f>'2020_2021_efet'!AQ8</f>
        <v>7.7200000000000003E-3</v>
      </c>
      <c r="AT281">
        <f>'2020_2021_efet'!AR8</f>
        <v>7.8399999999999997E-3</v>
      </c>
      <c r="AU281">
        <f>'2020_2021_efet'!AS8</f>
        <v>7.9900000000000006E-3</v>
      </c>
      <c r="AV281">
        <f>'2020_2021_efet'!AT8</f>
        <v>8.0000000000000002E-3</v>
      </c>
      <c r="AW281">
        <f>'2020_2021_efet'!AU8</f>
        <v>8.1399999999999997E-3</v>
      </c>
      <c r="AX281">
        <f>'2020_2021_efet'!AV8</f>
        <v>8.1799999999999998E-3</v>
      </c>
      <c r="AY281">
        <f>'2020_2021_efet'!AW8</f>
        <v>8.2900000000000005E-3</v>
      </c>
      <c r="AZ281">
        <f>'2020_2021_efet'!AX8</f>
        <v>8.5599999999999999E-3</v>
      </c>
      <c r="BA281">
        <f>'2020_2021_efet'!AY8</f>
        <v>8.6E-3</v>
      </c>
      <c r="BB281">
        <f>'2020_2021_efet'!AZ8</f>
        <v>8.7500000000000008E-3</v>
      </c>
      <c r="BC281">
        <f>'2020_2021_efet'!BA8</f>
        <v>8.9499999999999996E-3</v>
      </c>
      <c r="BD281">
        <f>'2020_2021_efet'!BB8</f>
        <v>8.9700000000000005E-3</v>
      </c>
      <c r="BE281">
        <f>'2020_2021_efet'!BC8</f>
        <v>9.1199999999999996E-3</v>
      </c>
      <c r="BF281">
        <f>'2020_2021_efet'!BD8</f>
        <v>9.1500000000000001E-3</v>
      </c>
      <c r="BG281">
        <f>'2020_2021_efet'!BE8</f>
        <v>9.1500000000000001E-3</v>
      </c>
      <c r="BH281">
        <f>'2020_2021_efet'!BF8</f>
        <v>9.0900000000000009E-3</v>
      </c>
      <c r="BI281">
        <f>'2020_2021_efet'!BG8</f>
        <v>8.9999999999999993E-3</v>
      </c>
      <c r="BJ281">
        <f>'2020_2021_efet'!BH8</f>
        <v>9.1000000000000004E-3</v>
      </c>
      <c r="BK281">
        <f>'2020_2021_efet'!BI8</f>
        <v>8.9999999999999993E-3</v>
      </c>
      <c r="BL281">
        <f>'2020_2021_efet'!BJ8</f>
        <v>8.9499999999999996E-3</v>
      </c>
      <c r="BM281">
        <f>'2020_2021_efet'!BK8</f>
        <v>8.9300000000000004E-3</v>
      </c>
      <c r="BN281">
        <f>'2020_2021_efet'!BL8</f>
        <v>9.0100000000000006E-3</v>
      </c>
      <c r="BO281">
        <f>'2020_2021_efet'!BM8</f>
        <v>9.4400000000000005E-3</v>
      </c>
      <c r="BP281">
        <f>'2020_2021_efet'!BN8</f>
        <v>1.03E-2</v>
      </c>
      <c r="BQ281">
        <f>'2020_2021_efet'!BO8</f>
        <v>1.09E-2</v>
      </c>
      <c r="BR281">
        <f>'2020_2021_efet'!BP8</f>
        <v>1.1299999999999999E-2</v>
      </c>
      <c r="BS281">
        <f>'2020_2021_efet'!BQ8</f>
        <v>1.15E-2</v>
      </c>
      <c r="BT281">
        <f>'2020_2021_efet'!BR8</f>
        <v>1.14E-2</v>
      </c>
      <c r="BU281">
        <f>'2020_2021_efet'!BS8</f>
        <v>1.14E-2</v>
      </c>
      <c r="BV281">
        <f>'2020_2021_efet'!BT8</f>
        <v>1.12E-2</v>
      </c>
      <c r="BW281">
        <f>'2020_2021_efet'!BU8</f>
        <v>1.14E-2</v>
      </c>
      <c r="BX281">
        <f>'2020_2021_efet'!BV8</f>
        <v>1.12E-2</v>
      </c>
      <c r="BY281">
        <f>'2020_2021_efet'!BW8</f>
        <v>1.11E-2</v>
      </c>
      <c r="BZ281">
        <f>'2020_2021_efet'!BX8</f>
        <v>1.1299999999999999E-2</v>
      </c>
      <c r="CA281">
        <f>'2020_2021_efet'!BY8</f>
        <v>1.17E-2</v>
      </c>
      <c r="CB281">
        <f>'2020_2021_efet'!BZ8</f>
        <v>1.1599999999999999E-2</v>
      </c>
      <c r="CC281">
        <f>'2020_2021_efet'!CA8</f>
        <v>1.2E-2</v>
      </c>
      <c r="CD281">
        <f>'2020_2021_efet'!CB8</f>
        <v>1.2800000000000001E-2</v>
      </c>
      <c r="CE281">
        <f>'2020_2021_efet'!CC8</f>
        <v>1.34E-2</v>
      </c>
      <c r="CF281">
        <f>'2020_2021_efet'!CD8</f>
        <v>1.4E-2</v>
      </c>
      <c r="CG281">
        <f>'2020_2021_efet'!CE8</f>
        <v>1.38E-2</v>
      </c>
      <c r="CH281">
        <f>'2020_2021_efet'!CF8</f>
        <v>1.3299999999999999E-2</v>
      </c>
      <c r="CI281">
        <f>'2020_2021_efet'!CG8</f>
        <v>1.2699999999999999E-2</v>
      </c>
      <c r="CJ281">
        <f>'2020_2021_efet'!CH8</f>
        <v>1.23E-2</v>
      </c>
      <c r="CK281">
        <f>'2020_2021_efet'!CI8</f>
        <v>1.3899999999999999E-2</v>
      </c>
      <c r="CL281">
        <f>'2020_2021_efet'!CJ8</f>
        <v>1.38E-2</v>
      </c>
      <c r="CM281">
        <f>'2020_2021_efet'!CK8</f>
        <v>1.37E-2</v>
      </c>
      <c r="CN281">
        <f>'2020_2021_efet'!CL8</f>
        <v>1.32E-2</v>
      </c>
      <c r="CO281">
        <f>'2020_2021_efet'!CM8</f>
        <v>1.54E-2</v>
      </c>
      <c r="CP281">
        <f>'2020_2021_efet'!CN8</f>
        <v>1.6299999999999999E-2</v>
      </c>
      <c r="CQ281">
        <f>'2020_2021_efet'!CO8</f>
        <v>1.72E-2</v>
      </c>
      <c r="CR281">
        <f>'2020_2021_efet'!CP8</f>
        <v>1.7299999999999999E-2</v>
      </c>
      <c r="CS281">
        <f>'2020_2021_efet'!CQ8</f>
        <v>1.6199999999999999E-2</v>
      </c>
      <c r="CT281">
        <f>'2020_2021_efet'!CR8</f>
        <v>1.6299999999999999E-2</v>
      </c>
      <c r="CU281">
        <f>'2020_2021_efet'!CS8</f>
        <v>1.4E-2</v>
      </c>
      <c r="CV281">
        <f>'2020_2021_efet'!CT8</f>
        <v>1.9E-2</v>
      </c>
      <c r="CW281">
        <f>'2020_2021_efet'!CU8</f>
        <v>1.6199999999999999E-2</v>
      </c>
      <c r="CX281">
        <f>'2020_2021_efet'!CV8</f>
        <v>2.2800000000000001E-2</v>
      </c>
    </row>
    <row r="282" spans="1:102" x14ac:dyDescent="0.2">
      <c r="A282" t="s">
        <v>210</v>
      </c>
      <c r="B282" t="s">
        <v>218</v>
      </c>
      <c r="C282" t="s">
        <v>223</v>
      </c>
      <c r="D282">
        <f>'2020_2021_efet'!B9</f>
        <v>4.6E-5</v>
      </c>
      <c r="E282">
        <f>'2020_2021_efet'!C9</f>
        <v>4.6E-5</v>
      </c>
      <c r="F282">
        <f>'2020_2021_efet'!D9</f>
        <v>4.6E-5</v>
      </c>
      <c r="G282">
        <f>'2020_2021_efet'!E9</f>
        <v>7.45E-4</v>
      </c>
      <c r="H282">
        <f>'2020_2021_efet'!F9</f>
        <v>4.7600000000000002E-4</v>
      </c>
      <c r="I282">
        <f>'2020_2021_efet'!G9</f>
        <v>4.1899999999999999E-4</v>
      </c>
      <c r="J282">
        <f>'2020_2021_efet'!H9</f>
        <v>4.1599999999999997E-4</v>
      </c>
      <c r="K282">
        <f>'2020_2021_efet'!I9</f>
        <v>3.8499999999999998E-4</v>
      </c>
      <c r="L282">
        <f>'2020_2021_efet'!J9</f>
        <v>3.8999999999999999E-4</v>
      </c>
      <c r="M282">
        <f>'2020_2021_efet'!K9</f>
        <v>3.5500000000000001E-4</v>
      </c>
      <c r="N282">
        <f>'2020_2021_efet'!L9</f>
        <v>3.4299999999999999E-4</v>
      </c>
      <c r="O282">
        <f>'2020_2021_efet'!M9</f>
        <v>3.4000000000000002E-4</v>
      </c>
      <c r="P282">
        <f>'2020_2021_efet'!N9</f>
        <v>2.9399999999999999E-4</v>
      </c>
      <c r="Q282">
        <f>'2020_2021_efet'!O9</f>
        <v>2.02E-4</v>
      </c>
      <c r="R282">
        <f>'2020_2021_efet'!P9</f>
        <v>2.1000000000000001E-4</v>
      </c>
      <c r="S282">
        <f>'2020_2021_efet'!Q9</f>
        <v>1.8799999999999999E-4</v>
      </c>
      <c r="T282">
        <f>'2020_2021_efet'!R9</f>
        <v>1.5799999999999999E-4</v>
      </c>
      <c r="U282">
        <f>'2020_2021_efet'!S9</f>
        <v>1.37E-4</v>
      </c>
      <c r="V282">
        <f>'2020_2021_efet'!T9</f>
        <v>1.2999999999999999E-4</v>
      </c>
      <c r="W282">
        <f>'2020_2021_efet'!U9</f>
        <v>1.25E-4</v>
      </c>
      <c r="X282">
        <f>'2020_2021_efet'!V9</f>
        <v>1.3200000000000001E-4</v>
      </c>
      <c r="Y282">
        <f>'2020_2021_efet'!W9</f>
        <v>1.2300000000000001E-4</v>
      </c>
      <c r="Z282">
        <f>'2020_2021_efet'!X9</f>
        <v>1.2899999999999999E-4</v>
      </c>
      <c r="AA282">
        <f>'2020_2021_efet'!Y9</f>
        <v>1.34E-4</v>
      </c>
      <c r="AB282">
        <f>'2020_2021_efet'!Z9</f>
        <v>1.3799999999999999E-4</v>
      </c>
      <c r="AC282">
        <f>'2020_2021_efet'!AA9</f>
        <v>1.36E-4</v>
      </c>
      <c r="AD282">
        <f>'2020_2021_efet'!AB9</f>
        <v>1.46E-4</v>
      </c>
      <c r="AE282">
        <f>'2020_2021_efet'!AC9</f>
        <v>1.55E-4</v>
      </c>
      <c r="AF282">
        <f>'2020_2021_efet'!AD9</f>
        <v>1.64E-4</v>
      </c>
      <c r="AG282">
        <f>'2020_2021_efet'!AE9</f>
        <v>1.76E-4</v>
      </c>
      <c r="AH282">
        <f>'2020_2021_efet'!AF9</f>
        <v>1.8599999999999999E-4</v>
      </c>
      <c r="AI282">
        <f>'2020_2021_efet'!AG9</f>
        <v>1.9799999999999999E-4</v>
      </c>
      <c r="AJ282">
        <f>'2020_2021_efet'!AH9</f>
        <v>2.0699999999999999E-4</v>
      </c>
      <c r="AK282">
        <f>'2020_2021_efet'!AI9</f>
        <v>2.12E-4</v>
      </c>
      <c r="AL282">
        <f>'2020_2021_efet'!AJ9</f>
        <v>2.22E-4</v>
      </c>
      <c r="AM282">
        <f>'2020_2021_efet'!AK9</f>
        <v>2.2499999999999999E-4</v>
      </c>
      <c r="AN282">
        <f>'2020_2021_efet'!AL9</f>
        <v>2.24E-4</v>
      </c>
      <c r="AO282">
        <f>'2020_2021_efet'!AM9</f>
        <v>2.23E-4</v>
      </c>
      <c r="AP282">
        <f>'2020_2021_efet'!AN9</f>
        <v>2.3000000000000001E-4</v>
      </c>
      <c r="AQ282">
        <f>'2020_2021_efet'!AO9</f>
        <v>2.2900000000000001E-4</v>
      </c>
      <c r="AR282">
        <f>'2020_2021_efet'!AP9</f>
        <v>2.2900000000000001E-4</v>
      </c>
      <c r="AS282">
        <f>'2020_2021_efet'!AQ9</f>
        <v>2.32E-4</v>
      </c>
      <c r="AT282">
        <f>'2020_2021_efet'!AR9</f>
        <v>2.3699999999999999E-4</v>
      </c>
      <c r="AU282">
        <f>'2020_2021_efet'!AS9</f>
        <v>2.4600000000000002E-4</v>
      </c>
      <c r="AV282">
        <f>'2020_2021_efet'!AT9</f>
        <v>2.5300000000000002E-4</v>
      </c>
      <c r="AW282">
        <f>'2020_2021_efet'!AU9</f>
        <v>2.5799999999999998E-4</v>
      </c>
      <c r="AX282">
        <f>'2020_2021_efet'!AV9</f>
        <v>2.6400000000000002E-4</v>
      </c>
      <c r="AY282">
        <f>'2020_2021_efet'!AW9</f>
        <v>2.6699999999999998E-4</v>
      </c>
      <c r="AZ282">
        <f>'2020_2021_efet'!AX9</f>
        <v>2.7399999999999999E-4</v>
      </c>
      <c r="BA282">
        <f>'2020_2021_efet'!AY9</f>
        <v>2.81E-4</v>
      </c>
      <c r="BB282">
        <f>'2020_2021_efet'!AZ9</f>
        <v>2.8200000000000002E-4</v>
      </c>
      <c r="BC282">
        <f>'2020_2021_efet'!BA9</f>
        <v>2.8400000000000002E-4</v>
      </c>
      <c r="BD282">
        <f>'2020_2021_efet'!BB9</f>
        <v>2.7999999999999998E-4</v>
      </c>
      <c r="BE282">
        <f>'2020_2021_efet'!BC9</f>
        <v>2.8200000000000002E-4</v>
      </c>
      <c r="BF282">
        <f>'2020_2021_efet'!BD9</f>
        <v>2.8800000000000001E-4</v>
      </c>
      <c r="BG282">
        <f>'2020_2021_efet'!BE9</f>
        <v>2.8600000000000001E-4</v>
      </c>
      <c r="BH282">
        <f>'2020_2021_efet'!BF9</f>
        <v>2.81E-4</v>
      </c>
      <c r="BI282">
        <f>'2020_2021_efet'!BG9</f>
        <v>2.72E-4</v>
      </c>
      <c r="BJ282">
        <f>'2020_2021_efet'!BH9</f>
        <v>2.72E-4</v>
      </c>
      <c r="BK282">
        <f>'2020_2021_efet'!BI9</f>
        <v>2.7399999999999999E-4</v>
      </c>
      <c r="BL282">
        <f>'2020_2021_efet'!BJ9</f>
        <v>2.7399999999999999E-4</v>
      </c>
      <c r="BM282">
        <f>'2020_2021_efet'!BK9</f>
        <v>2.7500000000000002E-4</v>
      </c>
      <c r="BN282">
        <f>'2020_2021_efet'!BL9</f>
        <v>2.7900000000000001E-4</v>
      </c>
      <c r="BO282">
        <f>'2020_2021_efet'!BM9</f>
        <v>2.9100000000000003E-4</v>
      </c>
      <c r="BP282">
        <f>'2020_2021_efet'!BN9</f>
        <v>3.2299999999999999E-4</v>
      </c>
      <c r="BQ282">
        <f>'2020_2021_efet'!BO9</f>
        <v>3.39E-4</v>
      </c>
      <c r="BR282">
        <f>'2020_2021_efet'!BP9</f>
        <v>3.4699999999999998E-4</v>
      </c>
      <c r="BS282">
        <f>'2020_2021_efet'!BQ9</f>
        <v>3.5399999999999999E-4</v>
      </c>
      <c r="BT282">
        <f>'2020_2021_efet'!BR9</f>
        <v>3.5300000000000002E-4</v>
      </c>
      <c r="BU282">
        <f>'2020_2021_efet'!BS9</f>
        <v>3.4299999999999999E-4</v>
      </c>
      <c r="BV282">
        <f>'2020_2021_efet'!BT9</f>
        <v>3.3500000000000001E-4</v>
      </c>
      <c r="BW282">
        <f>'2020_2021_efet'!BU9</f>
        <v>3.4099999999999999E-4</v>
      </c>
      <c r="BX282">
        <f>'2020_2021_efet'!BV9</f>
        <v>3.5199999999999999E-4</v>
      </c>
      <c r="BY282">
        <f>'2020_2021_efet'!BW9</f>
        <v>3.4499999999999998E-4</v>
      </c>
      <c r="BZ282">
        <f>'2020_2021_efet'!BX9</f>
        <v>3.5399999999999999E-4</v>
      </c>
      <c r="CA282">
        <f>'2020_2021_efet'!BY9</f>
        <v>3.6299999999999999E-4</v>
      </c>
      <c r="CB282">
        <f>'2020_2021_efet'!BZ9</f>
        <v>3.6099999999999999E-4</v>
      </c>
      <c r="CC282">
        <f>'2020_2021_efet'!CA9</f>
        <v>3.77E-4</v>
      </c>
      <c r="CD282">
        <f>'2020_2021_efet'!CB9</f>
        <v>3.9800000000000002E-4</v>
      </c>
      <c r="CE282">
        <f>'2020_2021_efet'!CC9</f>
        <v>4.1899999999999999E-4</v>
      </c>
      <c r="CF282">
        <f>'2020_2021_efet'!CD9</f>
        <v>4.4799999999999999E-4</v>
      </c>
      <c r="CG282">
        <f>'2020_2021_efet'!CE9</f>
        <v>4.3899999999999999E-4</v>
      </c>
      <c r="CH282">
        <f>'2020_2021_efet'!CF9</f>
        <v>4.2299999999999998E-4</v>
      </c>
      <c r="CI282">
        <f>'2020_2021_efet'!CG9</f>
        <v>4.1399999999999998E-4</v>
      </c>
      <c r="CJ282">
        <f>'2020_2021_efet'!CH9</f>
        <v>4.2200000000000001E-4</v>
      </c>
      <c r="CK282">
        <f>'2020_2021_efet'!CI9</f>
        <v>4.7399999999999997E-4</v>
      </c>
      <c r="CL282">
        <f>'2020_2021_efet'!CJ9</f>
        <v>4.5899999999999999E-4</v>
      </c>
      <c r="CM282">
        <f>'2020_2021_efet'!CK9</f>
        <v>4.7100000000000001E-4</v>
      </c>
      <c r="CN282">
        <f>'2020_2021_efet'!CL9</f>
        <v>4.5899999999999999E-4</v>
      </c>
      <c r="CO282">
        <f>'2020_2021_efet'!CM9</f>
        <v>5.2899999999999996E-4</v>
      </c>
      <c r="CP282">
        <f>'2020_2021_efet'!CN9</f>
        <v>5.71E-4</v>
      </c>
      <c r="CQ282">
        <f>'2020_2021_efet'!CO9</f>
        <v>6.11E-4</v>
      </c>
      <c r="CR282">
        <f>'2020_2021_efet'!CP9</f>
        <v>6.2200000000000005E-4</v>
      </c>
      <c r="CS282">
        <f>'2020_2021_efet'!CQ9</f>
        <v>6.3500000000000004E-4</v>
      </c>
      <c r="CT282">
        <f>'2020_2021_efet'!CR9</f>
        <v>6.4800000000000003E-4</v>
      </c>
      <c r="CU282">
        <f>'2020_2021_efet'!CS9</f>
        <v>5.6599999999999999E-4</v>
      </c>
      <c r="CV282">
        <f>'2020_2021_efet'!CT9</f>
        <v>7.36E-4</v>
      </c>
      <c r="CW282">
        <f>'2020_2021_efet'!CU9</f>
        <v>5.6099999999999998E-4</v>
      </c>
      <c r="CX282">
        <f>'2020_2021_efet'!CV9</f>
        <v>7.7499999999999997E-4</v>
      </c>
    </row>
    <row r="283" spans="1:102" x14ac:dyDescent="0.2">
      <c r="A283" t="s">
        <v>211</v>
      </c>
      <c r="B283" t="s">
        <v>218</v>
      </c>
      <c r="C283" t="s">
        <v>223</v>
      </c>
      <c r="D283">
        <f>'2020_2021_efet'!B10</f>
        <v>2.4800000000000001E-4</v>
      </c>
      <c r="E283">
        <f>'2020_2021_efet'!C10</f>
        <v>2.4800000000000001E-4</v>
      </c>
      <c r="F283">
        <f>'2020_2021_efet'!D10</f>
        <v>2.4800000000000001E-4</v>
      </c>
      <c r="G283">
        <f>'2020_2021_efet'!E10</f>
        <v>4.28E-3</v>
      </c>
      <c r="H283">
        <f>'2020_2021_efet'!F10</f>
        <v>2.33E-3</v>
      </c>
      <c r="I283">
        <f>'2020_2021_efet'!G10</f>
        <v>1.72E-3</v>
      </c>
      <c r="J283">
        <f>'2020_2021_efet'!H10</f>
        <v>1.5299999999999999E-3</v>
      </c>
      <c r="K283">
        <f>'2020_2021_efet'!I10</f>
        <v>1.48E-3</v>
      </c>
      <c r="L283">
        <f>'2020_2021_efet'!J10</f>
        <v>1.42E-3</v>
      </c>
      <c r="M283">
        <f>'2020_2021_efet'!K10</f>
        <v>1.33E-3</v>
      </c>
      <c r="N283">
        <f>'2020_2021_efet'!L10</f>
        <v>1.16E-3</v>
      </c>
      <c r="O283">
        <f>'2020_2021_efet'!M10</f>
        <v>1.2700000000000001E-3</v>
      </c>
      <c r="P283">
        <f>'2020_2021_efet'!N10</f>
        <v>1.07E-3</v>
      </c>
      <c r="Q283">
        <f>'2020_2021_efet'!O10</f>
        <v>7.9699999999999997E-4</v>
      </c>
      <c r="R283">
        <f>'2020_2021_efet'!P10</f>
        <v>7.8399999999999997E-4</v>
      </c>
      <c r="S283">
        <f>'2020_2021_efet'!Q10</f>
        <v>6.9099999999999999E-4</v>
      </c>
      <c r="T283">
        <f>'2020_2021_efet'!R10</f>
        <v>6.5499999999999998E-4</v>
      </c>
      <c r="U283">
        <f>'2020_2021_efet'!S10</f>
        <v>6.2100000000000002E-4</v>
      </c>
      <c r="V283">
        <f>'2020_2021_efet'!T10</f>
        <v>6.4300000000000002E-4</v>
      </c>
      <c r="W283">
        <f>'2020_2021_efet'!U10</f>
        <v>6.1499999999999999E-4</v>
      </c>
      <c r="X283">
        <f>'2020_2021_efet'!V10</f>
        <v>6.7299999999999999E-4</v>
      </c>
      <c r="Y283">
        <f>'2020_2021_efet'!W10</f>
        <v>5.9400000000000002E-4</v>
      </c>
      <c r="Z283">
        <f>'2020_2021_efet'!X10</f>
        <v>6.8000000000000005E-4</v>
      </c>
      <c r="AA283">
        <f>'2020_2021_efet'!Y10</f>
        <v>6.1799999999999995E-4</v>
      </c>
      <c r="AB283">
        <f>'2020_2021_efet'!Z10</f>
        <v>6.69E-4</v>
      </c>
      <c r="AC283">
        <f>'2020_2021_efet'!AA10</f>
        <v>6.2299999999999996E-4</v>
      </c>
      <c r="AD283">
        <f>'2020_2021_efet'!AB10</f>
        <v>6.7000000000000002E-4</v>
      </c>
      <c r="AE283">
        <f>'2020_2021_efet'!AC10</f>
        <v>7.27E-4</v>
      </c>
      <c r="AF283">
        <f>'2020_2021_efet'!AD10</f>
        <v>7.6599999999999997E-4</v>
      </c>
      <c r="AG283">
        <f>'2020_2021_efet'!AE10</f>
        <v>8.4999999999999995E-4</v>
      </c>
      <c r="AH283">
        <f>'2020_2021_efet'!AF10</f>
        <v>9.59E-4</v>
      </c>
      <c r="AI283">
        <f>'2020_2021_efet'!AG10</f>
        <v>1.07E-3</v>
      </c>
      <c r="AJ283">
        <f>'2020_2021_efet'!AH10</f>
        <v>1.1000000000000001E-3</v>
      </c>
      <c r="AK283">
        <f>'2020_2021_efet'!AI10</f>
        <v>1.1800000000000001E-3</v>
      </c>
      <c r="AL283">
        <f>'2020_2021_efet'!AJ10</f>
        <v>1.1299999999999999E-3</v>
      </c>
      <c r="AM283">
        <f>'2020_2021_efet'!AK10</f>
        <v>1.1900000000000001E-3</v>
      </c>
      <c r="AN283">
        <f>'2020_2021_efet'!AL10</f>
        <v>1.23E-3</v>
      </c>
      <c r="AO283">
        <f>'2020_2021_efet'!AM10</f>
        <v>1.2800000000000001E-3</v>
      </c>
      <c r="AP283">
        <f>'2020_2021_efet'!AN10</f>
        <v>1.33E-3</v>
      </c>
      <c r="AQ283">
        <f>'2020_2021_efet'!AO10</f>
        <v>1.3699999999999999E-3</v>
      </c>
      <c r="AR283">
        <f>'2020_2021_efet'!AP10</f>
        <v>1.4E-3</v>
      </c>
      <c r="AS283">
        <f>'2020_2021_efet'!AQ10</f>
        <v>1.39E-3</v>
      </c>
      <c r="AT283">
        <f>'2020_2021_efet'!AR10</f>
        <v>1.42E-3</v>
      </c>
      <c r="AU283">
        <f>'2020_2021_efet'!AS10</f>
        <v>1.4599999999999999E-3</v>
      </c>
      <c r="AV283">
        <f>'2020_2021_efet'!AT10</f>
        <v>1.5200000000000001E-3</v>
      </c>
      <c r="AW283">
        <f>'2020_2021_efet'!AU10</f>
        <v>1.6199999999999999E-3</v>
      </c>
      <c r="AX283">
        <f>'2020_2021_efet'!AV10</f>
        <v>1.5900000000000001E-3</v>
      </c>
      <c r="AY283">
        <f>'2020_2021_efet'!AW10</f>
        <v>1.6299999999999999E-3</v>
      </c>
      <c r="AZ283">
        <f>'2020_2021_efet'!AX10</f>
        <v>1.6999999999999999E-3</v>
      </c>
      <c r="BA283">
        <f>'2020_2021_efet'!AY10</f>
        <v>1.72E-3</v>
      </c>
      <c r="BB283">
        <f>'2020_2021_efet'!AZ10</f>
        <v>1.7899999999999999E-3</v>
      </c>
      <c r="BC283">
        <f>'2020_2021_efet'!BA10</f>
        <v>1.8699999999999999E-3</v>
      </c>
      <c r="BD283">
        <f>'2020_2021_efet'!BB10</f>
        <v>1.8799999999999999E-3</v>
      </c>
      <c r="BE283">
        <f>'2020_2021_efet'!BC10</f>
        <v>1.8600000000000001E-3</v>
      </c>
      <c r="BF283">
        <f>'2020_2021_efet'!BD10</f>
        <v>1.8799999999999999E-3</v>
      </c>
      <c r="BG283">
        <f>'2020_2021_efet'!BE10</f>
        <v>1.8799999999999999E-3</v>
      </c>
      <c r="BH283">
        <f>'2020_2021_efet'!BF10</f>
        <v>1.83E-3</v>
      </c>
      <c r="BI283">
        <f>'2020_2021_efet'!BG10</f>
        <v>1.81E-3</v>
      </c>
      <c r="BJ283">
        <f>'2020_2021_efet'!BH10</f>
        <v>1.8E-3</v>
      </c>
      <c r="BK283">
        <f>'2020_2021_efet'!BI10</f>
        <v>1.8799999999999999E-3</v>
      </c>
      <c r="BL283">
        <f>'2020_2021_efet'!BJ10</f>
        <v>1.6900000000000001E-3</v>
      </c>
      <c r="BM283">
        <f>'2020_2021_efet'!BK10</f>
        <v>1.67E-3</v>
      </c>
      <c r="BN283">
        <f>'2020_2021_efet'!BL10</f>
        <v>1.74E-3</v>
      </c>
      <c r="BO283">
        <f>'2020_2021_efet'!BM10</f>
        <v>1.8400000000000001E-3</v>
      </c>
      <c r="BP283">
        <f>'2020_2021_efet'!BN10</f>
        <v>2.0799999999999998E-3</v>
      </c>
      <c r="BQ283">
        <f>'2020_2021_efet'!BO10</f>
        <v>2.2699999999999999E-3</v>
      </c>
      <c r="BR283">
        <f>'2020_2021_efet'!BP10</f>
        <v>2.3500000000000001E-3</v>
      </c>
      <c r="BS283">
        <f>'2020_2021_efet'!BQ10</f>
        <v>2.5200000000000001E-3</v>
      </c>
      <c r="BT283">
        <f>'2020_2021_efet'!BR10</f>
        <v>2.5000000000000001E-3</v>
      </c>
      <c r="BU283">
        <f>'2020_2021_efet'!BS10</f>
        <v>2.5000000000000001E-3</v>
      </c>
      <c r="BV283">
        <f>'2020_2021_efet'!BT10</f>
        <v>2.4199999999999998E-3</v>
      </c>
      <c r="BW283">
        <f>'2020_2021_efet'!BU10</f>
        <v>2.5200000000000001E-3</v>
      </c>
      <c r="BX283">
        <f>'2020_2021_efet'!BV10</f>
        <v>2.5600000000000002E-3</v>
      </c>
      <c r="BY283">
        <f>'2020_2021_efet'!BW10</f>
        <v>2.5600000000000002E-3</v>
      </c>
      <c r="BZ283">
        <f>'2020_2021_efet'!BX10</f>
        <v>2.63E-3</v>
      </c>
      <c r="CA283">
        <f>'2020_2021_efet'!BY10</f>
        <v>2.7799999999999999E-3</v>
      </c>
      <c r="CB283">
        <f>'2020_2021_efet'!BZ10</f>
        <v>2.5699999999999998E-3</v>
      </c>
      <c r="CC283">
        <f>'2020_2021_efet'!CA10</f>
        <v>2.7799999999999999E-3</v>
      </c>
      <c r="CD283">
        <f>'2020_2021_efet'!CB10</f>
        <v>2.9499999999999999E-3</v>
      </c>
      <c r="CE283">
        <f>'2020_2021_efet'!CC10</f>
        <v>3.16E-3</v>
      </c>
      <c r="CF283">
        <f>'2020_2021_efet'!CD10</f>
        <v>3.3800000000000002E-3</v>
      </c>
      <c r="CG283">
        <f>'2020_2021_efet'!CE10</f>
        <v>3.4299999999999999E-3</v>
      </c>
      <c r="CH283">
        <f>'2020_2021_efet'!CF10</f>
        <v>3.3400000000000001E-3</v>
      </c>
      <c r="CI283">
        <f>'2020_2021_efet'!CG10</f>
        <v>3.1700000000000001E-3</v>
      </c>
      <c r="CJ283">
        <f>'2020_2021_efet'!CH10</f>
        <v>3.3E-3</v>
      </c>
      <c r="CK283">
        <f>'2020_2021_efet'!CI10</f>
        <v>3.8700000000000002E-3</v>
      </c>
      <c r="CL283">
        <f>'2020_2021_efet'!CJ10</f>
        <v>3.82E-3</v>
      </c>
      <c r="CM283">
        <f>'2020_2021_efet'!CK10</f>
        <v>3.81E-3</v>
      </c>
      <c r="CN283">
        <f>'2020_2021_efet'!CL10</f>
        <v>3.63E-3</v>
      </c>
      <c r="CO283">
        <f>'2020_2021_efet'!CM10</f>
        <v>4.1000000000000003E-3</v>
      </c>
      <c r="CP283">
        <f>'2020_2021_efet'!CN10</f>
        <v>4.3099999999999996E-3</v>
      </c>
      <c r="CQ283">
        <f>'2020_2021_efet'!CO10</f>
        <v>4.8500000000000001E-3</v>
      </c>
      <c r="CR283">
        <f>'2020_2021_efet'!CP10</f>
        <v>4.9800000000000001E-3</v>
      </c>
      <c r="CS283">
        <f>'2020_2021_efet'!CQ10</f>
        <v>4.8700000000000002E-3</v>
      </c>
      <c r="CT283">
        <f>'2020_2021_efet'!CR10</f>
        <v>5.1599999999999997E-3</v>
      </c>
      <c r="CU283">
        <f>'2020_2021_efet'!CS10</f>
        <v>4.5799999999999999E-3</v>
      </c>
      <c r="CV283">
        <f>'2020_2021_efet'!CT10</f>
        <v>5.9500000000000004E-3</v>
      </c>
      <c r="CW283">
        <f>'2020_2021_efet'!CU10</f>
        <v>4.9100000000000003E-3</v>
      </c>
      <c r="CX283">
        <f>'2020_2021_efet'!CV10</f>
        <v>6.28E-3</v>
      </c>
    </row>
    <row r="284" spans="1:102" x14ac:dyDescent="0.2">
      <c r="A284" t="s">
        <v>212</v>
      </c>
      <c r="B284" t="s">
        <v>218</v>
      </c>
      <c r="C284" t="s">
        <v>223</v>
      </c>
      <c r="D284">
        <f>'2020_2021_efet'!B11</f>
        <v>-1.8699999999999999E-4</v>
      </c>
      <c r="E284">
        <f>'2020_2021_efet'!C11</f>
        <v>-1.8699999999999999E-4</v>
      </c>
      <c r="F284">
        <f>'2020_2021_efet'!D11</f>
        <v>-1.8699999999999999E-4</v>
      </c>
      <c r="G284">
        <f>'2020_2021_efet'!E11</f>
        <v>-5.47E-3</v>
      </c>
      <c r="H284">
        <f>'2020_2021_efet'!F11</f>
        <v>-3.8999999999999998E-3</v>
      </c>
      <c r="I284">
        <f>'2020_2021_efet'!G11</f>
        <v>-3.2799999999999999E-3</v>
      </c>
      <c r="J284">
        <f>'2020_2021_efet'!H11</f>
        <v>-2.9499999999999999E-3</v>
      </c>
      <c r="K284">
        <f>'2020_2021_efet'!I11</f>
        <v>-2.65E-3</v>
      </c>
      <c r="L284">
        <f>'2020_2021_efet'!J11</f>
        <v>-2.5600000000000002E-3</v>
      </c>
      <c r="M284">
        <f>'2020_2021_efet'!K11</f>
        <v>-2.33E-3</v>
      </c>
      <c r="N284">
        <f>'2020_2021_efet'!L11</f>
        <v>-2.14E-3</v>
      </c>
      <c r="O284">
        <f>'2020_2021_efet'!M11</f>
        <v>-2.0400000000000001E-3</v>
      </c>
      <c r="P284">
        <f>'2020_2021_efet'!N11</f>
        <v>-1.6999999999999999E-3</v>
      </c>
      <c r="Q284">
        <f>'2020_2021_efet'!O11</f>
        <v>-1.17E-3</v>
      </c>
      <c r="R284">
        <f>'2020_2021_efet'!P11</f>
        <v>-1.1100000000000001E-3</v>
      </c>
      <c r="S284">
        <f>'2020_2021_efet'!Q11</f>
        <v>-9.2900000000000003E-4</v>
      </c>
      <c r="T284">
        <f>'2020_2021_efet'!R11</f>
        <v>-8.0099999999999995E-4</v>
      </c>
      <c r="U284">
        <f>'2020_2021_efet'!S11</f>
        <v>-6.8099999999999996E-4</v>
      </c>
      <c r="V284">
        <f>'2020_2021_efet'!T11</f>
        <v>-6.3599999999999996E-4</v>
      </c>
      <c r="W284">
        <f>'2020_2021_efet'!U11</f>
        <v>-5.4500000000000002E-4</v>
      </c>
      <c r="X284">
        <f>'2020_2021_efet'!V11</f>
        <v>-5.1699999999999999E-4</v>
      </c>
      <c r="Y284">
        <f>'2020_2021_efet'!W11</f>
        <v>-4.6099999999999998E-4</v>
      </c>
      <c r="Z284">
        <f>'2020_2021_efet'!X11</f>
        <v>-4.6299999999999998E-4</v>
      </c>
      <c r="AA284">
        <f>'2020_2021_efet'!Y11</f>
        <v>-4.6099999999999998E-4</v>
      </c>
      <c r="AB284">
        <f>'2020_2021_efet'!Z11</f>
        <v>-4.6799999999999999E-4</v>
      </c>
      <c r="AC284">
        <f>'2020_2021_efet'!AA11</f>
        <v>-4.5100000000000001E-4</v>
      </c>
      <c r="AD284">
        <f>'2020_2021_efet'!AB11</f>
        <v>-4.46E-4</v>
      </c>
      <c r="AE284">
        <f>'2020_2021_efet'!AC11</f>
        <v>-4.7199999999999998E-4</v>
      </c>
      <c r="AF284">
        <f>'2020_2021_efet'!AD11</f>
        <v>-4.8700000000000002E-4</v>
      </c>
      <c r="AG284">
        <f>'2020_2021_efet'!AE11</f>
        <v>-4.7800000000000002E-4</v>
      </c>
      <c r="AH284">
        <f>'2020_2021_efet'!AF11</f>
        <v>-4.6999999999999999E-4</v>
      </c>
      <c r="AI284">
        <f>'2020_2021_efet'!AG11</f>
        <v>-4.8799999999999999E-4</v>
      </c>
      <c r="AJ284">
        <f>'2020_2021_efet'!AH11</f>
        <v>-4.8299999999999998E-4</v>
      </c>
      <c r="AK284">
        <f>'2020_2021_efet'!AI11</f>
        <v>-4.7399999999999997E-4</v>
      </c>
      <c r="AL284">
        <f>'2020_2021_efet'!AJ11</f>
        <v>-4.66E-4</v>
      </c>
      <c r="AM284">
        <f>'2020_2021_efet'!AK11</f>
        <v>-4.4900000000000002E-4</v>
      </c>
      <c r="AN284">
        <f>'2020_2021_efet'!AL11</f>
        <v>-4.3100000000000001E-4</v>
      </c>
      <c r="AO284">
        <f>'2020_2021_efet'!AM11</f>
        <v>-4.3800000000000002E-4</v>
      </c>
      <c r="AP284">
        <f>'2020_2021_efet'!AN11</f>
        <v>-4.15E-4</v>
      </c>
      <c r="AQ284">
        <f>'2020_2021_efet'!AO11</f>
        <v>-4.0900000000000002E-4</v>
      </c>
      <c r="AR284">
        <f>'2020_2021_efet'!AP11</f>
        <v>-4.1100000000000002E-4</v>
      </c>
      <c r="AS284">
        <f>'2020_2021_efet'!AQ11</f>
        <v>-4.0700000000000003E-4</v>
      </c>
      <c r="AT284">
        <f>'2020_2021_efet'!AR11</f>
        <v>-4.0299999999999998E-4</v>
      </c>
      <c r="AU284">
        <f>'2020_2021_efet'!AS11</f>
        <v>-4.1199999999999999E-4</v>
      </c>
      <c r="AV284">
        <f>'2020_2021_efet'!AT11</f>
        <v>-4.2000000000000002E-4</v>
      </c>
      <c r="AW284">
        <f>'2020_2021_efet'!AU11</f>
        <v>-4.1399999999999998E-4</v>
      </c>
      <c r="AX284">
        <f>'2020_2021_efet'!AV11</f>
        <v>-4.0499999999999998E-4</v>
      </c>
      <c r="AY284">
        <f>'2020_2021_efet'!AW11</f>
        <v>-3.9899999999999999E-4</v>
      </c>
      <c r="AZ284">
        <f>'2020_2021_efet'!AX11</f>
        <v>-4.0700000000000003E-4</v>
      </c>
      <c r="BA284">
        <f>'2020_2021_efet'!AY11</f>
        <v>-3.9399999999999998E-4</v>
      </c>
      <c r="BB284">
        <f>'2020_2021_efet'!AZ11</f>
        <v>-3.7800000000000003E-4</v>
      </c>
      <c r="BC284">
        <f>'2020_2021_efet'!BA11</f>
        <v>-3.7500000000000001E-4</v>
      </c>
      <c r="BD284">
        <f>'2020_2021_efet'!BB11</f>
        <v>-3.7199999999999999E-4</v>
      </c>
      <c r="BE284">
        <f>'2020_2021_efet'!BC11</f>
        <v>-3.6099999999999999E-4</v>
      </c>
      <c r="BF284">
        <f>'2020_2021_efet'!BD11</f>
        <v>-3.5599999999999998E-4</v>
      </c>
      <c r="BG284">
        <f>'2020_2021_efet'!BE11</f>
        <v>-3.5100000000000002E-4</v>
      </c>
      <c r="BH284">
        <f>'2020_2021_efet'!BF11</f>
        <v>-3.3700000000000001E-4</v>
      </c>
      <c r="BI284">
        <f>'2020_2021_efet'!BG11</f>
        <v>-3.1100000000000002E-4</v>
      </c>
      <c r="BJ284">
        <f>'2020_2021_efet'!BH11</f>
        <v>-3.2400000000000001E-4</v>
      </c>
      <c r="BK284">
        <f>'2020_2021_efet'!BI11</f>
        <v>-3.1399999999999999E-4</v>
      </c>
      <c r="BL284">
        <f>'2020_2021_efet'!BJ11</f>
        <v>-3.0400000000000002E-4</v>
      </c>
      <c r="BM284">
        <f>'2020_2021_efet'!BK11</f>
        <v>-3.0200000000000002E-4</v>
      </c>
      <c r="BN284">
        <f>'2020_2021_efet'!BL11</f>
        <v>-2.9100000000000003E-4</v>
      </c>
      <c r="BO284">
        <f>'2020_2021_efet'!BM11</f>
        <v>-2.9300000000000002E-4</v>
      </c>
      <c r="BP284">
        <f>'2020_2021_efet'!BN11</f>
        <v>-3.21E-4</v>
      </c>
      <c r="BQ284">
        <f>'2020_2021_efet'!BO11</f>
        <v>-3.2899999999999997E-4</v>
      </c>
      <c r="BR284">
        <f>'2020_2021_efet'!BP11</f>
        <v>-3.2400000000000001E-4</v>
      </c>
      <c r="BS284">
        <f>'2020_2021_efet'!BQ11</f>
        <v>-3.2499999999999999E-4</v>
      </c>
      <c r="BT284">
        <f>'2020_2021_efet'!BR11</f>
        <v>-3.21E-4</v>
      </c>
      <c r="BU284">
        <f>'2020_2021_efet'!BS11</f>
        <v>-3.1399999999999999E-4</v>
      </c>
      <c r="BV284">
        <f>'2020_2021_efet'!BT11</f>
        <v>-2.7799999999999998E-4</v>
      </c>
      <c r="BW284">
        <f>'2020_2021_efet'!BU11</f>
        <v>-2.7799999999999998E-4</v>
      </c>
      <c r="BX284">
        <f>'2020_2021_efet'!BV11</f>
        <v>-2.7700000000000001E-4</v>
      </c>
      <c r="BY284">
        <f>'2020_2021_efet'!BW11</f>
        <v>-2.9700000000000001E-4</v>
      </c>
      <c r="BZ284">
        <f>'2020_2021_efet'!BX11</f>
        <v>-2.9799999999999998E-4</v>
      </c>
      <c r="CA284">
        <f>'2020_2021_efet'!BY11</f>
        <v>-3.0600000000000001E-4</v>
      </c>
      <c r="CB284">
        <f>'2020_2021_efet'!BZ11</f>
        <v>-2.9500000000000001E-4</v>
      </c>
      <c r="CC284">
        <f>'2020_2021_efet'!CA11</f>
        <v>-2.6699999999999998E-4</v>
      </c>
      <c r="CD284">
        <f>'2020_2021_efet'!CB11</f>
        <v>-2.7500000000000002E-4</v>
      </c>
      <c r="CE284">
        <f>'2020_2021_efet'!CC11</f>
        <v>-2.8800000000000001E-4</v>
      </c>
      <c r="CF284">
        <f>'2020_2021_efet'!CD11</f>
        <v>-2.9999999999999997E-4</v>
      </c>
      <c r="CG284">
        <f>'2020_2021_efet'!CE11</f>
        <v>-2.7799999999999998E-4</v>
      </c>
      <c r="CH284">
        <f>'2020_2021_efet'!CF11</f>
        <v>-2.7599999999999999E-4</v>
      </c>
      <c r="CI284">
        <f>'2020_2021_efet'!CG11</f>
        <v>-2.6499999999999999E-4</v>
      </c>
      <c r="CJ284">
        <f>'2020_2021_efet'!CH11</f>
        <v>-2.3800000000000001E-4</v>
      </c>
      <c r="CK284">
        <f>'2020_2021_efet'!CI11</f>
        <v>-2.72E-4</v>
      </c>
      <c r="CL284">
        <f>'2020_2021_efet'!CJ11</f>
        <v>-2.5399999999999999E-4</v>
      </c>
      <c r="CM284">
        <f>'2020_2021_efet'!CK11</f>
        <v>-2.8299999999999999E-4</v>
      </c>
      <c r="CN284">
        <f>'2020_2021_efet'!CL11</f>
        <v>-2.3499999999999999E-4</v>
      </c>
      <c r="CO284">
        <f>'2020_2021_efet'!CM11</f>
        <v>-2.4899999999999998E-4</v>
      </c>
      <c r="CP284">
        <f>'2020_2021_efet'!CN11</f>
        <v>-2.41E-4</v>
      </c>
      <c r="CQ284">
        <f>'2020_2021_efet'!CO11</f>
        <v>-2.6400000000000002E-4</v>
      </c>
      <c r="CR284">
        <f>'2020_2021_efet'!CP11</f>
        <v>-2.0699999999999999E-4</v>
      </c>
      <c r="CS284">
        <f>'2020_2021_efet'!CQ11</f>
        <v>-2.05E-4</v>
      </c>
      <c r="CT284">
        <f>'2020_2021_efet'!CR11</f>
        <v>-2.1900000000000001E-4</v>
      </c>
      <c r="CU284">
        <f>'2020_2021_efet'!CS11</f>
        <v>-1.8200000000000001E-4</v>
      </c>
      <c r="CV284">
        <f>'2020_2021_efet'!CT11</f>
        <v>-1.34E-4</v>
      </c>
      <c r="CW284">
        <f>'2020_2021_efet'!CU11</f>
        <v>-3.29E-5</v>
      </c>
      <c r="CX284">
        <f>'2020_2021_efet'!CV11</f>
        <v>2.5299999999999998E-5</v>
      </c>
    </row>
    <row r="285" spans="1:102" x14ac:dyDescent="0.2">
      <c r="A285" t="s">
        <v>213</v>
      </c>
      <c r="B285" t="s">
        <v>218</v>
      </c>
      <c r="C285" t="s">
        <v>223</v>
      </c>
      <c r="D285">
        <f>'2020_2021_efet'!B12</f>
        <v>-3.2499999999999999E-4</v>
      </c>
      <c r="E285">
        <f>'2020_2021_efet'!C12</f>
        <v>-3.2499999999999999E-4</v>
      </c>
      <c r="F285">
        <f>'2020_2021_efet'!D12</f>
        <v>-3.2499999999999999E-4</v>
      </c>
      <c r="G285">
        <f>'2020_2021_efet'!E12</f>
        <v>-1.06E-2</v>
      </c>
      <c r="H285">
        <f>'2020_2021_efet'!F12</f>
        <v>-6.8399999999999997E-3</v>
      </c>
      <c r="I285">
        <f>'2020_2021_efet'!G12</f>
        <v>-6.11E-3</v>
      </c>
      <c r="J285">
        <f>'2020_2021_efet'!H12</f>
        <v>-5.8399999999999997E-3</v>
      </c>
      <c r="K285">
        <f>'2020_2021_efet'!I12</f>
        <v>-5.62E-3</v>
      </c>
      <c r="L285">
        <f>'2020_2021_efet'!J12</f>
        <v>-5.9199999999999999E-3</v>
      </c>
      <c r="M285">
        <f>'2020_2021_efet'!K12</f>
        <v>-5.7800000000000004E-3</v>
      </c>
      <c r="N285">
        <f>'2020_2021_efet'!L12</f>
        <v>-5.7099999999999998E-3</v>
      </c>
      <c r="O285">
        <f>'2020_2021_efet'!M12</f>
        <v>-5.8100000000000001E-3</v>
      </c>
      <c r="P285">
        <f>'2020_2021_efet'!N12</f>
        <v>-5.2700000000000004E-3</v>
      </c>
      <c r="Q285">
        <f>'2020_2021_efet'!O12</f>
        <v>-3.8600000000000001E-3</v>
      </c>
      <c r="R285">
        <f>'2020_2021_efet'!P12</f>
        <v>-4.0299999999999997E-3</v>
      </c>
      <c r="S285">
        <f>'2020_2021_efet'!Q12</f>
        <v>-3.7299999999999998E-3</v>
      </c>
      <c r="T285">
        <f>'2020_2021_efet'!R12</f>
        <v>-3.15E-3</v>
      </c>
      <c r="U285">
        <f>'2020_2021_efet'!S12</f>
        <v>-2.6700000000000001E-3</v>
      </c>
      <c r="V285">
        <f>'2020_2021_efet'!T12</f>
        <v>-2.5100000000000001E-3</v>
      </c>
      <c r="W285">
        <f>'2020_2021_efet'!U12</f>
        <v>-2.2000000000000001E-3</v>
      </c>
      <c r="X285">
        <f>'2020_2021_efet'!V12</f>
        <v>-2E-3</v>
      </c>
      <c r="Y285">
        <f>'2020_2021_efet'!W12</f>
        <v>-1.74E-3</v>
      </c>
      <c r="Z285">
        <f>'2020_2021_efet'!X12</f>
        <v>-1.7600000000000001E-3</v>
      </c>
      <c r="AA285">
        <f>'2020_2021_efet'!Y12</f>
        <v>-1.82E-3</v>
      </c>
      <c r="AB285">
        <f>'2020_2021_efet'!Z12</f>
        <v>-1.8400000000000001E-3</v>
      </c>
      <c r="AC285">
        <f>'2020_2021_efet'!AA12</f>
        <v>-1.8500000000000001E-3</v>
      </c>
      <c r="AD285">
        <f>'2020_2021_efet'!AB12</f>
        <v>-1.8E-3</v>
      </c>
      <c r="AE285">
        <f>'2020_2021_efet'!AC12</f>
        <v>-1.74E-3</v>
      </c>
      <c r="AF285">
        <f>'2020_2021_efet'!AD12</f>
        <v>-1.7700000000000001E-3</v>
      </c>
      <c r="AG285">
        <f>'2020_2021_efet'!AE12</f>
        <v>-1.7099999999999999E-3</v>
      </c>
      <c r="AH285">
        <f>'2020_2021_efet'!AF12</f>
        <v>-1.6800000000000001E-3</v>
      </c>
      <c r="AI285">
        <f>'2020_2021_efet'!AG12</f>
        <v>-1.73E-3</v>
      </c>
      <c r="AJ285">
        <f>'2020_2021_efet'!AH12</f>
        <v>-1.67E-3</v>
      </c>
      <c r="AK285">
        <f>'2020_2021_efet'!AI12</f>
        <v>-1.65E-3</v>
      </c>
      <c r="AL285">
        <f>'2020_2021_efet'!AJ12</f>
        <v>-1.66E-3</v>
      </c>
      <c r="AM285">
        <f>'2020_2021_efet'!AK12</f>
        <v>-1.67E-3</v>
      </c>
      <c r="AN285">
        <f>'2020_2021_efet'!AL12</f>
        <v>-1.64E-3</v>
      </c>
      <c r="AO285">
        <f>'2020_2021_efet'!AM12</f>
        <v>-1.56E-3</v>
      </c>
      <c r="AP285">
        <f>'2020_2021_efet'!AN12</f>
        <v>-1.48E-3</v>
      </c>
      <c r="AQ285">
        <f>'2020_2021_efet'!AO12</f>
        <v>-1.5E-3</v>
      </c>
      <c r="AR285">
        <f>'2020_2021_efet'!AP12</f>
        <v>-1.5499999999999999E-3</v>
      </c>
      <c r="AS285">
        <f>'2020_2021_efet'!AQ12</f>
        <v>-1.47E-3</v>
      </c>
      <c r="AT285">
        <f>'2020_2021_efet'!AR12</f>
        <v>-1.42E-3</v>
      </c>
      <c r="AU285">
        <f>'2020_2021_efet'!AS12</f>
        <v>-1.39E-3</v>
      </c>
      <c r="AV285">
        <f>'2020_2021_efet'!AT12</f>
        <v>-1.34E-3</v>
      </c>
      <c r="AW285">
        <f>'2020_2021_efet'!AU12</f>
        <v>-1.32E-3</v>
      </c>
      <c r="AX285">
        <f>'2020_2021_efet'!AV12</f>
        <v>-1.2899999999999999E-3</v>
      </c>
      <c r="AY285">
        <f>'2020_2021_efet'!AW12</f>
        <v>-1.2800000000000001E-3</v>
      </c>
      <c r="AZ285">
        <f>'2020_2021_efet'!AX12</f>
        <v>-1.2199999999999999E-3</v>
      </c>
      <c r="BA285">
        <f>'2020_2021_efet'!AY12</f>
        <v>-1.2600000000000001E-3</v>
      </c>
      <c r="BB285">
        <f>'2020_2021_efet'!AZ12</f>
        <v>-1.2999999999999999E-3</v>
      </c>
      <c r="BC285">
        <f>'2020_2021_efet'!BA12</f>
        <v>-1.23E-3</v>
      </c>
      <c r="BD285">
        <f>'2020_2021_efet'!BB12</f>
        <v>-1.24E-3</v>
      </c>
      <c r="BE285">
        <f>'2020_2021_efet'!BC12</f>
        <v>-1.1999999999999999E-3</v>
      </c>
      <c r="BF285">
        <f>'2020_2021_efet'!BD12</f>
        <v>-1.16E-3</v>
      </c>
      <c r="BG285">
        <f>'2020_2021_efet'!BE12</f>
        <v>-1.1000000000000001E-3</v>
      </c>
      <c r="BH285">
        <f>'2020_2021_efet'!BF12</f>
        <v>-1.0499999999999999E-3</v>
      </c>
      <c r="BI285">
        <f>'2020_2021_efet'!BG12</f>
        <v>-9.6699999999999998E-4</v>
      </c>
      <c r="BJ285">
        <f>'2020_2021_efet'!BH12</f>
        <v>-9.0399999999999996E-4</v>
      </c>
      <c r="BK285">
        <f>'2020_2021_efet'!BI12</f>
        <v>-9.3199999999999999E-4</v>
      </c>
      <c r="BL285">
        <f>'2020_2021_efet'!BJ12</f>
        <v>-9.6900000000000003E-4</v>
      </c>
      <c r="BM285">
        <f>'2020_2021_efet'!BK12</f>
        <v>-1.01E-3</v>
      </c>
      <c r="BN285">
        <f>'2020_2021_efet'!BL12</f>
        <v>-1.0399999999999999E-3</v>
      </c>
      <c r="BO285">
        <f>'2020_2021_efet'!BM12</f>
        <v>-1.0499999999999999E-3</v>
      </c>
      <c r="BP285">
        <f>'2020_2021_efet'!BN12</f>
        <v>-1.08E-3</v>
      </c>
      <c r="BQ285">
        <f>'2020_2021_efet'!BO12</f>
        <v>-1.06E-3</v>
      </c>
      <c r="BR285">
        <f>'2020_2021_efet'!BP12</f>
        <v>-1.0399999999999999E-3</v>
      </c>
      <c r="BS285">
        <f>'2020_2021_efet'!BQ12</f>
        <v>-9.7599999999999998E-4</v>
      </c>
      <c r="BT285">
        <f>'2020_2021_efet'!BR12</f>
        <v>-1E-3</v>
      </c>
      <c r="BU285">
        <f>'2020_2021_efet'!BS12</f>
        <v>-9.7199999999999999E-4</v>
      </c>
      <c r="BV285">
        <f>'2020_2021_efet'!BT12</f>
        <v>-9.3999999999999997E-4</v>
      </c>
      <c r="BW285">
        <f>'2020_2021_efet'!BU12</f>
        <v>-8.7000000000000001E-4</v>
      </c>
      <c r="BX285">
        <f>'2020_2021_efet'!BV12</f>
        <v>-9.3400000000000004E-4</v>
      </c>
      <c r="BY285">
        <f>'2020_2021_efet'!BW12</f>
        <v>-8.1899999999999996E-4</v>
      </c>
      <c r="BZ285">
        <f>'2020_2021_efet'!BX12</f>
        <v>-7.7099999999999998E-4</v>
      </c>
      <c r="CA285">
        <f>'2020_2021_efet'!BY12</f>
        <v>-7.5799999999999999E-4</v>
      </c>
      <c r="CB285">
        <f>'2020_2021_efet'!BZ12</f>
        <v>-7.7200000000000001E-4</v>
      </c>
      <c r="CC285">
        <f>'2020_2021_efet'!CA12</f>
        <v>-8.0800000000000002E-4</v>
      </c>
      <c r="CD285">
        <f>'2020_2021_efet'!CB12</f>
        <v>-8.1099999999999998E-4</v>
      </c>
      <c r="CE285">
        <f>'2020_2021_efet'!CC12</f>
        <v>-8.4800000000000001E-4</v>
      </c>
      <c r="CF285">
        <f>'2020_2021_efet'!CD12</f>
        <v>-8.1700000000000002E-4</v>
      </c>
      <c r="CG285">
        <f>'2020_2021_efet'!CE12</f>
        <v>-7.2499999999999995E-4</v>
      </c>
      <c r="CH285">
        <f>'2020_2021_efet'!CF12</f>
        <v>-6.1600000000000001E-4</v>
      </c>
      <c r="CI285">
        <f>'2020_2021_efet'!CG12</f>
        <v>-7.1900000000000002E-4</v>
      </c>
      <c r="CJ285">
        <f>'2020_2021_efet'!CH12</f>
        <v>-7.4799999999999997E-4</v>
      </c>
      <c r="CK285">
        <f>'2020_2021_efet'!CI12</f>
        <v>-7.9100000000000004E-4</v>
      </c>
      <c r="CL285">
        <f>'2020_2021_efet'!CJ12</f>
        <v>-6.7400000000000001E-4</v>
      </c>
      <c r="CM285">
        <f>'2020_2021_efet'!CK12</f>
        <v>-7.1299999999999998E-4</v>
      </c>
      <c r="CN285">
        <f>'2020_2021_efet'!CL12</f>
        <v>-7.2099999999999996E-4</v>
      </c>
      <c r="CO285">
        <f>'2020_2021_efet'!CM12</f>
        <v>-7.6599999999999997E-4</v>
      </c>
      <c r="CP285">
        <f>'2020_2021_efet'!CN12</f>
        <v>-8.1599999999999999E-4</v>
      </c>
      <c r="CQ285">
        <f>'2020_2021_efet'!CO12</f>
        <v>-8.3500000000000002E-4</v>
      </c>
      <c r="CR285">
        <f>'2020_2021_efet'!CP12</f>
        <v>-8.43E-4</v>
      </c>
      <c r="CS285">
        <f>'2020_2021_efet'!CQ12</f>
        <v>-7.85E-4</v>
      </c>
      <c r="CT285">
        <f>'2020_2021_efet'!CR12</f>
        <v>-6.6200000000000005E-4</v>
      </c>
      <c r="CU285">
        <f>'2020_2021_efet'!CS12</f>
        <v>-5.7300000000000005E-4</v>
      </c>
      <c r="CV285">
        <f>'2020_2021_efet'!CT12</f>
        <v>-7.36E-4</v>
      </c>
      <c r="CW285">
        <f>'2020_2021_efet'!CU12</f>
        <v>-5.0900000000000001E-4</v>
      </c>
      <c r="CX285">
        <f>'2020_2021_efet'!CV12</f>
        <v>-4.7399999999999997E-4</v>
      </c>
    </row>
    <row r="286" spans="1:102" x14ac:dyDescent="0.2">
      <c r="A286" t="s">
        <v>214</v>
      </c>
      <c r="B286" t="s">
        <v>218</v>
      </c>
      <c r="C286" t="s">
        <v>223</v>
      </c>
      <c r="D286">
        <f>'2020_2021_efet'!B13</f>
        <v>1.85E-4</v>
      </c>
      <c r="E286">
        <f>'2020_2021_efet'!C13</f>
        <v>1.85E-4</v>
      </c>
      <c r="F286">
        <f>'2020_2021_efet'!D13</f>
        <v>1.85E-4</v>
      </c>
      <c r="G286">
        <f>'2020_2021_efet'!E13</f>
        <v>2.48E-3</v>
      </c>
      <c r="H286">
        <f>'2020_2021_efet'!F13</f>
        <v>1.9400000000000001E-3</v>
      </c>
      <c r="I286">
        <f>'2020_2021_efet'!G13</f>
        <v>1.8699999999999999E-3</v>
      </c>
      <c r="J286">
        <f>'2020_2021_efet'!H13</f>
        <v>1.7799999999999999E-3</v>
      </c>
      <c r="K286">
        <f>'2020_2021_efet'!I13</f>
        <v>1.7899999999999999E-3</v>
      </c>
      <c r="L286">
        <f>'2020_2021_efet'!J13</f>
        <v>2.0100000000000001E-3</v>
      </c>
      <c r="M286">
        <f>'2020_2021_efet'!K13</f>
        <v>1.91E-3</v>
      </c>
      <c r="N286">
        <f>'2020_2021_efet'!L13</f>
        <v>1.8500000000000001E-3</v>
      </c>
      <c r="O286">
        <f>'2020_2021_efet'!M13</f>
        <v>1.81E-3</v>
      </c>
      <c r="P286">
        <f>'2020_2021_efet'!N13</f>
        <v>1.65E-3</v>
      </c>
      <c r="Q286">
        <f>'2020_2021_efet'!O13</f>
        <v>1.2199999999999999E-3</v>
      </c>
      <c r="R286">
        <f>'2020_2021_efet'!P13</f>
        <v>1.07E-3</v>
      </c>
      <c r="S286">
        <f>'2020_2021_efet'!Q13</f>
        <v>1.15E-3</v>
      </c>
      <c r="T286">
        <f>'2020_2021_efet'!R13</f>
        <v>9.3999999999999997E-4</v>
      </c>
      <c r="U286">
        <f>'2020_2021_efet'!S13</f>
        <v>8.6700000000000004E-4</v>
      </c>
      <c r="V286">
        <f>'2020_2021_efet'!T13</f>
        <v>8.03E-4</v>
      </c>
      <c r="W286">
        <f>'2020_2021_efet'!U13</f>
        <v>7.4100000000000001E-4</v>
      </c>
      <c r="X286">
        <f>'2020_2021_efet'!V13</f>
        <v>7.6800000000000002E-4</v>
      </c>
      <c r="Y286">
        <f>'2020_2021_efet'!W13</f>
        <v>7.5699999999999997E-4</v>
      </c>
      <c r="Z286">
        <f>'2020_2021_efet'!X13</f>
        <v>7.9699999999999997E-4</v>
      </c>
      <c r="AA286">
        <f>'2020_2021_efet'!Y13</f>
        <v>7.85E-4</v>
      </c>
      <c r="AB286">
        <f>'2020_2021_efet'!Z13</f>
        <v>6.96E-4</v>
      </c>
      <c r="AC286">
        <f>'2020_2021_efet'!AA13</f>
        <v>7.8399999999999997E-4</v>
      </c>
      <c r="AD286">
        <f>'2020_2021_efet'!AB13</f>
        <v>7.8399999999999997E-4</v>
      </c>
      <c r="AE286">
        <f>'2020_2021_efet'!AC13</f>
        <v>8.3299999999999997E-4</v>
      </c>
      <c r="AF286">
        <f>'2020_2021_efet'!AD13</f>
        <v>8.9400000000000005E-4</v>
      </c>
      <c r="AG286">
        <f>'2020_2021_efet'!AE13</f>
        <v>8.92E-4</v>
      </c>
      <c r="AH286">
        <f>'2020_2021_efet'!AF13</f>
        <v>8.7600000000000004E-4</v>
      </c>
      <c r="AI286">
        <f>'2020_2021_efet'!AG13</f>
        <v>9.3700000000000001E-4</v>
      </c>
      <c r="AJ286">
        <f>'2020_2021_efet'!AH13</f>
        <v>9.6900000000000003E-4</v>
      </c>
      <c r="AK286">
        <f>'2020_2021_efet'!AI13</f>
        <v>9.1699999999999995E-4</v>
      </c>
      <c r="AL286">
        <f>'2020_2021_efet'!AJ13</f>
        <v>8.5599999999999999E-4</v>
      </c>
      <c r="AM286">
        <f>'2020_2021_efet'!AK13</f>
        <v>9.1200000000000005E-4</v>
      </c>
      <c r="AN286">
        <f>'2020_2021_efet'!AL13</f>
        <v>9.0600000000000001E-4</v>
      </c>
      <c r="AO286">
        <f>'2020_2021_efet'!AM13</f>
        <v>8.9400000000000005E-4</v>
      </c>
      <c r="AP286">
        <f>'2020_2021_efet'!AN13</f>
        <v>8.4000000000000003E-4</v>
      </c>
      <c r="AQ286">
        <f>'2020_2021_efet'!AO13</f>
        <v>9.4600000000000001E-4</v>
      </c>
      <c r="AR286">
        <f>'2020_2021_efet'!AP13</f>
        <v>8.61E-4</v>
      </c>
      <c r="AS286">
        <f>'2020_2021_efet'!AQ13</f>
        <v>7.8299999999999995E-4</v>
      </c>
      <c r="AT286">
        <f>'2020_2021_efet'!AR13</f>
        <v>7.9500000000000003E-4</v>
      </c>
      <c r="AU286">
        <f>'2020_2021_efet'!AS13</f>
        <v>7.9900000000000001E-4</v>
      </c>
      <c r="AV286">
        <f>'2020_2021_efet'!AT13</f>
        <v>8.0800000000000002E-4</v>
      </c>
      <c r="AW286">
        <f>'2020_2021_efet'!AU13</f>
        <v>7.9699999999999997E-4</v>
      </c>
      <c r="AX286">
        <f>'2020_2021_efet'!AV13</f>
        <v>8.7600000000000004E-4</v>
      </c>
      <c r="AY286">
        <f>'2020_2021_efet'!AW13</f>
        <v>7.6499999999999995E-4</v>
      </c>
      <c r="AZ286">
        <f>'2020_2021_efet'!AX13</f>
        <v>7.94E-4</v>
      </c>
      <c r="BA286">
        <f>'2020_2021_efet'!AY13</f>
        <v>8.7299999999999997E-4</v>
      </c>
      <c r="BB286">
        <f>'2020_2021_efet'!AZ13</f>
        <v>7.2900000000000005E-4</v>
      </c>
      <c r="BC286">
        <f>'2020_2021_efet'!BA13</f>
        <v>7.3399999999999995E-4</v>
      </c>
      <c r="BD286">
        <f>'2020_2021_efet'!BB13</f>
        <v>6.9700000000000003E-4</v>
      </c>
      <c r="BE286">
        <f>'2020_2021_efet'!BC13</f>
        <v>7.1000000000000002E-4</v>
      </c>
      <c r="BF286">
        <f>'2020_2021_efet'!BD13</f>
        <v>7.1199999999999996E-4</v>
      </c>
      <c r="BG286">
        <f>'2020_2021_efet'!BE13</f>
        <v>6.78E-4</v>
      </c>
      <c r="BH286">
        <f>'2020_2021_efet'!BF13</f>
        <v>5.5500000000000005E-4</v>
      </c>
      <c r="BI286">
        <f>'2020_2021_efet'!BG13</f>
        <v>6.0899999999999995E-4</v>
      </c>
      <c r="BJ286">
        <f>'2020_2021_efet'!BH13</f>
        <v>5.7799999999999995E-4</v>
      </c>
      <c r="BK286">
        <f>'2020_2021_efet'!BI13</f>
        <v>6.4099999999999997E-4</v>
      </c>
      <c r="BL286">
        <f>'2020_2021_efet'!BJ13</f>
        <v>8.6700000000000004E-4</v>
      </c>
      <c r="BM286">
        <f>'2020_2021_efet'!BK13</f>
        <v>4.1599999999999997E-4</v>
      </c>
      <c r="BN286">
        <f>'2020_2021_efet'!BL13</f>
        <v>5.0299999999999997E-4</v>
      </c>
      <c r="BO286">
        <f>'2020_2021_efet'!BM13</f>
        <v>5.6800000000000004E-4</v>
      </c>
      <c r="BP286">
        <f>'2020_2021_efet'!BN13</f>
        <v>6.2200000000000005E-4</v>
      </c>
      <c r="BQ286">
        <f>'2020_2021_efet'!BO13</f>
        <v>6.4099999999999997E-4</v>
      </c>
      <c r="BR286">
        <f>'2020_2021_efet'!BP13</f>
        <v>5.62E-4</v>
      </c>
      <c r="BS286">
        <f>'2020_2021_efet'!BQ13</f>
        <v>5.8200000000000005E-4</v>
      </c>
      <c r="BT286">
        <f>'2020_2021_efet'!BR13</f>
        <v>5.4600000000000004E-4</v>
      </c>
      <c r="BU286">
        <f>'2020_2021_efet'!BS13</f>
        <v>5.3200000000000003E-4</v>
      </c>
      <c r="BV286">
        <f>'2020_2021_efet'!BT13</f>
        <v>4.5300000000000001E-4</v>
      </c>
      <c r="BW286">
        <f>'2020_2021_efet'!BU13</f>
        <v>4.5800000000000002E-4</v>
      </c>
      <c r="BX286">
        <f>'2020_2021_efet'!BV13</f>
        <v>4.7399999999999997E-4</v>
      </c>
      <c r="BY286">
        <f>'2020_2021_efet'!BW13</f>
        <v>3.57E-4</v>
      </c>
      <c r="BZ286">
        <f>'2020_2021_efet'!BX13</f>
        <v>3.5100000000000002E-4</v>
      </c>
      <c r="CA286">
        <f>'2020_2021_efet'!BY13</f>
        <v>3.9500000000000001E-4</v>
      </c>
      <c r="CB286">
        <f>'2020_2021_efet'!BZ13</f>
        <v>3.8000000000000002E-4</v>
      </c>
      <c r="CC286">
        <f>'2020_2021_efet'!CA13</f>
        <v>2.8600000000000001E-4</v>
      </c>
      <c r="CD286">
        <f>'2020_2021_efet'!CB13</f>
        <v>2.5599999999999999E-4</v>
      </c>
      <c r="CE286">
        <f>'2020_2021_efet'!CC13</f>
        <v>2.31E-4</v>
      </c>
      <c r="CF286">
        <f>'2020_2021_efet'!CD13</f>
        <v>2.1499999999999999E-4</v>
      </c>
      <c r="CG286">
        <f>'2020_2021_efet'!CE13</f>
        <v>1.66E-4</v>
      </c>
      <c r="CH286">
        <f>'2020_2021_efet'!CF13</f>
        <v>1.64E-4</v>
      </c>
      <c r="CI286">
        <f>'2020_2021_efet'!CG13</f>
        <v>3.21E-4</v>
      </c>
      <c r="CJ286">
        <f>'2020_2021_efet'!CH13</f>
        <v>8.3300000000000005E-5</v>
      </c>
      <c r="CK286">
        <f>'2020_2021_efet'!CI13</f>
        <v>1.21E-4</v>
      </c>
      <c r="CL286">
        <f>'2020_2021_efet'!CJ13</f>
        <v>1.2400000000000001E-4</v>
      </c>
      <c r="CM286">
        <f>'2020_2021_efet'!CK13</f>
        <v>1.55E-4</v>
      </c>
      <c r="CN286">
        <f>'2020_2021_efet'!CL13</f>
        <v>1.2899999999999999E-4</v>
      </c>
      <c r="CO286">
        <f>'2020_2021_efet'!CM13</f>
        <v>1.6900000000000001E-5</v>
      </c>
      <c r="CP286">
        <f>'2020_2021_efet'!CN13</f>
        <v>1.18E-4</v>
      </c>
      <c r="CQ286">
        <f>'2020_2021_efet'!CO13</f>
        <v>-1.22E-4</v>
      </c>
      <c r="CR286">
        <f>'2020_2021_efet'!CP13</f>
        <v>-1.75E-4</v>
      </c>
      <c r="CS286">
        <f>'2020_2021_efet'!CQ13</f>
        <v>-2.3900000000000001E-4</v>
      </c>
      <c r="CT286">
        <f>'2020_2021_efet'!CR13</f>
        <v>-5.3200000000000003E-4</v>
      </c>
      <c r="CU286">
        <f>'2020_2021_efet'!CS13</f>
        <v>-6.5700000000000003E-4</v>
      </c>
      <c r="CV286">
        <f>'2020_2021_efet'!CT13</f>
        <v>-9.2500000000000004E-4</v>
      </c>
      <c r="CW286">
        <f>'2020_2021_efet'!CU13</f>
        <v>-1.0300000000000001E-3</v>
      </c>
      <c r="CX286">
        <f>'2020_2021_efet'!CV13</f>
        <v>-1.0200000000000001E-3</v>
      </c>
    </row>
    <row r="287" spans="1:102" x14ac:dyDescent="0.2">
      <c r="A287" t="s">
        <v>215</v>
      </c>
      <c r="B287" t="s">
        <v>218</v>
      </c>
      <c r="C287" t="s">
        <v>223</v>
      </c>
      <c r="D287">
        <f>'2020_2021_efet'!B14</f>
        <v>-3.2600000000000001E-4</v>
      </c>
      <c r="E287">
        <f>'2020_2021_efet'!C14</f>
        <v>-3.2600000000000001E-4</v>
      </c>
      <c r="F287">
        <f>'2020_2021_efet'!D14</f>
        <v>-3.2600000000000001E-4</v>
      </c>
      <c r="G287">
        <f>'2020_2021_efet'!E14</f>
        <v>-2.6499999999999999E-2</v>
      </c>
      <c r="H287">
        <f>'2020_2021_efet'!F14</f>
        <v>-1.26E-2</v>
      </c>
      <c r="I287">
        <f>'2020_2021_efet'!G14</f>
        <v>-7.1500000000000001E-3</v>
      </c>
      <c r="J287">
        <f>'2020_2021_efet'!H14</f>
        <v>-5.3099999999999996E-3</v>
      </c>
      <c r="K287">
        <f>'2020_2021_efet'!I14</f>
        <v>-2.49E-3</v>
      </c>
      <c r="L287">
        <f>'2020_2021_efet'!J14</f>
        <v>-1.08E-3</v>
      </c>
      <c r="M287">
        <f>'2020_2021_efet'!K14</f>
        <v>8.8699999999999998E-4</v>
      </c>
      <c r="N287">
        <f>'2020_2021_efet'!L14</f>
        <v>9.9400000000000009E-4</v>
      </c>
      <c r="O287">
        <f>'2020_2021_efet'!M14</f>
        <v>1.99E-3</v>
      </c>
      <c r="P287">
        <f>'2020_2021_efet'!N14</f>
        <v>2.0699999999999998E-3</v>
      </c>
      <c r="Q287">
        <f>'2020_2021_efet'!O14</f>
        <v>1.9E-3</v>
      </c>
      <c r="R287">
        <f>'2020_2021_efet'!P14</f>
        <v>1.7700000000000001E-3</v>
      </c>
      <c r="S287">
        <f>'2020_2021_efet'!Q14</f>
        <v>1.98E-3</v>
      </c>
      <c r="T287">
        <f>'2020_2021_efet'!R14</f>
        <v>2.33E-3</v>
      </c>
      <c r="U287">
        <f>'2020_2021_efet'!S14</f>
        <v>2.4199999999999998E-3</v>
      </c>
      <c r="V287">
        <f>'2020_2021_efet'!T14</f>
        <v>2.4499999999999999E-3</v>
      </c>
      <c r="W287">
        <f>'2020_2021_efet'!U14</f>
        <v>2.1900000000000001E-3</v>
      </c>
      <c r="X287">
        <f>'2020_2021_efet'!V14</f>
        <v>2.4499999999999999E-3</v>
      </c>
      <c r="Y287">
        <f>'2020_2021_efet'!W14</f>
        <v>2.5300000000000001E-3</v>
      </c>
      <c r="Z287">
        <f>'2020_2021_efet'!X14</f>
        <v>2.6099999999999999E-3</v>
      </c>
      <c r="AA287">
        <f>'2020_2021_efet'!Y14</f>
        <v>2.7699999999999999E-3</v>
      </c>
      <c r="AB287">
        <f>'2020_2021_efet'!Z14</f>
        <v>2.8500000000000001E-3</v>
      </c>
      <c r="AC287">
        <f>'2020_2021_efet'!AA14</f>
        <v>2.8900000000000002E-3</v>
      </c>
      <c r="AD287">
        <f>'2020_2021_efet'!AB14</f>
        <v>2.5600000000000002E-3</v>
      </c>
      <c r="AE287">
        <f>'2020_2021_efet'!AC14</f>
        <v>2.1299999999999999E-3</v>
      </c>
      <c r="AF287">
        <f>'2020_2021_efet'!AD14</f>
        <v>2.2499999999999998E-3</v>
      </c>
      <c r="AG287">
        <f>'2020_2021_efet'!AE14</f>
        <v>2.4399999999999999E-3</v>
      </c>
      <c r="AH287">
        <f>'2020_2021_efet'!AF14</f>
        <v>2.3999999999999998E-3</v>
      </c>
      <c r="AI287">
        <f>'2020_2021_efet'!AG14</f>
        <v>2.7699999999999999E-3</v>
      </c>
      <c r="AJ287">
        <f>'2020_2021_efet'!AH14</f>
        <v>2.8700000000000002E-3</v>
      </c>
      <c r="AK287">
        <f>'2020_2021_efet'!AI14</f>
        <v>3.0000000000000001E-3</v>
      </c>
      <c r="AL287">
        <f>'2020_2021_efet'!AJ14</f>
        <v>2.9299999999999999E-3</v>
      </c>
      <c r="AM287">
        <f>'2020_2021_efet'!AK14</f>
        <v>2.8700000000000002E-3</v>
      </c>
      <c r="AN287">
        <f>'2020_2021_efet'!AL14</f>
        <v>2.9299999999999999E-3</v>
      </c>
      <c r="AO287">
        <f>'2020_2021_efet'!AM14</f>
        <v>3.0699999999999998E-3</v>
      </c>
      <c r="AP287">
        <f>'2020_2021_efet'!AN14</f>
        <v>2.9299999999999999E-3</v>
      </c>
      <c r="AQ287">
        <f>'2020_2021_efet'!AO14</f>
        <v>3.0200000000000001E-3</v>
      </c>
      <c r="AR287">
        <f>'2020_2021_efet'!AP14</f>
        <v>3.1800000000000001E-3</v>
      </c>
      <c r="AS287">
        <f>'2020_2021_efet'!AQ14</f>
        <v>3.3300000000000001E-3</v>
      </c>
      <c r="AT287">
        <f>'2020_2021_efet'!AR14</f>
        <v>3.3300000000000001E-3</v>
      </c>
      <c r="AU287">
        <f>'2020_2021_efet'!AS14</f>
        <v>3.1900000000000001E-3</v>
      </c>
      <c r="AV287">
        <f>'2020_2021_efet'!AT14</f>
        <v>3.2399999999999998E-3</v>
      </c>
      <c r="AW287">
        <f>'2020_2021_efet'!AU14</f>
        <v>3.2799999999999999E-3</v>
      </c>
      <c r="AX287">
        <f>'2020_2021_efet'!AV14</f>
        <v>3.3300000000000001E-3</v>
      </c>
      <c r="AY287">
        <f>'2020_2021_efet'!AW14</f>
        <v>3.2499999999999999E-3</v>
      </c>
      <c r="AZ287">
        <f>'2020_2021_efet'!AX14</f>
        <v>3.3700000000000002E-3</v>
      </c>
      <c r="BA287">
        <f>'2020_2021_efet'!AY14</f>
        <v>3.5699999999999998E-3</v>
      </c>
      <c r="BB287">
        <f>'2020_2021_efet'!AZ14</f>
        <v>3.46E-3</v>
      </c>
      <c r="BC287">
        <f>'2020_2021_efet'!BA14</f>
        <v>3.65E-3</v>
      </c>
      <c r="BD287">
        <f>'2020_2021_efet'!BB14</f>
        <v>3.9300000000000003E-3</v>
      </c>
      <c r="BE287">
        <f>'2020_2021_efet'!BC14</f>
        <v>3.98E-3</v>
      </c>
      <c r="BF287">
        <f>'2020_2021_efet'!BD14</f>
        <v>4.0400000000000002E-3</v>
      </c>
      <c r="BG287">
        <f>'2020_2021_efet'!BE14</f>
        <v>3.9399999999999999E-3</v>
      </c>
      <c r="BH287">
        <f>'2020_2021_efet'!BF14</f>
        <v>3.9899999999999996E-3</v>
      </c>
      <c r="BI287">
        <f>'2020_2021_efet'!BG14</f>
        <v>4.0600000000000002E-3</v>
      </c>
      <c r="BJ287">
        <f>'2020_2021_efet'!BH14</f>
        <v>4.13E-3</v>
      </c>
      <c r="BK287">
        <f>'2020_2021_efet'!BI14</f>
        <v>3.9899999999999996E-3</v>
      </c>
      <c r="BL287">
        <f>'2020_2021_efet'!BJ14</f>
        <v>3.9699999999999996E-3</v>
      </c>
      <c r="BM287">
        <f>'2020_2021_efet'!BK14</f>
        <v>4.0000000000000001E-3</v>
      </c>
      <c r="BN287">
        <f>'2020_2021_efet'!BL14</f>
        <v>3.9699999999999996E-3</v>
      </c>
      <c r="BO287">
        <f>'2020_2021_efet'!BM14</f>
        <v>4.2399999999999998E-3</v>
      </c>
      <c r="BP287">
        <f>'2020_2021_efet'!BN14</f>
        <v>4.3800000000000002E-3</v>
      </c>
      <c r="BQ287">
        <f>'2020_2021_efet'!BO14</f>
        <v>4.5500000000000002E-3</v>
      </c>
      <c r="BR287">
        <f>'2020_2021_efet'!BP14</f>
        <v>4.8700000000000002E-3</v>
      </c>
      <c r="BS287">
        <f>'2020_2021_efet'!BQ14</f>
        <v>5.0000000000000001E-3</v>
      </c>
      <c r="BT287">
        <f>'2020_2021_efet'!BR14</f>
        <v>4.9899999999999996E-3</v>
      </c>
      <c r="BU287">
        <f>'2020_2021_efet'!BS14</f>
        <v>5.1500000000000001E-3</v>
      </c>
      <c r="BV287">
        <f>'2020_2021_efet'!BT14</f>
        <v>5.1500000000000001E-3</v>
      </c>
      <c r="BW287">
        <f>'2020_2021_efet'!BU14</f>
        <v>4.8199999999999996E-3</v>
      </c>
      <c r="BX287">
        <f>'2020_2021_efet'!BV14</f>
        <v>4.8599999999999997E-3</v>
      </c>
      <c r="BY287">
        <f>'2020_2021_efet'!BW14</f>
        <v>5.2599999999999999E-3</v>
      </c>
      <c r="BZ287">
        <f>'2020_2021_efet'!BX14</f>
        <v>5.4400000000000004E-3</v>
      </c>
      <c r="CA287">
        <f>'2020_2021_efet'!BY14</f>
        <v>5.62E-3</v>
      </c>
      <c r="CB287">
        <f>'2020_2021_efet'!BZ14</f>
        <v>5.2300000000000003E-3</v>
      </c>
      <c r="CC287">
        <f>'2020_2021_efet'!CA14</f>
        <v>5.2300000000000003E-3</v>
      </c>
      <c r="CD287">
        <f>'2020_2021_efet'!CB14</f>
        <v>5.6899999999999997E-3</v>
      </c>
      <c r="CE287">
        <f>'2020_2021_efet'!CC14</f>
        <v>5.96E-3</v>
      </c>
      <c r="CF287">
        <f>'2020_2021_efet'!CD14</f>
        <v>6.0299999999999998E-3</v>
      </c>
      <c r="CG287">
        <f>'2020_2021_efet'!CE14</f>
        <v>5.9699999999999996E-3</v>
      </c>
      <c r="CH287">
        <f>'2020_2021_efet'!CF14</f>
        <v>5.4599999999999996E-3</v>
      </c>
      <c r="CI287">
        <f>'2020_2021_efet'!CG14</f>
        <v>4.9399999999999999E-3</v>
      </c>
      <c r="CJ287">
        <f>'2020_2021_efet'!CH14</f>
        <v>4.8399999999999997E-3</v>
      </c>
      <c r="CK287">
        <f>'2020_2021_efet'!CI14</f>
        <v>4.9699999999999996E-3</v>
      </c>
      <c r="CL287">
        <f>'2020_2021_efet'!CJ14</f>
        <v>4.9399999999999999E-3</v>
      </c>
      <c r="CM287">
        <f>'2020_2021_efet'!CK14</f>
        <v>4.7699999999999999E-3</v>
      </c>
      <c r="CN287">
        <f>'2020_2021_efet'!CL14</f>
        <v>4.4900000000000001E-3</v>
      </c>
      <c r="CO287">
        <f>'2020_2021_efet'!CM14</f>
        <v>5.0899999999999999E-3</v>
      </c>
      <c r="CP287">
        <f>'2020_2021_efet'!CN14</f>
        <v>5.1599999999999997E-3</v>
      </c>
      <c r="CQ287">
        <f>'2020_2021_efet'!CO14</f>
        <v>5.1900000000000002E-3</v>
      </c>
      <c r="CR287">
        <f>'2020_2021_efet'!CP14</f>
        <v>4.4999999999999997E-3</v>
      </c>
      <c r="CS287">
        <f>'2020_2021_efet'!CQ14</f>
        <v>3.8999999999999998E-3</v>
      </c>
      <c r="CT287">
        <f>'2020_2021_efet'!CR14</f>
        <v>4.2500000000000003E-3</v>
      </c>
      <c r="CU287">
        <f>'2020_2021_efet'!CS14</f>
        <v>3.9399999999999999E-3</v>
      </c>
      <c r="CV287">
        <f>'2020_2021_efet'!CT14</f>
        <v>4.2100000000000002E-3</v>
      </c>
      <c r="CW287">
        <f>'2020_2021_efet'!CU14</f>
        <v>2.5799999999999998E-3</v>
      </c>
      <c r="CX287">
        <f>'2020_2021_efet'!CV14</f>
        <v>2.3999999999999998E-3</v>
      </c>
    </row>
    <row r="288" spans="1:102" x14ac:dyDescent="0.2">
      <c r="A288" t="s">
        <v>5909</v>
      </c>
      <c r="B288" t="s">
        <v>218</v>
      </c>
      <c r="C288" t="s">
        <v>223</v>
      </c>
      <c r="D288">
        <f>'2020_2021_efet Int_Confianca'!B43</f>
        <v>5.9999999999999995E-4</v>
      </c>
      <c r="E288">
        <f>'2020_2021_efet Int_Confianca'!C43</f>
        <v>5.9999999999999995E-4</v>
      </c>
      <c r="F288">
        <f>'2020_2021_efet Int_Confianca'!D43</f>
        <v>5.9999999999999995E-4</v>
      </c>
      <c r="G288">
        <f>'2020_2021_efet Int_Confianca'!E43</f>
        <v>1.7100000000000001E-2</v>
      </c>
      <c r="H288">
        <f>'2020_2021_efet Int_Confianca'!F43</f>
        <v>1.2999999999999999E-2</v>
      </c>
      <c r="I288">
        <f>'2020_2021_efet Int_Confianca'!G43</f>
        <v>1.26E-2</v>
      </c>
      <c r="J288">
        <f>'2020_2021_efet Int_Confianca'!H43</f>
        <v>1.2699999999999999E-2</v>
      </c>
      <c r="K288">
        <f>'2020_2021_efet Int_Confianca'!I43</f>
        <v>1.26E-2</v>
      </c>
      <c r="L288">
        <f>'2020_2021_efet Int_Confianca'!J43</f>
        <v>1.35E-2</v>
      </c>
      <c r="M288">
        <f>'2020_2021_efet Int_Confianca'!K43</f>
        <v>1.29E-2</v>
      </c>
      <c r="N288">
        <f>'2020_2021_efet Int_Confianca'!L43</f>
        <v>1.3299999999999999E-2</v>
      </c>
      <c r="O288">
        <f>'2020_2021_efet Int_Confianca'!M43</f>
        <v>1.38E-2</v>
      </c>
      <c r="P288">
        <f>'2020_2021_efet Int_Confianca'!N43</f>
        <v>1.2800000000000001E-2</v>
      </c>
      <c r="Q288">
        <f>'2020_2021_efet Int_Confianca'!O43</f>
        <v>9.7000000000000003E-3</v>
      </c>
      <c r="R288">
        <f>'2020_2021_efet Int_Confianca'!P43</f>
        <v>1.01E-2</v>
      </c>
      <c r="S288">
        <f>'2020_2021_efet Int_Confianca'!Q43</f>
        <v>9.7000000000000003E-3</v>
      </c>
      <c r="T288">
        <f>'2020_2021_efet Int_Confianca'!R43</f>
        <v>8.6999999999999994E-3</v>
      </c>
      <c r="U288">
        <f>'2020_2021_efet Int_Confianca'!S43</f>
        <v>8.0999999999999996E-3</v>
      </c>
      <c r="V288">
        <f>'2020_2021_efet Int_Confianca'!T43</f>
        <v>8.3000000000000001E-3</v>
      </c>
      <c r="W288">
        <f>'2020_2021_efet Int_Confianca'!U43</f>
        <v>7.9000000000000008E-3</v>
      </c>
      <c r="X288">
        <f>'2020_2021_efet Int_Confianca'!V43</f>
        <v>8.3999999999999995E-3</v>
      </c>
      <c r="Y288">
        <f>'2020_2021_efet Int_Confianca'!W43</f>
        <v>8.0999999999999996E-3</v>
      </c>
      <c r="Z288">
        <f>'2020_2021_efet Int_Confianca'!X43</f>
        <v>8.5000000000000006E-3</v>
      </c>
      <c r="AA288">
        <f>'2020_2021_efet Int_Confianca'!Y43</f>
        <v>8.9999999999999993E-3</v>
      </c>
      <c r="AB288">
        <f>'2020_2021_efet Int_Confianca'!Z43</f>
        <v>9.2999999999999992E-3</v>
      </c>
      <c r="AC288">
        <f>'2020_2021_efet Int_Confianca'!AA43</f>
        <v>9.4999999999999998E-3</v>
      </c>
      <c r="AD288">
        <f>'2020_2021_efet Int_Confianca'!AB43</f>
        <v>1.03E-2</v>
      </c>
      <c r="AE288">
        <f>'2020_2021_efet Int_Confianca'!AC43</f>
        <v>1.11E-2</v>
      </c>
      <c r="AF288">
        <f>'2020_2021_efet Int_Confianca'!AD43</f>
        <v>1.18E-2</v>
      </c>
      <c r="AG288">
        <f>'2020_2021_efet Int_Confianca'!AE43</f>
        <v>1.26E-2</v>
      </c>
      <c r="AH288">
        <f>'2020_2021_efet Int_Confianca'!AF43</f>
        <v>1.35E-2</v>
      </c>
      <c r="AI288">
        <f>'2020_2021_efet Int_Confianca'!AG43</f>
        <v>1.44E-2</v>
      </c>
      <c r="AJ288">
        <f>'2020_2021_efet Int_Confianca'!AH43</f>
        <v>1.5299999999999999E-2</v>
      </c>
      <c r="AK288">
        <f>'2020_2021_efet Int_Confianca'!AI43</f>
        <v>1.5800000000000002E-2</v>
      </c>
      <c r="AL288">
        <f>'2020_2021_efet Int_Confianca'!AJ43</f>
        <v>1.6299999999999999E-2</v>
      </c>
      <c r="AM288">
        <f>'2020_2021_efet Int_Confianca'!AK43</f>
        <v>1.67E-2</v>
      </c>
      <c r="AN288">
        <f>'2020_2021_efet Int_Confianca'!AL43</f>
        <v>1.72E-2</v>
      </c>
      <c r="AO288">
        <f>'2020_2021_efet Int_Confianca'!AM43</f>
        <v>1.7600000000000001E-2</v>
      </c>
      <c r="AP288">
        <f>'2020_2021_efet Int_Confianca'!AN43</f>
        <v>1.8100000000000002E-2</v>
      </c>
      <c r="AQ288">
        <f>'2020_2021_efet Int_Confianca'!AO43</f>
        <v>1.84E-2</v>
      </c>
      <c r="AR288">
        <f>'2020_2021_efet Int_Confianca'!AP43</f>
        <v>1.8599999999999998E-2</v>
      </c>
      <c r="AS288">
        <f>'2020_2021_efet Int_Confianca'!AQ43</f>
        <v>1.9099999999999999E-2</v>
      </c>
      <c r="AT288">
        <f>'2020_2021_efet Int_Confianca'!AR43</f>
        <v>1.9599999999999999E-2</v>
      </c>
      <c r="AU288">
        <f>'2020_2021_efet Int_Confianca'!AS43</f>
        <v>2.0199999999999999E-2</v>
      </c>
      <c r="AV288">
        <f>'2020_2021_efet Int_Confianca'!AT43</f>
        <v>2.0799999999999999E-2</v>
      </c>
      <c r="AW288">
        <f>'2020_2021_efet Int_Confianca'!AU43</f>
        <v>2.1399999999999999E-2</v>
      </c>
      <c r="AX288">
        <f>'2020_2021_efet Int_Confianca'!AV43</f>
        <v>2.1700000000000001E-2</v>
      </c>
      <c r="AY288">
        <f>'2020_2021_efet Int_Confianca'!AW43</f>
        <v>2.23E-2</v>
      </c>
      <c r="AZ288">
        <f>'2020_2021_efet Int_Confianca'!AX43</f>
        <v>2.3400000000000001E-2</v>
      </c>
      <c r="BA288">
        <f>'2020_2021_efet Int_Confianca'!AY43</f>
        <v>2.3699999999999999E-2</v>
      </c>
      <c r="BB288">
        <f>'2020_2021_efet Int_Confianca'!AZ43</f>
        <v>2.4400000000000002E-2</v>
      </c>
      <c r="BC288">
        <f>'2020_2021_efet Int_Confianca'!BA43</f>
        <v>2.5100000000000001E-2</v>
      </c>
      <c r="BD288">
        <f>'2020_2021_efet Int_Confianca'!BB43</f>
        <v>2.5600000000000001E-2</v>
      </c>
      <c r="BE288">
        <f>'2020_2021_efet Int_Confianca'!BC43</f>
        <v>2.63E-2</v>
      </c>
      <c r="BF288">
        <f>'2020_2021_efet Int_Confianca'!BD43</f>
        <v>2.6800000000000001E-2</v>
      </c>
      <c r="BG288">
        <f>'2020_2021_efet Int_Confianca'!BE43</f>
        <v>2.69E-2</v>
      </c>
      <c r="BH288">
        <f>'2020_2021_efet Int_Confianca'!BF43</f>
        <v>2.7E-2</v>
      </c>
      <c r="BI288">
        <f>'2020_2021_efet Int_Confianca'!BG43</f>
        <v>2.69E-2</v>
      </c>
      <c r="BJ288">
        <f>'2020_2021_efet Int_Confianca'!BH43</f>
        <v>2.7300000000000001E-2</v>
      </c>
      <c r="BK288">
        <f>'2020_2021_efet Int_Confianca'!BI43</f>
        <v>2.7400000000000001E-2</v>
      </c>
      <c r="BL288">
        <f>'2020_2021_efet Int_Confianca'!BJ43</f>
        <v>2.75E-2</v>
      </c>
      <c r="BM288">
        <f>'2020_2021_efet Int_Confianca'!BK43</f>
        <v>2.7699999999999999E-2</v>
      </c>
      <c r="BN288">
        <f>'2020_2021_efet Int_Confianca'!BL43</f>
        <v>2.8000000000000001E-2</v>
      </c>
      <c r="BO288">
        <f>'2020_2021_efet Int_Confianca'!BM43</f>
        <v>2.9700000000000001E-2</v>
      </c>
      <c r="BP288">
        <f>'2020_2021_efet Int_Confianca'!BN43</f>
        <v>3.2800000000000003E-2</v>
      </c>
      <c r="BQ288">
        <f>'2020_2021_efet Int_Confianca'!BO43</f>
        <v>3.5099999999999999E-2</v>
      </c>
      <c r="BR288">
        <f>'2020_2021_efet Int_Confianca'!BP43</f>
        <v>3.6299999999999999E-2</v>
      </c>
      <c r="BS288">
        <f>'2020_2021_efet Int_Confianca'!BQ43</f>
        <v>3.7400000000000003E-2</v>
      </c>
      <c r="BT288">
        <f>'2020_2021_efet Int_Confianca'!BR43</f>
        <v>3.7499999999999999E-2</v>
      </c>
      <c r="BU288">
        <f>'2020_2021_efet Int_Confianca'!BS43</f>
        <v>3.7499999999999999E-2</v>
      </c>
      <c r="BV288">
        <f>'2020_2021_efet Int_Confianca'!BT43</f>
        <v>3.7100000000000001E-2</v>
      </c>
      <c r="BW288">
        <f>'2020_2021_efet Int_Confianca'!BU43</f>
        <v>3.8199999999999998E-2</v>
      </c>
      <c r="BX288">
        <f>'2020_2021_efet Int_Confianca'!BV43</f>
        <v>3.8399999999999997E-2</v>
      </c>
      <c r="BY288">
        <f>'2020_2021_efet Int_Confianca'!BW43</f>
        <v>3.8199999999999998E-2</v>
      </c>
      <c r="BZ288">
        <f>'2020_2021_efet Int_Confianca'!BX43</f>
        <v>3.95E-2</v>
      </c>
      <c r="CA288">
        <f>'2020_2021_efet Int_Confianca'!BY43</f>
        <v>4.0599999999999997E-2</v>
      </c>
      <c r="CB288">
        <f>'2020_2021_efet Int_Confianca'!BZ43</f>
        <v>4.02E-2</v>
      </c>
      <c r="CC288">
        <f>'2020_2021_efet Int_Confianca'!CA43</f>
        <v>4.1599999999999998E-2</v>
      </c>
      <c r="CD288">
        <f>'2020_2021_efet Int_Confianca'!CB43</f>
        <v>4.4600000000000001E-2</v>
      </c>
      <c r="CE288">
        <f>'2020_2021_efet Int_Confianca'!CC43</f>
        <v>4.8000000000000001E-2</v>
      </c>
      <c r="CF288">
        <f>'2020_2021_efet Int_Confianca'!CD43</f>
        <v>5.0500000000000003E-2</v>
      </c>
      <c r="CG288">
        <f>'2020_2021_efet Int_Confianca'!CE43</f>
        <v>4.99E-2</v>
      </c>
      <c r="CH288">
        <f>'2020_2021_efet Int_Confianca'!CF43</f>
        <v>4.8500000000000001E-2</v>
      </c>
      <c r="CI288">
        <f>'2020_2021_efet Int_Confianca'!CG43</f>
        <v>4.6899999999999997E-2</v>
      </c>
      <c r="CJ288">
        <f>'2020_2021_efet Int_Confianca'!CH43</f>
        <v>4.5900000000000003E-2</v>
      </c>
      <c r="CK288">
        <f>'2020_2021_efet Int_Confianca'!CI43</f>
        <v>5.1700000000000003E-2</v>
      </c>
      <c r="CL288">
        <f>'2020_2021_efet Int_Confianca'!CJ43</f>
        <v>5.1200000000000002E-2</v>
      </c>
      <c r="CM288">
        <f>'2020_2021_efet Int_Confianca'!CK43</f>
        <v>5.0999999999999997E-2</v>
      </c>
      <c r="CN288">
        <f>'2020_2021_efet Int_Confianca'!CL43</f>
        <v>4.8800000000000003E-2</v>
      </c>
      <c r="CO288">
        <f>'2020_2021_efet Int_Confianca'!CM43</f>
        <v>5.6399999999999999E-2</v>
      </c>
      <c r="CP288">
        <f>'2020_2021_efet Int_Confianca'!CN43</f>
        <v>5.9299999999999999E-2</v>
      </c>
      <c r="CQ288">
        <f>'2020_2021_efet Int_Confianca'!CO43</f>
        <v>6.1699999999999998E-2</v>
      </c>
      <c r="CR288">
        <f>'2020_2021_efet Int_Confianca'!CP43</f>
        <v>6.13E-2</v>
      </c>
      <c r="CS288">
        <f>'2020_2021_efet Int_Confianca'!CQ43</f>
        <v>5.7500000000000002E-2</v>
      </c>
      <c r="CT288">
        <f>'2020_2021_efet Int_Confianca'!CR43</f>
        <v>5.8000000000000003E-2</v>
      </c>
      <c r="CU288">
        <f>'2020_2021_efet Int_Confianca'!CS43</f>
        <v>0.05</v>
      </c>
      <c r="CV288">
        <f>'2020_2021_efet Int_Confianca'!CT43</f>
        <v>6.3100000000000003E-2</v>
      </c>
      <c r="CW288">
        <f>'2020_2021_efet Int_Confianca'!CU43</f>
        <v>4.9200000000000001E-2</v>
      </c>
      <c r="CX288">
        <f>'2020_2021_efet Int_Confianca'!CV43</f>
        <v>5.8299999999999998E-2</v>
      </c>
    </row>
    <row r="289" spans="1:102" x14ac:dyDescent="0.2">
      <c r="A289" t="s">
        <v>5910</v>
      </c>
      <c r="B289" t="s">
        <v>218</v>
      </c>
      <c r="C289" t="s">
        <v>223</v>
      </c>
      <c r="D289">
        <f>'2020_2021_efet Int_Confianca'!B44</f>
        <v>1.6000000000000001E-3</v>
      </c>
      <c r="E289">
        <f>'2020_2021_efet Int_Confianca'!C44</f>
        <v>1.6000000000000001E-3</v>
      </c>
      <c r="F289">
        <f>'2020_2021_efet Int_Confianca'!D44</f>
        <v>1.6000000000000001E-3</v>
      </c>
      <c r="G289">
        <f>'2020_2021_efet Int_Confianca'!E44</f>
        <v>3.3399999999999999E-2</v>
      </c>
      <c r="H289">
        <f>'2020_2021_efet Int_Confianca'!F44</f>
        <v>2.3199999999999998E-2</v>
      </c>
      <c r="I289">
        <f>'2020_2021_efet Int_Confianca'!G44</f>
        <v>2.18E-2</v>
      </c>
      <c r="J289">
        <f>'2020_2021_efet Int_Confianca'!H44</f>
        <v>2.1399999999999999E-2</v>
      </c>
      <c r="K289">
        <f>'2020_2021_efet Int_Confianca'!I44</f>
        <v>2.06E-2</v>
      </c>
      <c r="L289">
        <f>'2020_2021_efet Int_Confianca'!J44</f>
        <v>2.18E-2</v>
      </c>
      <c r="M289">
        <f>'2020_2021_efet Int_Confianca'!K44</f>
        <v>2.07E-2</v>
      </c>
      <c r="N289">
        <f>'2020_2021_efet Int_Confianca'!L44</f>
        <v>2.1000000000000001E-2</v>
      </c>
      <c r="O289">
        <f>'2020_2021_efet Int_Confianca'!M44</f>
        <v>2.1399999999999999E-2</v>
      </c>
      <c r="P289">
        <f>'2020_2021_efet Int_Confianca'!N44</f>
        <v>1.95E-2</v>
      </c>
      <c r="Q289">
        <f>'2020_2021_efet Int_Confianca'!O44</f>
        <v>1.46E-2</v>
      </c>
      <c r="R289">
        <f>'2020_2021_efet Int_Confianca'!P44</f>
        <v>1.5100000000000001E-2</v>
      </c>
      <c r="S289">
        <f>'2020_2021_efet Int_Confianca'!Q44</f>
        <v>1.44E-2</v>
      </c>
      <c r="T289">
        <f>'2020_2021_efet Int_Confianca'!R44</f>
        <v>1.29E-2</v>
      </c>
      <c r="U289">
        <f>'2020_2021_efet Int_Confianca'!S44</f>
        <v>1.1900000000000001E-2</v>
      </c>
      <c r="V289">
        <f>'2020_2021_efet Int_Confianca'!T44</f>
        <v>1.2E-2</v>
      </c>
      <c r="W289">
        <f>'2020_2021_efet Int_Confianca'!U44</f>
        <v>1.14E-2</v>
      </c>
      <c r="X289">
        <f>'2020_2021_efet Int_Confianca'!V44</f>
        <v>1.2E-2</v>
      </c>
      <c r="Y289">
        <f>'2020_2021_efet Int_Confianca'!W44</f>
        <v>1.15E-2</v>
      </c>
      <c r="Z289">
        <f>'2020_2021_efet Int_Confianca'!X44</f>
        <v>1.2E-2</v>
      </c>
      <c r="AA289">
        <f>'2020_2021_efet Int_Confianca'!Y44</f>
        <v>1.26E-2</v>
      </c>
      <c r="AB289">
        <f>'2020_2021_efet Int_Confianca'!Z44</f>
        <v>1.3100000000000001E-2</v>
      </c>
      <c r="AC289">
        <f>'2020_2021_efet Int_Confianca'!AA44</f>
        <v>1.34E-2</v>
      </c>
      <c r="AD289">
        <f>'2020_2021_efet Int_Confianca'!AB44</f>
        <v>1.43E-2</v>
      </c>
      <c r="AE289">
        <f>'2020_2021_efet Int_Confianca'!AC44</f>
        <v>1.55E-2</v>
      </c>
      <c r="AF289">
        <f>'2020_2021_efet Int_Confianca'!AD44</f>
        <v>1.6400000000000001E-2</v>
      </c>
      <c r="AG289">
        <f>'2020_2021_efet Int_Confianca'!AE44</f>
        <v>1.7500000000000002E-2</v>
      </c>
      <c r="AH289">
        <f>'2020_2021_efet Int_Confianca'!AF44</f>
        <v>1.8599999999999998E-2</v>
      </c>
      <c r="AI289">
        <f>'2020_2021_efet Int_Confianca'!AG44</f>
        <v>1.9900000000000001E-2</v>
      </c>
      <c r="AJ289">
        <f>'2020_2021_efet Int_Confianca'!AH44</f>
        <v>2.12E-2</v>
      </c>
      <c r="AK289">
        <f>'2020_2021_efet Int_Confianca'!AI44</f>
        <v>2.18E-2</v>
      </c>
      <c r="AL289">
        <f>'2020_2021_efet Int_Confianca'!AJ44</f>
        <v>2.2499999999999999E-2</v>
      </c>
      <c r="AM289">
        <f>'2020_2021_efet Int_Confianca'!AK44</f>
        <v>2.29E-2</v>
      </c>
      <c r="AN289">
        <f>'2020_2021_efet Int_Confianca'!AL44</f>
        <v>2.3699999999999999E-2</v>
      </c>
      <c r="AO289">
        <f>'2020_2021_efet Int_Confianca'!AM44</f>
        <v>2.4199999999999999E-2</v>
      </c>
      <c r="AP289">
        <f>'2020_2021_efet Int_Confianca'!AN44</f>
        <v>2.4899999999999999E-2</v>
      </c>
      <c r="AQ289">
        <f>'2020_2021_efet Int_Confianca'!AO44</f>
        <v>2.53E-2</v>
      </c>
      <c r="AR289">
        <f>'2020_2021_efet Int_Confianca'!AP44</f>
        <v>2.5600000000000001E-2</v>
      </c>
      <c r="AS289">
        <f>'2020_2021_efet Int_Confianca'!AQ44</f>
        <v>2.6200000000000001E-2</v>
      </c>
      <c r="AT289">
        <f>'2020_2021_efet Int_Confianca'!AR44</f>
        <v>2.69E-2</v>
      </c>
      <c r="AU289">
        <f>'2020_2021_efet Int_Confianca'!AS44</f>
        <v>2.7699999999999999E-2</v>
      </c>
      <c r="AV289">
        <f>'2020_2021_efet Int_Confianca'!AT44</f>
        <v>2.86E-2</v>
      </c>
      <c r="AW289">
        <f>'2020_2021_efet Int_Confianca'!AU44</f>
        <v>2.9399999999999999E-2</v>
      </c>
      <c r="AX289">
        <f>'2020_2021_efet Int_Confianca'!AV44</f>
        <v>2.98E-2</v>
      </c>
      <c r="AY289">
        <f>'2020_2021_efet Int_Confianca'!AW44</f>
        <v>3.0599999999999999E-2</v>
      </c>
      <c r="AZ289">
        <f>'2020_2021_efet Int_Confianca'!AX44</f>
        <v>3.2099999999999997E-2</v>
      </c>
      <c r="BA289">
        <f>'2020_2021_efet Int_Confianca'!AY44</f>
        <v>3.2500000000000001E-2</v>
      </c>
      <c r="BB289">
        <f>'2020_2021_efet Int_Confianca'!AZ44</f>
        <v>3.3399999999999999E-2</v>
      </c>
      <c r="BC289">
        <f>'2020_2021_efet Int_Confianca'!BA44</f>
        <v>3.4500000000000003E-2</v>
      </c>
      <c r="BD289">
        <f>'2020_2021_efet Int_Confianca'!BB44</f>
        <v>3.5099999999999999E-2</v>
      </c>
      <c r="BE289">
        <f>'2020_2021_efet Int_Confianca'!BC44</f>
        <v>3.61E-2</v>
      </c>
      <c r="BF289">
        <f>'2020_2021_efet Int_Confianca'!BD44</f>
        <v>3.6700000000000003E-2</v>
      </c>
      <c r="BG289">
        <f>'2020_2021_efet Int_Confianca'!BE44</f>
        <v>3.6900000000000002E-2</v>
      </c>
      <c r="BH289">
        <f>'2020_2021_efet Int_Confianca'!BF44</f>
        <v>3.6999999999999998E-2</v>
      </c>
      <c r="BI289">
        <f>'2020_2021_efet Int_Confianca'!BG44</f>
        <v>3.6900000000000002E-2</v>
      </c>
      <c r="BJ289">
        <f>'2020_2021_efet Int_Confianca'!BH44</f>
        <v>3.7499999999999999E-2</v>
      </c>
      <c r="BK289">
        <f>'2020_2021_efet Int_Confianca'!BI44</f>
        <v>3.7600000000000001E-2</v>
      </c>
      <c r="BL289">
        <f>'2020_2021_efet Int_Confianca'!BJ44</f>
        <v>3.78E-2</v>
      </c>
      <c r="BM289">
        <f>'2020_2021_efet Int_Confianca'!BK44</f>
        <v>3.8100000000000002E-2</v>
      </c>
      <c r="BN289">
        <f>'2020_2021_efet Int_Confianca'!BL44</f>
        <v>3.85E-2</v>
      </c>
      <c r="BO289">
        <f>'2020_2021_efet Int_Confianca'!BM44</f>
        <v>4.0800000000000003E-2</v>
      </c>
      <c r="BP289">
        <f>'2020_2021_efet Int_Confianca'!BN44</f>
        <v>4.4999999999999998E-2</v>
      </c>
      <c r="BQ289">
        <f>'2020_2021_efet Int_Confianca'!BO44</f>
        <v>4.8300000000000003E-2</v>
      </c>
      <c r="BR289">
        <f>'2020_2021_efet Int_Confianca'!BP44</f>
        <v>0.05</v>
      </c>
      <c r="BS289">
        <f>'2020_2021_efet Int_Confianca'!BQ44</f>
        <v>5.1499999999999997E-2</v>
      </c>
      <c r="BT289">
        <f>'2020_2021_efet Int_Confianca'!BR44</f>
        <v>5.16E-2</v>
      </c>
      <c r="BU289">
        <f>'2020_2021_efet Int_Confianca'!BS44</f>
        <v>5.16E-2</v>
      </c>
      <c r="BV289">
        <f>'2020_2021_efet Int_Confianca'!BT44</f>
        <v>5.11E-2</v>
      </c>
      <c r="BW289">
        <f>'2020_2021_efet Int_Confianca'!BU44</f>
        <v>5.2600000000000001E-2</v>
      </c>
      <c r="BX289">
        <f>'2020_2021_efet Int_Confianca'!BV44</f>
        <v>5.2900000000000003E-2</v>
      </c>
      <c r="BY289">
        <f>'2020_2021_efet Int_Confianca'!BW44</f>
        <v>5.2600000000000001E-2</v>
      </c>
      <c r="BZ289">
        <f>'2020_2021_efet Int_Confianca'!BX44</f>
        <v>5.4399999999999997E-2</v>
      </c>
      <c r="CA289">
        <f>'2020_2021_efet Int_Confianca'!BY44</f>
        <v>5.6000000000000001E-2</v>
      </c>
      <c r="CB289">
        <f>'2020_2021_efet Int_Confianca'!BZ44</f>
        <v>5.5399999999999998E-2</v>
      </c>
      <c r="CC289">
        <f>'2020_2021_efet Int_Confianca'!CA44</f>
        <v>5.74E-2</v>
      </c>
      <c r="CD289">
        <f>'2020_2021_efet Int_Confianca'!CB44</f>
        <v>6.1600000000000002E-2</v>
      </c>
      <c r="CE289">
        <f>'2020_2021_efet Int_Confianca'!CC44</f>
        <v>6.6299999999999998E-2</v>
      </c>
      <c r="CF289">
        <f>'2020_2021_efet Int_Confianca'!CD44</f>
        <v>6.9800000000000001E-2</v>
      </c>
      <c r="CG289">
        <f>'2020_2021_efet Int_Confianca'!CE44</f>
        <v>6.9000000000000006E-2</v>
      </c>
      <c r="CH289">
        <f>'2020_2021_efet Int_Confianca'!CF44</f>
        <v>6.7100000000000007E-2</v>
      </c>
      <c r="CI289">
        <f>'2020_2021_efet Int_Confianca'!CG44</f>
        <v>6.4899999999999999E-2</v>
      </c>
      <c r="CJ289">
        <f>'2020_2021_efet Int_Confianca'!CH44</f>
        <v>6.3600000000000004E-2</v>
      </c>
      <c r="CK289">
        <f>'2020_2021_efet Int_Confianca'!CI44</f>
        <v>7.1800000000000003E-2</v>
      </c>
      <c r="CL289">
        <f>'2020_2021_efet Int_Confianca'!CJ44</f>
        <v>7.1099999999999997E-2</v>
      </c>
      <c r="CM289">
        <f>'2020_2021_efet Int_Confianca'!CK44</f>
        <v>7.0800000000000002E-2</v>
      </c>
      <c r="CN289">
        <f>'2020_2021_efet Int_Confianca'!CL44</f>
        <v>6.7900000000000002E-2</v>
      </c>
      <c r="CO289">
        <f>'2020_2021_efet Int_Confianca'!CM44</f>
        <v>7.8600000000000003E-2</v>
      </c>
      <c r="CP289">
        <f>'2020_2021_efet Int_Confianca'!CN44</f>
        <v>8.2699999999999996E-2</v>
      </c>
      <c r="CQ289">
        <f>'2020_2021_efet Int_Confianca'!CO44</f>
        <v>8.6199999999999999E-2</v>
      </c>
      <c r="CR289">
        <f>'2020_2021_efet Int_Confianca'!CP44</f>
        <v>8.5699999999999998E-2</v>
      </c>
      <c r="CS289">
        <f>'2020_2021_efet Int_Confianca'!CQ44</f>
        <v>8.0600000000000005E-2</v>
      </c>
      <c r="CT289">
        <f>'2020_2021_efet Int_Confianca'!CR44</f>
        <v>8.1699999999999995E-2</v>
      </c>
      <c r="CU289">
        <f>'2020_2021_efet Int_Confianca'!CS44</f>
        <v>7.0599999999999996E-2</v>
      </c>
      <c r="CV289">
        <f>'2020_2021_efet Int_Confianca'!CT44</f>
        <v>8.9800000000000005E-2</v>
      </c>
      <c r="CW289">
        <f>'2020_2021_efet Int_Confianca'!CU44</f>
        <v>7.0699999999999999E-2</v>
      </c>
      <c r="CX289">
        <f>'2020_2021_efet Int_Confianca'!CV44</f>
        <v>8.77E-2</v>
      </c>
    </row>
    <row r="290" spans="1:102" x14ac:dyDescent="0.2">
      <c r="A290" t="s">
        <v>5911</v>
      </c>
      <c r="B290" t="s">
        <v>218</v>
      </c>
      <c r="C290" t="s">
        <v>223</v>
      </c>
      <c r="D290">
        <f>'2020_2021_efet Int_Confianca'!B45</f>
        <v>0</v>
      </c>
      <c r="E290">
        <f>'2020_2021_efet Int_Confianca'!C45</f>
        <v>0</v>
      </c>
      <c r="F290">
        <f>'2020_2021_efet Int_Confianca'!D45</f>
        <v>0</v>
      </c>
      <c r="G290">
        <f>'2020_2021_efet Int_Confianca'!E45</f>
        <v>1.0999999999999999E-2</v>
      </c>
      <c r="H290">
        <f>'2020_2021_efet Int_Confianca'!F45</f>
        <v>7.7999999999999996E-3</v>
      </c>
      <c r="I290">
        <f>'2020_2021_efet Int_Confianca'!G45</f>
        <v>6.8999999999999999E-3</v>
      </c>
      <c r="J290">
        <f>'2020_2021_efet Int_Confianca'!H45</f>
        <v>6.1000000000000004E-3</v>
      </c>
      <c r="K290">
        <f>'2020_2021_efet Int_Confianca'!I45</f>
        <v>5.5999999999999999E-3</v>
      </c>
      <c r="L290">
        <f>'2020_2021_efet Int_Confianca'!J45</f>
        <v>6.1999999999999998E-3</v>
      </c>
      <c r="M290">
        <f>'2020_2021_efet Int_Confianca'!K45</f>
        <v>5.5999999999999999E-3</v>
      </c>
      <c r="N290">
        <f>'2020_2021_efet Int_Confianca'!L45</f>
        <v>5.5999999999999999E-3</v>
      </c>
      <c r="O290">
        <f>'2020_2021_efet Int_Confianca'!M45</f>
        <v>5.7000000000000002E-3</v>
      </c>
      <c r="P290">
        <f>'2020_2021_efet Int_Confianca'!N45</f>
        <v>5.1000000000000004E-3</v>
      </c>
      <c r="Q290">
        <f>'2020_2021_efet Int_Confianca'!O45</f>
        <v>3.8E-3</v>
      </c>
      <c r="R290">
        <f>'2020_2021_efet Int_Confianca'!P45</f>
        <v>3.8999999999999998E-3</v>
      </c>
      <c r="S290">
        <f>'2020_2021_efet Int_Confianca'!Q45</f>
        <v>3.7000000000000002E-3</v>
      </c>
      <c r="T290">
        <f>'2020_2021_efet Int_Confianca'!R45</f>
        <v>3.3E-3</v>
      </c>
      <c r="U290">
        <f>'2020_2021_efet Int_Confianca'!S45</f>
        <v>3.0999999999999999E-3</v>
      </c>
      <c r="V290">
        <f>'2020_2021_efet Int_Confianca'!T45</f>
        <v>3.0999999999999999E-3</v>
      </c>
      <c r="W290">
        <f>'2020_2021_efet Int_Confianca'!U45</f>
        <v>2.8999999999999998E-3</v>
      </c>
      <c r="X290">
        <f>'2020_2021_efet Int_Confianca'!V45</f>
        <v>3.0000000000000001E-3</v>
      </c>
      <c r="Y290">
        <f>'2020_2021_efet Int_Confianca'!W45</f>
        <v>2.8999999999999998E-3</v>
      </c>
      <c r="Z290">
        <f>'2020_2021_efet Int_Confianca'!X45</f>
        <v>3.0000000000000001E-3</v>
      </c>
      <c r="AA290">
        <f>'2020_2021_efet Int_Confianca'!Y45</f>
        <v>3.0999999999999999E-3</v>
      </c>
      <c r="AB290">
        <f>'2020_2021_efet Int_Confianca'!Z45</f>
        <v>3.2000000000000002E-3</v>
      </c>
      <c r="AC290">
        <f>'2020_2021_efet Int_Confianca'!AA45</f>
        <v>3.2000000000000002E-3</v>
      </c>
      <c r="AD290">
        <f>'2020_2021_efet Int_Confianca'!AB45</f>
        <v>3.3E-3</v>
      </c>
      <c r="AE290">
        <f>'2020_2021_efet Int_Confianca'!AC45</f>
        <v>3.5000000000000001E-3</v>
      </c>
      <c r="AF290">
        <f>'2020_2021_efet Int_Confianca'!AD45</f>
        <v>3.7000000000000002E-3</v>
      </c>
      <c r="AG290">
        <f>'2020_2021_efet Int_Confianca'!AE45</f>
        <v>4.0000000000000001E-3</v>
      </c>
      <c r="AH290">
        <f>'2020_2021_efet Int_Confianca'!AF45</f>
        <v>4.3E-3</v>
      </c>
      <c r="AI290">
        <f>'2020_2021_efet Int_Confianca'!AG45</f>
        <v>4.5999999999999999E-3</v>
      </c>
      <c r="AJ290">
        <f>'2020_2021_efet Int_Confianca'!AH45</f>
        <v>4.8999999999999998E-3</v>
      </c>
      <c r="AK290">
        <f>'2020_2021_efet Int_Confianca'!AI45</f>
        <v>5.0000000000000001E-3</v>
      </c>
      <c r="AL290">
        <f>'2020_2021_efet Int_Confianca'!AJ45</f>
        <v>5.1000000000000004E-3</v>
      </c>
      <c r="AM290">
        <f>'2020_2021_efet Int_Confianca'!AK45</f>
        <v>5.1999999999999998E-3</v>
      </c>
      <c r="AN290">
        <f>'2020_2021_efet Int_Confianca'!AL45</f>
        <v>5.3E-3</v>
      </c>
      <c r="AO290">
        <f>'2020_2021_efet Int_Confianca'!AM45</f>
        <v>5.3E-3</v>
      </c>
      <c r="AP290">
        <f>'2020_2021_efet Int_Confianca'!AN45</f>
        <v>5.4000000000000003E-3</v>
      </c>
      <c r="AQ290">
        <f>'2020_2021_efet Int_Confianca'!AO45</f>
        <v>5.4999999999999997E-3</v>
      </c>
      <c r="AR290">
        <f>'2020_2021_efet Int_Confianca'!AP45</f>
        <v>5.4999999999999997E-3</v>
      </c>
      <c r="AS290">
        <f>'2020_2021_efet Int_Confianca'!AQ45</f>
        <v>5.7000000000000002E-3</v>
      </c>
      <c r="AT290">
        <f>'2020_2021_efet Int_Confianca'!AR45</f>
        <v>5.7000000000000002E-3</v>
      </c>
      <c r="AU290">
        <f>'2020_2021_efet Int_Confianca'!AS45</f>
        <v>5.8999999999999999E-3</v>
      </c>
      <c r="AV290">
        <f>'2020_2021_efet Int_Confianca'!AT45</f>
        <v>5.8999999999999999E-3</v>
      </c>
      <c r="AW290">
        <f>'2020_2021_efet Int_Confianca'!AU45</f>
        <v>6.0000000000000001E-3</v>
      </c>
      <c r="AX290">
        <f>'2020_2021_efet Int_Confianca'!AV45</f>
        <v>6.0000000000000001E-3</v>
      </c>
      <c r="AY290">
        <f>'2020_2021_efet Int_Confianca'!AW45</f>
        <v>6.1000000000000004E-3</v>
      </c>
      <c r="AZ290">
        <f>'2020_2021_efet Int_Confianca'!AX45</f>
        <v>6.3E-3</v>
      </c>
      <c r="BA290">
        <f>'2020_2021_efet Int_Confianca'!AY45</f>
        <v>6.3E-3</v>
      </c>
      <c r="BB290">
        <f>'2020_2021_efet Int_Confianca'!AZ45</f>
        <v>6.4000000000000003E-3</v>
      </c>
      <c r="BC290">
        <f>'2020_2021_efet Int_Confianca'!BA45</f>
        <v>6.6E-3</v>
      </c>
      <c r="BD290">
        <f>'2020_2021_efet Int_Confianca'!BB45</f>
        <v>6.6E-3</v>
      </c>
      <c r="BE290">
        <f>'2020_2021_efet Int_Confianca'!BC45</f>
        <v>6.7000000000000002E-3</v>
      </c>
      <c r="BF290">
        <f>'2020_2021_efet Int_Confianca'!BD45</f>
        <v>6.7000000000000002E-3</v>
      </c>
      <c r="BG290">
        <f>'2020_2021_efet Int_Confianca'!BE45</f>
        <v>6.7000000000000002E-3</v>
      </c>
      <c r="BH290">
        <f>'2020_2021_efet Int_Confianca'!BF45</f>
        <v>6.7000000000000002E-3</v>
      </c>
      <c r="BI290">
        <f>'2020_2021_efet Int_Confianca'!BG45</f>
        <v>6.6E-3</v>
      </c>
      <c r="BJ290">
        <f>'2020_2021_efet Int_Confianca'!BH45</f>
        <v>6.7000000000000002E-3</v>
      </c>
      <c r="BK290">
        <f>'2020_2021_efet Int_Confianca'!BI45</f>
        <v>6.6E-3</v>
      </c>
      <c r="BL290">
        <f>'2020_2021_efet Int_Confianca'!BJ45</f>
        <v>6.6E-3</v>
      </c>
      <c r="BM290">
        <f>'2020_2021_efet Int_Confianca'!BK45</f>
        <v>6.6E-3</v>
      </c>
      <c r="BN290">
        <f>'2020_2021_efet Int_Confianca'!BL45</f>
        <v>6.6E-3</v>
      </c>
      <c r="BO290">
        <f>'2020_2021_efet Int_Confianca'!BM45</f>
        <v>7.0000000000000001E-3</v>
      </c>
      <c r="BP290">
        <f>'2020_2021_efet Int_Confianca'!BN45</f>
        <v>7.6E-3</v>
      </c>
      <c r="BQ290">
        <f>'2020_2021_efet Int_Confianca'!BO45</f>
        <v>8.0000000000000002E-3</v>
      </c>
      <c r="BR290">
        <f>'2020_2021_efet Int_Confianca'!BP45</f>
        <v>8.3000000000000001E-3</v>
      </c>
      <c r="BS290">
        <f>'2020_2021_efet Int_Confianca'!BQ45</f>
        <v>8.5000000000000006E-3</v>
      </c>
      <c r="BT290">
        <f>'2020_2021_efet Int_Confianca'!BR45</f>
        <v>8.3999999999999995E-3</v>
      </c>
      <c r="BU290">
        <f>'2020_2021_efet Int_Confianca'!BS45</f>
        <v>8.3999999999999995E-3</v>
      </c>
      <c r="BV290">
        <f>'2020_2021_efet Int_Confianca'!BT45</f>
        <v>8.3000000000000001E-3</v>
      </c>
      <c r="BW290">
        <f>'2020_2021_efet Int_Confianca'!BU45</f>
        <v>8.3999999999999995E-3</v>
      </c>
      <c r="BX290">
        <f>'2020_2021_efet Int_Confianca'!BV45</f>
        <v>8.3000000000000001E-3</v>
      </c>
      <c r="BY290">
        <f>'2020_2021_efet Int_Confianca'!BW45</f>
        <v>8.2000000000000007E-3</v>
      </c>
      <c r="BZ290">
        <f>'2020_2021_efet Int_Confianca'!BX45</f>
        <v>8.3999999999999995E-3</v>
      </c>
      <c r="CA290">
        <f>'2020_2021_efet Int_Confianca'!BY45</f>
        <v>8.6999999999999994E-3</v>
      </c>
      <c r="CB290">
        <f>'2020_2021_efet Int_Confianca'!BZ45</f>
        <v>8.6E-3</v>
      </c>
      <c r="CC290">
        <f>'2020_2021_efet Int_Confianca'!CA45</f>
        <v>8.8999999999999999E-3</v>
      </c>
      <c r="CD290">
        <f>'2020_2021_efet Int_Confianca'!CB45</f>
        <v>9.4999999999999998E-3</v>
      </c>
      <c r="CE290">
        <f>'2020_2021_efet Int_Confianca'!CC45</f>
        <v>0.01</v>
      </c>
      <c r="CF290">
        <f>'2020_2021_efet Int_Confianca'!CD45</f>
        <v>1.03E-2</v>
      </c>
      <c r="CG290">
        <f>'2020_2021_efet Int_Confianca'!CE45</f>
        <v>1.0200000000000001E-2</v>
      </c>
      <c r="CH290">
        <f>'2020_2021_efet Int_Confianca'!CF45</f>
        <v>9.9000000000000008E-3</v>
      </c>
      <c r="CI290">
        <f>'2020_2021_efet Int_Confianca'!CG45</f>
        <v>9.4000000000000004E-3</v>
      </c>
      <c r="CJ290">
        <f>'2020_2021_efet Int_Confianca'!CH45</f>
        <v>9.1000000000000004E-3</v>
      </c>
      <c r="CK290">
        <f>'2020_2021_efet Int_Confianca'!CI45</f>
        <v>1.03E-2</v>
      </c>
      <c r="CL290">
        <f>'2020_2021_efet Int_Confianca'!CJ45</f>
        <v>1.0200000000000001E-2</v>
      </c>
      <c r="CM290">
        <f>'2020_2021_efet Int_Confianca'!CK45</f>
        <v>1.0200000000000001E-2</v>
      </c>
      <c r="CN290">
        <f>'2020_2021_efet Int_Confianca'!CL45</f>
        <v>9.7999999999999997E-3</v>
      </c>
      <c r="CO290">
        <f>'2020_2021_efet Int_Confianca'!CM45</f>
        <v>1.15E-2</v>
      </c>
      <c r="CP290">
        <f>'2020_2021_efet Int_Confianca'!CN45</f>
        <v>1.21E-2</v>
      </c>
      <c r="CQ290">
        <f>'2020_2021_efet Int_Confianca'!CO45</f>
        <v>1.2800000000000001E-2</v>
      </c>
      <c r="CR290">
        <f>'2020_2021_efet Int_Confianca'!CP45</f>
        <v>1.2999999999999999E-2</v>
      </c>
      <c r="CS290">
        <f>'2020_2021_efet Int_Confianca'!CQ45</f>
        <v>1.21E-2</v>
      </c>
      <c r="CT290">
        <f>'2020_2021_efet Int_Confianca'!CR45</f>
        <v>1.2200000000000001E-2</v>
      </c>
      <c r="CU290">
        <f>'2020_2021_efet Int_Confianca'!CS45</f>
        <v>1.04E-2</v>
      </c>
      <c r="CV290">
        <f>'2020_2021_efet Int_Confianca'!CT45</f>
        <v>1.4E-2</v>
      </c>
      <c r="CW290">
        <f>'2020_2021_efet Int_Confianca'!CU45</f>
        <v>1.1900000000000001E-2</v>
      </c>
      <c r="CX290">
        <f>'2020_2021_efet Int_Confianca'!CV45</f>
        <v>1.6299999999999999E-2</v>
      </c>
    </row>
    <row r="291" spans="1:102" x14ac:dyDescent="0.2">
      <c r="A291" t="s">
        <v>5912</v>
      </c>
      <c r="B291" t="s">
        <v>218</v>
      </c>
      <c r="C291" t="s">
        <v>223</v>
      </c>
      <c r="D291">
        <f>'2020_2021_efet Int_Confianca'!B46</f>
        <v>4.0000000000000002E-4</v>
      </c>
      <c r="E291">
        <f>'2020_2021_efet Int_Confianca'!C46</f>
        <v>4.0000000000000002E-4</v>
      </c>
      <c r="F291">
        <f>'2020_2021_efet Int_Confianca'!D46</f>
        <v>4.0000000000000002E-4</v>
      </c>
      <c r="G291">
        <f>'2020_2021_efet Int_Confianca'!E46</f>
        <v>2.29E-2</v>
      </c>
      <c r="H291">
        <f>'2020_2021_efet Int_Confianca'!F46</f>
        <v>1.52E-2</v>
      </c>
      <c r="I291">
        <f>'2020_2021_efet Int_Confianca'!G46</f>
        <v>1.2999999999999999E-2</v>
      </c>
      <c r="J291">
        <f>'2020_2021_efet Int_Confianca'!H46</f>
        <v>1.1599999999999999E-2</v>
      </c>
      <c r="K291">
        <f>'2020_2021_efet Int_Confianca'!I46</f>
        <v>1.06E-2</v>
      </c>
      <c r="L291">
        <f>'2020_2021_efet Int_Confianca'!J46</f>
        <v>1.1299999999999999E-2</v>
      </c>
      <c r="M291">
        <f>'2020_2021_efet Int_Confianca'!K46</f>
        <v>1.0500000000000001E-2</v>
      </c>
      <c r="N291">
        <f>'2020_2021_efet Int_Confianca'!L46</f>
        <v>1.04E-2</v>
      </c>
      <c r="O291">
        <f>'2020_2021_efet Int_Confianca'!M46</f>
        <v>1.0500000000000001E-2</v>
      </c>
      <c r="P291">
        <f>'2020_2021_efet Int_Confianca'!N46</f>
        <v>9.4999999999999998E-3</v>
      </c>
      <c r="Q291">
        <f>'2020_2021_efet Int_Confianca'!O46</f>
        <v>7.1000000000000004E-3</v>
      </c>
      <c r="R291">
        <f>'2020_2021_efet Int_Confianca'!P46</f>
        <v>7.1999999999999998E-3</v>
      </c>
      <c r="S291">
        <f>'2020_2021_efet Int_Confianca'!Q46</f>
        <v>6.7999999999999996E-3</v>
      </c>
      <c r="T291">
        <f>'2020_2021_efet Int_Confianca'!R46</f>
        <v>5.8999999999999999E-3</v>
      </c>
      <c r="U291">
        <f>'2020_2021_efet Int_Confianca'!S46</f>
        <v>5.4999999999999997E-3</v>
      </c>
      <c r="V291">
        <f>'2020_2021_efet Int_Confianca'!T46</f>
        <v>5.4999999999999997E-3</v>
      </c>
      <c r="W291">
        <f>'2020_2021_efet Int_Confianca'!U46</f>
        <v>5.1000000000000004E-3</v>
      </c>
      <c r="X291">
        <f>'2020_2021_efet Int_Confianca'!V46</f>
        <v>5.4000000000000003E-3</v>
      </c>
      <c r="Y291">
        <f>'2020_2021_efet Int_Confianca'!W46</f>
        <v>5.1999999999999998E-3</v>
      </c>
      <c r="Z291">
        <f>'2020_2021_efet Int_Confianca'!X46</f>
        <v>5.3E-3</v>
      </c>
      <c r="AA291">
        <f>'2020_2021_efet Int_Confianca'!Y46</f>
        <v>5.4999999999999997E-3</v>
      </c>
      <c r="AB291">
        <f>'2020_2021_efet Int_Confianca'!Z46</f>
        <v>5.7000000000000002E-3</v>
      </c>
      <c r="AC291">
        <f>'2020_2021_efet Int_Confianca'!AA46</f>
        <v>5.7000000000000002E-3</v>
      </c>
      <c r="AD291">
        <f>'2020_2021_efet Int_Confianca'!AB46</f>
        <v>5.8999999999999999E-3</v>
      </c>
      <c r="AE291">
        <f>'2020_2021_efet Int_Confianca'!AC46</f>
        <v>6.1999999999999998E-3</v>
      </c>
      <c r="AF291">
        <f>'2020_2021_efet Int_Confianca'!AD46</f>
        <v>6.4999999999999997E-3</v>
      </c>
      <c r="AG291">
        <f>'2020_2021_efet Int_Confianca'!AE46</f>
        <v>7.1000000000000004E-3</v>
      </c>
      <c r="AH291">
        <f>'2020_2021_efet Int_Confianca'!AF46</f>
        <v>7.4999999999999997E-3</v>
      </c>
      <c r="AI291">
        <f>'2020_2021_efet Int_Confianca'!AG46</f>
        <v>8.0000000000000002E-3</v>
      </c>
      <c r="AJ291">
        <f>'2020_2021_efet Int_Confianca'!AH46</f>
        <v>8.5000000000000006E-3</v>
      </c>
      <c r="AK291">
        <f>'2020_2021_efet Int_Confianca'!AI46</f>
        <v>8.6999999999999994E-3</v>
      </c>
      <c r="AL291">
        <f>'2020_2021_efet Int_Confianca'!AJ46</f>
        <v>8.8999999999999999E-3</v>
      </c>
      <c r="AM291">
        <f>'2020_2021_efet Int_Confianca'!AK46</f>
        <v>9.1000000000000004E-3</v>
      </c>
      <c r="AN291">
        <f>'2020_2021_efet Int_Confianca'!AL46</f>
        <v>9.2999999999999992E-3</v>
      </c>
      <c r="AO291">
        <f>'2020_2021_efet Int_Confianca'!AM46</f>
        <v>9.2999999999999992E-3</v>
      </c>
      <c r="AP291">
        <f>'2020_2021_efet Int_Confianca'!AN46</f>
        <v>9.4999999999999998E-3</v>
      </c>
      <c r="AQ291">
        <f>'2020_2021_efet Int_Confianca'!AO46</f>
        <v>9.4999999999999998E-3</v>
      </c>
      <c r="AR291">
        <f>'2020_2021_efet Int_Confianca'!AP46</f>
        <v>9.5999999999999992E-3</v>
      </c>
      <c r="AS291">
        <f>'2020_2021_efet Int_Confianca'!AQ46</f>
        <v>9.7999999999999997E-3</v>
      </c>
      <c r="AT291">
        <f>'2020_2021_efet Int_Confianca'!AR46</f>
        <v>9.9000000000000008E-3</v>
      </c>
      <c r="AU291">
        <f>'2020_2021_efet Int_Confianca'!AS46</f>
        <v>1.01E-2</v>
      </c>
      <c r="AV291">
        <f>'2020_2021_efet Int_Confianca'!AT46</f>
        <v>1.01E-2</v>
      </c>
      <c r="AW291">
        <f>'2020_2021_efet Int_Confianca'!AU46</f>
        <v>1.03E-2</v>
      </c>
      <c r="AX291">
        <f>'2020_2021_efet Int_Confianca'!AV46</f>
        <v>1.04E-2</v>
      </c>
      <c r="AY291">
        <f>'2020_2021_efet Int_Confianca'!AW46</f>
        <v>1.0500000000000001E-2</v>
      </c>
      <c r="AZ291">
        <f>'2020_2021_efet Int_Confianca'!AX46</f>
        <v>1.0800000000000001E-2</v>
      </c>
      <c r="BA291">
        <f>'2020_2021_efet Int_Confianca'!AY46</f>
        <v>1.09E-2</v>
      </c>
      <c r="BB291">
        <f>'2020_2021_efet Int_Confianca'!AZ46</f>
        <v>1.11E-2</v>
      </c>
      <c r="BC291">
        <f>'2020_2021_efet Int_Confianca'!BA46</f>
        <v>1.1299999999999999E-2</v>
      </c>
      <c r="BD291">
        <f>'2020_2021_efet Int_Confianca'!BB46</f>
        <v>1.14E-2</v>
      </c>
      <c r="BE291">
        <f>'2020_2021_efet Int_Confianca'!BC46</f>
        <v>1.15E-2</v>
      </c>
      <c r="BF291">
        <f>'2020_2021_efet Int_Confianca'!BD46</f>
        <v>1.1599999999999999E-2</v>
      </c>
      <c r="BG291">
        <f>'2020_2021_efet Int_Confianca'!BE46</f>
        <v>1.1599999999999999E-2</v>
      </c>
      <c r="BH291">
        <f>'2020_2021_efet Int_Confianca'!BF46</f>
        <v>1.15E-2</v>
      </c>
      <c r="BI291">
        <f>'2020_2021_efet Int_Confianca'!BG46</f>
        <v>1.14E-2</v>
      </c>
      <c r="BJ291">
        <f>'2020_2021_efet Int_Confianca'!BH46</f>
        <v>1.15E-2</v>
      </c>
      <c r="BK291">
        <f>'2020_2021_efet Int_Confianca'!BI46</f>
        <v>1.14E-2</v>
      </c>
      <c r="BL291">
        <f>'2020_2021_efet Int_Confianca'!BJ46</f>
        <v>1.1299999999999999E-2</v>
      </c>
      <c r="BM291">
        <f>'2020_2021_efet Int_Confianca'!BK46</f>
        <v>1.1299999999999999E-2</v>
      </c>
      <c r="BN291">
        <f>'2020_2021_efet Int_Confianca'!BL46</f>
        <v>1.14E-2</v>
      </c>
      <c r="BO291">
        <f>'2020_2021_efet Int_Confianca'!BM46</f>
        <v>1.1900000000000001E-2</v>
      </c>
      <c r="BP291">
        <f>'2020_2021_efet Int_Confianca'!BN46</f>
        <v>1.2999999999999999E-2</v>
      </c>
      <c r="BQ291">
        <f>'2020_2021_efet Int_Confianca'!BO46</f>
        <v>1.38E-2</v>
      </c>
      <c r="BR291">
        <f>'2020_2021_efet Int_Confianca'!BP46</f>
        <v>1.4200000000000001E-2</v>
      </c>
      <c r="BS291">
        <f>'2020_2021_efet Int_Confianca'!BQ46</f>
        <v>1.44E-2</v>
      </c>
      <c r="BT291">
        <f>'2020_2021_efet Int_Confianca'!BR46</f>
        <v>1.44E-2</v>
      </c>
      <c r="BU291">
        <f>'2020_2021_efet Int_Confianca'!BS46</f>
        <v>1.43E-2</v>
      </c>
      <c r="BV291">
        <f>'2020_2021_efet Int_Confianca'!BT46</f>
        <v>1.41E-2</v>
      </c>
      <c r="BW291">
        <f>'2020_2021_efet Int_Confianca'!BU46</f>
        <v>1.43E-2</v>
      </c>
      <c r="BX291">
        <f>'2020_2021_efet Int_Confianca'!BV46</f>
        <v>1.41E-2</v>
      </c>
      <c r="BY291">
        <f>'2020_2021_efet Int_Confianca'!BW46</f>
        <v>1.4E-2</v>
      </c>
      <c r="BZ291">
        <f>'2020_2021_efet Int_Confianca'!BX46</f>
        <v>1.4200000000000001E-2</v>
      </c>
      <c r="CA291">
        <f>'2020_2021_efet Int_Confianca'!BY46</f>
        <v>1.47E-2</v>
      </c>
      <c r="CB291">
        <f>'2020_2021_efet Int_Confianca'!BZ46</f>
        <v>1.4500000000000001E-2</v>
      </c>
      <c r="CC291">
        <f>'2020_2021_efet Int_Confianca'!CA46</f>
        <v>1.5100000000000001E-2</v>
      </c>
      <c r="CD291">
        <f>'2020_2021_efet Int_Confianca'!CB46</f>
        <v>1.6199999999999999E-2</v>
      </c>
      <c r="CE291">
        <f>'2020_2021_efet Int_Confianca'!CC46</f>
        <v>1.6899999999999998E-2</v>
      </c>
      <c r="CF291">
        <f>'2020_2021_efet Int_Confianca'!CD46</f>
        <v>1.7600000000000001E-2</v>
      </c>
      <c r="CG291">
        <f>'2020_2021_efet Int_Confianca'!CE46</f>
        <v>1.7399999999999999E-2</v>
      </c>
      <c r="CH291">
        <f>'2020_2021_efet Int_Confianca'!CF46</f>
        <v>1.6799999999999999E-2</v>
      </c>
      <c r="CI291">
        <f>'2020_2021_efet Int_Confianca'!CG46</f>
        <v>1.6E-2</v>
      </c>
      <c r="CJ291">
        <f>'2020_2021_efet Int_Confianca'!CH46</f>
        <v>1.55E-2</v>
      </c>
      <c r="CK291">
        <f>'2020_2021_efet Int_Confianca'!CI46</f>
        <v>1.7500000000000002E-2</v>
      </c>
      <c r="CL291">
        <f>'2020_2021_efet Int_Confianca'!CJ46</f>
        <v>1.7299999999999999E-2</v>
      </c>
      <c r="CM291">
        <f>'2020_2021_efet Int_Confianca'!CK46</f>
        <v>1.72E-2</v>
      </c>
      <c r="CN291">
        <f>'2020_2021_efet Int_Confianca'!CL46</f>
        <v>1.66E-2</v>
      </c>
      <c r="CO291">
        <f>'2020_2021_efet Int_Confianca'!CM46</f>
        <v>1.9400000000000001E-2</v>
      </c>
      <c r="CP291">
        <f>'2020_2021_efet Int_Confianca'!CN46</f>
        <v>2.0400000000000001E-2</v>
      </c>
      <c r="CQ291">
        <f>'2020_2021_efet Int_Confianca'!CO46</f>
        <v>2.1499999999999998E-2</v>
      </c>
      <c r="CR291">
        <f>'2020_2021_efet Int_Confianca'!CP46</f>
        <v>2.1700000000000001E-2</v>
      </c>
      <c r="CS291">
        <f>'2020_2021_efet Int_Confianca'!CQ46</f>
        <v>2.0299999999999999E-2</v>
      </c>
      <c r="CT291">
        <f>'2020_2021_efet Int_Confianca'!CR46</f>
        <v>2.0500000000000001E-2</v>
      </c>
      <c r="CU291">
        <f>'2020_2021_efet Int_Confianca'!CS46</f>
        <v>1.77E-2</v>
      </c>
      <c r="CV291">
        <f>'2020_2021_efet Int_Confianca'!CT46</f>
        <v>2.3900000000000001E-2</v>
      </c>
      <c r="CW291">
        <f>'2020_2021_efet Int_Confianca'!CU46</f>
        <v>2.0500000000000001E-2</v>
      </c>
      <c r="CX291">
        <f>'2020_2021_efet Int_Confianca'!CV46</f>
        <v>2.9399999999999999E-2</v>
      </c>
    </row>
    <row r="292" spans="1:102" x14ac:dyDescent="0.2">
      <c r="A292" t="s">
        <v>5913</v>
      </c>
      <c r="B292" t="s">
        <v>218</v>
      </c>
      <c r="C292" t="s">
        <v>223</v>
      </c>
      <c r="D292">
        <f>'2020_2021_efet Int_Confianca'!B47</f>
        <v>-2.0000000000000001E-4</v>
      </c>
      <c r="E292">
        <f>'2020_2021_efet Int_Confianca'!C47</f>
        <v>-2.0000000000000001E-4</v>
      </c>
      <c r="F292">
        <f>'2020_2021_efet Int_Confianca'!D47</f>
        <v>-2.0000000000000001E-4</v>
      </c>
      <c r="G292">
        <f>'2020_2021_efet Int_Confianca'!E47</f>
        <v>-2.5999999999999999E-3</v>
      </c>
      <c r="H292">
        <f>'2020_2021_efet Int_Confianca'!F47</f>
        <v>-1.6999999999999999E-3</v>
      </c>
      <c r="I292">
        <f>'2020_2021_efet Int_Confianca'!G47</f>
        <v>-1.5E-3</v>
      </c>
      <c r="J292">
        <f>'2020_2021_efet Int_Confianca'!H47</f>
        <v>-1.5E-3</v>
      </c>
      <c r="K292">
        <f>'2020_2021_efet Int_Confianca'!I47</f>
        <v>-1.4E-3</v>
      </c>
      <c r="L292">
        <f>'2020_2021_efet Int_Confianca'!J47</f>
        <v>-1.4E-3</v>
      </c>
      <c r="M292">
        <f>'2020_2021_efet Int_Confianca'!K47</f>
        <v>-1.2999999999999999E-3</v>
      </c>
      <c r="N292">
        <f>'2020_2021_efet Int_Confianca'!L47</f>
        <v>-1.1999999999999999E-3</v>
      </c>
      <c r="O292">
        <f>'2020_2021_efet Int_Confianca'!M47</f>
        <v>-1.1999999999999999E-3</v>
      </c>
      <c r="P292">
        <f>'2020_2021_efet Int_Confianca'!N47</f>
        <v>-1E-3</v>
      </c>
      <c r="Q292">
        <f>'2020_2021_efet Int_Confianca'!O47</f>
        <v>-6.9999999999999999E-4</v>
      </c>
      <c r="R292">
        <f>'2020_2021_efet Int_Confianca'!P47</f>
        <v>-6.9999999999999999E-4</v>
      </c>
      <c r="S292">
        <f>'2020_2021_efet Int_Confianca'!Q47</f>
        <v>-6.9999999999999999E-4</v>
      </c>
      <c r="T292">
        <f>'2020_2021_efet Int_Confianca'!R47</f>
        <v>-5.9999999999999995E-4</v>
      </c>
      <c r="U292">
        <f>'2020_2021_efet Int_Confianca'!S47</f>
        <v>-5.0000000000000001E-4</v>
      </c>
      <c r="V292">
        <f>'2020_2021_efet Int_Confianca'!T47</f>
        <v>-5.0000000000000001E-4</v>
      </c>
      <c r="W292">
        <f>'2020_2021_efet Int_Confianca'!U47</f>
        <v>-4.0000000000000002E-4</v>
      </c>
      <c r="X292">
        <f>'2020_2021_efet Int_Confianca'!V47</f>
        <v>-5.0000000000000001E-4</v>
      </c>
      <c r="Y292">
        <f>'2020_2021_efet Int_Confianca'!W47</f>
        <v>-4.0000000000000002E-4</v>
      </c>
      <c r="Z292">
        <f>'2020_2021_efet Int_Confianca'!X47</f>
        <v>-5.0000000000000001E-4</v>
      </c>
      <c r="AA292">
        <f>'2020_2021_efet Int_Confianca'!Y47</f>
        <v>-5.0000000000000001E-4</v>
      </c>
      <c r="AB292">
        <f>'2020_2021_efet Int_Confianca'!Z47</f>
        <v>-5.0000000000000001E-4</v>
      </c>
      <c r="AC292">
        <f>'2020_2021_efet Int_Confianca'!AA47</f>
        <v>-5.0000000000000001E-4</v>
      </c>
      <c r="AD292">
        <f>'2020_2021_efet Int_Confianca'!AB47</f>
        <v>-5.0000000000000001E-4</v>
      </c>
      <c r="AE292">
        <f>'2020_2021_efet Int_Confianca'!AC47</f>
        <v>-5.0000000000000001E-4</v>
      </c>
      <c r="AF292">
        <f>'2020_2021_efet Int_Confianca'!AD47</f>
        <v>-5.9999999999999995E-4</v>
      </c>
      <c r="AG292">
        <f>'2020_2021_efet Int_Confianca'!AE47</f>
        <v>-5.9999999999999995E-4</v>
      </c>
      <c r="AH292">
        <f>'2020_2021_efet Int_Confianca'!AF47</f>
        <v>-6.9999999999999999E-4</v>
      </c>
      <c r="AI292">
        <f>'2020_2021_efet Int_Confianca'!AG47</f>
        <v>-6.9999999999999999E-4</v>
      </c>
      <c r="AJ292">
        <f>'2020_2021_efet Int_Confianca'!AH47</f>
        <v>-6.9999999999999999E-4</v>
      </c>
      <c r="AK292">
        <f>'2020_2021_efet Int_Confianca'!AI47</f>
        <v>-6.9999999999999999E-4</v>
      </c>
      <c r="AL292">
        <f>'2020_2021_efet Int_Confianca'!AJ47</f>
        <v>-8.0000000000000004E-4</v>
      </c>
      <c r="AM292">
        <f>'2020_2021_efet Int_Confianca'!AK47</f>
        <v>-8.0000000000000004E-4</v>
      </c>
      <c r="AN292">
        <f>'2020_2021_efet Int_Confianca'!AL47</f>
        <v>-8.0000000000000004E-4</v>
      </c>
      <c r="AO292">
        <f>'2020_2021_efet Int_Confianca'!AM47</f>
        <v>-8.0000000000000004E-4</v>
      </c>
      <c r="AP292">
        <f>'2020_2021_efet Int_Confianca'!AN47</f>
        <v>-8.0000000000000004E-4</v>
      </c>
      <c r="AQ292">
        <f>'2020_2021_efet Int_Confianca'!AO47</f>
        <v>-8.0000000000000004E-4</v>
      </c>
      <c r="AR292">
        <f>'2020_2021_efet Int_Confianca'!AP47</f>
        <v>-8.0000000000000004E-4</v>
      </c>
      <c r="AS292">
        <f>'2020_2021_efet Int_Confianca'!AQ47</f>
        <v>-8.0000000000000004E-4</v>
      </c>
      <c r="AT292">
        <f>'2020_2021_efet Int_Confianca'!AR47</f>
        <v>-8.0000000000000004E-4</v>
      </c>
      <c r="AU292">
        <f>'2020_2021_efet Int_Confianca'!AS47</f>
        <v>-8.9999999999999998E-4</v>
      </c>
      <c r="AV292">
        <f>'2020_2021_efet Int_Confianca'!AT47</f>
        <v>-8.9999999999999998E-4</v>
      </c>
      <c r="AW292">
        <f>'2020_2021_efet Int_Confianca'!AU47</f>
        <v>-8.9999999999999998E-4</v>
      </c>
      <c r="AX292">
        <f>'2020_2021_efet Int_Confianca'!AV47</f>
        <v>-8.9999999999999998E-4</v>
      </c>
      <c r="AY292">
        <f>'2020_2021_efet Int_Confianca'!AW47</f>
        <v>-8.9999999999999998E-4</v>
      </c>
      <c r="AZ292">
        <f>'2020_2021_efet Int_Confianca'!AX47</f>
        <v>-1E-3</v>
      </c>
      <c r="BA292">
        <f>'2020_2021_efet Int_Confianca'!AY47</f>
        <v>-1E-3</v>
      </c>
      <c r="BB292">
        <f>'2020_2021_efet Int_Confianca'!AZ47</f>
        <v>-1E-3</v>
      </c>
      <c r="BC292">
        <f>'2020_2021_efet Int_Confianca'!BA47</f>
        <v>-1E-3</v>
      </c>
      <c r="BD292">
        <f>'2020_2021_efet Int_Confianca'!BB47</f>
        <v>-1E-3</v>
      </c>
      <c r="BE292">
        <f>'2020_2021_efet Int_Confianca'!BC47</f>
        <v>-1E-3</v>
      </c>
      <c r="BF292">
        <f>'2020_2021_efet Int_Confianca'!BD47</f>
        <v>-1E-3</v>
      </c>
      <c r="BG292">
        <f>'2020_2021_efet Int_Confianca'!BE47</f>
        <v>-1E-3</v>
      </c>
      <c r="BH292">
        <f>'2020_2021_efet Int_Confianca'!BF47</f>
        <v>-1E-3</v>
      </c>
      <c r="BI292">
        <f>'2020_2021_efet Int_Confianca'!BG47</f>
        <v>-1E-3</v>
      </c>
      <c r="BJ292">
        <f>'2020_2021_efet Int_Confianca'!BH47</f>
        <v>-1E-3</v>
      </c>
      <c r="BK292">
        <f>'2020_2021_efet Int_Confianca'!BI47</f>
        <v>-1E-3</v>
      </c>
      <c r="BL292">
        <f>'2020_2021_efet Int_Confianca'!BJ47</f>
        <v>-1E-3</v>
      </c>
      <c r="BM292">
        <f>'2020_2021_efet Int_Confianca'!BK47</f>
        <v>-1E-3</v>
      </c>
      <c r="BN292">
        <f>'2020_2021_efet Int_Confianca'!BL47</f>
        <v>-1E-3</v>
      </c>
      <c r="BO292">
        <f>'2020_2021_efet Int_Confianca'!BM47</f>
        <v>-1E-3</v>
      </c>
      <c r="BP292">
        <f>'2020_2021_efet Int_Confianca'!BN47</f>
        <v>-1.1000000000000001E-3</v>
      </c>
      <c r="BQ292">
        <f>'2020_2021_efet Int_Confianca'!BO47</f>
        <v>-1.1999999999999999E-3</v>
      </c>
      <c r="BR292">
        <f>'2020_2021_efet Int_Confianca'!BP47</f>
        <v>-1.1999999999999999E-3</v>
      </c>
      <c r="BS292">
        <f>'2020_2021_efet Int_Confianca'!BQ47</f>
        <v>-1.1999999999999999E-3</v>
      </c>
      <c r="BT292">
        <f>'2020_2021_efet Int_Confianca'!BR47</f>
        <v>-1.1999999999999999E-3</v>
      </c>
      <c r="BU292">
        <f>'2020_2021_efet Int_Confianca'!BS47</f>
        <v>-1.1999999999999999E-3</v>
      </c>
      <c r="BV292">
        <f>'2020_2021_efet Int_Confianca'!BT47</f>
        <v>-1.1999999999999999E-3</v>
      </c>
      <c r="BW292">
        <f>'2020_2021_efet Int_Confianca'!BU47</f>
        <v>-1.1999999999999999E-3</v>
      </c>
      <c r="BX292">
        <f>'2020_2021_efet Int_Confianca'!BV47</f>
        <v>-1.1999999999999999E-3</v>
      </c>
      <c r="BY292">
        <f>'2020_2021_efet Int_Confianca'!BW47</f>
        <v>-1.1999999999999999E-3</v>
      </c>
      <c r="BZ292">
        <f>'2020_2021_efet Int_Confianca'!BX47</f>
        <v>-1.1999999999999999E-3</v>
      </c>
      <c r="CA292">
        <f>'2020_2021_efet Int_Confianca'!BY47</f>
        <v>-1.2999999999999999E-3</v>
      </c>
      <c r="CB292">
        <f>'2020_2021_efet Int_Confianca'!BZ47</f>
        <v>-1.2999999999999999E-3</v>
      </c>
      <c r="CC292">
        <f>'2020_2021_efet Int_Confianca'!CA47</f>
        <v>-1.2999999999999999E-3</v>
      </c>
      <c r="CD292">
        <f>'2020_2021_efet Int_Confianca'!CB47</f>
        <v>-1.4E-3</v>
      </c>
      <c r="CE292">
        <f>'2020_2021_efet Int_Confianca'!CC47</f>
        <v>-1.5E-3</v>
      </c>
      <c r="CF292">
        <f>'2020_2021_efet Int_Confianca'!CD47</f>
        <v>-1.6000000000000001E-3</v>
      </c>
      <c r="CG292">
        <f>'2020_2021_efet Int_Confianca'!CE47</f>
        <v>-1.5E-3</v>
      </c>
      <c r="CH292">
        <f>'2020_2021_efet Int_Confianca'!CF47</f>
        <v>-1.5E-3</v>
      </c>
      <c r="CI292">
        <f>'2020_2021_efet Int_Confianca'!CG47</f>
        <v>-1.5E-3</v>
      </c>
      <c r="CJ292">
        <f>'2020_2021_efet Int_Confianca'!CH47</f>
        <v>-1.5E-3</v>
      </c>
      <c r="CK292">
        <f>'2020_2021_efet Int_Confianca'!CI47</f>
        <v>-1.6999999999999999E-3</v>
      </c>
      <c r="CL292">
        <f>'2020_2021_efet Int_Confianca'!CJ47</f>
        <v>-1.6000000000000001E-3</v>
      </c>
      <c r="CM292">
        <f>'2020_2021_efet Int_Confianca'!CK47</f>
        <v>-1.6999999999999999E-3</v>
      </c>
      <c r="CN292">
        <f>'2020_2021_efet Int_Confianca'!CL47</f>
        <v>-1.6000000000000001E-3</v>
      </c>
      <c r="CO292">
        <f>'2020_2021_efet Int_Confianca'!CM47</f>
        <v>-1.9E-3</v>
      </c>
      <c r="CP292">
        <f>'2020_2021_efet Int_Confianca'!CN47</f>
        <v>-2E-3</v>
      </c>
      <c r="CQ292">
        <f>'2020_2021_efet Int_Confianca'!CO47</f>
        <v>-2.2000000000000001E-3</v>
      </c>
      <c r="CR292">
        <f>'2020_2021_efet Int_Confianca'!CP47</f>
        <v>-2.2000000000000001E-3</v>
      </c>
      <c r="CS292">
        <f>'2020_2021_efet Int_Confianca'!CQ47</f>
        <v>-2.2000000000000001E-3</v>
      </c>
      <c r="CT292">
        <f>'2020_2021_efet Int_Confianca'!CR47</f>
        <v>-2.3E-3</v>
      </c>
      <c r="CU292">
        <f>'2020_2021_efet Int_Confianca'!CS47</f>
        <v>-2E-3</v>
      </c>
      <c r="CV292">
        <f>'2020_2021_efet Int_Confianca'!CT47</f>
        <v>-2.5999999999999999E-3</v>
      </c>
      <c r="CW292">
        <f>'2020_2021_efet Int_Confianca'!CU47</f>
        <v>-2E-3</v>
      </c>
      <c r="CX292">
        <f>'2020_2021_efet Int_Confianca'!CV47</f>
        <v>-2.7000000000000001E-3</v>
      </c>
    </row>
    <row r="293" spans="1:102" x14ac:dyDescent="0.2">
      <c r="A293" t="s">
        <v>5914</v>
      </c>
      <c r="B293" t="s">
        <v>218</v>
      </c>
      <c r="C293" t="s">
        <v>223</v>
      </c>
      <c r="D293">
        <f>'2020_2021_efet Int_Confianca'!B48</f>
        <v>2.9999999999999997E-4</v>
      </c>
      <c r="E293">
        <f>'2020_2021_efet Int_Confianca'!C48</f>
        <v>2.9999999999999997E-4</v>
      </c>
      <c r="F293">
        <f>'2020_2021_efet Int_Confianca'!D48</f>
        <v>2.9999999999999997E-4</v>
      </c>
      <c r="G293">
        <f>'2020_2021_efet Int_Confianca'!E48</f>
        <v>4.1000000000000003E-3</v>
      </c>
      <c r="H293">
        <f>'2020_2021_efet Int_Confianca'!F48</f>
        <v>2.5999999999999999E-3</v>
      </c>
      <c r="I293">
        <f>'2020_2021_efet Int_Confianca'!G48</f>
        <v>2.3E-3</v>
      </c>
      <c r="J293">
        <f>'2020_2021_efet Int_Confianca'!H48</f>
        <v>2.3E-3</v>
      </c>
      <c r="K293">
        <f>'2020_2021_efet Int_Confianca'!I48</f>
        <v>2.0999999999999999E-3</v>
      </c>
      <c r="L293">
        <f>'2020_2021_efet Int_Confianca'!J48</f>
        <v>2.2000000000000001E-3</v>
      </c>
      <c r="M293">
        <f>'2020_2021_efet Int_Confianca'!K48</f>
        <v>2E-3</v>
      </c>
      <c r="N293">
        <f>'2020_2021_efet Int_Confianca'!L48</f>
        <v>1.9E-3</v>
      </c>
      <c r="O293">
        <f>'2020_2021_efet Int_Confianca'!M48</f>
        <v>1.9E-3</v>
      </c>
      <c r="P293">
        <f>'2020_2021_efet Int_Confianca'!N48</f>
        <v>1.6000000000000001E-3</v>
      </c>
      <c r="Q293">
        <f>'2020_2021_efet Int_Confianca'!O48</f>
        <v>1.1000000000000001E-3</v>
      </c>
      <c r="R293">
        <f>'2020_2021_efet Int_Confianca'!P48</f>
        <v>1.1999999999999999E-3</v>
      </c>
      <c r="S293">
        <f>'2020_2021_efet Int_Confianca'!Q48</f>
        <v>1E-3</v>
      </c>
      <c r="T293">
        <f>'2020_2021_efet Int_Confianca'!R48</f>
        <v>8.9999999999999998E-4</v>
      </c>
      <c r="U293">
        <f>'2020_2021_efet Int_Confianca'!S48</f>
        <v>8.0000000000000004E-4</v>
      </c>
      <c r="V293">
        <f>'2020_2021_efet Int_Confianca'!T48</f>
        <v>6.9999999999999999E-4</v>
      </c>
      <c r="W293">
        <f>'2020_2021_efet Int_Confianca'!U48</f>
        <v>6.9999999999999999E-4</v>
      </c>
      <c r="X293">
        <f>'2020_2021_efet Int_Confianca'!V48</f>
        <v>6.9999999999999999E-4</v>
      </c>
      <c r="Y293">
        <f>'2020_2021_efet Int_Confianca'!W48</f>
        <v>6.9999999999999999E-4</v>
      </c>
      <c r="Z293">
        <f>'2020_2021_efet Int_Confianca'!X48</f>
        <v>6.9999999999999999E-4</v>
      </c>
      <c r="AA293">
        <f>'2020_2021_efet Int_Confianca'!Y48</f>
        <v>6.9999999999999999E-4</v>
      </c>
      <c r="AB293">
        <f>'2020_2021_efet Int_Confianca'!Z48</f>
        <v>8.0000000000000004E-4</v>
      </c>
      <c r="AC293">
        <f>'2020_2021_efet Int_Confianca'!AA48</f>
        <v>8.0000000000000004E-4</v>
      </c>
      <c r="AD293">
        <f>'2020_2021_efet Int_Confianca'!AB48</f>
        <v>8.0000000000000004E-4</v>
      </c>
      <c r="AE293">
        <f>'2020_2021_efet Int_Confianca'!AC48</f>
        <v>8.9999999999999998E-4</v>
      </c>
      <c r="AF293">
        <f>'2020_2021_efet Int_Confianca'!AD48</f>
        <v>8.9999999999999998E-4</v>
      </c>
      <c r="AG293">
        <f>'2020_2021_efet Int_Confianca'!AE48</f>
        <v>1E-3</v>
      </c>
      <c r="AH293">
        <f>'2020_2021_efet Int_Confianca'!AF48</f>
        <v>1E-3</v>
      </c>
      <c r="AI293">
        <f>'2020_2021_efet Int_Confianca'!AG48</f>
        <v>1.1000000000000001E-3</v>
      </c>
      <c r="AJ293">
        <f>'2020_2021_efet Int_Confianca'!AH48</f>
        <v>1.1000000000000001E-3</v>
      </c>
      <c r="AK293">
        <f>'2020_2021_efet Int_Confianca'!AI48</f>
        <v>1.1999999999999999E-3</v>
      </c>
      <c r="AL293">
        <f>'2020_2021_efet Int_Confianca'!AJ48</f>
        <v>1.1999999999999999E-3</v>
      </c>
      <c r="AM293">
        <f>'2020_2021_efet Int_Confianca'!AK48</f>
        <v>1.1999999999999999E-3</v>
      </c>
      <c r="AN293">
        <f>'2020_2021_efet Int_Confianca'!AL48</f>
        <v>1.1999999999999999E-3</v>
      </c>
      <c r="AO293">
        <f>'2020_2021_efet Int_Confianca'!AM48</f>
        <v>1.1999999999999999E-3</v>
      </c>
      <c r="AP293">
        <f>'2020_2021_efet Int_Confianca'!AN48</f>
        <v>1.2999999999999999E-3</v>
      </c>
      <c r="AQ293">
        <f>'2020_2021_efet Int_Confianca'!AO48</f>
        <v>1.2999999999999999E-3</v>
      </c>
      <c r="AR293">
        <f>'2020_2021_efet Int_Confianca'!AP48</f>
        <v>1.2999999999999999E-3</v>
      </c>
      <c r="AS293">
        <f>'2020_2021_efet Int_Confianca'!AQ48</f>
        <v>1.2999999999999999E-3</v>
      </c>
      <c r="AT293">
        <f>'2020_2021_efet Int_Confianca'!AR48</f>
        <v>1.2999999999999999E-3</v>
      </c>
      <c r="AU293">
        <f>'2020_2021_efet Int_Confianca'!AS48</f>
        <v>1.4E-3</v>
      </c>
      <c r="AV293">
        <f>'2020_2021_efet Int_Confianca'!AT48</f>
        <v>1.4E-3</v>
      </c>
      <c r="AW293">
        <f>'2020_2021_efet Int_Confianca'!AU48</f>
        <v>1.4E-3</v>
      </c>
      <c r="AX293">
        <f>'2020_2021_efet Int_Confianca'!AV48</f>
        <v>1.5E-3</v>
      </c>
      <c r="AY293">
        <f>'2020_2021_efet Int_Confianca'!AW48</f>
        <v>1.5E-3</v>
      </c>
      <c r="AZ293">
        <f>'2020_2021_efet Int_Confianca'!AX48</f>
        <v>1.5E-3</v>
      </c>
      <c r="BA293">
        <f>'2020_2021_efet Int_Confianca'!AY48</f>
        <v>1.5E-3</v>
      </c>
      <c r="BB293">
        <f>'2020_2021_efet Int_Confianca'!AZ48</f>
        <v>1.6000000000000001E-3</v>
      </c>
      <c r="BC293">
        <f>'2020_2021_efet Int_Confianca'!BA48</f>
        <v>1.6000000000000001E-3</v>
      </c>
      <c r="BD293">
        <f>'2020_2021_efet Int_Confianca'!BB48</f>
        <v>1.5E-3</v>
      </c>
      <c r="BE293">
        <f>'2020_2021_efet Int_Confianca'!BC48</f>
        <v>1.6000000000000001E-3</v>
      </c>
      <c r="BF293">
        <f>'2020_2021_efet Int_Confianca'!BD48</f>
        <v>1.6000000000000001E-3</v>
      </c>
      <c r="BG293">
        <f>'2020_2021_efet Int_Confianca'!BE48</f>
        <v>1.6000000000000001E-3</v>
      </c>
      <c r="BH293">
        <f>'2020_2021_efet Int_Confianca'!BF48</f>
        <v>1.6000000000000001E-3</v>
      </c>
      <c r="BI293">
        <f>'2020_2021_efet Int_Confianca'!BG48</f>
        <v>1.5E-3</v>
      </c>
      <c r="BJ293">
        <f>'2020_2021_efet Int_Confianca'!BH48</f>
        <v>1.5E-3</v>
      </c>
      <c r="BK293">
        <f>'2020_2021_efet Int_Confianca'!BI48</f>
        <v>1.5E-3</v>
      </c>
      <c r="BL293">
        <f>'2020_2021_efet Int_Confianca'!BJ48</f>
        <v>1.5E-3</v>
      </c>
      <c r="BM293">
        <f>'2020_2021_efet Int_Confianca'!BK48</f>
        <v>1.5E-3</v>
      </c>
      <c r="BN293">
        <f>'2020_2021_efet Int_Confianca'!BL48</f>
        <v>1.5E-3</v>
      </c>
      <c r="BO293">
        <f>'2020_2021_efet Int_Confianca'!BM48</f>
        <v>1.6000000000000001E-3</v>
      </c>
      <c r="BP293">
        <f>'2020_2021_efet Int_Confianca'!BN48</f>
        <v>1.8E-3</v>
      </c>
      <c r="BQ293">
        <f>'2020_2021_efet Int_Confianca'!BO48</f>
        <v>1.9E-3</v>
      </c>
      <c r="BR293">
        <f>'2020_2021_efet Int_Confianca'!BP48</f>
        <v>1.9E-3</v>
      </c>
      <c r="BS293">
        <f>'2020_2021_efet Int_Confianca'!BQ48</f>
        <v>2E-3</v>
      </c>
      <c r="BT293">
        <f>'2020_2021_efet Int_Confianca'!BR48</f>
        <v>1.9E-3</v>
      </c>
      <c r="BU293">
        <f>'2020_2021_efet Int_Confianca'!BS48</f>
        <v>1.9E-3</v>
      </c>
      <c r="BV293">
        <f>'2020_2021_efet Int_Confianca'!BT48</f>
        <v>1.9E-3</v>
      </c>
      <c r="BW293">
        <f>'2020_2021_efet Int_Confianca'!BU48</f>
        <v>1.9E-3</v>
      </c>
      <c r="BX293">
        <f>'2020_2021_efet Int_Confianca'!BV48</f>
        <v>1.9E-3</v>
      </c>
      <c r="BY293">
        <f>'2020_2021_efet Int_Confianca'!BW48</f>
        <v>1.9E-3</v>
      </c>
      <c r="BZ293">
        <f>'2020_2021_efet Int_Confianca'!BX48</f>
        <v>2E-3</v>
      </c>
      <c r="CA293">
        <f>'2020_2021_efet Int_Confianca'!BY48</f>
        <v>2E-3</v>
      </c>
      <c r="CB293">
        <f>'2020_2021_efet Int_Confianca'!BZ48</f>
        <v>2E-3</v>
      </c>
      <c r="CC293">
        <f>'2020_2021_efet Int_Confianca'!CA48</f>
        <v>2.0999999999999999E-3</v>
      </c>
      <c r="CD293">
        <f>'2020_2021_efet Int_Confianca'!CB48</f>
        <v>2.2000000000000001E-3</v>
      </c>
      <c r="CE293">
        <f>'2020_2021_efet Int_Confianca'!CC48</f>
        <v>2.3E-3</v>
      </c>
      <c r="CF293">
        <f>'2020_2021_efet Int_Confianca'!CD48</f>
        <v>2.5000000000000001E-3</v>
      </c>
      <c r="CG293">
        <f>'2020_2021_efet Int_Confianca'!CE48</f>
        <v>2.3999999999999998E-3</v>
      </c>
      <c r="CH293">
        <f>'2020_2021_efet Int_Confianca'!CF48</f>
        <v>2.3E-3</v>
      </c>
      <c r="CI293">
        <f>'2020_2021_efet Int_Confianca'!CG48</f>
        <v>2.3E-3</v>
      </c>
      <c r="CJ293">
        <f>'2020_2021_efet Int_Confianca'!CH48</f>
        <v>2.3E-3</v>
      </c>
      <c r="CK293">
        <f>'2020_2021_efet Int_Confianca'!CI48</f>
        <v>2.5999999999999999E-3</v>
      </c>
      <c r="CL293">
        <f>'2020_2021_efet Int_Confianca'!CJ48</f>
        <v>2.5000000000000001E-3</v>
      </c>
      <c r="CM293">
        <f>'2020_2021_efet Int_Confianca'!CK48</f>
        <v>2.5999999999999999E-3</v>
      </c>
      <c r="CN293">
        <f>'2020_2021_efet Int_Confianca'!CL48</f>
        <v>2.5000000000000001E-3</v>
      </c>
      <c r="CO293">
        <f>'2020_2021_efet Int_Confianca'!CM48</f>
        <v>2.8999999999999998E-3</v>
      </c>
      <c r="CP293">
        <f>'2020_2021_efet Int_Confianca'!CN48</f>
        <v>3.2000000000000002E-3</v>
      </c>
      <c r="CQ293">
        <f>'2020_2021_efet Int_Confianca'!CO48</f>
        <v>3.3999999999999998E-3</v>
      </c>
      <c r="CR293">
        <f>'2020_2021_efet Int_Confianca'!CP48</f>
        <v>3.3999999999999998E-3</v>
      </c>
      <c r="CS293">
        <f>'2020_2021_efet Int_Confianca'!CQ48</f>
        <v>3.5000000000000001E-3</v>
      </c>
      <c r="CT293">
        <f>'2020_2021_efet Int_Confianca'!CR48</f>
        <v>3.5999999999999999E-3</v>
      </c>
      <c r="CU293">
        <f>'2020_2021_efet Int_Confianca'!CS48</f>
        <v>3.0999999999999999E-3</v>
      </c>
      <c r="CV293">
        <f>'2020_2021_efet Int_Confianca'!CT48</f>
        <v>4.1000000000000003E-3</v>
      </c>
      <c r="CW293">
        <f>'2020_2021_efet Int_Confianca'!CU48</f>
        <v>3.0999999999999999E-3</v>
      </c>
      <c r="CX293">
        <f>'2020_2021_efet Int_Confianca'!CV48</f>
        <v>4.3E-3</v>
      </c>
    </row>
    <row r="294" spans="1:102" x14ac:dyDescent="0.2">
      <c r="A294" t="s">
        <v>5915</v>
      </c>
      <c r="B294" t="s">
        <v>218</v>
      </c>
      <c r="C294" t="s">
        <v>223</v>
      </c>
      <c r="D294">
        <f>'2020_2021_efet Int_Confianca'!B49</f>
        <v>1E-4</v>
      </c>
      <c r="E294">
        <f>'2020_2021_efet Int_Confianca'!C49</f>
        <v>1E-4</v>
      </c>
      <c r="F294">
        <f>'2020_2021_efet Int_Confianca'!D49</f>
        <v>1E-4</v>
      </c>
      <c r="G294">
        <f>'2020_2021_efet Int_Confianca'!E49</f>
        <v>1.9E-3</v>
      </c>
      <c r="H294">
        <f>'2020_2021_efet Int_Confianca'!F49</f>
        <v>1E-3</v>
      </c>
      <c r="I294">
        <f>'2020_2021_efet Int_Confianca'!G49</f>
        <v>6.9999999999999999E-4</v>
      </c>
      <c r="J294">
        <f>'2020_2021_efet Int_Confianca'!H49</f>
        <v>5.9999999999999995E-4</v>
      </c>
      <c r="K294">
        <f>'2020_2021_efet Int_Confianca'!I49</f>
        <v>5.9999999999999995E-4</v>
      </c>
      <c r="L294">
        <f>'2020_2021_efet Int_Confianca'!J49</f>
        <v>5.9999999999999995E-4</v>
      </c>
      <c r="M294">
        <f>'2020_2021_efet Int_Confianca'!K49</f>
        <v>5.9999999999999995E-4</v>
      </c>
      <c r="N294">
        <f>'2020_2021_efet Int_Confianca'!L49</f>
        <v>5.0000000000000001E-4</v>
      </c>
      <c r="O294">
        <f>'2020_2021_efet Int_Confianca'!M49</f>
        <v>5.9999999999999995E-4</v>
      </c>
      <c r="P294">
        <f>'2020_2021_efet Int_Confianca'!N49</f>
        <v>5.0000000000000001E-4</v>
      </c>
      <c r="Q294">
        <f>'2020_2021_efet Int_Confianca'!O49</f>
        <v>4.0000000000000002E-4</v>
      </c>
      <c r="R294">
        <f>'2020_2021_efet Int_Confianca'!P49</f>
        <v>4.0000000000000002E-4</v>
      </c>
      <c r="S294">
        <f>'2020_2021_efet Int_Confianca'!Q49</f>
        <v>2.9999999999999997E-4</v>
      </c>
      <c r="T294">
        <f>'2020_2021_efet Int_Confianca'!R49</f>
        <v>2.9999999999999997E-4</v>
      </c>
      <c r="U294">
        <f>'2020_2021_efet Int_Confianca'!S49</f>
        <v>2.9999999999999997E-4</v>
      </c>
      <c r="V294">
        <f>'2020_2021_efet Int_Confianca'!T49</f>
        <v>2.9999999999999997E-4</v>
      </c>
      <c r="W294">
        <f>'2020_2021_efet Int_Confianca'!U49</f>
        <v>2.9999999999999997E-4</v>
      </c>
      <c r="X294">
        <f>'2020_2021_efet Int_Confianca'!V49</f>
        <v>4.0000000000000002E-4</v>
      </c>
      <c r="Y294">
        <f>'2020_2021_efet Int_Confianca'!W49</f>
        <v>2.9999999999999997E-4</v>
      </c>
      <c r="Z294">
        <f>'2020_2021_efet Int_Confianca'!X49</f>
        <v>4.0000000000000002E-4</v>
      </c>
      <c r="AA294">
        <f>'2020_2021_efet Int_Confianca'!Y49</f>
        <v>2.9999999999999997E-4</v>
      </c>
      <c r="AB294">
        <f>'2020_2021_efet Int_Confianca'!Z49</f>
        <v>4.0000000000000002E-4</v>
      </c>
      <c r="AC294">
        <f>'2020_2021_efet Int_Confianca'!AA49</f>
        <v>2.9999999999999997E-4</v>
      </c>
      <c r="AD294">
        <f>'2020_2021_efet Int_Confianca'!AB49</f>
        <v>4.0000000000000002E-4</v>
      </c>
      <c r="AE294">
        <f>'2020_2021_efet Int_Confianca'!AC49</f>
        <v>4.0000000000000002E-4</v>
      </c>
      <c r="AF294">
        <f>'2020_2021_efet Int_Confianca'!AD49</f>
        <v>4.0000000000000002E-4</v>
      </c>
      <c r="AG294">
        <f>'2020_2021_efet Int_Confianca'!AE49</f>
        <v>5.0000000000000001E-4</v>
      </c>
      <c r="AH294">
        <f>'2020_2021_efet Int_Confianca'!AF49</f>
        <v>5.0000000000000001E-4</v>
      </c>
      <c r="AI294">
        <f>'2020_2021_efet Int_Confianca'!AG49</f>
        <v>5.9999999999999995E-4</v>
      </c>
      <c r="AJ294">
        <f>'2020_2021_efet Int_Confianca'!AH49</f>
        <v>5.9999999999999995E-4</v>
      </c>
      <c r="AK294">
        <f>'2020_2021_efet Int_Confianca'!AI49</f>
        <v>6.9999999999999999E-4</v>
      </c>
      <c r="AL294">
        <f>'2020_2021_efet Int_Confianca'!AJ49</f>
        <v>5.9999999999999995E-4</v>
      </c>
      <c r="AM294">
        <f>'2020_2021_efet Int_Confianca'!AK49</f>
        <v>6.9999999999999999E-4</v>
      </c>
      <c r="AN294">
        <f>'2020_2021_efet Int_Confianca'!AL49</f>
        <v>6.9999999999999999E-4</v>
      </c>
      <c r="AO294">
        <f>'2020_2021_efet Int_Confianca'!AM49</f>
        <v>6.9999999999999999E-4</v>
      </c>
      <c r="AP294">
        <f>'2020_2021_efet Int_Confianca'!AN49</f>
        <v>6.9999999999999999E-4</v>
      </c>
      <c r="AQ294">
        <f>'2020_2021_efet Int_Confianca'!AO49</f>
        <v>8.0000000000000004E-4</v>
      </c>
      <c r="AR294">
        <f>'2020_2021_efet Int_Confianca'!AP49</f>
        <v>8.0000000000000004E-4</v>
      </c>
      <c r="AS294">
        <f>'2020_2021_efet Int_Confianca'!AQ49</f>
        <v>8.0000000000000004E-4</v>
      </c>
      <c r="AT294">
        <f>'2020_2021_efet Int_Confianca'!AR49</f>
        <v>8.0000000000000004E-4</v>
      </c>
      <c r="AU294">
        <f>'2020_2021_efet Int_Confianca'!AS49</f>
        <v>8.0000000000000004E-4</v>
      </c>
      <c r="AV294">
        <f>'2020_2021_efet Int_Confianca'!AT49</f>
        <v>8.9999999999999998E-4</v>
      </c>
      <c r="AW294">
        <f>'2020_2021_efet Int_Confianca'!AU49</f>
        <v>8.9999999999999998E-4</v>
      </c>
      <c r="AX294">
        <f>'2020_2021_efet Int_Confianca'!AV49</f>
        <v>8.9999999999999998E-4</v>
      </c>
      <c r="AY294">
        <f>'2020_2021_efet Int_Confianca'!AW49</f>
        <v>8.9999999999999998E-4</v>
      </c>
      <c r="AZ294">
        <f>'2020_2021_efet Int_Confianca'!AX49</f>
        <v>1E-3</v>
      </c>
      <c r="BA294">
        <f>'2020_2021_efet Int_Confianca'!AY49</f>
        <v>1E-3</v>
      </c>
      <c r="BB294">
        <f>'2020_2021_efet Int_Confianca'!AZ49</f>
        <v>1E-3</v>
      </c>
      <c r="BC294">
        <f>'2020_2021_efet Int_Confianca'!BA49</f>
        <v>1.1000000000000001E-3</v>
      </c>
      <c r="BD294">
        <f>'2020_2021_efet Int_Confianca'!BB49</f>
        <v>1.1000000000000001E-3</v>
      </c>
      <c r="BE294">
        <f>'2020_2021_efet Int_Confianca'!BC49</f>
        <v>1.1000000000000001E-3</v>
      </c>
      <c r="BF294">
        <f>'2020_2021_efet Int_Confianca'!BD49</f>
        <v>1.1000000000000001E-3</v>
      </c>
      <c r="BG294">
        <f>'2020_2021_efet Int_Confianca'!BE49</f>
        <v>1.1000000000000001E-3</v>
      </c>
      <c r="BH294">
        <f>'2020_2021_efet Int_Confianca'!BF49</f>
        <v>1E-3</v>
      </c>
      <c r="BI294">
        <f>'2020_2021_efet Int_Confianca'!BG49</f>
        <v>1E-3</v>
      </c>
      <c r="BJ294">
        <f>'2020_2021_efet Int_Confianca'!BH49</f>
        <v>1E-3</v>
      </c>
      <c r="BK294">
        <f>'2020_2021_efet Int_Confianca'!BI49</f>
        <v>1.1000000000000001E-3</v>
      </c>
      <c r="BL294">
        <f>'2020_2021_efet Int_Confianca'!BJ49</f>
        <v>1E-3</v>
      </c>
      <c r="BM294">
        <f>'2020_2021_efet Int_Confianca'!BK49</f>
        <v>8.9999999999999998E-4</v>
      </c>
      <c r="BN294">
        <f>'2020_2021_efet Int_Confianca'!BL49</f>
        <v>1E-3</v>
      </c>
      <c r="BO294">
        <f>'2020_2021_efet Int_Confianca'!BM49</f>
        <v>1E-3</v>
      </c>
      <c r="BP294">
        <f>'2020_2021_efet Int_Confianca'!BN49</f>
        <v>1.1999999999999999E-3</v>
      </c>
      <c r="BQ294">
        <f>'2020_2021_efet Int_Confianca'!BO49</f>
        <v>1.2999999999999999E-3</v>
      </c>
      <c r="BR294">
        <f>'2020_2021_efet Int_Confianca'!BP49</f>
        <v>1.2999999999999999E-3</v>
      </c>
      <c r="BS294">
        <f>'2020_2021_efet Int_Confianca'!BQ49</f>
        <v>1.4E-3</v>
      </c>
      <c r="BT294">
        <f>'2020_2021_efet Int_Confianca'!BR49</f>
        <v>1.4E-3</v>
      </c>
      <c r="BU294">
        <f>'2020_2021_efet Int_Confianca'!BS49</f>
        <v>1.4E-3</v>
      </c>
      <c r="BV294">
        <f>'2020_2021_efet Int_Confianca'!BT49</f>
        <v>1.4E-3</v>
      </c>
      <c r="BW294">
        <f>'2020_2021_efet Int_Confianca'!BU49</f>
        <v>1.4E-3</v>
      </c>
      <c r="BX294">
        <f>'2020_2021_efet Int_Confianca'!BV49</f>
        <v>1.5E-3</v>
      </c>
      <c r="BY294">
        <f>'2020_2021_efet Int_Confianca'!BW49</f>
        <v>1.5E-3</v>
      </c>
      <c r="BZ294">
        <f>'2020_2021_efet Int_Confianca'!BX49</f>
        <v>1.5E-3</v>
      </c>
      <c r="CA294">
        <f>'2020_2021_efet Int_Confianca'!BY49</f>
        <v>1.6000000000000001E-3</v>
      </c>
      <c r="CB294">
        <f>'2020_2021_efet Int_Confianca'!BZ49</f>
        <v>1.5E-3</v>
      </c>
      <c r="CC294">
        <f>'2020_2021_efet Int_Confianca'!CA49</f>
        <v>1.6000000000000001E-3</v>
      </c>
      <c r="CD294">
        <f>'2020_2021_efet Int_Confianca'!CB49</f>
        <v>1.6999999999999999E-3</v>
      </c>
      <c r="CE294">
        <f>'2020_2021_efet Int_Confianca'!CC49</f>
        <v>1.8E-3</v>
      </c>
      <c r="CF294">
        <f>'2020_2021_efet Int_Confianca'!CD49</f>
        <v>1.9E-3</v>
      </c>
      <c r="CG294">
        <f>'2020_2021_efet Int_Confianca'!CE49</f>
        <v>1.9E-3</v>
      </c>
      <c r="CH294">
        <f>'2020_2021_efet Int_Confianca'!CF49</f>
        <v>1.9E-3</v>
      </c>
      <c r="CI294">
        <f>'2020_2021_efet Int_Confianca'!CG49</f>
        <v>1.8E-3</v>
      </c>
      <c r="CJ294">
        <f>'2020_2021_efet Int_Confianca'!CH49</f>
        <v>1.9E-3</v>
      </c>
      <c r="CK294">
        <f>'2020_2021_efet Int_Confianca'!CI49</f>
        <v>2.2000000000000001E-3</v>
      </c>
      <c r="CL294">
        <f>'2020_2021_efet Int_Confianca'!CJ49</f>
        <v>2.2000000000000001E-3</v>
      </c>
      <c r="CM294">
        <f>'2020_2021_efet Int_Confianca'!CK49</f>
        <v>2.2000000000000001E-3</v>
      </c>
      <c r="CN294">
        <f>'2020_2021_efet Int_Confianca'!CL49</f>
        <v>2.0999999999999999E-3</v>
      </c>
      <c r="CO294">
        <f>'2020_2021_efet Int_Confianca'!CM49</f>
        <v>2.3E-3</v>
      </c>
      <c r="CP294">
        <f>'2020_2021_efet Int_Confianca'!CN49</f>
        <v>2.3999999999999998E-3</v>
      </c>
      <c r="CQ294">
        <f>'2020_2021_efet Int_Confianca'!CO49</f>
        <v>2.7000000000000001E-3</v>
      </c>
      <c r="CR294">
        <f>'2020_2021_efet Int_Confianca'!CP49</f>
        <v>2.8E-3</v>
      </c>
      <c r="CS294">
        <f>'2020_2021_efet Int_Confianca'!CQ49</f>
        <v>2.7000000000000001E-3</v>
      </c>
      <c r="CT294">
        <f>'2020_2021_efet Int_Confianca'!CR49</f>
        <v>2.8999999999999998E-3</v>
      </c>
      <c r="CU294">
        <f>'2020_2021_efet Int_Confianca'!CS49</f>
        <v>2.5000000000000001E-3</v>
      </c>
      <c r="CV294">
        <f>'2020_2021_efet Int_Confianca'!CT49</f>
        <v>3.3E-3</v>
      </c>
      <c r="CW294">
        <f>'2020_2021_efet Int_Confianca'!CU49</f>
        <v>2.7000000000000001E-3</v>
      </c>
      <c r="CX294">
        <f>'2020_2021_efet Int_Confianca'!CV49</f>
        <v>3.0999999999999999E-3</v>
      </c>
    </row>
    <row r="295" spans="1:102" x14ac:dyDescent="0.2">
      <c r="A295" t="s">
        <v>5916</v>
      </c>
      <c r="B295" t="s">
        <v>218</v>
      </c>
      <c r="C295" t="s">
        <v>223</v>
      </c>
      <c r="D295">
        <f>'2020_2021_efet Int_Confianca'!B50</f>
        <v>4.0000000000000002E-4</v>
      </c>
      <c r="E295">
        <f>'2020_2021_efet Int_Confianca'!C50</f>
        <v>4.0000000000000002E-4</v>
      </c>
      <c r="F295">
        <f>'2020_2021_efet Int_Confianca'!D50</f>
        <v>4.0000000000000002E-4</v>
      </c>
      <c r="G295">
        <f>'2020_2021_efet Int_Confianca'!E50</f>
        <v>6.7000000000000002E-3</v>
      </c>
      <c r="H295">
        <f>'2020_2021_efet Int_Confianca'!F50</f>
        <v>3.7000000000000002E-3</v>
      </c>
      <c r="I295">
        <f>'2020_2021_efet Int_Confianca'!G50</f>
        <v>2.7000000000000001E-3</v>
      </c>
      <c r="J295">
        <f>'2020_2021_efet Int_Confianca'!H50</f>
        <v>2.3999999999999998E-3</v>
      </c>
      <c r="K295">
        <f>'2020_2021_efet Int_Confianca'!I50</f>
        <v>2.3E-3</v>
      </c>
      <c r="L295">
        <f>'2020_2021_efet Int_Confianca'!J50</f>
        <v>2.2000000000000001E-3</v>
      </c>
      <c r="M295">
        <f>'2020_2021_efet Int_Confianca'!K50</f>
        <v>2.0999999999999999E-3</v>
      </c>
      <c r="N295">
        <f>'2020_2021_efet Int_Confianca'!L50</f>
        <v>1.8E-3</v>
      </c>
      <c r="O295">
        <f>'2020_2021_efet Int_Confianca'!M50</f>
        <v>2E-3</v>
      </c>
      <c r="P295">
        <f>'2020_2021_efet Int_Confianca'!N50</f>
        <v>1.6999999999999999E-3</v>
      </c>
      <c r="Q295">
        <f>'2020_2021_efet Int_Confianca'!O50</f>
        <v>1.1999999999999999E-3</v>
      </c>
      <c r="R295">
        <f>'2020_2021_efet Int_Confianca'!P50</f>
        <v>1.1999999999999999E-3</v>
      </c>
      <c r="S295">
        <f>'2020_2021_efet Int_Confianca'!Q50</f>
        <v>1.1000000000000001E-3</v>
      </c>
      <c r="T295">
        <f>'2020_2021_efet Int_Confianca'!R50</f>
        <v>1E-3</v>
      </c>
      <c r="U295">
        <f>'2020_2021_efet Int_Confianca'!S50</f>
        <v>8.9999999999999998E-4</v>
      </c>
      <c r="V295">
        <f>'2020_2021_efet Int_Confianca'!T50</f>
        <v>1E-3</v>
      </c>
      <c r="W295">
        <f>'2020_2021_efet Int_Confianca'!U50</f>
        <v>8.9999999999999998E-4</v>
      </c>
      <c r="X295">
        <f>'2020_2021_efet Int_Confianca'!V50</f>
        <v>1E-3</v>
      </c>
      <c r="Y295">
        <f>'2020_2021_efet Int_Confianca'!W50</f>
        <v>8.9999999999999998E-4</v>
      </c>
      <c r="Z295">
        <f>'2020_2021_efet Int_Confianca'!X50</f>
        <v>1E-3</v>
      </c>
      <c r="AA295">
        <f>'2020_2021_efet Int_Confianca'!Y50</f>
        <v>8.9999999999999998E-4</v>
      </c>
      <c r="AB295">
        <f>'2020_2021_efet Int_Confianca'!Z50</f>
        <v>1E-3</v>
      </c>
      <c r="AC295">
        <f>'2020_2021_efet Int_Confianca'!AA50</f>
        <v>8.9999999999999998E-4</v>
      </c>
      <c r="AD295">
        <f>'2020_2021_efet Int_Confianca'!AB50</f>
        <v>1E-3</v>
      </c>
      <c r="AE295">
        <f>'2020_2021_efet Int_Confianca'!AC50</f>
        <v>1.1000000000000001E-3</v>
      </c>
      <c r="AF295">
        <f>'2020_2021_efet Int_Confianca'!AD50</f>
        <v>1.1000000000000001E-3</v>
      </c>
      <c r="AG295">
        <f>'2020_2021_efet Int_Confianca'!AE50</f>
        <v>1.1999999999999999E-3</v>
      </c>
      <c r="AH295">
        <f>'2020_2021_efet Int_Confianca'!AF50</f>
        <v>1.4E-3</v>
      </c>
      <c r="AI295">
        <f>'2020_2021_efet Int_Confianca'!AG50</f>
        <v>1.5E-3</v>
      </c>
      <c r="AJ295">
        <f>'2020_2021_efet Int_Confianca'!AH50</f>
        <v>1.6000000000000001E-3</v>
      </c>
      <c r="AK295">
        <f>'2020_2021_efet Int_Confianca'!AI50</f>
        <v>1.6999999999999999E-3</v>
      </c>
      <c r="AL295">
        <f>'2020_2021_efet Int_Confianca'!AJ50</f>
        <v>1.6000000000000001E-3</v>
      </c>
      <c r="AM295">
        <f>'2020_2021_efet Int_Confianca'!AK50</f>
        <v>1.6999999999999999E-3</v>
      </c>
      <c r="AN295">
        <f>'2020_2021_efet Int_Confianca'!AL50</f>
        <v>1.8E-3</v>
      </c>
      <c r="AO295">
        <f>'2020_2021_efet Int_Confianca'!AM50</f>
        <v>1.8E-3</v>
      </c>
      <c r="AP295">
        <f>'2020_2021_efet Int_Confianca'!AN50</f>
        <v>1.9E-3</v>
      </c>
      <c r="AQ295">
        <f>'2020_2021_efet Int_Confianca'!AO50</f>
        <v>2E-3</v>
      </c>
      <c r="AR295">
        <f>'2020_2021_efet Int_Confianca'!AP50</f>
        <v>2E-3</v>
      </c>
      <c r="AS295">
        <f>'2020_2021_efet Int_Confianca'!AQ50</f>
        <v>2E-3</v>
      </c>
      <c r="AT295">
        <f>'2020_2021_efet Int_Confianca'!AR50</f>
        <v>2E-3</v>
      </c>
      <c r="AU295">
        <f>'2020_2021_efet Int_Confianca'!AS50</f>
        <v>2.0999999999999999E-3</v>
      </c>
      <c r="AV295">
        <f>'2020_2021_efet Int_Confianca'!AT50</f>
        <v>2.2000000000000001E-3</v>
      </c>
      <c r="AW295">
        <f>'2020_2021_efet Int_Confianca'!AU50</f>
        <v>2.3E-3</v>
      </c>
      <c r="AX295">
        <f>'2020_2021_efet Int_Confianca'!AV50</f>
        <v>2.3E-3</v>
      </c>
      <c r="AY295">
        <f>'2020_2021_efet Int_Confianca'!AW50</f>
        <v>2.3E-3</v>
      </c>
      <c r="AZ295">
        <f>'2020_2021_efet Int_Confianca'!AX50</f>
        <v>2.3999999999999998E-3</v>
      </c>
      <c r="BA295">
        <f>'2020_2021_efet Int_Confianca'!AY50</f>
        <v>2.5000000000000001E-3</v>
      </c>
      <c r="BB295">
        <f>'2020_2021_efet Int_Confianca'!AZ50</f>
        <v>2.5999999999999999E-3</v>
      </c>
      <c r="BC295">
        <f>'2020_2021_efet Int_Confianca'!BA50</f>
        <v>2.7000000000000001E-3</v>
      </c>
      <c r="BD295">
        <f>'2020_2021_efet Int_Confianca'!BB50</f>
        <v>2.7000000000000001E-3</v>
      </c>
      <c r="BE295">
        <f>'2020_2021_efet Int_Confianca'!BC50</f>
        <v>2.7000000000000001E-3</v>
      </c>
      <c r="BF295">
        <f>'2020_2021_efet Int_Confianca'!BD50</f>
        <v>2.7000000000000001E-3</v>
      </c>
      <c r="BG295">
        <f>'2020_2021_efet Int_Confianca'!BE50</f>
        <v>2.7000000000000001E-3</v>
      </c>
      <c r="BH295">
        <f>'2020_2021_efet Int_Confianca'!BF50</f>
        <v>2.5999999999999999E-3</v>
      </c>
      <c r="BI295">
        <f>'2020_2021_efet Int_Confianca'!BG50</f>
        <v>2.5999999999999999E-3</v>
      </c>
      <c r="BJ295">
        <f>'2020_2021_efet Int_Confianca'!BH50</f>
        <v>2.5999999999999999E-3</v>
      </c>
      <c r="BK295">
        <f>'2020_2021_efet Int_Confianca'!BI50</f>
        <v>2.7000000000000001E-3</v>
      </c>
      <c r="BL295">
        <f>'2020_2021_efet Int_Confianca'!BJ50</f>
        <v>2.3999999999999998E-3</v>
      </c>
      <c r="BM295">
        <f>'2020_2021_efet Int_Confianca'!BK50</f>
        <v>2.3999999999999998E-3</v>
      </c>
      <c r="BN295">
        <f>'2020_2021_efet Int_Confianca'!BL50</f>
        <v>2.5000000000000001E-3</v>
      </c>
      <c r="BO295">
        <f>'2020_2021_efet Int_Confianca'!BM50</f>
        <v>2.5999999999999999E-3</v>
      </c>
      <c r="BP295">
        <f>'2020_2021_efet Int_Confianca'!BN50</f>
        <v>3.0000000000000001E-3</v>
      </c>
      <c r="BQ295">
        <f>'2020_2021_efet Int_Confianca'!BO50</f>
        <v>3.3E-3</v>
      </c>
      <c r="BR295">
        <f>'2020_2021_efet Int_Confianca'!BP50</f>
        <v>3.3999999999999998E-3</v>
      </c>
      <c r="BS295">
        <f>'2020_2021_efet Int_Confianca'!BQ50</f>
        <v>3.5999999999999999E-3</v>
      </c>
      <c r="BT295">
        <f>'2020_2021_efet Int_Confianca'!BR50</f>
        <v>3.5999999999999999E-3</v>
      </c>
      <c r="BU295">
        <f>'2020_2021_efet Int_Confianca'!BS50</f>
        <v>3.5999999999999999E-3</v>
      </c>
      <c r="BV295">
        <f>'2020_2021_efet Int_Confianca'!BT50</f>
        <v>3.5000000000000001E-3</v>
      </c>
      <c r="BW295">
        <f>'2020_2021_efet Int_Confianca'!BU50</f>
        <v>3.5999999999999999E-3</v>
      </c>
      <c r="BX295">
        <f>'2020_2021_efet Int_Confianca'!BV50</f>
        <v>3.7000000000000002E-3</v>
      </c>
      <c r="BY295">
        <f>'2020_2021_efet Int_Confianca'!BW50</f>
        <v>3.7000000000000002E-3</v>
      </c>
      <c r="BZ295">
        <f>'2020_2021_efet Int_Confianca'!BX50</f>
        <v>3.8E-3</v>
      </c>
      <c r="CA295">
        <f>'2020_2021_efet Int_Confianca'!BY50</f>
        <v>4.0000000000000001E-3</v>
      </c>
      <c r="CB295">
        <f>'2020_2021_efet Int_Confianca'!BZ50</f>
        <v>3.7000000000000002E-3</v>
      </c>
      <c r="CC295">
        <f>'2020_2021_efet Int_Confianca'!CA50</f>
        <v>4.0000000000000001E-3</v>
      </c>
      <c r="CD295">
        <f>'2020_2021_efet Int_Confianca'!CB50</f>
        <v>4.1999999999999997E-3</v>
      </c>
      <c r="CE295">
        <f>'2020_2021_efet Int_Confianca'!CC50</f>
        <v>4.4999999999999997E-3</v>
      </c>
      <c r="CF295">
        <f>'2020_2021_efet Int_Confianca'!CD50</f>
        <v>4.7999999999999996E-3</v>
      </c>
      <c r="CG295">
        <f>'2020_2021_efet Int_Confianca'!CE50</f>
        <v>4.8999999999999998E-3</v>
      </c>
      <c r="CH295">
        <f>'2020_2021_efet Int_Confianca'!CF50</f>
        <v>4.7999999999999996E-3</v>
      </c>
      <c r="CI295">
        <f>'2020_2021_efet Int_Confianca'!CG50</f>
        <v>4.4999999999999997E-3</v>
      </c>
      <c r="CJ295">
        <f>'2020_2021_efet Int_Confianca'!CH50</f>
        <v>4.7000000000000002E-3</v>
      </c>
      <c r="CK295">
        <f>'2020_2021_efet Int_Confianca'!CI50</f>
        <v>5.4999999999999997E-3</v>
      </c>
      <c r="CL295">
        <f>'2020_2021_efet Int_Confianca'!CJ50</f>
        <v>5.4999999999999997E-3</v>
      </c>
      <c r="CM295">
        <f>'2020_2021_efet Int_Confianca'!CK50</f>
        <v>5.4999999999999997E-3</v>
      </c>
      <c r="CN295">
        <f>'2020_2021_efet Int_Confianca'!CL50</f>
        <v>5.1999999999999998E-3</v>
      </c>
      <c r="CO295">
        <f>'2020_2021_efet Int_Confianca'!CM50</f>
        <v>5.8999999999999999E-3</v>
      </c>
      <c r="CP295">
        <f>'2020_2021_efet Int_Confianca'!CN50</f>
        <v>6.1999999999999998E-3</v>
      </c>
      <c r="CQ295">
        <f>'2020_2021_efet Int_Confianca'!CO50</f>
        <v>7.0000000000000001E-3</v>
      </c>
      <c r="CR295">
        <f>'2020_2021_efet Int_Confianca'!CP50</f>
        <v>7.1999999999999998E-3</v>
      </c>
      <c r="CS295">
        <f>'2020_2021_efet Int_Confianca'!CQ50</f>
        <v>7.0000000000000001E-3</v>
      </c>
      <c r="CT295">
        <f>'2020_2021_efet Int_Confianca'!CR50</f>
        <v>7.4000000000000003E-3</v>
      </c>
      <c r="CU295">
        <f>'2020_2021_efet Int_Confianca'!CS50</f>
        <v>6.6E-3</v>
      </c>
      <c r="CV295">
        <f>'2020_2021_efet Int_Confianca'!CT50</f>
        <v>8.6E-3</v>
      </c>
      <c r="CW295">
        <f>'2020_2021_efet Int_Confianca'!CU50</f>
        <v>7.1999999999999998E-3</v>
      </c>
      <c r="CX295">
        <f>'2020_2021_efet Int_Confianca'!CV50</f>
        <v>9.4000000000000004E-3</v>
      </c>
    </row>
    <row r="296" spans="1:102" x14ac:dyDescent="0.2">
      <c r="A296" t="s">
        <v>5917</v>
      </c>
      <c r="B296" t="s">
        <v>218</v>
      </c>
      <c r="C296" t="s">
        <v>223</v>
      </c>
      <c r="D296">
        <f>'2020_2021_efet Int_Confianca'!B51</f>
        <v>-2.9999999999999997E-4</v>
      </c>
      <c r="E296">
        <f>'2020_2021_efet Int_Confianca'!C51</f>
        <v>-2.9999999999999997E-4</v>
      </c>
      <c r="F296">
        <f>'2020_2021_efet Int_Confianca'!D51</f>
        <v>-2.9999999999999997E-4</v>
      </c>
      <c r="G296">
        <f>'2020_2021_efet Int_Confianca'!E51</f>
        <v>-9.9000000000000008E-3</v>
      </c>
      <c r="H296">
        <f>'2020_2021_efet Int_Confianca'!F51</f>
        <v>-7.1000000000000004E-3</v>
      </c>
      <c r="I296">
        <f>'2020_2021_efet Int_Confianca'!G51</f>
        <v>-5.8999999999999999E-3</v>
      </c>
      <c r="J296">
        <f>'2020_2021_efet Int_Confianca'!H51</f>
        <v>-5.3E-3</v>
      </c>
      <c r="K296">
        <f>'2020_2021_efet Int_Confianca'!I51</f>
        <v>-4.7999999999999996E-3</v>
      </c>
      <c r="L296">
        <f>'2020_2021_efet Int_Confianca'!J51</f>
        <v>-4.5999999999999999E-3</v>
      </c>
      <c r="M296">
        <f>'2020_2021_efet Int_Confianca'!K51</f>
        <v>-4.1999999999999997E-3</v>
      </c>
      <c r="N296">
        <f>'2020_2021_efet Int_Confianca'!L51</f>
        <v>-3.8999999999999998E-3</v>
      </c>
      <c r="O296">
        <f>'2020_2021_efet Int_Confianca'!M51</f>
        <v>-3.7000000000000002E-3</v>
      </c>
      <c r="P296">
        <f>'2020_2021_efet Int_Confianca'!N51</f>
        <v>-3.0999999999999999E-3</v>
      </c>
      <c r="Q296">
        <f>'2020_2021_efet Int_Confianca'!O51</f>
        <v>-2.0999999999999999E-3</v>
      </c>
      <c r="R296">
        <f>'2020_2021_efet Int_Confianca'!P51</f>
        <v>-2E-3</v>
      </c>
      <c r="S296">
        <f>'2020_2021_efet Int_Confianca'!Q51</f>
        <v>-1.6999999999999999E-3</v>
      </c>
      <c r="T296">
        <f>'2020_2021_efet Int_Confianca'!R51</f>
        <v>-1.4E-3</v>
      </c>
      <c r="U296">
        <f>'2020_2021_efet Int_Confianca'!S51</f>
        <v>-1.1999999999999999E-3</v>
      </c>
      <c r="V296">
        <f>'2020_2021_efet Int_Confianca'!T51</f>
        <v>-1.1000000000000001E-3</v>
      </c>
      <c r="W296">
        <f>'2020_2021_efet Int_Confianca'!U51</f>
        <v>-1E-3</v>
      </c>
      <c r="X296">
        <f>'2020_2021_efet Int_Confianca'!V51</f>
        <v>-8.9999999999999998E-4</v>
      </c>
      <c r="Y296">
        <f>'2020_2021_efet Int_Confianca'!W51</f>
        <v>-8.0000000000000004E-4</v>
      </c>
      <c r="Z296">
        <f>'2020_2021_efet Int_Confianca'!X51</f>
        <v>-8.0000000000000004E-4</v>
      </c>
      <c r="AA296">
        <f>'2020_2021_efet Int_Confianca'!Y51</f>
        <v>-8.0000000000000004E-4</v>
      </c>
      <c r="AB296">
        <f>'2020_2021_efet Int_Confianca'!Z51</f>
        <v>-8.0000000000000004E-4</v>
      </c>
      <c r="AC296">
        <f>'2020_2021_efet Int_Confianca'!AA51</f>
        <v>-8.0000000000000004E-4</v>
      </c>
      <c r="AD296">
        <f>'2020_2021_efet Int_Confianca'!AB51</f>
        <v>-8.0000000000000004E-4</v>
      </c>
      <c r="AE296">
        <f>'2020_2021_efet Int_Confianca'!AC51</f>
        <v>-8.9999999999999998E-4</v>
      </c>
      <c r="AF296">
        <f>'2020_2021_efet Int_Confianca'!AD51</f>
        <v>-8.9999999999999998E-4</v>
      </c>
      <c r="AG296">
        <f>'2020_2021_efet Int_Confianca'!AE51</f>
        <v>-8.9999999999999998E-4</v>
      </c>
      <c r="AH296">
        <f>'2020_2021_efet Int_Confianca'!AF51</f>
        <v>-8.9999999999999998E-4</v>
      </c>
      <c r="AI296">
        <f>'2020_2021_efet Int_Confianca'!AG51</f>
        <v>-8.9999999999999998E-4</v>
      </c>
      <c r="AJ296">
        <f>'2020_2021_efet Int_Confianca'!AH51</f>
        <v>-8.9999999999999998E-4</v>
      </c>
      <c r="AK296">
        <f>'2020_2021_efet Int_Confianca'!AI51</f>
        <v>-8.9999999999999998E-4</v>
      </c>
      <c r="AL296">
        <f>'2020_2021_efet Int_Confianca'!AJ51</f>
        <v>-8.0000000000000004E-4</v>
      </c>
      <c r="AM296">
        <f>'2020_2021_efet Int_Confianca'!AK51</f>
        <v>-8.0000000000000004E-4</v>
      </c>
      <c r="AN296">
        <f>'2020_2021_efet Int_Confianca'!AL51</f>
        <v>-8.0000000000000004E-4</v>
      </c>
      <c r="AO296">
        <f>'2020_2021_efet Int_Confianca'!AM51</f>
        <v>-8.0000000000000004E-4</v>
      </c>
      <c r="AP296">
        <f>'2020_2021_efet Int_Confianca'!AN51</f>
        <v>-8.0000000000000004E-4</v>
      </c>
      <c r="AQ296">
        <f>'2020_2021_efet Int_Confianca'!AO51</f>
        <v>-6.9999999999999999E-4</v>
      </c>
      <c r="AR296">
        <f>'2020_2021_efet Int_Confianca'!AP51</f>
        <v>-6.9999999999999999E-4</v>
      </c>
      <c r="AS296">
        <f>'2020_2021_efet Int_Confianca'!AQ51</f>
        <v>-6.9999999999999999E-4</v>
      </c>
      <c r="AT296">
        <f>'2020_2021_efet Int_Confianca'!AR51</f>
        <v>-6.9999999999999999E-4</v>
      </c>
      <c r="AU296">
        <f>'2020_2021_efet Int_Confianca'!AS51</f>
        <v>-6.9999999999999999E-4</v>
      </c>
      <c r="AV296">
        <f>'2020_2021_efet Int_Confianca'!AT51</f>
        <v>-8.0000000000000004E-4</v>
      </c>
      <c r="AW296">
        <f>'2020_2021_efet Int_Confianca'!AU51</f>
        <v>-8.0000000000000004E-4</v>
      </c>
      <c r="AX296">
        <f>'2020_2021_efet Int_Confianca'!AV51</f>
        <v>-6.9999999999999999E-4</v>
      </c>
      <c r="AY296">
        <f>'2020_2021_efet Int_Confianca'!AW51</f>
        <v>-6.9999999999999999E-4</v>
      </c>
      <c r="AZ296">
        <f>'2020_2021_efet Int_Confianca'!AX51</f>
        <v>-6.9999999999999999E-4</v>
      </c>
      <c r="BA296">
        <f>'2020_2021_efet Int_Confianca'!AY51</f>
        <v>-6.9999999999999999E-4</v>
      </c>
      <c r="BB296">
        <f>'2020_2021_efet Int_Confianca'!AZ51</f>
        <v>-6.9999999999999999E-4</v>
      </c>
      <c r="BC296">
        <f>'2020_2021_efet Int_Confianca'!BA51</f>
        <v>-6.9999999999999999E-4</v>
      </c>
      <c r="BD296">
        <f>'2020_2021_efet Int_Confianca'!BB51</f>
        <v>-6.9999999999999999E-4</v>
      </c>
      <c r="BE296">
        <f>'2020_2021_efet Int_Confianca'!BC51</f>
        <v>-6.9999999999999999E-4</v>
      </c>
      <c r="BF296">
        <f>'2020_2021_efet Int_Confianca'!BD51</f>
        <v>-5.9999999999999995E-4</v>
      </c>
      <c r="BG296">
        <f>'2020_2021_efet Int_Confianca'!BE51</f>
        <v>-5.9999999999999995E-4</v>
      </c>
      <c r="BH296">
        <f>'2020_2021_efet Int_Confianca'!BF51</f>
        <v>-5.9999999999999995E-4</v>
      </c>
      <c r="BI296">
        <f>'2020_2021_efet Int_Confianca'!BG51</f>
        <v>-5.9999999999999995E-4</v>
      </c>
      <c r="BJ296">
        <f>'2020_2021_efet Int_Confianca'!BH51</f>
        <v>-5.9999999999999995E-4</v>
      </c>
      <c r="BK296">
        <f>'2020_2021_efet Int_Confianca'!BI51</f>
        <v>-5.9999999999999995E-4</v>
      </c>
      <c r="BL296">
        <f>'2020_2021_efet Int_Confianca'!BJ51</f>
        <v>-5.9999999999999995E-4</v>
      </c>
      <c r="BM296">
        <f>'2020_2021_efet Int_Confianca'!BK51</f>
        <v>-5.0000000000000001E-4</v>
      </c>
      <c r="BN296">
        <f>'2020_2021_efet Int_Confianca'!BL51</f>
        <v>-5.0000000000000001E-4</v>
      </c>
      <c r="BO296">
        <f>'2020_2021_efet Int_Confianca'!BM51</f>
        <v>-5.0000000000000001E-4</v>
      </c>
      <c r="BP296">
        <f>'2020_2021_efet Int_Confianca'!BN51</f>
        <v>-5.9999999999999995E-4</v>
      </c>
      <c r="BQ296">
        <f>'2020_2021_efet Int_Confianca'!BO51</f>
        <v>-5.9999999999999995E-4</v>
      </c>
      <c r="BR296">
        <f>'2020_2021_efet Int_Confianca'!BP51</f>
        <v>-5.9999999999999995E-4</v>
      </c>
      <c r="BS296">
        <f>'2020_2021_efet Int_Confianca'!BQ51</f>
        <v>-5.9999999999999995E-4</v>
      </c>
      <c r="BT296">
        <f>'2020_2021_efet Int_Confianca'!BR51</f>
        <v>-5.9999999999999995E-4</v>
      </c>
      <c r="BU296">
        <f>'2020_2021_efet Int_Confianca'!BS51</f>
        <v>-5.9999999999999995E-4</v>
      </c>
      <c r="BV296">
        <f>'2020_2021_efet Int_Confianca'!BT51</f>
        <v>-5.0000000000000001E-4</v>
      </c>
      <c r="BW296">
        <f>'2020_2021_efet Int_Confianca'!BU51</f>
        <v>-5.0000000000000001E-4</v>
      </c>
      <c r="BX296">
        <f>'2020_2021_efet Int_Confianca'!BV51</f>
        <v>-5.0000000000000001E-4</v>
      </c>
      <c r="BY296">
        <f>'2020_2021_efet Int_Confianca'!BW51</f>
        <v>-5.0000000000000001E-4</v>
      </c>
      <c r="BZ296">
        <f>'2020_2021_efet Int_Confianca'!BX51</f>
        <v>-5.0000000000000001E-4</v>
      </c>
      <c r="CA296">
        <f>'2020_2021_efet Int_Confianca'!BY51</f>
        <v>-5.9999999999999995E-4</v>
      </c>
      <c r="CB296">
        <f>'2020_2021_efet Int_Confianca'!BZ51</f>
        <v>-5.0000000000000001E-4</v>
      </c>
      <c r="CC296">
        <f>'2020_2021_efet Int_Confianca'!CA51</f>
        <v>-5.0000000000000001E-4</v>
      </c>
      <c r="CD296">
        <f>'2020_2021_efet Int_Confianca'!CB51</f>
        <v>-5.0000000000000001E-4</v>
      </c>
      <c r="CE296">
        <f>'2020_2021_efet Int_Confianca'!CC51</f>
        <v>-5.0000000000000001E-4</v>
      </c>
      <c r="CF296">
        <f>'2020_2021_efet Int_Confianca'!CD51</f>
        <v>-5.9999999999999995E-4</v>
      </c>
      <c r="CG296">
        <f>'2020_2021_efet Int_Confianca'!CE51</f>
        <v>-5.0000000000000001E-4</v>
      </c>
      <c r="CH296">
        <f>'2020_2021_efet Int_Confianca'!CF51</f>
        <v>-5.0000000000000001E-4</v>
      </c>
      <c r="CI296">
        <f>'2020_2021_efet Int_Confianca'!CG51</f>
        <v>-5.0000000000000001E-4</v>
      </c>
      <c r="CJ296">
        <f>'2020_2021_efet Int_Confianca'!CH51</f>
        <v>-4.0000000000000002E-4</v>
      </c>
      <c r="CK296">
        <f>'2020_2021_efet Int_Confianca'!CI51</f>
        <v>-5.0000000000000001E-4</v>
      </c>
      <c r="CL296">
        <f>'2020_2021_efet Int_Confianca'!CJ51</f>
        <v>-5.0000000000000001E-4</v>
      </c>
      <c r="CM296">
        <f>'2020_2021_efet Int_Confianca'!CK51</f>
        <v>-5.0000000000000001E-4</v>
      </c>
      <c r="CN296">
        <f>'2020_2021_efet Int_Confianca'!CL51</f>
        <v>-4.0000000000000002E-4</v>
      </c>
      <c r="CO296">
        <f>'2020_2021_efet Int_Confianca'!CM51</f>
        <v>-5.0000000000000001E-4</v>
      </c>
      <c r="CP296">
        <f>'2020_2021_efet Int_Confianca'!CN51</f>
        <v>-5.0000000000000001E-4</v>
      </c>
      <c r="CQ296">
        <f>'2020_2021_efet Int_Confianca'!CO51</f>
        <v>-5.0000000000000001E-4</v>
      </c>
      <c r="CR296">
        <f>'2020_2021_efet Int_Confianca'!CP51</f>
        <v>-4.0000000000000002E-4</v>
      </c>
      <c r="CS296">
        <f>'2020_2021_efet Int_Confianca'!CQ51</f>
        <v>-4.0000000000000002E-4</v>
      </c>
      <c r="CT296">
        <f>'2020_2021_efet Int_Confianca'!CR51</f>
        <v>-4.0000000000000002E-4</v>
      </c>
      <c r="CU296">
        <f>'2020_2021_efet Int_Confianca'!CS51</f>
        <v>-4.0000000000000002E-4</v>
      </c>
      <c r="CV296">
        <f>'2020_2021_efet Int_Confianca'!CT51</f>
        <v>-2.9999999999999997E-4</v>
      </c>
      <c r="CW296">
        <f>'2020_2021_efet Int_Confianca'!CU51</f>
        <v>-2.0000000000000001E-4</v>
      </c>
      <c r="CX296">
        <f>'2020_2021_efet Int_Confianca'!CV51</f>
        <v>-2.9999999999999997E-4</v>
      </c>
    </row>
    <row r="297" spans="1:102" x14ac:dyDescent="0.2">
      <c r="A297" t="s">
        <v>5918</v>
      </c>
      <c r="B297" t="s">
        <v>218</v>
      </c>
      <c r="C297" t="s">
        <v>223</v>
      </c>
      <c r="D297">
        <f>'2020_2021_efet Int_Confianca'!B52</f>
        <v>0</v>
      </c>
      <c r="E297">
        <f>'2020_2021_efet Int_Confianca'!C52</f>
        <v>0</v>
      </c>
      <c r="F297">
        <f>'2020_2021_efet Int_Confianca'!D52</f>
        <v>0</v>
      </c>
      <c r="G297">
        <f>'2020_2021_efet Int_Confianca'!E52</f>
        <v>-1E-3</v>
      </c>
      <c r="H297">
        <f>'2020_2021_efet Int_Confianca'!F52</f>
        <v>-6.9999999999999999E-4</v>
      </c>
      <c r="I297">
        <f>'2020_2021_efet Int_Confianca'!G52</f>
        <v>-5.9999999999999995E-4</v>
      </c>
      <c r="J297">
        <f>'2020_2021_efet Int_Confianca'!H52</f>
        <v>-5.9999999999999995E-4</v>
      </c>
      <c r="K297">
        <f>'2020_2021_efet Int_Confianca'!I52</f>
        <v>-5.0000000000000001E-4</v>
      </c>
      <c r="L297">
        <f>'2020_2021_efet Int_Confianca'!J52</f>
        <v>-5.0000000000000001E-4</v>
      </c>
      <c r="M297">
        <f>'2020_2021_efet Int_Confianca'!K52</f>
        <v>-4.0000000000000002E-4</v>
      </c>
      <c r="N297">
        <f>'2020_2021_efet Int_Confianca'!L52</f>
        <v>-4.0000000000000002E-4</v>
      </c>
      <c r="O297">
        <f>'2020_2021_efet Int_Confianca'!M52</f>
        <v>-4.0000000000000002E-4</v>
      </c>
      <c r="P297">
        <f>'2020_2021_efet Int_Confianca'!N52</f>
        <v>-2.9999999999999997E-4</v>
      </c>
      <c r="Q297">
        <f>'2020_2021_efet Int_Confianca'!O52</f>
        <v>-2.0000000000000001E-4</v>
      </c>
      <c r="R297">
        <f>'2020_2021_efet Int_Confianca'!P52</f>
        <v>-2.0000000000000001E-4</v>
      </c>
      <c r="S297">
        <f>'2020_2021_efet Int_Confianca'!Q52</f>
        <v>-2.0000000000000001E-4</v>
      </c>
      <c r="T297">
        <f>'2020_2021_efet Int_Confianca'!R52</f>
        <v>-2.0000000000000001E-4</v>
      </c>
      <c r="U297">
        <f>'2020_2021_efet Int_Confianca'!S52</f>
        <v>-1E-4</v>
      </c>
      <c r="V297">
        <f>'2020_2021_efet Int_Confianca'!T52</f>
        <v>-1E-4</v>
      </c>
      <c r="W297">
        <f>'2020_2021_efet Int_Confianca'!U52</f>
        <v>-1E-4</v>
      </c>
      <c r="X297">
        <f>'2020_2021_efet Int_Confianca'!V52</f>
        <v>-1E-4</v>
      </c>
      <c r="Y297">
        <f>'2020_2021_efet Int_Confianca'!W52</f>
        <v>-1E-4</v>
      </c>
      <c r="Z297">
        <f>'2020_2021_efet Int_Confianca'!X52</f>
        <v>-1E-4</v>
      </c>
      <c r="AA297">
        <f>'2020_2021_efet Int_Confianca'!Y52</f>
        <v>-1E-4</v>
      </c>
      <c r="AB297">
        <f>'2020_2021_efet Int_Confianca'!Z52</f>
        <v>-1E-4</v>
      </c>
      <c r="AC297">
        <f>'2020_2021_efet Int_Confianca'!AA52</f>
        <v>-1E-4</v>
      </c>
      <c r="AD297">
        <f>'2020_2021_efet Int_Confianca'!AB52</f>
        <v>-1E-4</v>
      </c>
      <c r="AE297">
        <f>'2020_2021_efet Int_Confianca'!AC52</f>
        <v>-1E-4</v>
      </c>
      <c r="AF297">
        <f>'2020_2021_efet Int_Confianca'!AD52</f>
        <v>-1E-4</v>
      </c>
      <c r="AG297">
        <f>'2020_2021_efet Int_Confianca'!AE52</f>
        <v>-1E-4</v>
      </c>
      <c r="AH297">
        <f>'2020_2021_efet Int_Confianca'!AF52</f>
        <v>-1E-4</v>
      </c>
      <c r="AI297">
        <f>'2020_2021_efet Int_Confianca'!AG52</f>
        <v>-1E-4</v>
      </c>
      <c r="AJ297">
        <f>'2020_2021_efet Int_Confianca'!AH52</f>
        <v>-1E-4</v>
      </c>
      <c r="AK297">
        <f>'2020_2021_efet Int_Confianca'!AI52</f>
        <v>-1E-4</v>
      </c>
      <c r="AL297">
        <f>'2020_2021_efet Int_Confianca'!AJ52</f>
        <v>-1E-4</v>
      </c>
      <c r="AM297">
        <f>'2020_2021_efet Int_Confianca'!AK52</f>
        <v>-1E-4</v>
      </c>
      <c r="AN297">
        <f>'2020_2021_efet Int_Confianca'!AL52</f>
        <v>-1E-4</v>
      </c>
      <c r="AO297">
        <f>'2020_2021_efet Int_Confianca'!AM52</f>
        <v>-1E-4</v>
      </c>
      <c r="AP297">
        <f>'2020_2021_efet Int_Confianca'!AN52</f>
        <v>-1E-4</v>
      </c>
      <c r="AQ297">
        <f>'2020_2021_efet Int_Confianca'!AO52</f>
        <v>-1E-4</v>
      </c>
      <c r="AR297">
        <f>'2020_2021_efet Int_Confianca'!AP52</f>
        <v>-1E-4</v>
      </c>
      <c r="AS297">
        <f>'2020_2021_efet Int_Confianca'!AQ52</f>
        <v>-1E-4</v>
      </c>
      <c r="AT297">
        <f>'2020_2021_efet Int_Confianca'!AR52</f>
        <v>-1E-4</v>
      </c>
      <c r="AU297">
        <f>'2020_2021_efet Int_Confianca'!AS52</f>
        <v>-1E-4</v>
      </c>
      <c r="AV297">
        <f>'2020_2021_efet Int_Confianca'!AT52</f>
        <v>-1E-4</v>
      </c>
      <c r="AW297">
        <f>'2020_2021_efet Int_Confianca'!AU52</f>
        <v>-1E-4</v>
      </c>
      <c r="AX297">
        <f>'2020_2021_efet Int_Confianca'!AV52</f>
        <v>-1E-4</v>
      </c>
      <c r="AY297">
        <f>'2020_2021_efet Int_Confianca'!AW52</f>
        <v>-1E-4</v>
      </c>
      <c r="AZ297">
        <f>'2020_2021_efet Int_Confianca'!AX52</f>
        <v>-1E-4</v>
      </c>
      <c r="BA297">
        <f>'2020_2021_efet Int_Confianca'!AY52</f>
        <v>-1E-4</v>
      </c>
      <c r="BB297">
        <f>'2020_2021_efet Int_Confianca'!AZ52</f>
        <v>-1E-4</v>
      </c>
      <c r="BC297">
        <f>'2020_2021_efet Int_Confianca'!BA52</f>
        <v>-1E-4</v>
      </c>
      <c r="BD297">
        <f>'2020_2021_efet Int_Confianca'!BB52</f>
        <v>-1E-4</v>
      </c>
      <c r="BE297">
        <f>'2020_2021_efet Int_Confianca'!BC52</f>
        <v>-1E-4</v>
      </c>
      <c r="BF297">
        <f>'2020_2021_efet Int_Confianca'!BD52</f>
        <v>-1E-4</v>
      </c>
      <c r="BG297">
        <f>'2020_2021_efet Int_Confianca'!BE52</f>
        <v>-1E-4</v>
      </c>
      <c r="BH297">
        <f>'2020_2021_efet Int_Confianca'!BF52</f>
        <v>-1E-4</v>
      </c>
      <c r="BI297">
        <f>'2020_2021_efet Int_Confianca'!BG52</f>
        <v>-1E-4</v>
      </c>
      <c r="BJ297">
        <f>'2020_2021_efet Int_Confianca'!BH52</f>
        <v>-1E-4</v>
      </c>
      <c r="BK297">
        <f>'2020_2021_efet Int_Confianca'!BI52</f>
        <v>-1E-4</v>
      </c>
      <c r="BL297">
        <f>'2020_2021_efet Int_Confianca'!BJ52</f>
        <v>-1E-4</v>
      </c>
      <c r="BM297">
        <f>'2020_2021_efet Int_Confianca'!BK52</f>
        <v>-1E-4</v>
      </c>
      <c r="BN297">
        <f>'2020_2021_efet Int_Confianca'!BL52</f>
        <v>-1E-4</v>
      </c>
      <c r="BO297">
        <f>'2020_2021_efet Int_Confianca'!BM52</f>
        <v>-1E-4</v>
      </c>
      <c r="BP297">
        <f>'2020_2021_efet Int_Confianca'!BN52</f>
        <v>-1E-4</v>
      </c>
      <c r="BQ297">
        <f>'2020_2021_efet Int_Confianca'!BO52</f>
        <v>-1E-4</v>
      </c>
      <c r="BR297">
        <f>'2020_2021_efet Int_Confianca'!BP52</f>
        <v>-1E-4</v>
      </c>
      <c r="BS297">
        <f>'2020_2021_efet Int_Confianca'!BQ52</f>
        <v>-1E-4</v>
      </c>
      <c r="BT297">
        <f>'2020_2021_efet Int_Confianca'!BR52</f>
        <v>-1E-4</v>
      </c>
      <c r="BU297">
        <f>'2020_2021_efet Int_Confianca'!BS52</f>
        <v>-1E-4</v>
      </c>
      <c r="BV297">
        <f>'2020_2021_efet Int_Confianca'!BT52</f>
        <v>0</v>
      </c>
      <c r="BW297">
        <f>'2020_2021_efet Int_Confianca'!BU52</f>
        <v>0</v>
      </c>
      <c r="BX297">
        <f>'2020_2021_efet Int_Confianca'!BV52</f>
        <v>0</v>
      </c>
      <c r="BY297">
        <f>'2020_2021_efet Int_Confianca'!BW52</f>
        <v>-1E-4</v>
      </c>
      <c r="BZ297">
        <f>'2020_2021_efet Int_Confianca'!BX52</f>
        <v>0</v>
      </c>
      <c r="CA297">
        <f>'2020_2021_efet Int_Confianca'!BY52</f>
        <v>-1E-4</v>
      </c>
      <c r="CB297">
        <f>'2020_2021_efet Int_Confianca'!BZ52</f>
        <v>0</v>
      </c>
      <c r="CC297">
        <f>'2020_2021_efet Int_Confianca'!CA52</f>
        <v>0</v>
      </c>
      <c r="CD297">
        <f>'2020_2021_efet Int_Confianca'!CB52</f>
        <v>0</v>
      </c>
      <c r="CE297">
        <f>'2020_2021_efet Int_Confianca'!CC52</f>
        <v>0</v>
      </c>
      <c r="CF297">
        <f>'2020_2021_efet Int_Confianca'!CD52</f>
        <v>0</v>
      </c>
      <c r="CG297">
        <f>'2020_2021_efet Int_Confianca'!CE52</f>
        <v>0</v>
      </c>
      <c r="CH297">
        <f>'2020_2021_efet Int_Confianca'!CF52</f>
        <v>0</v>
      </c>
      <c r="CI297">
        <f>'2020_2021_efet Int_Confianca'!CG52</f>
        <v>0</v>
      </c>
      <c r="CJ297">
        <f>'2020_2021_efet Int_Confianca'!CH52</f>
        <v>0</v>
      </c>
      <c r="CK297">
        <f>'2020_2021_efet Int_Confianca'!CI52</f>
        <v>0</v>
      </c>
      <c r="CL297">
        <f>'2020_2021_efet Int_Confianca'!CJ52</f>
        <v>0</v>
      </c>
      <c r="CM297">
        <f>'2020_2021_efet Int_Confianca'!CK52</f>
        <v>0</v>
      </c>
      <c r="CN297">
        <f>'2020_2021_efet Int_Confianca'!CL52</f>
        <v>0</v>
      </c>
      <c r="CO297">
        <f>'2020_2021_efet Int_Confianca'!CM52</f>
        <v>0</v>
      </c>
      <c r="CP297">
        <f>'2020_2021_efet Int_Confianca'!CN52</f>
        <v>0</v>
      </c>
      <c r="CQ297">
        <f>'2020_2021_efet Int_Confianca'!CO52</f>
        <v>0</v>
      </c>
      <c r="CR297">
        <f>'2020_2021_efet Int_Confianca'!CP52</f>
        <v>0</v>
      </c>
      <c r="CS297">
        <f>'2020_2021_efet Int_Confianca'!CQ52</f>
        <v>0</v>
      </c>
      <c r="CT297">
        <f>'2020_2021_efet Int_Confianca'!CR52</f>
        <v>0</v>
      </c>
      <c r="CU297">
        <f>'2020_2021_efet Int_Confianca'!CS52</f>
        <v>0</v>
      </c>
      <c r="CV297">
        <f>'2020_2021_efet Int_Confianca'!CT52</f>
        <v>1E-4</v>
      </c>
      <c r="CW297">
        <f>'2020_2021_efet Int_Confianca'!CU52</f>
        <v>1E-4</v>
      </c>
      <c r="CX297">
        <f>'2020_2021_efet Int_Confianca'!CV52</f>
        <v>2.9999999999999997E-4</v>
      </c>
    </row>
    <row r="298" spans="1:102" x14ac:dyDescent="0.2">
      <c r="A298" t="s">
        <v>5919</v>
      </c>
      <c r="B298" t="s">
        <v>218</v>
      </c>
      <c r="C298" t="s">
        <v>223</v>
      </c>
      <c r="D298">
        <f>'2020_2021_efet Int_Confianca'!B53</f>
        <v>-6.9999999999999999E-4</v>
      </c>
      <c r="E298">
        <f>'2020_2021_efet Int_Confianca'!C53</f>
        <v>-6.9999999999999999E-4</v>
      </c>
      <c r="F298">
        <f>'2020_2021_efet Int_Confianca'!D53</f>
        <v>-6.9999999999999999E-4</v>
      </c>
      <c r="G298">
        <f>'2020_2021_efet Int_Confianca'!E53</f>
        <v>-2.3300000000000001E-2</v>
      </c>
      <c r="H298">
        <f>'2020_2021_efet Int_Confianca'!F53</f>
        <v>-1.4999999999999999E-2</v>
      </c>
      <c r="I298">
        <f>'2020_2021_efet Int_Confianca'!G53</f>
        <v>-1.34E-2</v>
      </c>
      <c r="J298">
        <f>'2020_2021_efet Int_Confianca'!H53</f>
        <v>-1.2800000000000001E-2</v>
      </c>
      <c r="K298">
        <f>'2020_2021_efet Int_Confianca'!I53</f>
        <v>-1.24E-2</v>
      </c>
      <c r="L298">
        <f>'2020_2021_efet Int_Confianca'!J53</f>
        <v>-1.2999999999999999E-2</v>
      </c>
      <c r="M298">
        <f>'2020_2021_efet Int_Confianca'!K53</f>
        <v>-1.2699999999999999E-2</v>
      </c>
      <c r="N298">
        <f>'2020_2021_efet Int_Confianca'!L53</f>
        <v>-1.2500000000000001E-2</v>
      </c>
      <c r="O298">
        <f>'2020_2021_efet Int_Confianca'!M53</f>
        <v>-1.2800000000000001E-2</v>
      </c>
      <c r="P298">
        <f>'2020_2021_efet Int_Confianca'!N53</f>
        <v>-1.1599999999999999E-2</v>
      </c>
      <c r="Q298">
        <f>'2020_2021_efet Int_Confianca'!O53</f>
        <v>-8.5000000000000006E-3</v>
      </c>
      <c r="R298">
        <f>'2020_2021_efet Int_Confianca'!P53</f>
        <v>-8.8999999999999999E-3</v>
      </c>
      <c r="S298">
        <f>'2020_2021_efet Int_Confianca'!Q53</f>
        <v>-8.2000000000000007E-3</v>
      </c>
      <c r="T298">
        <f>'2020_2021_efet Int_Confianca'!R53</f>
        <v>-6.8999999999999999E-3</v>
      </c>
      <c r="U298">
        <f>'2020_2021_efet Int_Confianca'!S53</f>
        <v>-5.8999999999999999E-3</v>
      </c>
      <c r="V298">
        <f>'2020_2021_efet Int_Confianca'!T53</f>
        <v>-5.4999999999999997E-3</v>
      </c>
      <c r="W298">
        <f>'2020_2021_efet Int_Confianca'!U53</f>
        <v>-4.7999999999999996E-3</v>
      </c>
      <c r="X298">
        <f>'2020_2021_efet Int_Confianca'!V53</f>
        <v>-4.4000000000000003E-3</v>
      </c>
      <c r="Y298">
        <f>'2020_2021_efet Int_Confianca'!W53</f>
        <v>-3.8E-3</v>
      </c>
      <c r="Z298">
        <f>'2020_2021_efet Int_Confianca'!X53</f>
        <v>-3.8999999999999998E-3</v>
      </c>
      <c r="AA298">
        <f>'2020_2021_efet Int_Confianca'!Y53</f>
        <v>-4.0000000000000001E-3</v>
      </c>
      <c r="AB298">
        <f>'2020_2021_efet Int_Confianca'!Z53</f>
        <v>-4.1000000000000003E-3</v>
      </c>
      <c r="AC298">
        <f>'2020_2021_efet Int_Confianca'!AA53</f>
        <v>-4.1000000000000003E-3</v>
      </c>
      <c r="AD298">
        <f>'2020_2021_efet Int_Confianca'!AB53</f>
        <v>-4.0000000000000001E-3</v>
      </c>
      <c r="AE298">
        <f>'2020_2021_efet Int_Confianca'!AC53</f>
        <v>-3.8E-3</v>
      </c>
      <c r="AF298">
        <f>'2020_2021_efet Int_Confianca'!AD53</f>
        <v>-3.8999999999999998E-3</v>
      </c>
      <c r="AG298">
        <f>'2020_2021_efet Int_Confianca'!AE53</f>
        <v>-3.8E-3</v>
      </c>
      <c r="AH298">
        <f>'2020_2021_efet Int_Confianca'!AF53</f>
        <v>-3.7000000000000002E-3</v>
      </c>
      <c r="AI298">
        <f>'2020_2021_efet Int_Confianca'!AG53</f>
        <v>-3.8E-3</v>
      </c>
      <c r="AJ298">
        <f>'2020_2021_efet Int_Confianca'!AH53</f>
        <v>-3.7000000000000002E-3</v>
      </c>
      <c r="AK298">
        <f>'2020_2021_efet Int_Confianca'!AI53</f>
        <v>-3.5999999999999999E-3</v>
      </c>
      <c r="AL298">
        <f>'2020_2021_efet Int_Confianca'!AJ53</f>
        <v>-3.5999999999999999E-3</v>
      </c>
      <c r="AM298">
        <f>'2020_2021_efet Int_Confianca'!AK53</f>
        <v>-3.7000000000000002E-3</v>
      </c>
      <c r="AN298">
        <f>'2020_2021_efet Int_Confianca'!AL53</f>
        <v>-3.5999999999999999E-3</v>
      </c>
      <c r="AO298">
        <f>'2020_2021_efet Int_Confianca'!AM53</f>
        <v>-3.3999999999999998E-3</v>
      </c>
      <c r="AP298">
        <f>'2020_2021_efet Int_Confianca'!AN53</f>
        <v>-3.3E-3</v>
      </c>
      <c r="AQ298">
        <f>'2020_2021_efet Int_Confianca'!AO53</f>
        <v>-3.3E-3</v>
      </c>
      <c r="AR298">
        <f>'2020_2021_efet Int_Confianca'!AP53</f>
        <v>-3.3999999999999998E-3</v>
      </c>
      <c r="AS298">
        <f>'2020_2021_efet Int_Confianca'!AQ53</f>
        <v>-3.2000000000000002E-3</v>
      </c>
      <c r="AT298">
        <f>'2020_2021_efet Int_Confianca'!AR53</f>
        <v>-3.0999999999999999E-3</v>
      </c>
      <c r="AU298">
        <f>'2020_2021_efet Int_Confianca'!AS53</f>
        <v>-3.0999999999999999E-3</v>
      </c>
      <c r="AV298">
        <f>'2020_2021_efet Int_Confianca'!AT53</f>
        <v>-2.8999999999999998E-3</v>
      </c>
      <c r="AW298">
        <f>'2020_2021_efet Int_Confianca'!AU53</f>
        <v>-2.8999999999999998E-3</v>
      </c>
      <c r="AX298">
        <f>'2020_2021_efet Int_Confianca'!AV53</f>
        <v>-2.8E-3</v>
      </c>
      <c r="AY298">
        <f>'2020_2021_efet Int_Confianca'!AW53</f>
        <v>-2.8E-3</v>
      </c>
      <c r="AZ298">
        <f>'2020_2021_efet Int_Confianca'!AX53</f>
        <v>-2.7000000000000001E-3</v>
      </c>
      <c r="BA298">
        <f>'2020_2021_efet Int_Confianca'!AY53</f>
        <v>-2.8E-3</v>
      </c>
      <c r="BB298">
        <f>'2020_2021_efet Int_Confianca'!AZ53</f>
        <v>-2.8E-3</v>
      </c>
      <c r="BC298">
        <f>'2020_2021_efet Int_Confianca'!BA53</f>
        <v>-2.7000000000000001E-3</v>
      </c>
      <c r="BD298">
        <f>'2020_2021_efet Int_Confianca'!BB53</f>
        <v>-2.7000000000000001E-3</v>
      </c>
      <c r="BE298">
        <f>'2020_2021_efet Int_Confianca'!BC53</f>
        <v>-2.5999999999999999E-3</v>
      </c>
      <c r="BF298">
        <f>'2020_2021_efet Int_Confianca'!BD53</f>
        <v>-2.5999999999999999E-3</v>
      </c>
      <c r="BG298">
        <f>'2020_2021_efet Int_Confianca'!BE53</f>
        <v>-2.3999999999999998E-3</v>
      </c>
      <c r="BH298">
        <f>'2020_2021_efet Int_Confianca'!BF53</f>
        <v>-2.3E-3</v>
      </c>
      <c r="BI298">
        <f>'2020_2021_efet Int_Confianca'!BG53</f>
        <v>-2.0999999999999999E-3</v>
      </c>
      <c r="BJ298">
        <f>'2020_2021_efet Int_Confianca'!BH53</f>
        <v>-2E-3</v>
      </c>
      <c r="BK298">
        <f>'2020_2021_efet Int_Confianca'!BI53</f>
        <v>-2.0999999999999999E-3</v>
      </c>
      <c r="BL298">
        <f>'2020_2021_efet Int_Confianca'!BJ53</f>
        <v>-2.0999999999999999E-3</v>
      </c>
      <c r="BM298">
        <f>'2020_2021_efet Int_Confianca'!BK53</f>
        <v>-2.2000000000000001E-3</v>
      </c>
      <c r="BN298">
        <f>'2020_2021_efet Int_Confianca'!BL53</f>
        <v>-2.3E-3</v>
      </c>
      <c r="BO298">
        <f>'2020_2021_efet Int_Confianca'!BM53</f>
        <v>-2.3E-3</v>
      </c>
      <c r="BP298">
        <f>'2020_2021_efet Int_Confianca'!BN53</f>
        <v>-2.3999999999999998E-3</v>
      </c>
      <c r="BQ298">
        <f>'2020_2021_efet Int_Confianca'!BO53</f>
        <v>-2.3E-3</v>
      </c>
      <c r="BR298">
        <f>'2020_2021_efet Int_Confianca'!BP53</f>
        <v>-2.3E-3</v>
      </c>
      <c r="BS298">
        <f>'2020_2021_efet Int_Confianca'!BQ53</f>
        <v>-2.0999999999999999E-3</v>
      </c>
      <c r="BT298">
        <f>'2020_2021_efet Int_Confianca'!BR53</f>
        <v>-2.2000000000000001E-3</v>
      </c>
      <c r="BU298">
        <f>'2020_2021_efet Int_Confianca'!BS53</f>
        <v>-2.0999999999999999E-3</v>
      </c>
      <c r="BV298">
        <f>'2020_2021_efet Int_Confianca'!BT53</f>
        <v>-2.0999999999999999E-3</v>
      </c>
      <c r="BW298">
        <f>'2020_2021_efet Int_Confianca'!BU53</f>
        <v>-1.9E-3</v>
      </c>
      <c r="BX298">
        <f>'2020_2021_efet Int_Confianca'!BV53</f>
        <v>-2.0999999999999999E-3</v>
      </c>
      <c r="BY298">
        <f>'2020_2021_efet Int_Confianca'!BW53</f>
        <v>-1.8E-3</v>
      </c>
      <c r="BZ298">
        <f>'2020_2021_efet Int_Confianca'!BX53</f>
        <v>-1.6999999999999999E-3</v>
      </c>
      <c r="CA298">
        <f>'2020_2021_efet Int_Confianca'!BY53</f>
        <v>-1.6999999999999999E-3</v>
      </c>
      <c r="CB298">
        <f>'2020_2021_efet Int_Confianca'!BZ53</f>
        <v>-1.6999999999999999E-3</v>
      </c>
      <c r="CC298">
        <f>'2020_2021_efet Int_Confianca'!CA53</f>
        <v>-1.8E-3</v>
      </c>
      <c r="CD298">
        <f>'2020_2021_efet Int_Confianca'!CB53</f>
        <v>-1.8E-3</v>
      </c>
      <c r="CE298">
        <f>'2020_2021_efet Int_Confianca'!CC53</f>
        <v>-1.9E-3</v>
      </c>
      <c r="CF298">
        <f>'2020_2021_efet Int_Confianca'!CD53</f>
        <v>-1.8E-3</v>
      </c>
      <c r="CG298">
        <f>'2020_2021_efet Int_Confianca'!CE53</f>
        <v>-1.6000000000000001E-3</v>
      </c>
      <c r="CH298">
        <f>'2020_2021_efet Int_Confianca'!CF53</f>
        <v>-1.4E-3</v>
      </c>
      <c r="CI298">
        <f>'2020_2021_efet Int_Confianca'!CG53</f>
        <v>-1.6000000000000001E-3</v>
      </c>
      <c r="CJ298">
        <f>'2020_2021_efet Int_Confianca'!CH53</f>
        <v>-1.6999999999999999E-3</v>
      </c>
      <c r="CK298">
        <f>'2020_2021_efet Int_Confianca'!CI53</f>
        <v>-1.6999999999999999E-3</v>
      </c>
      <c r="CL298">
        <f>'2020_2021_efet Int_Confianca'!CJ53</f>
        <v>-1.5E-3</v>
      </c>
      <c r="CM298">
        <f>'2020_2021_efet Int_Confianca'!CK53</f>
        <v>-1.6000000000000001E-3</v>
      </c>
      <c r="CN298">
        <f>'2020_2021_efet Int_Confianca'!CL53</f>
        <v>-1.6000000000000001E-3</v>
      </c>
      <c r="CO298">
        <f>'2020_2021_efet Int_Confianca'!CM53</f>
        <v>-1.6999999999999999E-3</v>
      </c>
      <c r="CP298">
        <f>'2020_2021_efet Int_Confianca'!CN53</f>
        <v>-1.8E-3</v>
      </c>
      <c r="CQ298">
        <f>'2020_2021_efet Int_Confianca'!CO53</f>
        <v>-1.9E-3</v>
      </c>
      <c r="CR298">
        <f>'2020_2021_efet Int_Confianca'!CP53</f>
        <v>-1.9E-3</v>
      </c>
      <c r="CS298">
        <f>'2020_2021_efet Int_Confianca'!CQ53</f>
        <v>-1.6999999999999999E-3</v>
      </c>
      <c r="CT298">
        <f>'2020_2021_efet Int_Confianca'!CR53</f>
        <v>-1.5E-3</v>
      </c>
      <c r="CU298">
        <f>'2020_2021_efet Int_Confianca'!CS53</f>
        <v>-1.2999999999999999E-3</v>
      </c>
      <c r="CV298">
        <f>'2020_2021_efet Int_Confianca'!CT53</f>
        <v>-1.6999999999999999E-3</v>
      </c>
      <c r="CW298">
        <f>'2020_2021_efet Int_Confianca'!CU53</f>
        <v>-1.1999999999999999E-3</v>
      </c>
      <c r="CX298">
        <f>'2020_2021_efet Int_Confianca'!CV53</f>
        <v>-1.2999999999999999E-3</v>
      </c>
    </row>
    <row r="299" spans="1:102" x14ac:dyDescent="0.2">
      <c r="A299" t="s">
        <v>5920</v>
      </c>
      <c r="B299" t="s">
        <v>218</v>
      </c>
      <c r="C299" t="s">
        <v>223</v>
      </c>
      <c r="D299">
        <f>'2020_2021_efet Int_Confianca'!B54</f>
        <v>1E-4</v>
      </c>
      <c r="E299">
        <f>'2020_2021_efet Int_Confianca'!C54</f>
        <v>1E-4</v>
      </c>
      <c r="F299">
        <f>'2020_2021_efet Int_Confianca'!D54</f>
        <v>1E-4</v>
      </c>
      <c r="G299">
        <f>'2020_2021_efet Int_Confianca'!E54</f>
        <v>2.0999999999999999E-3</v>
      </c>
      <c r="H299">
        <f>'2020_2021_efet Int_Confianca'!F54</f>
        <v>1.4E-3</v>
      </c>
      <c r="I299">
        <f>'2020_2021_efet Int_Confianca'!G54</f>
        <v>1.1999999999999999E-3</v>
      </c>
      <c r="J299">
        <f>'2020_2021_efet Int_Confianca'!H54</f>
        <v>1.1999999999999999E-3</v>
      </c>
      <c r="K299">
        <f>'2020_2021_efet Int_Confianca'!I54</f>
        <v>1.1000000000000001E-3</v>
      </c>
      <c r="L299">
        <f>'2020_2021_efet Int_Confianca'!J54</f>
        <v>1.1999999999999999E-3</v>
      </c>
      <c r="M299">
        <f>'2020_2021_efet Int_Confianca'!K54</f>
        <v>1.1000000000000001E-3</v>
      </c>
      <c r="N299">
        <f>'2020_2021_efet Int_Confianca'!L54</f>
        <v>1.1000000000000001E-3</v>
      </c>
      <c r="O299">
        <f>'2020_2021_efet Int_Confianca'!M54</f>
        <v>1.1000000000000001E-3</v>
      </c>
      <c r="P299">
        <f>'2020_2021_efet Int_Confianca'!N54</f>
        <v>1E-3</v>
      </c>
      <c r="Q299">
        <f>'2020_2021_efet Int_Confianca'!O54</f>
        <v>8.0000000000000004E-4</v>
      </c>
      <c r="R299">
        <f>'2020_2021_efet Int_Confianca'!P54</f>
        <v>8.0000000000000004E-4</v>
      </c>
      <c r="S299">
        <f>'2020_2021_efet Int_Confianca'!Q54</f>
        <v>6.9999999999999999E-4</v>
      </c>
      <c r="T299">
        <f>'2020_2021_efet Int_Confianca'!R54</f>
        <v>5.9999999999999995E-4</v>
      </c>
      <c r="U299">
        <f>'2020_2021_efet Int_Confianca'!S54</f>
        <v>5.0000000000000001E-4</v>
      </c>
      <c r="V299">
        <f>'2020_2021_efet Int_Confianca'!T54</f>
        <v>5.0000000000000001E-4</v>
      </c>
      <c r="W299">
        <f>'2020_2021_efet Int_Confianca'!U54</f>
        <v>4.0000000000000002E-4</v>
      </c>
      <c r="X299">
        <f>'2020_2021_efet Int_Confianca'!V54</f>
        <v>4.0000000000000002E-4</v>
      </c>
      <c r="Y299">
        <f>'2020_2021_efet Int_Confianca'!W54</f>
        <v>2.9999999999999997E-4</v>
      </c>
      <c r="Z299">
        <f>'2020_2021_efet Int_Confianca'!X54</f>
        <v>2.9999999999999997E-4</v>
      </c>
      <c r="AA299">
        <f>'2020_2021_efet Int_Confianca'!Y54</f>
        <v>4.0000000000000002E-4</v>
      </c>
      <c r="AB299">
        <f>'2020_2021_efet Int_Confianca'!Z54</f>
        <v>4.0000000000000002E-4</v>
      </c>
      <c r="AC299">
        <f>'2020_2021_efet Int_Confianca'!AA54</f>
        <v>4.0000000000000002E-4</v>
      </c>
      <c r="AD299">
        <f>'2020_2021_efet Int_Confianca'!AB54</f>
        <v>4.0000000000000002E-4</v>
      </c>
      <c r="AE299">
        <f>'2020_2021_efet Int_Confianca'!AC54</f>
        <v>2.9999999999999997E-4</v>
      </c>
      <c r="AF299">
        <f>'2020_2021_efet Int_Confianca'!AD54</f>
        <v>2.9999999999999997E-4</v>
      </c>
      <c r="AG299">
        <f>'2020_2021_efet Int_Confianca'!AE54</f>
        <v>2.9999999999999997E-4</v>
      </c>
      <c r="AH299">
        <f>'2020_2021_efet Int_Confianca'!AF54</f>
        <v>2.9999999999999997E-4</v>
      </c>
      <c r="AI299">
        <f>'2020_2021_efet Int_Confianca'!AG54</f>
        <v>2.9999999999999997E-4</v>
      </c>
      <c r="AJ299">
        <f>'2020_2021_efet Int_Confianca'!AH54</f>
        <v>2.9999999999999997E-4</v>
      </c>
      <c r="AK299">
        <f>'2020_2021_efet Int_Confianca'!AI54</f>
        <v>2.9999999999999997E-4</v>
      </c>
      <c r="AL299">
        <f>'2020_2021_efet Int_Confianca'!AJ54</f>
        <v>2.9999999999999997E-4</v>
      </c>
      <c r="AM299">
        <f>'2020_2021_efet Int_Confianca'!AK54</f>
        <v>2.9999999999999997E-4</v>
      </c>
      <c r="AN299">
        <f>'2020_2021_efet Int_Confianca'!AL54</f>
        <v>2.9999999999999997E-4</v>
      </c>
      <c r="AO299">
        <f>'2020_2021_efet Int_Confianca'!AM54</f>
        <v>2.9999999999999997E-4</v>
      </c>
      <c r="AP299">
        <f>'2020_2021_efet Int_Confianca'!AN54</f>
        <v>2.9999999999999997E-4</v>
      </c>
      <c r="AQ299">
        <f>'2020_2021_efet Int_Confianca'!AO54</f>
        <v>2.9999999999999997E-4</v>
      </c>
      <c r="AR299">
        <f>'2020_2021_efet Int_Confianca'!AP54</f>
        <v>2.9999999999999997E-4</v>
      </c>
      <c r="AS299">
        <f>'2020_2021_efet Int_Confianca'!AQ54</f>
        <v>2.9999999999999997E-4</v>
      </c>
      <c r="AT299">
        <f>'2020_2021_efet Int_Confianca'!AR54</f>
        <v>2.9999999999999997E-4</v>
      </c>
      <c r="AU299">
        <f>'2020_2021_efet Int_Confianca'!AS54</f>
        <v>2.9999999999999997E-4</v>
      </c>
      <c r="AV299">
        <f>'2020_2021_efet Int_Confianca'!AT54</f>
        <v>2.9999999999999997E-4</v>
      </c>
      <c r="AW299">
        <f>'2020_2021_efet Int_Confianca'!AU54</f>
        <v>2.9999999999999997E-4</v>
      </c>
      <c r="AX299">
        <f>'2020_2021_efet Int_Confianca'!AV54</f>
        <v>2.9999999999999997E-4</v>
      </c>
      <c r="AY299">
        <f>'2020_2021_efet Int_Confianca'!AW54</f>
        <v>2.9999999999999997E-4</v>
      </c>
      <c r="AZ299">
        <f>'2020_2021_efet Int_Confianca'!AX54</f>
        <v>2.0000000000000001E-4</v>
      </c>
      <c r="BA299">
        <f>'2020_2021_efet Int_Confianca'!AY54</f>
        <v>2.0000000000000001E-4</v>
      </c>
      <c r="BB299">
        <f>'2020_2021_efet Int_Confianca'!AZ54</f>
        <v>2.9999999999999997E-4</v>
      </c>
      <c r="BC299">
        <f>'2020_2021_efet Int_Confianca'!BA54</f>
        <v>2.0000000000000001E-4</v>
      </c>
      <c r="BD299">
        <f>'2020_2021_efet Int_Confianca'!BB54</f>
        <v>2.0000000000000001E-4</v>
      </c>
      <c r="BE299">
        <f>'2020_2021_efet Int_Confianca'!BC54</f>
        <v>2.0000000000000001E-4</v>
      </c>
      <c r="BF299">
        <f>'2020_2021_efet Int_Confianca'!BD54</f>
        <v>2.0000000000000001E-4</v>
      </c>
      <c r="BG299">
        <f>'2020_2021_efet Int_Confianca'!BE54</f>
        <v>2.0000000000000001E-4</v>
      </c>
      <c r="BH299">
        <f>'2020_2021_efet Int_Confianca'!BF54</f>
        <v>2.0000000000000001E-4</v>
      </c>
      <c r="BI299">
        <f>'2020_2021_efet Int_Confianca'!BG54</f>
        <v>2.0000000000000001E-4</v>
      </c>
      <c r="BJ299">
        <f>'2020_2021_efet Int_Confianca'!BH54</f>
        <v>2.0000000000000001E-4</v>
      </c>
      <c r="BK299">
        <f>'2020_2021_efet Int_Confianca'!BI54</f>
        <v>2.0000000000000001E-4</v>
      </c>
      <c r="BL299">
        <f>'2020_2021_efet Int_Confianca'!BJ54</f>
        <v>2.0000000000000001E-4</v>
      </c>
      <c r="BM299">
        <f>'2020_2021_efet Int_Confianca'!BK54</f>
        <v>2.0000000000000001E-4</v>
      </c>
      <c r="BN299">
        <f>'2020_2021_efet Int_Confianca'!BL54</f>
        <v>2.0000000000000001E-4</v>
      </c>
      <c r="BO299">
        <f>'2020_2021_efet Int_Confianca'!BM54</f>
        <v>2.0000000000000001E-4</v>
      </c>
      <c r="BP299">
        <f>'2020_2021_efet Int_Confianca'!BN54</f>
        <v>2.0000000000000001E-4</v>
      </c>
      <c r="BQ299">
        <f>'2020_2021_efet Int_Confianca'!BO54</f>
        <v>2.0000000000000001E-4</v>
      </c>
      <c r="BR299">
        <f>'2020_2021_efet Int_Confianca'!BP54</f>
        <v>2.0000000000000001E-4</v>
      </c>
      <c r="BS299">
        <f>'2020_2021_efet Int_Confianca'!BQ54</f>
        <v>2.0000000000000001E-4</v>
      </c>
      <c r="BT299">
        <f>'2020_2021_efet Int_Confianca'!BR54</f>
        <v>2.0000000000000001E-4</v>
      </c>
      <c r="BU299">
        <f>'2020_2021_efet Int_Confianca'!BS54</f>
        <v>2.0000000000000001E-4</v>
      </c>
      <c r="BV299">
        <f>'2020_2021_efet Int_Confianca'!BT54</f>
        <v>2.0000000000000001E-4</v>
      </c>
      <c r="BW299">
        <f>'2020_2021_efet Int_Confianca'!BU54</f>
        <v>2.0000000000000001E-4</v>
      </c>
      <c r="BX299">
        <f>'2020_2021_efet Int_Confianca'!BV54</f>
        <v>2.0000000000000001E-4</v>
      </c>
      <c r="BY299">
        <f>'2020_2021_efet Int_Confianca'!BW54</f>
        <v>2.0000000000000001E-4</v>
      </c>
      <c r="BZ299">
        <f>'2020_2021_efet Int_Confianca'!BX54</f>
        <v>2.0000000000000001E-4</v>
      </c>
      <c r="CA299">
        <f>'2020_2021_efet Int_Confianca'!BY54</f>
        <v>2.0000000000000001E-4</v>
      </c>
      <c r="CB299">
        <f>'2020_2021_efet Int_Confianca'!BZ54</f>
        <v>2.0000000000000001E-4</v>
      </c>
      <c r="CC299">
        <f>'2020_2021_efet Int_Confianca'!CA54</f>
        <v>2.0000000000000001E-4</v>
      </c>
      <c r="CD299">
        <f>'2020_2021_efet Int_Confianca'!CB54</f>
        <v>2.0000000000000001E-4</v>
      </c>
      <c r="CE299">
        <f>'2020_2021_efet Int_Confianca'!CC54</f>
        <v>2.0000000000000001E-4</v>
      </c>
      <c r="CF299">
        <f>'2020_2021_efet Int_Confianca'!CD54</f>
        <v>2.0000000000000001E-4</v>
      </c>
      <c r="CG299">
        <f>'2020_2021_efet Int_Confianca'!CE54</f>
        <v>2.0000000000000001E-4</v>
      </c>
      <c r="CH299">
        <f>'2020_2021_efet Int_Confianca'!CF54</f>
        <v>1E-4</v>
      </c>
      <c r="CI299">
        <f>'2020_2021_efet Int_Confianca'!CG54</f>
        <v>2.0000000000000001E-4</v>
      </c>
      <c r="CJ299">
        <f>'2020_2021_efet Int_Confianca'!CH54</f>
        <v>2.0000000000000001E-4</v>
      </c>
      <c r="CK299">
        <f>'2020_2021_efet Int_Confianca'!CI54</f>
        <v>2.0000000000000001E-4</v>
      </c>
      <c r="CL299">
        <f>'2020_2021_efet Int_Confianca'!CJ54</f>
        <v>1E-4</v>
      </c>
      <c r="CM299">
        <f>'2020_2021_efet Int_Confianca'!CK54</f>
        <v>2.0000000000000001E-4</v>
      </c>
      <c r="CN299">
        <f>'2020_2021_efet Int_Confianca'!CL54</f>
        <v>2.0000000000000001E-4</v>
      </c>
      <c r="CO299">
        <f>'2020_2021_efet Int_Confianca'!CM54</f>
        <v>2.0000000000000001E-4</v>
      </c>
      <c r="CP299">
        <f>'2020_2021_efet Int_Confianca'!CN54</f>
        <v>2.0000000000000001E-4</v>
      </c>
      <c r="CQ299">
        <f>'2020_2021_efet Int_Confianca'!CO54</f>
        <v>2.0000000000000001E-4</v>
      </c>
      <c r="CR299">
        <f>'2020_2021_efet Int_Confianca'!CP54</f>
        <v>2.0000000000000001E-4</v>
      </c>
      <c r="CS299">
        <f>'2020_2021_efet Int_Confianca'!CQ54</f>
        <v>2.0000000000000001E-4</v>
      </c>
      <c r="CT299">
        <f>'2020_2021_efet Int_Confianca'!CR54</f>
        <v>2.0000000000000001E-4</v>
      </c>
      <c r="CU299">
        <f>'2020_2021_efet Int_Confianca'!CS54</f>
        <v>2.0000000000000001E-4</v>
      </c>
      <c r="CV299">
        <f>'2020_2021_efet Int_Confianca'!CT54</f>
        <v>2.0000000000000001E-4</v>
      </c>
      <c r="CW299">
        <f>'2020_2021_efet Int_Confianca'!CU54</f>
        <v>2.0000000000000001E-4</v>
      </c>
      <c r="CX299">
        <f>'2020_2021_efet Int_Confianca'!CV54</f>
        <v>4.0000000000000002E-4</v>
      </c>
    </row>
    <row r="300" spans="1:102" x14ac:dyDescent="0.2">
      <c r="A300" t="s">
        <v>5921</v>
      </c>
      <c r="B300" t="s">
        <v>218</v>
      </c>
      <c r="C300" t="s">
        <v>223</v>
      </c>
      <c r="D300">
        <f>'2020_2021_efet Int_Confianca'!B55</f>
        <v>-2.0000000000000001E-4</v>
      </c>
      <c r="E300">
        <f>'2020_2021_efet Int_Confianca'!C55</f>
        <v>-2.0000000000000001E-4</v>
      </c>
      <c r="F300">
        <f>'2020_2021_efet Int_Confianca'!D55</f>
        <v>-2.0000000000000001E-4</v>
      </c>
      <c r="G300">
        <f>'2020_2021_efet Int_Confianca'!E55</f>
        <v>-3.0999999999999999E-3</v>
      </c>
      <c r="H300">
        <f>'2020_2021_efet Int_Confianca'!F55</f>
        <v>-2.3999999999999998E-3</v>
      </c>
      <c r="I300">
        <f>'2020_2021_efet Int_Confianca'!G55</f>
        <v>-2.3999999999999998E-3</v>
      </c>
      <c r="J300">
        <f>'2020_2021_efet Int_Confianca'!H55</f>
        <v>-2.3999999999999998E-3</v>
      </c>
      <c r="K300">
        <f>'2020_2021_efet Int_Confianca'!I55</f>
        <v>-2.2000000000000001E-3</v>
      </c>
      <c r="L300">
        <f>'2020_2021_efet Int_Confianca'!J55</f>
        <v>-2.2000000000000001E-3</v>
      </c>
      <c r="M300">
        <f>'2020_2021_efet Int_Confianca'!K55</f>
        <v>-2.2000000000000001E-3</v>
      </c>
      <c r="N300">
        <f>'2020_2021_efet Int_Confianca'!L55</f>
        <v>-2.2000000000000001E-3</v>
      </c>
      <c r="O300">
        <f>'2020_2021_efet Int_Confianca'!M55</f>
        <v>-2.0999999999999999E-3</v>
      </c>
      <c r="P300">
        <f>'2020_2021_efet Int_Confianca'!N55</f>
        <v>-1.9E-3</v>
      </c>
      <c r="Q300">
        <f>'2020_2021_efet Int_Confianca'!O55</f>
        <v>-1.2999999999999999E-3</v>
      </c>
      <c r="R300">
        <f>'2020_2021_efet Int_Confianca'!P55</f>
        <v>-1.2999999999999999E-3</v>
      </c>
      <c r="S300">
        <f>'2020_2021_efet Int_Confianca'!Q55</f>
        <v>-1.1000000000000001E-3</v>
      </c>
      <c r="T300">
        <f>'2020_2021_efet Int_Confianca'!R55</f>
        <v>-1.1000000000000001E-3</v>
      </c>
      <c r="U300">
        <f>'2020_2021_efet Int_Confianca'!S55</f>
        <v>-8.9999999999999998E-4</v>
      </c>
      <c r="V300">
        <f>'2020_2021_efet Int_Confianca'!T55</f>
        <v>-8.9999999999999998E-4</v>
      </c>
      <c r="W300">
        <f>'2020_2021_efet Int_Confianca'!U55</f>
        <v>-8.0000000000000004E-4</v>
      </c>
      <c r="X300">
        <f>'2020_2021_efet Int_Confianca'!V55</f>
        <v>-8.0000000000000004E-4</v>
      </c>
      <c r="Y300">
        <f>'2020_2021_efet Int_Confianca'!W55</f>
        <v>-8.0000000000000004E-4</v>
      </c>
      <c r="Z300">
        <f>'2020_2021_efet Int_Confianca'!X55</f>
        <v>-5.9999999999999995E-4</v>
      </c>
      <c r="AA300">
        <f>'2020_2021_efet Int_Confianca'!Y55</f>
        <v>-5.9999999999999995E-4</v>
      </c>
      <c r="AB300">
        <f>'2020_2021_efet Int_Confianca'!Z55</f>
        <v>-5.9999999999999995E-4</v>
      </c>
      <c r="AC300">
        <f>'2020_2021_efet Int_Confianca'!AA55</f>
        <v>-6.9999999999999999E-4</v>
      </c>
      <c r="AD300">
        <f>'2020_2021_efet Int_Confianca'!AB55</f>
        <v>-8.0000000000000004E-4</v>
      </c>
      <c r="AE300">
        <f>'2020_2021_efet Int_Confianca'!AC55</f>
        <v>-8.0000000000000004E-4</v>
      </c>
      <c r="AF300">
        <f>'2020_2021_efet Int_Confianca'!AD55</f>
        <v>-8.9999999999999998E-4</v>
      </c>
      <c r="AG300">
        <f>'2020_2021_efet Int_Confianca'!AE55</f>
        <v>-8.9999999999999998E-4</v>
      </c>
      <c r="AH300">
        <f>'2020_2021_efet Int_Confianca'!AF55</f>
        <v>-8.9999999999999998E-4</v>
      </c>
      <c r="AI300">
        <f>'2020_2021_efet Int_Confianca'!AG55</f>
        <v>-8.9999999999999998E-4</v>
      </c>
      <c r="AJ300">
        <f>'2020_2021_efet Int_Confianca'!AH55</f>
        <v>-8.9999999999999998E-4</v>
      </c>
      <c r="AK300">
        <f>'2020_2021_efet Int_Confianca'!AI55</f>
        <v>-8.9999999999999998E-4</v>
      </c>
      <c r="AL300">
        <f>'2020_2021_efet Int_Confianca'!AJ55</f>
        <v>-8.9999999999999998E-4</v>
      </c>
      <c r="AM300">
        <f>'2020_2021_efet Int_Confianca'!AK55</f>
        <v>-8.9999999999999998E-4</v>
      </c>
      <c r="AN300">
        <f>'2020_2021_efet Int_Confianca'!AL55</f>
        <v>-8.0000000000000004E-4</v>
      </c>
      <c r="AO300">
        <f>'2020_2021_efet Int_Confianca'!AM55</f>
        <v>-8.0000000000000004E-4</v>
      </c>
      <c r="AP300">
        <f>'2020_2021_efet Int_Confianca'!AN55</f>
        <v>-8.0000000000000004E-4</v>
      </c>
      <c r="AQ300">
        <f>'2020_2021_efet Int_Confianca'!AO55</f>
        <v>-6.9999999999999999E-4</v>
      </c>
      <c r="AR300">
        <f>'2020_2021_efet Int_Confianca'!AP55</f>
        <v>-8.0000000000000004E-4</v>
      </c>
      <c r="AS300">
        <f>'2020_2021_efet Int_Confianca'!AQ55</f>
        <v>-8.0000000000000004E-4</v>
      </c>
      <c r="AT300">
        <f>'2020_2021_efet Int_Confianca'!AR55</f>
        <v>-8.0000000000000004E-4</v>
      </c>
      <c r="AU300">
        <f>'2020_2021_efet Int_Confianca'!AS55</f>
        <v>-8.0000000000000004E-4</v>
      </c>
      <c r="AV300">
        <f>'2020_2021_efet Int_Confianca'!AT55</f>
        <v>-8.0000000000000004E-4</v>
      </c>
      <c r="AW300">
        <f>'2020_2021_efet Int_Confianca'!AU55</f>
        <v>-8.0000000000000004E-4</v>
      </c>
      <c r="AX300">
        <f>'2020_2021_efet Int_Confianca'!AV55</f>
        <v>-5.9999999999999995E-4</v>
      </c>
      <c r="AY300">
        <f>'2020_2021_efet Int_Confianca'!AW55</f>
        <v>-6.9999999999999999E-4</v>
      </c>
      <c r="AZ300">
        <f>'2020_2021_efet Int_Confianca'!AX55</f>
        <v>-8.0000000000000004E-4</v>
      </c>
      <c r="BA300">
        <f>'2020_2021_efet Int_Confianca'!AY55</f>
        <v>-5.9999999999999995E-4</v>
      </c>
      <c r="BB300">
        <f>'2020_2021_efet Int_Confianca'!AZ55</f>
        <v>-8.0000000000000004E-4</v>
      </c>
      <c r="BC300">
        <f>'2020_2021_efet Int_Confianca'!BA55</f>
        <v>-6.9999999999999999E-4</v>
      </c>
      <c r="BD300">
        <f>'2020_2021_efet Int_Confianca'!BB55</f>
        <v>-6.9999999999999999E-4</v>
      </c>
      <c r="BE300">
        <f>'2020_2021_efet Int_Confianca'!BC55</f>
        <v>-6.9999999999999999E-4</v>
      </c>
      <c r="BF300">
        <f>'2020_2021_efet Int_Confianca'!BD55</f>
        <v>-6.9999999999999999E-4</v>
      </c>
      <c r="BG300">
        <f>'2020_2021_efet Int_Confianca'!BE55</f>
        <v>-6.9999999999999999E-4</v>
      </c>
      <c r="BH300">
        <f>'2020_2021_efet Int_Confianca'!BF55</f>
        <v>-6.9999999999999999E-4</v>
      </c>
      <c r="BI300">
        <f>'2020_2021_efet Int_Confianca'!BG55</f>
        <v>-6.9999999999999999E-4</v>
      </c>
      <c r="BJ300">
        <f>'2020_2021_efet Int_Confianca'!BH55</f>
        <v>-6.9999999999999999E-4</v>
      </c>
      <c r="BK300">
        <f>'2020_2021_efet Int_Confianca'!BI55</f>
        <v>-5.0000000000000001E-4</v>
      </c>
      <c r="BL300">
        <f>'2020_2021_efet Int_Confianca'!BJ55</f>
        <v>-2.0000000000000001E-4</v>
      </c>
      <c r="BM300">
        <f>'2020_2021_efet Int_Confianca'!BK55</f>
        <v>-5.9999999999999995E-4</v>
      </c>
      <c r="BN300">
        <f>'2020_2021_efet Int_Confianca'!BL55</f>
        <v>-5.0000000000000001E-4</v>
      </c>
      <c r="BO300">
        <f>'2020_2021_efet Int_Confianca'!BM55</f>
        <v>-5.9999999999999995E-4</v>
      </c>
      <c r="BP300">
        <f>'2020_2021_efet Int_Confianca'!BN55</f>
        <v>-6.9999999999999999E-4</v>
      </c>
      <c r="BQ300">
        <f>'2020_2021_efet Int_Confianca'!BO55</f>
        <v>-5.9999999999999995E-4</v>
      </c>
      <c r="BR300">
        <f>'2020_2021_efet Int_Confianca'!BP55</f>
        <v>-6.9999999999999999E-4</v>
      </c>
      <c r="BS300">
        <f>'2020_2021_efet Int_Confianca'!BQ55</f>
        <v>-6.9999999999999999E-4</v>
      </c>
      <c r="BT300">
        <f>'2020_2021_efet Int_Confianca'!BR55</f>
        <v>-6.9999999999999999E-4</v>
      </c>
      <c r="BU300">
        <f>'2020_2021_efet Int_Confianca'!BS55</f>
        <v>-6.9999999999999999E-4</v>
      </c>
      <c r="BV300">
        <f>'2020_2021_efet Int_Confianca'!BT55</f>
        <v>-5.9999999999999995E-4</v>
      </c>
      <c r="BW300">
        <f>'2020_2021_efet Int_Confianca'!BU55</f>
        <v>-5.9999999999999995E-4</v>
      </c>
      <c r="BX300">
        <f>'2020_2021_efet Int_Confianca'!BV55</f>
        <v>-5.9999999999999995E-4</v>
      </c>
      <c r="BY300">
        <f>'2020_2021_efet Int_Confianca'!BW55</f>
        <v>-5.9999999999999995E-4</v>
      </c>
      <c r="BZ300">
        <f>'2020_2021_efet Int_Confianca'!BX55</f>
        <v>-5.9999999999999995E-4</v>
      </c>
      <c r="CA300">
        <f>'2020_2021_efet Int_Confianca'!BY55</f>
        <v>-5.0000000000000001E-4</v>
      </c>
      <c r="CB300">
        <f>'2020_2021_efet Int_Confianca'!BZ55</f>
        <v>-4.0000000000000002E-4</v>
      </c>
      <c r="CC300">
        <f>'2020_2021_efet Int_Confianca'!CA55</f>
        <v>-6.9999999999999999E-4</v>
      </c>
      <c r="CD300">
        <f>'2020_2021_efet Int_Confianca'!CB55</f>
        <v>-6.9999999999999999E-4</v>
      </c>
      <c r="CE300">
        <f>'2020_2021_efet Int_Confianca'!CC55</f>
        <v>-6.9999999999999999E-4</v>
      </c>
      <c r="CF300">
        <f>'2020_2021_efet Int_Confianca'!CD55</f>
        <v>-6.9999999999999999E-4</v>
      </c>
      <c r="CG300">
        <f>'2020_2021_efet Int_Confianca'!CE55</f>
        <v>-6.9999999999999999E-4</v>
      </c>
      <c r="CH300">
        <f>'2020_2021_efet Int_Confianca'!CF55</f>
        <v>-6.9999999999999999E-4</v>
      </c>
      <c r="CI300">
        <f>'2020_2021_efet Int_Confianca'!CG55</f>
        <v>-2.9999999999999997E-4</v>
      </c>
      <c r="CJ300">
        <f>'2020_2021_efet Int_Confianca'!CH55</f>
        <v>-6.9999999999999999E-4</v>
      </c>
      <c r="CK300">
        <f>'2020_2021_efet Int_Confianca'!CI55</f>
        <v>-6.9999999999999999E-4</v>
      </c>
      <c r="CL300">
        <f>'2020_2021_efet Int_Confianca'!CJ55</f>
        <v>-5.9999999999999995E-4</v>
      </c>
      <c r="CM300">
        <f>'2020_2021_efet Int_Confianca'!CK55</f>
        <v>-5.0000000000000001E-4</v>
      </c>
      <c r="CN300">
        <f>'2020_2021_efet Int_Confianca'!CL55</f>
        <v>-5.0000000000000001E-4</v>
      </c>
      <c r="CO300">
        <f>'2020_2021_efet Int_Confianca'!CM55</f>
        <v>-6.9999999999999999E-4</v>
      </c>
      <c r="CP300">
        <f>'2020_2021_efet Int_Confianca'!CN55</f>
        <v>-5.9999999999999995E-4</v>
      </c>
      <c r="CQ300">
        <f>'2020_2021_efet Int_Confianca'!CO55</f>
        <v>-1E-3</v>
      </c>
      <c r="CR300">
        <f>'2020_2021_efet Int_Confianca'!CP55</f>
        <v>-1.1000000000000001E-3</v>
      </c>
      <c r="CS300">
        <f>'2020_2021_efet Int_Confianca'!CQ55</f>
        <v>-1E-3</v>
      </c>
      <c r="CT300">
        <f>'2020_2021_efet Int_Confianca'!CR55</f>
        <v>-1.6000000000000001E-3</v>
      </c>
      <c r="CU300">
        <f>'2020_2021_efet Int_Confianca'!CS55</f>
        <v>-1.6000000000000001E-3</v>
      </c>
      <c r="CV300">
        <f>'2020_2021_efet Int_Confianca'!CT55</f>
        <v>-2.3E-3</v>
      </c>
      <c r="CW300">
        <f>'2020_2021_efet Int_Confianca'!CU55</f>
        <v>-2.3E-3</v>
      </c>
      <c r="CX300">
        <f>'2020_2021_efet Int_Confianca'!CV55</f>
        <v>-2.3999999999999998E-3</v>
      </c>
    </row>
    <row r="301" spans="1:102" x14ac:dyDescent="0.2">
      <c r="A301" t="s">
        <v>5922</v>
      </c>
      <c r="B301" t="s">
        <v>218</v>
      </c>
      <c r="C301" t="s">
        <v>223</v>
      </c>
      <c r="D301">
        <f>'2020_2021_efet Int_Confianca'!B56</f>
        <v>5.9999999999999995E-4</v>
      </c>
      <c r="E301">
        <f>'2020_2021_efet Int_Confianca'!C56</f>
        <v>5.9999999999999995E-4</v>
      </c>
      <c r="F301">
        <f>'2020_2021_efet Int_Confianca'!D56</f>
        <v>5.9999999999999995E-4</v>
      </c>
      <c r="G301">
        <f>'2020_2021_efet Int_Confianca'!E56</f>
        <v>8.0999999999999996E-3</v>
      </c>
      <c r="H301">
        <f>'2020_2021_efet Int_Confianca'!F56</f>
        <v>6.3E-3</v>
      </c>
      <c r="I301">
        <f>'2020_2021_efet Int_Confianca'!G56</f>
        <v>6.1000000000000004E-3</v>
      </c>
      <c r="J301">
        <f>'2020_2021_efet Int_Confianca'!H56</f>
        <v>5.8999999999999999E-3</v>
      </c>
      <c r="K301">
        <f>'2020_2021_efet Int_Confianca'!I56</f>
        <v>5.7999999999999996E-3</v>
      </c>
      <c r="L301">
        <f>'2020_2021_efet Int_Confianca'!J56</f>
        <v>6.1999999999999998E-3</v>
      </c>
      <c r="M301">
        <f>'2020_2021_efet Int_Confianca'!K56</f>
        <v>6.0000000000000001E-3</v>
      </c>
      <c r="N301">
        <f>'2020_2021_efet Int_Confianca'!L56</f>
        <v>5.8999999999999999E-3</v>
      </c>
      <c r="O301">
        <f>'2020_2021_efet Int_Confianca'!M56</f>
        <v>5.7000000000000002E-3</v>
      </c>
      <c r="P301">
        <f>'2020_2021_efet Int_Confianca'!N56</f>
        <v>5.1999999999999998E-3</v>
      </c>
      <c r="Q301">
        <f>'2020_2021_efet Int_Confianca'!O56</f>
        <v>3.7000000000000002E-3</v>
      </c>
      <c r="R301">
        <f>'2020_2021_efet Int_Confianca'!P56</f>
        <v>3.3999999999999998E-3</v>
      </c>
      <c r="S301">
        <f>'2020_2021_efet Int_Confianca'!Q56</f>
        <v>3.3999999999999998E-3</v>
      </c>
      <c r="T301">
        <f>'2020_2021_efet Int_Confianca'!R56</f>
        <v>2.8999999999999998E-3</v>
      </c>
      <c r="U301">
        <f>'2020_2021_efet Int_Confianca'!S56</f>
        <v>2.7000000000000001E-3</v>
      </c>
      <c r="V301">
        <f>'2020_2021_efet Int_Confianca'!T56</f>
        <v>2.5000000000000001E-3</v>
      </c>
      <c r="W301">
        <f>'2020_2021_efet Int_Confianca'!U56</f>
        <v>2.3E-3</v>
      </c>
      <c r="X301">
        <f>'2020_2021_efet Int_Confianca'!V56</f>
        <v>2.3E-3</v>
      </c>
      <c r="Y301">
        <f>'2020_2021_efet Int_Confianca'!W56</f>
        <v>2.3E-3</v>
      </c>
      <c r="Z301">
        <f>'2020_2021_efet Int_Confianca'!X56</f>
        <v>2.2000000000000001E-3</v>
      </c>
      <c r="AA301">
        <f>'2020_2021_efet Int_Confianca'!Y56</f>
        <v>2.2000000000000001E-3</v>
      </c>
      <c r="AB301">
        <f>'2020_2021_efet Int_Confianca'!Z56</f>
        <v>2E-3</v>
      </c>
      <c r="AC301">
        <f>'2020_2021_efet Int_Confianca'!AA56</f>
        <v>2.3E-3</v>
      </c>
      <c r="AD301">
        <f>'2020_2021_efet Int_Confianca'!AB56</f>
        <v>2.3999999999999998E-3</v>
      </c>
      <c r="AE301">
        <f>'2020_2021_efet Int_Confianca'!AC56</f>
        <v>2.5000000000000001E-3</v>
      </c>
      <c r="AF301">
        <f>'2020_2021_efet Int_Confianca'!AD56</f>
        <v>2.7000000000000001E-3</v>
      </c>
      <c r="AG301">
        <f>'2020_2021_efet Int_Confianca'!AE56</f>
        <v>2.5999999999999999E-3</v>
      </c>
      <c r="AH301">
        <f>'2020_2021_efet Int_Confianca'!AF56</f>
        <v>2.5999999999999999E-3</v>
      </c>
      <c r="AI301">
        <f>'2020_2021_efet Int_Confianca'!AG56</f>
        <v>2.8E-3</v>
      </c>
      <c r="AJ301">
        <f>'2020_2021_efet Int_Confianca'!AH56</f>
        <v>2.8E-3</v>
      </c>
      <c r="AK301">
        <f>'2020_2021_efet Int_Confianca'!AI56</f>
        <v>2.7000000000000001E-3</v>
      </c>
      <c r="AL301">
        <f>'2020_2021_efet Int_Confianca'!AJ56</f>
        <v>2.5999999999999999E-3</v>
      </c>
      <c r="AM301">
        <f>'2020_2021_efet Int_Confianca'!AK56</f>
        <v>2.7000000000000001E-3</v>
      </c>
      <c r="AN301">
        <f>'2020_2021_efet Int_Confianca'!AL56</f>
        <v>2.5999999999999999E-3</v>
      </c>
      <c r="AO301">
        <f>'2020_2021_efet Int_Confianca'!AM56</f>
        <v>2.5999999999999999E-3</v>
      </c>
      <c r="AP301">
        <f>'2020_2021_efet Int_Confianca'!AN56</f>
        <v>2.5000000000000001E-3</v>
      </c>
      <c r="AQ301">
        <f>'2020_2021_efet Int_Confianca'!AO56</f>
        <v>2.5999999999999999E-3</v>
      </c>
      <c r="AR301">
        <f>'2020_2021_efet Int_Confianca'!AP56</f>
        <v>2.5000000000000001E-3</v>
      </c>
      <c r="AS301">
        <f>'2020_2021_efet Int_Confianca'!AQ56</f>
        <v>2.3E-3</v>
      </c>
      <c r="AT301">
        <f>'2020_2021_efet Int_Confianca'!AR56</f>
        <v>2.3999999999999998E-3</v>
      </c>
      <c r="AU301">
        <f>'2020_2021_efet Int_Confianca'!AS56</f>
        <v>2.3999999999999998E-3</v>
      </c>
      <c r="AV301">
        <f>'2020_2021_efet Int_Confianca'!AT56</f>
        <v>2.3999999999999998E-3</v>
      </c>
      <c r="AW301">
        <f>'2020_2021_efet Int_Confianca'!AU56</f>
        <v>2.3999999999999998E-3</v>
      </c>
      <c r="AX301">
        <f>'2020_2021_efet Int_Confianca'!AV56</f>
        <v>2.3999999999999998E-3</v>
      </c>
      <c r="AY301">
        <f>'2020_2021_efet Int_Confianca'!AW56</f>
        <v>2.2000000000000001E-3</v>
      </c>
      <c r="AZ301">
        <f>'2020_2021_efet Int_Confianca'!AX56</f>
        <v>2.3999999999999998E-3</v>
      </c>
      <c r="BA301">
        <f>'2020_2021_efet Int_Confianca'!AY56</f>
        <v>2.3999999999999998E-3</v>
      </c>
      <c r="BB301">
        <f>'2020_2021_efet Int_Confianca'!AZ56</f>
        <v>2.2000000000000001E-3</v>
      </c>
      <c r="BC301">
        <f>'2020_2021_efet Int_Confianca'!BA56</f>
        <v>2.2000000000000001E-3</v>
      </c>
      <c r="BD301">
        <f>'2020_2021_efet Int_Confianca'!BB56</f>
        <v>2.0999999999999999E-3</v>
      </c>
      <c r="BE301">
        <f>'2020_2021_efet Int_Confianca'!BC56</f>
        <v>2.0999999999999999E-3</v>
      </c>
      <c r="BF301">
        <f>'2020_2021_efet Int_Confianca'!BD56</f>
        <v>2.0999999999999999E-3</v>
      </c>
      <c r="BG301">
        <f>'2020_2021_efet Int_Confianca'!BE56</f>
        <v>2E-3</v>
      </c>
      <c r="BH301">
        <f>'2020_2021_efet Int_Confianca'!BF56</f>
        <v>1.8E-3</v>
      </c>
      <c r="BI301">
        <f>'2020_2021_efet Int_Confianca'!BG56</f>
        <v>1.9E-3</v>
      </c>
      <c r="BJ301">
        <f>'2020_2021_efet Int_Confianca'!BH56</f>
        <v>1.9E-3</v>
      </c>
      <c r="BK301">
        <f>'2020_2021_efet Int_Confianca'!BI56</f>
        <v>1.8E-3</v>
      </c>
      <c r="BL301">
        <f>'2020_2021_efet Int_Confianca'!BJ56</f>
        <v>2E-3</v>
      </c>
      <c r="BM301">
        <f>'2020_2021_efet Int_Confianca'!BK56</f>
        <v>1.4E-3</v>
      </c>
      <c r="BN301">
        <f>'2020_2021_efet Int_Confianca'!BL56</f>
        <v>1.5E-3</v>
      </c>
      <c r="BO301">
        <f>'2020_2021_efet Int_Confianca'!BM56</f>
        <v>1.8E-3</v>
      </c>
      <c r="BP301">
        <f>'2020_2021_efet Int_Confianca'!BN56</f>
        <v>1.9E-3</v>
      </c>
      <c r="BQ301">
        <f>'2020_2021_efet Int_Confianca'!BO56</f>
        <v>1.9E-3</v>
      </c>
      <c r="BR301">
        <f>'2020_2021_efet Int_Confianca'!BP56</f>
        <v>1.8E-3</v>
      </c>
      <c r="BS301">
        <f>'2020_2021_efet Int_Confianca'!BQ56</f>
        <v>1.9E-3</v>
      </c>
      <c r="BT301">
        <f>'2020_2021_efet Int_Confianca'!BR56</f>
        <v>1.8E-3</v>
      </c>
      <c r="BU301">
        <f>'2020_2021_efet Int_Confianca'!BS56</f>
        <v>1.6999999999999999E-3</v>
      </c>
      <c r="BV301">
        <f>'2020_2021_efet Int_Confianca'!BT56</f>
        <v>1.5E-3</v>
      </c>
      <c r="BW301">
        <f>'2020_2021_efet Int_Confianca'!BU56</f>
        <v>1.6000000000000001E-3</v>
      </c>
      <c r="BX301">
        <f>'2020_2021_efet Int_Confianca'!BV56</f>
        <v>1.5E-3</v>
      </c>
      <c r="BY301">
        <f>'2020_2021_efet Int_Confianca'!BW56</f>
        <v>1.2999999999999999E-3</v>
      </c>
      <c r="BZ301">
        <f>'2020_2021_efet Int_Confianca'!BX56</f>
        <v>1.2999999999999999E-3</v>
      </c>
      <c r="CA301">
        <f>'2020_2021_efet Int_Confianca'!BY56</f>
        <v>1.2999999999999999E-3</v>
      </c>
      <c r="CB301">
        <f>'2020_2021_efet Int_Confianca'!BZ56</f>
        <v>1.1999999999999999E-3</v>
      </c>
      <c r="CC301">
        <f>'2020_2021_efet Int_Confianca'!CA56</f>
        <v>1.1999999999999999E-3</v>
      </c>
      <c r="CD301">
        <f>'2020_2021_efet Int_Confianca'!CB56</f>
        <v>1.1999999999999999E-3</v>
      </c>
      <c r="CE301">
        <f>'2020_2021_efet Int_Confianca'!CC56</f>
        <v>1.1000000000000001E-3</v>
      </c>
      <c r="CF301">
        <f>'2020_2021_efet Int_Confianca'!CD56</f>
        <v>1.1999999999999999E-3</v>
      </c>
      <c r="CG301">
        <f>'2020_2021_efet Int_Confianca'!CE56</f>
        <v>1.1000000000000001E-3</v>
      </c>
      <c r="CH301">
        <f>'2020_2021_efet Int_Confianca'!CF56</f>
        <v>1E-3</v>
      </c>
      <c r="CI301">
        <f>'2020_2021_efet Int_Confianca'!CG56</f>
        <v>8.9999999999999998E-4</v>
      </c>
      <c r="CJ301">
        <f>'2020_2021_efet Int_Confianca'!CH56</f>
        <v>8.9999999999999998E-4</v>
      </c>
      <c r="CK301">
        <f>'2020_2021_efet Int_Confianca'!CI56</f>
        <v>8.9999999999999998E-4</v>
      </c>
      <c r="CL301">
        <f>'2020_2021_efet Int_Confianca'!CJ56</f>
        <v>8.9999999999999998E-4</v>
      </c>
      <c r="CM301">
        <f>'2020_2021_efet Int_Confianca'!CK56</f>
        <v>8.0000000000000004E-4</v>
      </c>
      <c r="CN301">
        <f>'2020_2021_efet Int_Confianca'!CL56</f>
        <v>8.0000000000000004E-4</v>
      </c>
      <c r="CO301">
        <f>'2020_2021_efet Int_Confianca'!CM56</f>
        <v>8.0000000000000004E-4</v>
      </c>
      <c r="CP301">
        <f>'2020_2021_efet Int_Confianca'!CN56</f>
        <v>8.0000000000000004E-4</v>
      </c>
      <c r="CQ301">
        <f>'2020_2021_efet Int_Confianca'!CO56</f>
        <v>8.0000000000000004E-4</v>
      </c>
      <c r="CR301">
        <f>'2020_2021_efet Int_Confianca'!CP56</f>
        <v>8.0000000000000004E-4</v>
      </c>
      <c r="CS301">
        <f>'2020_2021_efet Int_Confianca'!CQ56</f>
        <v>5.0000000000000001E-4</v>
      </c>
      <c r="CT301">
        <f>'2020_2021_efet Int_Confianca'!CR56</f>
        <v>5.0000000000000001E-4</v>
      </c>
      <c r="CU301">
        <f>'2020_2021_efet Int_Confianca'!CS56</f>
        <v>2.9999999999999997E-4</v>
      </c>
      <c r="CV301">
        <f>'2020_2021_efet Int_Confianca'!CT56</f>
        <v>5.0000000000000001E-4</v>
      </c>
      <c r="CW301">
        <f>'2020_2021_efet Int_Confianca'!CU56</f>
        <v>2.9999999999999997E-4</v>
      </c>
      <c r="CX301">
        <f>'2020_2021_efet Int_Confianca'!CV56</f>
        <v>4.0000000000000002E-4</v>
      </c>
    </row>
    <row r="302" spans="1:102" x14ac:dyDescent="0.2">
      <c r="A302" t="s">
        <v>5923</v>
      </c>
      <c r="B302" t="s">
        <v>218</v>
      </c>
      <c r="C302" t="s">
        <v>223</v>
      </c>
      <c r="D302">
        <f>'2020_2021_efet Int_Confianca'!B57</f>
        <v>-6.9999999999999999E-4</v>
      </c>
      <c r="E302">
        <f>'2020_2021_efet Int_Confianca'!C57</f>
        <v>-6.9999999999999999E-4</v>
      </c>
      <c r="F302">
        <f>'2020_2021_efet Int_Confianca'!D57</f>
        <v>-6.9999999999999999E-4</v>
      </c>
      <c r="G302">
        <f>'2020_2021_efet Int_Confianca'!E57</f>
        <v>-3.5999999999999997E-2</v>
      </c>
      <c r="H302">
        <f>'2020_2021_efet Int_Confianca'!F57</f>
        <v>-1.8200000000000001E-2</v>
      </c>
      <c r="I302">
        <f>'2020_2021_efet Int_Confianca'!G57</f>
        <v>-1.1599999999999999E-2</v>
      </c>
      <c r="J302">
        <f>'2020_2021_efet Int_Confianca'!H57</f>
        <v>-9.4000000000000004E-3</v>
      </c>
      <c r="K302">
        <f>'2020_2021_efet Int_Confianca'!I57</f>
        <v>-6.0000000000000001E-3</v>
      </c>
      <c r="L302">
        <f>'2020_2021_efet Int_Confianca'!J57</f>
        <v>-4.7000000000000002E-3</v>
      </c>
      <c r="M302">
        <f>'2020_2021_efet Int_Confianca'!K57</f>
        <v>-2.5000000000000001E-3</v>
      </c>
      <c r="N302">
        <f>'2020_2021_efet Int_Confianca'!L57</f>
        <v>-2.2000000000000001E-3</v>
      </c>
      <c r="O302">
        <f>'2020_2021_efet Int_Confianca'!M57</f>
        <v>-1.1000000000000001E-3</v>
      </c>
      <c r="P302">
        <f>'2020_2021_efet Int_Confianca'!N57</f>
        <v>-8.0000000000000004E-4</v>
      </c>
      <c r="Q302">
        <f>'2020_2021_efet Int_Confianca'!O57</f>
        <v>-1E-4</v>
      </c>
      <c r="R302">
        <f>'2020_2021_efet Int_Confianca'!P57</f>
        <v>-2.9999999999999997E-4</v>
      </c>
      <c r="S302">
        <f>'2020_2021_efet Int_Confianca'!Q57</f>
        <v>1E-4</v>
      </c>
      <c r="T302">
        <f>'2020_2021_efet Int_Confianca'!R57</f>
        <v>6.9999999999999999E-4</v>
      </c>
      <c r="U302">
        <f>'2020_2021_efet Int_Confianca'!S57</f>
        <v>8.9999999999999998E-4</v>
      </c>
      <c r="V302">
        <f>'2020_2021_efet Int_Confianca'!T57</f>
        <v>1E-3</v>
      </c>
      <c r="W302">
        <f>'2020_2021_efet Int_Confianca'!U57</f>
        <v>8.9999999999999998E-4</v>
      </c>
      <c r="X302">
        <f>'2020_2021_efet Int_Confianca'!V57</f>
        <v>1.1000000000000001E-3</v>
      </c>
      <c r="Y302">
        <f>'2020_2021_efet Int_Confianca'!W57</f>
        <v>1.2999999999999999E-3</v>
      </c>
      <c r="Z302">
        <f>'2020_2021_efet Int_Confianca'!X57</f>
        <v>1.4E-3</v>
      </c>
      <c r="AA302">
        <f>'2020_2021_efet Int_Confianca'!Y57</f>
        <v>1.6000000000000001E-3</v>
      </c>
      <c r="AB302">
        <f>'2020_2021_efet Int_Confianca'!Z57</f>
        <v>1.6000000000000001E-3</v>
      </c>
      <c r="AC302">
        <f>'2020_2021_efet Int_Confianca'!AA57</f>
        <v>1.6999999999999999E-3</v>
      </c>
      <c r="AD302">
        <f>'2020_2021_efet Int_Confianca'!AB57</f>
        <v>1.4E-3</v>
      </c>
      <c r="AE302">
        <f>'2020_2021_efet Int_Confianca'!AC57</f>
        <v>1.1000000000000001E-3</v>
      </c>
      <c r="AF302">
        <f>'2020_2021_efet Int_Confianca'!AD57</f>
        <v>1.1999999999999999E-3</v>
      </c>
      <c r="AG302">
        <f>'2020_2021_efet Int_Confianca'!AE57</f>
        <v>1.2999999999999999E-3</v>
      </c>
      <c r="AH302">
        <f>'2020_2021_efet Int_Confianca'!AF57</f>
        <v>1.1999999999999999E-3</v>
      </c>
      <c r="AI302">
        <f>'2020_2021_efet Int_Confianca'!AG57</f>
        <v>1.5E-3</v>
      </c>
      <c r="AJ302">
        <f>'2020_2021_efet Int_Confianca'!AH57</f>
        <v>1.6000000000000001E-3</v>
      </c>
      <c r="AK302">
        <f>'2020_2021_efet Int_Confianca'!AI57</f>
        <v>1.6999999999999999E-3</v>
      </c>
      <c r="AL302">
        <f>'2020_2021_efet Int_Confianca'!AJ57</f>
        <v>1.6999999999999999E-3</v>
      </c>
      <c r="AM302">
        <f>'2020_2021_efet Int_Confianca'!AK57</f>
        <v>1.6000000000000001E-3</v>
      </c>
      <c r="AN302">
        <f>'2020_2021_efet Int_Confianca'!AL57</f>
        <v>1.6999999999999999E-3</v>
      </c>
      <c r="AO302">
        <f>'2020_2021_efet Int_Confianca'!AM57</f>
        <v>1.8E-3</v>
      </c>
      <c r="AP302">
        <f>'2020_2021_efet Int_Confianca'!AN57</f>
        <v>1.6999999999999999E-3</v>
      </c>
      <c r="AQ302">
        <f>'2020_2021_efet Int_Confianca'!AO57</f>
        <v>1.8E-3</v>
      </c>
      <c r="AR302">
        <f>'2020_2021_efet Int_Confianca'!AP57</f>
        <v>1.9E-3</v>
      </c>
      <c r="AS302">
        <f>'2020_2021_efet Int_Confianca'!AQ57</f>
        <v>2E-3</v>
      </c>
      <c r="AT302">
        <f>'2020_2021_efet Int_Confianca'!AR57</f>
        <v>2E-3</v>
      </c>
      <c r="AU302">
        <f>'2020_2021_efet Int_Confianca'!AS57</f>
        <v>1.9E-3</v>
      </c>
      <c r="AV302">
        <f>'2020_2021_efet Int_Confianca'!AT57</f>
        <v>1.9E-3</v>
      </c>
      <c r="AW302">
        <f>'2020_2021_efet Int_Confianca'!AU57</f>
        <v>2E-3</v>
      </c>
      <c r="AX302">
        <f>'2020_2021_efet Int_Confianca'!AV57</f>
        <v>2E-3</v>
      </c>
      <c r="AY302">
        <f>'2020_2021_efet Int_Confianca'!AW57</f>
        <v>1.9E-3</v>
      </c>
      <c r="AZ302">
        <f>'2020_2021_efet Int_Confianca'!AX57</f>
        <v>2E-3</v>
      </c>
      <c r="BA302">
        <f>'2020_2021_efet Int_Confianca'!AY57</f>
        <v>2.2000000000000001E-3</v>
      </c>
      <c r="BB302">
        <f>'2020_2021_efet Int_Confianca'!AZ57</f>
        <v>2.0999999999999999E-3</v>
      </c>
      <c r="BC302">
        <f>'2020_2021_efet Int_Confianca'!BA57</f>
        <v>2.3E-3</v>
      </c>
      <c r="BD302">
        <f>'2020_2021_efet Int_Confianca'!BB57</f>
        <v>2.5999999999999999E-3</v>
      </c>
      <c r="BE302">
        <f>'2020_2021_efet Int_Confianca'!BC57</f>
        <v>2.5999999999999999E-3</v>
      </c>
      <c r="BF302">
        <f>'2020_2021_efet Int_Confianca'!BD57</f>
        <v>2.5999999999999999E-3</v>
      </c>
      <c r="BG302">
        <f>'2020_2021_efet Int_Confianca'!BE57</f>
        <v>2.5999999999999999E-3</v>
      </c>
      <c r="BH302">
        <f>'2020_2021_efet Int_Confianca'!BF57</f>
        <v>2.5999999999999999E-3</v>
      </c>
      <c r="BI302">
        <f>'2020_2021_efet Int_Confianca'!BG57</f>
        <v>2.5999999999999999E-3</v>
      </c>
      <c r="BJ302">
        <f>'2020_2021_efet Int_Confianca'!BH57</f>
        <v>2.7000000000000001E-3</v>
      </c>
      <c r="BK302">
        <f>'2020_2021_efet Int_Confianca'!BI57</f>
        <v>2.5999999999999999E-3</v>
      </c>
      <c r="BL302">
        <f>'2020_2021_efet Int_Confianca'!BJ57</f>
        <v>2.5999999999999999E-3</v>
      </c>
      <c r="BM302">
        <f>'2020_2021_efet Int_Confianca'!BK57</f>
        <v>2.5999999999999999E-3</v>
      </c>
      <c r="BN302">
        <f>'2020_2021_efet Int_Confianca'!BL57</f>
        <v>2.5999999999999999E-3</v>
      </c>
      <c r="BO302">
        <f>'2020_2021_efet Int_Confianca'!BM57</f>
        <v>2.8E-3</v>
      </c>
      <c r="BP302">
        <f>'2020_2021_efet Int_Confianca'!BN57</f>
        <v>2.8999999999999998E-3</v>
      </c>
      <c r="BQ302">
        <f>'2020_2021_efet Int_Confianca'!BO57</f>
        <v>3.0000000000000001E-3</v>
      </c>
      <c r="BR302">
        <f>'2020_2021_efet Int_Confianca'!BP57</f>
        <v>3.2000000000000002E-3</v>
      </c>
      <c r="BS302">
        <f>'2020_2021_efet Int_Confianca'!BQ57</f>
        <v>3.3E-3</v>
      </c>
      <c r="BT302">
        <f>'2020_2021_efet Int_Confianca'!BR57</f>
        <v>3.3E-3</v>
      </c>
      <c r="BU302">
        <f>'2020_2021_efet Int_Confianca'!BS57</f>
        <v>3.3999999999999998E-3</v>
      </c>
      <c r="BV302">
        <f>'2020_2021_efet Int_Confianca'!BT57</f>
        <v>3.3999999999999998E-3</v>
      </c>
      <c r="BW302">
        <f>'2020_2021_efet Int_Confianca'!BU57</f>
        <v>3.2000000000000002E-3</v>
      </c>
      <c r="BX302">
        <f>'2020_2021_efet Int_Confianca'!BV57</f>
        <v>3.2000000000000002E-3</v>
      </c>
      <c r="BY302">
        <f>'2020_2021_efet Int_Confianca'!BW57</f>
        <v>3.5000000000000001E-3</v>
      </c>
      <c r="BZ302">
        <f>'2020_2021_efet Int_Confianca'!BX57</f>
        <v>3.5999999999999999E-3</v>
      </c>
      <c r="CA302">
        <f>'2020_2021_efet Int_Confianca'!BY57</f>
        <v>3.7000000000000002E-3</v>
      </c>
      <c r="CB302">
        <f>'2020_2021_efet Int_Confianca'!BZ57</f>
        <v>3.3999999999999998E-3</v>
      </c>
      <c r="CC302">
        <f>'2020_2021_efet Int_Confianca'!CA57</f>
        <v>3.3E-3</v>
      </c>
      <c r="CD302">
        <f>'2020_2021_efet Int_Confianca'!CB57</f>
        <v>3.5999999999999999E-3</v>
      </c>
      <c r="CE302">
        <f>'2020_2021_efet Int_Confianca'!CC57</f>
        <v>3.8E-3</v>
      </c>
      <c r="CF302">
        <f>'2020_2021_efet Int_Confianca'!CD57</f>
        <v>3.7000000000000002E-3</v>
      </c>
      <c r="CG302">
        <f>'2020_2021_efet Int_Confianca'!CE57</f>
        <v>3.5999999999999999E-3</v>
      </c>
      <c r="CH302">
        <f>'2020_2021_efet Int_Confianca'!CF57</f>
        <v>3.2000000000000002E-3</v>
      </c>
      <c r="CI302">
        <f>'2020_2021_efet Int_Confianca'!CG57</f>
        <v>2.7000000000000001E-3</v>
      </c>
      <c r="CJ302">
        <f>'2020_2021_efet Int_Confianca'!CH57</f>
        <v>2.5999999999999999E-3</v>
      </c>
      <c r="CK302">
        <f>'2020_2021_efet Int_Confianca'!CI57</f>
        <v>2.5000000000000001E-3</v>
      </c>
      <c r="CL302">
        <f>'2020_2021_efet Int_Confianca'!CJ57</f>
        <v>2.5000000000000001E-3</v>
      </c>
      <c r="CM302">
        <f>'2020_2021_efet Int_Confianca'!CK57</f>
        <v>2.3E-3</v>
      </c>
      <c r="CN302">
        <f>'2020_2021_efet Int_Confianca'!CL57</f>
        <v>2.0999999999999999E-3</v>
      </c>
      <c r="CO302">
        <f>'2020_2021_efet Int_Confianca'!CM57</f>
        <v>2.2000000000000001E-3</v>
      </c>
      <c r="CP302">
        <f>'2020_2021_efet Int_Confianca'!CN57</f>
        <v>2.0999999999999999E-3</v>
      </c>
      <c r="CQ302">
        <f>'2020_2021_efet Int_Confianca'!CO57</f>
        <v>1.9E-3</v>
      </c>
      <c r="CR302">
        <f>'2020_2021_efet Int_Confianca'!CP57</f>
        <v>1.1999999999999999E-3</v>
      </c>
      <c r="CS302">
        <f>'2020_2021_efet Int_Confianca'!CQ57</f>
        <v>8.0000000000000004E-4</v>
      </c>
      <c r="CT302">
        <f>'2020_2021_efet Int_Confianca'!CR57</f>
        <v>8.9999999999999998E-4</v>
      </c>
      <c r="CU302">
        <f>'2020_2021_efet Int_Confianca'!CS57</f>
        <v>1E-3</v>
      </c>
      <c r="CV302">
        <f>'2020_2021_efet Int_Confianca'!CT57</f>
        <v>2.0000000000000001E-4</v>
      </c>
      <c r="CW302">
        <f>'2020_2021_efet Int_Confianca'!CU57</f>
        <v>-1.1999999999999999E-3</v>
      </c>
      <c r="CX302">
        <f>'2020_2021_efet Int_Confianca'!CV57</f>
        <v>-3.0999999999999999E-3</v>
      </c>
    </row>
    <row r="303" spans="1:102" x14ac:dyDescent="0.2">
      <c r="A303" t="s">
        <v>5924</v>
      </c>
      <c r="B303" t="s">
        <v>218</v>
      </c>
      <c r="C303" t="s">
        <v>223</v>
      </c>
      <c r="D303">
        <f>'2020_2021_efet Int_Confianca'!B58</f>
        <v>1E-4</v>
      </c>
      <c r="E303">
        <f>'2020_2021_efet Int_Confianca'!C58</f>
        <v>1E-4</v>
      </c>
      <c r="F303">
        <f>'2020_2021_efet Int_Confianca'!D58</f>
        <v>1E-4</v>
      </c>
      <c r="G303">
        <f>'2020_2021_efet Int_Confianca'!E58</f>
        <v>-1.7000000000000001E-2</v>
      </c>
      <c r="H303">
        <f>'2020_2021_efet Int_Confianca'!F58</f>
        <v>-7.0000000000000001E-3</v>
      </c>
      <c r="I303">
        <f>'2020_2021_efet Int_Confianca'!G58</f>
        <v>-2.7000000000000001E-3</v>
      </c>
      <c r="J303">
        <f>'2020_2021_efet Int_Confianca'!H58</f>
        <v>-1.2999999999999999E-3</v>
      </c>
      <c r="K303">
        <f>'2020_2021_efet Int_Confianca'!I58</f>
        <v>1.1000000000000001E-3</v>
      </c>
      <c r="L303">
        <f>'2020_2021_efet Int_Confianca'!J58</f>
        <v>2.5000000000000001E-3</v>
      </c>
      <c r="M303">
        <f>'2020_2021_efet Int_Confianca'!K58</f>
        <v>4.3E-3</v>
      </c>
      <c r="N303">
        <f>'2020_2021_efet Int_Confianca'!L58</f>
        <v>4.1999999999999997E-3</v>
      </c>
      <c r="O303">
        <f>'2020_2021_efet Int_Confianca'!M58</f>
        <v>5.1000000000000004E-3</v>
      </c>
      <c r="P303">
        <f>'2020_2021_efet Int_Confianca'!N58</f>
        <v>4.8999999999999998E-3</v>
      </c>
      <c r="Q303">
        <f>'2020_2021_efet Int_Confianca'!O58</f>
        <v>3.8999999999999998E-3</v>
      </c>
      <c r="R303">
        <f>'2020_2021_efet Int_Confianca'!P58</f>
        <v>3.8E-3</v>
      </c>
      <c r="S303">
        <f>'2020_2021_efet Int_Confianca'!Q58</f>
        <v>3.8999999999999998E-3</v>
      </c>
      <c r="T303">
        <f>'2020_2021_efet Int_Confianca'!R58</f>
        <v>4.0000000000000001E-3</v>
      </c>
      <c r="U303">
        <f>'2020_2021_efet Int_Confianca'!S58</f>
        <v>3.8999999999999998E-3</v>
      </c>
      <c r="V303">
        <f>'2020_2021_efet Int_Confianca'!T58</f>
        <v>3.8999999999999998E-3</v>
      </c>
      <c r="W303">
        <f>'2020_2021_efet Int_Confianca'!U58</f>
        <v>3.3999999999999998E-3</v>
      </c>
      <c r="X303">
        <f>'2020_2021_efet Int_Confianca'!V58</f>
        <v>3.7000000000000002E-3</v>
      </c>
      <c r="Y303">
        <f>'2020_2021_efet Int_Confianca'!W58</f>
        <v>3.7000000000000002E-3</v>
      </c>
      <c r="Z303">
        <f>'2020_2021_efet Int_Confianca'!X58</f>
        <v>3.8E-3</v>
      </c>
      <c r="AA303">
        <f>'2020_2021_efet Int_Confianca'!Y58</f>
        <v>4.0000000000000001E-3</v>
      </c>
      <c r="AB303">
        <f>'2020_2021_efet Int_Confianca'!Z58</f>
        <v>4.1000000000000003E-3</v>
      </c>
      <c r="AC303">
        <f>'2020_2021_efet Int_Confianca'!AA58</f>
        <v>4.1000000000000003E-3</v>
      </c>
      <c r="AD303">
        <f>'2020_2021_efet Int_Confianca'!AB58</f>
        <v>3.7000000000000002E-3</v>
      </c>
      <c r="AE303">
        <f>'2020_2021_efet Int_Confianca'!AC58</f>
        <v>3.2000000000000002E-3</v>
      </c>
      <c r="AF303">
        <f>'2020_2021_efet Int_Confianca'!AD58</f>
        <v>3.3999999999999998E-3</v>
      </c>
      <c r="AG303">
        <f>'2020_2021_efet Int_Confianca'!AE58</f>
        <v>3.5999999999999999E-3</v>
      </c>
      <c r="AH303">
        <f>'2020_2021_efet Int_Confianca'!AF58</f>
        <v>3.5999999999999999E-3</v>
      </c>
      <c r="AI303">
        <f>'2020_2021_efet Int_Confianca'!AG58</f>
        <v>4.0000000000000001E-3</v>
      </c>
      <c r="AJ303">
        <f>'2020_2021_efet Int_Confianca'!AH58</f>
        <v>4.1000000000000003E-3</v>
      </c>
      <c r="AK303">
        <f>'2020_2021_efet Int_Confianca'!AI58</f>
        <v>4.3E-3</v>
      </c>
      <c r="AL303">
        <f>'2020_2021_efet Int_Confianca'!AJ58</f>
        <v>4.1999999999999997E-3</v>
      </c>
      <c r="AM303">
        <f>'2020_2021_efet Int_Confianca'!AK58</f>
        <v>4.1000000000000003E-3</v>
      </c>
      <c r="AN303">
        <f>'2020_2021_efet Int_Confianca'!AL58</f>
        <v>4.1999999999999997E-3</v>
      </c>
      <c r="AO303">
        <f>'2020_2021_efet Int_Confianca'!AM58</f>
        <v>4.4000000000000003E-3</v>
      </c>
      <c r="AP303">
        <f>'2020_2021_efet Int_Confianca'!AN58</f>
        <v>4.1999999999999997E-3</v>
      </c>
      <c r="AQ303">
        <f>'2020_2021_efet Int_Confianca'!AO58</f>
        <v>4.3E-3</v>
      </c>
      <c r="AR303">
        <f>'2020_2021_efet Int_Confianca'!AP58</f>
        <v>4.4000000000000003E-3</v>
      </c>
      <c r="AS303">
        <f>'2020_2021_efet Int_Confianca'!AQ58</f>
        <v>4.5999999999999999E-3</v>
      </c>
      <c r="AT303">
        <f>'2020_2021_efet Int_Confianca'!AR58</f>
        <v>4.5999999999999999E-3</v>
      </c>
      <c r="AU303">
        <f>'2020_2021_efet Int_Confianca'!AS58</f>
        <v>4.4999999999999997E-3</v>
      </c>
      <c r="AV303">
        <f>'2020_2021_efet Int_Confianca'!AT58</f>
        <v>4.4999999999999997E-3</v>
      </c>
      <c r="AW303">
        <f>'2020_2021_efet Int_Confianca'!AU58</f>
        <v>4.5999999999999999E-3</v>
      </c>
      <c r="AX303">
        <f>'2020_2021_efet Int_Confianca'!AV58</f>
        <v>4.7000000000000002E-3</v>
      </c>
      <c r="AY303">
        <f>'2020_2021_efet Int_Confianca'!AW58</f>
        <v>4.5999999999999999E-3</v>
      </c>
      <c r="AZ303">
        <f>'2020_2021_efet Int_Confianca'!AX58</f>
        <v>4.7000000000000002E-3</v>
      </c>
      <c r="BA303">
        <f>'2020_2021_efet Int_Confianca'!AY58</f>
        <v>4.8999999999999998E-3</v>
      </c>
      <c r="BB303">
        <f>'2020_2021_efet Int_Confianca'!AZ58</f>
        <v>4.7999999999999996E-3</v>
      </c>
      <c r="BC303">
        <f>'2020_2021_efet Int_Confianca'!BA58</f>
        <v>5.0000000000000001E-3</v>
      </c>
      <c r="BD303">
        <f>'2020_2021_efet Int_Confianca'!BB58</f>
        <v>5.3E-3</v>
      </c>
      <c r="BE303">
        <f>'2020_2021_efet Int_Confianca'!BC58</f>
        <v>5.4000000000000003E-3</v>
      </c>
      <c r="BF303">
        <f>'2020_2021_efet Int_Confianca'!BD58</f>
        <v>5.4000000000000003E-3</v>
      </c>
      <c r="BG303">
        <f>'2020_2021_efet Int_Confianca'!BE58</f>
        <v>5.3E-3</v>
      </c>
      <c r="BH303">
        <f>'2020_2021_efet Int_Confianca'!BF58</f>
        <v>5.4000000000000003E-3</v>
      </c>
      <c r="BI303">
        <f>'2020_2021_efet Int_Confianca'!BG58</f>
        <v>5.4999999999999997E-3</v>
      </c>
      <c r="BJ303">
        <f>'2020_2021_efet Int_Confianca'!BH58</f>
        <v>5.5999999999999999E-3</v>
      </c>
      <c r="BK303">
        <f>'2020_2021_efet Int_Confianca'!BI58</f>
        <v>5.4000000000000003E-3</v>
      </c>
      <c r="BL303">
        <f>'2020_2021_efet Int_Confianca'!BJ58</f>
        <v>5.4000000000000003E-3</v>
      </c>
      <c r="BM303">
        <f>'2020_2021_efet Int_Confianca'!BK58</f>
        <v>5.4000000000000003E-3</v>
      </c>
      <c r="BN303">
        <f>'2020_2021_efet Int_Confianca'!BL58</f>
        <v>5.3E-3</v>
      </c>
      <c r="BO303">
        <f>'2020_2021_efet Int_Confianca'!BM58</f>
        <v>5.7000000000000002E-3</v>
      </c>
      <c r="BP303">
        <f>'2020_2021_efet Int_Confianca'!BN58</f>
        <v>5.8999999999999999E-3</v>
      </c>
      <c r="BQ303">
        <f>'2020_2021_efet Int_Confianca'!BO58</f>
        <v>6.1000000000000004E-3</v>
      </c>
      <c r="BR303">
        <f>'2020_2021_efet Int_Confianca'!BP58</f>
        <v>6.6E-3</v>
      </c>
      <c r="BS303">
        <f>'2020_2021_efet Int_Confianca'!BQ58</f>
        <v>6.7000000000000002E-3</v>
      </c>
      <c r="BT303">
        <f>'2020_2021_efet Int_Confianca'!BR58</f>
        <v>6.7000000000000002E-3</v>
      </c>
      <c r="BU303">
        <f>'2020_2021_efet Int_Confianca'!BS58</f>
        <v>6.7999999999999996E-3</v>
      </c>
      <c r="BV303">
        <f>'2020_2021_efet Int_Confianca'!BT58</f>
        <v>6.8999999999999999E-3</v>
      </c>
      <c r="BW303">
        <f>'2020_2021_efet Int_Confianca'!BU58</f>
        <v>6.4999999999999997E-3</v>
      </c>
      <c r="BX303">
        <f>'2020_2021_efet Int_Confianca'!BV58</f>
        <v>6.4999999999999997E-3</v>
      </c>
      <c r="BY303">
        <f>'2020_2021_efet Int_Confianca'!BW58</f>
        <v>7.0000000000000001E-3</v>
      </c>
      <c r="BZ303">
        <f>'2020_2021_efet Int_Confianca'!BX58</f>
        <v>7.3000000000000001E-3</v>
      </c>
      <c r="CA303">
        <f>'2020_2021_efet Int_Confianca'!BY58</f>
        <v>7.4999999999999997E-3</v>
      </c>
      <c r="CB303">
        <f>'2020_2021_efet Int_Confianca'!BZ58</f>
        <v>7.1000000000000004E-3</v>
      </c>
      <c r="CC303">
        <f>'2020_2021_efet Int_Confianca'!CA58</f>
        <v>7.1999999999999998E-3</v>
      </c>
      <c r="CD303">
        <f>'2020_2021_efet Int_Confianca'!CB58</f>
        <v>7.7999999999999996E-3</v>
      </c>
      <c r="CE303">
        <f>'2020_2021_efet Int_Confianca'!CC58</f>
        <v>8.2000000000000007E-3</v>
      </c>
      <c r="CF303">
        <f>'2020_2021_efet Int_Confianca'!CD58</f>
        <v>8.3000000000000001E-3</v>
      </c>
      <c r="CG303">
        <f>'2020_2021_efet Int_Confianca'!CE58</f>
        <v>8.3000000000000001E-3</v>
      </c>
      <c r="CH303">
        <f>'2020_2021_efet Int_Confianca'!CF58</f>
        <v>7.7000000000000002E-3</v>
      </c>
      <c r="CI303">
        <f>'2020_2021_efet Int_Confianca'!CG58</f>
        <v>7.1000000000000004E-3</v>
      </c>
      <c r="CJ303">
        <f>'2020_2021_efet Int_Confianca'!CH58</f>
        <v>7.1000000000000004E-3</v>
      </c>
      <c r="CK303">
        <f>'2020_2021_efet Int_Confianca'!CI58</f>
        <v>7.4000000000000003E-3</v>
      </c>
      <c r="CL303">
        <f>'2020_2021_efet Int_Confianca'!CJ58</f>
        <v>7.4000000000000003E-3</v>
      </c>
      <c r="CM303">
        <f>'2020_2021_efet Int_Confianca'!CK58</f>
        <v>7.1999999999999998E-3</v>
      </c>
      <c r="CN303">
        <f>'2020_2021_efet Int_Confianca'!CL58</f>
        <v>6.8999999999999999E-3</v>
      </c>
      <c r="CO303">
        <f>'2020_2021_efet Int_Confianca'!CM58</f>
        <v>8.0000000000000002E-3</v>
      </c>
      <c r="CP303">
        <f>'2020_2021_efet Int_Confianca'!CN58</f>
        <v>8.2000000000000007E-3</v>
      </c>
      <c r="CQ303">
        <f>'2020_2021_efet Int_Confianca'!CO58</f>
        <v>8.5000000000000006E-3</v>
      </c>
      <c r="CR303">
        <f>'2020_2021_efet Int_Confianca'!CP58</f>
        <v>7.7999999999999996E-3</v>
      </c>
      <c r="CS303">
        <f>'2020_2021_efet Int_Confianca'!CQ58</f>
        <v>7.0000000000000001E-3</v>
      </c>
      <c r="CT303">
        <f>'2020_2021_efet Int_Confianca'!CR58</f>
        <v>7.6E-3</v>
      </c>
      <c r="CU303">
        <f>'2020_2021_efet Int_Confianca'!CS58</f>
        <v>6.8999999999999999E-3</v>
      </c>
      <c r="CV303">
        <f>'2020_2021_efet Int_Confianca'!CT58</f>
        <v>8.2000000000000007E-3</v>
      </c>
      <c r="CW303">
        <f>'2020_2021_efet Int_Confianca'!CU58</f>
        <v>6.4000000000000003E-3</v>
      </c>
      <c r="CX303">
        <f>'2020_2021_efet Int_Confianca'!CV58</f>
        <v>7.9000000000000008E-3</v>
      </c>
    </row>
    <row r="304" spans="1:102" x14ac:dyDescent="0.2">
      <c r="A304" t="s">
        <v>208</v>
      </c>
      <c r="B304" t="s">
        <v>219</v>
      </c>
      <c r="C304" t="s">
        <v>223</v>
      </c>
      <c r="D304">
        <f>'2020_2021_efet'!B15</f>
        <v>-4.1799999999999997E-2</v>
      </c>
      <c r="E304">
        <f>'2020_2021_efet'!C15</f>
        <v>-4.1799999999999997E-2</v>
      </c>
      <c r="F304">
        <f>'2020_2021_efet'!D15</f>
        <v>-4.1799999999999997E-2</v>
      </c>
      <c r="G304">
        <f>'2020_2021_efet'!E15</f>
        <v>-1.042</v>
      </c>
      <c r="H304">
        <f>'2020_2021_efet'!F15</f>
        <v>-0.14499999999999999</v>
      </c>
      <c r="I304">
        <f>'2020_2021_efet'!G15</f>
        <v>-0.45900000000000002</v>
      </c>
      <c r="J304">
        <f>'2020_2021_efet'!H15</f>
        <v>-0.34499999999999997</v>
      </c>
      <c r="K304">
        <f>'2020_2021_efet'!I15</f>
        <v>-0.32</v>
      </c>
      <c r="L304">
        <f>'2020_2021_efet'!J15</f>
        <v>-0.35299999999999998</v>
      </c>
      <c r="M304">
        <f>'2020_2021_efet'!K15</f>
        <v>-0.33700000000000002</v>
      </c>
      <c r="N304">
        <f>'2020_2021_efet'!L15</f>
        <v>-0.35199999999999998</v>
      </c>
      <c r="O304">
        <f>'2020_2021_efet'!M15</f>
        <v>-0.41899999999999998</v>
      </c>
      <c r="P304">
        <f>'2020_2021_efet'!N15</f>
        <v>-0.42399999999999999</v>
      </c>
      <c r="Q304">
        <f>'2020_2021_efet'!O15</f>
        <v>-0.192</v>
      </c>
      <c r="R304">
        <f>'2020_2021_efet'!P15</f>
        <v>-0.187</v>
      </c>
      <c r="S304">
        <f>'2020_2021_efet'!Q15</f>
        <v>-0.29399999999999998</v>
      </c>
      <c r="T304">
        <f>'2020_2021_efet'!R15</f>
        <v>-0.27200000000000002</v>
      </c>
      <c r="U304">
        <f>'2020_2021_efet'!S15</f>
        <v>-0.19600000000000001</v>
      </c>
      <c r="V304">
        <f>'2020_2021_efet'!T15</f>
        <v>-0.218</v>
      </c>
      <c r="W304">
        <f>'2020_2021_efet'!U15</f>
        <v>-0.20399999999999999</v>
      </c>
      <c r="X304">
        <f>'2020_2021_efet'!V15</f>
        <v>-0.2</v>
      </c>
      <c r="Y304">
        <f>'2020_2021_efet'!W15</f>
        <v>-0.13700000000000001</v>
      </c>
      <c r="Z304">
        <f>'2020_2021_efet'!X15</f>
        <v>-0.122</v>
      </c>
      <c r="AA304">
        <f>'2020_2021_efet'!Y15</f>
        <v>-0.11899999999999999</v>
      </c>
      <c r="AB304">
        <f>'2020_2021_efet'!Z15</f>
        <v>-0.121</v>
      </c>
      <c r="AC304">
        <f>'2020_2021_efet'!AA15</f>
        <v>-0.108</v>
      </c>
      <c r="AD304">
        <f>'2020_2021_efet'!AB15</f>
        <v>-0.11600000000000001</v>
      </c>
      <c r="AE304">
        <f>'2020_2021_efet'!AC15</f>
        <v>-0.11899999999999999</v>
      </c>
      <c r="AF304">
        <f>'2020_2021_efet'!AD15</f>
        <v>-0.11700000000000001</v>
      </c>
      <c r="AG304">
        <f>'2020_2021_efet'!AE15</f>
        <v>-0.123</v>
      </c>
      <c r="AH304">
        <f>'2020_2021_efet'!AF15</f>
        <v>-0.127</v>
      </c>
      <c r="AI304">
        <f>'2020_2021_efet'!AG15</f>
        <v>-0.11</v>
      </c>
      <c r="AJ304">
        <f>'2020_2021_efet'!AH15</f>
        <v>-0.115</v>
      </c>
      <c r="AK304">
        <f>'2020_2021_efet'!AI15</f>
        <v>-0.104</v>
      </c>
      <c r="AL304">
        <f>'2020_2021_efet'!AJ15</f>
        <v>-0.107</v>
      </c>
      <c r="AM304">
        <f>'2020_2021_efet'!AK15</f>
        <v>-8.9200000000000002E-2</v>
      </c>
      <c r="AN304">
        <f>'2020_2021_efet'!AL15</f>
        <v>-8.3000000000000004E-2</v>
      </c>
      <c r="AO304">
        <f>'2020_2021_efet'!AM15</f>
        <v>-7.8700000000000006E-2</v>
      </c>
      <c r="AP304">
        <f>'2020_2021_efet'!AN15</f>
        <v>-8.0299999999999996E-2</v>
      </c>
      <c r="AQ304">
        <f>'2020_2021_efet'!AO15</f>
        <v>-8.6900000000000005E-2</v>
      </c>
      <c r="AR304">
        <f>'2020_2021_efet'!AP15</f>
        <v>-7.9100000000000004E-2</v>
      </c>
      <c r="AS304">
        <f>'2020_2021_efet'!AQ15</f>
        <v>-8.7800000000000003E-2</v>
      </c>
      <c r="AT304">
        <f>'2020_2021_efet'!AR15</f>
        <v>-9.2799999999999994E-2</v>
      </c>
      <c r="AU304">
        <f>'2020_2021_efet'!AS15</f>
        <v>-9.2999999999999999E-2</v>
      </c>
      <c r="AV304">
        <f>'2020_2021_efet'!AT15</f>
        <v>-7.8200000000000006E-2</v>
      </c>
      <c r="AW304">
        <f>'2020_2021_efet'!AU15</f>
        <v>-7.6999999999999999E-2</v>
      </c>
      <c r="AX304">
        <f>'2020_2021_efet'!AV15</f>
        <v>-7.1800000000000003E-2</v>
      </c>
      <c r="AY304">
        <f>'2020_2021_efet'!AW15</f>
        <v>-7.8799999999999995E-2</v>
      </c>
      <c r="AZ304">
        <f>'2020_2021_efet'!AX15</f>
        <v>-6.6100000000000006E-2</v>
      </c>
      <c r="BA304">
        <f>'2020_2021_efet'!AY15</f>
        <v>-7.0800000000000002E-2</v>
      </c>
      <c r="BB304">
        <f>'2020_2021_efet'!AZ15</f>
        <v>-7.85E-2</v>
      </c>
      <c r="BC304">
        <f>'2020_2021_efet'!BA15</f>
        <v>-6.0499999999999998E-2</v>
      </c>
      <c r="BD304">
        <f>'2020_2021_efet'!BB15</f>
        <v>-6.0600000000000001E-2</v>
      </c>
      <c r="BE304">
        <f>'2020_2021_efet'!BC15</f>
        <v>-5.3999999999999999E-2</v>
      </c>
      <c r="BF304">
        <f>'2020_2021_efet'!BD15</f>
        <v>-6.0199999999999997E-2</v>
      </c>
      <c r="BG304">
        <f>'2020_2021_efet'!BE15</f>
        <v>-5.7299999999999997E-2</v>
      </c>
      <c r="BH304">
        <f>'2020_2021_efet'!BF15</f>
        <v>-7.0900000000000005E-2</v>
      </c>
      <c r="BI304">
        <f>'2020_2021_efet'!BG15</f>
        <v>-6.59E-2</v>
      </c>
      <c r="BJ304">
        <f>'2020_2021_efet'!BH15</f>
        <v>-6.9500000000000006E-2</v>
      </c>
      <c r="BK304">
        <f>'2020_2021_efet'!BI15</f>
        <v>-6.7500000000000004E-2</v>
      </c>
      <c r="BL304">
        <f>'2020_2021_efet'!BJ15</f>
        <v>-7.3999999999999996E-2</v>
      </c>
      <c r="BM304">
        <f>'2020_2021_efet'!BK15</f>
        <v>-7.9799999999999996E-2</v>
      </c>
      <c r="BN304">
        <f>'2020_2021_efet'!BL15</f>
        <v>-8.1799999999999998E-2</v>
      </c>
      <c r="BO304">
        <f>'2020_2021_efet'!BM15</f>
        <v>-8.2500000000000004E-2</v>
      </c>
      <c r="BP304">
        <f>'2020_2021_efet'!BN15</f>
        <v>-8.9599999999999999E-2</v>
      </c>
      <c r="BQ304">
        <f>'2020_2021_efet'!BO15</f>
        <v>-0.11</v>
      </c>
      <c r="BR304">
        <f>'2020_2021_efet'!BP15</f>
        <v>-0.108</v>
      </c>
      <c r="BS304">
        <f>'2020_2021_efet'!BQ15</f>
        <v>-9.1899999999999996E-2</v>
      </c>
      <c r="BT304">
        <f>'2020_2021_efet'!BR15</f>
        <v>-6.4699999999999994E-2</v>
      </c>
      <c r="BU304">
        <f>'2020_2021_efet'!BS15</f>
        <v>-3.9899999999999998E-2</v>
      </c>
      <c r="BV304">
        <f>'2020_2021_efet'!BT15</f>
        <v>-2.7300000000000001E-2</v>
      </c>
      <c r="BW304">
        <f>'2020_2021_efet'!BU15</f>
        <v>-1.67E-2</v>
      </c>
      <c r="BX304">
        <f>'2020_2021_efet'!BV15</f>
        <v>-1.1900000000000001E-2</v>
      </c>
      <c r="BY304">
        <f>'2020_2021_efet'!BW15</f>
        <v>-3.0200000000000001E-3</v>
      </c>
      <c r="BZ304">
        <f>'2020_2021_efet'!BX15</f>
        <v>-9.2099999999999994E-3</v>
      </c>
      <c r="CA304">
        <f>'2020_2021_efet'!BY15</f>
        <v>-7.92E-3</v>
      </c>
      <c r="CB304">
        <f>'2020_2021_efet'!BZ15</f>
        <v>-4.6399999999999997E-2</v>
      </c>
      <c r="CC304">
        <f>'2020_2021_efet'!CA15</f>
        <v>-2.5600000000000001E-2</v>
      </c>
      <c r="CD304">
        <f>'2020_2021_efet'!CB15</f>
        <v>-5.4899999999999997E-2</v>
      </c>
      <c r="CE304">
        <f>'2020_2021_efet'!CC15</f>
        <v>-7.0900000000000005E-2</v>
      </c>
      <c r="CF304">
        <f>'2020_2021_efet'!CD15</f>
        <v>-5.91E-2</v>
      </c>
      <c r="CG304">
        <f>'2020_2021_efet'!CE15</f>
        <v>-8.1600000000000006E-2</v>
      </c>
      <c r="CH304">
        <f>'2020_2021_efet'!CF15</f>
        <v>-8.8800000000000004E-2</v>
      </c>
      <c r="CI304">
        <f>'2020_2021_efet'!CG15</f>
        <v>-9.8199999999999996E-2</v>
      </c>
      <c r="CJ304">
        <f>'2020_2021_efet'!CH15</f>
        <v>-7.1900000000000006E-2</v>
      </c>
      <c r="CK304">
        <f>'2020_2021_efet'!CI15</f>
        <v>-7.4399999999999994E-2</v>
      </c>
      <c r="CL304">
        <f>'2020_2021_efet'!CJ15</f>
        <v>-5.0799999999999998E-2</v>
      </c>
      <c r="CM304">
        <f>'2020_2021_efet'!CK15</f>
        <v>-2.8199999999999999E-2</v>
      </c>
      <c r="CN304">
        <f>'2020_2021_efet'!CL15</f>
        <v>-2.98E-2</v>
      </c>
      <c r="CO304">
        <f>'2020_2021_efet'!CM15</f>
        <v>-9.8599999999999993E-2</v>
      </c>
      <c r="CP304">
        <f>'2020_2021_efet'!CN15</f>
        <v>-0.111</v>
      </c>
      <c r="CQ304">
        <f>'2020_2021_efet'!CO15</f>
        <v>-0.126</v>
      </c>
      <c r="CR304">
        <f>'2020_2021_efet'!CP15</f>
        <v>-0.12</v>
      </c>
      <c r="CS304">
        <f>'2020_2021_efet'!CQ15</f>
        <v>-4.2299999999999997E-2</v>
      </c>
      <c r="CT304">
        <f>'2020_2021_efet'!CR15</f>
        <v>-3.6299999999999999E-2</v>
      </c>
      <c r="CU304">
        <f>'2020_2021_efet'!CS15</f>
        <v>-9.1900000000000003E-3</v>
      </c>
      <c r="CV304">
        <f>'2020_2021_efet'!CT15</f>
        <v>-0.02</v>
      </c>
      <c r="CW304">
        <f>'2020_2021_efet'!CU15</f>
        <v>-8.6999999999999994E-2</v>
      </c>
      <c r="CX304">
        <f>'2020_2021_efet'!CV15</f>
        <v>-0.23699999999999999</v>
      </c>
    </row>
    <row r="305" spans="1:102" x14ac:dyDescent="0.2">
      <c r="A305" t="s">
        <v>209</v>
      </c>
      <c r="B305" t="s">
        <v>219</v>
      </c>
      <c r="C305" t="s">
        <v>223</v>
      </c>
      <c r="D305">
        <f>'2020_2021_efet'!B16</f>
        <v>6.4900000000000001E-3</v>
      </c>
      <c r="E305">
        <f>'2020_2021_efet'!C16</f>
        <v>6.4900000000000001E-3</v>
      </c>
      <c r="F305">
        <f>'2020_2021_efet'!D16</f>
        <v>6.4900000000000001E-3</v>
      </c>
      <c r="G305">
        <f>'2020_2021_efet'!E16</f>
        <v>-0.41599999999999998</v>
      </c>
      <c r="H305">
        <f>'2020_2021_efet'!F16</f>
        <v>-0.13600000000000001</v>
      </c>
      <c r="I305">
        <f>'2020_2021_efet'!G16</f>
        <v>-0.16800000000000001</v>
      </c>
      <c r="J305">
        <f>'2020_2021_efet'!H16</f>
        <v>-6.6900000000000001E-2</v>
      </c>
      <c r="K305">
        <f>'2020_2021_efet'!I16</f>
        <v>-0.107</v>
      </c>
      <c r="L305">
        <f>'2020_2021_efet'!J16</f>
        <v>-0.112</v>
      </c>
      <c r="M305">
        <f>'2020_2021_efet'!K16</f>
        <v>-0.13600000000000001</v>
      </c>
      <c r="N305">
        <f>'2020_2021_efet'!L16</f>
        <v>-0.14399999999999999</v>
      </c>
      <c r="O305">
        <f>'2020_2021_efet'!M16</f>
        <v>-0.12</v>
      </c>
      <c r="P305">
        <f>'2020_2021_efet'!N16</f>
        <v>-0.14499999999999999</v>
      </c>
      <c r="Q305">
        <f>'2020_2021_efet'!O16</f>
        <v>-4.6199999999999998E-2</v>
      </c>
      <c r="R305">
        <f>'2020_2021_efet'!P16</f>
        <v>-2.9399999999999999E-2</v>
      </c>
      <c r="S305">
        <f>'2020_2021_efet'!Q16</f>
        <v>-0.10199999999999999</v>
      </c>
      <c r="T305">
        <f>'2020_2021_efet'!R16</f>
        <v>-9.7799999999999998E-2</v>
      </c>
      <c r="U305">
        <f>'2020_2021_efet'!S16</f>
        <v>-6.1800000000000001E-2</v>
      </c>
      <c r="V305">
        <f>'2020_2021_efet'!T16</f>
        <v>-7.9600000000000004E-2</v>
      </c>
      <c r="W305">
        <f>'2020_2021_efet'!U16</f>
        <v>-9.6799999999999997E-2</v>
      </c>
      <c r="X305">
        <f>'2020_2021_efet'!V16</f>
        <v>-0.111</v>
      </c>
      <c r="Y305">
        <f>'2020_2021_efet'!W16</f>
        <v>-6.6900000000000001E-2</v>
      </c>
      <c r="Z305">
        <f>'2020_2021_efet'!X16</f>
        <v>-0.06</v>
      </c>
      <c r="AA305">
        <f>'2020_2021_efet'!Y16</f>
        <v>-5.7500000000000002E-2</v>
      </c>
      <c r="AB305">
        <f>'2020_2021_efet'!Z16</f>
        <v>-8.1799999999999998E-2</v>
      </c>
      <c r="AC305">
        <f>'2020_2021_efet'!AA16</f>
        <v>-7.6499999999999999E-2</v>
      </c>
      <c r="AD305">
        <f>'2020_2021_efet'!AB16</f>
        <v>-7.3099999999999998E-2</v>
      </c>
      <c r="AE305">
        <f>'2020_2021_efet'!AC16</f>
        <v>-7.6300000000000007E-2</v>
      </c>
      <c r="AF305">
        <f>'2020_2021_efet'!AD16</f>
        <v>-8.7300000000000003E-2</v>
      </c>
      <c r="AG305">
        <f>'2020_2021_efet'!AE16</f>
        <v>-7.9200000000000007E-2</v>
      </c>
      <c r="AH305">
        <f>'2020_2021_efet'!AF16</f>
        <v>-8.9099999999999999E-2</v>
      </c>
      <c r="AI305">
        <f>'2020_2021_efet'!AG16</f>
        <v>-8.8499999999999995E-2</v>
      </c>
      <c r="AJ305">
        <f>'2020_2021_efet'!AH16</f>
        <v>-9.1800000000000007E-2</v>
      </c>
      <c r="AK305">
        <f>'2020_2021_efet'!AI16</f>
        <v>-9.01E-2</v>
      </c>
      <c r="AL305">
        <f>'2020_2021_efet'!AJ16</f>
        <v>-0.09</v>
      </c>
      <c r="AM305">
        <f>'2020_2021_efet'!AK16</f>
        <v>-6.7000000000000004E-2</v>
      </c>
      <c r="AN305">
        <f>'2020_2021_efet'!AL16</f>
        <v>-6.59E-2</v>
      </c>
      <c r="AO305">
        <f>'2020_2021_efet'!AM16</f>
        <v>-5.0099999999999999E-2</v>
      </c>
      <c r="AP305">
        <f>'2020_2021_efet'!AN16</f>
        <v>-5.2699999999999997E-2</v>
      </c>
      <c r="AQ305">
        <f>'2020_2021_efet'!AO16</f>
        <v>-5.0099999999999999E-2</v>
      </c>
      <c r="AR305">
        <f>'2020_2021_efet'!AP16</f>
        <v>-5.3400000000000003E-2</v>
      </c>
      <c r="AS305">
        <f>'2020_2021_efet'!AQ16</f>
        <v>-4.7500000000000001E-2</v>
      </c>
      <c r="AT305">
        <f>'2020_2021_efet'!AR16</f>
        <v>-0.04</v>
      </c>
      <c r="AU305">
        <f>'2020_2021_efet'!AS16</f>
        <v>-5.1200000000000002E-2</v>
      </c>
      <c r="AV305">
        <f>'2020_2021_efet'!AT16</f>
        <v>-4.8399999999999999E-2</v>
      </c>
      <c r="AW305">
        <f>'2020_2021_efet'!AU16</f>
        <v>-5.4199999999999998E-2</v>
      </c>
      <c r="AX305">
        <f>'2020_2021_efet'!AV16</f>
        <v>-6.0199999999999997E-2</v>
      </c>
      <c r="AY305">
        <f>'2020_2021_efet'!AW16</f>
        <v>-5.8599999999999999E-2</v>
      </c>
      <c r="AZ305">
        <f>'2020_2021_efet'!AX16</f>
        <v>-4.2599999999999999E-2</v>
      </c>
      <c r="BA305">
        <f>'2020_2021_efet'!AY16</f>
        <v>-4.2099999999999999E-2</v>
      </c>
      <c r="BB305">
        <f>'2020_2021_efet'!AZ16</f>
        <v>-4.6399999999999997E-2</v>
      </c>
      <c r="BC305">
        <f>'2020_2021_efet'!BA16</f>
        <v>-3.39E-2</v>
      </c>
      <c r="BD305">
        <f>'2020_2021_efet'!BB16</f>
        <v>-3.3000000000000002E-2</v>
      </c>
      <c r="BE305">
        <f>'2020_2021_efet'!BC16</f>
        <v>-3.3099999999999997E-2</v>
      </c>
      <c r="BF305">
        <f>'2020_2021_efet'!BD16</f>
        <v>-3.3399999999999999E-2</v>
      </c>
      <c r="BG305">
        <f>'2020_2021_efet'!BE16</f>
        <v>-0.02</v>
      </c>
      <c r="BH305">
        <f>'2020_2021_efet'!BF16</f>
        <v>-2.0299999999999999E-2</v>
      </c>
      <c r="BI305">
        <f>'2020_2021_efet'!BG16</f>
        <v>-2.6599999999999999E-2</v>
      </c>
      <c r="BJ305">
        <f>'2020_2021_efet'!BH16</f>
        <v>-2.8299999999999999E-2</v>
      </c>
      <c r="BK305">
        <f>'2020_2021_efet'!BI16</f>
        <v>-2.3599999999999999E-2</v>
      </c>
      <c r="BL305">
        <f>'2020_2021_efet'!BJ16</f>
        <v>-3.0499999999999999E-2</v>
      </c>
      <c r="BM305">
        <f>'2020_2021_efet'!BK16</f>
        <v>-3.56E-2</v>
      </c>
      <c r="BN305">
        <f>'2020_2021_efet'!BL16</f>
        <v>-4.1799999999999997E-2</v>
      </c>
      <c r="BO305">
        <f>'2020_2021_efet'!BM16</f>
        <v>-3.85E-2</v>
      </c>
      <c r="BP305">
        <f>'2020_2021_efet'!BN16</f>
        <v>-4.99E-2</v>
      </c>
      <c r="BQ305">
        <f>'2020_2021_efet'!BO16</f>
        <v>-6.7900000000000002E-2</v>
      </c>
      <c r="BR305">
        <f>'2020_2021_efet'!BP16</f>
        <v>-7.0900000000000005E-2</v>
      </c>
      <c r="BS305">
        <f>'2020_2021_efet'!BQ16</f>
        <v>-6.6299999999999998E-2</v>
      </c>
      <c r="BT305">
        <f>'2020_2021_efet'!BR16</f>
        <v>-5.1700000000000003E-2</v>
      </c>
      <c r="BU305">
        <f>'2020_2021_efet'!BS16</f>
        <v>-2.29E-2</v>
      </c>
      <c r="BV305">
        <f>'2020_2021_efet'!BT16</f>
        <v>-2.1499999999999998E-2</v>
      </c>
      <c r="BW305">
        <f>'2020_2021_efet'!BU16</f>
        <v>-1.29E-2</v>
      </c>
      <c r="BX305">
        <f>'2020_2021_efet'!BV16</f>
        <v>-9.0799999999999995E-3</v>
      </c>
      <c r="BY305">
        <f>'2020_2021_efet'!BW16</f>
        <v>-1.2E-2</v>
      </c>
      <c r="BZ305">
        <f>'2020_2021_efet'!BX16</f>
        <v>-1.2800000000000001E-2</v>
      </c>
      <c r="CA305">
        <f>'2020_2021_efet'!BY16</f>
        <v>-2.8000000000000001E-2</v>
      </c>
      <c r="CB305">
        <f>'2020_2021_efet'!BZ16</f>
        <v>-4.4499999999999998E-2</v>
      </c>
      <c r="CC305">
        <f>'2020_2021_efet'!CA16</f>
        <v>-5.4100000000000002E-2</v>
      </c>
      <c r="CD305">
        <f>'2020_2021_efet'!CB16</f>
        <v>-5.6899999999999999E-2</v>
      </c>
      <c r="CE305">
        <f>'2020_2021_efet'!CC16</f>
        <v>-5.6899999999999999E-2</v>
      </c>
      <c r="CF305">
        <f>'2020_2021_efet'!CD16</f>
        <v>-7.9100000000000004E-2</v>
      </c>
      <c r="CG305">
        <f>'2020_2021_efet'!CE16</f>
        <v>-0.115</v>
      </c>
      <c r="CH305">
        <f>'2020_2021_efet'!CF16</f>
        <v>-0.115</v>
      </c>
      <c r="CI305">
        <f>'2020_2021_efet'!CG16</f>
        <v>-0.113</v>
      </c>
      <c r="CJ305">
        <f>'2020_2021_efet'!CH16</f>
        <v>-8.6099999999999996E-2</v>
      </c>
      <c r="CK305">
        <f>'2020_2021_efet'!CI16</f>
        <v>-0.113</v>
      </c>
      <c r="CL305">
        <f>'2020_2021_efet'!CJ16</f>
        <v>-7.8399999999999997E-2</v>
      </c>
      <c r="CM305">
        <f>'2020_2021_efet'!CK16</f>
        <v>-5.62E-2</v>
      </c>
      <c r="CN305">
        <f>'2020_2021_efet'!CL16</f>
        <v>-4.1300000000000003E-2</v>
      </c>
      <c r="CO305">
        <f>'2020_2021_efet'!CM16</f>
        <v>-0.14099999999999999</v>
      </c>
      <c r="CP305">
        <f>'2020_2021_efet'!CN16</f>
        <v>-0.129</v>
      </c>
      <c r="CQ305">
        <f>'2020_2021_efet'!CO16</f>
        <v>-0.151</v>
      </c>
      <c r="CR305">
        <f>'2020_2021_efet'!CP16</f>
        <v>-0.13100000000000001</v>
      </c>
      <c r="CS305">
        <f>'2020_2021_efet'!CQ16</f>
        <v>-6.6699999999999995E-2</v>
      </c>
      <c r="CT305">
        <f>'2020_2021_efet'!CR16</f>
        <v>-6.13E-2</v>
      </c>
      <c r="CU305">
        <f>'2020_2021_efet'!CS16</f>
        <v>-0.13200000000000001</v>
      </c>
      <c r="CV305">
        <f>'2020_2021_efet'!CT16</f>
        <v>-0.14499999999999999</v>
      </c>
      <c r="CW305">
        <f>'2020_2021_efet'!CU16</f>
        <v>-0.11</v>
      </c>
      <c r="CX305">
        <f>'2020_2021_efet'!CV16</f>
        <v>-0.317</v>
      </c>
    </row>
    <row r="306" spans="1:102" x14ac:dyDescent="0.2">
      <c r="A306" t="s">
        <v>210</v>
      </c>
      <c r="B306" t="s">
        <v>219</v>
      </c>
      <c r="C306" t="s">
        <v>223</v>
      </c>
      <c r="D306">
        <f>'2020_2021_efet'!B17</f>
        <v>1.5499999999999999E-3</v>
      </c>
      <c r="E306">
        <f>'2020_2021_efet'!C17</f>
        <v>1.5499999999999999E-3</v>
      </c>
      <c r="F306">
        <f>'2020_2021_efet'!D17</f>
        <v>1.5499999999999999E-3</v>
      </c>
      <c r="G306">
        <f>'2020_2021_efet'!E17</f>
        <v>3.5099999999999999E-2</v>
      </c>
      <c r="H306">
        <f>'2020_2021_efet'!F17</f>
        <v>-1.95E-2</v>
      </c>
      <c r="I306">
        <f>'2020_2021_efet'!G17</f>
        <v>1.31E-3</v>
      </c>
      <c r="J306">
        <f>'2020_2021_efet'!H17</f>
        <v>-1.46E-2</v>
      </c>
      <c r="K306">
        <f>'2020_2021_efet'!I17</f>
        <v>-4.4299999999999999E-3</v>
      </c>
      <c r="L306">
        <f>'2020_2021_efet'!J17</f>
        <v>8.4800000000000001E-4</v>
      </c>
      <c r="M306">
        <f>'2020_2021_efet'!K17</f>
        <v>-5.7099999999999998E-3</v>
      </c>
      <c r="N306">
        <f>'2020_2021_efet'!L17</f>
        <v>4.7999999999999996E-3</v>
      </c>
      <c r="O306">
        <f>'2020_2021_efet'!M17</f>
        <v>2.4499999999999999E-3</v>
      </c>
      <c r="P306">
        <f>'2020_2021_efet'!N17</f>
        <v>8.4100000000000008E-3</v>
      </c>
      <c r="Q306">
        <f>'2020_2021_efet'!O17</f>
        <v>-8.1099999999999992E-3</v>
      </c>
      <c r="R306">
        <f>'2020_2021_efet'!P17</f>
        <v>-8.8400000000000006E-3</v>
      </c>
      <c r="S306">
        <f>'2020_2021_efet'!Q17</f>
        <v>1.9400000000000001E-3</v>
      </c>
      <c r="T306">
        <f>'2020_2021_efet'!R17</f>
        <v>3.3899999999999998E-3</v>
      </c>
      <c r="U306">
        <f>'2020_2021_efet'!S17</f>
        <v>4.9799999999999996E-4</v>
      </c>
      <c r="V306">
        <f>'2020_2021_efet'!T17</f>
        <v>4.1700000000000001E-3</v>
      </c>
      <c r="W306">
        <f>'2020_2021_efet'!U17</f>
        <v>5.1900000000000002E-3</v>
      </c>
      <c r="X306">
        <f>'2020_2021_efet'!V17</f>
        <v>7.2100000000000003E-3</v>
      </c>
      <c r="Y306">
        <f>'2020_2021_efet'!W17</f>
        <v>2.1800000000000001E-3</v>
      </c>
      <c r="Z306">
        <f>'2020_2021_efet'!X17</f>
        <v>4.8900000000000002E-3</v>
      </c>
      <c r="AA306">
        <f>'2020_2021_efet'!Y17</f>
        <v>4.8799999999999998E-3</v>
      </c>
      <c r="AB306">
        <f>'2020_2021_efet'!Z17</f>
        <v>6.6400000000000001E-3</v>
      </c>
      <c r="AC306">
        <f>'2020_2021_efet'!AA17</f>
        <v>3.4199999999999999E-3</v>
      </c>
      <c r="AD306">
        <f>'2020_2021_efet'!AB17</f>
        <v>4.4200000000000003E-3</v>
      </c>
      <c r="AE306">
        <f>'2020_2021_efet'!AC17</f>
        <v>5.2500000000000003E-3</v>
      </c>
      <c r="AF306">
        <f>'2020_2021_efet'!AD17</f>
        <v>7.0499999999999998E-3</v>
      </c>
      <c r="AG306">
        <f>'2020_2021_efet'!AE17</f>
        <v>8.2500000000000004E-3</v>
      </c>
      <c r="AH306">
        <f>'2020_2021_efet'!AF17</f>
        <v>7.5799999999999999E-3</v>
      </c>
      <c r="AI306">
        <f>'2020_2021_efet'!AG17</f>
        <v>6.4200000000000004E-3</v>
      </c>
      <c r="AJ306">
        <f>'2020_2021_efet'!AH17</f>
        <v>4.9699999999999996E-3</v>
      </c>
      <c r="AK306">
        <f>'2020_2021_efet'!AI17</f>
        <v>5.3299999999999997E-3</v>
      </c>
      <c r="AL306">
        <f>'2020_2021_efet'!AJ17</f>
        <v>4.7699999999999999E-3</v>
      </c>
      <c r="AM306">
        <f>'2020_2021_efet'!AK17</f>
        <v>6.9499999999999995E-5</v>
      </c>
      <c r="AN306">
        <f>'2020_2021_efet'!AL17</f>
        <v>-2.66E-3</v>
      </c>
      <c r="AO306">
        <f>'2020_2021_efet'!AM17</f>
        <v>-3.3400000000000001E-3</v>
      </c>
      <c r="AP306">
        <f>'2020_2021_efet'!AN17</f>
        <v>-2.1099999999999999E-3</v>
      </c>
      <c r="AQ306">
        <f>'2020_2021_efet'!AO17</f>
        <v>-3.7000000000000002E-3</v>
      </c>
      <c r="AR306">
        <f>'2020_2021_efet'!AP17</f>
        <v>-2.1700000000000001E-3</v>
      </c>
      <c r="AS306">
        <f>'2020_2021_efet'!AQ17</f>
        <v>-8.12E-4</v>
      </c>
      <c r="AT306">
        <f>'2020_2021_efet'!AR17</f>
        <v>-1.9599999999999999E-3</v>
      </c>
      <c r="AU306">
        <f>'2020_2021_efet'!AS17</f>
        <v>2.0899999999999998E-3</v>
      </c>
      <c r="AV306">
        <f>'2020_2021_efet'!AT17</f>
        <v>3.9199999999999999E-3</v>
      </c>
      <c r="AW306">
        <f>'2020_2021_efet'!AU17</f>
        <v>3.16E-3</v>
      </c>
      <c r="AX306">
        <f>'2020_2021_efet'!AV17</f>
        <v>6.0499999999999998E-3</v>
      </c>
      <c r="AY306">
        <f>'2020_2021_efet'!AW17</f>
        <v>6.5500000000000003E-3</v>
      </c>
      <c r="AZ306">
        <f>'2020_2021_efet'!AX17</f>
        <v>5.2100000000000002E-3</v>
      </c>
      <c r="BA306">
        <f>'2020_2021_efet'!AY17</f>
        <v>6.1399999999999996E-3</v>
      </c>
      <c r="BB306">
        <f>'2020_2021_efet'!AZ17</f>
        <v>6.2500000000000003E-3</v>
      </c>
      <c r="BC306">
        <f>'2020_2021_efet'!BA17</f>
        <v>1.8699999999999999E-3</v>
      </c>
      <c r="BD306">
        <f>'2020_2021_efet'!BB17</f>
        <v>1.56E-3</v>
      </c>
      <c r="BE306">
        <f>'2020_2021_efet'!BC17</f>
        <v>-9.2100000000000005E-4</v>
      </c>
      <c r="BF306">
        <f>'2020_2021_efet'!BD17</f>
        <v>2.2499999999999998E-3</v>
      </c>
      <c r="BG306">
        <f>'2020_2021_efet'!BE17</f>
        <v>5.5999999999999995E-4</v>
      </c>
      <c r="BH306">
        <f>'2020_2021_efet'!BF17</f>
        <v>1.2899999999999999E-3</v>
      </c>
      <c r="BI306">
        <f>'2020_2021_efet'!BG17</f>
        <v>2.1299999999999999E-3</v>
      </c>
      <c r="BJ306">
        <f>'2020_2021_efet'!BH17</f>
        <v>3.1099999999999999E-3</v>
      </c>
      <c r="BK306">
        <f>'2020_2021_efet'!BI17</f>
        <v>4.15E-3</v>
      </c>
      <c r="BL306">
        <f>'2020_2021_efet'!BJ17</f>
        <v>5.3499999999999997E-3</v>
      </c>
      <c r="BM306">
        <f>'2020_2021_efet'!BK17</f>
        <v>6.0400000000000002E-3</v>
      </c>
      <c r="BN306">
        <f>'2020_2021_efet'!BL17</f>
        <v>8.2000000000000007E-3</v>
      </c>
      <c r="BO306">
        <f>'2020_2021_efet'!BM17</f>
        <v>9.2300000000000004E-3</v>
      </c>
      <c r="BP306">
        <f>'2020_2021_efet'!BN17</f>
        <v>1.03E-2</v>
      </c>
      <c r="BQ306">
        <f>'2020_2021_efet'!BO17</f>
        <v>9.5399999999999999E-3</v>
      </c>
      <c r="BR306">
        <f>'2020_2021_efet'!BP17</f>
        <v>1.1299999999999999E-2</v>
      </c>
      <c r="BS306">
        <f>'2020_2021_efet'!BQ17</f>
        <v>1.24E-2</v>
      </c>
      <c r="BT306">
        <f>'2020_2021_efet'!BR17</f>
        <v>1.01E-2</v>
      </c>
      <c r="BU306">
        <f>'2020_2021_efet'!BS17</f>
        <v>4.96E-3</v>
      </c>
      <c r="BV306">
        <f>'2020_2021_efet'!BT17</f>
        <v>4.6800000000000001E-3</v>
      </c>
      <c r="BW306">
        <f>'2020_2021_efet'!BU17</f>
        <v>2.4499999999999999E-3</v>
      </c>
      <c r="BX306">
        <f>'2020_2021_efet'!BV17</f>
        <v>2.5600000000000002E-3</v>
      </c>
      <c r="BY306">
        <f>'2020_2021_efet'!BW17</f>
        <v>4.62E-3</v>
      </c>
      <c r="BZ306">
        <f>'2020_2021_efet'!BX17</f>
        <v>5.8799999999999998E-3</v>
      </c>
      <c r="CA306">
        <f>'2020_2021_efet'!BY17</f>
        <v>8.8699999999999994E-3</v>
      </c>
      <c r="CB306">
        <f>'2020_2021_efet'!BZ17</f>
        <v>1.1599999999999999E-2</v>
      </c>
      <c r="CC306">
        <f>'2020_2021_efet'!CA17</f>
        <v>1.2800000000000001E-2</v>
      </c>
      <c r="CD306">
        <f>'2020_2021_efet'!CB17</f>
        <v>1.4200000000000001E-2</v>
      </c>
      <c r="CE306">
        <f>'2020_2021_efet'!CC17</f>
        <v>1.4200000000000001E-2</v>
      </c>
      <c r="CF306">
        <f>'2020_2021_efet'!CD17</f>
        <v>1.72E-2</v>
      </c>
      <c r="CG306">
        <f>'2020_2021_efet'!CE17</f>
        <v>2.4899999999999999E-2</v>
      </c>
      <c r="CH306">
        <f>'2020_2021_efet'!CF17</f>
        <v>2.0899999999999998E-2</v>
      </c>
      <c r="CI306">
        <f>'2020_2021_efet'!CG17</f>
        <v>2.2499999999999999E-2</v>
      </c>
      <c r="CJ306">
        <f>'2020_2021_efet'!CH17</f>
        <v>2.0400000000000001E-2</v>
      </c>
      <c r="CK306">
        <f>'2020_2021_efet'!CI17</f>
        <v>2.1899999999999999E-2</v>
      </c>
      <c r="CL306">
        <f>'2020_2021_efet'!CJ17</f>
        <v>1.8700000000000001E-2</v>
      </c>
      <c r="CM306">
        <f>'2020_2021_efet'!CK17</f>
        <v>1.9800000000000002E-2</v>
      </c>
      <c r="CN306">
        <f>'2020_2021_efet'!CL17</f>
        <v>1.6899999999999998E-2</v>
      </c>
      <c r="CO306">
        <f>'2020_2021_efet'!CM17</f>
        <v>3.0599999999999999E-2</v>
      </c>
      <c r="CP306">
        <f>'2020_2021_efet'!CN17</f>
        <v>2.5899999999999999E-2</v>
      </c>
      <c r="CQ306">
        <f>'2020_2021_efet'!CO17</f>
        <v>2.46E-2</v>
      </c>
      <c r="CR306">
        <f>'2020_2021_efet'!CP17</f>
        <v>1.9099999999999999E-2</v>
      </c>
      <c r="CS306">
        <f>'2020_2021_efet'!CQ17</f>
        <v>1.6899999999999998E-2</v>
      </c>
      <c r="CT306">
        <f>'2020_2021_efet'!CR17</f>
        <v>1.23E-2</v>
      </c>
      <c r="CU306">
        <f>'2020_2021_efet'!CS17</f>
        <v>1.4999999999999999E-2</v>
      </c>
      <c r="CV306">
        <f>'2020_2021_efet'!CT17</f>
        <v>2.2800000000000001E-2</v>
      </c>
      <c r="CW306">
        <f>'2020_2021_efet'!CU17</f>
        <v>2.3400000000000001E-3</v>
      </c>
      <c r="CX306">
        <f>'2020_2021_efet'!CV17</f>
        <v>4.8800000000000003E-2</v>
      </c>
    </row>
    <row r="307" spans="1:102" x14ac:dyDescent="0.2">
      <c r="A307" t="s">
        <v>211</v>
      </c>
      <c r="B307" t="s">
        <v>219</v>
      </c>
      <c r="C307" t="s">
        <v>223</v>
      </c>
      <c r="D307">
        <f>'2020_2021_efet'!B18</f>
        <v>4.8399999999999997E-3</v>
      </c>
      <c r="E307">
        <f>'2020_2021_efet'!C18</f>
        <v>4.8399999999999997E-3</v>
      </c>
      <c r="F307">
        <f>'2020_2021_efet'!D18</f>
        <v>4.8399999999999997E-3</v>
      </c>
      <c r="G307">
        <f>'2020_2021_efet'!E18</f>
        <v>0.14299999999999999</v>
      </c>
      <c r="H307">
        <f>'2020_2021_efet'!F18</f>
        <v>6.1600000000000002E-2</v>
      </c>
      <c r="I307">
        <f>'2020_2021_efet'!G18</f>
        <v>3.0499999999999999E-2</v>
      </c>
      <c r="J307">
        <f>'2020_2021_efet'!H18</f>
        <v>1.7399999999999999E-2</v>
      </c>
      <c r="K307">
        <f>'2020_2021_efet'!I18</f>
        <v>2.2100000000000002E-2</v>
      </c>
      <c r="L307">
        <f>'2020_2021_efet'!J18</f>
        <v>0.01</v>
      </c>
      <c r="M307">
        <f>'2020_2021_efet'!K18</f>
        <v>8.2799999999999992E-3</v>
      </c>
      <c r="N307">
        <f>'2020_2021_efet'!L18</f>
        <v>5.6100000000000004E-3</v>
      </c>
      <c r="O307">
        <f>'2020_2021_efet'!M18</f>
        <v>9.8300000000000002E-3</v>
      </c>
      <c r="P307">
        <f>'2020_2021_efet'!N18</f>
        <v>2.1700000000000001E-3</v>
      </c>
      <c r="Q307">
        <f>'2020_2021_efet'!O18</f>
        <v>9.1699999999999995E-4</v>
      </c>
      <c r="R307">
        <f>'2020_2021_efet'!P18</f>
        <v>-3.47E-3</v>
      </c>
      <c r="S307">
        <f>'2020_2021_efet'!Q18</f>
        <v>9.0600000000000001E-4</v>
      </c>
      <c r="T307">
        <f>'2020_2021_efet'!R18</f>
        <v>3.8300000000000001E-3</v>
      </c>
      <c r="U307">
        <f>'2020_2021_efet'!S18</f>
        <v>1.42E-3</v>
      </c>
      <c r="V307">
        <f>'2020_2021_efet'!T18</f>
        <v>2.8400000000000001E-3</v>
      </c>
      <c r="W307">
        <f>'2020_2021_efet'!U18</f>
        <v>5.0899999999999999E-3</v>
      </c>
      <c r="X307">
        <f>'2020_2021_efet'!V18</f>
        <v>6.0099999999999997E-3</v>
      </c>
      <c r="Y307">
        <f>'2020_2021_efet'!W18</f>
        <v>2.48E-3</v>
      </c>
      <c r="Z307">
        <f>'2020_2021_efet'!X18</f>
        <v>6.3800000000000003E-3</v>
      </c>
      <c r="AA307">
        <f>'2020_2021_efet'!Y18</f>
        <v>2.1800000000000001E-3</v>
      </c>
      <c r="AB307">
        <f>'2020_2021_efet'!Z18</f>
        <v>4.4600000000000004E-3</v>
      </c>
      <c r="AC307">
        <f>'2020_2021_efet'!AA18</f>
        <v>2.6700000000000001E-3</v>
      </c>
      <c r="AD307">
        <f>'2020_2021_efet'!AB18</f>
        <v>3.47E-3</v>
      </c>
      <c r="AE307">
        <f>'2020_2021_efet'!AC18</f>
        <v>3.98E-3</v>
      </c>
      <c r="AF307">
        <f>'2020_2021_efet'!AD18</f>
        <v>2.1900000000000001E-3</v>
      </c>
      <c r="AG307">
        <f>'2020_2021_efet'!AE18</f>
        <v>4.0200000000000001E-3</v>
      </c>
      <c r="AH307">
        <f>'2020_2021_efet'!AF18</f>
        <v>5.5700000000000003E-3</v>
      </c>
      <c r="AI307">
        <f>'2020_2021_efet'!AG18</f>
        <v>5.8599999999999998E-3</v>
      </c>
      <c r="AJ307">
        <f>'2020_2021_efet'!AH18</f>
        <v>4.2100000000000002E-3</v>
      </c>
      <c r="AK307">
        <f>'2020_2021_efet'!AI18</f>
        <v>4.5199999999999997E-3</v>
      </c>
      <c r="AL307">
        <f>'2020_2021_efet'!AJ18</f>
        <v>2.8E-3</v>
      </c>
      <c r="AM307">
        <f>'2020_2021_efet'!AK18</f>
        <v>1.4E-3</v>
      </c>
      <c r="AN307">
        <f>'2020_2021_efet'!AL18</f>
        <v>1.4300000000000001E-3</v>
      </c>
      <c r="AO307">
        <f>'2020_2021_efet'!AM18</f>
        <v>7.6999999999999996E-4</v>
      </c>
      <c r="AP307">
        <f>'2020_2021_efet'!AN18</f>
        <v>1.27E-4</v>
      </c>
      <c r="AQ307">
        <f>'2020_2021_efet'!AO18</f>
        <v>1.32E-3</v>
      </c>
      <c r="AR307">
        <f>'2020_2021_efet'!AP18</f>
        <v>4.4400000000000004E-3</v>
      </c>
      <c r="AS307">
        <f>'2020_2021_efet'!AQ18</f>
        <v>4.1799999999999997E-3</v>
      </c>
      <c r="AT307">
        <f>'2020_2021_efet'!AR18</f>
        <v>3.3500000000000001E-3</v>
      </c>
      <c r="AU307">
        <f>'2020_2021_efet'!AS18</f>
        <v>5.3899999999999998E-3</v>
      </c>
      <c r="AV307">
        <f>'2020_2021_efet'!AT18</f>
        <v>6.4700000000000001E-3</v>
      </c>
      <c r="AW307">
        <f>'2020_2021_efet'!AU18</f>
        <v>7.5500000000000003E-3</v>
      </c>
      <c r="AX307">
        <f>'2020_2021_efet'!AV18</f>
        <v>7.8799999999999999E-3</v>
      </c>
      <c r="AY307">
        <f>'2020_2021_efet'!AW18</f>
        <v>9.8200000000000006E-3</v>
      </c>
      <c r="AZ307">
        <f>'2020_2021_efet'!AX18</f>
        <v>8.3999999999999995E-3</v>
      </c>
      <c r="BA307">
        <f>'2020_2021_efet'!AY18</f>
        <v>9.4400000000000005E-3</v>
      </c>
      <c r="BB307">
        <f>'2020_2021_efet'!AZ18</f>
        <v>1.0999999999999999E-2</v>
      </c>
      <c r="BC307">
        <f>'2020_2021_efet'!BA18</f>
        <v>9.2700000000000005E-3</v>
      </c>
      <c r="BD307">
        <f>'2020_2021_efet'!BB18</f>
        <v>8.7100000000000007E-3</v>
      </c>
      <c r="BE307">
        <f>'2020_2021_efet'!BC18</f>
        <v>4.3200000000000001E-3</v>
      </c>
      <c r="BF307">
        <f>'2020_2021_efet'!BD18</f>
        <v>4.7800000000000004E-3</v>
      </c>
      <c r="BG307">
        <f>'2020_2021_efet'!BE18</f>
        <v>3.1800000000000001E-3</v>
      </c>
      <c r="BH307">
        <f>'2020_2021_efet'!BF18</f>
        <v>2.49E-3</v>
      </c>
      <c r="BI307">
        <f>'2020_2021_efet'!BG18</f>
        <v>1.16E-3</v>
      </c>
      <c r="BJ307">
        <f>'2020_2021_efet'!BH18</f>
        <v>-8.3500000000000002E-4</v>
      </c>
      <c r="BK307">
        <f>'2020_2021_efet'!BI18</f>
        <v>-1.08E-3</v>
      </c>
      <c r="BL307">
        <f>'2020_2021_efet'!BJ18</f>
        <v>-4.7999999999999996E-3</v>
      </c>
      <c r="BM307">
        <f>'2020_2021_efet'!BK18</f>
        <v>-3.1800000000000001E-3</v>
      </c>
      <c r="BN307">
        <f>'2020_2021_efet'!BL18</f>
        <v>-3.2399999999999998E-3</v>
      </c>
      <c r="BO307">
        <f>'2020_2021_efet'!BM18</f>
        <v>-6.2899999999999996E-3</v>
      </c>
      <c r="BP307">
        <f>'2020_2021_efet'!BN18</f>
        <v>-7.1199999999999996E-3</v>
      </c>
      <c r="BQ307">
        <f>'2020_2021_efet'!BO18</f>
        <v>-4.7400000000000003E-3</v>
      </c>
      <c r="BR307">
        <f>'2020_2021_efet'!BP18</f>
        <v>-4.1900000000000001E-3</v>
      </c>
      <c r="BS307">
        <f>'2020_2021_efet'!BQ18</f>
        <v>-2.1099999999999999E-3</v>
      </c>
      <c r="BT307">
        <f>'2020_2021_efet'!BR18</f>
        <v>-4.1200000000000004E-3</v>
      </c>
      <c r="BU307">
        <f>'2020_2021_efet'!BS18</f>
        <v>-7.1300000000000001E-3</v>
      </c>
      <c r="BV307">
        <f>'2020_2021_efet'!BT18</f>
        <v>-6.5599999999999999E-3</v>
      </c>
      <c r="BW307">
        <f>'2020_2021_efet'!BU18</f>
        <v>-8.7100000000000007E-3</v>
      </c>
      <c r="BX307">
        <f>'2020_2021_efet'!BV18</f>
        <v>-7.9299999999999995E-3</v>
      </c>
      <c r="BY307">
        <f>'2020_2021_efet'!BW18</f>
        <v>-5.0400000000000002E-3</v>
      </c>
      <c r="BZ307">
        <f>'2020_2021_efet'!BX18</f>
        <v>-6.28E-3</v>
      </c>
      <c r="CA307">
        <f>'2020_2021_efet'!BY18</f>
        <v>-5.7499999999999999E-3</v>
      </c>
      <c r="CB307">
        <f>'2020_2021_efet'!BZ18</f>
        <v>-6.4000000000000003E-3</v>
      </c>
      <c r="CC307">
        <f>'2020_2021_efet'!CA18</f>
        <v>-7.2500000000000004E-3</v>
      </c>
      <c r="CD307">
        <f>'2020_2021_efet'!CB18</f>
        <v>-8.2400000000000008E-3</v>
      </c>
      <c r="CE307">
        <f>'2020_2021_efet'!CC18</f>
        <v>-7.8200000000000006E-3</v>
      </c>
      <c r="CF307">
        <f>'2020_2021_efet'!CD18</f>
        <v>-6.11E-3</v>
      </c>
      <c r="CG307">
        <f>'2020_2021_efet'!CE18</f>
        <v>5.4200000000000003E-3</v>
      </c>
      <c r="CH307">
        <f>'2020_2021_efet'!CF18</f>
        <v>2.3E-3</v>
      </c>
      <c r="CI307">
        <f>'2020_2021_efet'!CG18</f>
        <v>6.8100000000000002E-5</v>
      </c>
      <c r="CJ307">
        <f>'2020_2021_efet'!CH18</f>
        <v>1.34E-3</v>
      </c>
      <c r="CK307">
        <f>'2020_2021_efet'!CI18</f>
        <v>7.0699999999999999E-3</v>
      </c>
      <c r="CL307">
        <f>'2020_2021_efet'!CJ18</f>
        <v>1.7700000000000001E-3</v>
      </c>
      <c r="CM307">
        <f>'2020_2021_efet'!CK18</f>
        <v>-2.3500000000000001E-3</v>
      </c>
      <c r="CN307">
        <f>'2020_2021_efet'!CL18</f>
        <v>-3.57E-4</v>
      </c>
      <c r="CO307">
        <f>'2020_2021_efet'!CM18</f>
        <v>7.0200000000000002E-3</v>
      </c>
      <c r="CP307">
        <f>'2020_2021_efet'!CN18</f>
        <v>1.7899999999999999E-2</v>
      </c>
      <c r="CQ307">
        <f>'2020_2021_efet'!CO18</f>
        <v>1.9800000000000002E-2</v>
      </c>
      <c r="CR307">
        <f>'2020_2021_efet'!CP18</f>
        <v>1.34E-2</v>
      </c>
      <c r="CS307">
        <f>'2020_2021_efet'!CQ18</f>
        <v>-1.6500000000000001E-2</v>
      </c>
      <c r="CT307">
        <f>'2020_2021_efet'!CR18</f>
        <v>-6.2399999999999999E-3</v>
      </c>
      <c r="CU307">
        <f>'2020_2021_efet'!CS18</f>
        <v>4.3099999999999996E-3</v>
      </c>
      <c r="CV307">
        <f>'2020_2021_efet'!CT18</f>
        <v>-3.2199999999999999E-2</v>
      </c>
      <c r="CW307">
        <f>'2020_2021_efet'!CU18</f>
        <v>-1.89E-2</v>
      </c>
      <c r="CX307">
        <f>'2020_2021_efet'!CV18</f>
        <v>1.67E-2</v>
      </c>
    </row>
    <row r="308" spans="1:102" x14ac:dyDescent="0.2">
      <c r="A308" t="s">
        <v>212</v>
      </c>
      <c r="B308" t="s">
        <v>219</v>
      </c>
      <c r="C308" t="s">
        <v>223</v>
      </c>
      <c r="D308">
        <f>'2020_2021_efet'!B19</f>
        <v>1.57E-3</v>
      </c>
      <c r="E308">
        <f>'2020_2021_efet'!C19</f>
        <v>1.57E-3</v>
      </c>
      <c r="F308">
        <f>'2020_2021_efet'!D19</f>
        <v>1.57E-3</v>
      </c>
      <c r="G308">
        <f>'2020_2021_efet'!E19</f>
        <v>7.4200000000000002E-2</v>
      </c>
      <c r="H308">
        <f>'2020_2021_efet'!F19</f>
        <v>3.8300000000000001E-2</v>
      </c>
      <c r="I308">
        <f>'2020_2021_efet'!G19</f>
        <v>3.9899999999999998E-2</v>
      </c>
      <c r="J308">
        <f>'2020_2021_efet'!H19</f>
        <v>1.4500000000000001E-2</v>
      </c>
      <c r="K308">
        <f>'2020_2021_efet'!I19</f>
        <v>1.4500000000000001E-2</v>
      </c>
      <c r="L308">
        <f>'2020_2021_efet'!J19</f>
        <v>1.6899999999999998E-2</v>
      </c>
      <c r="M308">
        <f>'2020_2021_efet'!K19</f>
        <v>1.46E-2</v>
      </c>
      <c r="N308">
        <f>'2020_2021_efet'!L19</f>
        <v>1.5299999999999999E-2</v>
      </c>
      <c r="O308">
        <f>'2020_2021_efet'!M19</f>
        <v>1.3299999999999999E-2</v>
      </c>
      <c r="P308">
        <f>'2020_2021_efet'!N19</f>
        <v>1.35E-2</v>
      </c>
      <c r="Q308">
        <f>'2020_2021_efet'!O19</f>
        <v>6.1799999999999997E-3</v>
      </c>
      <c r="R308">
        <f>'2020_2021_efet'!P19</f>
        <v>4.2599999999999999E-3</v>
      </c>
      <c r="S308">
        <f>'2020_2021_efet'!Q19</f>
        <v>5.0099999999999997E-3</v>
      </c>
      <c r="T308">
        <f>'2020_2021_efet'!R19</f>
        <v>5.4000000000000003E-3</v>
      </c>
      <c r="U308">
        <f>'2020_2021_efet'!S19</f>
        <v>3.3999999999999998E-3</v>
      </c>
      <c r="V308">
        <f>'2020_2021_efet'!T19</f>
        <v>5.0699999999999999E-3</v>
      </c>
      <c r="W308">
        <f>'2020_2021_efet'!U19</f>
        <v>4.4099999999999999E-3</v>
      </c>
      <c r="X308">
        <f>'2020_2021_efet'!V19</f>
        <v>3.7200000000000002E-3</v>
      </c>
      <c r="Y308">
        <f>'2020_2021_efet'!W19</f>
        <v>2E-3</v>
      </c>
      <c r="Z308">
        <f>'2020_2021_efet'!X19</f>
        <v>2.4099999999999998E-3</v>
      </c>
      <c r="AA308">
        <f>'2020_2021_efet'!Y19</f>
        <v>2.5699999999999998E-3</v>
      </c>
      <c r="AB308">
        <f>'2020_2021_efet'!Z19</f>
        <v>3.5799999999999998E-3</v>
      </c>
      <c r="AC308">
        <f>'2020_2021_efet'!AA19</f>
        <v>3.2499999999999999E-3</v>
      </c>
      <c r="AD308">
        <f>'2020_2021_efet'!AB19</f>
        <v>3.29E-3</v>
      </c>
      <c r="AE308">
        <f>'2020_2021_efet'!AC19</f>
        <v>4.3200000000000001E-3</v>
      </c>
      <c r="AF308">
        <f>'2020_2021_efet'!AD19</f>
        <v>4.9500000000000004E-3</v>
      </c>
      <c r="AG308">
        <f>'2020_2021_efet'!AE19</f>
        <v>4.6600000000000001E-3</v>
      </c>
      <c r="AH308">
        <f>'2020_2021_efet'!AF19</f>
        <v>4.7499999999999999E-3</v>
      </c>
      <c r="AI308">
        <f>'2020_2021_efet'!AG19</f>
        <v>4.62E-3</v>
      </c>
      <c r="AJ308">
        <f>'2020_2021_efet'!AH19</f>
        <v>4.13E-3</v>
      </c>
      <c r="AK308">
        <f>'2020_2021_efet'!AI19</f>
        <v>3.6900000000000001E-3</v>
      </c>
      <c r="AL308">
        <f>'2020_2021_efet'!AJ19</f>
        <v>3.7599999999999999E-3</v>
      </c>
      <c r="AM308">
        <f>'2020_2021_efet'!AK19</f>
        <v>2.8900000000000002E-3</v>
      </c>
      <c r="AN308">
        <f>'2020_2021_efet'!AL19</f>
        <v>2.64E-3</v>
      </c>
      <c r="AO308">
        <f>'2020_2021_efet'!AM19</f>
        <v>2.3999999999999998E-3</v>
      </c>
      <c r="AP308">
        <f>'2020_2021_efet'!AN19</f>
        <v>2.4199999999999998E-3</v>
      </c>
      <c r="AQ308">
        <f>'2020_2021_efet'!AO19</f>
        <v>2.8400000000000001E-3</v>
      </c>
      <c r="AR308">
        <f>'2020_2021_efet'!AP19</f>
        <v>3.3999999999999998E-3</v>
      </c>
      <c r="AS308">
        <f>'2020_2021_efet'!AQ19</f>
        <v>3.5400000000000002E-3</v>
      </c>
      <c r="AT308">
        <f>'2020_2021_efet'!AR19</f>
        <v>3.6700000000000001E-3</v>
      </c>
      <c r="AU308">
        <f>'2020_2021_efet'!AS19</f>
        <v>4.3899999999999998E-3</v>
      </c>
      <c r="AV308">
        <f>'2020_2021_efet'!AT19</f>
        <v>4.9899999999999996E-3</v>
      </c>
      <c r="AW308">
        <f>'2020_2021_efet'!AU19</f>
        <v>5.11E-3</v>
      </c>
      <c r="AX308">
        <f>'2020_2021_efet'!AV19</f>
        <v>4.7999999999999996E-3</v>
      </c>
      <c r="AY308">
        <f>'2020_2021_efet'!AW19</f>
        <v>4.3899999999999998E-3</v>
      </c>
      <c r="AZ308">
        <f>'2020_2021_efet'!AX19</f>
        <v>4.0899999999999999E-3</v>
      </c>
      <c r="BA308">
        <f>'2020_2021_efet'!AY19</f>
        <v>4.1399999999999996E-3</v>
      </c>
      <c r="BB308">
        <f>'2020_2021_efet'!AZ19</f>
        <v>3.8999999999999998E-3</v>
      </c>
      <c r="BC308">
        <f>'2020_2021_efet'!BA19</f>
        <v>2.7799999999999999E-3</v>
      </c>
      <c r="BD308">
        <f>'2020_2021_efet'!BB19</f>
        <v>2.7799999999999999E-3</v>
      </c>
      <c r="BE308">
        <f>'2020_2021_efet'!BC19</f>
        <v>2.5100000000000001E-3</v>
      </c>
      <c r="BF308">
        <f>'2020_2021_efet'!BD19</f>
        <v>2.2499999999999998E-3</v>
      </c>
      <c r="BG308">
        <f>'2020_2021_efet'!BE19</f>
        <v>2.4599999999999999E-3</v>
      </c>
      <c r="BH308">
        <f>'2020_2021_efet'!BF19</f>
        <v>2.1800000000000001E-3</v>
      </c>
      <c r="BI308">
        <f>'2020_2021_efet'!BG19</f>
        <v>1.75E-3</v>
      </c>
      <c r="BJ308">
        <f>'2020_2021_efet'!BH19</f>
        <v>2.5600000000000002E-3</v>
      </c>
      <c r="BK308">
        <f>'2020_2021_efet'!BI19</f>
        <v>2.4499999999999999E-3</v>
      </c>
      <c r="BL308">
        <f>'2020_2021_efet'!BJ19</f>
        <v>2.8500000000000001E-3</v>
      </c>
      <c r="BM308">
        <f>'2020_2021_efet'!BK19</f>
        <v>2.7599999999999999E-3</v>
      </c>
      <c r="BN308">
        <f>'2020_2021_efet'!BL19</f>
        <v>2.6199999999999999E-3</v>
      </c>
      <c r="BO308">
        <f>'2020_2021_efet'!BM19</f>
        <v>2.1299999999999999E-3</v>
      </c>
      <c r="BP308">
        <f>'2020_2021_efet'!BN19</f>
        <v>2.4199999999999998E-3</v>
      </c>
      <c r="BQ308">
        <f>'2020_2021_efet'!BO19</f>
        <v>2.47E-3</v>
      </c>
      <c r="BR308">
        <f>'2020_2021_efet'!BP19</f>
        <v>1.41E-3</v>
      </c>
      <c r="BS308">
        <f>'2020_2021_efet'!BQ19</f>
        <v>1.5499999999999999E-3</v>
      </c>
      <c r="BT308">
        <f>'2020_2021_efet'!BR19</f>
        <v>1.17E-3</v>
      </c>
      <c r="BU308">
        <f>'2020_2021_efet'!BS19</f>
        <v>7.3399999999999995E-4</v>
      </c>
      <c r="BV308">
        <f>'2020_2021_efet'!BT19</f>
        <v>1.09E-3</v>
      </c>
      <c r="BW308">
        <f>'2020_2021_efet'!BU19</f>
        <v>7.2599999999999997E-4</v>
      </c>
      <c r="BX308">
        <f>'2020_2021_efet'!BV19</f>
        <v>2.7E-4</v>
      </c>
      <c r="BY308">
        <f>'2020_2021_efet'!BW19</f>
        <v>1.5299999999999999E-3</v>
      </c>
      <c r="BZ308">
        <f>'2020_2021_efet'!BX19</f>
        <v>1.6100000000000001E-3</v>
      </c>
      <c r="CA308">
        <f>'2020_2021_efet'!BY19</f>
        <v>2.14E-3</v>
      </c>
      <c r="CB308">
        <f>'2020_2021_efet'!BZ19</f>
        <v>1.91E-3</v>
      </c>
      <c r="CC308">
        <f>'2020_2021_efet'!CA19</f>
        <v>2.6400000000000002E-4</v>
      </c>
      <c r="CD308">
        <f>'2020_2021_efet'!CB19</f>
        <v>3.1399999999999999E-4</v>
      </c>
      <c r="CE308">
        <f>'2020_2021_efet'!CC19</f>
        <v>-8.0799999999999999E-5</v>
      </c>
      <c r="CF308">
        <f>'2020_2021_efet'!CD19</f>
        <v>-2.41E-4</v>
      </c>
      <c r="CG308">
        <f>'2020_2021_efet'!CE19</f>
        <v>-2.5400000000000002E-3</v>
      </c>
      <c r="CH308">
        <f>'2020_2021_efet'!CF19</f>
        <v>-2.3E-3</v>
      </c>
      <c r="CI308">
        <f>'2020_2021_efet'!CG19</f>
        <v>-2.3800000000000002E-3</v>
      </c>
      <c r="CJ308">
        <f>'2020_2021_efet'!CH19</f>
        <v>-2E-3</v>
      </c>
      <c r="CK308">
        <f>'2020_2021_efet'!CI19</f>
        <v>-2.5799999999999998E-3</v>
      </c>
      <c r="CL308">
        <f>'2020_2021_efet'!CJ19</f>
        <v>-3.96E-3</v>
      </c>
      <c r="CM308">
        <f>'2020_2021_efet'!CK19</f>
        <v>-3.0699999999999998E-3</v>
      </c>
      <c r="CN308">
        <f>'2020_2021_efet'!CL19</f>
        <v>-1.92E-3</v>
      </c>
      <c r="CO308">
        <f>'2020_2021_efet'!CM19</f>
        <v>-1.5100000000000001E-3</v>
      </c>
      <c r="CP308">
        <f>'2020_2021_efet'!CN19</f>
        <v>-3.1099999999999999E-3</v>
      </c>
      <c r="CQ308">
        <f>'2020_2021_efet'!CO19</f>
        <v>-3.0200000000000001E-3</v>
      </c>
      <c r="CR308">
        <f>'2020_2021_efet'!CP19</f>
        <v>-4.15E-3</v>
      </c>
      <c r="CS308">
        <f>'2020_2021_efet'!CQ19</f>
        <v>-4.15E-3</v>
      </c>
      <c r="CT308">
        <f>'2020_2021_efet'!CR19</f>
        <v>-7.9500000000000005E-3</v>
      </c>
      <c r="CU308">
        <f>'2020_2021_efet'!CS19</f>
        <v>-5.9100000000000003E-3</v>
      </c>
      <c r="CV308">
        <f>'2020_2021_efet'!CT19</f>
        <v>-1.1900000000000001E-2</v>
      </c>
      <c r="CW308">
        <f>'2020_2021_efet'!CU19</f>
        <v>-1.54E-2</v>
      </c>
      <c r="CX308">
        <f>'2020_2021_efet'!CV19</f>
        <v>-1.89E-2</v>
      </c>
    </row>
    <row r="309" spans="1:102" x14ac:dyDescent="0.2">
      <c r="A309" t="s">
        <v>213</v>
      </c>
      <c r="B309" t="s">
        <v>219</v>
      </c>
      <c r="C309" t="s">
        <v>223</v>
      </c>
      <c r="D309">
        <f>'2020_2021_efet'!B20</f>
        <v>-2E-3</v>
      </c>
      <c r="E309">
        <f>'2020_2021_efet'!C20</f>
        <v>-2E-3</v>
      </c>
      <c r="F309">
        <f>'2020_2021_efet'!D20</f>
        <v>-2E-3</v>
      </c>
      <c r="G309">
        <f>'2020_2021_efet'!E20</f>
        <v>-0.23300000000000001</v>
      </c>
      <c r="H309">
        <f>'2020_2021_efet'!F20</f>
        <v>2.9399999999999999E-2</v>
      </c>
      <c r="I309">
        <f>'2020_2021_efet'!G20</f>
        <v>-6.4299999999999996E-2</v>
      </c>
      <c r="J309">
        <f>'2020_2021_efet'!H20</f>
        <v>2.1000000000000001E-2</v>
      </c>
      <c r="K309">
        <f>'2020_2021_efet'!I20</f>
        <v>-1.5100000000000001E-2</v>
      </c>
      <c r="L309">
        <f>'2020_2021_efet'!J20</f>
        <v>-2.63E-2</v>
      </c>
      <c r="M309">
        <f>'2020_2021_efet'!K20</f>
        <v>-6.5799999999999999E-3</v>
      </c>
      <c r="N309">
        <f>'2020_2021_efet'!L20</f>
        <v>-2.01E-2</v>
      </c>
      <c r="O309">
        <f>'2020_2021_efet'!M20</f>
        <v>-2.0500000000000001E-2</v>
      </c>
      <c r="P309">
        <f>'2020_2021_efet'!N20</f>
        <v>-3.4099999999999998E-2</v>
      </c>
      <c r="Q309">
        <f>'2020_2021_efet'!O20</f>
        <v>4.6800000000000001E-2</v>
      </c>
      <c r="R309">
        <f>'2020_2021_efet'!P20</f>
        <v>6.4399999999999999E-2</v>
      </c>
      <c r="S309">
        <f>'2020_2021_efet'!Q20</f>
        <v>-1.3899999999999999E-2</v>
      </c>
      <c r="T309">
        <f>'2020_2021_efet'!R20</f>
        <v>-2.23E-2</v>
      </c>
      <c r="U309">
        <f>'2020_2021_efet'!S20</f>
        <v>8.7500000000000008E-3</v>
      </c>
      <c r="V309">
        <f>'2020_2021_efet'!T20</f>
        <v>-2.35E-2</v>
      </c>
      <c r="W309">
        <f>'2020_2021_efet'!U20</f>
        <v>-3.39E-2</v>
      </c>
      <c r="X309">
        <f>'2020_2021_efet'!V20</f>
        <v>-1.17E-2</v>
      </c>
      <c r="Y309">
        <f>'2020_2021_efet'!W20</f>
        <v>1.14E-2</v>
      </c>
      <c r="Z309">
        <f>'2020_2021_efet'!X20</f>
        <v>1.03E-2</v>
      </c>
      <c r="AA309">
        <f>'2020_2021_efet'!Y20</f>
        <v>7.7999999999999999E-4</v>
      </c>
      <c r="AB309">
        <f>'2020_2021_efet'!Z20</f>
        <v>-1.3100000000000001E-2</v>
      </c>
      <c r="AC309">
        <f>'2020_2021_efet'!AA20</f>
        <v>-1.9599999999999999E-2</v>
      </c>
      <c r="AD309">
        <f>'2020_2021_efet'!AB20</f>
        <v>-1.46E-2</v>
      </c>
      <c r="AE309">
        <f>'2020_2021_efet'!AC20</f>
        <v>-1.3100000000000001E-2</v>
      </c>
      <c r="AF309">
        <f>'2020_2021_efet'!AD20</f>
        <v>-1.72E-2</v>
      </c>
      <c r="AG309">
        <f>'2020_2021_efet'!AE20</f>
        <v>-1.9599999999999999E-2</v>
      </c>
      <c r="AH309">
        <f>'2020_2021_efet'!AF20</f>
        <v>-2.07E-2</v>
      </c>
      <c r="AI309">
        <f>'2020_2021_efet'!AG20</f>
        <v>-1.6400000000000001E-2</v>
      </c>
      <c r="AJ309">
        <f>'2020_2021_efet'!AH20</f>
        <v>-1.52E-2</v>
      </c>
      <c r="AK309">
        <f>'2020_2021_efet'!AI20</f>
        <v>-1.1900000000000001E-2</v>
      </c>
      <c r="AL309">
        <f>'2020_2021_efet'!AJ20</f>
        <v>-9.5099999999999994E-3</v>
      </c>
      <c r="AM309">
        <f>'2020_2021_efet'!AK20</f>
        <v>-7.6800000000000002E-3</v>
      </c>
      <c r="AN309">
        <f>'2020_2021_efet'!AL20</f>
        <v>-4.4299999999999999E-3</v>
      </c>
      <c r="AO309">
        <f>'2020_2021_efet'!AM20</f>
        <v>-2.82E-3</v>
      </c>
      <c r="AP309">
        <f>'2020_2021_efet'!AN20</f>
        <v>-1.8600000000000001E-3</v>
      </c>
      <c r="AQ309">
        <f>'2020_2021_efet'!AO20</f>
        <v>2.1199999999999999E-3</v>
      </c>
      <c r="AR309">
        <f>'2020_2021_efet'!AP20</f>
        <v>-9.9799999999999993E-3</v>
      </c>
      <c r="AS309">
        <f>'2020_2021_efet'!AQ20</f>
        <v>-1.14E-2</v>
      </c>
      <c r="AT309">
        <f>'2020_2021_efet'!AR20</f>
        <v>-8.94E-3</v>
      </c>
      <c r="AU309">
        <f>'2020_2021_efet'!AS20</f>
        <v>-1.09E-2</v>
      </c>
      <c r="AV309">
        <f>'2020_2021_efet'!AT20</f>
        <v>-1.2500000000000001E-2</v>
      </c>
      <c r="AW309">
        <f>'2020_2021_efet'!AU20</f>
        <v>-8.9599999999999992E-3</v>
      </c>
      <c r="AX309">
        <f>'2020_2021_efet'!AV20</f>
        <v>-4.1399999999999996E-3</v>
      </c>
      <c r="AY309">
        <f>'2020_2021_efet'!AW20</f>
        <v>-3.5799999999999998E-3</v>
      </c>
      <c r="AZ309">
        <f>'2020_2021_efet'!AX20</f>
        <v>-3.5899999999999999E-6</v>
      </c>
      <c r="BA309">
        <f>'2020_2021_efet'!AY20</f>
        <v>3.0599999999999998E-3</v>
      </c>
      <c r="BB309">
        <f>'2020_2021_efet'!AZ20</f>
        <v>4.1999999999999997E-3</v>
      </c>
      <c r="BC309">
        <f>'2020_2021_efet'!BA20</f>
        <v>7.5399999999999998E-3</v>
      </c>
      <c r="BD309">
        <f>'2020_2021_efet'!BB20</f>
        <v>8.3700000000000007E-3</v>
      </c>
      <c r="BE309">
        <f>'2020_2021_efet'!BC20</f>
        <v>7.9399999999999991E-3</v>
      </c>
      <c r="BF309">
        <f>'2020_2021_efet'!BD20</f>
        <v>8.2400000000000008E-3</v>
      </c>
      <c r="BG309">
        <f>'2020_2021_efet'!BE20</f>
        <v>1.09E-2</v>
      </c>
      <c r="BH309">
        <f>'2020_2021_efet'!BF20</f>
        <v>6.6299999999999996E-3</v>
      </c>
      <c r="BI309">
        <f>'2020_2021_efet'!BG20</f>
        <v>6.6499999999999997E-3</v>
      </c>
      <c r="BJ309">
        <f>'2020_2021_efet'!BH20</f>
        <v>4.66E-4</v>
      </c>
      <c r="BK309">
        <f>'2020_2021_efet'!BI20</f>
        <v>1.82E-3</v>
      </c>
      <c r="BL309">
        <f>'2020_2021_efet'!BJ20</f>
        <v>2.0899999999999998E-3</v>
      </c>
      <c r="BM309">
        <f>'2020_2021_efet'!BK20</f>
        <v>2.0699999999999999E-4</v>
      </c>
      <c r="BN309">
        <f>'2020_2021_efet'!BL20</f>
        <v>-9.2000000000000003E-4</v>
      </c>
      <c r="BO309">
        <f>'2020_2021_efet'!BM20</f>
        <v>1.5500000000000001E-5</v>
      </c>
      <c r="BP309">
        <f>'2020_2021_efet'!BN20</f>
        <v>-2.3700000000000001E-3</v>
      </c>
      <c r="BQ309">
        <f>'2020_2021_efet'!BO20</f>
        <v>-1.6299999999999999E-3</v>
      </c>
      <c r="BR309">
        <f>'2020_2021_efet'!BP20</f>
        <v>-5.0299999999999997E-4</v>
      </c>
      <c r="BS309">
        <f>'2020_2021_efet'!BQ20</f>
        <v>-1.25E-3</v>
      </c>
      <c r="BT309">
        <f>'2020_2021_efet'!BR20</f>
        <v>-3.0500000000000002E-3</v>
      </c>
      <c r="BU309">
        <f>'2020_2021_efet'!BS20</f>
        <v>2.0899999999999998E-3</v>
      </c>
      <c r="BV309">
        <f>'2020_2021_efet'!BT20</f>
        <v>3.29E-3</v>
      </c>
      <c r="BW309">
        <f>'2020_2021_efet'!BU20</f>
        <v>5.5100000000000001E-3</v>
      </c>
      <c r="BX309">
        <f>'2020_2021_efet'!BV20</f>
        <v>3.13E-3</v>
      </c>
      <c r="BY309">
        <f>'2020_2021_efet'!BW20</f>
        <v>3.5599999999999998E-3</v>
      </c>
      <c r="BZ309">
        <f>'2020_2021_efet'!BX20</f>
        <v>3.62E-3</v>
      </c>
      <c r="CA309">
        <f>'2020_2021_efet'!BY20</f>
        <v>3.9500000000000004E-3</v>
      </c>
      <c r="CB309">
        <f>'2020_2021_efet'!BZ20</f>
        <v>8.5400000000000007E-3</v>
      </c>
      <c r="CC309">
        <f>'2020_2021_efet'!CA20</f>
        <v>0.01</v>
      </c>
      <c r="CD309">
        <f>'2020_2021_efet'!CB20</f>
        <v>1.43E-2</v>
      </c>
      <c r="CE309">
        <f>'2020_2021_efet'!CC20</f>
        <v>1.5599999999999999E-2</v>
      </c>
      <c r="CF309">
        <f>'2020_2021_efet'!CD20</f>
        <v>1.5800000000000002E-2</v>
      </c>
      <c r="CG309">
        <f>'2020_2021_efet'!CE20</f>
        <v>1.5699999999999999E-2</v>
      </c>
      <c r="CH309">
        <f>'2020_2021_efet'!CF20</f>
        <v>1.9400000000000001E-2</v>
      </c>
      <c r="CI309">
        <f>'2020_2021_efet'!CG20</f>
        <v>1.0699999999999999E-2</v>
      </c>
      <c r="CJ309">
        <f>'2020_2021_efet'!CH20</f>
        <v>1.24E-2</v>
      </c>
      <c r="CK309">
        <f>'2020_2021_efet'!CI20</f>
        <v>1.5800000000000002E-2</v>
      </c>
      <c r="CL309">
        <f>'2020_2021_efet'!CJ20</f>
        <v>1.6899999999999998E-2</v>
      </c>
      <c r="CM309">
        <f>'2020_2021_efet'!CK20</f>
        <v>1.5900000000000001E-2</v>
      </c>
      <c r="CN309">
        <f>'2020_2021_efet'!CL20</f>
        <v>1.54E-2</v>
      </c>
      <c r="CO309">
        <f>'2020_2021_efet'!CM20</f>
        <v>7.7400000000000004E-3</v>
      </c>
      <c r="CP309">
        <f>'2020_2021_efet'!CN20</f>
        <v>-8.4499999999999992E-3</v>
      </c>
      <c r="CQ309">
        <f>'2020_2021_efet'!CO20</f>
        <v>-1.0200000000000001E-2</v>
      </c>
      <c r="CR309">
        <f>'2020_2021_efet'!CP20</f>
        <v>-1.43E-2</v>
      </c>
      <c r="CS309">
        <f>'2020_2021_efet'!CQ20</f>
        <v>2.5600000000000002E-3</v>
      </c>
      <c r="CT309">
        <f>'2020_2021_efet'!CR20</f>
        <v>5.0499999999999998E-3</v>
      </c>
      <c r="CU309">
        <f>'2020_2021_efet'!CS20</f>
        <v>-1.7000000000000001E-2</v>
      </c>
      <c r="CV309">
        <f>'2020_2021_efet'!CT20</f>
        <v>-2.98E-2</v>
      </c>
      <c r="CW309">
        <f>'2020_2021_efet'!CU20</f>
        <v>-5.1900000000000002E-2</v>
      </c>
      <c r="CX309">
        <f>'2020_2021_efet'!CV20</f>
        <v>-5.4600000000000003E-2</v>
      </c>
    </row>
    <row r="310" spans="1:102" x14ac:dyDescent="0.2">
      <c r="A310" t="s">
        <v>214</v>
      </c>
      <c r="B310" t="s">
        <v>219</v>
      </c>
      <c r="C310" t="s">
        <v>223</v>
      </c>
      <c r="D310">
        <f>'2020_2021_efet'!B21</f>
        <v>-4.75E-4</v>
      </c>
      <c r="E310">
        <f>'2020_2021_efet'!C21</f>
        <v>-4.75E-4</v>
      </c>
      <c r="F310">
        <f>'2020_2021_efet'!D21</f>
        <v>-4.75E-4</v>
      </c>
      <c r="G310">
        <f>'2020_2021_efet'!E21</f>
        <v>-3.2599999999999997E-2</v>
      </c>
      <c r="H310">
        <f>'2020_2021_efet'!F21</f>
        <v>-2.3599999999999999E-2</v>
      </c>
      <c r="I310">
        <f>'2020_2021_efet'!G21</f>
        <v>-4.7500000000000001E-2</v>
      </c>
      <c r="J310">
        <f>'2020_2021_efet'!H21</f>
        <v>-4.1399999999999999E-2</v>
      </c>
      <c r="K310">
        <f>'2020_2021_efet'!I21</f>
        <v>-3.1800000000000002E-2</v>
      </c>
      <c r="L310">
        <f>'2020_2021_efet'!J21</f>
        <v>-2.29E-2</v>
      </c>
      <c r="M310">
        <f>'2020_2021_efet'!K21</f>
        <v>-1.7500000000000002E-2</v>
      </c>
      <c r="N310">
        <f>'2020_2021_efet'!L21</f>
        <v>-3.09E-2</v>
      </c>
      <c r="O310">
        <f>'2020_2021_efet'!M21</f>
        <v>-2.0299999999999999E-2</v>
      </c>
      <c r="P310">
        <f>'2020_2021_efet'!N21</f>
        <v>-2.07E-2</v>
      </c>
      <c r="Q310">
        <f>'2020_2021_efet'!O21</f>
        <v>-2.3599999999999999E-2</v>
      </c>
      <c r="R310">
        <f>'2020_2021_efet'!P21</f>
        <v>-1.8100000000000002E-2</v>
      </c>
      <c r="S310">
        <f>'2020_2021_efet'!Q21</f>
        <v>-7.1500000000000001E-3</v>
      </c>
      <c r="T310">
        <f>'2020_2021_efet'!R21</f>
        <v>-1.06E-2</v>
      </c>
      <c r="U310">
        <f>'2020_2021_efet'!S21</f>
        <v>-5.2500000000000003E-3</v>
      </c>
      <c r="V310">
        <f>'2020_2021_efet'!T21</f>
        <v>-4.6100000000000004E-3</v>
      </c>
      <c r="W310">
        <f>'2020_2021_efet'!U21</f>
        <v>-7.3899999999999999E-3</v>
      </c>
      <c r="X310">
        <f>'2020_2021_efet'!V21</f>
        <v>-9.3799999999999994E-3</v>
      </c>
      <c r="Y310">
        <f>'2020_2021_efet'!W21</f>
        <v>-1.84E-2</v>
      </c>
      <c r="Z310">
        <f>'2020_2021_efet'!X21</f>
        <v>-7.2500000000000004E-3</v>
      </c>
      <c r="AA310">
        <f>'2020_2021_efet'!Y21</f>
        <v>-3.7100000000000002E-4</v>
      </c>
      <c r="AB310">
        <f>'2020_2021_efet'!Z21</f>
        <v>-7.6400000000000001E-3</v>
      </c>
      <c r="AC310">
        <f>'2020_2021_efet'!AA21</f>
        <v>-4.3499999999999997E-3</v>
      </c>
      <c r="AD310">
        <f>'2020_2021_efet'!AB21</f>
        <v>-6.5799999999999999E-3</v>
      </c>
      <c r="AE310">
        <f>'2020_2021_efet'!AC21</f>
        <v>-8.8699999999999994E-3</v>
      </c>
      <c r="AF310">
        <f>'2020_2021_efet'!AD21</f>
        <v>-9.1599999999999997E-3</v>
      </c>
      <c r="AG310">
        <f>'2020_2021_efet'!AE21</f>
        <v>-9.92E-3</v>
      </c>
      <c r="AH310">
        <f>'2020_2021_efet'!AF21</f>
        <v>-7.9799999999999992E-3</v>
      </c>
      <c r="AI310">
        <f>'2020_2021_efet'!AG21</f>
        <v>-6.4900000000000001E-3</v>
      </c>
      <c r="AJ310">
        <f>'2020_2021_efet'!AH21</f>
        <v>-6.1199999999999996E-3</v>
      </c>
      <c r="AK310">
        <f>'2020_2021_efet'!AI21</f>
        <v>-9.6600000000000002E-3</v>
      </c>
      <c r="AL310">
        <f>'2020_2021_efet'!AJ21</f>
        <v>-3.5699999999999998E-3</v>
      </c>
      <c r="AM310">
        <f>'2020_2021_efet'!AK21</f>
        <v>-5.5399999999999998E-3</v>
      </c>
      <c r="AN310">
        <f>'2020_2021_efet'!AL21</f>
        <v>-3.8700000000000002E-3</v>
      </c>
      <c r="AO310">
        <f>'2020_2021_efet'!AM21</f>
        <v>-5.9500000000000004E-3</v>
      </c>
      <c r="AP310">
        <f>'2020_2021_efet'!AN21</f>
        <v>-7.6499999999999997E-3</v>
      </c>
      <c r="AQ310">
        <f>'2020_2021_efet'!AO21</f>
        <v>-2.9199999999999999E-3</v>
      </c>
      <c r="AR310">
        <f>'2020_2021_efet'!AP21</f>
        <v>-1.01E-2</v>
      </c>
      <c r="AS310">
        <f>'2020_2021_efet'!AQ21</f>
        <v>-2.9299999999999999E-3</v>
      </c>
      <c r="AT310">
        <f>'2020_2021_efet'!AR21</f>
        <v>-6.2500000000000003E-3</v>
      </c>
      <c r="AU310">
        <f>'2020_2021_efet'!AS21</f>
        <v>-7.1000000000000004E-3</v>
      </c>
      <c r="AV310">
        <f>'2020_2021_efet'!AT21</f>
        <v>-7.4700000000000001E-3</v>
      </c>
      <c r="AW310">
        <f>'2020_2021_efet'!AU21</f>
        <v>-1.24E-2</v>
      </c>
      <c r="AX310">
        <f>'2020_2021_efet'!AV21</f>
        <v>-9.0500000000000008E-3</v>
      </c>
      <c r="AY310">
        <f>'2020_2021_efet'!AW21</f>
        <v>-7.0099999999999997E-3</v>
      </c>
      <c r="AZ310">
        <f>'2020_2021_efet'!AX21</f>
        <v>-7.1199999999999996E-3</v>
      </c>
      <c r="BA310">
        <f>'2020_2021_efet'!AY21</f>
        <v>-8.6800000000000002E-3</v>
      </c>
      <c r="BB310">
        <f>'2020_2021_efet'!AZ21</f>
        <v>-7.7999999999999996E-3</v>
      </c>
      <c r="BC310">
        <f>'2020_2021_efet'!BA21</f>
        <v>-6.4799999999999996E-3</v>
      </c>
      <c r="BD310">
        <f>'2020_2021_efet'!BB21</f>
        <v>-6.2700000000000004E-3</v>
      </c>
      <c r="BE310">
        <f>'2020_2021_efet'!BC21</f>
        <v>-5.7299999999999999E-3</v>
      </c>
      <c r="BF310">
        <f>'2020_2021_efet'!BD21</f>
        <v>-7.45E-3</v>
      </c>
      <c r="BG310">
        <f>'2020_2021_efet'!BE21</f>
        <v>-8.0599999999999995E-3</v>
      </c>
      <c r="BH310">
        <f>'2020_2021_efet'!BF21</f>
        <v>-9.2800000000000001E-3</v>
      </c>
      <c r="BI310">
        <f>'2020_2021_efet'!BG21</f>
        <v>-5.8999999999999999E-3</v>
      </c>
      <c r="BJ310">
        <f>'2020_2021_efet'!BH21</f>
        <v>-9.2999999999999992E-3</v>
      </c>
      <c r="BK310">
        <f>'2020_2021_efet'!BI21</f>
        <v>-1.15E-2</v>
      </c>
      <c r="BL310">
        <f>'2020_2021_efet'!BJ21</f>
        <v>-1.37E-2</v>
      </c>
      <c r="BM310">
        <f>'2020_2021_efet'!BK21</f>
        <v>-7.5700000000000003E-3</v>
      </c>
      <c r="BN310">
        <f>'2020_2021_efet'!BL21</f>
        <v>-6.1599999999999997E-3</v>
      </c>
      <c r="BO310">
        <f>'2020_2021_efet'!BM21</f>
        <v>-7.0000000000000001E-3</v>
      </c>
      <c r="BP310">
        <f>'2020_2021_efet'!BN21</f>
        <v>-8.2799999999999992E-3</v>
      </c>
      <c r="BQ310">
        <f>'2020_2021_efet'!BO21</f>
        <v>-6.3200000000000001E-3</v>
      </c>
      <c r="BR310">
        <f>'2020_2021_efet'!BP21</f>
        <v>-1.15E-2</v>
      </c>
      <c r="BS310">
        <f>'2020_2021_efet'!BQ21</f>
        <v>-9.2800000000000001E-3</v>
      </c>
      <c r="BT310">
        <f>'2020_2021_efet'!BR21</f>
        <v>-1.04E-2</v>
      </c>
      <c r="BU310">
        <f>'2020_2021_efet'!BS21</f>
        <v>-1.3899999999999999E-2</v>
      </c>
      <c r="BV310">
        <f>'2020_2021_efet'!BT21</f>
        <v>-1.1599999999999999E-2</v>
      </c>
      <c r="BW310">
        <f>'2020_2021_efet'!BU21</f>
        <v>-1.09E-2</v>
      </c>
      <c r="BX310">
        <f>'2020_2021_efet'!BV21</f>
        <v>-9.7999999999999997E-3</v>
      </c>
      <c r="BY310">
        <f>'2020_2021_efet'!BW21</f>
        <v>-9.6799999999999994E-3</v>
      </c>
      <c r="BZ310">
        <f>'2020_2021_efet'!BX21</f>
        <v>-1.12E-2</v>
      </c>
      <c r="CA310">
        <f>'2020_2021_efet'!BY21</f>
        <v>-1.5100000000000001E-2</v>
      </c>
      <c r="CB310">
        <f>'2020_2021_efet'!BZ21</f>
        <v>-1.04E-2</v>
      </c>
      <c r="CC310">
        <f>'2020_2021_efet'!CA21</f>
        <v>-1.0699999999999999E-2</v>
      </c>
      <c r="CD310">
        <f>'2020_2021_efet'!CB21</f>
        <v>-9.9000000000000008E-3</v>
      </c>
      <c r="CE310">
        <f>'2020_2021_efet'!CC21</f>
        <v>-8.8900000000000003E-3</v>
      </c>
      <c r="CF310">
        <f>'2020_2021_efet'!CD21</f>
        <v>-1.0999999999999999E-2</v>
      </c>
      <c r="CG310">
        <f>'2020_2021_efet'!CE21</f>
        <v>-8.5500000000000003E-3</v>
      </c>
      <c r="CH310">
        <f>'2020_2021_efet'!CF21</f>
        <v>-1.17E-2</v>
      </c>
      <c r="CI310">
        <f>'2020_2021_efet'!CG21</f>
        <v>-7.5799999999999999E-3</v>
      </c>
      <c r="CJ310">
        <f>'2020_2021_efet'!CH21</f>
        <v>-8.8500000000000002E-3</v>
      </c>
      <c r="CK310">
        <f>'2020_2021_efet'!CI21</f>
        <v>-6.0600000000000003E-3</v>
      </c>
      <c r="CL310">
        <f>'2020_2021_efet'!CJ21</f>
        <v>-4.5900000000000003E-3</v>
      </c>
      <c r="CM310">
        <f>'2020_2021_efet'!CK21</f>
        <v>-1.1299999999999999E-2</v>
      </c>
      <c r="CN310">
        <f>'2020_2021_efet'!CL21</f>
        <v>4.8200000000000001E-4</v>
      </c>
      <c r="CO310">
        <f>'2020_2021_efet'!CM21</f>
        <v>-3.0300000000000001E-3</v>
      </c>
      <c r="CP310">
        <f>'2020_2021_efet'!CN21</f>
        <v>-9.4199999999999996E-3</v>
      </c>
      <c r="CQ310">
        <f>'2020_2021_efet'!CO21</f>
        <v>-7.5500000000000003E-3</v>
      </c>
      <c r="CR310">
        <f>'2020_2021_efet'!CP21</f>
        <v>-3.6600000000000001E-3</v>
      </c>
      <c r="CS310">
        <f>'2020_2021_efet'!CQ21</f>
        <v>-4.7299999999999998E-3</v>
      </c>
      <c r="CT310">
        <f>'2020_2021_efet'!CR21</f>
        <v>-1.17E-2</v>
      </c>
      <c r="CU310">
        <f>'2020_2021_efet'!CS21</f>
        <v>-1.9900000000000001E-2</v>
      </c>
      <c r="CV310">
        <f>'2020_2021_efet'!CT21</f>
        <v>-1.17E-2</v>
      </c>
      <c r="CW310">
        <f>'2020_2021_efet'!CU21</f>
        <v>-2.2200000000000001E-2</v>
      </c>
      <c r="CX310">
        <f>'2020_2021_efet'!CV21</f>
        <v>-7.0299999999999998E-3</v>
      </c>
    </row>
    <row r="311" spans="1:102" x14ac:dyDescent="0.2">
      <c r="A311" t="s">
        <v>215</v>
      </c>
      <c r="B311" t="s">
        <v>219</v>
      </c>
      <c r="C311" t="s">
        <v>223</v>
      </c>
      <c r="D311">
        <f>'2020_2021_efet'!B22</f>
        <v>1.32E-2</v>
      </c>
      <c r="E311">
        <f>'2020_2021_efet'!C22</f>
        <v>1.32E-2</v>
      </c>
      <c r="F311">
        <f>'2020_2021_efet'!D22</f>
        <v>1.32E-2</v>
      </c>
      <c r="G311">
        <f>'2020_2021_efet'!E22</f>
        <v>0.16700000000000001</v>
      </c>
      <c r="H311">
        <f>'2020_2021_efet'!F22</f>
        <v>0.13400000000000001</v>
      </c>
      <c r="I311">
        <f>'2020_2021_efet'!G22</f>
        <v>9.1700000000000004E-2</v>
      </c>
      <c r="J311">
        <f>'2020_2021_efet'!H22</f>
        <v>2.5499999999999998E-2</v>
      </c>
      <c r="K311">
        <f>'2020_2021_efet'!I22</f>
        <v>-2.2800000000000001E-2</v>
      </c>
      <c r="L311">
        <f>'2020_2021_efet'!J22</f>
        <v>-5.8500000000000003E-2</v>
      </c>
      <c r="M311">
        <f>'2020_2021_efet'!K22</f>
        <v>-4.0399999999999998E-2</v>
      </c>
      <c r="N311">
        <f>'2020_2021_efet'!L22</f>
        <v>-3.4799999999999998E-2</v>
      </c>
      <c r="O311">
        <f>'2020_2021_efet'!M22</f>
        <v>-2.6800000000000001E-2</v>
      </c>
      <c r="P311">
        <f>'2020_2021_efet'!N22</f>
        <v>-1.8700000000000001E-2</v>
      </c>
      <c r="Q311">
        <f>'2020_2021_efet'!O22</f>
        <v>1.8600000000000001E-3</v>
      </c>
      <c r="R311">
        <f>'2020_2021_efet'!P22</f>
        <v>-3.1099999999999999E-3</v>
      </c>
      <c r="S311">
        <f>'2020_2021_efet'!Q22</f>
        <v>-6.7600000000000004E-3</v>
      </c>
      <c r="T311">
        <f>'2020_2021_efet'!R22</f>
        <v>-7.9399999999999991E-3</v>
      </c>
      <c r="U311">
        <f>'2020_2021_efet'!S22</f>
        <v>-9.2200000000000008E-3</v>
      </c>
      <c r="V311">
        <f>'2020_2021_efet'!T22</f>
        <v>-6.1799999999999997E-3</v>
      </c>
      <c r="W311">
        <f>'2020_2021_efet'!U22</f>
        <v>-5.1399999999999996E-3</v>
      </c>
      <c r="X311">
        <f>'2020_2021_efet'!V22</f>
        <v>-2.9499999999999999E-3</v>
      </c>
      <c r="Y311">
        <f>'2020_2021_efet'!W22</f>
        <v>5.1900000000000002E-3</v>
      </c>
      <c r="Z311">
        <f>'2020_2021_efet'!X22</f>
        <v>1.57E-3</v>
      </c>
      <c r="AA311">
        <f>'2020_2021_efet'!Y22</f>
        <v>3.8700000000000002E-3</v>
      </c>
      <c r="AB311">
        <f>'2020_2021_efet'!Z22</f>
        <v>9.4600000000000001E-4</v>
      </c>
      <c r="AC311">
        <f>'2020_2021_efet'!AA22</f>
        <v>3.0000000000000001E-3</v>
      </c>
      <c r="AD311">
        <f>'2020_2021_efet'!AB22</f>
        <v>5.2700000000000004E-3</v>
      </c>
      <c r="AE311">
        <f>'2020_2021_efet'!AC22</f>
        <v>5.4000000000000003E-3</v>
      </c>
      <c r="AF311">
        <f>'2020_2021_efet'!AD22</f>
        <v>1.67E-3</v>
      </c>
      <c r="AG311">
        <f>'2020_2021_efet'!AE22</f>
        <v>1.3500000000000001E-3</v>
      </c>
      <c r="AH311">
        <f>'2020_2021_efet'!AF22</f>
        <v>4.1100000000000002E-4</v>
      </c>
      <c r="AI311">
        <f>'2020_2021_efet'!AG22</f>
        <v>9.4200000000000002E-4</v>
      </c>
      <c r="AJ311">
        <f>'2020_2021_efet'!AH22</f>
        <v>9.6200000000000001E-3</v>
      </c>
      <c r="AK311">
        <f>'2020_2021_efet'!AI22</f>
        <v>1.6799999999999999E-2</v>
      </c>
      <c r="AL311">
        <f>'2020_2021_efet'!AJ22</f>
        <v>1.7100000000000001E-2</v>
      </c>
      <c r="AM311">
        <f>'2020_2021_efet'!AK22</f>
        <v>1.9599999999999999E-2</v>
      </c>
      <c r="AN311">
        <f>'2020_2021_efet'!AL22</f>
        <v>2.01E-2</v>
      </c>
      <c r="AO311">
        <f>'2020_2021_efet'!AM22</f>
        <v>1.5900000000000001E-2</v>
      </c>
      <c r="AP311">
        <f>'2020_2021_efet'!AN22</f>
        <v>1.7100000000000001E-2</v>
      </c>
      <c r="AQ311">
        <f>'2020_2021_efet'!AO22</f>
        <v>1.8499999999999999E-2</v>
      </c>
      <c r="AR311">
        <f>'2020_2021_efet'!AP22</f>
        <v>1.7100000000000001E-2</v>
      </c>
      <c r="AS311">
        <f>'2020_2021_efet'!AQ22</f>
        <v>2.2499999999999999E-2</v>
      </c>
      <c r="AT311">
        <f>'2020_2021_efet'!AR22</f>
        <v>2.35E-2</v>
      </c>
      <c r="AU311">
        <f>'2020_2021_efet'!AS22</f>
        <v>2.24E-2</v>
      </c>
      <c r="AV311">
        <f>'2020_2021_efet'!AT22</f>
        <v>1.9300000000000001E-2</v>
      </c>
      <c r="AW311">
        <f>'2020_2021_efet'!AU22</f>
        <v>2.1100000000000001E-2</v>
      </c>
      <c r="AX311">
        <f>'2020_2021_efet'!AV22</f>
        <v>1.72E-2</v>
      </c>
      <c r="AY311">
        <f>'2020_2021_efet'!AW22</f>
        <v>1.6199999999999999E-2</v>
      </c>
      <c r="AZ311">
        <f>'2020_2021_efet'!AX22</f>
        <v>1.7299999999999999E-2</v>
      </c>
      <c r="BA311">
        <f>'2020_2021_efet'!AY22</f>
        <v>1.4500000000000001E-2</v>
      </c>
      <c r="BB311">
        <f>'2020_2021_efet'!AZ22</f>
        <v>1.8800000000000001E-2</v>
      </c>
      <c r="BC311">
        <f>'2020_2021_efet'!BA22</f>
        <v>1.8700000000000001E-2</v>
      </c>
      <c r="BD311">
        <f>'2020_2021_efet'!BB22</f>
        <v>2.8000000000000001E-2</v>
      </c>
      <c r="BE311">
        <f>'2020_2021_efet'!BC22</f>
        <v>2.6800000000000001E-2</v>
      </c>
      <c r="BF311">
        <f>'2020_2021_efet'!BD22</f>
        <v>2.7300000000000001E-2</v>
      </c>
      <c r="BG311">
        <f>'2020_2021_efet'!BE22</f>
        <v>2.6200000000000001E-2</v>
      </c>
      <c r="BH311">
        <f>'2020_2021_efet'!BF22</f>
        <v>2.5899999999999999E-2</v>
      </c>
      <c r="BI311">
        <f>'2020_2021_efet'!BG22</f>
        <v>2.3599999999999999E-2</v>
      </c>
      <c r="BJ311">
        <f>'2020_2021_efet'!BH22</f>
        <v>2.0299999999999999E-2</v>
      </c>
      <c r="BK311">
        <f>'2020_2021_efet'!BI22</f>
        <v>1.54E-2</v>
      </c>
      <c r="BL311">
        <f>'2020_2021_efet'!BJ22</f>
        <v>1.4999999999999999E-2</v>
      </c>
      <c r="BM311">
        <f>'2020_2021_efet'!BK22</f>
        <v>1.78E-2</v>
      </c>
      <c r="BN311">
        <f>'2020_2021_efet'!BL22</f>
        <v>1.8200000000000001E-2</v>
      </c>
      <c r="BO311">
        <f>'2020_2021_efet'!BM22</f>
        <v>1.7000000000000001E-2</v>
      </c>
      <c r="BP311">
        <f>'2020_2021_efet'!BN22</f>
        <v>1.9199999999999998E-2</v>
      </c>
      <c r="BQ311">
        <f>'2020_2021_efet'!BO22</f>
        <v>2.2200000000000001E-2</v>
      </c>
      <c r="BR311">
        <f>'2020_2021_efet'!BP22</f>
        <v>2.3900000000000001E-2</v>
      </c>
      <c r="BS311">
        <f>'2020_2021_efet'!BQ22</f>
        <v>2.52E-2</v>
      </c>
      <c r="BT311">
        <f>'2020_2021_efet'!BR22</f>
        <v>2.3400000000000001E-2</v>
      </c>
      <c r="BU311">
        <f>'2020_2021_efet'!BS22</f>
        <v>2.3199999999999998E-2</v>
      </c>
      <c r="BV311">
        <f>'2020_2021_efet'!BT22</f>
        <v>1.0200000000000001E-2</v>
      </c>
      <c r="BW311">
        <f>'2020_2021_efet'!BU22</f>
        <v>1.8100000000000002E-2</v>
      </c>
      <c r="BX311">
        <f>'2020_2021_efet'!BV22</f>
        <v>1.77E-2</v>
      </c>
      <c r="BY311">
        <f>'2020_2021_efet'!BW22</f>
        <v>1.3299999999999999E-2</v>
      </c>
      <c r="BZ311">
        <f>'2020_2021_efet'!BX22</f>
        <v>1.49E-2</v>
      </c>
      <c r="CA311">
        <f>'2020_2021_efet'!BY22</f>
        <v>1.2E-2</v>
      </c>
      <c r="CB311">
        <f>'2020_2021_efet'!BZ22</f>
        <v>-0.01</v>
      </c>
      <c r="CC311">
        <f>'2020_2021_efet'!CA22</f>
        <v>-6.0499999999999998E-3</v>
      </c>
      <c r="CD311">
        <f>'2020_2021_efet'!CB22</f>
        <v>-9.0299999999999998E-3</v>
      </c>
      <c r="CE311">
        <f>'2020_2021_efet'!CC22</f>
        <v>-1.0500000000000001E-2</v>
      </c>
      <c r="CF311">
        <f>'2020_2021_efet'!CD22</f>
        <v>-6.0600000000000003E-3</v>
      </c>
      <c r="CG311">
        <f>'2020_2021_efet'!CE22</f>
        <v>-2.3500000000000001E-3</v>
      </c>
      <c r="CH311">
        <f>'2020_2021_efet'!CF22</f>
        <v>-6.4000000000000003E-3</v>
      </c>
      <c r="CI311">
        <f>'2020_2021_efet'!CG22</f>
        <v>-6.7299999999999999E-3</v>
      </c>
      <c r="CJ311">
        <f>'2020_2021_efet'!CH22</f>
        <v>-6.4599999999999996E-3</v>
      </c>
      <c r="CK311">
        <f>'2020_2021_efet'!CI22</f>
        <v>-1.26E-2</v>
      </c>
      <c r="CL311">
        <f>'2020_2021_efet'!CJ22</f>
        <v>-1.5299999999999999E-2</v>
      </c>
      <c r="CM311">
        <f>'2020_2021_efet'!CK22</f>
        <v>-1.41E-2</v>
      </c>
      <c r="CN311">
        <f>'2020_2021_efet'!CL22</f>
        <v>-6.9699999999999996E-3</v>
      </c>
      <c r="CO311">
        <f>'2020_2021_efet'!CM22</f>
        <v>-1.43E-2</v>
      </c>
      <c r="CP311">
        <f>'2020_2021_efet'!CN22</f>
        <v>-1.5699999999999999E-2</v>
      </c>
      <c r="CQ311">
        <f>'2020_2021_efet'!CO22</f>
        <v>-5.3600000000000002E-3</v>
      </c>
      <c r="CR311">
        <f>'2020_2021_efet'!CP22</f>
        <v>-7.6099999999999996E-3</v>
      </c>
      <c r="CS311">
        <f>'2020_2021_efet'!CQ22</f>
        <v>-1.21E-2</v>
      </c>
      <c r="CT311">
        <f>'2020_2021_efet'!CR22</f>
        <v>-1.95E-2</v>
      </c>
      <c r="CU311">
        <f>'2020_2021_efet'!CS22</f>
        <v>-2.47E-3</v>
      </c>
      <c r="CV311">
        <f>'2020_2021_efet'!CT22</f>
        <v>4.5700000000000003E-3</v>
      </c>
      <c r="CW311">
        <f>'2020_2021_efet'!CU22</f>
        <v>2.4400000000000002E-2</v>
      </c>
      <c r="CX311">
        <f>'2020_2021_efet'!CV22</f>
        <v>1.8200000000000001E-2</v>
      </c>
    </row>
    <row r="312" spans="1:102" x14ac:dyDescent="0.2">
      <c r="A312" t="s">
        <v>216</v>
      </c>
      <c r="B312" t="s">
        <v>219</v>
      </c>
      <c r="C312" t="s">
        <v>223</v>
      </c>
      <c r="D312">
        <f>'2020_2021_efet'!B23</f>
        <v>1.8599999999999998E-2</v>
      </c>
      <c r="E312">
        <f>'2020_2021_efet'!C23</f>
        <v>2.2100000000000002E-2</v>
      </c>
      <c r="F312">
        <f>'2020_2021_efet'!D23</f>
        <v>2.5499999999999998E-2</v>
      </c>
      <c r="G312">
        <f>'2020_2021_efet'!E23</f>
        <v>1.383</v>
      </c>
      <c r="H312">
        <f>'2020_2021_efet'!F23</f>
        <v>0.107</v>
      </c>
      <c r="I312">
        <f>'2020_2021_efet'!G23</f>
        <v>0.57999999999999996</v>
      </c>
      <c r="J312">
        <f>'2020_2021_efet'!H23</f>
        <v>0.439</v>
      </c>
      <c r="K312">
        <f>'2020_2021_efet'!I23</f>
        <v>0.40600000000000003</v>
      </c>
      <c r="L312">
        <f>'2020_2021_efet'!J23</f>
        <v>0.52900000000000003</v>
      </c>
      <c r="M312">
        <f>'2020_2021_efet'!K23</f>
        <v>0.45700000000000002</v>
      </c>
      <c r="N312">
        <f>'2020_2021_efet'!L23</f>
        <v>0.53400000000000003</v>
      </c>
      <c r="O312">
        <f>'2020_2021_efet'!M23</f>
        <v>0.54700000000000004</v>
      </c>
      <c r="P312">
        <f>'2020_2021_efet'!N23</f>
        <v>0.58199999999999996</v>
      </c>
      <c r="Q312">
        <f>'2020_2021_efet'!O23</f>
        <v>0.161</v>
      </c>
      <c r="R312">
        <f>'2020_2021_efet'!P23</f>
        <v>0.11600000000000001</v>
      </c>
      <c r="S312">
        <f>'2020_2021_efet'!Q23</f>
        <v>0.39900000000000002</v>
      </c>
      <c r="T312">
        <f>'2020_2021_efet'!R23</f>
        <v>0.38100000000000001</v>
      </c>
      <c r="U312">
        <f>'2020_2021_efet'!S23</f>
        <v>0.215</v>
      </c>
      <c r="V312">
        <f>'2020_2021_efet'!T23</f>
        <v>0.29499999999999998</v>
      </c>
      <c r="W312">
        <f>'2020_2021_efet'!U23</f>
        <v>0.32500000000000001</v>
      </c>
      <c r="X312">
        <f>'2020_2021_efet'!V23</f>
        <v>0.314</v>
      </c>
      <c r="Y312">
        <f>'2020_2021_efet'!W23</f>
        <v>0.14299999999999999</v>
      </c>
      <c r="Z312">
        <f>'2020_2021_efet'!X23</f>
        <v>0.104</v>
      </c>
      <c r="AA312">
        <f>'2020_2021_efet'!Y23</f>
        <v>9.9299999999999999E-2</v>
      </c>
      <c r="AB312">
        <f>'2020_2021_efet'!Z23</f>
        <v>0.17899999999999999</v>
      </c>
      <c r="AC312">
        <f>'2020_2021_efet'!AA23</f>
        <v>0.14599999999999999</v>
      </c>
      <c r="AD312">
        <f>'2020_2021_efet'!AB23</f>
        <v>0.16600000000000001</v>
      </c>
      <c r="AE312">
        <f>'2020_2021_efet'!AC23</f>
        <v>0.16800000000000001</v>
      </c>
      <c r="AF312">
        <f>'2020_2021_efet'!AD23</f>
        <v>0.17599999999999999</v>
      </c>
      <c r="AG312">
        <f>'2020_2021_efet'!AE23</f>
        <v>0.155</v>
      </c>
      <c r="AH312">
        <f>'2020_2021_efet'!AF23</f>
        <v>0.154</v>
      </c>
      <c r="AI312">
        <f>'2020_2021_efet'!AG23</f>
        <v>0.13800000000000001</v>
      </c>
      <c r="AJ312">
        <f>'2020_2021_efet'!AH23</f>
        <v>0.13400000000000001</v>
      </c>
      <c r="AK312">
        <f>'2020_2021_efet'!AI23</f>
        <v>0.11799999999999999</v>
      </c>
      <c r="AL312">
        <f>'2020_2021_efet'!AJ23</f>
        <v>0.106</v>
      </c>
      <c r="AM312">
        <f>'2020_2021_efet'!AK23</f>
        <v>7.5600000000000001E-2</v>
      </c>
      <c r="AN312">
        <f>'2020_2021_efet'!AL23</f>
        <v>6.4899999999999999E-2</v>
      </c>
      <c r="AO312">
        <f>'2020_2021_efet'!AM23</f>
        <v>6.0900000000000003E-2</v>
      </c>
      <c r="AP312">
        <f>'2020_2021_efet'!AN23</f>
        <v>6.7900000000000002E-2</v>
      </c>
      <c r="AQ312">
        <f>'2020_2021_efet'!AO23</f>
        <v>4.2999999999999997E-2</v>
      </c>
      <c r="AR312">
        <f>'2020_2021_efet'!AP23</f>
        <v>5.7000000000000002E-2</v>
      </c>
      <c r="AS312">
        <f>'2020_2021_efet'!AQ23</f>
        <v>5.28E-2</v>
      </c>
      <c r="AT312">
        <f>'2020_2021_efet'!AR23</f>
        <v>4.36E-2</v>
      </c>
      <c r="AU312">
        <f>'2020_2021_efet'!AS23</f>
        <v>6.8599999999999994E-2</v>
      </c>
      <c r="AV312">
        <f>'2020_2021_efet'!AT23</f>
        <v>3.6700000000000003E-2</v>
      </c>
      <c r="AW312">
        <f>'2020_2021_efet'!AU23</f>
        <v>3.7199999999999997E-2</v>
      </c>
      <c r="AX312">
        <f>'2020_2021_efet'!AV23</f>
        <v>2.4199999999999999E-2</v>
      </c>
      <c r="AY312">
        <f>'2020_2021_efet'!AW23</f>
        <v>2.01E-2</v>
      </c>
      <c r="AZ312">
        <f>'2020_2021_efet'!AX23</f>
        <v>-7.7499999999999999E-3</v>
      </c>
      <c r="BA312">
        <f>'2020_2021_efet'!AY23</f>
        <v>-3.0999999999999999E-3</v>
      </c>
      <c r="BB312">
        <f>'2020_2021_efet'!AZ23</f>
        <v>-9.8600000000000007E-3</v>
      </c>
      <c r="BC312">
        <f>'2020_2021_efet'!BA23</f>
        <v>-2.81E-2</v>
      </c>
      <c r="BD312">
        <f>'2020_2021_efet'!BB23</f>
        <v>-3.8300000000000001E-2</v>
      </c>
      <c r="BE312">
        <f>'2020_2021_efet'!BC23</f>
        <v>-3.2199999999999999E-2</v>
      </c>
      <c r="BF312">
        <f>'2020_2021_efet'!BD23</f>
        <v>-2.87E-2</v>
      </c>
      <c r="BG312">
        <f>'2020_2021_efet'!BE23</f>
        <v>-4.48E-2</v>
      </c>
      <c r="BH312">
        <f>'2020_2021_efet'!BF23</f>
        <v>-3.0300000000000001E-2</v>
      </c>
      <c r="BI312">
        <f>'2020_2021_efet'!BG23</f>
        <v>-1.7100000000000001E-2</v>
      </c>
      <c r="BJ312">
        <f>'2020_2021_efet'!BH23</f>
        <v>-8.43E-3</v>
      </c>
      <c r="BK312">
        <f>'2020_2021_efet'!BI23</f>
        <v>-2.3E-3</v>
      </c>
      <c r="BL312">
        <f>'2020_2021_efet'!BJ23</f>
        <v>6.8999999999999999E-3</v>
      </c>
      <c r="BM312">
        <f>'2020_2021_efet'!BK23</f>
        <v>1.18E-2</v>
      </c>
      <c r="BN312">
        <f>'2020_2021_efet'!BL23</f>
        <v>4.3699999999999998E-3</v>
      </c>
      <c r="BO312">
        <f>'2020_2021_efet'!BM23</f>
        <v>1.21E-2</v>
      </c>
      <c r="BP312">
        <f>'2020_2021_efet'!BN23</f>
        <v>3.0800000000000001E-2</v>
      </c>
      <c r="BQ312">
        <f>'2020_2021_efet'!BO23</f>
        <v>4.9799999999999997E-2</v>
      </c>
      <c r="BR312">
        <f>'2020_2021_efet'!BP23</f>
        <v>4.7800000000000002E-2</v>
      </c>
      <c r="BS312">
        <f>'2020_2021_efet'!BQ23</f>
        <v>3.9800000000000002E-4</v>
      </c>
      <c r="BT312">
        <f>'2020_2021_efet'!BR23</f>
        <v>-2.7699999999999999E-2</v>
      </c>
      <c r="BU312">
        <f>'2020_2021_efet'!BS23</f>
        <v>-5.7700000000000001E-2</v>
      </c>
      <c r="BV312">
        <f>'2020_2021_efet'!BT23</f>
        <v>-6.4799999999999996E-2</v>
      </c>
      <c r="BW312">
        <f>'2020_2021_efet'!BU23</f>
        <v>-8.0399999999999999E-2</v>
      </c>
      <c r="BX312">
        <f>'2020_2021_efet'!BV23</f>
        <v>-8.5599999999999996E-2</v>
      </c>
      <c r="BY312">
        <f>'2020_2021_efet'!BW23</f>
        <v>-9.11E-2</v>
      </c>
      <c r="BZ312">
        <f>'2020_2021_efet'!BX23</f>
        <v>-8.7300000000000003E-2</v>
      </c>
      <c r="CA312">
        <f>'2020_2021_efet'!BY23</f>
        <v>-7.2099999999999997E-2</v>
      </c>
      <c r="CB312">
        <f>'2020_2021_efet'!BZ23</f>
        <v>-1.77E-2</v>
      </c>
      <c r="CC312">
        <f>'2020_2021_efet'!CA23</f>
        <v>-2.4899999999999999E-2</v>
      </c>
      <c r="CD312">
        <f>'2020_2021_efet'!CB23</f>
        <v>-4.15E-3</v>
      </c>
      <c r="CE312">
        <f>'2020_2021_efet'!CC23</f>
        <v>4.3099999999999996E-3</v>
      </c>
      <c r="CF312">
        <f>'2020_2021_efet'!CD23</f>
        <v>1.03E-2</v>
      </c>
      <c r="CG312">
        <f>'2020_2021_efet'!CE23</f>
        <v>4.8899999999999999E-2</v>
      </c>
      <c r="CH312">
        <f>'2020_2021_efet'!CF23</f>
        <v>6.0999999999999999E-2</v>
      </c>
      <c r="CI312">
        <f>'2020_2021_efet'!CG23</f>
        <v>7.1999999999999995E-2</v>
      </c>
      <c r="CJ312">
        <f>'2020_2021_efet'!CH23</f>
        <v>3.1099999999999999E-2</v>
      </c>
      <c r="CK312">
        <f>'2020_2021_efet'!CI23</f>
        <v>2.9499999999999998E-2</v>
      </c>
      <c r="CL312">
        <f>'2020_2021_efet'!CJ23</f>
        <v>-0.01</v>
      </c>
      <c r="CM312">
        <f>'2020_2021_efet'!CK23</f>
        <v>-4.0399999999999998E-2</v>
      </c>
      <c r="CN312">
        <f>'2020_2021_efet'!CL23</f>
        <v>-6.25E-2</v>
      </c>
      <c r="CO312">
        <f>'2020_2021_efet'!CM23</f>
        <v>6.7699999999999996E-2</v>
      </c>
      <c r="CP312">
        <f>'2020_2021_efet'!CN23</f>
        <v>8.8999999999999996E-2</v>
      </c>
      <c r="CQ312">
        <f>'2020_2021_efet'!CO23</f>
        <v>8.72E-2</v>
      </c>
      <c r="CR312">
        <f>'2020_2021_efet'!CP23</f>
        <v>6.5699999999999995E-2</v>
      </c>
      <c r="CS312">
        <f>'2020_2021_efet'!CQ23</f>
        <v>4.7499999999999999E-3</v>
      </c>
      <c r="CT312">
        <f>'2020_2021_efet'!CR23</f>
        <v>-2.8799999999999999E-2</v>
      </c>
      <c r="CU312">
        <f>'2020_2021_efet'!CS23</f>
        <v>2.8299999999999999E-2</v>
      </c>
      <c r="CV312">
        <f>'2020_2021_efet'!CT23</f>
        <v>5.6099999999999997E-2</v>
      </c>
      <c r="CW312">
        <f>'2020_2021_efet'!CU23</f>
        <v>0.14599999999999999</v>
      </c>
      <c r="CX312">
        <f>'2020_2021_efet'!CV23</f>
        <v>0.28999999999999998</v>
      </c>
    </row>
    <row r="313" spans="1:102" x14ac:dyDescent="0.2">
      <c r="A313" t="s">
        <v>5909</v>
      </c>
      <c r="B313" t="s">
        <v>219</v>
      </c>
      <c r="C313" t="s">
        <v>223</v>
      </c>
      <c r="D313">
        <f>'2020_2021_efet Int_Confianca'!B61</f>
        <v>-0.11310000000000001</v>
      </c>
      <c r="E313">
        <f>'2020_2021_efet Int_Confianca'!C61</f>
        <v>-0.11310000000000001</v>
      </c>
      <c r="F313">
        <f>'2020_2021_efet Int_Confianca'!D61</f>
        <v>-0.11310000000000001</v>
      </c>
      <c r="G313">
        <f>'2020_2021_efet Int_Confianca'!E61</f>
        <v>-1.8223</v>
      </c>
      <c r="H313">
        <f>'2020_2021_efet Int_Confianca'!F61</f>
        <v>-0.66279999999999994</v>
      </c>
      <c r="I313">
        <f>'2020_2021_efet Int_Confianca'!G61</f>
        <v>-0.82140000000000002</v>
      </c>
      <c r="J313">
        <f>'2020_2021_efet Int_Confianca'!H61</f>
        <v>-0.68100000000000005</v>
      </c>
      <c r="K313">
        <f>'2020_2021_efet Int_Confianca'!I61</f>
        <v>-0.59719999999999995</v>
      </c>
      <c r="L313">
        <f>'2020_2021_efet Int_Confianca'!J61</f>
        <v>-0.62260000000000004</v>
      </c>
      <c r="M313">
        <f>'2020_2021_efet Int_Confianca'!K61</f>
        <v>-0.57969999999999999</v>
      </c>
      <c r="N313">
        <f>'2020_2021_efet Int_Confianca'!L61</f>
        <v>-0.56640000000000001</v>
      </c>
      <c r="O313">
        <f>'2020_2021_efet Int_Confianca'!M61</f>
        <v>-0.61829999999999996</v>
      </c>
      <c r="P313">
        <f>'2020_2021_efet Int_Confianca'!N61</f>
        <v>-0.5907</v>
      </c>
      <c r="Q313">
        <f>'2020_2021_efet Int_Confianca'!O61</f>
        <v>-0.3221</v>
      </c>
      <c r="R313">
        <f>'2020_2021_efet Int_Confianca'!P61</f>
        <v>-0.31580000000000003</v>
      </c>
      <c r="S313">
        <f>'2020_2021_efet Int_Confianca'!Q61</f>
        <v>-0.39389999999999997</v>
      </c>
      <c r="T313">
        <f>'2020_2021_efet Int_Confianca'!R61</f>
        <v>-0.3528</v>
      </c>
      <c r="U313">
        <f>'2020_2021_efet Int_Confianca'!S61</f>
        <v>-0.26950000000000002</v>
      </c>
      <c r="V313">
        <f>'2020_2021_efet Int_Confianca'!T61</f>
        <v>-0.28260000000000002</v>
      </c>
      <c r="W313">
        <f>'2020_2021_efet Int_Confianca'!U61</f>
        <v>-0.25829999999999997</v>
      </c>
      <c r="X313">
        <f>'2020_2021_efet Int_Confianca'!V61</f>
        <v>-0.254</v>
      </c>
      <c r="Y313">
        <f>'2020_2021_efet Int_Confianca'!W61</f>
        <v>-0.1885</v>
      </c>
      <c r="Z313">
        <f>'2020_2021_efet Int_Confianca'!X61</f>
        <v>-0.1741</v>
      </c>
      <c r="AA313">
        <f>'2020_2021_efet Int_Confianca'!Y61</f>
        <v>-0.1706</v>
      </c>
      <c r="AB313">
        <f>'2020_2021_efet Int_Confianca'!Z61</f>
        <v>-0.17030000000000001</v>
      </c>
      <c r="AC313">
        <f>'2020_2021_efet Int_Confianca'!AA61</f>
        <v>-0.1575</v>
      </c>
      <c r="AD313">
        <f>'2020_2021_efet Int_Confianca'!AB61</f>
        <v>-0.16520000000000001</v>
      </c>
      <c r="AE313">
        <f>'2020_2021_efet Int_Confianca'!AC61</f>
        <v>-0.16889999999999999</v>
      </c>
      <c r="AF313">
        <f>'2020_2021_efet Int_Confianca'!AD61</f>
        <v>-0.16750000000000001</v>
      </c>
      <c r="AG313">
        <f>'2020_2021_efet Int_Confianca'!AE61</f>
        <v>-0.17399999999999999</v>
      </c>
      <c r="AH313">
        <f>'2020_2021_efet Int_Confianca'!AF61</f>
        <v>-0.1779</v>
      </c>
      <c r="AI313">
        <f>'2020_2021_efet Int_Confianca'!AG61</f>
        <v>-0.16400000000000001</v>
      </c>
      <c r="AJ313">
        <f>'2020_2021_efet Int_Confianca'!AH61</f>
        <v>-0.17100000000000001</v>
      </c>
      <c r="AK313">
        <f>'2020_2021_efet Int_Confianca'!AI61</f>
        <v>-0.1605</v>
      </c>
      <c r="AL313">
        <f>'2020_2021_efet Int_Confianca'!AJ61</f>
        <v>-0.1633</v>
      </c>
      <c r="AM313">
        <f>'2020_2021_efet Int_Confianca'!AK61</f>
        <v>-0.14649999999999999</v>
      </c>
      <c r="AN313">
        <f>'2020_2021_efet Int_Confianca'!AL61</f>
        <v>-0.1409</v>
      </c>
      <c r="AO313">
        <f>'2020_2021_efet Int_Confianca'!AM61</f>
        <v>-0.1368</v>
      </c>
      <c r="AP313">
        <f>'2020_2021_efet Int_Confianca'!AN61</f>
        <v>-0.13800000000000001</v>
      </c>
      <c r="AQ313">
        <f>'2020_2021_efet Int_Confianca'!AO61</f>
        <v>-0.14410000000000001</v>
      </c>
      <c r="AR313">
        <f>'2020_2021_efet Int_Confianca'!AP61</f>
        <v>-0.1356</v>
      </c>
      <c r="AS313">
        <f>'2020_2021_efet Int_Confianca'!AQ61</f>
        <v>-0.14419999999999999</v>
      </c>
      <c r="AT313">
        <f>'2020_2021_efet Int_Confianca'!AR61</f>
        <v>-0.1489</v>
      </c>
      <c r="AU313">
        <f>'2020_2021_efet Int_Confianca'!AS61</f>
        <v>-0.1489</v>
      </c>
      <c r="AV313">
        <f>'2020_2021_efet Int_Confianca'!AT61</f>
        <v>-0.1331</v>
      </c>
      <c r="AW313">
        <f>'2020_2021_efet Int_Confianca'!AU61</f>
        <v>-0.13239999999999999</v>
      </c>
      <c r="AX313">
        <f>'2020_2021_efet Int_Confianca'!AV61</f>
        <v>-0.1265</v>
      </c>
      <c r="AY313">
        <f>'2020_2021_efet Int_Confianca'!AW61</f>
        <v>-0.13350000000000001</v>
      </c>
      <c r="AZ313">
        <f>'2020_2021_efet Int_Confianca'!AX61</f>
        <v>-0.1229</v>
      </c>
      <c r="BA313">
        <f>'2020_2021_efet Int_Confianca'!AY61</f>
        <v>-0.12740000000000001</v>
      </c>
      <c r="BB313">
        <f>'2020_2021_efet Int_Confianca'!AZ61</f>
        <v>-0.13500000000000001</v>
      </c>
      <c r="BC313">
        <f>'2020_2021_efet Int_Confianca'!BA61</f>
        <v>-0.1182</v>
      </c>
      <c r="BD313">
        <f>'2020_2021_efet Int_Confianca'!BB61</f>
        <v>-0.1183</v>
      </c>
      <c r="BE313">
        <f>'2020_2021_efet Int_Confianca'!BC61</f>
        <v>-0.1118</v>
      </c>
      <c r="BF313">
        <f>'2020_2021_efet Int_Confianca'!BD61</f>
        <v>-0.1174</v>
      </c>
      <c r="BG313">
        <f>'2020_2021_efet Int_Confianca'!BE61</f>
        <v>-0.114</v>
      </c>
      <c r="BH313">
        <f>'2020_2021_efet Int_Confianca'!BF61</f>
        <v>-0.1273</v>
      </c>
      <c r="BI313">
        <f>'2020_2021_efet Int_Confianca'!BG61</f>
        <v>-0.1208</v>
      </c>
      <c r="BJ313">
        <f>'2020_2021_efet Int_Confianca'!BH61</f>
        <v>-0.1231</v>
      </c>
      <c r="BK313">
        <f>'2020_2021_efet Int_Confianca'!BI61</f>
        <v>-0.1211</v>
      </c>
      <c r="BL313">
        <f>'2020_2021_efet Int_Confianca'!BJ61</f>
        <v>-0.1258</v>
      </c>
      <c r="BM313">
        <f>'2020_2021_efet Int_Confianca'!BK61</f>
        <v>-0.13120000000000001</v>
      </c>
      <c r="BN313">
        <f>'2020_2021_efet Int_Confianca'!BL61</f>
        <v>-0.1326</v>
      </c>
      <c r="BO313">
        <f>'2020_2021_efet Int_Confianca'!BM61</f>
        <v>-0.1356</v>
      </c>
      <c r="BP313">
        <f>'2020_2021_efet Int_Confianca'!BN61</f>
        <v>-0.14660000000000001</v>
      </c>
      <c r="BQ313">
        <f>'2020_2021_efet Int_Confianca'!BO61</f>
        <v>-0.16889999999999999</v>
      </c>
      <c r="BR313">
        <f>'2020_2021_efet Int_Confianca'!BP61</f>
        <v>-0.16789999999999999</v>
      </c>
      <c r="BS313">
        <f>'2020_2021_efet Int_Confianca'!BQ61</f>
        <v>-0.15359999999999999</v>
      </c>
      <c r="BT313">
        <f>'2020_2021_efet Int_Confianca'!BR61</f>
        <v>-0.1263</v>
      </c>
      <c r="BU313">
        <f>'2020_2021_efet Int_Confianca'!BS61</f>
        <v>-0.1023</v>
      </c>
      <c r="BV313">
        <f>'2020_2021_efet Int_Confianca'!BT61</f>
        <v>-8.7599999999999997E-2</v>
      </c>
      <c r="BW313">
        <f>'2020_2021_efet Int_Confianca'!BU61</f>
        <v>-7.7600000000000002E-2</v>
      </c>
      <c r="BX313">
        <f>'2020_2021_efet Int_Confianca'!BV61</f>
        <v>-7.2599999999999998E-2</v>
      </c>
      <c r="BY313">
        <f>'2020_2021_efet Int_Confianca'!BW61</f>
        <v>-5.9499999999999997E-2</v>
      </c>
      <c r="BZ313">
        <f>'2020_2021_efet Int_Confianca'!BX61</f>
        <v>-6.6500000000000004E-2</v>
      </c>
      <c r="CA313">
        <f>'2020_2021_efet Int_Confianca'!BY61</f>
        <v>-6.6400000000000001E-2</v>
      </c>
      <c r="CB313">
        <f>'2020_2021_efet Int_Confianca'!BZ61</f>
        <v>-0.104</v>
      </c>
      <c r="CC313">
        <f>'2020_2021_efet Int_Confianca'!CA61</f>
        <v>-8.5800000000000001E-2</v>
      </c>
      <c r="CD313">
        <f>'2020_2021_efet Int_Confianca'!CB61</f>
        <v>-0.1164</v>
      </c>
      <c r="CE313">
        <f>'2020_2021_efet Int_Confianca'!CC61</f>
        <v>-0.13589999999999999</v>
      </c>
      <c r="CF313">
        <f>'2020_2021_efet Int_Confianca'!CD61</f>
        <v>-0.12740000000000001</v>
      </c>
      <c r="CG313">
        <f>'2020_2021_efet Int_Confianca'!CE61</f>
        <v>-0.14680000000000001</v>
      </c>
      <c r="CH313">
        <f>'2020_2021_efet Int_Confianca'!CF61</f>
        <v>-0.15229999999999999</v>
      </c>
      <c r="CI313">
        <f>'2020_2021_efet Int_Confianca'!CG61</f>
        <v>-0.15820000000000001</v>
      </c>
      <c r="CJ313">
        <f>'2020_2021_efet Int_Confianca'!CH61</f>
        <v>-0.13270000000000001</v>
      </c>
      <c r="CK313">
        <f>'2020_2021_efet Int_Confianca'!CI61</f>
        <v>-0.1399</v>
      </c>
      <c r="CL313">
        <f>'2020_2021_efet Int_Confianca'!CJ61</f>
        <v>-0.11840000000000001</v>
      </c>
      <c r="CM313">
        <f>'2020_2021_efet Int_Confianca'!CK61</f>
        <v>-9.7900000000000001E-2</v>
      </c>
      <c r="CN313">
        <f>'2020_2021_efet Int_Confianca'!CL61</f>
        <v>-9.9699999999999997E-2</v>
      </c>
      <c r="CO313">
        <f>'2020_2021_efet Int_Confianca'!CM61</f>
        <v>-0.17699999999999999</v>
      </c>
      <c r="CP313">
        <f>'2020_2021_efet Int_Confianca'!CN61</f>
        <v>-0.19500000000000001</v>
      </c>
      <c r="CQ313">
        <f>'2020_2021_efet Int_Confianca'!CO61</f>
        <v>-0.21579999999999999</v>
      </c>
      <c r="CR313">
        <f>'2020_2021_efet Int_Confianca'!CP61</f>
        <v>-0.21560000000000001</v>
      </c>
      <c r="CS313">
        <f>'2020_2021_efet Int_Confianca'!CQ61</f>
        <v>-0.14169999999999999</v>
      </c>
      <c r="CT313">
        <f>'2020_2021_efet Int_Confianca'!CR61</f>
        <v>-0.1477</v>
      </c>
      <c r="CU313">
        <f>'2020_2021_efet Int_Confianca'!CS61</f>
        <v>-0.11269999999999999</v>
      </c>
      <c r="CV313">
        <f>'2020_2021_efet Int_Confianca'!CT61</f>
        <v>-0.17660000000000001</v>
      </c>
      <c r="CW313">
        <f>'2020_2021_efet Int_Confianca'!CU61</f>
        <v>-0.20100000000000001</v>
      </c>
      <c r="CX313">
        <f>'2020_2021_efet Int_Confianca'!CV61</f>
        <v>-0.40989999999999999</v>
      </c>
    </row>
    <row r="314" spans="1:102" x14ac:dyDescent="0.2">
      <c r="A314" t="s">
        <v>5910</v>
      </c>
      <c r="B314" t="s">
        <v>219</v>
      </c>
      <c r="C314" t="s">
        <v>223</v>
      </c>
      <c r="D314">
        <f>'2020_2021_efet Int_Confianca'!B62</f>
        <v>2.9600000000000001E-2</v>
      </c>
      <c r="E314">
        <f>'2020_2021_efet Int_Confianca'!C62</f>
        <v>2.9600000000000001E-2</v>
      </c>
      <c r="F314">
        <f>'2020_2021_efet Int_Confianca'!D62</f>
        <v>2.9600000000000001E-2</v>
      </c>
      <c r="G314">
        <f>'2020_2021_efet Int_Confianca'!E62</f>
        <v>-0.26219999999999999</v>
      </c>
      <c r="H314">
        <f>'2020_2021_efet Int_Confianca'!F62</f>
        <v>0.37359999999999999</v>
      </c>
      <c r="I314">
        <f>'2020_2021_efet Int_Confianca'!G62</f>
        <v>-9.6299999999999997E-2</v>
      </c>
      <c r="J314">
        <f>'2020_2021_efet Int_Confianca'!H62</f>
        <v>-8.6E-3</v>
      </c>
      <c r="K314">
        <f>'2020_2021_efet Int_Confianca'!I62</f>
        <v>-4.2200000000000001E-2</v>
      </c>
      <c r="L314">
        <f>'2020_2021_efet Int_Confianca'!J62</f>
        <v>-8.3299999999999999E-2</v>
      </c>
      <c r="M314">
        <f>'2020_2021_efet Int_Confianca'!K62</f>
        <v>-9.4899999999999998E-2</v>
      </c>
      <c r="N314">
        <f>'2020_2021_efet Int_Confianca'!L62</f>
        <v>-0.13800000000000001</v>
      </c>
      <c r="O314">
        <f>'2020_2021_efet Int_Confianca'!M62</f>
        <v>-0.21890000000000001</v>
      </c>
      <c r="P314">
        <f>'2020_2021_efet Int_Confianca'!N62</f>
        <v>-0.25750000000000001</v>
      </c>
      <c r="Q314">
        <f>'2020_2021_efet Int_Confianca'!O62</f>
        <v>-6.2E-2</v>
      </c>
      <c r="R314">
        <f>'2020_2021_efet Int_Confianca'!P62</f>
        <v>-5.8799999999999998E-2</v>
      </c>
      <c r="S314">
        <f>'2020_2021_efet Int_Confianca'!Q62</f>
        <v>-0.1938</v>
      </c>
      <c r="T314">
        <f>'2020_2021_efet Int_Confianca'!R62</f>
        <v>-0.1903</v>
      </c>
      <c r="U314">
        <f>'2020_2021_efet Int_Confianca'!S62</f>
        <v>-0.1222</v>
      </c>
      <c r="V314">
        <f>'2020_2021_efet Int_Confianca'!T62</f>
        <v>-0.15429999999999999</v>
      </c>
      <c r="W314">
        <f>'2020_2021_efet Int_Confianca'!U62</f>
        <v>-0.1489</v>
      </c>
      <c r="X314">
        <f>'2020_2021_efet Int_Confianca'!V62</f>
        <v>-0.14599999999999999</v>
      </c>
      <c r="Y314">
        <f>'2020_2021_efet Int_Confianca'!W62</f>
        <v>-8.4500000000000006E-2</v>
      </c>
      <c r="Z314">
        <f>'2020_2021_efet Int_Confianca'!X62</f>
        <v>-7.0000000000000007E-2</v>
      </c>
      <c r="AA314">
        <f>'2020_2021_efet Int_Confianca'!Y62</f>
        <v>-6.6600000000000006E-2</v>
      </c>
      <c r="AB314">
        <f>'2020_2021_efet Int_Confianca'!Z62</f>
        <v>-7.0699999999999999E-2</v>
      </c>
      <c r="AC314">
        <f>'2020_2021_efet Int_Confianca'!AA62</f>
        <v>-5.8999999999999997E-2</v>
      </c>
      <c r="AD314">
        <f>'2020_2021_efet Int_Confianca'!AB62</f>
        <v>-6.6400000000000001E-2</v>
      </c>
      <c r="AE314">
        <f>'2020_2021_efet Int_Confianca'!AC62</f>
        <v>-6.9099999999999995E-2</v>
      </c>
      <c r="AF314">
        <f>'2020_2021_efet Int_Confianca'!AD62</f>
        <v>-6.6400000000000001E-2</v>
      </c>
      <c r="AG314">
        <f>'2020_2021_efet Int_Confianca'!AE62</f>
        <v>-7.2599999999999998E-2</v>
      </c>
      <c r="AH314">
        <f>'2020_2021_efet Int_Confianca'!AF62</f>
        <v>-7.5300000000000006E-2</v>
      </c>
      <c r="AI314">
        <f>'2020_2021_efet Int_Confianca'!AG62</f>
        <v>-5.5500000000000001E-2</v>
      </c>
      <c r="AJ314">
        <f>'2020_2021_efet Int_Confianca'!AH62</f>
        <v>-5.91E-2</v>
      </c>
      <c r="AK314">
        <f>'2020_2021_efet Int_Confianca'!AI62</f>
        <v>-4.6800000000000001E-2</v>
      </c>
      <c r="AL314">
        <f>'2020_2021_efet Int_Confianca'!AJ62</f>
        <v>-0.05</v>
      </c>
      <c r="AM314">
        <f>'2020_2021_efet Int_Confianca'!AK62</f>
        <v>-3.2000000000000001E-2</v>
      </c>
      <c r="AN314">
        <f>'2020_2021_efet Int_Confianca'!AL62</f>
        <v>-2.52E-2</v>
      </c>
      <c r="AO314">
        <f>'2020_2021_efet Int_Confianca'!AM62</f>
        <v>-2.06E-2</v>
      </c>
      <c r="AP314">
        <f>'2020_2021_efet Int_Confianca'!AN62</f>
        <v>-2.2499999999999999E-2</v>
      </c>
      <c r="AQ314">
        <f>'2020_2021_efet Int_Confianca'!AO62</f>
        <v>-2.9700000000000001E-2</v>
      </c>
      <c r="AR314">
        <f>'2020_2021_efet Int_Confianca'!AP62</f>
        <v>-2.2599999999999999E-2</v>
      </c>
      <c r="AS314">
        <f>'2020_2021_efet Int_Confianca'!AQ62</f>
        <v>-3.15E-2</v>
      </c>
      <c r="AT314">
        <f>'2020_2021_efet Int_Confianca'!AR62</f>
        <v>-3.6700000000000003E-2</v>
      </c>
      <c r="AU314">
        <f>'2020_2021_efet Int_Confianca'!AS62</f>
        <v>-3.7199999999999997E-2</v>
      </c>
      <c r="AV314">
        <f>'2020_2021_efet Int_Confianca'!AT62</f>
        <v>-2.3300000000000001E-2</v>
      </c>
      <c r="AW314">
        <f>'2020_2021_efet Int_Confianca'!AU62</f>
        <v>-2.1600000000000001E-2</v>
      </c>
      <c r="AX314">
        <f>'2020_2021_efet Int_Confianca'!AV62</f>
        <v>-1.7000000000000001E-2</v>
      </c>
      <c r="AY314">
        <f>'2020_2021_efet Int_Confianca'!AW62</f>
        <v>-2.4E-2</v>
      </c>
      <c r="AZ314">
        <f>'2020_2021_efet Int_Confianca'!AX62</f>
        <v>-9.4000000000000004E-3</v>
      </c>
      <c r="BA314">
        <f>'2020_2021_efet Int_Confianca'!AY62</f>
        <v>-1.4200000000000001E-2</v>
      </c>
      <c r="BB314">
        <f>'2020_2021_efet Int_Confianca'!AZ62</f>
        <v>-2.2100000000000002E-2</v>
      </c>
      <c r="BC314">
        <f>'2020_2021_efet Int_Confianca'!BA62</f>
        <v>-2.7000000000000001E-3</v>
      </c>
      <c r="BD314">
        <f>'2020_2021_efet Int_Confianca'!BB62</f>
        <v>-3.0000000000000001E-3</v>
      </c>
      <c r="BE314">
        <f>'2020_2021_efet Int_Confianca'!BC62</f>
        <v>3.8999999999999998E-3</v>
      </c>
      <c r="BF314">
        <f>'2020_2021_efet Int_Confianca'!BD62</f>
        <v>-3.0000000000000001E-3</v>
      </c>
      <c r="BG314">
        <f>'2020_2021_efet Int_Confianca'!BE62</f>
        <v>-5.9999999999999995E-4</v>
      </c>
      <c r="BH314">
        <f>'2020_2021_efet Int_Confianca'!BF62</f>
        <v>-1.4500000000000001E-2</v>
      </c>
      <c r="BI314">
        <f>'2020_2021_efet Int_Confianca'!BG62</f>
        <v>-1.09E-2</v>
      </c>
      <c r="BJ314">
        <f>'2020_2021_efet Int_Confianca'!BH62</f>
        <v>-1.5900000000000001E-2</v>
      </c>
      <c r="BK314">
        <f>'2020_2021_efet Int_Confianca'!BI62</f>
        <v>-1.4E-2</v>
      </c>
      <c r="BL314">
        <f>'2020_2021_efet Int_Confianca'!BJ62</f>
        <v>-2.2200000000000001E-2</v>
      </c>
      <c r="BM314">
        <f>'2020_2021_efet Int_Confianca'!BK62</f>
        <v>-2.8400000000000002E-2</v>
      </c>
      <c r="BN314">
        <f>'2020_2021_efet Int_Confianca'!BL62</f>
        <v>-3.1099999999999999E-2</v>
      </c>
      <c r="BO314">
        <f>'2020_2021_efet Int_Confianca'!BM62</f>
        <v>-2.9399999999999999E-2</v>
      </c>
      <c r="BP314">
        <f>'2020_2021_efet Int_Confianca'!BN62</f>
        <v>-3.2500000000000001E-2</v>
      </c>
      <c r="BQ314">
        <f>'2020_2021_efet Int_Confianca'!BO62</f>
        <v>-5.16E-2</v>
      </c>
      <c r="BR314">
        <f>'2020_2021_efet Int_Confianca'!BP62</f>
        <v>-4.7199999999999999E-2</v>
      </c>
      <c r="BS314">
        <f>'2020_2021_efet Int_Confianca'!BQ62</f>
        <v>-3.0200000000000001E-2</v>
      </c>
      <c r="BT314">
        <f>'2020_2021_efet Int_Confianca'!BR62</f>
        <v>-3.2000000000000002E-3</v>
      </c>
      <c r="BU314">
        <f>'2020_2021_efet Int_Confianca'!BS62</f>
        <v>2.24E-2</v>
      </c>
      <c r="BV314">
        <f>'2020_2021_efet Int_Confianca'!BT62</f>
        <v>3.3000000000000002E-2</v>
      </c>
      <c r="BW314">
        <f>'2020_2021_efet Int_Confianca'!BU62</f>
        <v>4.4200000000000003E-2</v>
      </c>
      <c r="BX314">
        <f>'2020_2021_efet Int_Confianca'!BV62</f>
        <v>4.8800000000000003E-2</v>
      </c>
      <c r="BY314">
        <f>'2020_2021_efet Int_Confianca'!BW62</f>
        <v>5.3499999999999999E-2</v>
      </c>
      <c r="BZ314">
        <f>'2020_2021_efet Int_Confianca'!BX62</f>
        <v>4.8000000000000001E-2</v>
      </c>
      <c r="CA314">
        <f>'2020_2021_efet Int_Confianca'!BY62</f>
        <v>5.0599999999999999E-2</v>
      </c>
      <c r="CB314">
        <f>'2020_2021_efet Int_Confianca'!BZ62</f>
        <v>1.1299999999999999E-2</v>
      </c>
      <c r="CC314">
        <f>'2020_2021_efet Int_Confianca'!CA62</f>
        <v>3.4700000000000002E-2</v>
      </c>
      <c r="CD314">
        <f>'2020_2021_efet Int_Confianca'!CB62</f>
        <v>6.4999999999999997E-3</v>
      </c>
      <c r="CE314">
        <f>'2020_2021_efet Int_Confianca'!CC62</f>
        <v>-5.8999999999999999E-3</v>
      </c>
      <c r="CF314">
        <f>'2020_2021_efet Int_Confianca'!CD62</f>
        <v>9.1000000000000004E-3</v>
      </c>
      <c r="CG314">
        <f>'2020_2021_efet Int_Confianca'!CE62</f>
        <v>-1.6500000000000001E-2</v>
      </c>
      <c r="CH314">
        <f>'2020_2021_efet Int_Confianca'!CF62</f>
        <v>-2.5399999999999999E-2</v>
      </c>
      <c r="CI314">
        <f>'2020_2021_efet Int_Confianca'!CG62</f>
        <v>-3.8199999999999998E-2</v>
      </c>
      <c r="CJ314">
        <f>'2020_2021_efet Int_Confianca'!CH62</f>
        <v>-1.11E-2</v>
      </c>
      <c r="CK314">
        <f>'2020_2021_efet Int_Confianca'!CI62</f>
        <v>-8.8999999999999999E-3</v>
      </c>
      <c r="CL314">
        <f>'2020_2021_efet Int_Confianca'!CJ62</f>
        <v>1.67E-2</v>
      </c>
      <c r="CM314">
        <f>'2020_2021_efet Int_Confianca'!CK62</f>
        <v>4.1500000000000002E-2</v>
      </c>
      <c r="CN314">
        <f>'2020_2021_efet Int_Confianca'!CL62</f>
        <v>4.0099999999999997E-2</v>
      </c>
      <c r="CO314">
        <f>'2020_2021_efet Int_Confianca'!CM62</f>
        <v>-2.0199999999999999E-2</v>
      </c>
      <c r="CP314">
        <f>'2020_2021_efet Int_Confianca'!CN62</f>
        <v>-2.6200000000000001E-2</v>
      </c>
      <c r="CQ314">
        <f>'2020_2021_efet Int_Confianca'!CO62</f>
        <v>-3.5499999999999997E-2</v>
      </c>
      <c r="CR314">
        <f>'2020_2021_efet Int_Confianca'!CP62</f>
        <v>-2.4299999999999999E-2</v>
      </c>
      <c r="CS314">
        <f>'2020_2021_efet Int_Confianca'!CQ62</f>
        <v>5.7200000000000001E-2</v>
      </c>
      <c r="CT314">
        <f>'2020_2021_efet Int_Confianca'!CR62</f>
        <v>7.4999999999999997E-2</v>
      </c>
      <c r="CU314">
        <f>'2020_2021_efet Int_Confianca'!CS62</f>
        <v>9.4299999999999995E-2</v>
      </c>
      <c r="CV314">
        <f>'2020_2021_efet Int_Confianca'!CT62</f>
        <v>0.1366</v>
      </c>
      <c r="CW314">
        <f>'2020_2021_efet Int_Confianca'!CU62</f>
        <v>2.7E-2</v>
      </c>
      <c r="CX314">
        <f>'2020_2021_efet Int_Confianca'!CV62</f>
        <v>-6.4000000000000001E-2</v>
      </c>
    </row>
    <row r="315" spans="1:102" x14ac:dyDescent="0.2">
      <c r="A315" t="s">
        <v>5911</v>
      </c>
      <c r="B315" t="s">
        <v>219</v>
      </c>
      <c r="C315" t="s">
        <v>223</v>
      </c>
      <c r="D315">
        <f>'2020_2021_efet Int_Confianca'!B63</f>
        <v>-2.12E-2</v>
      </c>
      <c r="E315">
        <f>'2020_2021_efet Int_Confianca'!C63</f>
        <v>-2.12E-2</v>
      </c>
      <c r="F315">
        <f>'2020_2021_efet Int_Confianca'!D63</f>
        <v>-2.12E-2</v>
      </c>
      <c r="G315">
        <f>'2020_2021_efet Int_Confianca'!E63</f>
        <v>-0.8024</v>
      </c>
      <c r="H315">
        <f>'2020_2021_efet Int_Confianca'!F63</f>
        <v>-0.39700000000000002</v>
      </c>
      <c r="I315">
        <f>'2020_2021_efet Int_Confianca'!G63</f>
        <v>-0.3574</v>
      </c>
      <c r="J315">
        <f>'2020_2021_efet Int_Confianca'!H63</f>
        <v>-0.2409</v>
      </c>
      <c r="K315">
        <f>'2020_2021_efet Int_Confianca'!I63</f>
        <v>-0.25</v>
      </c>
      <c r="L315">
        <f>'2020_2021_efet Int_Confianca'!J63</f>
        <v>-0.24690000000000001</v>
      </c>
      <c r="M315">
        <f>'2020_2021_efet Int_Confianca'!K63</f>
        <v>-0.2676</v>
      </c>
      <c r="N315">
        <f>'2020_2021_efet Int_Confianca'!L63</f>
        <v>-0.26540000000000002</v>
      </c>
      <c r="O315">
        <f>'2020_2021_efet Int_Confianca'!M63</f>
        <v>-0.23469999999999999</v>
      </c>
      <c r="P315">
        <f>'2020_2021_efet Int_Confianca'!N63</f>
        <v>-0.2427</v>
      </c>
      <c r="Q315">
        <f>'2020_2021_efet Int_Confianca'!O63</f>
        <v>-0.12280000000000001</v>
      </c>
      <c r="R315">
        <f>'2020_2021_efet Int_Confianca'!P63</f>
        <v>-0.106</v>
      </c>
      <c r="S315">
        <f>'2020_2021_efet Int_Confianca'!Q63</f>
        <v>-0.16239999999999999</v>
      </c>
      <c r="T315">
        <f>'2020_2021_efet Int_Confianca'!R63</f>
        <v>-0.1477</v>
      </c>
      <c r="U315">
        <f>'2020_2021_efet Int_Confianca'!S63</f>
        <v>-0.10780000000000001</v>
      </c>
      <c r="V315">
        <f>'2020_2021_efet Int_Confianca'!T63</f>
        <v>-0.1202</v>
      </c>
      <c r="W315">
        <f>'2020_2021_efet Int_Confianca'!U63</f>
        <v>-0.13220000000000001</v>
      </c>
      <c r="X315">
        <f>'2020_2021_efet Int_Confianca'!V63</f>
        <v>-0.14699999999999999</v>
      </c>
      <c r="Y315">
        <f>'2020_2021_efet Int_Confianca'!W63</f>
        <v>-0.1048</v>
      </c>
      <c r="Z315">
        <f>'2020_2021_efet Int_Confianca'!X63</f>
        <v>-9.8000000000000004E-2</v>
      </c>
      <c r="AA315">
        <f>'2020_2021_efet Int_Confianca'!Y63</f>
        <v>-9.5799999999999996E-2</v>
      </c>
      <c r="AB315">
        <f>'2020_2021_efet Int_Confianca'!Z63</f>
        <v>-0.11849999999999999</v>
      </c>
      <c r="AC315">
        <f>'2020_2021_efet Int_Confianca'!AA63</f>
        <v>-0.1133</v>
      </c>
      <c r="AD315">
        <f>'2020_2021_efet Int_Confianca'!AB63</f>
        <v>-0.1101</v>
      </c>
      <c r="AE315">
        <f>'2020_2021_efet Int_Confianca'!AC63</f>
        <v>-0.1138</v>
      </c>
      <c r="AF315">
        <f>'2020_2021_efet Int_Confianca'!AD63</f>
        <v>-0.12529999999999999</v>
      </c>
      <c r="AG315">
        <f>'2020_2021_efet Int_Confianca'!AE63</f>
        <v>-0.11840000000000001</v>
      </c>
      <c r="AH315">
        <f>'2020_2021_efet Int_Confianca'!AF63</f>
        <v>-0.12870000000000001</v>
      </c>
      <c r="AI315">
        <f>'2020_2021_efet Int_Confianca'!AG63</f>
        <v>-0.1305</v>
      </c>
      <c r="AJ315">
        <f>'2020_2021_efet Int_Confianca'!AH63</f>
        <v>-0.1353</v>
      </c>
      <c r="AK315">
        <f>'2020_2021_efet Int_Confianca'!AI63</f>
        <v>-0.13439999999999999</v>
      </c>
      <c r="AL315">
        <f>'2020_2021_efet Int_Confianca'!AJ63</f>
        <v>-0.13439999999999999</v>
      </c>
      <c r="AM315">
        <f>'2020_2021_efet Int_Confianca'!AK63</f>
        <v>-0.11219999999999999</v>
      </c>
      <c r="AN315">
        <f>'2020_2021_efet Int_Confianca'!AL63</f>
        <v>-0.1114</v>
      </c>
      <c r="AO315">
        <f>'2020_2021_efet Int_Confianca'!AM63</f>
        <v>-9.5600000000000004E-2</v>
      </c>
      <c r="AP315">
        <f>'2020_2021_efet Int_Confianca'!AN63</f>
        <v>-9.8000000000000004E-2</v>
      </c>
      <c r="AQ315">
        <f>'2020_2021_efet Int_Confianca'!AO63</f>
        <v>-9.5200000000000007E-2</v>
      </c>
      <c r="AR315">
        <f>'2020_2021_efet Int_Confianca'!AP63</f>
        <v>-9.8299999999999998E-2</v>
      </c>
      <c r="AS315">
        <f>'2020_2021_efet Int_Confianca'!AQ63</f>
        <v>-9.2200000000000004E-2</v>
      </c>
      <c r="AT315">
        <f>'2020_2021_efet Int_Confianca'!AR63</f>
        <v>-8.4599999999999995E-2</v>
      </c>
      <c r="AU315">
        <f>'2020_2021_efet Int_Confianca'!AS63</f>
        <v>-9.5399999999999999E-2</v>
      </c>
      <c r="AV315">
        <f>'2020_2021_efet Int_Confianca'!AT63</f>
        <v>-9.2700000000000005E-2</v>
      </c>
      <c r="AW315">
        <f>'2020_2021_efet Int_Confianca'!AU63</f>
        <v>-9.8799999999999999E-2</v>
      </c>
      <c r="AX315">
        <f>'2020_2021_efet Int_Confianca'!AV63</f>
        <v>-0.1053</v>
      </c>
      <c r="AY315">
        <f>'2020_2021_efet Int_Confianca'!AW63</f>
        <v>-0.1038</v>
      </c>
      <c r="AZ315">
        <f>'2020_2021_efet Int_Confianca'!AX63</f>
        <v>-8.9700000000000002E-2</v>
      </c>
      <c r="BA315">
        <f>'2020_2021_efet Int_Confianca'!AY63</f>
        <v>-8.9399999999999993E-2</v>
      </c>
      <c r="BB315">
        <f>'2020_2021_efet Int_Confianca'!AZ63</f>
        <v>-9.3799999999999994E-2</v>
      </c>
      <c r="BC315">
        <f>'2020_2021_efet Int_Confianca'!BA63</f>
        <v>-8.2600000000000007E-2</v>
      </c>
      <c r="BD315">
        <f>'2020_2021_efet Int_Confianca'!BB63</f>
        <v>-8.1900000000000001E-2</v>
      </c>
      <c r="BE315">
        <f>'2020_2021_efet Int_Confianca'!BC63</f>
        <v>-8.2799999999999999E-2</v>
      </c>
      <c r="BF315">
        <f>'2020_2021_efet Int_Confianca'!BD63</f>
        <v>-8.2799999999999999E-2</v>
      </c>
      <c r="BG315">
        <f>'2020_2021_efet Int_Confianca'!BE63</f>
        <v>-6.5799999999999997E-2</v>
      </c>
      <c r="BH315">
        <f>'2020_2021_efet Int_Confianca'!BF63</f>
        <v>-6.5799999999999997E-2</v>
      </c>
      <c r="BI315">
        <f>'2020_2021_efet Int_Confianca'!BG63</f>
        <v>-7.0800000000000002E-2</v>
      </c>
      <c r="BJ315">
        <f>'2020_2021_efet Int_Confianca'!BH63</f>
        <v>-7.22E-2</v>
      </c>
      <c r="BK315">
        <f>'2020_2021_efet Int_Confianca'!BI63</f>
        <v>-6.7500000000000004E-2</v>
      </c>
      <c r="BL315">
        <f>'2020_2021_efet Int_Confianca'!BJ63</f>
        <v>-7.3700000000000002E-2</v>
      </c>
      <c r="BM315">
        <f>'2020_2021_efet Int_Confianca'!BK63</f>
        <v>-7.8600000000000003E-2</v>
      </c>
      <c r="BN315">
        <f>'2020_2021_efet Int_Confianca'!BL63</f>
        <v>-8.48E-2</v>
      </c>
      <c r="BO315">
        <f>'2020_2021_efet Int_Confianca'!BM63</f>
        <v>-8.3699999999999997E-2</v>
      </c>
      <c r="BP315">
        <f>'2020_2021_efet Int_Confianca'!BN63</f>
        <v>-9.8400000000000001E-2</v>
      </c>
      <c r="BQ315">
        <f>'2020_2021_efet Int_Confianca'!BO63</f>
        <v>-0.1182</v>
      </c>
      <c r="BR315">
        <f>'2020_2021_efet Int_Confianca'!BP63</f>
        <v>-0.123</v>
      </c>
      <c r="BS315">
        <f>'2020_2021_efet Int_Confianca'!BQ63</f>
        <v>-0.12</v>
      </c>
      <c r="BT315">
        <f>'2020_2021_efet Int_Confianca'!BR63</f>
        <v>-0.10589999999999999</v>
      </c>
      <c r="BU315">
        <f>'2020_2021_efet Int_Confianca'!BS63</f>
        <v>-7.8299999999999995E-2</v>
      </c>
      <c r="BV315">
        <f>'2020_2021_efet Int_Confianca'!BT63</f>
        <v>-7.6300000000000007E-2</v>
      </c>
      <c r="BW315">
        <f>'2020_2021_efet Int_Confianca'!BU63</f>
        <v>-6.88E-2</v>
      </c>
      <c r="BX315">
        <f>'2020_2021_efet Int_Confianca'!BV63</f>
        <v>-6.4799999999999996E-2</v>
      </c>
      <c r="BY315">
        <f>'2020_2021_efet Int_Confianca'!BW63</f>
        <v>-6.7799999999999999E-2</v>
      </c>
      <c r="BZ315">
        <f>'2020_2021_efet Int_Confianca'!BX63</f>
        <v>-6.8900000000000003E-2</v>
      </c>
      <c r="CA315">
        <f>'2020_2021_efet Int_Confianca'!BY63</f>
        <v>-8.5699999999999998E-2</v>
      </c>
      <c r="CB315">
        <f>'2020_2021_efet Int_Confianca'!BZ63</f>
        <v>-0.1012</v>
      </c>
      <c r="CC315">
        <f>'2020_2021_efet Int_Confianca'!CA63</f>
        <v>-0.1145</v>
      </c>
      <c r="CD315">
        <f>'2020_2021_efet Int_Confianca'!CB63</f>
        <v>-0.1217</v>
      </c>
      <c r="CE315">
        <f>'2020_2021_efet Int_Confianca'!CC63</f>
        <v>-0.12670000000000001</v>
      </c>
      <c r="CF315">
        <f>'2020_2021_efet Int_Confianca'!CD63</f>
        <v>-0.15329999999999999</v>
      </c>
      <c r="CG315">
        <f>'2020_2021_efet Int_Confianca'!CE63</f>
        <v>-0.18790000000000001</v>
      </c>
      <c r="CH315">
        <f>'2020_2021_efet Int_Confianca'!CF63</f>
        <v>-0.1852</v>
      </c>
      <c r="CI315">
        <f>'2020_2021_efet Int_Confianca'!CG63</f>
        <v>-0.18049999999999999</v>
      </c>
      <c r="CJ315">
        <f>'2020_2021_efet Int_Confianca'!CH63</f>
        <v>-0.15540000000000001</v>
      </c>
      <c r="CK315">
        <f>'2020_2021_efet Int_Confianca'!CI63</f>
        <v>-0.1905</v>
      </c>
      <c r="CL315">
        <f>'2020_2021_efet Int_Confianca'!CJ63</f>
        <v>-0.1588</v>
      </c>
      <c r="CM315">
        <f>'2020_2021_efet Int_Confianca'!CK63</f>
        <v>-0.1396</v>
      </c>
      <c r="CN315">
        <f>'2020_2021_efet Int_Confianca'!CL63</f>
        <v>-0.12559999999999999</v>
      </c>
      <c r="CO315">
        <f>'2020_2021_efet Int_Confianca'!CM63</f>
        <v>-0.2336</v>
      </c>
      <c r="CP315">
        <f>'2020_2021_efet Int_Confianca'!CN63</f>
        <v>-0.21079999999999999</v>
      </c>
      <c r="CQ315">
        <f>'2020_2021_efet Int_Confianca'!CO63</f>
        <v>-0.24060000000000001</v>
      </c>
      <c r="CR315">
        <f>'2020_2021_efet Int_Confianca'!CP63</f>
        <v>-0.22600000000000001</v>
      </c>
      <c r="CS315">
        <f>'2020_2021_efet Int_Confianca'!CQ63</f>
        <v>-0.1681</v>
      </c>
      <c r="CT315">
        <f>'2020_2021_efet Int_Confianca'!CR63</f>
        <v>-0.16739999999999999</v>
      </c>
      <c r="CU315">
        <f>'2020_2021_efet Int_Confianca'!CS63</f>
        <v>-0.22720000000000001</v>
      </c>
      <c r="CV315">
        <f>'2020_2021_efet Int_Confianca'!CT63</f>
        <v>-0.2833</v>
      </c>
      <c r="CW315">
        <f>'2020_2021_efet Int_Confianca'!CU63</f>
        <v>-0.24979999999999999</v>
      </c>
      <c r="CX315">
        <f>'2020_2021_efet Int_Confianca'!CV63</f>
        <v>-0.53110000000000002</v>
      </c>
    </row>
    <row r="316" spans="1:102" x14ac:dyDescent="0.2">
      <c r="A316" t="s">
        <v>5912</v>
      </c>
      <c r="B316" t="s">
        <v>219</v>
      </c>
      <c r="C316" t="s">
        <v>223</v>
      </c>
      <c r="D316">
        <f>'2020_2021_efet Int_Confianca'!B64</f>
        <v>3.4200000000000001E-2</v>
      </c>
      <c r="E316">
        <f>'2020_2021_efet Int_Confianca'!C64</f>
        <v>3.4200000000000001E-2</v>
      </c>
      <c r="F316">
        <f>'2020_2021_efet Int_Confianca'!D64</f>
        <v>3.4200000000000001E-2</v>
      </c>
      <c r="G316">
        <f>'2020_2021_efet Int_Confianca'!E64</f>
        <v>-2.9600000000000001E-2</v>
      </c>
      <c r="H316">
        <f>'2020_2021_efet Int_Confianca'!F64</f>
        <v>0.1241</v>
      </c>
      <c r="I316">
        <f>'2020_2021_efet Int_Confianca'!G64</f>
        <v>2.12E-2</v>
      </c>
      <c r="J316">
        <f>'2020_2021_efet Int_Confianca'!H64</f>
        <v>0.1071</v>
      </c>
      <c r="K316">
        <f>'2020_2021_efet Int_Confianca'!I64</f>
        <v>3.6400000000000002E-2</v>
      </c>
      <c r="L316">
        <f>'2020_2021_efet Int_Confianca'!J64</f>
        <v>2.3800000000000002E-2</v>
      </c>
      <c r="M316">
        <f>'2020_2021_efet Int_Confianca'!K64</f>
        <v>-4.5999999999999999E-3</v>
      </c>
      <c r="N316">
        <f>'2020_2021_efet Int_Confianca'!L64</f>
        <v>-2.1899999999999999E-2</v>
      </c>
      <c r="O316">
        <f>'2020_2021_efet Int_Confianca'!M64</f>
        <v>-5.1999999999999998E-3</v>
      </c>
      <c r="P316">
        <f>'2020_2021_efet Int_Confianca'!N64</f>
        <v>-4.6600000000000003E-2</v>
      </c>
      <c r="Q316">
        <f>'2020_2021_efet Int_Confianca'!O64</f>
        <v>3.0300000000000001E-2</v>
      </c>
      <c r="R316">
        <f>'2020_2021_efet Int_Confianca'!P64</f>
        <v>4.7199999999999999E-2</v>
      </c>
      <c r="S316">
        <f>'2020_2021_efet Int_Confianca'!Q64</f>
        <v>-4.1099999999999998E-2</v>
      </c>
      <c r="T316">
        <f>'2020_2021_efet Int_Confianca'!R64</f>
        <v>-4.7800000000000002E-2</v>
      </c>
      <c r="U316">
        <f>'2020_2021_efet Int_Confianca'!S64</f>
        <v>-1.5900000000000001E-2</v>
      </c>
      <c r="V316">
        <f>'2020_2021_efet Int_Confianca'!T64</f>
        <v>-3.8899999999999997E-2</v>
      </c>
      <c r="W316">
        <f>'2020_2021_efet Int_Confianca'!U64</f>
        <v>-6.1400000000000003E-2</v>
      </c>
      <c r="X316">
        <f>'2020_2021_efet Int_Confianca'!V64</f>
        <v>-7.5899999999999995E-2</v>
      </c>
      <c r="Y316">
        <f>'2020_2021_efet Int_Confianca'!W64</f>
        <v>-2.9000000000000001E-2</v>
      </c>
      <c r="Z316">
        <f>'2020_2021_efet Int_Confianca'!X64</f>
        <v>-2.1999999999999999E-2</v>
      </c>
      <c r="AA316">
        <f>'2020_2021_efet Int_Confianca'!Y64</f>
        <v>-1.9300000000000001E-2</v>
      </c>
      <c r="AB316">
        <f>'2020_2021_efet Int_Confianca'!Z64</f>
        <v>-4.5100000000000001E-2</v>
      </c>
      <c r="AC316">
        <f>'2020_2021_efet Int_Confianca'!AA64</f>
        <v>-3.9600000000000003E-2</v>
      </c>
      <c r="AD316">
        <f>'2020_2021_efet Int_Confianca'!AB64</f>
        <v>-3.5999999999999997E-2</v>
      </c>
      <c r="AE316">
        <f>'2020_2021_efet Int_Confianca'!AC64</f>
        <v>-3.8800000000000001E-2</v>
      </c>
      <c r="AF316">
        <f>'2020_2021_efet Int_Confianca'!AD64</f>
        <v>-4.9200000000000001E-2</v>
      </c>
      <c r="AG316">
        <f>'2020_2021_efet Int_Confianca'!AE64</f>
        <v>-0.04</v>
      </c>
      <c r="AH316">
        <f>'2020_2021_efet Int_Confianca'!AF64</f>
        <v>-4.9500000000000002E-2</v>
      </c>
      <c r="AI316">
        <f>'2020_2021_efet Int_Confianca'!AG64</f>
        <v>-4.65E-2</v>
      </c>
      <c r="AJ316">
        <f>'2020_2021_efet Int_Confianca'!AH64</f>
        <v>-4.8300000000000003E-2</v>
      </c>
      <c r="AK316">
        <f>'2020_2021_efet Int_Confianca'!AI64</f>
        <v>-4.5900000000000003E-2</v>
      </c>
      <c r="AL316">
        <f>'2020_2021_efet Int_Confianca'!AJ64</f>
        <v>-4.5600000000000002E-2</v>
      </c>
      <c r="AM316">
        <f>'2020_2021_efet Int_Confianca'!AK64</f>
        <v>-2.1899999999999999E-2</v>
      </c>
      <c r="AN316">
        <f>'2020_2021_efet Int_Confianca'!AL64</f>
        <v>-2.0299999999999999E-2</v>
      </c>
      <c r="AO316">
        <f>'2020_2021_efet Int_Confianca'!AM64</f>
        <v>-4.5999999999999999E-3</v>
      </c>
      <c r="AP316">
        <f>'2020_2021_efet Int_Confianca'!AN64</f>
        <v>-7.4999999999999997E-3</v>
      </c>
      <c r="AQ316">
        <f>'2020_2021_efet Int_Confianca'!AO64</f>
        <v>-5.0000000000000001E-3</v>
      </c>
      <c r="AR316">
        <f>'2020_2021_efet Int_Confianca'!AP64</f>
        <v>-8.5000000000000006E-3</v>
      </c>
      <c r="AS316">
        <f>'2020_2021_efet Int_Confianca'!AQ64</f>
        <v>-2.7000000000000001E-3</v>
      </c>
      <c r="AT316">
        <f>'2020_2021_efet Int_Confianca'!AR64</f>
        <v>4.4999999999999997E-3</v>
      </c>
      <c r="AU316">
        <f>'2020_2021_efet Int_Confianca'!AS64</f>
        <v>-7.0000000000000001E-3</v>
      </c>
      <c r="AV316">
        <f>'2020_2021_efet Int_Confianca'!AT64</f>
        <v>-4.1000000000000003E-3</v>
      </c>
      <c r="AW316">
        <f>'2020_2021_efet Int_Confianca'!AU64</f>
        <v>-9.5999999999999992E-3</v>
      </c>
      <c r="AX316">
        <f>'2020_2021_efet Int_Confianca'!AV64</f>
        <v>-1.5100000000000001E-2</v>
      </c>
      <c r="AY316">
        <f>'2020_2021_efet Int_Confianca'!AW64</f>
        <v>-1.35E-2</v>
      </c>
      <c r="AZ316">
        <f>'2020_2021_efet Int_Confianca'!AX64</f>
        <v>4.4000000000000003E-3</v>
      </c>
      <c r="BA316">
        <f>'2020_2021_efet Int_Confianca'!AY64</f>
        <v>5.3E-3</v>
      </c>
      <c r="BB316">
        <f>'2020_2021_efet Int_Confianca'!AZ64</f>
        <v>8.9999999999999998E-4</v>
      </c>
      <c r="BC316">
        <f>'2020_2021_efet Int_Confianca'!BA64</f>
        <v>1.49E-2</v>
      </c>
      <c r="BD316">
        <f>'2020_2021_efet Int_Confianca'!BB64</f>
        <v>1.5900000000000001E-2</v>
      </c>
      <c r="BE316">
        <f>'2020_2021_efet Int_Confianca'!BC64</f>
        <v>1.66E-2</v>
      </c>
      <c r="BF316">
        <f>'2020_2021_efet Int_Confianca'!BD64</f>
        <v>1.61E-2</v>
      </c>
      <c r="BG316">
        <f>'2020_2021_efet Int_Confianca'!BE64</f>
        <v>2.58E-2</v>
      </c>
      <c r="BH316">
        <f>'2020_2021_efet Int_Confianca'!BF64</f>
        <v>2.52E-2</v>
      </c>
      <c r="BI316">
        <f>'2020_2021_efet Int_Confianca'!BG64</f>
        <v>1.77E-2</v>
      </c>
      <c r="BJ316">
        <f>'2020_2021_efet Int_Confianca'!BH64</f>
        <v>1.5599999999999999E-2</v>
      </c>
      <c r="BK316">
        <f>'2020_2021_efet Int_Confianca'!BI64</f>
        <v>2.0199999999999999E-2</v>
      </c>
      <c r="BL316">
        <f>'2020_2021_efet Int_Confianca'!BJ64</f>
        <v>1.2699999999999999E-2</v>
      </c>
      <c r="BM316">
        <f>'2020_2021_efet Int_Confianca'!BK64</f>
        <v>7.3000000000000001E-3</v>
      </c>
      <c r="BN316">
        <f>'2020_2021_efet Int_Confianca'!BL64</f>
        <v>1.1000000000000001E-3</v>
      </c>
      <c r="BO316">
        <f>'2020_2021_efet Int_Confianca'!BM64</f>
        <v>6.7000000000000002E-3</v>
      </c>
      <c r="BP316">
        <f>'2020_2021_efet Int_Confianca'!BN64</f>
        <v>-1.4E-3</v>
      </c>
      <c r="BQ316">
        <f>'2020_2021_efet Int_Confianca'!BO64</f>
        <v>-1.7600000000000001E-2</v>
      </c>
      <c r="BR316">
        <f>'2020_2021_efet Int_Confianca'!BP64</f>
        <v>-1.8700000000000001E-2</v>
      </c>
      <c r="BS316">
        <f>'2020_2021_efet Int_Confianca'!BQ64</f>
        <v>-1.2699999999999999E-2</v>
      </c>
      <c r="BT316">
        <f>'2020_2021_efet Int_Confianca'!BR64</f>
        <v>2.5999999999999999E-3</v>
      </c>
      <c r="BU316">
        <f>'2020_2021_efet Int_Confianca'!BS64</f>
        <v>3.2500000000000001E-2</v>
      </c>
      <c r="BV316">
        <f>'2020_2021_efet Int_Confianca'!BT64</f>
        <v>3.3399999999999999E-2</v>
      </c>
      <c r="BW316">
        <f>'2020_2021_efet Int_Confianca'!BU64</f>
        <v>4.2900000000000001E-2</v>
      </c>
      <c r="BX316">
        <f>'2020_2021_efet Int_Confianca'!BV64</f>
        <v>4.6600000000000003E-2</v>
      </c>
      <c r="BY316">
        <f>'2020_2021_efet Int_Confianca'!BW64</f>
        <v>4.3900000000000002E-2</v>
      </c>
      <c r="BZ316">
        <f>'2020_2021_efet Int_Confianca'!BX64</f>
        <v>4.3299999999999998E-2</v>
      </c>
      <c r="CA316">
        <f>'2020_2021_efet Int_Confianca'!BY64</f>
        <v>2.98E-2</v>
      </c>
      <c r="CB316">
        <f>'2020_2021_efet Int_Confianca'!BZ64</f>
        <v>1.23E-2</v>
      </c>
      <c r="CC316">
        <f>'2020_2021_efet Int_Confianca'!CA64</f>
        <v>6.1999999999999998E-3</v>
      </c>
      <c r="CD316">
        <f>'2020_2021_efet Int_Confianca'!CB64</f>
        <v>7.9000000000000008E-3</v>
      </c>
      <c r="CE316">
        <f>'2020_2021_efet Int_Confianca'!CC64</f>
        <v>1.29E-2</v>
      </c>
      <c r="CF316">
        <f>'2020_2021_efet Int_Confianca'!CD64</f>
        <v>-4.7999999999999996E-3</v>
      </c>
      <c r="CG316">
        <f>'2020_2021_efet Int_Confianca'!CE64</f>
        <v>-4.2599999999999999E-2</v>
      </c>
      <c r="CH316">
        <f>'2020_2021_efet Int_Confianca'!CF64</f>
        <v>-4.3999999999999997E-2</v>
      </c>
      <c r="CI316">
        <f>'2020_2021_efet Int_Confianca'!CG64</f>
        <v>-4.5400000000000003E-2</v>
      </c>
      <c r="CJ316">
        <f>'2020_2021_efet Int_Confianca'!CH64</f>
        <v>-1.6799999999999999E-2</v>
      </c>
      <c r="CK316">
        <f>'2020_2021_efet Int_Confianca'!CI64</f>
        <v>-3.5400000000000001E-2</v>
      </c>
      <c r="CL316">
        <f>'2020_2021_efet Int_Confianca'!CJ64</f>
        <v>2.0999999999999999E-3</v>
      </c>
      <c r="CM316">
        <f>'2020_2021_efet Int_Confianca'!CK64</f>
        <v>2.7199999999999998E-2</v>
      </c>
      <c r="CN316">
        <f>'2020_2021_efet Int_Confianca'!CL64</f>
        <v>4.2999999999999997E-2</v>
      </c>
      <c r="CO316">
        <f>'2020_2021_efet Int_Confianca'!CM64</f>
        <v>-4.7899999999999998E-2</v>
      </c>
      <c r="CP316">
        <f>'2020_2021_efet Int_Confianca'!CN64</f>
        <v>-4.7E-2</v>
      </c>
      <c r="CQ316">
        <f>'2020_2021_efet Int_Confianca'!CO64</f>
        <v>-6.2300000000000001E-2</v>
      </c>
      <c r="CR316">
        <f>'2020_2021_efet Int_Confianca'!CP64</f>
        <v>-3.61E-2</v>
      </c>
      <c r="CS316">
        <f>'2020_2021_efet Int_Confianca'!CQ64</f>
        <v>3.4799999999999998E-2</v>
      </c>
      <c r="CT316">
        <f>'2020_2021_efet Int_Confianca'!CR64</f>
        <v>4.4699999999999997E-2</v>
      </c>
      <c r="CU316">
        <f>'2020_2021_efet Int_Confianca'!CS64</f>
        <v>-3.5900000000000001E-2</v>
      </c>
      <c r="CV316">
        <f>'2020_2021_efet Int_Confianca'!CT64</f>
        <v>-6.3E-3</v>
      </c>
      <c r="CW316">
        <f>'2020_2021_efet Int_Confianca'!CU64</f>
        <v>2.8799999999999999E-2</v>
      </c>
      <c r="CX316">
        <f>'2020_2021_efet Int_Confianca'!CV64</f>
        <v>-0.1024</v>
      </c>
    </row>
    <row r="317" spans="1:102" x14ac:dyDescent="0.2">
      <c r="A317" t="s">
        <v>5913</v>
      </c>
      <c r="B317" t="s">
        <v>219</v>
      </c>
      <c r="C317" t="s">
        <v>223</v>
      </c>
      <c r="D317">
        <f>'2020_2021_efet Int_Confianca'!B65</f>
        <v>-4.1999999999999997E-3</v>
      </c>
      <c r="E317">
        <f>'2020_2021_efet Int_Confianca'!C65</f>
        <v>-4.1999999999999997E-3</v>
      </c>
      <c r="F317">
        <f>'2020_2021_efet Int_Confianca'!D65</f>
        <v>-4.1999999999999997E-3</v>
      </c>
      <c r="G317">
        <f>'2020_2021_efet Int_Confianca'!E65</f>
        <v>-3.95E-2</v>
      </c>
      <c r="H317">
        <f>'2020_2021_efet Int_Confianca'!F65</f>
        <v>-6.9599999999999995E-2</v>
      </c>
      <c r="I317">
        <f>'2020_2021_efet Int_Confianca'!G65</f>
        <v>-3.3500000000000002E-2</v>
      </c>
      <c r="J317">
        <f>'2020_2021_efet Int_Confianca'!H65</f>
        <v>-4.7899999999999998E-2</v>
      </c>
      <c r="K317">
        <f>'2020_2021_efet Int_Confianca'!I65</f>
        <v>-3.27E-2</v>
      </c>
      <c r="L317">
        <f>'2020_2021_efet Int_Confianca'!J65</f>
        <v>-2.58E-2</v>
      </c>
      <c r="M317">
        <f>'2020_2021_efet Int_Confianca'!K65</f>
        <v>-3.04E-2</v>
      </c>
      <c r="N317">
        <f>'2020_2021_efet Int_Confianca'!L65</f>
        <v>-1.78E-2</v>
      </c>
      <c r="O317">
        <f>'2020_2021_efet Int_Confianca'!M65</f>
        <v>-1.89E-2</v>
      </c>
      <c r="P317">
        <f>'2020_2021_efet Int_Confianca'!N65</f>
        <v>-9.7999999999999997E-3</v>
      </c>
      <c r="Q317">
        <f>'2020_2021_efet Int_Confianca'!O65</f>
        <v>-2.2599999999999999E-2</v>
      </c>
      <c r="R317">
        <f>'2020_2021_efet Int_Confianca'!P65</f>
        <v>-2.3400000000000001E-2</v>
      </c>
      <c r="S317">
        <f>'2020_2021_efet Int_Confianca'!Q65</f>
        <v>-9.5999999999999992E-3</v>
      </c>
      <c r="T317">
        <f>'2020_2021_efet Int_Confianca'!R65</f>
        <v>-6.1999999999999998E-3</v>
      </c>
      <c r="U317">
        <f>'2020_2021_efet Int_Confianca'!S65</f>
        <v>-8.3999999999999995E-3</v>
      </c>
      <c r="V317">
        <f>'2020_2021_efet Int_Confianca'!T65</f>
        <v>-3.7000000000000002E-3</v>
      </c>
      <c r="W317">
        <f>'2020_2021_efet Int_Confianca'!U65</f>
        <v>-1.6999999999999999E-3</v>
      </c>
      <c r="X317">
        <f>'2020_2021_efet Int_Confianca'!V65</f>
        <v>2.9999999999999997E-4</v>
      </c>
      <c r="Y317">
        <f>'2020_2021_efet Int_Confianca'!W65</f>
        <v>-4.7999999999999996E-3</v>
      </c>
      <c r="Z317">
        <f>'2020_2021_efet Int_Confianca'!X65</f>
        <v>-2.2000000000000001E-3</v>
      </c>
      <c r="AA317">
        <f>'2020_2021_efet Int_Confianca'!Y65</f>
        <v>-2.2000000000000001E-3</v>
      </c>
      <c r="AB317">
        <f>'2020_2021_efet Int_Confianca'!Z65</f>
        <v>-2.0000000000000001E-4</v>
      </c>
      <c r="AC317">
        <f>'2020_2021_efet Int_Confianca'!AA65</f>
        <v>-3.5000000000000001E-3</v>
      </c>
      <c r="AD317">
        <f>'2020_2021_efet Int_Confianca'!AB65</f>
        <v>-2.5999999999999999E-3</v>
      </c>
      <c r="AE317">
        <f>'2020_2021_efet Int_Confianca'!AC65</f>
        <v>-1.9E-3</v>
      </c>
      <c r="AF317">
        <f>'2020_2021_efet Int_Confianca'!AD65</f>
        <v>-2.0000000000000001E-4</v>
      </c>
      <c r="AG317">
        <f>'2020_2021_efet Int_Confianca'!AE65</f>
        <v>6.9999999999999999E-4</v>
      </c>
      <c r="AH317">
        <f>'2020_2021_efet Int_Confianca'!AF65</f>
        <v>-1E-4</v>
      </c>
      <c r="AI317">
        <f>'2020_2021_efet Int_Confianca'!AG65</f>
        <v>-1.8E-3</v>
      </c>
      <c r="AJ317">
        <f>'2020_2021_efet Int_Confianca'!AH65</f>
        <v>-3.7000000000000002E-3</v>
      </c>
      <c r="AK317">
        <f>'2020_2021_efet Int_Confianca'!AI65</f>
        <v>-3.5000000000000001E-3</v>
      </c>
      <c r="AL317">
        <f>'2020_2021_efet Int_Confianca'!AJ65</f>
        <v>-4.3E-3</v>
      </c>
      <c r="AM317">
        <f>'2020_2021_efet Int_Confianca'!AK65</f>
        <v>-9.1999999999999998E-3</v>
      </c>
      <c r="AN317">
        <f>'2020_2021_efet Int_Confianca'!AL65</f>
        <v>-1.21E-2</v>
      </c>
      <c r="AO317">
        <f>'2020_2021_efet Int_Confianca'!AM65</f>
        <v>-1.29E-2</v>
      </c>
      <c r="AP317">
        <f>'2020_2021_efet Int_Confianca'!AN65</f>
        <v>-1.17E-2</v>
      </c>
      <c r="AQ317">
        <f>'2020_2021_efet Int_Confianca'!AO65</f>
        <v>-1.3299999999999999E-2</v>
      </c>
      <c r="AR317">
        <f>'2020_2021_efet Int_Confianca'!AP65</f>
        <v>-1.17E-2</v>
      </c>
      <c r="AS317">
        <f>'2020_2021_efet Int_Confianca'!AQ65</f>
        <v>-1.04E-2</v>
      </c>
      <c r="AT317">
        <f>'2020_2021_efet Int_Confianca'!AR65</f>
        <v>-1.15E-2</v>
      </c>
      <c r="AU317">
        <f>'2020_2021_efet Int_Confianca'!AS65</f>
        <v>-7.4999999999999997E-3</v>
      </c>
      <c r="AV317">
        <f>'2020_2021_efet Int_Confianca'!AT65</f>
        <v>-5.5999999999999999E-3</v>
      </c>
      <c r="AW317">
        <f>'2020_2021_efet Int_Confianca'!AU65</f>
        <v>-6.4999999999999997E-3</v>
      </c>
      <c r="AX317">
        <f>'2020_2021_efet Int_Confianca'!AV65</f>
        <v>-3.7000000000000002E-3</v>
      </c>
      <c r="AY317">
        <f>'2020_2021_efet Int_Confianca'!AW65</f>
        <v>-3.2000000000000002E-3</v>
      </c>
      <c r="AZ317">
        <f>'2020_2021_efet Int_Confianca'!AX65</f>
        <v>-5.0000000000000001E-3</v>
      </c>
      <c r="BA317">
        <f>'2020_2021_efet Int_Confianca'!AY65</f>
        <v>-4.1999999999999997E-3</v>
      </c>
      <c r="BB317">
        <f>'2020_2021_efet Int_Confianca'!AZ65</f>
        <v>-4.1000000000000003E-3</v>
      </c>
      <c r="BC317">
        <f>'2020_2021_efet Int_Confianca'!BA65</f>
        <v>-8.8000000000000005E-3</v>
      </c>
      <c r="BD317">
        <f>'2020_2021_efet Int_Confianca'!BB65</f>
        <v>-9.1999999999999998E-3</v>
      </c>
      <c r="BE317">
        <f>'2020_2021_efet Int_Confianca'!BC65</f>
        <v>-1.1900000000000001E-2</v>
      </c>
      <c r="BF317">
        <f>'2020_2021_efet Int_Confianca'!BD65</f>
        <v>-8.6999999999999994E-3</v>
      </c>
      <c r="BG317">
        <f>'2020_2021_efet Int_Confianca'!BE65</f>
        <v>-1.0200000000000001E-2</v>
      </c>
      <c r="BH317">
        <f>'2020_2021_efet Int_Confianca'!BF65</f>
        <v>-9.4999999999999998E-3</v>
      </c>
      <c r="BI317">
        <f>'2020_2021_efet Int_Confianca'!BG65</f>
        <v>-8.3999999999999995E-3</v>
      </c>
      <c r="BJ317">
        <f>'2020_2021_efet Int_Confianca'!BH65</f>
        <v>-7.4999999999999997E-3</v>
      </c>
      <c r="BK317">
        <f>'2020_2021_efet Int_Confianca'!BI65</f>
        <v>-6.4999999999999997E-3</v>
      </c>
      <c r="BL317">
        <f>'2020_2021_efet Int_Confianca'!BJ65</f>
        <v>-5.3E-3</v>
      </c>
      <c r="BM317">
        <f>'2020_2021_efet Int_Confianca'!BK65</f>
        <v>-4.5999999999999999E-3</v>
      </c>
      <c r="BN317">
        <f>'2020_2021_efet Int_Confianca'!BL65</f>
        <v>-2.5000000000000001E-3</v>
      </c>
      <c r="BO317">
        <f>'2020_2021_efet Int_Confianca'!BM65</f>
        <v>-2.0999999999999999E-3</v>
      </c>
      <c r="BP317">
        <f>'2020_2021_efet Int_Confianca'!BN65</f>
        <v>-1.9E-3</v>
      </c>
      <c r="BQ317">
        <f>'2020_2021_efet Int_Confianca'!BO65</f>
        <v>-3.0999999999999999E-3</v>
      </c>
      <c r="BR317">
        <f>'2020_2021_efet Int_Confianca'!BP65</f>
        <v>-1.8E-3</v>
      </c>
      <c r="BS317">
        <f>'2020_2021_efet Int_Confianca'!BQ65</f>
        <v>-1.1000000000000001E-3</v>
      </c>
      <c r="BT317">
        <f>'2020_2021_efet Int_Confianca'!BR65</f>
        <v>-3.5000000000000001E-3</v>
      </c>
      <c r="BU317">
        <f>'2020_2021_efet Int_Confianca'!BS65</f>
        <v>-8.9999999999999993E-3</v>
      </c>
      <c r="BV317">
        <f>'2020_2021_efet Int_Confianca'!BT65</f>
        <v>-9.1999999999999998E-3</v>
      </c>
      <c r="BW317">
        <f>'2020_2021_efet Int_Confianca'!BU65</f>
        <v>-1.1900000000000001E-2</v>
      </c>
      <c r="BX317">
        <f>'2020_2021_efet Int_Confianca'!BV65</f>
        <v>-1.18E-2</v>
      </c>
      <c r="BY317">
        <f>'2020_2021_efet Int_Confianca'!BW65</f>
        <v>-9.9000000000000008E-3</v>
      </c>
      <c r="BZ317">
        <f>'2020_2021_efet Int_Confianca'!BX65</f>
        <v>-8.9999999999999993E-3</v>
      </c>
      <c r="CA317">
        <f>'2020_2021_efet Int_Confianca'!BY65</f>
        <v>-6.4999999999999997E-3</v>
      </c>
      <c r="CB317">
        <f>'2020_2021_efet Int_Confianca'!BZ65</f>
        <v>-3.5000000000000001E-3</v>
      </c>
      <c r="CC317">
        <f>'2020_2021_efet Int_Confianca'!CA65</f>
        <v>-3.5000000000000001E-3</v>
      </c>
      <c r="CD317">
        <f>'2020_2021_efet Int_Confianca'!CB65</f>
        <v>-3.5000000000000001E-3</v>
      </c>
      <c r="CE317">
        <f>'2020_2021_efet Int_Confianca'!CC65</f>
        <v>-4.8999999999999998E-3</v>
      </c>
      <c r="CF317">
        <f>'2020_2021_efet Int_Confianca'!CD65</f>
        <v>-3.3E-3</v>
      </c>
      <c r="CG317">
        <f>'2020_2021_efet Int_Confianca'!CE65</f>
        <v>4.5999999999999999E-3</v>
      </c>
      <c r="CH317">
        <f>'2020_2021_efet Int_Confianca'!CF65</f>
        <v>1.2999999999999999E-3</v>
      </c>
      <c r="CI317">
        <f>'2020_2021_efet Int_Confianca'!CG65</f>
        <v>3.3999999999999998E-3</v>
      </c>
      <c r="CJ317">
        <f>'2020_2021_efet Int_Confianca'!CH65</f>
        <v>5.9999999999999995E-4</v>
      </c>
      <c r="CK317">
        <f>'2020_2021_efet Int_Confianca'!CI65</f>
        <v>-2.0000000000000001E-4</v>
      </c>
      <c r="CL317">
        <f>'2020_2021_efet Int_Confianca'!CJ65</f>
        <v>-4.4000000000000003E-3</v>
      </c>
      <c r="CM317">
        <f>'2020_2021_efet Int_Confianca'!CK65</f>
        <v>-4.1999999999999997E-3</v>
      </c>
      <c r="CN317">
        <f>'2020_2021_efet Int_Confianca'!CL65</f>
        <v>-7.4999999999999997E-3</v>
      </c>
      <c r="CO317">
        <f>'2020_2021_efet Int_Confianca'!CM65</f>
        <v>3.7000000000000002E-3</v>
      </c>
      <c r="CP317">
        <f>'2020_2021_efet Int_Confianca'!CN65</f>
        <v>-2.8999999999999998E-3</v>
      </c>
      <c r="CQ317">
        <f>'2020_2021_efet Int_Confianca'!CO65</f>
        <v>-7.4999999999999997E-3</v>
      </c>
      <c r="CR317">
        <f>'2020_2021_efet Int_Confianca'!CP65</f>
        <v>-1.5900000000000001E-2</v>
      </c>
      <c r="CS317">
        <f>'2020_2021_efet Int_Confianca'!CQ65</f>
        <v>-2.1100000000000001E-2</v>
      </c>
      <c r="CT317">
        <f>'2020_2021_efet Int_Confianca'!CR65</f>
        <v>-3.0599999999999999E-2</v>
      </c>
      <c r="CU317">
        <f>'2020_2021_efet Int_Confianca'!CS65</f>
        <v>-2.64E-2</v>
      </c>
      <c r="CV317">
        <f>'2020_2021_efet Int_Confianca'!CT65</f>
        <v>-4.1200000000000001E-2</v>
      </c>
      <c r="CW317">
        <f>'2020_2021_efet Int_Confianca'!CU65</f>
        <v>-6.3100000000000003E-2</v>
      </c>
      <c r="CX317">
        <f>'2020_2021_efet Int_Confianca'!CV65</f>
        <v>-6.2399999999999997E-2</v>
      </c>
    </row>
    <row r="318" spans="1:102" x14ac:dyDescent="0.2">
      <c r="A318" t="s">
        <v>5914</v>
      </c>
      <c r="B318" t="s">
        <v>219</v>
      </c>
      <c r="C318" t="s">
        <v>223</v>
      </c>
      <c r="D318">
        <f>'2020_2021_efet Int_Confianca'!B66</f>
        <v>7.3000000000000001E-3</v>
      </c>
      <c r="E318">
        <f>'2020_2021_efet Int_Confianca'!C66</f>
        <v>7.3000000000000001E-3</v>
      </c>
      <c r="F318">
        <f>'2020_2021_efet Int_Confianca'!D66</f>
        <v>7.3000000000000001E-3</v>
      </c>
      <c r="G318">
        <f>'2020_2021_efet Int_Confianca'!E66</f>
        <v>0.10979999999999999</v>
      </c>
      <c r="H318">
        <f>'2020_2021_efet Int_Confianca'!F66</f>
        <v>3.0499999999999999E-2</v>
      </c>
      <c r="I318">
        <f>'2020_2021_efet Int_Confianca'!G66</f>
        <v>3.61E-2</v>
      </c>
      <c r="J318">
        <f>'2020_2021_efet Int_Confianca'!H66</f>
        <v>1.8800000000000001E-2</v>
      </c>
      <c r="K318">
        <f>'2020_2021_efet Int_Confianca'!I66</f>
        <v>2.3800000000000002E-2</v>
      </c>
      <c r="L318">
        <f>'2020_2021_efet Int_Confianca'!J66</f>
        <v>2.75E-2</v>
      </c>
      <c r="M318">
        <f>'2020_2021_efet Int_Confianca'!K66</f>
        <v>1.9E-2</v>
      </c>
      <c r="N318">
        <f>'2020_2021_efet Int_Confianca'!L66</f>
        <v>2.7400000000000001E-2</v>
      </c>
      <c r="O318">
        <f>'2020_2021_efet Int_Confianca'!M66</f>
        <v>2.3800000000000002E-2</v>
      </c>
      <c r="P318">
        <f>'2020_2021_efet Int_Confianca'!N66</f>
        <v>2.6599999999999999E-2</v>
      </c>
      <c r="Q318">
        <f>'2020_2021_efet Int_Confianca'!O66</f>
        <v>6.4000000000000003E-3</v>
      </c>
      <c r="R318">
        <f>'2020_2021_efet Int_Confianca'!P66</f>
        <v>5.7999999999999996E-3</v>
      </c>
      <c r="S318">
        <f>'2020_2021_efet Int_Confianca'!Q66</f>
        <v>1.35E-2</v>
      </c>
      <c r="T318">
        <f>'2020_2021_efet Int_Confianca'!R66</f>
        <v>1.29E-2</v>
      </c>
      <c r="U318">
        <f>'2020_2021_efet Int_Confianca'!S66</f>
        <v>9.4000000000000004E-3</v>
      </c>
      <c r="V318">
        <f>'2020_2021_efet Int_Confianca'!T66</f>
        <v>1.2E-2</v>
      </c>
      <c r="W318">
        <f>'2020_2021_efet Int_Confianca'!U66</f>
        <v>1.2E-2</v>
      </c>
      <c r="X318">
        <f>'2020_2021_efet Int_Confianca'!V66</f>
        <v>1.41E-2</v>
      </c>
      <c r="Y318">
        <f>'2020_2021_efet Int_Confianca'!W66</f>
        <v>9.1999999999999998E-3</v>
      </c>
      <c r="Z318">
        <f>'2020_2021_efet Int_Confianca'!X66</f>
        <v>1.2E-2</v>
      </c>
      <c r="AA318">
        <f>'2020_2021_efet Int_Confianca'!Y66</f>
        <v>1.2E-2</v>
      </c>
      <c r="AB318">
        <f>'2020_2021_efet Int_Confianca'!Z66</f>
        <v>1.35E-2</v>
      </c>
      <c r="AC318">
        <f>'2020_2021_efet Int_Confianca'!AA66</f>
        <v>1.03E-2</v>
      </c>
      <c r="AD318">
        <f>'2020_2021_efet Int_Confianca'!AB66</f>
        <v>1.14E-2</v>
      </c>
      <c r="AE318">
        <f>'2020_2021_efet Int_Confianca'!AC66</f>
        <v>1.24E-2</v>
      </c>
      <c r="AF318">
        <f>'2020_2021_efet Int_Confianca'!AD66</f>
        <v>1.43E-2</v>
      </c>
      <c r="AG318">
        <f>'2020_2021_efet Int_Confianca'!AE66</f>
        <v>1.5800000000000002E-2</v>
      </c>
      <c r="AH318">
        <f>'2020_2021_efet Int_Confianca'!AF66</f>
        <v>1.5299999999999999E-2</v>
      </c>
      <c r="AI318">
        <f>'2020_2021_efet Int_Confianca'!AG66</f>
        <v>1.47E-2</v>
      </c>
      <c r="AJ318">
        <f>'2020_2021_efet Int_Confianca'!AH66</f>
        <v>1.37E-2</v>
      </c>
      <c r="AK318">
        <f>'2020_2021_efet Int_Confianca'!AI66</f>
        <v>1.4200000000000001E-2</v>
      </c>
      <c r="AL318">
        <f>'2020_2021_efet Int_Confianca'!AJ66</f>
        <v>1.38E-2</v>
      </c>
      <c r="AM318">
        <f>'2020_2021_efet Int_Confianca'!AK66</f>
        <v>9.4000000000000004E-3</v>
      </c>
      <c r="AN318">
        <f>'2020_2021_efet Int_Confianca'!AL66</f>
        <v>6.7999999999999996E-3</v>
      </c>
      <c r="AO318">
        <f>'2020_2021_efet Int_Confianca'!AM66</f>
        <v>6.1999999999999998E-3</v>
      </c>
      <c r="AP318">
        <f>'2020_2021_efet Int_Confianca'!AN66</f>
        <v>7.4000000000000003E-3</v>
      </c>
      <c r="AQ318">
        <f>'2020_2021_efet Int_Confianca'!AO66</f>
        <v>5.8999999999999999E-3</v>
      </c>
      <c r="AR318">
        <f>'2020_2021_efet Int_Confianca'!AP66</f>
        <v>7.4000000000000003E-3</v>
      </c>
      <c r="AS318">
        <f>'2020_2021_efet Int_Confianca'!AQ66</f>
        <v>8.6999999999999994E-3</v>
      </c>
      <c r="AT318">
        <f>'2020_2021_efet Int_Confianca'!AR66</f>
        <v>7.6E-3</v>
      </c>
      <c r="AU318">
        <f>'2020_2021_efet Int_Confianca'!AS66</f>
        <v>1.1599999999999999E-2</v>
      </c>
      <c r="AV318">
        <f>'2020_2021_efet Int_Confianca'!AT66</f>
        <v>1.35E-2</v>
      </c>
      <c r="AW318">
        <f>'2020_2021_efet Int_Confianca'!AU66</f>
        <v>1.2800000000000001E-2</v>
      </c>
      <c r="AX318">
        <f>'2020_2021_efet Int_Confianca'!AV66</f>
        <v>1.5800000000000002E-2</v>
      </c>
      <c r="AY318">
        <f>'2020_2021_efet Int_Confianca'!AW66</f>
        <v>1.6299999999999999E-2</v>
      </c>
      <c r="AZ318">
        <f>'2020_2021_efet Int_Confianca'!AX66</f>
        <v>1.54E-2</v>
      </c>
      <c r="BA318">
        <f>'2020_2021_efet Int_Confianca'!AY66</f>
        <v>1.6500000000000001E-2</v>
      </c>
      <c r="BB318">
        <f>'2020_2021_efet Int_Confianca'!AZ66</f>
        <v>1.66E-2</v>
      </c>
      <c r="BC318">
        <f>'2020_2021_efet Int_Confianca'!BA66</f>
        <v>1.26E-2</v>
      </c>
      <c r="BD318">
        <f>'2020_2021_efet Int_Confianca'!BB66</f>
        <v>1.23E-2</v>
      </c>
      <c r="BE318">
        <f>'2020_2021_efet Int_Confianca'!BC66</f>
        <v>0.01</v>
      </c>
      <c r="BF318">
        <f>'2020_2021_efet Int_Confianca'!BD66</f>
        <v>1.32E-2</v>
      </c>
      <c r="BG318">
        <f>'2020_2021_efet Int_Confianca'!BE66</f>
        <v>1.14E-2</v>
      </c>
      <c r="BH318">
        <f>'2020_2021_efet Int_Confianca'!BF66</f>
        <v>1.21E-2</v>
      </c>
      <c r="BI318">
        <f>'2020_2021_efet Int_Confianca'!BG66</f>
        <v>1.2699999999999999E-2</v>
      </c>
      <c r="BJ318">
        <f>'2020_2021_efet Int_Confianca'!BH66</f>
        <v>1.37E-2</v>
      </c>
      <c r="BK318">
        <f>'2020_2021_efet Int_Confianca'!BI66</f>
        <v>1.4800000000000001E-2</v>
      </c>
      <c r="BL318">
        <f>'2020_2021_efet Int_Confianca'!BJ66</f>
        <v>1.6E-2</v>
      </c>
      <c r="BM318">
        <f>'2020_2021_efet Int_Confianca'!BK66</f>
        <v>1.67E-2</v>
      </c>
      <c r="BN318">
        <f>'2020_2021_efet Int_Confianca'!BL66</f>
        <v>1.89E-2</v>
      </c>
      <c r="BO318">
        <f>'2020_2021_efet Int_Confianca'!BM66</f>
        <v>2.0500000000000001E-2</v>
      </c>
      <c r="BP318">
        <f>'2020_2021_efet Int_Confianca'!BN66</f>
        <v>2.2499999999999999E-2</v>
      </c>
      <c r="BQ318">
        <f>'2020_2021_efet Int_Confianca'!BO66</f>
        <v>2.2200000000000001E-2</v>
      </c>
      <c r="BR318">
        <f>'2020_2021_efet Int_Confianca'!BP66</f>
        <v>2.4400000000000002E-2</v>
      </c>
      <c r="BS318">
        <f>'2020_2021_efet Int_Confianca'!BQ66</f>
        <v>2.5899999999999999E-2</v>
      </c>
      <c r="BT318">
        <f>'2020_2021_efet Int_Confianca'!BR66</f>
        <v>2.3800000000000002E-2</v>
      </c>
      <c r="BU318">
        <f>'2020_2021_efet Int_Confianca'!BS66</f>
        <v>1.89E-2</v>
      </c>
      <c r="BV318">
        <f>'2020_2021_efet Int_Confianca'!BT66</f>
        <v>1.8599999999999998E-2</v>
      </c>
      <c r="BW318">
        <f>'2020_2021_efet Int_Confianca'!BU66</f>
        <v>1.6799999999999999E-2</v>
      </c>
      <c r="BX318">
        <f>'2020_2021_efet Int_Confianca'!BV66</f>
        <v>1.6899999999999998E-2</v>
      </c>
      <c r="BY318">
        <f>'2020_2021_efet Int_Confianca'!BW66</f>
        <v>1.9099999999999999E-2</v>
      </c>
      <c r="BZ318">
        <f>'2020_2021_efet Int_Confianca'!BX66</f>
        <v>2.07E-2</v>
      </c>
      <c r="CA318">
        <f>'2020_2021_efet Int_Confianca'!BY66</f>
        <v>2.4199999999999999E-2</v>
      </c>
      <c r="CB318">
        <f>'2020_2021_efet Int_Confianca'!BZ66</f>
        <v>2.6800000000000001E-2</v>
      </c>
      <c r="CC318">
        <f>'2020_2021_efet Int_Confianca'!CA66</f>
        <v>2.9000000000000001E-2</v>
      </c>
      <c r="CD318">
        <f>'2020_2021_efet Int_Confianca'!CB66</f>
        <v>3.1800000000000002E-2</v>
      </c>
      <c r="CE318">
        <f>'2020_2021_efet Int_Confianca'!CC66</f>
        <v>3.3300000000000003E-2</v>
      </c>
      <c r="CF318">
        <f>'2020_2021_efet Int_Confianca'!CD66</f>
        <v>3.78E-2</v>
      </c>
      <c r="CG318">
        <f>'2020_2021_efet Int_Confianca'!CE66</f>
        <v>4.53E-2</v>
      </c>
      <c r="CH318">
        <f>'2020_2021_efet Int_Confianca'!CF66</f>
        <v>4.0599999999999997E-2</v>
      </c>
      <c r="CI318">
        <f>'2020_2021_efet Int_Confianca'!CG66</f>
        <v>4.1599999999999998E-2</v>
      </c>
      <c r="CJ318">
        <f>'2020_2021_efet Int_Confianca'!CH66</f>
        <v>4.0099999999999997E-2</v>
      </c>
      <c r="CK318">
        <f>'2020_2021_efet Int_Confianca'!CI66</f>
        <v>4.3999999999999997E-2</v>
      </c>
      <c r="CL318">
        <f>'2020_2021_efet Int_Confianca'!CJ66</f>
        <v>4.1799999999999997E-2</v>
      </c>
      <c r="CM318">
        <f>'2020_2021_efet Int_Confianca'!CK66</f>
        <v>4.3799999999999999E-2</v>
      </c>
      <c r="CN318">
        <f>'2020_2021_efet Int_Confianca'!CL66</f>
        <v>4.1300000000000003E-2</v>
      </c>
      <c r="CO318">
        <f>'2020_2021_efet Int_Confianca'!CM66</f>
        <v>5.7599999999999998E-2</v>
      </c>
      <c r="CP318">
        <f>'2020_2021_efet Int_Confianca'!CN66</f>
        <v>5.4800000000000001E-2</v>
      </c>
      <c r="CQ318">
        <f>'2020_2021_efet Int_Confianca'!CO66</f>
        <v>5.67E-2</v>
      </c>
      <c r="CR318">
        <f>'2020_2021_efet Int_Confianca'!CP66</f>
        <v>5.3999999999999999E-2</v>
      </c>
      <c r="CS318">
        <f>'2020_2021_efet Int_Confianca'!CQ66</f>
        <v>5.4800000000000001E-2</v>
      </c>
      <c r="CT318">
        <f>'2020_2021_efet Int_Confianca'!CR66</f>
        <v>5.5300000000000002E-2</v>
      </c>
      <c r="CU318">
        <f>'2020_2021_efet Int_Confianca'!CS66</f>
        <v>5.6399999999999999E-2</v>
      </c>
      <c r="CV318">
        <f>'2020_2021_efet Int_Confianca'!CT66</f>
        <v>8.6900000000000005E-2</v>
      </c>
      <c r="CW318">
        <f>'2020_2021_efet Int_Confianca'!CU66</f>
        <v>6.7799999999999999E-2</v>
      </c>
      <c r="CX318">
        <f>'2020_2021_efet Int_Confianca'!CV66</f>
        <v>0.16</v>
      </c>
    </row>
    <row r="319" spans="1:102" x14ac:dyDescent="0.2">
      <c r="A319" t="s">
        <v>5915</v>
      </c>
      <c r="B319" t="s">
        <v>219</v>
      </c>
      <c r="C319" t="s">
        <v>223</v>
      </c>
      <c r="D319">
        <f>'2020_2021_efet Int_Confianca'!B67</f>
        <v>-1E-3</v>
      </c>
      <c r="E319">
        <f>'2020_2021_efet Int_Confianca'!C67</f>
        <v>-1E-3</v>
      </c>
      <c r="F319">
        <f>'2020_2021_efet Int_Confianca'!D67</f>
        <v>-1E-3</v>
      </c>
      <c r="G319">
        <f>'2020_2021_efet Int_Confianca'!E67</f>
        <v>5.6800000000000003E-2</v>
      </c>
      <c r="H319">
        <f>'2020_2021_efet Int_Confianca'!F67</f>
        <v>4.1999999999999997E-3</v>
      </c>
      <c r="I319">
        <f>'2020_2021_efet Int_Confianca'!G67</f>
        <v>-1.01E-2</v>
      </c>
      <c r="J319">
        <f>'2020_2021_efet Int_Confianca'!H67</f>
        <v>-2.07E-2</v>
      </c>
      <c r="K319">
        <f>'2020_2021_efet Int_Confianca'!I67</f>
        <v>-1.0500000000000001E-2</v>
      </c>
      <c r="L319">
        <f>'2020_2021_efet Int_Confianca'!J67</f>
        <v>-2.1399999999999999E-2</v>
      </c>
      <c r="M319">
        <f>'2020_2021_efet Int_Confianca'!K67</f>
        <v>-2.12E-2</v>
      </c>
      <c r="N319">
        <f>'2020_2021_efet Int_Confianca'!L67</f>
        <v>-2.1399999999999999E-2</v>
      </c>
      <c r="O319">
        <f>'2020_2021_efet Int_Confianca'!M67</f>
        <v>-1.5800000000000002E-2</v>
      </c>
      <c r="P319">
        <f>'2020_2021_efet Int_Confianca'!N67</f>
        <v>-1.9699999999999999E-2</v>
      </c>
      <c r="Q319">
        <f>'2020_2021_efet Int_Confianca'!O67</f>
        <v>-1.6500000000000001E-2</v>
      </c>
      <c r="R319">
        <f>'2020_2021_efet Int_Confianca'!P67</f>
        <v>-2.1000000000000001E-2</v>
      </c>
      <c r="S319">
        <f>'2020_2021_efet Int_Confianca'!Q67</f>
        <v>-1.3100000000000001E-2</v>
      </c>
      <c r="T319">
        <f>'2020_2021_efet Int_Confianca'!R67</f>
        <v>-7.7999999999999996E-3</v>
      </c>
      <c r="U319">
        <f>'2020_2021_efet Int_Confianca'!S67</f>
        <v>-9.2999999999999992E-3</v>
      </c>
      <c r="V319">
        <f>'2020_2021_efet Int_Confianca'!T67</f>
        <v>-6.7000000000000002E-3</v>
      </c>
      <c r="W319">
        <f>'2020_2021_efet Int_Confianca'!U67</f>
        <v>-3.2000000000000002E-3</v>
      </c>
      <c r="X319">
        <f>'2020_2021_efet Int_Confianca'!V67</f>
        <v>-2.3E-3</v>
      </c>
      <c r="Y319">
        <f>'2020_2021_efet Int_Confianca'!W67</f>
        <v>-6.0000000000000001E-3</v>
      </c>
      <c r="Z319">
        <f>'2020_2021_efet Int_Confianca'!X67</f>
        <v>-2.2000000000000001E-3</v>
      </c>
      <c r="AA319">
        <f>'2020_2021_efet Int_Confianca'!Y67</f>
        <v>-6.4999999999999997E-3</v>
      </c>
      <c r="AB319">
        <f>'2020_2021_efet Int_Confianca'!Z67</f>
        <v>-3.8999999999999998E-3</v>
      </c>
      <c r="AC319">
        <f>'2020_2021_efet Int_Confianca'!AA67</f>
        <v>-5.7000000000000002E-3</v>
      </c>
      <c r="AD319">
        <f>'2020_2021_efet Int_Confianca'!AB67</f>
        <v>-5.1000000000000004E-3</v>
      </c>
      <c r="AE319">
        <f>'2020_2021_efet Int_Confianca'!AC67</f>
        <v>-4.7000000000000002E-3</v>
      </c>
      <c r="AF319">
        <f>'2020_2021_efet Int_Confianca'!AD67</f>
        <v>-6.7000000000000002E-3</v>
      </c>
      <c r="AG319">
        <f>'2020_2021_efet Int_Confianca'!AE67</f>
        <v>-5.4999999999999997E-3</v>
      </c>
      <c r="AH319">
        <f>'2020_2021_efet Int_Confianca'!AF67</f>
        <v>-4.0000000000000001E-3</v>
      </c>
      <c r="AI319">
        <f>'2020_2021_efet Int_Confianca'!AG67</f>
        <v>-4.4000000000000003E-3</v>
      </c>
      <c r="AJ319">
        <f>'2020_2021_efet Int_Confianca'!AH67</f>
        <v>-6.6E-3</v>
      </c>
      <c r="AK319">
        <f>'2020_2021_efet Int_Confianca'!AI67</f>
        <v>-6.4000000000000003E-3</v>
      </c>
      <c r="AL319">
        <f>'2020_2021_efet Int_Confianca'!AJ67</f>
        <v>-8.3000000000000001E-3</v>
      </c>
      <c r="AM319">
        <f>'2020_2021_efet Int_Confianca'!AK67</f>
        <v>-0.01</v>
      </c>
      <c r="AN319">
        <f>'2020_2021_efet Int_Confianca'!AL67</f>
        <v>-1.0200000000000001E-2</v>
      </c>
      <c r="AO319">
        <f>'2020_2021_efet Int_Confianca'!AM67</f>
        <v>-1.0999999999999999E-2</v>
      </c>
      <c r="AP319">
        <f>'2020_2021_efet Int_Confianca'!AN67</f>
        <v>-1.17E-2</v>
      </c>
      <c r="AQ319">
        <f>'2020_2021_efet Int_Confianca'!AO67</f>
        <v>-1.0500000000000001E-2</v>
      </c>
      <c r="AR319">
        <f>'2020_2021_efet Int_Confianca'!AP67</f>
        <v>-7.4000000000000003E-3</v>
      </c>
      <c r="AS319">
        <f>'2020_2021_efet Int_Confianca'!AQ67</f>
        <v>-7.6E-3</v>
      </c>
      <c r="AT319">
        <f>'2020_2021_efet Int_Confianca'!AR67</f>
        <v>-8.3999999999999995E-3</v>
      </c>
      <c r="AU319">
        <f>'2020_2021_efet Int_Confianca'!AS67</f>
        <v>-6.4000000000000003E-3</v>
      </c>
      <c r="AV319">
        <f>'2020_2021_efet Int_Confianca'!AT67</f>
        <v>-5.4000000000000003E-3</v>
      </c>
      <c r="AW319">
        <f>'2020_2021_efet Int_Confianca'!AU67</f>
        <v>-4.4000000000000003E-3</v>
      </c>
      <c r="AX319">
        <f>'2020_2021_efet Int_Confianca'!AV67</f>
        <v>-4.1999999999999997E-3</v>
      </c>
      <c r="AY319">
        <f>'2020_2021_efet Int_Confianca'!AW67</f>
        <v>-2.3E-3</v>
      </c>
      <c r="AZ319">
        <f>'2020_2021_efet Int_Confianca'!AX67</f>
        <v>-4.3E-3</v>
      </c>
      <c r="BA319">
        <f>'2020_2021_efet Int_Confianca'!AY67</f>
        <v>-3.3E-3</v>
      </c>
      <c r="BB319">
        <f>'2020_2021_efet Int_Confianca'!AZ67</f>
        <v>-1.9E-3</v>
      </c>
      <c r="BC319">
        <f>'2020_2021_efet Int_Confianca'!BA67</f>
        <v>-3.8999999999999998E-3</v>
      </c>
      <c r="BD319">
        <f>'2020_2021_efet Int_Confianca'!BB67</f>
        <v>-4.5999999999999999E-3</v>
      </c>
      <c r="BE319">
        <f>'2020_2021_efet Int_Confianca'!BC67</f>
        <v>-9.1999999999999998E-3</v>
      </c>
      <c r="BF319">
        <f>'2020_2021_efet Int_Confianca'!BD67</f>
        <v>-8.6999999999999994E-3</v>
      </c>
      <c r="BG319">
        <f>'2020_2021_efet Int_Confianca'!BE67</f>
        <v>-1.0200000000000001E-2</v>
      </c>
      <c r="BH319">
        <f>'2020_2021_efet Int_Confianca'!BF67</f>
        <v>-1.0800000000000001E-2</v>
      </c>
      <c r="BI319">
        <f>'2020_2021_efet Int_Confianca'!BG67</f>
        <v>-1.1900000000000001E-2</v>
      </c>
      <c r="BJ319">
        <f>'2020_2021_efet Int_Confianca'!BH67</f>
        <v>-1.3899999999999999E-2</v>
      </c>
      <c r="BK319">
        <f>'2020_2021_efet Int_Confianca'!BI67</f>
        <v>-1.4200000000000001E-2</v>
      </c>
      <c r="BL319">
        <f>'2020_2021_efet Int_Confianca'!BJ67</f>
        <v>-1.7899999999999999E-2</v>
      </c>
      <c r="BM319">
        <f>'2020_2021_efet Int_Confianca'!BK67</f>
        <v>-1.6199999999999999E-2</v>
      </c>
      <c r="BN319">
        <f>'2020_2021_efet Int_Confianca'!BL67</f>
        <v>-1.6299999999999999E-2</v>
      </c>
      <c r="BO319">
        <f>'2020_2021_efet Int_Confianca'!BM67</f>
        <v>-2.01E-2</v>
      </c>
      <c r="BP319">
        <f>'2020_2021_efet Int_Confianca'!BN67</f>
        <v>-2.1999999999999999E-2</v>
      </c>
      <c r="BQ319">
        <f>'2020_2021_efet Int_Confianca'!BO67</f>
        <v>-2.0199999999999999E-2</v>
      </c>
      <c r="BR319">
        <f>'2020_2021_efet Int_Confianca'!BP67</f>
        <v>-2.0199999999999999E-2</v>
      </c>
      <c r="BS319">
        <f>'2020_2021_efet Int_Confianca'!BQ67</f>
        <v>-1.84E-2</v>
      </c>
      <c r="BT319">
        <f>'2020_2021_efet Int_Confianca'!BR67</f>
        <v>-2.06E-2</v>
      </c>
      <c r="BU319">
        <f>'2020_2021_efet Int_Confianca'!BS67</f>
        <v>-2.3900000000000001E-2</v>
      </c>
      <c r="BV319">
        <f>'2020_2021_efet Int_Confianca'!BT67</f>
        <v>-2.3199999999999998E-2</v>
      </c>
      <c r="BW319">
        <f>'2020_2021_efet Int_Confianca'!BU67</f>
        <v>-2.58E-2</v>
      </c>
      <c r="BX319">
        <f>'2020_2021_efet Int_Confianca'!BV67</f>
        <v>-2.5000000000000001E-2</v>
      </c>
      <c r="BY319">
        <f>'2020_2021_efet Int_Confianca'!BW67</f>
        <v>-2.2100000000000002E-2</v>
      </c>
      <c r="BZ319">
        <f>'2020_2021_efet Int_Confianca'!BX67</f>
        <v>-2.3699999999999999E-2</v>
      </c>
      <c r="CA319">
        <f>'2020_2021_efet Int_Confianca'!BY67</f>
        <v>-2.3699999999999999E-2</v>
      </c>
      <c r="CB319">
        <f>'2020_2021_efet Int_Confianca'!BZ67</f>
        <v>-2.3900000000000001E-2</v>
      </c>
      <c r="CC319">
        <f>'2020_2021_efet Int_Confianca'!CA67</f>
        <v>-2.5999999999999999E-2</v>
      </c>
      <c r="CD319">
        <f>'2020_2021_efet Int_Confianca'!CB67</f>
        <v>-2.8400000000000002E-2</v>
      </c>
      <c r="CE319">
        <f>'2020_2021_efet Int_Confianca'!CC67</f>
        <v>-2.9499999999999998E-2</v>
      </c>
      <c r="CF319">
        <f>'2020_2021_efet Int_Confianca'!CD67</f>
        <v>-2.92E-2</v>
      </c>
      <c r="CG319">
        <f>'2020_2021_efet Int_Confianca'!CE67</f>
        <v>-1.7299999999999999E-2</v>
      </c>
      <c r="CH319">
        <f>'2020_2021_efet Int_Confianca'!CF67</f>
        <v>-1.9699999999999999E-2</v>
      </c>
      <c r="CI319">
        <f>'2020_2021_efet Int_Confianca'!CG67</f>
        <v>-2.1000000000000001E-2</v>
      </c>
      <c r="CJ319">
        <f>'2020_2021_efet Int_Confianca'!CH67</f>
        <v>-2.0299999999999999E-2</v>
      </c>
      <c r="CK319">
        <f>'2020_2021_efet Int_Confianca'!CI67</f>
        <v>-1.72E-2</v>
      </c>
      <c r="CL319">
        <f>'2020_2021_efet Int_Confianca'!CJ67</f>
        <v>-2.35E-2</v>
      </c>
      <c r="CM319">
        <f>'2020_2021_efet Int_Confianca'!CK67</f>
        <v>-2.8000000000000001E-2</v>
      </c>
      <c r="CN319">
        <f>'2020_2021_efet Int_Confianca'!CL67</f>
        <v>-2.6200000000000001E-2</v>
      </c>
      <c r="CO319">
        <f>'2020_2021_efet Int_Confianca'!CM67</f>
        <v>-2.1499999999999998E-2</v>
      </c>
      <c r="CP319">
        <f>'2020_2021_efet Int_Confianca'!CN67</f>
        <v>-1.2E-2</v>
      </c>
      <c r="CQ319">
        <f>'2020_2021_efet Int_Confianca'!CO67</f>
        <v>-1.2999999999999999E-2</v>
      </c>
      <c r="CR319">
        <f>'2020_2021_efet Int_Confianca'!CP67</f>
        <v>-2.1700000000000001E-2</v>
      </c>
      <c r="CS319">
        <f>'2020_2021_efet Int_Confianca'!CQ67</f>
        <v>-5.3800000000000001E-2</v>
      </c>
      <c r="CT319">
        <f>'2020_2021_efet Int_Confianca'!CR67</f>
        <v>-4.8000000000000001E-2</v>
      </c>
      <c r="CU319">
        <f>'2020_2021_efet Int_Confianca'!CS67</f>
        <v>-3.49E-2</v>
      </c>
      <c r="CV319">
        <f>'2020_2021_efet Int_Confianca'!CT67</f>
        <v>-8.9599999999999999E-2</v>
      </c>
      <c r="CW319">
        <f>'2020_2021_efet Int_Confianca'!CU67</f>
        <v>-7.7100000000000002E-2</v>
      </c>
      <c r="CX319">
        <f>'2020_2021_efet Int_Confianca'!CV67</f>
        <v>-7.7100000000000002E-2</v>
      </c>
    </row>
    <row r="320" spans="1:102" x14ac:dyDescent="0.2">
      <c r="A320" t="s">
        <v>5916</v>
      </c>
      <c r="B320" t="s">
        <v>219</v>
      </c>
      <c r="C320" t="s">
        <v>223</v>
      </c>
      <c r="D320">
        <f>'2020_2021_efet Int_Confianca'!B68</f>
        <v>1.0699999999999999E-2</v>
      </c>
      <c r="E320">
        <f>'2020_2021_efet Int_Confianca'!C68</f>
        <v>1.0699999999999999E-2</v>
      </c>
      <c r="F320">
        <f>'2020_2021_efet Int_Confianca'!D68</f>
        <v>1.0699999999999999E-2</v>
      </c>
      <c r="G320">
        <f>'2020_2021_efet Int_Confianca'!E68</f>
        <v>0.23</v>
      </c>
      <c r="H320">
        <f>'2020_2021_efet Int_Confianca'!F68</f>
        <v>0.11890000000000001</v>
      </c>
      <c r="I320">
        <f>'2020_2021_efet Int_Confianca'!G68</f>
        <v>7.1099999999999997E-2</v>
      </c>
      <c r="J320">
        <f>'2020_2021_efet Int_Confianca'!H68</f>
        <v>5.5500000000000001E-2</v>
      </c>
      <c r="K320">
        <f>'2020_2021_efet Int_Confianca'!I68</f>
        <v>5.4699999999999999E-2</v>
      </c>
      <c r="L320">
        <f>'2020_2021_efet Int_Confianca'!J68</f>
        <v>4.1399999999999999E-2</v>
      </c>
      <c r="M320">
        <f>'2020_2021_efet Int_Confianca'!K68</f>
        <v>3.78E-2</v>
      </c>
      <c r="N320">
        <f>'2020_2021_efet Int_Confianca'!L68</f>
        <v>3.2599999999999997E-2</v>
      </c>
      <c r="O320">
        <f>'2020_2021_efet Int_Confianca'!M68</f>
        <v>3.5499999999999997E-2</v>
      </c>
      <c r="P320">
        <f>'2020_2021_efet Int_Confianca'!N68</f>
        <v>2.4E-2</v>
      </c>
      <c r="Q320">
        <f>'2020_2021_efet Int_Confianca'!O68</f>
        <v>1.83E-2</v>
      </c>
      <c r="R320">
        <f>'2020_2021_efet Int_Confianca'!P68</f>
        <v>1.41E-2</v>
      </c>
      <c r="S320">
        <f>'2020_2021_efet Int_Confianca'!Q68</f>
        <v>1.49E-2</v>
      </c>
      <c r="T320">
        <f>'2020_2021_efet Int_Confianca'!R68</f>
        <v>1.54E-2</v>
      </c>
      <c r="U320">
        <f>'2020_2021_efet Int_Confianca'!S68</f>
        <v>1.21E-2</v>
      </c>
      <c r="V320">
        <f>'2020_2021_efet Int_Confianca'!T68</f>
        <v>1.24E-2</v>
      </c>
      <c r="W320">
        <f>'2020_2021_efet Int_Confianca'!U68</f>
        <v>1.34E-2</v>
      </c>
      <c r="X320">
        <f>'2020_2021_efet Int_Confianca'!V68</f>
        <v>1.43E-2</v>
      </c>
      <c r="Y320">
        <f>'2020_2021_efet Int_Confianca'!W68</f>
        <v>1.0999999999999999E-2</v>
      </c>
      <c r="Z320">
        <f>'2020_2021_efet Int_Confianca'!X68</f>
        <v>1.4999999999999999E-2</v>
      </c>
      <c r="AA320">
        <f>'2020_2021_efet Int_Confianca'!Y68</f>
        <v>1.09E-2</v>
      </c>
      <c r="AB320">
        <f>'2020_2021_efet Int_Confianca'!Z68</f>
        <v>1.2800000000000001E-2</v>
      </c>
      <c r="AC320">
        <f>'2020_2021_efet Int_Confianca'!AA68</f>
        <v>1.11E-2</v>
      </c>
      <c r="AD320">
        <f>'2020_2021_efet Int_Confianca'!AB68</f>
        <v>1.2E-2</v>
      </c>
      <c r="AE320">
        <f>'2020_2021_efet Int_Confianca'!AC68</f>
        <v>1.2699999999999999E-2</v>
      </c>
      <c r="AF320">
        <f>'2020_2021_efet Int_Confianca'!AD68</f>
        <v>1.11E-2</v>
      </c>
      <c r="AG320">
        <f>'2020_2021_efet Int_Confianca'!AE68</f>
        <v>1.35E-2</v>
      </c>
      <c r="AH320">
        <f>'2020_2021_efet Int_Confianca'!AF68</f>
        <v>1.52E-2</v>
      </c>
      <c r="AI320">
        <f>'2020_2021_efet Int_Confianca'!AG68</f>
        <v>1.61E-2</v>
      </c>
      <c r="AJ320">
        <f>'2020_2021_efet Int_Confianca'!AH68</f>
        <v>1.4999999999999999E-2</v>
      </c>
      <c r="AK320">
        <f>'2020_2021_efet Int_Confianca'!AI68</f>
        <v>1.55E-2</v>
      </c>
      <c r="AL320">
        <f>'2020_2021_efet Int_Confianca'!AJ68</f>
        <v>1.3899999999999999E-2</v>
      </c>
      <c r="AM320">
        <f>'2020_2021_efet Int_Confianca'!AK68</f>
        <v>1.2800000000000001E-2</v>
      </c>
      <c r="AN320">
        <f>'2020_2021_efet Int_Confianca'!AL68</f>
        <v>1.3100000000000001E-2</v>
      </c>
      <c r="AO320">
        <f>'2020_2021_efet Int_Confianca'!AM68</f>
        <v>1.26E-2</v>
      </c>
      <c r="AP320">
        <f>'2020_2021_efet Int_Confianca'!AN68</f>
        <v>1.1900000000000001E-2</v>
      </c>
      <c r="AQ320">
        <f>'2020_2021_efet Int_Confianca'!AO68</f>
        <v>1.3100000000000001E-2</v>
      </c>
      <c r="AR320">
        <f>'2020_2021_efet Int_Confianca'!AP68</f>
        <v>1.6199999999999999E-2</v>
      </c>
      <c r="AS320">
        <f>'2020_2021_efet Int_Confianca'!AQ68</f>
        <v>1.6E-2</v>
      </c>
      <c r="AT320">
        <f>'2020_2021_efet Int_Confianca'!AR68</f>
        <v>1.5100000000000001E-2</v>
      </c>
      <c r="AU320">
        <f>'2020_2021_efet Int_Confianca'!AS68</f>
        <v>1.72E-2</v>
      </c>
      <c r="AV320">
        <f>'2020_2021_efet Int_Confianca'!AT68</f>
        <v>1.83E-2</v>
      </c>
      <c r="AW320">
        <f>'2020_2021_efet Int_Confianca'!AU68</f>
        <v>1.95E-2</v>
      </c>
      <c r="AX320">
        <f>'2020_2021_efet Int_Confianca'!AV68</f>
        <v>0.02</v>
      </c>
      <c r="AY320">
        <f>'2020_2021_efet Int_Confianca'!AW68</f>
        <v>2.1899999999999999E-2</v>
      </c>
      <c r="AZ320">
        <f>'2020_2021_efet Int_Confianca'!AX68</f>
        <v>2.1000000000000001E-2</v>
      </c>
      <c r="BA320">
        <f>'2020_2021_efet Int_Confianca'!AY68</f>
        <v>2.2200000000000001E-2</v>
      </c>
      <c r="BB320">
        <f>'2020_2021_efet Int_Confianca'!AZ68</f>
        <v>2.3800000000000002E-2</v>
      </c>
      <c r="BC320">
        <f>'2020_2021_efet Int_Confianca'!BA68</f>
        <v>2.2499999999999999E-2</v>
      </c>
      <c r="BD320">
        <f>'2020_2021_efet Int_Confianca'!BB68</f>
        <v>2.1999999999999999E-2</v>
      </c>
      <c r="BE320">
        <f>'2020_2021_efet Int_Confianca'!BC68</f>
        <v>1.7899999999999999E-2</v>
      </c>
      <c r="BF320">
        <f>'2020_2021_efet Int_Confianca'!BD68</f>
        <v>1.83E-2</v>
      </c>
      <c r="BG320">
        <f>'2020_2021_efet Int_Confianca'!BE68</f>
        <v>1.6500000000000001E-2</v>
      </c>
      <c r="BH320">
        <f>'2020_2021_efet Int_Confianca'!BF68</f>
        <v>1.5800000000000002E-2</v>
      </c>
      <c r="BI320">
        <f>'2020_2021_efet Int_Confianca'!BG68</f>
        <v>1.4200000000000001E-2</v>
      </c>
      <c r="BJ320">
        <f>'2020_2021_efet Int_Confianca'!BH68</f>
        <v>1.2200000000000001E-2</v>
      </c>
      <c r="BK320">
        <f>'2020_2021_efet Int_Confianca'!BI68</f>
        <v>1.2E-2</v>
      </c>
      <c r="BL320">
        <f>'2020_2021_efet Int_Confianca'!BJ68</f>
        <v>8.3000000000000001E-3</v>
      </c>
      <c r="BM320">
        <f>'2020_2021_efet Int_Confianca'!BK68</f>
        <v>9.7999999999999997E-3</v>
      </c>
      <c r="BN320">
        <f>'2020_2021_efet Int_Confianca'!BL68</f>
        <v>9.7999999999999997E-3</v>
      </c>
      <c r="BO320">
        <f>'2020_2021_efet Int_Confianca'!BM68</f>
        <v>7.4999999999999997E-3</v>
      </c>
      <c r="BP320">
        <f>'2020_2021_efet Int_Confianca'!BN68</f>
        <v>7.7999999999999996E-3</v>
      </c>
      <c r="BQ320">
        <f>'2020_2021_efet Int_Confianca'!BO68</f>
        <v>1.0800000000000001E-2</v>
      </c>
      <c r="BR320">
        <f>'2020_2021_efet Int_Confianca'!BP68</f>
        <v>1.18E-2</v>
      </c>
      <c r="BS320">
        <f>'2020_2021_efet Int_Confianca'!BQ68</f>
        <v>1.4200000000000001E-2</v>
      </c>
      <c r="BT320">
        <f>'2020_2021_efet Int_Confianca'!BR68</f>
        <v>1.23E-2</v>
      </c>
      <c r="BU320">
        <f>'2020_2021_efet Int_Confianca'!BS68</f>
        <v>9.7000000000000003E-3</v>
      </c>
      <c r="BV320">
        <f>'2020_2021_efet Int_Confianca'!BT68</f>
        <v>1.01E-2</v>
      </c>
      <c r="BW320">
        <f>'2020_2021_efet Int_Confianca'!BU68</f>
        <v>8.3000000000000001E-3</v>
      </c>
      <c r="BX320">
        <f>'2020_2021_efet Int_Confianca'!BV68</f>
        <v>9.1999999999999998E-3</v>
      </c>
      <c r="BY320">
        <f>'2020_2021_efet Int_Confianca'!BW68</f>
        <v>1.21E-2</v>
      </c>
      <c r="BZ320">
        <f>'2020_2021_efet Int_Confianca'!BX68</f>
        <v>1.11E-2</v>
      </c>
      <c r="CA320">
        <f>'2020_2021_efet Int_Confianca'!BY68</f>
        <v>1.2200000000000001E-2</v>
      </c>
      <c r="CB320">
        <f>'2020_2021_efet Int_Confianca'!BZ68</f>
        <v>1.11E-2</v>
      </c>
      <c r="CC320">
        <f>'2020_2021_efet Int_Confianca'!CA68</f>
        <v>1.15E-2</v>
      </c>
      <c r="CD320">
        <f>'2020_2021_efet Int_Confianca'!CB68</f>
        <v>1.1900000000000001E-2</v>
      </c>
      <c r="CE320">
        <f>'2020_2021_efet Int_Confianca'!CC68</f>
        <v>1.3899999999999999E-2</v>
      </c>
      <c r="CF320">
        <f>'2020_2021_efet Int_Confianca'!CD68</f>
        <v>1.7000000000000001E-2</v>
      </c>
      <c r="CG320">
        <f>'2020_2021_efet Int_Confianca'!CE68</f>
        <v>2.8199999999999999E-2</v>
      </c>
      <c r="CH320">
        <f>'2020_2021_efet Int_Confianca'!CF68</f>
        <v>2.4199999999999999E-2</v>
      </c>
      <c r="CI320">
        <f>'2020_2021_efet Int_Confianca'!CG68</f>
        <v>2.1100000000000001E-2</v>
      </c>
      <c r="CJ320">
        <f>'2020_2021_efet Int_Confianca'!CH68</f>
        <v>2.3E-2</v>
      </c>
      <c r="CK320">
        <f>'2020_2021_efet Int_Confianca'!CI68</f>
        <v>3.1399999999999997E-2</v>
      </c>
      <c r="CL320">
        <f>'2020_2021_efet Int_Confianca'!CJ68</f>
        <v>2.7E-2</v>
      </c>
      <c r="CM320">
        <f>'2020_2021_efet Int_Confianca'!CK68</f>
        <v>2.3300000000000001E-2</v>
      </c>
      <c r="CN320">
        <f>'2020_2021_efet Int_Confianca'!CL68</f>
        <v>2.5499999999999998E-2</v>
      </c>
      <c r="CO320">
        <f>'2020_2021_efet Int_Confianca'!CM68</f>
        <v>3.5499999999999997E-2</v>
      </c>
      <c r="CP320">
        <f>'2020_2021_efet Int_Confianca'!CN68</f>
        <v>4.7899999999999998E-2</v>
      </c>
      <c r="CQ320">
        <f>'2020_2021_efet Int_Confianca'!CO68</f>
        <v>5.2600000000000001E-2</v>
      </c>
      <c r="CR320">
        <f>'2020_2021_efet Int_Confianca'!CP68</f>
        <v>4.8500000000000001E-2</v>
      </c>
      <c r="CS320">
        <f>'2020_2021_efet Int_Confianca'!CQ68</f>
        <v>2.0799999999999999E-2</v>
      </c>
      <c r="CT320">
        <f>'2020_2021_efet Int_Confianca'!CR68</f>
        <v>3.5499999999999997E-2</v>
      </c>
      <c r="CU320">
        <f>'2020_2021_efet Int_Confianca'!CS68</f>
        <v>4.3499999999999997E-2</v>
      </c>
      <c r="CV320">
        <f>'2020_2021_efet Int_Confianca'!CT68</f>
        <v>2.5100000000000001E-2</v>
      </c>
      <c r="CW320">
        <f>'2020_2021_efet Int_Confianca'!CU68</f>
        <v>3.9199999999999999E-2</v>
      </c>
      <c r="CX320">
        <f>'2020_2021_efet Int_Confianca'!CV68</f>
        <v>0.1105</v>
      </c>
    </row>
    <row r="321" spans="1:102" x14ac:dyDescent="0.2">
      <c r="A321" t="s">
        <v>5917</v>
      </c>
      <c r="B321" t="s">
        <v>219</v>
      </c>
      <c r="C321" t="s">
        <v>223</v>
      </c>
      <c r="D321">
        <f>'2020_2021_efet Int_Confianca'!B69</f>
        <v>-1.4E-3</v>
      </c>
      <c r="E321">
        <f>'2020_2021_efet Int_Confianca'!C69</f>
        <v>-1.4E-3</v>
      </c>
      <c r="F321">
        <f>'2020_2021_efet Int_Confianca'!D69</f>
        <v>-1.4E-3</v>
      </c>
      <c r="G321">
        <f>'2020_2021_efet Int_Confianca'!E69</f>
        <v>3.1800000000000002E-2</v>
      </c>
      <c r="H321">
        <f>'2020_2021_efet Int_Confianca'!F69</f>
        <v>1.0200000000000001E-2</v>
      </c>
      <c r="I321">
        <f>'2020_2021_efet Int_Confianca'!G69</f>
        <v>2.07E-2</v>
      </c>
      <c r="J321">
        <f>'2020_2021_efet Int_Confianca'!H69</f>
        <v>-6.3E-3</v>
      </c>
      <c r="K321">
        <f>'2020_2021_efet Int_Confianca'!I69</f>
        <v>-2.0999999999999999E-3</v>
      </c>
      <c r="L321">
        <f>'2020_2021_efet Int_Confianca'!J69</f>
        <v>1.6000000000000001E-3</v>
      </c>
      <c r="M321">
        <f>'2020_2021_efet Int_Confianca'!K69</f>
        <v>8.9999999999999998E-4</v>
      </c>
      <c r="N321">
        <f>'2020_2021_efet Int_Confianca'!L69</f>
        <v>3.3E-3</v>
      </c>
      <c r="O321">
        <f>'2020_2021_efet Int_Confianca'!M69</f>
        <v>2.2000000000000001E-3</v>
      </c>
      <c r="P321">
        <f>'2020_2021_efet Int_Confianca'!N69</f>
        <v>4.3E-3</v>
      </c>
      <c r="Q321">
        <f>'2020_2021_efet Int_Confianca'!O69</f>
        <v>-1.1000000000000001E-3</v>
      </c>
      <c r="R321">
        <f>'2020_2021_efet Int_Confianca'!P69</f>
        <v>-2.8999999999999998E-3</v>
      </c>
      <c r="S321">
        <f>'2020_2021_efet Int_Confianca'!Q69</f>
        <v>-5.0000000000000001E-4</v>
      </c>
      <c r="T321">
        <f>'2020_2021_efet Int_Confianca'!R69</f>
        <v>1E-3</v>
      </c>
      <c r="U321">
        <f>'2020_2021_efet Int_Confianca'!S69</f>
        <v>-6.9999999999999999E-4</v>
      </c>
      <c r="V321">
        <f>'2020_2021_efet Int_Confianca'!T69</f>
        <v>1.6000000000000001E-3</v>
      </c>
      <c r="W321">
        <f>'2020_2021_efet Int_Confianca'!U69</f>
        <v>1.4E-3</v>
      </c>
      <c r="X321">
        <f>'2020_2021_efet Int_Confianca'!V69</f>
        <v>8.0000000000000004E-4</v>
      </c>
      <c r="Y321">
        <f>'2020_2021_efet Int_Confianca'!W69</f>
        <v>-8.9999999999999998E-4</v>
      </c>
      <c r="Z321">
        <f>'2020_2021_efet Int_Confianca'!X69</f>
        <v>-5.0000000000000001E-4</v>
      </c>
      <c r="AA321">
        <f>'2020_2021_efet Int_Confianca'!Y69</f>
        <v>-2.9999999999999997E-4</v>
      </c>
      <c r="AB321">
        <f>'2020_2021_efet Int_Confianca'!Z69</f>
        <v>8.9999999999999998E-4</v>
      </c>
      <c r="AC321">
        <f>'2020_2021_efet Int_Confianca'!AA69</f>
        <v>5.0000000000000001E-4</v>
      </c>
      <c r="AD321">
        <f>'2020_2021_efet Int_Confianca'!AB69</f>
        <v>5.9999999999999995E-4</v>
      </c>
      <c r="AE321">
        <f>'2020_2021_efet Int_Confianca'!AC69</f>
        <v>1.6000000000000001E-3</v>
      </c>
      <c r="AF321">
        <f>'2020_2021_efet Int_Confianca'!AD69</f>
        <v>2.2000000000000001E-3</v>
      </c>
      <c r="AG321">
        <f>'2020_2021_efet Int_Confianca'!AE69</f>
        <v>1.8E-3</v>
      </c>
      <c r="AH321">
        <f>'2020_2021_efet Int_Confianca'!AF69</f>
        <v>1.9E-3</v>
      </c>
      <c r="AI321">
        <f>'2020_2021_efet Int_Confianca'!AG69</f>
        <v>1.6000000000000001E-3</v>
      </c>
      <c r="AJ321">
        <f>'2020_2021_efet Int_Confianca'!AH69</f>
        <v>1E-3</v>
      </c>
      <c r="AK321">
        <f>'2020_2021_efet Int_Confianca'!AI69</f>
        <v>5.0000000000000001E-4</v>
      </c>
      <c r="AL321">
        <f>'2020_2021_efet Int_Confianca'!AJ69</f>
        <v>5.9999999999999995E-4</v>
      </c>
      <c r="AM321">
        <f>'2020_2021_efet Int_Confianca'!AK69</f>
        <v>-4.0000000000000002E-4</v>
      </c>
      <c r="AN321">
        <f>'2020_2021_efet Int_Confianca'!AL69</f>
        <v>-5.9999999999999995E-4</v>
      </c>
      <c r="AO321">
        <f>'2020_2021_efet Int_Confianca'!AM69</f>
        <v>-8.9999999999999998E-4</v>
      </c>
      <c r="AP321">
        <f>'2020_2021_efet Int_Confianca'!AN69</f>
        <v>-8.9999999999999998E-4</v>
      </c>
      <c r="AQ321">
        <f>'2020_2021_efet Int_Confianca'!AO69</f>
        <v>-4.0000000000000002E-4</v>
      </c>
      <c r="AR321">
        <f>'2020_2021_efet Int_Confianca'!AP69</f>
        <v>1E-4</v>
      </c>
      <c r="AS321">
        <f>'2020_2021_efet Int_Confianca'!AQ69</f>
        <v>2.9999999999999997E-4</v>
      </c>
      <c r="AT321">
        <f>'2020_2021_efet Int_Confianca'!AR69</f>
        <v>4.0000000000000002E-4</v>
      </c>
      <c r="AU321">
        <f>'2020_2021_efet Int_Confianca'!AS69</f>
        <v>1.1999999999999999E-3</v>
      </c>
      <c r="AV321">
        <f>'2020_2021_efet Int_Confianca'!AT69</f>
        <v>1.8E-3</v>
      </c>
      <c r="AW321">
        <f>'2020_2021_efet Int_Confianca'!AU69</f>
        <v>1.8E-3</v>
      </c>
      <c r="AX321">
        <f>'2020_2021_efet Int_Confianca'!AV69</f>
        <v>1.5E-3</v>
      </c>
      <c r="AY321">
        <f>'2020_2021_efet Int_Confianca'!AW69</f>
        <v>1.1000000000000001E-3</v>
      </c>
      <c r="AZ321">
        <f>'2020_2021_efet Int_Confianca'!AX69</f>
        <v>5.9999999999999995E-4</v>
      </c>
      <c r="BA321">
        <f>'2020_2021_efet Int_Confianca'!AY69</f>
        <v>6.9999999999999999E-4</v>
      </c>
      <c r="BB321">
        <f>'2020_2021_efet Int_Confianca'!AZ69</f>
        <v>4.0000000000000002E-4</v>
      </c>
      <c r="BC321">
        <f>'2020_2021_efet Int_Confianca'!BA69</f>
        <v>-5.9999999999999995E-4</v>
      </c>
      <c r="BD321">
        <f>'2020_2021_efet Int_Confianca'!BB69</f>
        <v>-5.9999999999999995E-4</v>
      </c>
      <c r="BE321">
        <f>'2020_2021_efet Int_Confianca'!BC69</f>
        <v>-8.9999999999999998E-4</v>
      </c>
      <c r="BF321">
        <f>'2020_2021_efet Int_Confianca'!BD69</f>
        <v>-1.1000000000000001E-3</v>
      </c>
      <c r="BG321">
        <f>'2020_2021_efet Int_Confianca'!BE69</f>
        <v>-8.9999999999999998E-4</v>
      </c>
      <c r="BH321">
        <f>'2020_2021_efet Int_Confianca'!BF69</f>
        <v>-1.1000000000000001E-3</v>
      </c>
      <c r="BI321">
        <f>'2020_2021_efet Int_Confianca'!BG69</f>
        <v>-1.5E-3</v>
      </c>
      <c r="BJ321">
        <f>'2020_2021_efet Int_Confianca'!BH69</f>
        <v>-5.9999999999999995E-4</v>
      </c>
      <c r="BK321">
        <f>'2020_2021_efet Int_Confianca'!BI69</f>
        <v>-8.0000000000000004E-4</v>
      </c>
      <c r="BL321">
        <f>'2020_2021_efet Int_Confianca'!BJ69</f>
        <v>-2.9999999999999997E-4</v>
      </c>
      <c r="BM321">
        <f>'2020_2021_efet Int_Confianca'!BK69</f>
        <v>-4.0000000000000002E-4</v>
      </c>
      <c r="BN321">
        <f>'2020_2021_efet Int_Confianca'!BL69</f>
        <v>-5.0000000000000001E-4</v>
      </c>
      <c r="BO321">
        <f>'2020_2021_efet Int_Confianca'!BM69</f>
        <v>-1.1999999999999999E-3</v>
      </c>
      <c r="BP321">
        <f>'2020_2021_efet Int_Confianca'!BN69</f>
        <v>-1.1999999999999999E-3</v>
      </c>
      <c r="BQ321">
        <f>'2020_2021_efet Int_Confianca'!BO69</f>
        <v>-1.2999999999999999E-3</v>
      </c>
      <c r="BR321">
        <f>'2020_2021_efet Int_Confianca'!BP69</f>
        <v>-2.5000000000000001E-3</v>
      </c>
      <c r="BS321">
        <f>'2020_2021_efet Int_Confianca'!BQ69</f>
        <v>-2.3999999999999998E-3</v>
      </c>
      <c r="BT321">
        <f>'2020_2021_efet Int_Confianca'!BR69</f>
        <v>-2.8E-3</v>
      </c>
      <c r="BU321">
        <f>'2020_2021_efet Int_Confianca'!BS69</f>
        <v>-3.3E-3</v>
      </c>
      <c r="BV321">
        <f>'2020_2021_efet Int_Confianca'!BT69</f>
        <v>-2.8999999999999998E-3</v>
      </c>
      <c r="BW321">
        <f>'2020_2021_efet Int_Confianca'!BU69</f>
        <v>-3.3999999999999998E-3</v>
      </c>
      <c r="BX321">
        <f>'2020_2021_efet Int_Confianca'!BV69</f>
        <v>-3.7000000000000002E-3</v>
      </c>
      <c r="BY321">
        <f>'2020_2021_efet Int_Confianca'!BW69</f>
        <v>-2.5000000000000001E-3</v>
      </c>
      <c r="BZ321">
        <f>'2020_2021_efet Int_Confianca'!BX69</f>
        <v>-2.5000000000000001E-3</v>
      </c>
      <c r="CA321">
        <f>'2020_2021_efet Int_Confianca'!BY69</f>
        <v>-2E-3</v>
      </c>
      <c r="CB321">
        <f>'2020_2021_efet Int_Confianca'!BZ69</f>
        <v>-2.2000000000000001E-3</v>
      </c>
      <c r="CC321">
        <f>'2020_2021_efet Int_Confianca'!CA69</f>
        <v>-4.1000000000000003E-3</v>
      </c>
      <c r="CD321">
        <f>'2020_2021_efet Int_Confianca'!CB69</f>
        <v>-4.4000000000000003E-3</v>
      </c>
      <c r="CE321">
        <f>'2020_2021_efet Int_Confianca'!CC69</f>
        <v>-5.1999999999999998E-3</v>
      </c>
      <c r="CF321">
        <f>'2020_2021_efet Int_Confianca'!CD69</f>
        <v>-5.5999999999999999E-3</v>
      </c>
      <c r="CG321">
        <f>'2020_2021_efet Int_Confianca'!CE69</f>
        <v>-7.0000000000000001E-3</v>
      </c>
      <c r="CH321">
        <f>'2020_2021_efet Int_Confianca'!CF69</f>
        <v>-6.6E-3</v>
      </c>
      <c r="CI321">
        <f>'2020_2021_efet Int_Confianca'!CG69</f>
        <v>-6.4999999999999997E-3</v>
      </c>
      <c r="CJ321">
        <f>'2020_2021_efet Int_Confianca'!CH69</f>
        <v>-6.1999999999999998E-3</v>
      </c>
      <c r="CK321">
        <f>'2020_2021_efet Int_Confianca'!CI69</f>
        <v>-7.1999999999999998E-3</v>
      </c>
      <c r="CL321">
        <f>'2020_2021_efet Int_Confianca'!CJ69</f>
        <v>-8.6999999999999994E-3</v>
      </c>
      <c r="CM321">
        <f>'2020_2021_efet Int_Confianca'!CK69</f>
        <v>-7.9000000000000008E-3</v>
      </c>
      <c r="CN321">
        <f>'2020_2021_efet Int_Confianca'!CL69</f>
        <v>-6.7000000000000002E-3</v>
      </c>
      <c r="CO321">
        <f>'2020_2021_efet Int_Confianca'!CM69</f>
        <v>-6.7999999999999996E-3</v>
      </c>
      <c r="CP321">
        <f>'2020_2021_efet Int_Confianca'!CN69</f>
        <v>-8.8000000000000005E-3</v>
      </c>
      <c r="CQ321">
        <f>'2020_2021_efet Int_Confianca'!CO69</f>
        <v>-9.1999999999999998E-3</v>
      </c>
      <c r="CR321">
        <f>'2020_2021_efet Int_Confianca'!CP69</f>
        <v>-1.04E-2</v>
      </c>
      <c r="CS321">
        <f>'2020_2021_efet Int_Confianca'!CQ69</f>
        <v>-1.0800000000000001E-2</v>
      </c>
      <c r="CT321">
        <f>'2020_2021_efet Int_Confianca'!CR69</f>
        <v>-1.4500000000000001E-2</v>
      </c>
      <c r="CU321">
        <f>'2020_2021_efet Int_Confianca'!CS69</f>
        <v>-1.18E-2</v>
      </c>
      <c r="CV321">
        <f>'2020_2021_efet Int_Confianca'!CT69</f>
        <v>-2.0400000000000001E-2</v>
      </c>
      <c r="CW321">
        <f>'2020_2021_efet Int_Confianca'!CU69</f>
        <v>-2.3900000000000001E-2</v>
      </c>
      <c r="CX321">
        <f>'2020_2021_efet Int_Confianca'!CV69</f>
        <v>-3.1899999999999998E-2</v>
      </c>
    </row>
    <row r="322" spans="1:102" x14ac:dyDescent="0.2">
      <c r="A322" t="s">
        <v>5918</v>
      </c>
      <c r="B322" t="s">
        <v>219</v>
      </c>
      <c r="C322" t="s">
        <v>223</v>
      </c>
      <c r="D322">
        <f>'2020_2021_efet Int_Confianca'!B70</f>
        <v>4.4999999999999997E-3</v>
      </c>
      <c r="E322">
        <f>'2020_2021_efet Int_Confianca'!C70</f>
        <v>4.4999999999999997E-3</v>
      </c>
      <c r="F322">
        <f>'2020_2021_efet Int_Confianca'!D70</f>
        <v>4.4999999999999997E-3</v>
      </c>
      <c r="G322">
        <f>'2020_2021_efet Int_Confianca'!E70</f>
        <v>0.1166</v>
      </c>
      <c r="H322">
        <f>'2020_2021_efet Int_Confianca'!F70</f>
        <v>6.6299999999999998E-2</v>
      </c>
      <c r="I322">
        <f>'2020_2021_efet Int_Confianca'!G70</f>
        <v>5.8999999999999997E-2</v>
      </c>
      <c r="J322">
        <f>'2020_2021_efet Int_Confianca'!H70</f>
        <v>3.5200000000000002E-2</v>
      </c>
      <c r="K322">
        <f>'2020_2021_efet Int_Confianca'!I70</f>
        <v>3.1E-2</v>
      </c>
      <c r="L322">
        <f>'2020_2021_efet Int_Confianca'!J70</f>
        <v>3.2199999999999999E-2</v>
      </c>
      <c r="M322">
        <f>'2020_2021_efet Int_Confianca'!K70</f>
        <v>2.8299999999999999E-2</v>
      </c>
      <c r="N322">
        <f>'2020_2021_efet Int_Confianca'!L70</f>
        <v>2.7199999999999998E-2</v>
      </c>
      <c r="O322">
        <f>'2020_2021_efet Int_Confianca'!M70</f>
        <v>2.4400000000000002E-2</v>
      </c>
      <c r="P322">
        <f>'2020_2021_efet Int_Confianca'!N70</f>
        <v>2.2700000000000001E-2</v>
      </c>
      <c r="Q322">
        <f>'2020_2021_efet Int_Confianca'!O70</f>
        <v>1.34E-2</v>
      </c>
      <c r="R322">
        <f>'2020_2021_efet Int_Confianca'!P70</f>
        <v>1.14E-2</v>
      </c>
      <c r="S322">
        <f>'2020_2021_efet Int_Confianca'!Q70</f>
        <v>1.0500000000000001E-2</v>
      </c>
      <c r="T322">
        <f>'2020_2021_efet Int_Confianca'!R70</f>
        <v>9.7999999999999997E-3</v>
      </c>
      <c r="U322">
        <f>'2020_2021_efet Int_Confianca'!S70</f>
        <v>7.4000000000000003E-3</v>
      </c>
      <c r="V322">
        <f>'2020_2021_efet Int_Confianca'!T70</f>
        <v>8.6E-3</v>
      </c>
      <c r="W322">
        <f>'2020_2021_efet Int_Confianca'!U70</f>
        <v>7.4000000000000003E-3</v>
      </c>
      <c r="X322">
        <f>'2020_2021_efet Int_Confianca'!V70</f>
        <v>6.7000000000000002E-3</v>
      </c>
      <c r="Y322">
        <f>'2020_2021_efet Int_Confianca'!W70</f>
        <v>4.8999999999999998E-3</v>
      </c>
      <c r="Z322">
        <f>'2020_2021_efet Int_Confianca'!X70</f>
        <v>5.3E-3</v>
      </c>
      <c r="AA322">
        <f>'2020_2021_efet Int_Confianca'!Y70</f>
        <v>5.4000000000000003E-3</v>
      </c>
      <c r="AB322">
        <f>'2020_2021_efet Int_Confianca'!Z70</f>
        <v>6.3E-3</v>
      </c>
      <c r="AC322">
        <f>'2020_2021_efet Int_Confianca'!AA70</f>
        <v>6.0000000000000001E-3</v>
      </c>
      <c r="AD322">
        <f>'2020_2021_efet Int_Confianca'!AB70</f>
        <v>6.0000000000000001E-3</v>
      </c>
      <c r="AE322">
        <f>'2020_2021_efet Int_Confianca'!AC70</f>
        <v>7.1000000000000004E-3</v>
      </c>
      <c r="AF322">
        <f>'2020_2021_efet Int_Confianca'!AD70</f>
        <v>7.7000000000000002E-3</v>
      </c>
      <c r="AG322">
        <f>'2020_2021_efet Int_Confianca'!AE70</f>
        <v>7.4999999999999997E-3</v>
      </c>
      <c r="AH322">
        <f>'2020_2021_efet Int_Confianca'!AF70</f>
        <v>7.6E-3</v>
      </c>
      <c r="AI322">
        <f>'2020_2021_efet Int_Confianca'!AG70</f>
        <v>7.6E-3</v>
      </c>
      <c r="AJ322">
        <f>'2020_2021_efet Int_Confianca'!AH70</f>
        <v>7.3000000000000001E-3</v>
      </c>
      <c r="AK322">
        <f>'2020_2021_efet Int_Confianca'!AI70</f>
        <v>6.8999999999999999E-3</v>
      </c>
      <c r="AL322">
        <f>'2020_2021_efet Int_Confianca'!AJ70</f>
        <v>6.8999999999999999E-3</v>
      </c>
      <c r="AM322">
        <f>'2020_2021_efet Int_Confianca'!AK70</f>
        <v>6.1000000000000004E-3</v>
      </c>
      <c r="AN322">
        <f>'2020_2021_efet Int_Confianca'!AL70</f>
        <v>5.8999999999999999E-3</v>
      </c>
      <c r="AO322">
        <f>'2020_2021_efet Int_Confianca'!AM70</f>
        <v>5.7000000000000002E-3</v>
      </c>
      <c r="AP322">
        <f>'2020_2021_efet Int_Confianca'!AN70</f>
        <v>5.7000000000000002E-3</v>
      </c>
      <c r="AQ322">
        <f>'2020_2021_efet Int_Confianca'!AO70</f>
        <v>6.1000000000000004E-3</v>
      </c>
      <c r="AR322">
        <f>'2020_2021_efet Int_Confianca'!AP70</f>
        <v>6.7000000000000002E-3</v>
      </c>
      <c r="AS322">
        <f>'2020_2021_efet Int_Confianca'!AQ70</f>
        <v>6.7999999999999996E-3</v>
      </c>
      <c r="AT322">
        <f>'2020_2021_efet Int_Confianca'!AR70</f>
        <v>6.8999999999999999E-3</v>
      </c>
      <c r="AU322">
        <f>'2020_2021_efet Int_Confianca'!AS70</f>
        <v>7.6E-3</v>
      </c>
      <c r="AV322">
        <f>'2020_2021_efet Int_Confianca'!AT70</f>
        <v>8.2000000000000007E-3</v>
      </c>
      <c r="AW322">
        <f>'2020_2021_efet Int_Confianca'!AU70</f>
        <v>8.3999999999999995E-3</v>
      </c>
      <c r="AX322">
        <f>'2020_2021_efet Int_Confianca'!AV70</f>
        <v>8.0999999999999996E-3</v>
      </c>
      <c r="AY322">
        <f>'2020_2021_efet Int_Confianca'!AW70</f>
        <v>7.7000000000000002E-3</v>
      </c>
      <c r="AZ322">
        <f>'2020_2021_efet Int_Confianca'!AX70</f>
        <v>7.4999999999999997E-3</v>
      </c>
      <c r="BA322">
        <f>'2020_2021_efet Int_Confianca'!AY70</f>
        <v>7.6E-3</v>
      </c>
      <c r="BB322">
        <f>'2020_2021_efet Int_Confianca'!AZ70</f>
        <v>7.4000000000000003E-3</v>
      </c>
      <c r="BC322">
        <f>'2020_2021_efet Int_Confianca'!BA70</f>
        <v>6.1000000000000004E-3</v>
      </c>
      <c r="BD322">
        <f>'2020_2021_efet Int_Confianca'!BB70</f>
        <v>6.1000000000000004E-3</v>
      </c>
      <c r="BE322">
        <f>'2020_2021_efet Int_Confianca'!BC70</f>
        <v>5.8999999999999999E-3</v>
      </c>
      <c r="BF322">
        <f>'2020_2021_efet Int_Confianca'!BD70</f>
        <v>5.5999999999999999E-3</v>
      </c>
      <c r="BG322">
        <f>'2020_2021_efet Int_Confianca'!BE70</f>
        <v>5.7999999999999996E-3</v>
      </c>
      <c r="BH322">
        <f>'2020_2021_efet Int_Confianca'!BF70</f>
        <v>5.4999999999999997E-3</v>
      </c>
      <c r="BI322">
        <f>'2020_2021_efet Int_Confianca'!BG70</f>
        <v>5.0000000000000001E-3</v>
      </c>
      <c r="BJ322">
        <f>'2020_2021_efet Int_Confianca'!BH70</f>
        <v>5.7999999999999996E-3</v>
      </c>
      <c r="BK322">
        <f>'2020_2021_efet Int_Confianca'!BI70</f>
        <v>5.7000000000000002E-3</v>
      </c>
      <c r="BL322">
        <f>'2020_2021_efet Int_Confianca'!BJ70</f>
        <v>6.0000000000000001E-3</v>
      </c>
      <c r="BM322">
        <f>'2020_2021_efet Int_Confianca'!BK70</f>
        <v>5.8999999999999999E-3</v>
      </c>
      <c r="BN322">
        <f>'2020_2021_efet Int_Confianca'!BL70</f>
        <v>5.7999999999999996E-3</v>
      </c>
      <c r="BO322">
        <f>'2020_2021_efet Int_Confianca'!BM70</f>
        <v>5.4999999999999997E-3</v>
      </c>
      <c r="BP322">
        <f>'2020_2021_efet Int_Confianca'!BN70</f>
        <v>6.0000000000000001E-3</v>
      </c>
      <c r="BQ322">
        <f>'2020_2021_efet Int_Confianca'!BO70</f>
        <v>6.1999999999999998E-3</v>
      </c>
      <c r="BR322">
        <f>'2020_2021_efet Int_Confianca'!BP70</f>
        <v>5.3E-3</v>
      </c>
      <c r="BS322">
        <f>'2020_2021_efet Int_Confianca'!BQ70</f>
        <v>5.4999999999999997E-3</v>
      </c>
      <c r="BT322">
        <f>'2020_2021_efet Int_Confianca'!BR70</f>
        <v>5.1000000000000004E-3</v>
      </c>
      <c r="BU322">
        <f>'2020_2021_efet Int_Confianca'!BS70</f>
        <v>4.7999999999999996E-3</v>
      </c>
      <c r="BV322">
        <f>'2020_2021_efet Int_Confianca'!BT70</f>
        <v>5.1000000000000004E-3</v>
      </c>
      <c r="BW322">
        <f>'2020_2021_efet Int_Confianca'!BU70</f>
        <v>4.7999999999999996E-3</v>
      </c>
      <c r="BX322">
        <f>'2020_2021_efet Int_Confianca'!BV70</f>
        <v>4.3E-3</v>
      </c>
      <c r="BY322">
        <f>'2020_2021_efet Int_Confianca'!BW70</f>
        <v>5.4999999999999997E-3</v>
      </c>
      <c r="BZ322">
        <f>'2020_2021_efet Int_Confianca'!BX70</f>
        <v>5.7000000000000002E-3</v>
      </c>
      <c r="CA322">
        <f>'2020_2021_efet Int_Confianca'!BY70</f>
        <v>6.3E-3</v>
      </c>
      <c r="CB322">
        <f>'2020_2021_efet Int_Confianca'!BZ70</f>
        <v>6.0000000000000001E-3</v>
      </c>
      <c r="CC322">
        <f>'2020_2021_efet Int_Confianca'!CA70</f>
        <v>4.5999999999999999E-3</v>
      </c>
      <c r="CD322">
        <f>'2020_2021_efet Int_Confianca'!CB70</f>
        <v>5.0000000000000001E-3</v>
      </c>
      <c r="CE322">
        <f>'2020_2021_efet Int_Confianca'!CC70</f>
        <v>5.0000000000000001E-3</v>
      </c>
      <c r="CF322">
        <f>'2020_2021_efet Int_Confianca'!CD70</f>
        <v>5.1000000000000004E-3</v>
      </c>
      <c r="CG322">
        <f>'2020_2021_efet Int_Confianca'!CE70</f>
        <v>1.9E-3</v>
      </c>
      <c r="CH322">
        <f>'2020_2021_efet Int_Confianca'!CF70</f>
        <v>2E-3</v>
      </c>
      <c r="CI322">
        <f>'2020_2021_efet Int_Confianca'!CG70</f>
        <v>1.8E-3</v>
      </c>
      <c r="CJ322">
        <f>'2020_2021_efet Int_Confianca'!CH70</f>
        <v>2.2000000000000001E-3</v>
      </c>
      <c r="CK322">
        <f>'2020_2021_efet Int_Confianca'!CI70</f>
        <v>2.0999999999999999E-3</v>
      </c>
      <c r="CL322">
        <f>'2020_2021_efet Int_Confianca'!CJ70</f>
        <v>8.0000000000000004E-4</v>
      </c>
      <c r="CM322">
        <f>'2020_2021_efet Int_Confianca'!CK70</f>
        <v>1.6999999999999999E-3</v>
      </c>
      <c r="CN322">
        <f>'2020_2021_efet Int_Confianca'!CL70</f>
        <v>2.8999999999999998E-3</v>
      </c>
      <c r="CO322">
        <f>'2020_2021_efet Int_Confianca'!CM70</f>
        <v>3.8E-3</v>
      </c>
      <c r="CP322">
        <f>'2020_2021_efet Int_Confianca'!CN70</f>
        <v>2.5999999999999999E-3</v>
      </c>
      <c r="CQ322">
        <f>'2020_2021_efet Int_Confianca'!CO70</f>
        <v>3.0999999999999999E-3</v>
      </c>
      <c r="CR322">
        <f>'2020_2021_efet Int_Confianca'!CP70</f>
        <v>2.0999999999999999E-3</v>
      </c>
      <c r="CS322">
        <f>'2020_2021_efet Int_Confianca'!CQ70</f>
        <v>2.5000000000000001E-3</v>
      </c>
      <c r="CT322">
        <f>'2020_2021_efet Int_Confianca'!CR70</f>
        <v>-1.4E-3</v>
      </c>
      <c r="CU322">
        <f>'2020_2021_efet Int_Confianca'!CS70</f>
        <v>0</v>
      </c>
      <c r="CV322">
        <f>'2020_2021_efet Int_Confianca'!CT70</f>
        <v>-3.3999999999999998E-3</v>
      </c>
      <c r="CW322">
        <f>'2020_2021_efet Int_Confianca'!CU70</f>
        <v>-6.8999999999999999E-3</v>
      </c>
      <c r="CX322">
        <f>'2020_2021_efet Int_Confianca'!CV70</f>
        <v>-6.0000000000000001E-3</v>
      </c>
    </row>
    <row r="323" spans="1:102" x14ac:dyDescent="0.2">
      <c r="A323" t="s">
        <v>5919</v>
      </c>
      <c r="B323" t="s">
        <v>219</v>
      </c>
      <c r="C323" t="s">
        <v>223</v>
      </c>
      <c r="D323">
        <f>'2020_2021_efet Int_Confianca'!B71</f>
        <v>-6.7999999999999996E-3</v>
      </c>
      <c r="E323">
        <f>'2020_2021_efet Int_Confianca'!C71</f>
        <v>-6.7999999999999996E-3</v>
      </c>
      <c r="F323">
        <f>'2020_2021_efet Int_Confianca'!D71</f>
        <v>-6.7999999999999996E-3</v>
      </c>
      <c r="G323">
        <f>'2020_2021_efet Int_Confianca'!E71</f>
        <v>-0.32450000000000001</v>
      </c>
      <c r="H323">
        <f>'2020_2021_efet Int_Confianca'!F71</f>
        <v>-3.1E-2</v>
      </c>
      <c r="I323">
        <f>'2020_2021_efet Int_Confianca'!G71</f>
        <v>-0.1065</v>
      </c>
      <c r="J323">
        <f>'2020_2021_efet Int_Confianca'!H71</f>
        <v>-1.8499999999999999E-2</v>
      </c>
      <c r="K323">
        <f>'2020_2021_efet Int_Confianca'!I71</f>
        <v>-4.9399999999999999E-2</v>
      </c>
      <c r="L323">
        <f>'2020_2021_efet Int_Confianca'!J71</f>
        <v>-5.9299999999999999E-2</v>
      </c>
      <c r="M323">
        <f>'2020_2021_efet Int_Confianca'!K71</f>
        <v>-3.73E-2</v>
      </c>
      <c r="N323">
        <f>'2020_2021_efet Int_Confianca'!L71</f>
        <v>-4.8399999999999999E-2</v>
      </c>
      <c r="O323">
        <f>'2020_2021_efet Int_Confianca'!M71</f>
        <v>-4.7500000000000001E-2</v>
      </c>
      <c r="P323">
        <f>'2020_2021_efet Int_Confianca'!N71</f>
        <v>-5.7200000000000001E-2</v>
      </c>
      <c r="Q323">
        <f>'2020_2021_efet Int_Confianca'!O71</f>
        <v>2.8199999999999999E-2</v>
      </c>
      <c r="R323">
        <f>'2020_2021_efet Int_Confianca'!P71</f>
        <v>4.5600000000000002E-2</v>
      </c>
      <c r="S323">
        <f>'2020_2021_efet Int_Confianca'!Q71</f>
        <v>-2.8799999999999999E-2</v>
      </c>
      <c r="T323">
        <f>'2020_2021_efet Int_Confianca'!R71</f>
        <v>-3.4700000000000002E-2</v>
      </c>
      <c r="U323">
        <f>'2020_2021_efet Int_Confianca'!S71</f>
        <v>-2.8E-3</v>
      </c>
      <c r="V323">
        <f>'2020_2021_efet Int_Confianca'!T71</f>
        <v>-3.3700000000000001E-2</v>
      </c>
      <c r="W323">
        <f>'2020_2021_efet Int_Confianca'!U71</f>
        <v>-4.2900000000000001E-2</v>
      </c>
      <c r="X323">
        <f>'2020_2021_efet Int_Confianca'!V71</f>
        <v>-2.06E-2</v>
      </c>
      <c r="Y323">
        <f>'2020_2021_efet Int_Confianca'!W71</f>
        <v>2.3E-3</v>
      </c>
      <c r="Z323">
        <f>'2020_2021_efet Int_Confianca'!X71</f>
        <v>1.1000000000000001E-3</v>
      </c>
      <c r="AA323">
        <f>'2020_2021_efet Int_Confianca'!Y71</f>
        <v>-8.6E-3</v>
      </c>
      <c r="AB323">
        <f>'2020_2021_efet Int_Confianca'!Z71</f>
        <v>-2.2100000000000002E-2</v>
      </c>
      <c r="AC323">
        <f>'2020_2021_efet Int_Confianca'!AA71</f>
        <v>-2.87E-2</v>
      </c>
      <c r="AD323">
        <f>'2020_2021_efet Int_Confianca'!AB71</f>
        <v>-2.3699999999999999E-2</v>
      </c>
      <c r="AE323">
        <f>'2020_2021_efet Int_Confianca'!AC71</f>
        <v>-2.24E-2</v>
      </c>
      <c r="AF323">
        <f>'2020_2021_efet Int_Confianca'!AD71</f>
        <v>-2.6700000000000002E-2</v>
      </c>
      <c r="AG323">
        <f>'2020_2021_efet Int_Confianca'!AE71</f>
        <v>-2.9399999999999999E-2</v>
      </c>
      <c r="AH323">
        <f>'2020_2021_efet Int_Confianca'!AF71</f>
        <v>-3.0599999999999999E-2</v>
      </c>
      <c r="AI323">
        <f>'2020_2021_efet Int_Confianca'!AG71</f>
        <v>-2.7E-2</v>
      </c>
      <c r="AJ323">
        <f>'2020_2021_efet Int_Confianca'!AH71</f>
        <v>-2.6200000000000001E-2</v>
      </c>
      <c r="AK323">
        <f>'2020_2021_efet Int_Confianca'!AI71</f>
        <v>-2.3099999999999999E-2</v>
      </c>
      <c r="AL323">
        <f>'2020_2021_efet Int_Confianca'!AJ71</f>
        <v>-2.0799999999999999E-2</v>
      </c>
      <c r="AM323">
        <f>'2020_2021_efet Int_Confianca'!AK71</f>
        <v>-1.9199999999999998E-2</v>
      </c>
      <c r="AN323">
        <f>'2020_2021_efet Int_Confianca'!AL71</f>
        <v>-1.6199999999999999E-2</v>
      </c>
      <c r="AO323">
        <f>'2020_2021_efet Int_Confianca'!AM71</f>
        <v>-1.47E-2</v>
      </c>
      <c r="AP323">
        <f>'2020_2021_efet Int_Confianca'!AN71</f>
        <v>-1.37E-2</v>
      </c>
      <c r="AQ323">
        <f>'2020_2021_efet Int_Confianca'!AO71</f>
        <v>-9.7999999999999997E-3</v>
      </c>
      <c r="AR323">
        <f>'2020_2021_efet Int_Confianca'!AP71</f>
        <v>-2.1899999999999999E-2</v>
      </c>
      <c r="AS323">
        <f>'2020_2021_efet Int_Confianca'!AQ71</f>
        <v>-2.3300000000000001E-2</v>
      </c>
      <c r="AT323">
        <f>'2020_2021_efet Int_Confianca'!AR71</f>
        <v>-2.0799999999999999E-2</v>
      </c>
      <c r="AU323">
        <f>'2020_2021_efet Int_Confianca'!AS71</f>
        <v>-2.2800000000000001E-2</v>
      </c>
      <c r="AV323">
        <f>'2020_2021_efet Int_Confianca'!AT71</f>
        <v>-2.4400000000000002E-2</v>
      </c>
      <c r="AW323">
        <f>'2020_2021_efet Int_Confianca'!AU71</f>
        <v>-2.1000000000000001E-2</v>
      </c>
      <c r="AX323">
        <f>'2020_2021_efet Int_Confianca'!AV71</f>
        <v>-1.6199999999999999E-2</v>
      </c>
      <c r="AY323">
        <f>'2020_2021_efet Int_Confianca'!AW71</f>
        <v>-1.5699999999999999E-2</v>
      </c>
      <c r="AZ323">
        <f>'2020_2021_efet Int_Confianca'!AX71</f>
        <v>-1.26E-2</v>
      </c>
      <c r="BA323">
        <f>'2020_2021_efet Int_Confianca'!AY71</f>
        <v>-9.7000000000000003E-3</v>
      </c>
      <c r="BB323">
        <f>'2020_2021_efet Int_Confianca'!AZ71</f>
        <v>-8.6E-3</v>
      </c>
      <c r="BC323">
        <f>'2020_2021_efet Int_Confianca'!BA71</f>
        <v>-5.7000000000000002E-3</v>
      </c>
      <c r="BD323">
        <f>'2020_2021_efet Int_Confianca'!BB71</f>
        <v>-4.8999999999999998E-3</v>
      </c>
      <c r="BE323">
        <f>'2020_2021_efet Int_Confianca'!BC71</f>
        <v>-5.5999999999999999E-3</v>
      </c>
      <c r="BF323">
        <f>'2020_2021_efet Int_Confianca'!BD71</f>
        <v>-5.1999999999999998E-3</v>
      </c>
      <c r="BG323">
        <f>'2020_2021_efet Int_Confianca'!BE71</f>
        <v>-2.5000000000000001E-3</v>
      </c>
      <c r="BH323">
        <f>'2020_2021_efet Int_Confianca'!BF71</f>
        <v>-6.6E-3</v>
      </c>
      <c r="BI323">
        <f>'2020_2021_efet Int_Confianca'!BG71</f>
        <v>-6.3E-3</v>
      </c>
      <c r="BJ323">
        <f>'2020_2021_efet Int_Confianca'!BH71</f>
        <v>-1.2500000000000001E-2</v>
      </c>
      <c r="BK323">
        <f>'2020_2021_efet Int_Confianca'!BI71</f>
        <v>-1.12E-2</v>
      </c>
      <c r="BL323">
        <f>'2020_2021_efet Int_Confianca'!BJ71</f>
        <v>-1.0999999999999999E-2</v>
      </c>
      <c r="BM323">
        <f>'2020_2021_efet Int_Confianca'!BK71</f>
        <v>-1.2800000000000001E-2</v>
      </c>
      <c r="BN323">
        <f>'2020_2021_efet Int_Confianca'!BL71</f>
        <v>-1.4E-2</v>
      </c>
      <c r="BO323">
        <f>'2020_2021_efet Int_Confianca'!BM71</f>
        <v>-1.38E-2</v>
      </c>
      <c r="BP323">
        <f>'2020_2021_efet Int_Confianca'!BN71</f>
        <v>-1.7299999999999999E-2</v>
      </c>
      <c r="BQ323">
        <f>'2020_2021_efet Int_Confianca'!BO71</f>
        <v>-1.7100000000000001E-2</v>
      </c>
      <c r="BR323">
        <f>'2020_2021_efet Int_Confianca'!BP71</f>
        <v>-1.66E-2</v>
      </c>
      <c r="BS323">
        <f>'2020_2021_efet Int_Confianca'!BQ71</f>
        <v>-1.7600000000000001E-2</v>
      </c>
      <c r="BT323">
        <f>'2020_2021_efet Int_Confianca'!BR71</f>
        <v>-1.95E-2</v>
      </c>
      <c r="BU323">
        <f>'2020_2021_efet Int_Confianca'!BS71</f>
        <v>-1.47E-2</v>
      </c>
      <c r="BV323">
        <f>'2020_2021_efet Int_Confianca'!BT71</f>
        <v>-1.3299999999999999E-2</v>
      </c>
      <c r="BW323">
        <f>'2020_2021_efet Int_Confianca'!BU71</f>
        <v>-1.15E-2</v>
      </c>
      <c r="BX323">
        <f>'2020_2021_efet Int_Confianca'!BV71</f>
        <v>-1.4E-2</v>
      </c>
      <c r="BY323">
        <f>'2020_2021_efet Int_Confianca'!BW71</f>
        <v>-1.3599999999999999E-2</v>
      </c>
      <c r="BZ323">
        <f>'2020_2021_efet Int_Confianca'!BX71</f>
        <v>-1.38E-2</v>
      </c>
      <c r="CA323">
        <f>'2020_2021_efet Int_Confianca'!BY71</f>
        <v>-1.4E-2</v>
      </c>
      <c r="CB323">
        <f>'2020_2021_efet Int_Confianca'!BZ71</f>
        <v>-9.1000000000000004E-3</v>
      </c>
      <c r="CC323">
        <f>'2020_2021_efet Int_Confianca'!CA71</f>
        <v>-8.8000000000000005E-3</v>
      </c>
      <c r="CD323">
        <f>'2020_2021_efet Int_Confianca'!CB71</f>
        <v>-6.0000000000000001E-3</v>
      </c>
      <c r="CE323">
        <f>'2020_2021_efet Int_Confianca'!CC71</f>
        <v>-6.3E-3</v>
      </c>
      <c r="CF323">
        <f>'2020_2021_efet Int_Confianca'!CD71</f>
        <v>-7.6E-3</v>
      </c>
      <c r="CG323">
        <f>'2020_2021_efet Int_Confianca'!CE71</f>
        <v>-7.3000000000000001E-3</v>
      </c>
      <c r="CH323">
        <f>'2020_2021_efet Int_Confianca'!CF71</f>
        <v>-2.8999999999999998E-3</v>
      </c>
      <c r="CI323">
        <f>'2020_2021_efet Int_Confianca'!CG71</f>
        <v>-1.0800000000000001E-2</v>
      </c>
      <c r="CJ323">
        <f>'2020_2021_efet Int_Confianca'!CH71</f>
        <v>-9.7000000000000003E-3</v>
      </c>
      <c r="CK323">
        <f>'2020_2021_efet Int_Confianca'!CI71</f>
        <v>-9.2999999999999992E-3</v>
      </c>
      <c r="CL323">
        <f>'2020_2021_efet Int_Confianca'!CJ71</f>
        <v>-9.2999999999999992E-3</v>
      </c>
      <c r="CM323">
        <f>'2020_2021_efet Int_Confianca'!CK71</f>
        <v>-1.0699999999999999E-2</v>
      </c>
      <c r="CN323">
        <f>'2020_2021_efet Int_Confianca'!CL71</f>
        <v>-1.1599999999999999E-2</v>
      </c>
      <c r="CO323">
        <f>'2020_2021_efet Int_Confianca'!CM71</f>
        <v>-2.24E-2</v>
      </c>
      <c r="CP323">
        <f>'2020_2021_efet Int_Confianca'!CN71</f>
        <v>-4.07E-2</v>
      </c>
      <c r="CQ323">
        <f>'2020_2021_efet Int_Confianca'!CO71</f>
        <v>-4.58E-2</v>
      </c>
      <c r="CR323">
        <f>'2020_2021_efet Int_Confianca'!CP71</f>
        <v>-5.3100000000000001E-2</v>
      </c>
      <c r="CS323">
        <f>'2020_2021_efet Int_Confianca'!CQ71</f>
        <v>-3.9600000000000003E-2</v>
      </c>
      <c r="CT323">
        <f>'2020_2021_efet Int_Confianca'!CR71</f>
        <v>-4.2799999999999998E-2</v>
      </c>
      <c r="CU323">
        <f>'2020_2021_efet Int_Confianca'!CS71</f>
        <v>-6.4699999999999994E-2</v>
      </c>
      <c r="CV323">
        <f>'2020_2021_efet Int_Confianca'!CT71</f>
        <v>-0.1031</v>
      </c>
      <c r="CW323">
        <f>'2020_2021_efet Int_Confianca'!CU71</f>
        <v>-0.128</v>
      </c>
      <c r="CX323">
        <f>'2020_2021_efet Int_Confianca'!CV71</f>
        <v>-0.18190000000000001</v>
      </c>
    </row>
    <row r="324" spans="1:102" x14ac:dyDescent="0.2">
      <c r="A324" t="s">
        <v>5920</v>
      </c>
      <c r="B324" t="s">
        <v>219</v>
      </c>
      <c r="C324" t="s">
        <v>223</v>
      </c>
      <c r="D324">
        <f>'2020_2021_efet Int_Confianca'!B72</f>
        <v>2.8E-3</v>
      </c>
      <c r="E324">
        <f>'2020_2021_efet Int_Confianca'!C72</f>
        <v>2.8E-3</v>
      </c>
      <c r="F324">
        <f>'2020_2021_efet Int_Confianca'!D72</f>
        <v>2.8E-3</v>
      </c>
      <c r="G324">
        <f>'2020_2021_efet Int_Confianca'!E72</f>
        <v>-0.14149999999999999</v>
      </c>
      <c r="H324">
        <f>'2020_2021_efet Int_Confianca'!F72</f>
        <v>8.9700000000000002E-2</v>
      </c>
      <c r="I324">
        <f>'2020_2021_efet Int_Confianca'!G72</f>
        <v>-2.2100000000000002E-2</v>
      </c>
      <c r="J324">
        <f>'2020_2021_efet Int_Confianca'!H72</f>
        <v>6.0400000000000002E-2</v>
      </c>
      <c r="K324">
        <f>'2020_2021_efet Int_Confianca'!I72</f>
        <v>1.9099999999999999E-2</v>
      </c>
      <c r="L324">
        <f>'2020_2021_efet Int_Confianca'!J72</f>
        <v>6.7000000000000002E-3</v>
      </c>
      <c r="M324">
        <f>'2020_2021_efet Int_Confianca'!K72</f>
        <v>2.4199999999999999E-2</v>
      </c>
      <c r="N324">
        <f>'2020_2021_efet Int_Confianca'!L72</f>
        <v>8.2000000000000007E-3</v>
      </c>
      <c r="O324">
        <f>'2020_2021_efet Int_Confianca'!M72</f>
        <v>6.4999999999999997E-3</v>
      </c>
      <c r="P324">
        <f>'2020_2021_efet Int_Confianca'!N72</f>
        <v>-1.0999999999999999E-2</v>
      </c>
      <c r="Q324">
        <f>'2020_2021_efet Int_Confianca'!O72</f>
        <v>6.54E-2</v>
      </c>
      <c r="R324">
        <f>'2020_2021_efet Int_Confianca'!P72</f>
        <v>8.3099999999999993E-2</v>
      </c>
      <c r="S324">
        <f>'2020_2021_efet Int_Confianca'!Q72</f>
        <v>1.1000000000000001E-3</v>
      </c>
      <c r="T324">
        <f>'2020_2021_efet Int_Confianca'!R72</f>
        <v>-9.9000000000000008E-3</v>
      </c>
      <c r="U324">
        <f>'2020_2021_efet Int_Confianca'!S72</f>
        <v>2.0299999999999999E-2</v>
      </c>
      <c r="V324">
        <f>'2020_2021_efet Int_Confianca'!T72</f>
        <v>-1.3299999999999999E-2</v>
      </c>
      <c r="W324">
        <f>'2020_2021_efet Int_Confianca'!U72</f>
        <v>-2.5000000000000001E-2</v>
      </c>
      <c r="X324">
        <f>'2020_2021_efet Int_Confianca'!V72</f>
        <v>-2.8E-3</v>
      </c>
      <c r="Y324">
        <f>'2020_2021_efet Int_Confianca'!W72</f>
        <v>2.0500000000000001E-2</v>
      </c>
      <c r="Z324">
        <f>'2020_2021_efet Int_Confianca'!X72</f>
        <v>1.95E-2</v>
      </c>
      <c r="AA324">
        <f>'2020_2021_efet Int_Confianca'!Y72</f>
        <v>1.01E-2</v>
      </c>
      <c r="AB324">
        <f>'2020_2021_efet Int_Confianca'!Z72</f>
        <v>-4.1000000000000003E-3</v>
      </c>
      <c r="AC324">
        <f>'2020_2021_efet Int_Confianca'!AA72</f>
        <v>-1.0500000000000001E-2</v>
      </c>
      <c r="AD324">
        <f>'2020_2021_efet Int_Confianca'!AB72</f>
        <v>-5.4000000000000003E-3</v>
      </c>
      <c r="AE324">
        <f>'2020_2021_efet Int_Confianca'!AC72</f>
        <v>-3.8E-3</v>
      </c>
      <c r="AF324">
        <f>'2020_2021_efet Int_Confianca'!AD72</f>
        <v>-7.7000000000000002E-3</v>
      </c>
      <c r="AG324">
        <f>'2020_2021_efet Int_Confianca'!AE72</f>
        <v>-9.7999999999999997E-3</v>
      </c>
      <c r="AH324">
        <f>'2020_2021_efet Int_Confianca'!AF72</f>
        <v>-1.0800000000000001E-2</v>
      </c>
      <c r="AI324">
        <f>'2020_2021_efet Int_Confianca'!AG72</f>
        <v>-5.7999999999999996E-3</v>
      </c>
      <c r="AJ324">
        <f>'2020_2021_efet Int_Confianca'!AH72</f>
        <v>-4.1999999999999997E-3</v>
      </c>
      <c r="AK324">
        <f>'2020_2021_efet Int_Confianca'!AI72</f>
        <v>-6.9999999999999999E-4</v>
      </c>
      <c r="AL324">
        <f>'2020_2021_efet Int_Confianca'!AJ72</f>
        <v>1.8E-3</v>
      </c>
      <c r="AM324">
        <f>'2020_2021_efet Int_Confianca'!AK72</f>
        <v>3.8999999999999998E-3</v>
      </c>
      <c r="AN324">
        <f>'2020_2021_efet Int_Confianca'!AL72</f>
        <v>7.3000000000000001E-3</v>
      </c>
      <c r="AO324">
        <f>'2020_2021_efet Int_Confianca'!AM72</f>
        <v>9.1000000000000004E-3</v>
      </c>
      <c r="AP324">
        <f>'2020_2021_efet Int_Confianca'!AN72</f>
        <v>0.01</v>
      </c>
      <c r="AQ324">
        <f>'2020_2021_efet Int_Confianca'!AO72</f>
        <v>1.4E-2</v>
      </c>
      <c r="AR324">
        <f>'2020_2021_efet Int_Confianca'!AP72</f>
        <v>1.9E-3</v>
      </c>
      <c r="AS324">
        <f>'2020_2021_efet Int_Confianca'!AQ72</f>
        <v>5.0000000000000001E-4</v>
      </c>
      <c r="AT324">
        <f>'2020_2021_efet Int_Confianca'!AR72</f>
        <v>2.8999999999999998E-3</v>
      </c>
      <c r="AU324">
        <f>'2020_2021_efet Int_Confianca'!AS72</f>
        <v>8.9999999999999998E-4</v>
      </c>
      <c r="AV324">
        <f>'2020_2021_efet Int_Confianca'!AT72</f>
        <v>-5.9999999999999995E-4</v>
      </c>
      <c r="AW324">
        <f>'2020_2021_efet Int_Confianca'!AU72</f>
        <v>3.0999999999999999E-3</v>
      </c>
      <c r="AX324">
        <f>'2020_2021_efet Int_Confianca'!AV72</f>
        <v>7.9000000000000008E-3</v>
      </c>
      <c r="AY324">
        <f>'2020_2021_efet Int_Confianca'!AW72</f>
        <v>8.5000000000000006E-3</v>
      </c>
      <c r="AZ324">
        <f>'2020_2021_efet Int_Confianca'!AX72</f>
        <v>1.26E-2</v>
      </c>
      <c r="BA324">
        <f>'2020_2021_efet Int_Confianca'!AY72</f>
        <v>1.5800000000000002E-2</v>
      </c>
      <c r="BB324">
        <f>'2020_2021_efet Int_Confianca'!AZ72</f>
        <v>1.7000000000000001E-2</v>
      </c>
      <c r="BC324">
        <f>'2020_2021_efet Int_Confianca'!BA72</f>
        <v>2.07E-2</v>
      </c>
      <c r="BD324">
        <f>'2020_2021_efet Int_Confianca'!BB72</f>
        <v>2.1700000000000001E-2</v>
      </c>
      <c r="BE324">
        <f>'2020_2021_efet Int_Confianca'!BC72</f>
        <v>2.1499999999999998E-2</v>
      </c>
      <c r="BF324">
        <f>'2020_2021_efet Int_Confianca'!BD72</f>
        <v>2.1700000000000001E-2</v>
      </c>
      <c r="BG324">
        <f>'2020_2021_efet Int_Confianca'!BE72</f>
        <v>2.4199999999999999E-2</v>
      </c>
      <c r="BH324">
        <f>'2020_2021_efet Int_Confianca'!BF72</f>
        <v>1.9900000000000001E-2</v>
      </c>
      <c r="BI324">
        <f>'2020_2021_efet Int_Confianca'!BG72</f>
        <v>1.9599999999999999E-2</v>
      </c>
      <c r="BJ324">
        <f>'2020_2021_efet Int_Confianca'!BH72</f>
        <v>1.35E-2</v>
      </c>
      <c r="BK324">
        <f>'2020_2021_efet Int_Confianca'!BI72</f>
        <v>1.49E-2</v>
      </c>
      <c r="BL324">
        <f>'2020_2021_efet Int_Confianca'!BJ72</f>
        <v>1.5100000000000001E-2</v>
      </c>
      <c r="BM324">
        <f>'2020_2021_efet Int_Confianca'!BK72</f>
        <v>1.32E-2</v>
      </c>
      <c r="BN324">
        <f>'2020_2021_efet Int_Confianca'!BL72</f>
        <v>1.21E-2</v>
      </c>
      <c r="BO324">
        <f>'2020_2021_efet Int_Confianca'!BM72</f>
        <v>1.38E-2</v>
      </c>
      <c r="BP324">
        <f>'2020_2021_efet Int_Confianca'!BN72</f>
        <v>1.26E-2</v>
      </c>
      <c r="BQ324">
        <f>'2020_2021_efet Int_Confianca'!BO72</f>
        <v>1.3899999999999999E-2</v>
      </c>
      <c r="BR324">
        <f>'2020_2021_efet Int_Confianca'!BP72</f>
        <v>1.55E-2</v>
      </c>
      <c r="BS324">
        <f>'2020_2021_efet Int_Confianca'!BQ72</f>
        <v>1.5100000000000001E-2</v>
      </c>
      <c r="BT324">
        <f>'2020_2021_efet Int_Confianca'!BR72</f>
        <v>1.34E-2</v>
      </c>
      <c r="BU324">
        <f>'2020_2021_efet Int_Confianca'!BS72</f>
        <v>1.89E-2</v>
      </c>
      <c r="BV324">
        <f>'2020_2021_efet Int_Confianca'!BT72</f>
        <v>1.9900000000000001E-2</v>
      </c>
      <c r="BW324">
        <f>'2020_2021_efet Int_Confianca'!BU72</f>
        <v>2.2599999999999999E-2</v>
      </c>
      <c r="BX324">
        <f>'2020_2021_efet Int_Confianca'!BV72</f>
        <v>2.0299999999999999E-2</v>
      </c>
      <c r="BY324">
        <f>'2020_2021_efet Int_Confianca'!BW72</f>
        <v>2.07E-2</v>
      </c>
      <c r="BZ324">
        <f>'2020_2021_efet Int_Confianca'!BX72</f>
        <v>2.1100000000000001E-2</v>
      </c>
      <c r="CA324">
        <f>'2020_2021_efet Int_Confianca'!BY72</f>
        <v>2.1899999999999999E-2</v>
      </c>
      <c r="CB324">
        <f>'2020_2021_efet Int_Confianca'!BZ72</f>
        <v>2.6100000000000002E-2</v>
      </c>
      <c r="CC324">
        <f>'2020_2021_efet Int_Confianca'!CA72</f>
        <v>2.8799999999999999E-2</v>
      </c>
      <c r="CD324">
        <f>'2020_2021_efet Int_Confianca'!CB72</f>
        <v>3.4500000000000003E-2</v>
      </c>
      <c r="CE324">
        <f>'2020_2021_efet Int_Confianca'!CC72</f>
        <v>3.7499999999999999E-2</v>
      </c>
      <c r="CF324">
        <f>'2020_2021_efet Int_Confianca'!CD72</f>
        <v>3.9199999999999999E-2</v>
      </c>
      <c r="CG324">
        <f>'2020_2021_efet Int_Confianca'!CE72</f>
        <v>3.8800000000000001E-2</v>
      </c>
      <c r="CH324">
        <f>'2020_2021_efet Int_Confianca'!CF72</f>
        <v>4.1700000000000001E-2</v>
      </c>
      <c r="CI324">
        <f>'2020_2021_efet Int_Confianca'!CG72</f>
        <v>3.2199999999999999E-2</v>
      </c>
      <c r="CJ324">
        <f>'2020_2021_efet Int_Confianca'!CH72</f>
        <v>3.4500000000000003E-2</v>
      </c>
      <c r="CK324">
        <f>'2020_2021_efet Int_Confianca'!CI72</f>
        <v>4.0899999999999999E-2</v>
      </c>
      <c r="CL324">
        <f>'2020_2021_efet Int_Confianca'!CJ72</f>
        <v>4.3099999999999999E-2</v>
      </c>
      <c r="CM324">
        <f>'2020_2021_efet Int_Confianca'!CK72</f>
        <v>4.2500000000000003E-2</v>
      </c>
      <c r="CN324">
        <f>'2020_2021_efet Int_Confianca'!CL72</f>
        <v>4.2299999999999997E-2</v>
      </c>
      <c r="CO324">
        <f>'2020_2021_efet Int_Confianca'!CM72</f>
        <v>3.7900000000000003E-2</v>
      </c>
      <c r="CP324">
        <f>'2020_2021_efet Int_Confianca'!CN72</f>
        <v>2.3800000000000002E-2</v>
      </c>
      <c r="CQ324">
        <f>'2020_2021_efet Int_Confianca'!CO72</f>
        <v>2.53E-2</v>
      </c>
      <c r="CR324">
        <f>'2020_2021_efet Int_Confianca'!CP72</f>
        <v>2.4500000000000001E-2</v>
      </c>
      <c r="CS324">
        <f>'2020_2021_efet Int_Confianca'!CQ72</f>
        <v>4.4699999999999997E-2</v>
      </c>
      <c r="CT324">
        <f>'2020_2021_efet Int_Confianca'!CR72</f>
        <v>5.2999999999999999E-2</v>
      </c>
      <c r="CU324">
        <f>'2020_2021_efet Int_Confianca'!CS72</f>
        <v>3.0700000000000002E-2</v>
      </c>
      <c r="CV324">
        <f>'2020_2021_efet Int_Confianca'!CT72</f>
        <v>4.3499999999999997E-2</v>
      </c>
      <c r="CW324">
        <f>'2020_2021_efet Int_Confianca'!CU72</f>
        <v>2.4199999999999999E-2</v>
      </c>
      <c r="CX324">
        <f>'2020_2021_efet Int_Confianca'!CV72</f>
        <v>7.2700000000000001E-2</v>
      </c>
    </row>
    <row r="325" spans="1:102" x14ac:dyDescent="0.2">
      <c r="A325" t="s">
        <v>5921</v>
      </c>
      <c r="B325" t="s">
        <v>219</v>
      </c>
      <c r="C325" t="s">
        <v>223</v>
      </c>
      <c r="D325">
        <f>'2020_2021_efet Int_Confianca'!B73</f>
        <v>-3.7000000000000002E-3</v>
      </c>
      <c r="E325">
        <f>'2020_2021_efet Int_Confianca'!C73</f>
        <v>-3.7000000000000002E-3</v>
      </c>
      <c r="F325">
        <f>'2020_2021_efet Int_Confianca'!D73</f>
        <v>-3.7000000000000002E-3</v>
      </c>
      <c r="G325">
        <f>'2020_2021_efet Int_Confianca'!E73</f>
        <v>-7.9600000000000004E-2</v>
      </c>
      <c r="H325">
        <f>'2020_2021_efet Int_Confianca'!F73</f>
        <v>-5.45E-2</v>
      </c>
      <c r="I325">
        <f>'2020_2021_efet Int_Confianca'!G73</f>
        <v>-6.9599999999999995E-2</v>
      </c>
      <c r="J325">
        <f>'2020_2021_efet Int_Confianca'!H73</f>
        <v>-6.2199999999999998E-2</v>
      </c>
      <c r="K325">
        <f>'2020_2021_efet Int_Confianca'!I73</f>
        <v>-4.9299999999999997E-2</v>
      </c>
      <c r="L325">
        <f>'2020_2021_efet Int_Confianca'!J73</f>
        <v>-3.9800000000000002E-2</v>
      </c>
      <c r="M325">
        <f>'2020_2021_efet Int_Confianca'!K73</f>
        <v>-3.3300000000000003E-2</v>
      </c>
      <c r="N325">
        <f>'2020_2021_efet Int_Confianca'!L73</f>
        <v>-4.53E-2</v>
      </c>
      <c r="O325">
        <f>'2020_2021_efet Int_Confianca'!M73</f>
        <v>-3.4000000000000002E-2</v>
      </c>
      <c r="P325">
        <f>'2020_2021_efet Int_Confianca'!N73</f>
        <v>-3.2300000000000002E-2</v>
      </c>
      <c r="Q325">
        <f>'2020_2021_efet Int_Confianca'!O73</f>
        <v>-3.2899999999999999E-2</v>
      </c>
      <c r="R325">
        <f>'2020_2021_efet Int_Confianca'!P73</f>
        <v>-2.7400000000000001E-2</v>
      </c>
      <c r="S325">
        <f>'2020_2021_efet Int_Confianca'!Q73</f>
        <v>-1.46E-2</v>
      </c>
      <c r="T325">
        <f>'2020_2021_efet Int_Confianca'!R73</f>
        <v>-1.6799999999999999E-2</v>
      </c>
      <c r="U325">
        <f>'2020_2021_efet Int_Confianca'!S73</f>
        <v>-1.0999999999999999E-2</v>
      </c>
      <c r="V325">
        <f>'2020_2021_efet Int_Confianca'!T73</f>
        <v>-9.7000000000000003E-3</v>
      </c>
      <c r="W325">
        <f>'2020_2021_efet Int_Confianca'!U73</f>
        <v>-1.18E-2</v>
      </c>
      <c r="X325">
        <f>'2020_2021_efet Int_Confianca'!V73</f>
        <v>-1.38E-2</v>
      </c>
      <c r="Y325">
        <f>'2020_2021_efet Int_Confianca'!W73</f>
        <v>-2.2800000000000001E-2</v>
      </c>
      <c r="Z325">
        <f>'2020_2021_efet Int_Confianca'!X73</f>
        <v>-1.17E-2</v>
      </c>
      <c r="AA325">
        <f>'2020_2021_efet Int_Confianca'!Y73</f>
        <v>-4.8999999999999998E-3</v>
      </c>
      <c r="AB325">
        <f>'2020_2021_efet Int_Confianca'!Z73</f>
        <v>-1.2E-2</v>
      </c>
      <c r="AC325">
        <f>'2020_2021_efet Int_Confianca'!AA73</f>
        <v>-8.6999999999999994E-3</v>
      </c>
      <c r="AD325">
        <f>'2020_2021_efet Int_Confianca'!AB73</f>
        <v>-1.0999999999999999E-2</v>
      </c>
      <c r="AE325">
        <f>'2020_2021_efet Int_Confianca'!AC73</f>
        <v>-1.34E-2</v>
      </c>
      <c r="AF325">
        <f>'2020_2021_efet Int_Confianca'!AD73</f>
        <v>-1.37E-2</v>
      </c>
      <c r="AG325">
        <f>'2020_2021_efet Int_Confianca'!AE73</f>
        <v>-1.47E-2</v>
      </c>
      <c r="AH325">
        <f>'2020_2021_efet Int_Confianca'!AF73</f>
        <v>-1.2800000000000001E-2</v>
      </c>
      <c r="AI325">
        <f>'2020_2021_efet Int_Confianca'!AG73</f>
        <v>-1.17E-2</v>
      </c>
      <c r="AJ325">
        <f>'2020_2021_efet Int_Confianca'!AH73</f>
        <v>-1.15E-2</v>
      </c>
      <c r="AK325">
        <f>'2020_2021_efet Int_Confianca'!AI73</f>
        <v>-1.5100000000000001E-2</v>
      </c>
      <c r="AL325">
        <f>'2020_2021_efet Int_Confianca'!AJ73</f>
        <v>-9.1000000000000004E-3</v>
      </c>
      <c r="AM325">
        <f>'2020_2021_efet Int_Confianca'!AK73</f>
        <v>-1.12E-2</v>
      </c>
      <c r="AN325">
        <f>'2020_2021_efet Int_Confianca'!AL73</f>
        <v>-9.5999999999999992E-3</v>
      </c>
      <c r="AO325">
        <f>'2020_2021_efet Int_Confianca'!AM73</f>
        <v>-1.17E-2</v>
      </c>
      <c r="AP325">
        <f>'2020_2021_efet Int_Confianca'!AN73</f>
        <v>-1.34E-2</v>
      </c>
      <c r="AQ325">
        <f>'2020_2021_efet Int_Confianca'!AO73</f>
        <v>-8.6999999999999994E-3</v>
      </c>
      <c r="AR325">
        <f>'2020_2021_efet Int_Confianca'!AP73</f>
        <v>-1.5800000000000002E-2</v>
      </c>
      <c r="AS325">
        <f>'2020_2021_efet Int_Confianca'!AQ73</f>
        <v>-8.6E-3</v>
      </c>
      <c r="AT325">
        <f>'2020_2021_efet Int_Confianca'!AR73</f>
        <v>-1.1900000000000001E-2</v>
      </c>
      <c r="AU325">
        <f>'2020_2021_efet Int_Confianca'!AS73</f>
        <v>-1.2800000000000001E-2</v>
      </c>
      <c r="AV325">
        <f>'2020_2021_efet Int_Confianca'!AT73</f>
        <v>-1.32E-2</v>
      </c>
      <c r="AW325">
        <f>'2020_2021_efet Int_Confianca'!AU73</f>
        <v>-1.8100000000000002E-2</v>
      </c>
      <c r="AX325">
        <f>'2020_2021_efet Int_Confianca'!AV73</f>
        <v>-1.49E-2</v>
      </c>
      <c r="AY325">
        <f>'2020_2021_efet Int_Confianca'!AW73</f>
        <v>-1.2800000000000001E-2</v>
      </c>
      <c r="AZ325">
        <f>'2020_2021_efet Int_Confianca'!AX73</f>
        <v>-1.32E-2</v>
      </c>
      <c r="BA325">
        <f>'2020_2021_efet Int_Confianca'!AY73</f>
        <v>-1.4800000000000001E-2</v>
      </c>
      <c r="BB325">
        <f>'2020_2021_efet Int_Confianca'!AZ73</f>
        <v>-1.4E-2</v>
      </c>
      <c r="BC325">
        <f>'2020_2021_efet Int_Confianca'!BA73</f>
        <v>-1.2800000000000001E-2</v>
      </c>
      <c r="BD325">
        <f>'2020_2021_efet Int_Confianca'!BB73</f>
        <v>-1.2699999999999999E-2</v>
      </c>
      <c r="BE325">
        <f>'2020_2021_efet Int_Confianca'!BC73</f>
        <v>-1.2200000000000001E-2</v>
      </c>
      <c r="BF325">
        <f>'2020_2021_efet Int_Confianca'!BD73</f>
        <v>-1.3899999999999999E-2</v>
      </c>
      <c r="BG325">
        <f>'2020_2021_efet Int_Confianca'!BE73</f>
        <v>-1.4500000000000001E-2</v>
      </c>
      <c r="BH325">
        <f>'2020_2021_efet Int_Confianca'!BF73</f>
        <v>-1.5699999999999999E-2</v>
      </c>
      <c r="BI325">
        <f>'2020_2021_efet Int_Confianca'!BG73</f>
        <v>-1.2200000000000001E-2</v>
      </c>
      <c r="BJ325">
        <f>'2020_2021_efet Int_Confianca'!BH73</f>
        <v>-1.5599999999999999E-2</v>
      </c>
      <c r="BK325">
        <f>'2020_2021_efet Int_Confianca'!BI73</f>
        <v>-1.78E-2</v>
      </c>
      <c r="BL325">
        <f>'2020_2021_efet Int_Confianca'!BJ73</f>
        <v>-0.02</v>
      </c>
      <c r="BM325">
        <f>'2020_2021_efet Int_Confianca'!BK73</f>
        <v>-1.38E-2</v>
      </c>
      <c r="BN325">
        <f>'2020_2021_efet Int_Confianca'!BL73</f>
        <v>-1.24E-2</v>
      </c>
      <c r="BO325">
        <f>'2020_2021_efet Int_Confianca'!BM73</f>
        <v>-1.3599999999999999E-2</v>
      </c>
      <c r="BP325">
        <f>'2020_2021_efet Int_Confianca'!BN73</f>
        <v>-1.54E-2</v>
      </c>
      <c r="BQ325">
        <f>'2020_2021_efet Int_Confianca'!BO73</f>
        <v>-1.37E-2</v>
      </c>
      <c r="BR325">
        <f>'2020_2021_efet Int_Confianca'!BP73</f>
        <v>-1.9099999999999999E-2</v>
      </c>
      <c r="BS325">
        <f>'2020_2021_efet Int_Confianca'!BQ73</f>
        <v>-1.7100000000000001E-2</v>
      </c>
      <c r="BT325">
        <f>'2020_2021_efet Int_Confianca'!BR73</f>
        <v>-1.84E-2</v>
      </c>
      <c r="BU325">
        <f>'2020_2021_efet Int_Confianca'!BS73</f>
        <v>-2.1899999999999999E-2</v>
      </c>
      <c r="BV325">
        <f>'2020_2021_efet Int_Confianca'!BT73</f>
        <v>-1.9599999999999999E-2</v>
      </c>
      <c r="BW325">
        <f>'2020_2021_efet Int_Confianca'!BU73</f>
        <v>-1.9E-2</v>
      </c>
      <c r="BX325">
        <f>'2020_2021_efet Int_Confianca'!BV73</f>
        <v>-1.7999999999999999E-2</v>
      </c>
      <c r="BY325">
        <f>'2020_2021_efet Int_Confianca'!BW73</f>
        <v>-1.7899999999999999E-2</v>
      </c>
      <c r="BZ325">
        <f>'2020_2021_efet Int_Confianca'!BX73</f>
        <v>-1.9599999999999999E-2</v>
      </c>
      <c r="CA325">
        <f>'2020_2021_efet Int_Confianca'!BY73</f>
        <v>-2.3699999999999999E-2</v>
      </c>
      <c r="CB325">
        <f>'2020_2021_efet Int_Confianca'!BZ73</f>
        <v>-1.89E-2</v>
      </c>
      <c r="CC325">
        <f>'2020_2021_efet Int_Confianca'!CA73</f>
        <v>-1.9800000000000002E-2</v>
      </c>
      <c r="CD325">
        <f>'2020_2021_efet Int_Confianca'!CB73</f>
        <v>-1.9599999999999999E-2</v>
      </c>
      <c r="CE325">
        <f>'2020_2021_efet Int_Confianca'!CC73</f>
        <v>-1.9400000000000001E-2</v>
      </c>
      <c r="CF325">
        <f>'2020_2021_efet Int_Confianca'!CD73</f>
        <v>-2.2200000000000001E-2</v>
      </c>
      <c r="CG325">
        <f>'2020_2021_efet Int_Confianca'!CE73</f>
        <v>-1.9599999999999999E-2</v>
      </c>
      <c r="CH325">
        <f>'2020_2021_efet Int_Confianca'!CF73</f>
        <v>-2.24E-2</v>
      </c>
      <c r="CI325">
        <f>'2020_2021_efet Int_Confianca'!CG73</f>
        <v>-1.7899999999999999E-2</v>
      </c>
      <c r="CJ325">
        <f>'2020_2021_efet Int_Confianca'!CH73</f>
        <v>-1.95E-2</v>
      </c>
      <c r="CK325">
        <f>'2020_2021_efet Int_Confianca'!CI73</f>
        <v>-1.8100000000000002E-2</v>
      </c>
      <c r="CL325">
        <f>'2020_2021_efet Int_Confianca'!CJ73</f>
        <v>-1.7100000000000001E-2</v>
      </c>
      <c r="CM325">
        <f>'2020_2021_efet Int_Confianca'!CK73</f>
        <v>-2.4199999999999999E-2</v>
      </c>
      <c r="CN325">
        <f>'2020_2021_efet Int_Confianca'!CL73</f>
        <v>-1.26E-2</v>
      </c>
      <c r="CO325">
        <f>'2020_2021_efet Int_Confianca'!CM73</f>
        <v>-1.7500000000000002E-2</v>
      </c>
      <c r="CP325">
        <f>'2020_2021_efet Int_Confianca'!CN73</f>
        <v>-2.5000000000000001E-2</v>
      </c>
      <c r="CQ325">
        <f>'2020_2021_efet Int_Confianca'!CO73</f>
        <v>-2.46E-2</v>
      </c>
      <c r="CR325">
        <f>'2020_2021_efet Int_Confianca'!CP73</f>
        <v>-2.1299999999999999E-2</v>
      </c>
      <c r="CS325">
        <f>'2020_2021_efet Int_Confianca'!CQ73</f>
        <v>-2.3900000000000001E-2</v>
      </c>
      <c r="CT325">
        <f>'2020_2021_efet Int_Confianca'!CR73</f>
        <v>-3.3099999999999997E-2</v>
      </c>
      <c r="CU325">
        <f>'2020_2021_efet Int_Confianca'!CS73</f>
        <v>-3.9800000000000002E-2</v>
      </c>
      <c r="CV325">
        <f>'2020_2021_efet Int_Confianca'!CT73</f>
        <v>-4.1099999999999998E-2</v>
      </c>
      <c r="CW325">
        <f>'2020_2021_efet Int_Confianca'!CU73</f>
        <v>-5.21E-2</v>
      </c>
      <c r="CX325">
        <f>'2020_2021_efet Int_Confianca'!CV73</f>
        <v>-5.16E-2</v>
      </c>
    </row>
    <row r="326" spans="1:102" x14ac:dyDescent="0.2">
      <c r="A326" t="s">
        <v>5922</v>
      </c>
      <c r="B326" t="s">
        <v>219</v>
      </c>
      <c r="C326" t="s">
        <v>223</v>
      </c>
      <c r="D326">
        <f>'2020_2021_efet Int_Confianca'!B74</f>
        <v>2.7000000000000001E-3</v>
      </c>
      <c r="E326">
        <f>'2020_2021_efet Int_Confianca'!C74</f>
        <v>2.7000000000000001E-3</v>
      </c>
      <c r="F326">
        <f>'2020_2021_efet Int_Confianca'!D74</f>
        <v>2.7000000000000001E-3</v>
      </c>
      <c r="G326">
        <f>'2020_2021_efet Int_Confianca'!E74</f>
        <v>1.43E-2</v>
      </c>
      <c r="H326">
        <f>'2020_2021_efet Int_Confianca'!F74</f>
        <v>7.1999999999999998E-3</v>
      </c>
      <c r="I326">
        <f>'2020_2021_efet Int_Confianca'!G74</f>
        <v>-2.5499999999999998E-2</v>
      </c>
      <c r="J326">
        <f>'2020_2021_efet Int_Confianca'!H74</f>
        <v>-2.06E-2</v>
      </c>
      <c r="K326">
        <f>'2020_2021_efet Int_Confianca'!I74</f>
        <v>-1.43E-2</v>
      </c>
      <c r="L326">
        <f>'2020_2021_efet Int_Confianca'!J74</f>
        <v>-6.0000000000000001E-3</v>
      </c>
      <c r="M326">
        <f>'2020_2021_efet Int_Confianca'!K74</f>
        <v>-1.8E-3</v>
      </c>
      <c r="N326">
        <f>'2020_2021_efet Int_Confianca'!L74</f>
        <v>-1.66E-2</v>
      </c>
      <c r="O326">
        <f>'2020_2021_efet Int_Confianca'!M74</f>
        <v>-6.6E-3</v>
      </c>
      <c r="P326">
        <f>'2020_2021_efet Int_Confianca'!N74</f>
        <v>-8.9999999999999993E-3</v>
      </c>
      <c r="Q326">
        <f>'2020_2021_efet Int_Confianca'!O74</f>
        <v>-1.44E-2</v>
      </c>
      <c r="R326">
        <f>'2020_2021_efet Int_Confianca'!P74</f>
        <v>-8.8000000000000005E-3</v>
      </c>
      <c r="S326">
        <f>'2020_2021_efet Int_Confianca'!Q74</f>
        <v>2.9999999999999997E-4</v>
      </c>
      <c r="T326">
        <f>'2020_2021_efet Int_Confianca'!R74</f>
        <v>-4.4000000000000003E-3</v>
      </c>
      <c r="U326">
        <f>'2020_2021_efet Int_Confianca'!S74</f>
        <v>5.0000000000000001E-4</v>
      </c>
      <c r="V326">
        <f>'2020_2021_efet Int_Confianca'!T74</f>
        <v>5.0000000000000001E-4</v>
      </c>
      <c r="W326">
        <f>'2020_2021_efet Int_Confianca'!U74</f>
        <v>-3.0000000000000001E-3</v>
      </c>
      <c r="X326">
        <f>'2020_2021_efet Int_Confianca'!V74</f>
        <v>-5.0000000000000001E-3</v>
      </c>
      <c r="Y326">
        <f>'2020_2021_efet Int_Confianca'!W74</f>
        <v>-1.4E-2</v>
      </c>
      <c r="Z326">
        <f>'2020_2021_efet Int_Confianca'!X74</f>
        <v>-2.8E-3</v>
      </c>
      <c r="AA326">
        <f>'2020_2021_efet Int_Confianca'!Y74</f>
        <v>4.1000000000000003E-3</v>
      </c>
      <c r="AB326">
        <f>'2020_2021_efet Int_Confianca'!Z74</f>
        <v>-3.3E-3</v>
      </c>
      <c r="AC326">
        <f>'2020_2021_efet Int_Confianca'!AA74</f>
        <v>0</v>
      </c>
      <c r="AD326">
        <f>'2020_2021_efet Int_Confianca'!AB74</f>
        <v>-2.2000000000000001E-3</v>
      </c>
      <c r="AE326">
        <f>'2020_2021_efet Int_Confianca'!AC74</f>
        <v>-4.4000000000000003E-3</v>
      </c>
      <c r="AF326">
        <f>'2020_2021_efet Int_Confianca'!AD74</f>
        <v>-4.5999999999999999E-3</v>
      </c>
      <c r="AG326">
        <f>'2020_2021_efet Int_Confianca'!AE74</f>
        <v>-5.1999999999999998E-3</v>
      </c>
      <c r="AH326">
        <f>'2020_2021_efet Int_Confianca'!AF74</f>
        <v>-3.0999999999999999E-3</v>
      </c>
      <c r="AI326">
        <f>'2020_2021_efet Int_Confianca'!AG74</f>
        <v>-1.2999999999999999E-3</v>
      </c>
      <c r="AJ326">
        <f>'2020_2021_efet Int_Confianca'!AH74</f>
        <v>-6.9999999999999999E-4</v>
      </c>
      <c r="AK326">
        <f>'2020_2021_efet Int_Confianca'!AI74</f>
        <v>-4.1999999999999997E-3</v>
      </c>
      <c r="AL326">
        <f>'2020_2021_efet Int_Confianca'!AJ74</f>
        <v>1.9E-3</v>
      </c>
      <c r="AM326">
        <f>'2020_2021_efet Int_Confianca'!AK74</f>
        <v>1E-4</v>
      </c>
      <c r="AN326">
        <f>'2020_2021_efet Int_Confianca'!AL74</f>
        <v>1.8E-3</v>
      </c>
      <c r="AO326">
        <f>'2020_2021_efet Int_Confianca'!AM74</f>
        <v>-2.0000000000000001E-4</v>
      </c>
      <c r="AP326">
        <f>'2020_2021_efet Int_Confianca'!AN74</f>
        <v>-1.9E-3</v>
      </c>
      <c r="AQ326">
        <f>'2020_2021_efet Int_Confianca'!AO74</f>
        <v>2.8E-3</v>
      </c>
      <c r="AR326">
        <f>'2020_2021_efet Int_Confianca'!AP74</f>
        <v>-4.3E-3</v>
      </c>
      <c r="AS326">
        <f>'2020_2021_efet Int_Confianca'!AQ74</f>
        <v>2.8E-3</v>
      </c>
      <c r="AT326">
        <f>'2020_2021_efet Int_Confianca'!AR74</f>
        <v>-5.0000000000000001E-4</v>
      </c>
      <c r="AU326">
        <f>'2020_2021_efet Int_Confianca'!AS74</f>
        <v>-1.4E-3</v>
      </c>
      <c r="AV326">
        <f>'2020_2021_efet Int_Confianca'!AT74</f>
        <v>-1.8E-3</v>
      </c>
      <c r="AW326">
        <f>'2020_2021_efet Int_Confianca'!AU74</f>
        <v>-6.6E-3</v>
      </c>
      <c r="AX326">
        <f>'2020_2021_efet Int_Confianca'!AV74</f>
        <v>-3.2000000000000002E-3</v>
      </c>
      <c r="AY326">
        <f>'2020_2021_efet Int_Confianca'!AW74</f>
        <v>-1.1999999999999999E-3</v>
      </c>
      <c r="AZ326">
        <f>'2020_2021_efet Int_Confianca'!AX74</f>
        <v>-1E-3</v>
      </c>
      <c r="BA326">
        <f>'2020_2021_efet Int_Confianca'!AY74</f>
        <v>-2.5000000000000001E-3</v>
      </c>
      <c r="BB326">
        <f>'2020_2021_efet Int_Confianca'!AZ74</f>
        <v>-1.6000000000000001E-3</v>
      </c>
      <c r="BC326">
        <f>'2020_2021_efet Int_Confianca'!BA74</f>
        <v>-1E-4</v>
      </c>
      <c r="BD326">
        <f>'2020_2021_efet Int_Confianca'!BB74</f>
        <v>1E-4</v>
      </c>
      <c r="BE326">
        <f>'2020_2021_efet Int_Confianca'!BC74</f>
        <v>8.0000000000000004E-4</v>
      </c>
      <c r="BF326">
        <f>'2020_2021_efet Int_Confianca'!BD74</f>
        <v>-1E-3</v>
      </c>
      <c r="BG326">
        <f>'2020_2021_efet Int_Confianca'!BE74</f>
        <v>-1.6000000000000001E-3</v>
      </c>
      <c r="BH326">
        <f>'2020_2021_efet Int_Confianca'!BF74</f>
        <v>-2.8999999999999998E-3</v>
      </c>
      <c r="BI326">
        <f>'2020_2021_efet Int_Confianca'!BG74</f>
        <v>4.0000000000000002E-4</v>
      </c>
      <c r="BJ326">
        <f>'2020_2021_efet Int_Confianca'!BH74</f>
        <v>-3.0000000000000001E-3</v>
      </c>
      <c r="BK326">
        <f>'2020_2021_efet Int_Confianca'!BI74</f>
        <v>-5.1999999999999998E-3</v>
      </c>
      <c r="BL326">
        <f>'2020_2021_efet Int_Confianca'!BJ74</f>
        <v>-7.4000000000000003E-3</v>
      </c>
      <c r="BM326">
        <f>'2020_2021_efet Int_Confianca'!BK74</f>
        <v>-1.4E-3</v>
      </c>
      <c r="BN326">
        <f>'2020_2021_efet Int_Confianca'!BL74</f>
        <v>1E-4</v>
      </c>
      <c r="BO326">
        <f>'2020_2021_efet Int_Confianca'!BM74</f>
        <v>-4.0000000000000002E-4</v>
      </c>
      <c r="BP326">
        <f>'2020_2021_efet Int_Confianca'!BN74</f>
        <v>-1.1999999999999999E-3</v>
      </c>
      <c r="BQ326">
        <f>'2020_2021_efet Int_Confianca'!BO74</f>
        <v>1.1000000000000001E-3</v>
      </c>
      <c r="BR326">
        <f>'2020_2021_efet Int_Confianca'!BP74</f>
        <v>-3.8E-3</v>
      </c>
      <c r="BS326">
        <f>'2020_2021_efet Int_Confianca'!BQ74</f>
        <v>-1.4E-3</v>
      </c>
      <c r="BT326">
        <f>'2020_2021_efet Int_Confianca'!BR74</f>
        <v>-2.5000000000000001E-3</v>
      </c>
      <c r="BU326">
        <f>'2020_2021_efet Int_Confianca'!BS74</f>
        <v>-5.7999999999999996E-3</v>
      </c>
      <c r="BV326">
        <f>'2020_2021_efet Int_Confianca'!BT74</f>
        <v>-3.5999999999999999E-3</v>
      </c>
      <c r="BW326">
        <f>'2020_2021_efet Int_Confianca'!BU74</f>
        <v>-2.7000000000000001E-3</v>
      </c>
      <c r="BX326">
        <f>'2020_2021_efet Int_Confianca'!BV74</f>
        <v>-1.6000000000000001E-3</v>
      </c>
      <c r="BY326">
        <f>'2020_2021_efet Int_Confianca'!BW74</f>
        <v>-1.4E-3</v>
      </c>
      <c r="BZ326">
        <f>'2020_2021_efet Int_Confianca'!BX74</f>
        <v>-2.8E-3</v>
      </c>
      <c r="CA326">
        <f>'2020_2021_efet Int_Confianca'!BY74</f>
        <v>-6.4999999999999997E-3</v>
      </c>
      <c r="CB326">
        <f>'2020_2021_efet Int_Confianca'!BZ74</f>
        <v>-1.9E-3</v>
      </c>
      <c r="CC326">
        <f>'2020_2021_efet Int_Confianca'!CA74</f>
        <v>-1.6999999999999999E-3</v>
      </c>
      <c r="CD326">
        <f>'2020_2021_efet Int_Confianca'!CB74</f>
        <v>-2.0000000000000001E-4</v>
      </c>
      <c r="CE326">
        <f>'2020_2021_efet Int_Confianca'!CC74</f>
        <v>1.6000000000000001E-3</v>
      </c>
      <c r="CF326">
        <f>'2020_2021_efet Int_Confianca'!CD74</f>
        <v>1E-4</v>
      </c>
      <c r="CG326">
        <f>'2020_2021_efet Int_Confianca'!CE74</f>
        <v>2.5000000000000001E-3</v>
      </c>
      <c r="CH326">
        <f>'2020_2021_efet Int_Confianca'!CF74</f>
        <v>-1.1000000000000001E-3</v>
      </c>
      <c r="CI326">
        <f>'2020_2021_efet Int_Confianca'!CG74</f>
        <v>2.8E-3</v>
      </c>
      <c r="CJ326">
        <f>'2020_2021_efet Int_Confianca'!CH74</f>
        <v>1.8E-3</v>
      </c>
      <c r="CK326">
        <f>'2020_2021_efet Int_Confianca'!CI74</f>
        <v>6.0000000000000001E-3</v>
      </c>
      <c r="CL326">
        <f>'2020_2021_efet Int_Confianca'!CJ74</f>
        <v>7.9000000000000008E-3</v>
      </c>
      <c r="CM326">
        <f>'2020_2021_efet Int_Confianca'!CK74</f>
        <v>1.6000000000000001E-3</v>
      </c>
      <c r="CN326">
        <f>'2020_2021_efet Int_Confianca'!CL74</f>
        <v>1.35E-2</v>
      </c>
      <c r="CO326">
        <f>'2020_2021_efet Int_Confianca'!CM74</f>
        <v>1.15E-2</v>
      </c>
      <c r="CP326">
        <f>'2020_2021_efet Int_Confianca'!CN74</f>
        <v>6.1000000000000004E-3</v>
      </c>
      <c r="CQ326">
        <f>'2020_2021_efet Int_Confianca'!CO74</f>
        <v>9.4999999999999998E-3</v>
      </c>
      <c r="CR326">
        <f>'2020_2021_efet Int_Confianca'!CP74</f>
        <v>1.4E-2</v>
      </c>
      <c r="CS326">
        <f>'2020_2021_efet Int_Confianca'!CQ74</f>
        <v>1.44E-2</v>
      </c>
      <c r="CT326">
        <f>'2020_2021_efet Int_Confianca'!CR74</f>
        <v>9.7000000000000003E-3</v>
      </c>
      <c r="CU326">
        <f>'2020_2021_efet Int_Confianca'!CS74</f>
        <v>0</v>
      </c>
      <c r="CV326">
        <f>'2020_2021_efet Int_Confianca'!CT74</f>
        <v>1.77E-2</v>
      </c>
      <c r="CW326">
        <f>'2020_2021_efet Int_Confianca'!CU74</f>
        <v>7.7000000000000002E-3</v>
      </c>
      <c r="CX326">
        <f>'2020_2021_efet Int_Confianca'!CV74</f>
        <v>3.7499999999999999E-2</v>
      </c>
    </row>
    <row r="327" spans="1:102" x14ac:dyDescent="0.2">
      <c r="A327" t="s">
        <v>5923</v>
      </c>
      <c r="B327" t="s">
        <v>219</v>
      </c>
      <c r="C327" t="s">
        <v>223</v>
      </c>
      <c r="D327">
        <f>'2020_2021_efet Int_Confianca'!B75</f>
        <v>-1.6000000000000001E-3</v>
      </c>
      <c r="E327">
        <f>'2020_2021_efet Int_Confianca'!C75</f>
        <v>-1.6000000000000001E-3</v>
      </c>
      <c r="F327">
        <f>'2020_2021_efet Int_Confianca'!D75</f>
        <v>-1.6000000000000001E-3</v>
      </c>
      <c r="G327">
        <f>'2020_2021_efet Int_Confianca'!E75</f>
        <v>7.4899999999999994E-2</v>
      </c>
      <c r="H327">
        <f>'2020_2021_efet Int_Confianca'!F75</f>
        <v>-5.0000000000000001E-3</v>
      </c>
      <c r="I327">
        <f>'2020_2021_efet Int_Confianca'!G75</f>
        <v>-0.01</v>
      </c>
      <c r="J327">
        <f>'2020_2021_efet Int_Confianca'!H75</f>
        <v>-8.1900000000000001E-2</v>
      </c>
      <c r="K327">
        <f>'2020_2021_efet Int_Confianca'!I75</f>
        <v>-0.12570000000000001</v>
      </c>
      <c r="L327">
        <f>'2020_2021_efet Int_Confianca'!J75</f>
        <v>-0.16700000000000001</v>
      </c>
      <c r="M327">
        <f>'2020_2021_efet Int_Confianca'!K75</f>
        <v>-0.13619999999999999</v>
      </c>
      <c r="N327">
        <f>'2020_2021_efet Int_Confianca'!L75</f>
        <v>-0.1197</v>
      </c>
      <c r="O327">
        <f>'2020_2021_efet Int_Confianca'!M75</f>
        <v>-0.1069</v>
      </c>
      <c r="P327">
        <f>'2020_2021_efet Int_Confianca'!N75</f>
        <v>-8.5999999999999993E-2</v>
      </c>
      <c r="Q327">
        <f>'2020_2021_efet Int_Confianca'!O75</f>
        <v>-5.4300000000000001E-2</v>
      </c>
      <c r="R327">
        <f>'2020_2021_efet Int_Confianca'!P75</f>
        <v>-6.0699999999999997E-2</v>
      </c>
      <c r="S327">
        <f>'2020_2021_efet Int_Confianca'!Q75</f>
        <v>-5.2900000000000003E-2</v>
      </c>
      <c r="T327">
        <f>'2020_2021_efet Int_Confianca'!R75</f>
        <v>-4.6199999999999998E-2</v>
      </c>
      <c r="U327">
        <f>'2020_2021_efet Int_Confianca'!S75</f>
        <v>-4.3799999999999999E-2</v>
      </c>
      <c r="V327">
        <f>'2020_2021_efet Int_Confianca'!T75</f>
        <v>-3.6700000000000003E-2</v>
      </c>
      <c r="W327">
        <f>'2020_2021_efet Int_Confianca'!U75</f>
        <v>-3.1399999999999997E-2</v>
      </c>
      <c r="X327">
        <f>'2020_2021_efet Int_Confianca'!V75</f>
        <v>-2.87E-2</v>
      </c>
      <c r="Y327">
        <f>'2020_2021_efet Int_Confianca'!W75</f>
        <v>-2.07E-2</v>
      </c>
      <c r="Z327">
        <f>'2020_2021_efet Int_Confianca'!X75</f>
        <v>-2.4400000000000002E-2</v>
      </c>
      <c r="AA327">
        <f>'2020_2021_efet Int_Confianca'!Y75</f>
        <v>-2.24E-2</v>
      </c>
      <c r="AB327">
        <f>'2020_2021_efet Int_Confianca'!Z75</f>
        <v>-2.4199999999999999E-2</v>
      </c>
      <c r="AC327">
        <f>'2020_2021_efet Int_Confianca'!AA75</f>
        <v>-2.1999999999999999E-2</v>
      </c>
      <c r="AD327">
        <f>'2020_2021_efet Int_Confianca'!AB75</f>
        <v>-1.9900000000000001E-2</v>
      </c>
      <c r="AE327">
        <f>'2020_2021_efet Int_Confianca'!AC75</f>
        <v>-1.9900000000000001E-2</v>
      </c>
      <c r="AF327">
        <f>'2020_2021_efet Int_Confianca'!AD75</f>
        <v>-2.41E-2</v>
      </c>
      <c r="AG327">
        <f>'2020_2021_efet Int_Confianca'!AE75</f>
        <v>-2.4799999999999999E-2</v>
      </c>
      <c r="AH327">
        <f>'2020_2021_efet Int_Confianca'!AF75</f>
        <v>-2.6200000000000001E-2</v>
      </c>
      <c r="AI327">
        <f>'2020_2021_efet Int_Confianca'!AG75</f>
        <v>-2.7300000000000001E-2</v>
      </c>
      <c r="AJ327">
        <f>'2020_2021_efet Int_Confianca'!AH75</f>
        <v>-1.72E-2</v>
      </c>
      <c r="AK327">
        <f>'2020_2021_efet Int_Confianca'!AI75</f>
        <v>-1.03E-2</v>
      </c>
      <c r="AL327">
        <f>'2020_2021_efet Int_Confianca'!AJ75</f>
        <v>-0.01</v>
      </c>
      <c r="AM327">
        <f>'2020_2021_efet Int_Confianca'!AK75</f>
        <v>-7.7000000000000002E-3</v>
      </c>
      <c r="AN327">
        <f>'2020_2021_efet Int_Confianca'!AL75</f>
        <v>-7.4000000000000003E-3</v>
      </c>
      <c r="AO327">
        <f>'2020_2021_efet Int_Confianca'!AM75</f>
        <v>-1.24E-2</v>
      </c>
      <c r="AP327">
        <f>'2020_2021_efet Int_Confianca'!AN75</f>
        <v>-1.11E-2</v>
      </c>
      <c r="AQ327">
        <f>'2020_2021_efet Int_Confianca'!AO75</f>
        <v>-9.5999999999999992E-3</v>
      </c>
      <c r="AR327">
        <f>'2020_2021_efet Int_Confianca'!AP75</f>
        <v>-1.0800000000000001E-2</v>
      </c>
      <c r="AS327">
        <f>'2020_2021_efet Int_Confianca'!AQ75</f>
        <v>-7.0000000000000001E-3</v>
      </c>
      <c r="AT327">
        <f>'2020_2021_efet Int_Confianca'!AR75</f>
        <v>-5.8999999999999999E-3</v>
      </c>
      <c r="AU327">
        <f>'2020_2021_efet Int_Confianca'!AS75</f>
        <v>-7.0000000000000001E-3</v>
      </c>
      <c r="AV327">
        <f>'2020_2021_efet Int_Confianca'!AT75</f>
        <v>-1.0500000000000001E-2</v>
      </c>
      <c r="AW327">
        <f>'2020_2021_efet Int_Confianca'!AU75</f>
        <v>-8.9999999999999993E-3</v>
      </c>
      <c r="AX327">
        <f>'2020_2021_efet Int_Confianca'!AV75</f>
        <v>-1.29E-2</v>
      </c>
      <c r="AY327">
        <f>'2020_2021_efet Int_Confianca'!AW75</f>
        <v>-1.43E-2</v>
      </c>
      <c r="AZ327">
        <f>'2020_2021_efet Int_Confianca'!AX75</f>
        <v>-1.44E-2</v>
      </c>
      <c r="BA327">
        <f>'2020_2021_efet Int_Confianca'!AY75</f>
        <v>-1.7500000000000002E-2</v>
      </c>
      <c r="BB327">
        <f>'2020_2021_efet Int_Confianca'!AZ75</f>
        <v>-1.3100000000000001E-2</v>
      </c>
      <c r="BC327">
        <f>'2020_2021_efet Int_Confianca'!BA75</f>
        <v>-1.43E-2</v>
      </c>
      <c r="BD327">
        <f>'2020_2021_efet Int_Confianca'!BB75</f>
        <v>-4.7999999999999996E-3</v>
      </c>
      <c r="BE327">
        <f>'2020_2021_efet Int_Confianca'!BC75</f>
        <v>-6.4999999999999997E-3</v>
      </c>
      <c r="BF327">
        <f>'2020_2021_efet Int_Confianca'!BD75</f>
        <v>-5.7999999999999996E-3</v>
      </c>
      <c r="BG327">
        <f>'2020_2021_efet Int_Confianca'!BE75</f>
        <v>-7.0000000000000001E-3</v>
      </c>
      <c r="BH327">
        <f>'2020_2021_efet Int_Confianca'!BF75</f>
        <v>-7.3000000000000001E-3</v>
      </c>
      <c r="BI327">
        <f>'2020_2021_efet Int_Confianca'!BG75</f>
        <v>-9.1000000000000004E-3</v>
      </c>
      <c r="BJ327">
        <f>'2020_2021_efet Int_Confianca'!BH75</f>
        <v>-1.3100000000000001E-2</v>
      </c>
      <c r="BK327">
        <f>'2020_2021_efet Int_Confianca'!BI75</f>
        <v>-1.9099999999999999E-2</v>
      </c>
      <c r="BL327">
        <f>'2020_2021_efet Int_Confianca'!BJ75</f>
        <v>-1.95E-2</v>
      </c>
      <c r="BM327">
        <f>'2020_2021_efet Int_Confianca'!BK75</f>
        <v>-1.61E-2</v>
      </c>
      <c r="BN327">
        <f>'2020_2021_efet Int_Confianca'!BL75</f>
        <v>-1.5900000000000001E-2</v>
      </c>
      <c r="BO327">
        <f>'2020_2021_efet Int_Confianca'!BM75</f>
        <v>-1.9099999999999999E-2</v>
      </c>
      <c r="BP327">
        <f>'2020_2021_efet Int_Confianca'!BN75</f>
        <v>-2.0400000000000001E-2</v>
      </c>
      <c r="BQ327">
        <f>'2020_2021_efet Int_Confianca'!BO75</f>
        <v>-1.9599999999999999E-2</v>
      </c>
      <c r="BR327">
        <f>'2020_2021_efet Int_Confianca'!BP75</f>
        <v>-1.9599999999999999E-2</v>
      </c>
      <c r="BS327">
        <f>'2020_2021_efet Int_Confianca'!BQ75</f>
        <v>-0.02</v>
      </c>
      <c r="BT327">
        <f>'2020_2021_efet Int_Confianca'!BR75</f>
        <v>-2.23E-2</v>
      </c>
      <c r="BU327">
        <f>'2020_2021_efet Int_Confianca'!BS75</f>
        <v>-2.3199999999999998E-2</v>
      </c>
      <c r="BV327">
        <f>'2020_2021_efet Int_Confianca'!BT75</f>
        <v>-3.2000000000000001E-2</v>
      </c>
      <c r="BW327">
        <f>'2020_2021_efet Int_Confianca'!BU75</f>
        <v>-2.18E-2</v>
      </c>
      <c r="BX327">
        <f>'2020_2021_efet Int_Confianca'!BV75</f>
        <v>-2.2700000000000001E-2</v>
      </c>
      <c r="BY327">
        <f>'2020_2021_efet Int_Confianca'!BW75</f>
        <v>-2.76E-2</v>
      </c>
      <c r="BZ327">
        <f>'2020_2021_efet Int_Confianca'!BX75</f>
        <v>-2.7300000000000001E-2</v>
      </c>
      <c r="CA327">
        <f>'2020_2021_efet Int_Confianca'!BY75</f>
        <v>-3.2099999999999997E-2</v>
      </c>
      <c r="CB327">
        <f>'2020_2021_efet Int_Confianca'!BZ75</f>
        <v>-3.9100000000000003E-2</v>
      </c>
      <c r="CC327">
        <f>'2020_2021_efet Int_Confianca'!CA75</f>
        <v>-3.6400000000000002E-2</v>
      </c>
      <c r="CD327">
        <f>'2020_2021_efet Int_Confianca'!CB75</f>
        <v>-4.19E-2</v>
      </c>
      <c r="CE327">
        <f>'2020_2021_efet Int_Confianca'!CC75</f>
        <v>-4.5999999999999999E-2</v>
      </c>
      <c r="CF327">
        <f>'2020_2021_efet Int_Confianca'!CD75</f>
        <v>-3.7999999999999999E-2</v>
      </c>
      <c r="CG327">
        <f>'2020_2021_efet Int_Confianca'!CE75</f>
        <v>-3.3300000000000003E-2</v>
      </c>
      <c r="CH327">
        <f>'2020_2021_efet Int_Confianca'!CF75</f>
        <v>-3.5400000000000001E-2</v>
      </c>
      <c r="CI327">
        <f>'2020_2021_efet Int_Confianca'!CG75</f>
        <v>-3.5000000000000003E-2</v>
      </c>
      <c r="CJ327">
        <f>'2020_2021_efet Int_Confianca'!CH75</f>
        <v>-3.56E-2</v>
      </c>
      <c r="CK327">
        <f>'2020_2021_efet Int_Confianca'!CI75</f>
        <v>-4.4699999999999997E-2</v>
      </c>
      <c r="CL327">
        <f>'2020_2021_efet Int_Confianca'!CJ75</f>
        <v>-4.87E-2</v>
      </c>
      <c r="CM327">
        <f>'2020_2021_efet Int_Confianca'!CK75</f>
        <v>-4.8899999999999999E-2</v>
      </c>
      <c r="CN327">
        <f>'2020_2021_efet Int_Confianca'!CL75</f>
        <v>-0.04</v>
      </c>
      <c r="CO327">
        <f>'2020_2021_efet Int_Confianca'!CM75</f>
        <v>-5.0799999999999998E-2</v>
      </c>
      <c r="CP327">
        <f>'2020_2021_efet Int_Confianca'!CN75</f>
        <v>-5.5300000000000002E-2</v>
      </c>
      <c r="CQ327">
        <f>'2020_2021_efet Int_Confianca'!CO75</f>
        <v>-0.04</v>
      </c>
      <c r="CR327">
        <f>'2020_2021_efet Int_Confianca'!CP75</f>
        <v>-4.4900000000000002E-2</v>
      </c>
      <c r="CS327">
        <f>'2020_2021_efet Int_Confianca'!CQ75</f>
        <v>-5.2699999999999997E-2</v>
      </c>
      <c r="CT327">
        <f>'2020_2021_efet Int_Confianca'!CR75</f>
        <v>-6.4600000000000005E-2</v>
      </c>
      <c r="CU327">
        <f>'2020_2021_efet Int_Confianca'!CS75</f>
        <v>-4.0899999999999999E-2</v>
      </c>
      <c r="CV327">
        <f>'2020_2021_efet Int_Confianca'!CT75</f>
        <v>-3.4599999999999999E-2</v>
      </c>
      <c r="CW327">
        <f>'2020_2021_efet Int_Confianca'!CU75</f>
        <v>-8.8000000000000005E-3</v>
      </c>
      <c r="CX327">
        <f>'2020_2021_efet Int_Confianca'!CV75</f>
        <v>-2.9899999999999999E-2</v>
      </c>
    </row>
    <row r="328" spans="1:102" x14ac:dyDescent="0.2">
      <c r="A328" t="s">
        <v>5924</v>
      </c>
      <c r="B328" t="s">
        <v>219</v>
      </c>
      <c r="C328" t="s">
        <v>223</v>
      </c>
      <c r="D328">
        <f>'2020_2021_efet Int_Confianca'!B76</f>
        <v>2.81E-2</v>
      </c>
      <c r="E328">
        <f>'2020_2021_efet Int_Confianca'!C76</f>
        <v>2.81E-2</v>
      </c>
      <c r="F328">
        <f>'2020_2021_efet Int_Confianca'!D76</f>
        <v>2.81E-2</v>
      </c>
      <c r="G328">
        <f>'2020_2021_efet Int_Confianca'!E76</f>
        <v>0.25900000000000001</v>
      </c>
      <c r="H328">
        <f>'2020_2021_efet Int_Confianca'!F76</f>
        <v>0.27400000000000002</v>
      </c>
      <c r="I328">
        <f>'2020_2021_efet Int_Confianca'!G76</f>
        <v>0.1933</v>
      </c>
      <c r="J328">
        <f>'2020_2021_efet Int_Confianca'!H76</f>
        <v>0.1328</v>
      </c>
      <c r="K328">
        <f>'2020_2021_efet Int_Confianca'!I76</f>
        <v>8.0100000000000005E-2</v>
      </c>
      <c r="L328">
        <f>'2020_2021_efet Int_Confianca'!J76</f>
        <v>4.99E-2</v>
      </c>
      <c r="M328">
        <f>'2020_2021_efet Int_Confianca'!K76</f>
        <v>5.5300000000000002E-2</v>
      </c>
      <c r="N328">
        <f>'2020_2021_efet Int_Confianca'!L76</f>
        <v>5.0200000000000002E-2</v>
      </c>
      <c r="O328">
        <f>'2020_2021_efet Int_Confianca'!M76</f>
        <v>5.33E-2</v>
      </c>
      <c r="P328">
        <f>'2020_2021_efet Int_Confianca'!N76</f>
        <v>4.8599999999999997E-2</v>
      </c>
      <c r="Q328">
        <f>'2020_2021_efet Int_Confianca'!O76</f>
        <v>5.8000000000000003E-2</v>
      </c>
      <c r="R328">
        <f>'2020_2021_efet Int_Confianca'!P76</f>
        <v>5.45E-2</v>
      </c>
      <c r="S328">
        <f>'2020_2021_efet Int_Confianca'!Q76</f>
        <v>3.9300000000000002E-2</v>
      </c>
      <c r="T328">
        <f>'2020_2021_efet Int_Confianca'!R76</f>
        <v>3.04E-2</v>
      </c>
      <c r="U328">
        <f>'2020_2021_efet Int_Confianca'!S76</f>
        <v>2.5399999999999999E-2</v>
      </c>
      <c r="V328">
        <f>'2020_2021_efet Int_Confianca'!T76</f>
        <v>2.4400000000000002E-2</v>
      </c>
      <c r="W328">
        <f>'2020_2021_efet Int_Confianca'!U76</f>
        <v>2.1100000000000001E-2</v>
      </c>
      <c r="X328">
        <f>'2020_2021_efet Int_Confianca'!V76</f>
        <v>2.2800000000000001E-2</v>
      </c>
      <c r="Y328">
        <f>'2020_2021_efet Int_Confianca'!W76</f>
        <v>3.1099999999999999E-2</v>
      </c>
      <c r="Z328">
        <f>'2020_2021_efet Int_Confianca'!X76</f>
        <v>2.75E-2</v>
      </c>
      <c r="AA328">
        <f>'2020_2021_efet Int_Confianca'!Y76</f>
        <v>3.0099999999999998E-2</v>
      </c>
      <c r="AB328">
        <f>'2020_2021_efet Int_Confianca'!Z76</f>
        <v>2.6100000000000002E-2</v>
      </c>
      <c r="AC328">
        <f>'2020_2021_efet Int_Confianca'!AA76</f>
        <v>2.8000000000000001E-2</v>
      </c>
      <c r="AD328">
        <f>'2020_2021_efet Int_Confianca'!AB76</f>
        <v>3.04E-2</v>
      </c>
      <c r="AE328">
        <f>'2020_2021_efet Int_Confianca'!AC76</f>
        <v>3.0800000000000001E-2</v>
      </c>
      <c r="AF328">
        <f>'2020_2021_efet Int_Confianca'!AD76</f>
        <v>2.75E-2</v>
      </c>
      <c r="AG328">
        <f>'2020_2021_efet Int_Confianca'!AE76</f>
        <v>2.75E-2</v>
      </c>
      <c r="AH328">
        <f>'2020_2021_efet Int_Confianca'!AF76</f>
        <v>2.7E-2</v>
      </c>
      <c r="AI328">
        <f>'2020_2021_efet Int_Confianca'!AG76</f>
        <v>2.92E-2</v>
      </c>
      <c r="AJ328">
        <f>'2020_2021_efet Int_Confianca'!AH76</f>
        <v>3.6400000000000002E-2</v>
      </c>
      <c r="AK328">
        <f>'2020_2021_efet Int_Confianca'!AI76</f>
        <v>4.3900000000000002E-2</v>
      </c>
      <c r="AL328">
        <f>'2020_2021_efet Int_Confianca'!AJ76</f>
        <v>4.41E-2</v>
      </c>
      <c r="AM328">
        <f>'2020_2021_efet Int_Confianca'!AK76</f>
        <v>4.6899999999999997E-2</v>
      </c>
      <c r="AN328">
        <f>'2020_2021_efet Int_Confianca'!AL76</f>
        <v>4.7600000000000003E-2</v>
      </c>
      <c r="AO328">
        <f>'2020_2021_efet Int_Confianca'!AM76</f>
        <v>4.4299999999999999E-2</v>
      </c>
      <c r="AP328">
        <f>'2020_2021_efet Int_Confianca'!AN76</f>
        <v>4.5400000000000003E-2</v>
      </c>
      <c r="AQ328">
        <f>'2020_2021_efet Int_Confianca'!AO76</f>
        <v>4.6600000000000003E-2</v>
      </c>
      <c r="AR328">
        <f>'2020_2021_efet Int_Confianca'!AP76</f>
        <v>4.4999999999999998E-2</v>
      </c>
      <c r="AS328">
        <f>'2020_2021_efet Int_Confianca'!AQ76</f>
        <v>5.21E-2</v>
      </c>
      <c r="AT328">
        <f>'2020_2021_efet Int_Confianca'!AR76</f>
        <v>5.2999999999999999E-2</v>
      </c>
      <c r="AU328">
        <f>'2020_2021_efet Int_Confianca'!AS76</f>
        <v>5.1799999999999999E-2</v>
      </c>
      <c r="AV328">
        <f>'2020_2021_efet Int_Confianca'!AT76</f>
        <v>4.9200000000000001E-2</v>
      </c>
      <c r="AW328">
        <f>'2020_2021_efet Int_Confianca'!AU76</f>
        <v>5.1200000000000002E-2</v>
      </c>
      <c r="AX328">
        <f>'2020_2021_efet Int_Confianca'!AV76</f>
        <v>4.7399999999999998E-2</v>
      </c>
      <c r="AY328">
        <f>'2020_2021_efet Int_Confianca'!AW76</f>
        <v>4.6699999999999998E-2</v>
      </c>
      <c r="AZ328">
        <f>'2020_2021_efet Int_Confianca'!AX76</f>
        <v>4.9000000000000002E-2</v>
      </c>
      <c r="BA328">
        <f>'2020_2021_efet Int_Confianca'!AY76</f>
        <v>4.6600000000000003E-2</v>
      </c>
      <c r="BB328">
        <f>'2020_2021_efet Int_Confianca'!AZ76</f>
        <v>5.0700000000000002E-2</v>
      </c>
      <c r="BC328">
        <f>'2020_2021_efet Int_Confianca'!BA76</f>
        <v>5.1700000000000003E-2</v>
      </c>
      <c r="BD328">
        <f>'2020_2021_efet Int_Confianca'!BB76</f>
        <v>6.0699999999999997E-2</v>
      </c>
      <c r="BE328">
        <f>'2020_2021_efet Int_Confianca'!BC76</f>
        <v>6.0100000000000001E-2</v>
      </c>
      <c r="BF328">
        <f>'2020_2021_efet Int_Confianca'!BD76</f>
        <v>6.0400000000000002E-2</v>
      </c>
      <c r="BG328">
        <f>'2020_2021_efet Int_Confianca'!BE76</f>
        <v>5.9299999999999999E-2</v>
      </c>
      <c r="BH328">
        <f>'2020_2021_efet Int_Confianca'!BF76</f>
        <v>5.8999999999999997E-2</v>
      </c>
      <c r="BI328">
        <f>'2020_2021_efet Int_Confianca'!BG76</f>
        <v>5.6300000000000003E-2</v>
      </c>
      <c r="BJ328">
        <f>'2020_2021_efet Int_Confianca'!BH76</f>
        <v>5.3699999999999998E-2</v>
      </c>
      <c r="BK328">
        <f>'2020_2021_efet Int_Confianca'!BI76</f>
        <v>4.99E-2</v>
      </c>
      <c r="BL328">
        <f>'2020_2021_efet Int_Confianca'!BJ76</f>
        <v>4.9500000000000002E-2</v>
      </c>
      <c r="BM328">
        <f>'2020_2021_efet Int_Confianca'!BK76</f>
        <v>5.1700000000000003E-2</v>
      </c>
      <c r="BN328">
        <f>'2020_2021_efet Int_Confianca'!BL76</f>
        <v>5.2400000000000002E-2</v>
      </c>
      <c r="BO328">
        <f>'2020_2021_efet Int_Confianca'!BM76</f>
        <v>5.3199999999999997E-2</v>
      </c>
      <c r="BP328">
        <f>'2020_2021_efet Int_Confianca'!BN76</f>
        <v>5.8799999999999998E-2</v>
      </c>
      <c r="BQ328">
        <f>'2020_2021_efet Int_Confianca'!BO76</f>
        <v>6.4100000000000004E-2</v>
      </c>
      <c r="BR328">
        <f>'2020_2021_efet Int_Confianca'!BP76</f>
        <v>6.7500000000000004E-2</v>
      </c>
      <c r="BS328">
        <f>'2020_2021_efet Int_Confianca'!BQ76</f>
        <v>7.0300000000000001E-2</v>
      </c>
      <c r="BT328">
        <f>'2020_2021_efet Int_Confianca'!BR76</f>
        <v>6.9199999999999998E-2</v>
      </c>
      <c r="BU328">
        <f>'2020_2021_efet Int_Confianca'!BS76</f>
        <v>6.9599999999999995E-2</v>
      </c>
      <c r="BV328">
        <f>'2020_2021_efet Int_Confianca'!BT76</f>
        <v>5.2400000000000002E-2</v>
      </c>
      <c r="BW328">
        <f>'2020_2021_efet Int_Confianca'!BU76</f>
        <v>5.8000000000000003E-2</v>
      </c>
      <c r="BX328">
        <f>'2020_2021_efet Int_Confianca'!BV76</f>
        <v>5.8099999999999999E-2</v>
      </c>
      <c r="BY328">
        <f>'2020_2021_efet Int_Confianca'!BW76</f>
        <v>5.4300000000000001E-2</v>
      </c>
      <c r="BZ328">
        <f>'2020_2021_efet Int_Confianca'!BX76</f>
        <v>5.7200000000000001E-2</v>
      </c>
      <c r="CA328">
        <f>'2020_2021_efet Int_Confianca'!BY76</f>
        <v>5.6099999999999997E-2</v>
      </c>
      <c r="CB328">
        <f>'2020_2021_efet Int_Confianca'!BZ76</f>
        <v>1.9099999999999999E-2</v>
      </c>
      <c r="CC328">
        <f>'2020_2021_efet Int_Confianca'!CA76</f>
        <v>2.4400000000000002E-2</v>
      </c>
      <c r="CD328">
        <f>'2020_2021_efet Int_Confianca'!CB76</f>
        <v>2.3800000000000002E-2</v>
      </c>
      <c r="CE328">
        <f>'2020_2021_efet Int_Confianca'!CC76</f>
        <v>2.4899999999999999E-2</v>
      </c>
      <c r="CF328">
        <f>'2020_2021_efet Int_Confianca'!CD76</f>
        <v>2.5899999999999999E-2</v>
      </c>
      <c r="CG328">
        <f>'2020_2021_efet Int_Confianca'!CE76</f>
        <v>2.86E-2</v>
      </c>
      <c r="CH328">
        <f>'2020_2021_efet Int_Confianca'!CF76</f>
        <v>2.2599999999999999E-2</v>
      </c>
      <c r="CI328">
        <f>'2020_2021_efet Int_Confianca'!CG76</f>
        <v>2.1499999999999998E-2</v>
      </c>
      <c r="CJ328">
        <f>'2020_2021_efet Int_Confianca'!CH76</f>
        <v>2.2700000000000001E-2</v>
      </c>
      <c r="CK328">
        <f>'2020_2021_efet Int_Confianca'!CI76</f>
        <v>1.95E-2</v>
      </c>
      <c r="CL328">
        <f>'2020_2021_efet Int_Confianca'!CJ76</f>
        <v>1.8100000000000002E-2</v>
      </c>
      <c r="CM328">
        <f>'2020_2021_efet Int_Confianca'!CK76</f>
        <v>2.06E-2</v>
      </c>
      <c r="CN328">
        <f>'2020_2021_efet Int_Confianca'!CL76</f>
        <v>2.6100000000000002E-2</v>
      </c>
      <c r="CO328">
        <f>'2020_2021_efet Int_Confianca'!CM76</f>
        <v>2.23E-2</v>
      </c>
      <c r="CP328">
        <f>'2020_2021_efet Int_Confianca'!CN76</f>
        <v>2.3900000000000001E-2</v>
      </c>
      <c r="CQ328">
        <f>'2020_2021_efet Int_Confianca'!CO76</f>
        <v>2.93E-2</v>
      </c>
      <c r="CR328">
        <f>'2020_2021_efet Int_Confianca'!CP76</f>
        <v>2.9700000000000001E-2</v>
      </c>
      <c r="CS328">
        <f>'2020_2021_efet Int_Confianca'!CQ76</f>
        <v>2.86E-2</v>
      </c>
      <c r="CT328">
        <f>'2020_2021_efet Int_Confianca'!CR76</f>
        <v>2.5499999999999998E-2</v>
      </c>
      <c r="CU328">
        <f>'2020_2021_efet Int_Confianca'!CS76</f>
        <v>3.5999999999999997E-2</v>
      </c>
      <c r="CV328">
        <f>'2020_2021_efet Int_Confianca'!CT76</f>
        <v>4.3799999999999999E-2</v>
      </c>
      <c r="CW328">
        <f>'2020_2021_efet Int_Confianca'!CU76</f>
        <v>5.7500000000000002E-2</v>
      </c>
      <c r="CX328">
        <f>'2020_2021_efet Int_Confianca'!CV76</f>
        <v>6.6199999999999995E-2</v>
      </c>
    </row>
    <row r="329" spans="1:102" x14ac:dyDescent="0.2">
      <c r="A329" t="s">
        <v>5927</v>
      </c>
      <c r="B329" t="s">
        <v>219</v>
      </c>
      <c r="C329" t="s">
        <v>223</v>
      </c>
      <c r="D329">
        <f>'2020_2021_efet Int_Confianca'!B77</f>
        <v>-6.1400000000000003E-2</v>
      </c>
      <c r="E329">
        <f>'2020_2021_efet Int_Confianca'!C77</f>
        <v>-5.79E-2</v>
      </c>
      <c r="F329">
        <f>'2020_2021_efet Int_Confianca'!D77</f>
        <v>-5.45E-2</v>
      </c>
      <c r="G329">
        <f>'2020_2021_efet Int_Confianca'!E77</f>
        <v>0.46989999999999998</v>
      </c>
      <c r="H329">
        <f>'2020_2021_efet Int_Confianca'!F77</f>
        <v>-0.51300000000000001</v>
      </c>
      <c r="I329">
        <f>'2020_2021_efet Int_Confianca'!G77</f>
        <v>0.14280000000000001</v>
      </c>
      <c r="J329">
        <f>'2020_2021_efet Int_Confianca'!H77</f>
        <v>3.0700000000000002E-2</v>
      </c>
      <c r="K329">
        <f>'2020_2021_efet Int_Confianca'!I77</f>
        <v>6.4299999999999996E-2</v>
      </c>
      <c r="L329">
        <f>'2020_2021_efet Int_Confianca'!J77</f>
        <v>0.1953</v>
      </c>
      <c r="M329">
        <f>'2020_2021_efet Int_Confianca'!K77</f>
        <v>0.14979999999999999</v>
      </c>
      <c r="N329">
        <f>'2020_2021_efet Int_Confianca'!L77</f>
        <v>0.25950000000000001</v>
      </c>
      <c r="O329">
        <f>'2020_2021_efet Int_Confianca'!M77</f>
        <v>0.29039999999999999</v>
      </c>
      <c r="P329">
        <f>'2020_2021_efet Int_Confianca'!N77</f>
        <v>0.3664</v>
      </c>
      <c r="Q329">
        <f>'2020_2021_efet Int_Confianca'!O77</f>
        <v>-7.7000000000000002E-3</v>
      </c>
      <c r="R329">
        <f>'2020_2021_efet Int_Confianca'!P77</f>
        <v>-5.16E-2</v>
      </c>
      <c r="S329">
        <f>'2020_2021_efet Int_Confianca'!Q77</f>
        <v>0.26729999999999998</v>
      </c>
      <c r="T329">
        <f>'2020_2021_efet Int_Confianca'!R77</f>
        <v>0.27310000000000001</v>
      </c>
      <c r="U329">
        <f>'2020_2021_efet Int_Confianca'!S77</f>
        <v>0.11749999999999999</v>
      </c>
      <c r="V329">
        <f>'2020_2021_efet Int_Confianca'!T77</f>
        <v>0.20949999999999999</v>
      </c>
      <c r="W329">
        <f>'2020_2021_efet Int_Confianca'!U77</f>
        <v>0.25140000000000001</v>
      </c>
      <c r="X329">
        <f>'2020_2021_efet Int_Confianca'!V77</f>
        <v>0.2409</v>
      </c>
      <c r="Y329">
        <f>'2020_2021_efet Int_Confianca'!W77</f>
        <v>7.1199999999999999E-2</v>
      </c>
      <c r="Z329">
        <f>'2020_2021_efet Int_Confianca'!X77</f>
        <v>3.1300000000000001E-2</v>
      </c>
      <c r="AA329">
        <f>'2020_2021_efet Int_Confianca'!Y77</f>
        <v>2.6800000000000001E-2</v>
      </c>
      <c r="AB329">
        <f>'2020_2021_efet Int_Confianca'!Z77</f>
        <v>0.1094</v>
      </c>
      <c r="AC329">
        <f>'2020_2021_efet Int_Confianca'!AA77</f>
        <v>7.7299999999999994E-2</v>
      </c>
      <c r="AD329">
        <f>'2020_2021_efet Int_Confianca'!AB77</f>
        <v>9.6799999999999997E-2</v>
      </c>
      <c r="AE329">
        <f>'2020_2021_efet Int_Confianca'!AC77</f>
        <v>9.7500000000000003E-2</v>
      </c>
      <c r="AF329">
        <f>'2020_2021_efet Int_Confianca'!AD77</f>
        <v>0.1043</v>
      </c>
      <c r="AG329">
        <f>'2020_2021_efet Int_Confianca'!AE77</f>
        <v>8.2400000000000001E-2</v>
      </c>
      <c r="AH329">
        <f>'2020_2021_efet Int_Confianca'!AF77</f>
        <v>8.0600000000000005E-2</v>
      </c>
      <c r="AI329">
        <f>'2020_2021_efet Int_Confianca'!AG77</f>
        <v>0.06</v>
      </c>
      <c r="AJ329">
        <f>'2020_2021_efet Int_Confianca'!AH77</f>
        <v>5.3999999999999999E-2</v>
      </c>
      <c r="AK329">
        <f>'2020_2021_efet Int_Confianca'!AI77</f>
        <v>3.6700000000000003E-2</v>
      </c>
      <c r="AL329">
        <f>'2020_2021_efet Int_Confianca'!AJ77</f>
        <v>2.5499999999999998E-2</v>
      </c>
      <c r="AM329">
        <f>'2020_2021_efet Int_Confianca'!AK77</f>
        <v>-6.3E-3</v>
      </c>
      <c r="AN329">
        <f>'2020_2021_efet Int_Confianca'!AL77</f>
        <v>-1.77E-2</v>
      </c>
      <c r="AO329">
        <f>'2020_2021_efet Int_Confianca'!AM77</f>
        <v>-2.2200000000000001E-2</v>
      </c>
      <c r="AP329">
        <f>'2020_2021_efet Int_Confianca'!AN77</f>
        <v>-1.47E-2</v>
      </c>
      <c r="AQ329">
        <f>'2020_2021_efet Int_Confianca'!AO77</f>
        <v>-3.9100000000000003E-2</v>
      </c>
      <c r="AR329">
        <f>'2020_2021_efet Int_Confianca'!AP77</f>
        <v>-2.4400000000000002E-2</v>
      </c>
      <c r="AS329">
        <f>'2020_2021_efet Int_Confianca'!AQ77</f>
        <v>-2.9000000000000001E-2</v>
      </c>
      <c r="AT329">
        <f>'2020_2021_efet Int_Confianca'!AR77</f>
        <v>-3.7900000000000003E-2</v>
      </c>
      <c r="AU329">
        <f>'2020_2021_efet Int_Confianca'!AS77</f>
        <v>-1.24E-2</v>
      </c>
      <c r="AV329">
        <f>'2020_2021_efet Int_Confianca'!AT77</f>
        <v>-4.3999999999999997E-2</v>
      </c>
      <c r="AW329">
        <f>'2020_2021_efet Int_Confianca'!AU77</f>
        <v>-4.4200000000000003E-2</v>
      </c>
      <c r="AX329">
        <f>'2020_2021_efet Int_Confianca'!AV77</f>
        <v>-5.7099999999999998E-2</v>
      </c>
      <c r="AY329">
        <f>'2020_2021_efet Int_Confianca'!AW77</f>
        <v>-6.1400000000000003E-2</v>
      </c>
      <c r="AZ329">
        <f>'2020_2021_efet Int_Confianca'!AX77</f>
        <v>-9.2499999999999999E-2</v>
      </c>
      <c r="BA329">
        <f>'2020_2021_efet Int_Confianca'!AY77</f>
        <v>-8.7999999999999995E-2</v>
      </c>
      <c r="BB329">
        <f>'2020_2021_efet Int_Confianca'!AZ77</f>
        <v>-9.4700000000000006E-2</v>
      </c>
      <c r="BC329">
        <f>'2020_2021_efet Int_Confianca'!BA77</f>
        <v>-0.11550000000000001</v>
      </c>
      <c r="BD329">
        <f>'2020_2021_efet Int_Confianca'!BB77</f>
        <v>-0.12570000000000001</v>
      </c>
      <c r="BE329">
        <f>'2020_2021_efet Int_Confianca'!BC77</f>
        <v>-0.1206</v>
      </c>
      <c r="BF329">
        <f>'2020_2021_efet Int_Confianca'!BD77</f>
        <v>-0.11650000000000001</v>
      </c>
      <c r="BG329">
        <f>'2020_2021_efet Int_Confianca'!BE77</f>
        <v>-0.1298</v>
      </c>
      <c r="BH329">
        <f>'2020_2021_efet Int_Confianca'!BF77</f>
        <v>-0.1149</v>
      </c>
      <c r="BI329">
        <f>'2020_2021_efet Int_Confianca'!BG77</f>
        <v>-9.9599999999999994E-2</v>
      </c>
      <c r="BJ329">
        <f>'2020_2021_efet Int_Confianca'!BH77</f>
        <v>-0.09</v>
      </c>
      <c r="BK329">
        <f>'2020_2021_efet Int_Confianca'!BI77</f>
        <v>-8.43E-2</v>
      </c>
      <c r="BL329">
        <f>'2020_2021_efet Int_Confianca'!BJ77</f>
        <v>-7.3700000000000002E-2</v>
      </c>
      <c r="BM329">
        <f>'2020_2021_efet Int_Confianca'!BK77</f>
        <v>-6.8199999999999997E-2</v>
      </c>
      <c r="BN329">
        <f>'2020_2021_efet Int_Confianca'!BL77</f>
        <v>-7.5300000000000006E-2</v>
      </c>
      <c r="BO329">
        <f>'2020_2021_efet Int_Confianca'!BM77</f>
        <v>-7.17E-2</v>
      </c>
      <c r="BP329">
        <f>'2020_2021_efet Int_Confianca'!BN77</f>
        <v>-5.9499999999999997E-2</v>
      </c>
      <c r="BQ329">
        <f>'2020_2021_efet Int_Confianca'!BO77</f>
        <v>-4.3900000000000002E-2</v>
      </c>
      <c r="BR329">
        <f>'2020_2021_efet Int_Confianca'!BP77</f>
        <v>-4.9099999999999998E-2</v>
      </c>
      <c r="BS329">
        <f>'2020_2021_efet Int_Confianca'!BQ77</f>
        <v>-9.9000000000000005E-2</v>
      </c>
      <c r="BT329">
        <f>'2020_2021_efet Int_Confianca'!BR77</f>
        <v>-0.12759999999999999</v>
      </c>
      <c r="BU329">
        <f>'2020_2021_efet Int_Confianca'!BS77</f>
        <v>-0.1593</v>
      </c>
      <c r="BV329">
        <f>'2020_2021_efet Int_Confianca'!BT77</f>
        <v>-0.1628</v>
      </c>
      <c r="BW329">
        <f>'2020_2021_efet Int_Confianca'!BU77</f>
        <v>-0.17780000000000001</v>
      </c>
      <c r="BX329">
        <f>'2020_2021_efet Int_Confianca'!BV77</f>
        <v>-0.18290000000000001</v>
      </c>
      <c r="BY329">
        <f>'2020_2021_efet Int_Confianca'!BW77</f>
        <v>-0.18609999999999999</v>
      </c>
      <c r="BZ329">
        <f>'2020_2021_efet Int_Confianca'!BX77</f>
        <v>-0.1835</v>
      </c>
      <c r="CA329">
        <f>'2020_2021_efet Int_Confianca'!BY77</f>
        <v>-0.17119999999999999</v>
      </c>
      <c r="CB329">
        <f>'2020_2021_efet Int_Confianca'!BZ77</f>
        <v>-0.10970000000000001</v>
      </c>
      <c r="CC329">
        <f>'2020_2021_efet Int_Confianca'!CA77</f>
        <v>-0.12189999999999999</v>
      </c>
      <c r="CD329">
        <f>'2020_2021_efet Int_Confianca'!CB77</f>
        <v>-0.1061</v>
      </c>
      <c r="CE329">
        <f>'2020_2021_efet Int_Confianca'!CC77</f>
        <v>-0.1047</v>
      </c>
      <c r="CF329">
        <f>'2020_2021_efet Int_Confianca'!CD77</f>
        <v>-0.10349999999999999</v>
      </c>
      <c r="CG329">
        <f>'2020_2021_efet Int_Confianca'!CE77</f>
        <v>-6.1100000000000002E-2</v>
      </c>
      <c r="CH329">
        <f>'2020_2021_efet Int_Confianca'!CF77</f>
        <v>-4.5600000000000002E-2</v>
      </c>
      <c r="CI329">
        <f>'2020_2021_efet Int_Confianca'!CG77</f>
        <v>-2.9399999999999999E-2</v>
      </c>
      <c r="CJ329">
        <f>'2020_2021_efet Int_Confianca'!CH77</f>
        <v>-7.2300000000000003E-2</v>
      </c>
      <c r="CK329">
        <f>'2020_2021_efet Int_Confianca'!CI77</f>
        <v>-8.48E-2</v>
      </c>
      <c r="CL329">
        <f>'2020_2021_efet Int_Confianca'!CJ77</f>
        <v>-0.12809999999999999</v>
      </c>
      <c r="CM329">
        <f>'2020_2021_efet Int_Confianca'!CK77</f>
        <v>-0.16239999999999999</v>
      </c>
      <c r="CN329">
        <f>'2020_2021_efet Int_Confianca'!CL77</f>
        <v>-0.18490000000000001</v>
      </c>
      <c r="CO329">
        <f>'2020_2021_efet Int_Confianca'!CM77</f>
        <v>-6.7599999999999993E-2</v>
      </c>
      <c r="CP329">
        <f>'2020_2021_efet Int_Confianca'!CN77</f>
        <v>-4.3099999999999999E-2</v>
      </c>
      <c r="CQ329">
        <f>'2020_2021_efet Int_Confianca'!CO77</f>
        <v>-5.3100000000000001E-2</v>
      </c>
      <c r="CR329">
        <f>'2020_2021_efet Int_Confianca'!CP77</f>
        <v>-8.3400000000000002E-2</v>
      </c>
      <c r="CS329">
        <f>'2020_2021_efet Int_Confianca'!CQ77</f>
        <v>-0.15179999999999999</v>
      </c>
      <c r="CT329">
        <f>'2020_2021_efet Int_Confianca'!CR77</f>
        <v>-0.1996</v>
      </c>
      <c r="CU329">
        <f>'2020_2021_efet Int_Confianca'!CS77</f>
        <v>-0.12470000000000001</v>
      </c>
      <c r="CV329">
        <f>'2020_2021_efet Int_Confianca'!CT77</f>
        <v>-0.1673</v>
      </c>
      <c r="CW329">
        <f>'2020_2021_efet Int_Confianca'!CU77</f>
        <v>-4.82E-2</v>
      </c>
      <c r="CX329">
        <f>'2020_2021_efet Int_Confianca'!CV77</f>
        <v>-2.3999999999999998E-3</v>
      </c>
    </row>
    <row r="330" spans="1:102" x14ac:dyDescent="0.2">
      <c r="A330" t="s">
        <v>5928</v>
      </c>
      <c r="B330" t="s">
        <v>219</v>
      </c>
      <c r="C330" t="s">
        <v>223</v>
      </c>
      <c r="D330">
        <f>'2020_2021_efet Int_Confianca'!B78</f>
        <v>9.8599999999999993E-2</v>
      </c>
      <c r="E330">
        <f>'2020_2021_efet Int_Confianca'!C78</f>
        <v>0.1021</v>
      </c>
      <c r="F330">
        <f>'2020_2021_efet Int_Confianca'!D78</f>
        <v>0.1055</v>
      </c>
      <c r="G330">
        <f>'2020_2021_efet Int_Confianca'!E78</f>
        <v>2.2965</v>
      </c>
      <c r="H330">
        <f>'2020_2021_efet Int_Confianca'!F78</f>
        <v>0.72599999999999998</v>
      </c>
      <c r="I330">
        <f>'2020_2021_efet Int_Confianca'!G78</f>
        <v>1.0173000000000001</v>
      </c>
      <c r="J330">
        <f>'2020_2021_efet Int_Confianca'!H78</f>
        <v>0.84740000000000004</v>
      </c>
      <c r="K330">
        <f>'2020_2021_efet Int_Confianca'!I78</f>
        <v>0.74729999999999996</v>
      </c>
      <c r="L330">
        <f>'2020_2021_efet Int_Confianca'!J78</f>
        <v>0.86180000000000001</v>
      </c>
      <c r="M330">
        <f>'2020_2021_efet Int_Confianca'!K78</f>
        <v>0.76419999999999999</v>
      </c>
      <c r="N330">
        <f>'2020_2021_efet Int_Confianca'!L78</f>
        <v>0.80779999999999996</v>
      </c>
      <c r="O330">
        <f>'2020_2021_efet Int_Confianca'!M78</f>
        <v>0.80330000000000001</v>
      </c>
      <c r="P330">
        <f>'2020_2021_efet Int_Confianca'!N78</f>
        <v>0.79749999999999999</v>
      </c>
      <c r="Q330">
        <f>'2020_2021_efet Int_Confianca'!O78</f>
        <v>0.32940000000000003</v>
      </c>
      <c r="R330">
        <f>'2020_2021_efet Int_Confianca'!P78</f>
        <v>0.28360000000000002</v>
      </c>
      <c r="S330">
        <f>'2020_2021_efet Int_Confianca'!Q78</f>
        <v>0.53090000000000004</v>
      </c>
      <c r="T330">
        <f>'2020_2021_efet Int_Confianca'!R78</f>
        <v>0.48849999999999999</v>
      </c>
      <c r="U330">
        <f>'2020_2021_efet Int_Confianca'!S78</f>
        <v>0.31309999999999999</v>
      </c>
      <c r="V330">
        <f>'2020_2021_efet Int_Confianca'!T78</f>
        <v>0.38090000000000002</v>
      </c>
      <c r="W330">
        <f>'2020_2021_efet Int_Confianca'!U78</f>
        <v>0.39850000000000002</v>
      </c>
      <c r="X330">
        <f>'2020_2021_efet Int_Confianca'!V78</f>
        <v>0.38640000000000002</v>
      </c>
      <c r="Y330">
        <f>'2020_2021_efet Int_Confianca'!W78</f>
        <v>0.21560000000000001</v>
      </c>
      <c r="Z330">
        <f>'2020_2021_efet Int_Confianca'!X78</f>
        <v>0.17580000000000001</v>
      </c>
      <c r="AA330">
        <f>'2020_2021_efet Int_Confianca'!Y78</f>
        <v>0.17169999999999999</v>
      </c>
      <c r="AB330">
        <f>'2020_2021_efet Int_Confianca'!Z78</f>
        <v>0.24829999999999999</v>
      </c>
      <c r="AC330">
        <f>'2020_2021_efet Int_Confianca'!AA78</f>
        <v>0.2155</v>
      </c>
      <c r="AD330">
        <f>'2020_2021_efet Int_Confianca'!AB78</f>
        <v>0.2356</v>
      </c>
      <c r="AE330">
        <f>'2020_2021_efet Int_Confianca'!AC78</f>
        <v>0.23780000000000001</v>
      </c>
      <c r="AF330">
        <f>'2020_2021_efet Int_Confianca'!AD78</f>
        <v>0.2467</v>
      </c>
      <c r="AG330">
        <f>'2020_2021_efet Int_Confianca'!AE78</f>
        <v>0.22739999999999999</v>
      </c>
      <c r="AH330">
        <f>'2020_2021_efet Int_Confianca'!AF78</f>
        <v>0.22739999999999999</v>
      </c>
      <c r="AI330">
        <f>'2020_2021_efet Int_Confianca'!AG78</f>
        <v>0.21560000000000001</v>
      </c>
      <c r="AJ330">
        <f>'2020_2021_efet Int_Confianca'!AH78</f>
        <v>0.21310000000000001</v>
      </c>
      <c r="AK330">
        <f>'2020_2021_efet Int_Confianca'!AI78</f>
        <v>0.1986</v>
      </c>
      <c r="AL330">
        <f>'2020_2021_efet Int_Confianca'!AJ78</f>
        <v>0.18720000000000001</v>
      </c>
      <c r="AM330">
        <f>'2020_2021_efet Int_Confianca'!AK78</f>
        <v>0.1575</v>
      </c>
      <c r="AN330">
        <f>'2020_2021_efet Int_Confianca'!AL78</f>
        <v>0.1474</v>
      </c>
      <c r="AO330">
        <f>'2020_2021_efet Int_Confianca'!AM78</f>
        <v>0.14399999999999999</v>
      </c>
      <c r="AP330">
        <f>'2020_2021_efet Int_Confianca'!AN78</f>
        <v>0.15060000000000001</v>
      </c>
      <c r="AQ330">
        <f>'2020_2021_efet Int_Confianca'!AO78</f>
        <v>0.12509999999999999</v>
      </c>
      <c r="AR330">
        <f>'2020_2021_efet Int_Confianca'!AP78</f>
        <v>0.13830000000000001</v>
      </c>
      <c r="AS330">
        <f>'2020_2021_efet Int_Confianca'!AQ78</f>
        <v>0.1346</v>
      </c>
      <c r="AT330">
        <f>'2020_2021_efet Int_Confianca'!AR78</f>
        <v>0.12509999999999999</v>
      </c>
      <c r="AU330">
        <f>'2020_2021_efet Int_Confianca'!AS78</f>
        <v>0.1497</v>
      </c>
      <c r="AV330">
        <f>'2020_2021_efet Int_Confianca'!AT78</f>
        <v>0.1174</v>
      </c>
      <c r="AW330">
        <f>'2020_2021_efet Int_Confianca'!AU78</f>
        <v>0.1187</v>
      </c>
      <c r="AX330">
        <f>'2020_2021_efet Int_Confianca'!AV78</f>
        <v>0.1055</v>
      </c>
      <c r="AY330">
        <f>'2020_2021_efet Int_Confianca'!AW78</f>
        <v>0.1016</v>
      </c>
      <c r="AZ330">
        <f>'2020_2021_efet Int_Confianca'!AX78</f>
        <v>7.6999999999999999E-2</v>
      </c>
      <c r="BA330">
        <f>'2020_2021_efet Int_Confianca'!AY78</f>
        <v>8.1900000000000001E-2</v>
      </c>
      <c r="BB330">
        <f>'2020_2021_efet Int_Confianca'!AZ78</f>
        <v>7.4999999999999997E-2</v>
      </c>
      <c r="BC330">
        <f>'2020_2021_efet Int_Confianca'!BA78</f>
        <v>5.9299999999999999E-2</v>
      </c>
      <c r="BD330">
        <f>'2020_2021_efet Int_Confianca'!BB78</f>
        <v>4.9200000000000001E-2</v>
      </c>
      <c r="BE330">
        <f>'2020_2021_efet Int_Confianca'!BC78</f>
        <v>5.6300000000000003E-2</v>
      </c>
      <c r="BF330">
        <f>'2020_2021_efet Int_Confianca'!BD78</f>
        <v>5.9200000000000003E-2</v>
      </c>
      <c r="BG330">
        <f>'2020_2021_efet Int_Confianca'!BE78</f>
        <v>4.0099999999999997E-2</v>
      </c>
      <c r="BH330">
        <f>'2020_2021_efet Int_Confianca'!BF78</f>
        <v>5.4199999999999998E-2</v>
      </c>
      <c r="BI330">
        <f>'2020_2021_efet Int_Confianca'!BG78</f>
        <v>6.54E-2</v>
      </c>
      <c r="BJ330">
        <f>'2020_2021_efet Int_Confianca'!BH78</f>
        <v>7.3200000000000001E-2</v>
      </c>
      <c r="BK330">
        <f>'2020_2021_efet Int_Confianca'!BI78</f>
        <v>7.9699999999999993E-2</v>
      </c>
      <c r="BL330">
        <f>'2020_2021_efet Int_Confianca'!BJ78</f>
        <v>8.7499999999999994E-2</v>
      </c>
      <c r="BM330">
        <f>'2020_2021_efet Int_Confianca'!BK78</f>
        <v>9.1700000000000004E-2</v>
      </c>
      <c r="BN330">
        <f>'2020_2021_efet Int_Confianca'!BL78</f>
        <v>8.4099999999999994E-2</v>
      </c>
      <c r="BO330">
        <f>'2020_2021_efet Int_Confianca'!BM78</f>
        <v>9.6000000000000002E-2</v>
      </c>
      <c r="BP330">
        <f>'2020_2021_efet Int_Confianca'!BN78</f>
        <v>0.1211</v>
      </c>
      <c r="BQ330">
        <f>'2020_2021_efet Int_Confianca'!BO78</f>
        <v>0.14349999999999999</v>
      </c>
      <c r="BR330">
        <f>'2020_2021_efet Int_Confianca'!BP78</f>
        <v>0.14460000000000001</v>
      </c>
      <c r="BS330">
        <f>'2020_2021_efet Int_Confianca'!BQ78</f>
        <v>9.98E-2</v>
      </c>
      <c r="BT330">
        <f>'2020_2021_efet Int_Confianca'!BR78</f>
        <v>7.2300000000000003E-2</v>
      </c>
      <c r="BU330">
        <f>'2020_2021_efet Int_Confianca'!BS78</f>
        <v>4.3999999999999997E-2</v>
      </c>
      <c r="BV330">
        <f>'2020_2021_efet Int_Confianca'!BT78</f>
        <v>3.32E-2</v>
      </c>
      <c r="BW330">
        <f>'2020_2021_efet Int_Confianca'!BU78</f>
        <v>1.7100000000000001E-2</v>
      </c>
      <c r="BX330">
        <f>'2020_2021_efet Int_Confianca'!BV78</f>
        <v>1.17E-2</v>
      </c>
      <c r="BY330">
        <f>'2020_2021_efet Int_Confianca'!BW78</f>
        <v>3.8E-3</v>
      </c>
      <c r="BZ330">
        <f>'2020_2021_efet Int_Confianca'!BX78</f>
        <v>8.9999999999999993E-3</v>
      </c>
      <c r="CA330">
        <f>'2020_2021_efet Int_Confianca'!BY78</f>
        <v>2.7E-2</v>
      </c>
      <c r="CB330">
        <f>'2020_2021_efet Int_Confianca'!BZ78</f>
        <v>7.4300000000000005E-2</v>
      </c>
      <c r="CC330">
        <f>'2020_2021_efet Int_Confianca'!CA78</f>
        <v>7.22E-2</v>
      </c>
      <c r="CD330">
        <f>'2020_2021_efet Int_Confianca'!CB78</f>
        <v>9.7799999999999998E-2</v>
      </c>
      <c r="CE330">
        <f>'2020_2021_efet Int_Confianca'!CC78</f>
        <v>0.1133</v>
      </c>
      <c r="CF330">
        <f>'2020_2021_efet Int_Confianca'!CD78</f>
        <v>0.124</v>
      </c>
      <c r="CG330">
        <f>'2020_2021_efet Int_Confianca'!CE78</f>
        <v>0.159</v>
      </c>
      <c r="CH330">
        <f>'2020_2021_efet Int_Confianca'!CF78</f>
        <v>0.1676</v>
      </c>
      <c r="CI330">
        <f>'2020_2021_efet Int_Confianca'!CG78</f>
        <v>0.1734</v>
      </c>
      <c r="CJ330">
        <f>'2020_2021_efet Int_Confianca'!CH78</f>
        <v>0.13450000000000001</v>
      </c>
      <c r="CK330">
        <f>'2020_2021_efet Int_Confianca'!CI78</f>
        <v>0.14380000000000001</v>
      </c>
      <c r="CL330">
        <f>'2020_2021_efet Int_Confianca'!CJ78</f>
        <v>0.1081</v>
      </c>
      <c r="CM330">
        <f>'2020_2021_efet Int_Confianca'!CK78</f>
        <v>8.1699999999999995E-2</v>
      </c>
      <c r="CN330">
        <f>'2020_2021_efet Int_Confianca'!CL78</f>
        <v>5.9900000000000002E-2</v>
      </c>
      <c r="CO330">
        <f>'2020_2021_efet Int_Confianca'!CM78</f>
        <v>0.2029</v>
      </c>
      <c r="CP330">
        <f>'2020_2021_efet Int_Confianca'!CN78</f>
        <v>0.22109999999999999</v>
      </c>
      <c r="CQ330">
        <f>'2020_2021_efet Int_Confianca'!CO78</f>
        <v>0.22750000000000001</v>
      </c>
      <c r="CR330">
        <f>'2020_2021_efet Int_Confianca'!CP78</f>
        <v>0.21479999999999999</v>
      </c>
      <c r="CS330">
        <f>'2020_2021_efet Int_Confianca'!CQ78</f>
        <v>0.1613</v>
      </c>
      <c r="CT330">
        <f>'2020_2021_efet Int_Confianca'!CR78</f>
        <v>0.14199999999999999</v>
      </c>
      <c r="CU330">
        <f>'2020_2021_efet Int_Confianca'!CS78</f>
        <v>0.18129999999999999</v>
      </c>
      <c r="CV330">
        <f>'2020_2021_efet Int_Confianca'!CT78</f>
        <v>0.27950000000000003</v>
      </c>
      <c r="CW330">
        <f>'2020_2021_efet Int_Confianca'!CU78</f>
        <v>0.33929999999999999</v>
      </c>
      <c r="CX330">
        <f>'2020_2021_efet Int_Confianca'!CV78</f>
        <v>0.58179999999999998</v>
      </c>
    </row>
    <row r="331" spans="1:102" x14ac:dyDescent="0.2">
      <c r="A331" t="s">
        <v>208</v>
      </c>
      <c r="B331" t="s">
        <v>220</v>
      </c>
      <c r="C331" t="s">
        <v>223</v>
      </c>
      <c r="D331">
        <f>D280+D304</f>
        <v>-4.0659999999999995E-2</v>
      </c>
      <c r="E331">
        <f>E280+E304</f>
        <v>-4.0659999999999995E-2</v>
      </c>
      <c r="F331">
        <f>F280+F304</f>
        <v>-4.0659999999999995E-2</v>
      </c>
      <c r="G331">
        <f>G280+G304</f>
        <v>-1.0167999999999999</v>
      </c>
      <c r="H331">
        <f>H280+H304</f>
        <v>-0.12689999999999999</v>
      </c>
      <c r="I331">
        <f>I280+I304</f>
        <v>-0.44180000000000003</v>
      </c>
      <c r="J331">
        <f>J280+J304</f>
        <v>-0.32789999999999997</v>
      </c>
      <c r="K331">
        <f>K280+K304</f>
        <v>-0.3034</v>
      </c>
      <c r="L331">
        <f>L280+L304</f>
        <v>-0.33529999999999999</v>
      </c>
      <c r="M331">
        <f>M280+M304</f>
        <v>-0.32020000000000004</v>
      </c>
      <c r="N331">
        <f>N280+N304</f>
        <v>-0.33479999999999999</v>
      </c>
      <c r="O331">
        <f>O280+O304</f>
        <v>-0.40139999999999998</v>
      </c>
      <c r="P331">
        <f>P280+P304</f>
        <v>-0.40789999999999998</v>
      </c>
      <c r="Q331">
        <f>Q280+Q304</f>
        <v>-0.17980000000000002</v>
      </c>
      <c r="R331">
        <f>R280+R304</f>
        <v>-0.1744</v>
      </c>
      <c r="S331">
        <f>S280+S304</f>
        <v>-0.28189999999999998</v>
      </c>
      <c r="T331">
        <f>T280+T304</f>
        <v>-0.26120000000000004</v>
      </c>
      <c r="U331">
        <f>U280+U304</f>
        <v>-0.186</v>
      </c>
      <c r="V331">
        <f>V280+V304</f>
        <v>-0.2079</v>
      </c>
      <c r="W331">
        <f>W280+W304</f>
        <v>-0.19435999999999998</v>
      </c>
      <c r="X331">
        <f>X280+X304</f>
        <v>-0.18980000000000002</v>
      </c>
      <c r="Y331">
        <f>Y280+Y304</f>
        <v>-0.12716000000000002</v>
      </c>
      <c r="Z331">
        <f>Z280+Z304</f>
        <v>-0.11169999999999999</v>
      </c>
      <c r="AA331">
        <f>AA280+AA304</f>
        <v>-0.10819999999999999</v>
      </c>
      <c r="AB331">
        <f>AB280+AB304</f>
        <v>-0.10979999999999999</v>
      </c>
      <c r="AC331">
        <f>AC280+AC304</f>
        <v>-9.6599999999999991E-2</v>
      </c>
      <c r="AD331">
        <f>AD280+AD304</f>
        <v>-0.1037</v>
      </c>
      <c r="AE331">
        <f>AE280+AE304</f>
        <v>-0.10569999999999999</v>
      </c>
      <c r="AF331">
        <f>AF280+AF304</f>
        <v>-0.10290000000000001</v>
      </c>
      <c r="AG331">
        <f>AG280+AG304</f>
        <v>-0.1079</v>
      </c>
      <c r="AH331">
        <f>AH280+AH304</f>
        <v>-0.1109</v>
      </c>
      <c r="AI331">
        <f>AI280+AI304</f>
        <v>-9.2899999999999996E-2</v>
      </c>
      <c r="AJ331">
        <f>AJ280+AJ304</f>
        <v>-9.6700000000000008E-2</v>
      </c>
      <c r="AK331">
        <f>AK280+AK304</f>
        <v>-8.5199999999999998E-2</v>
      </c>
      <c r="AL331">
        <f>AL280+AL304</f>
        <v>-8.7599999999999997E-2</v>
      </c>
      <c r="AM331">
        <f>AM280+AM304</f>
        <v>-6.9400000000000003E-2</v>
      </c>
      <c r="AN331">
        <f>AN280+AN304</f>
        <v>-6.25E-2</v>
      </c>
      <c r="AO331">
        <f>AO280+AO304</f>
        <v>-5.7800000000000004E-2</v>
      </c>
      <c r="AP331">
        <f>AP280+AP304</f>
        <v>-5.8799999999999998E-2</v>
      </c>
      <c r="AQ331">
        <f>AQ280+AQ304</f>
        <v>-6.5100000000000005E-2</v>
      </c>
      <c r="AR331">
        <f>AR280+AR304</f>
        <v>-5.7000000000000002E-2</v>
      </c>
      <c r="AS331">
        <f>AS280+AS304</f>
        <v>-6.5200000000000008E-2</v>
      </c>
      <c r="AT331">
        <f>AT280+AT304</f>
        <v>-6.9499999999999992E-2</v>
      </c>
      <c r="AU331">
        <f>AU280+AU304</f>
        <v>-6.9099999999999995E-2</v>
      </c>
      <c r="AV331">
        <f>AV280+AV304</f>
        <v>-5.3500000000000006E-2</v>
      </c>
      <c r="AW331">
        <f>AW280+AW304</f>
        <v>-5.16E-2</v>
      </c>
      <c r="AX331">
        <f>AX280+AX304</f>
        <v>-4.5999999999999999E-2</v>
      </c>
      <c r="AY331">
        <f>AY280+AY304</f>
        <v>-5.2299999999999999E-2</v>
      </c>
      <c r="AZ331">
        <f>AZ280+AZ304</f>
        <v>-3.8300000000000008E-2</v>
      </c>
      <c r="BA331">
        <f>BA280+BA304</f>
        <v>-4.2700000000000002E-2</v>
      </c>
      <c r="BB331">
        <f>BB280+BB304</f>
        <v>-4.9600000000000005E-2</v>
      </c>
      <c r="BC331">
        <f>BC280+BC304</f>
        <v>-3.0699999999999998E-2</v>
      </c>
      <c r="BD331">
        <f>BD280+BD304</f>
        <v>-3.0200000000000001E-2</v>
      </c>
      <c r="BE331">
        <f>BE280+BE304</f>
        <v>-2.2800000000000001E-2</v>
      </c>
      <c r="BF331">
        <f>BF280+BF304</f>
        <v>-2.8499999999999998E-2</v>
      </c>
      <c r="BG331">
        <f>BG280+BG304</f>
        <v>-2.5399999999999999E-2</v>
      </c>
      <c r="BH331">
        <f>BH280+BH304</f>
        <v>-3.8900000000000004E-2</v>
      </c>
      <c r="BI331">
        <f>BI280+BI304</f>
        <v>-3.4000000000000002E-2</v>
      </c>
      <c r="BJ331">
        <f>BJ280+BJ304</f>
        <v>-3.7100000000000008E-2</v>
      </c>
      <c r="BK331">
        <f>BK280+BK304</f>
        <v>-3.5000000000000003E-2</v>
      </c>
      <c r="BL331">
        <f>BL280+BL304</f>
        <v>-4.1299999999999996E-2</v>
      </c>
      <c r="BM331">
        <f>BM280+BM304</f>
        <v>-4.6899999999999997E-2</v>
      </c>
      <c r="BN331">
        <f>BN280+BN304</f>
        <v>-4.8499999999999995E-2</v>
      </c>
      <c r="BO331">
        <f>BO280+BO304</f>
        <v>-4.7200000000000006E-2</v>
      </c>
      <c r="BP331">
        <f>BP280+BP304</f>
        <v>-5.0700000000000002E-2</v>
      </c>
      <c r="BQ331">
        <f>BQ280+BQ304</f>
        <v>-6.83E-2</v>
      </c>
      <c r="BR331">
        <f>BR280+BR304</f>
        <v>-6.4899999999999999E-2</v>
      </c>
      <c r="BS331">
        <f>BS280+BS304</f>
        <v>-4.7399999999999998E-2</v>
      </c>
      <c r="BT331">
        <f>BT280+BT304</f>
        <v>-2.0199999999999996E-2</v>
      </c>
      <c r="BU331">
        <f>BU280+BU304</f>
        <v>4.5999999999999999E-3</v>
      </c>
      <c r="BV331">
        <f>BV280+BV304</f>
        <v>1.6799999999999999E-2</v>
      </c>
      <c r="BW331">
        <f>BW280+BW304</f>
        <v>2.8700000000000003E-2</v>
      </c>
      <c r="BX331">
        <f>BX280+BX304</f>
        <v>3.3700000000000001E-2</v>
      </c>
      <c r="BY331">
        <f>BY280+BY304</f>
        <v>4.2380000000000001E-2</v>
      </c>
      <c r="BZ331">
        <f>BZ280+BZ304</f>
        <v>3.7790000000000004E-2</v>
      </c>
      <c r="CA331">
        <f>CA280+CA304</f>
        <v>4.0379999999999999E-2</v>
      </c>
      <c r="CB331">
        <f>CB280+CB304</f>
        <v>1.4000000000000054E-3</v>
      </c>
      <c r="CC331">
        <f>CC280+CC304</f>
        <v>2.3900000000000001E-2</v>
      </c>
      <c r="CD331">
        <f>CD280+CD304</f>
        <v>-1.799999999999996E-3</v>
      </c>
      <c r="CE331">
        <f>CE280+CE304</f>
        <v>-1.3800000000000007E-2</v>
      </c>
      <c r="CF331">
        <f>CF280+CF304</f>
        <v>1.0999999999999968E-3</v>
      </c>
      <c r="CG331">
        <f>CG280+CG304</f>
        <v>-2.2100000000000009E-2</v>
      </c>
      <c r="CH331">
        <f>CH280+CH304</f>
        <v>-3.1000000000000007E-2</v>
      </c>
      <c r="CI331">
        <f>CI280+CI304</f>
        <v>-4.2299999999999997E-2</v>
      </c>
      <c r="CJ331">
        <f>CJ280+CJ304</f>
        <v>-1.7200000000000007E-2</v>
      </c>
      <c r="CK331">
        <f>CK280+CK304</f>
        <v>-1.2599999999999993E-2</v>
      </c>
      <c r="CL331">
        <f>CL280+CL304</f>
        <v>1.0300000000000004E-2</v>
      </c>
      <c r="CM331">
        <f>CM280+CM304</f>
        <v>3.2700000000000007E-2</v>
      </c>
      <c r="CN331">
        <f>CN280+CN304</f>
        <v>2.8499999999999998E-2</v>
      </c>
      <c r="CO331">
        <f>CO280+CO304</f>
        <v>-3.1099999999999989E-2</v>
      </c>
      <c r="CP331">
        <f>CP280+CP304</f>
        <v>-4.0000000000000008E-2</v>
      </c>
      <c r="CQ331">
        <f>CQ280+CQ304</f>
        <v>-5.2100000000000007E-2</v>
      </c>
      <c r="CR331">
        <f>CR280+CR304</f>
        <v>-4.65E-2</v>
      </c>
      <c r="CS331">
        <f>CS280+CS304</f>
        <v>2.6700000000000008E-2</v>
      </c>
      <c r="CT331">
        <f>CT280+CT304</f>
        <v>3.3600000000000005E-2</v>
      </c>
      <c r="CU331">
        <f>CU280+CU304</f>
        <v>5.1110000000000003E-2</v>
      </c>
      <c r="CV331">
        <f>CV280+CV304</f>
        <v>5.6499999999999995E-2</v>
      </c>
      <c r="CW331">
        <f>CW280+CW304</f>
        <v>-2.6999999999999996E-2</v>
      </c>
      <c r="CX331">
        <f>CX280+CX304</f>
        <v>-0.16399999999999998</v>
      </c>
    </row>
    <row r="332" spans="1:102" x14ac:dyDescent="0.2">
      <c r="A332" t="s">
        <v>209</v>
      </c>
      <c r="B332" t="s">
        <v>220</v>
      </c>
      <c r="C332" t="s">
        <v>223</v>
      </c>
      <c r="D332">
        <f>D281+D305</f>
        <v>6.7140000000000003E-3</v>
      </c>
      <c r="E332">
        <f>E281+E305</f>
        <v>6.7140000000000003E-3</v>
      </c>
      <c r="F332">
        <f>F281+F305</f>
        <v>6.7140000000000003E-3</v>
      </c>
      <c r="G332">
        <f>G281+G305</f>
        <v>-0.39899999999999997</v>
      </c>
      <c r="H332">
        <f>H281+H305</f>
        <v>-0.12450000000000001</v>
      </c>
      <c r="I332">
        <f>I281+I305</f>
        <v>-0.15808</v>
      </c>
      <c r="J332">
        <f>J281+J305</f>
        <v>-5.8009999999999999E-2</v>
      </c>
      <c r="K332">
        <f>K281+K305</f>
        <v>-9.8879999999999996E-2</v>
      </c>
      <c r="L332">
        <f>L281+L305</f>
        <v>-0.10329000000000001</v>
      </c>
      <c r="M332">
        <f>M281+M305</f>
        <v>-0.12795000000000001</v>
      </c>
      <c r="N332">
        <f>N281+N305</f>
        <v>-0.13596999999999998</v>
      </c>
      <c r="O332">
        <f>O281+O305</f>
        <v>-0.11193</v>
      </c>
      <c r="P332">
        <f>P281+P305</f>
        <v>-0.13765999999999998</v>
      </c>
      <c r="Q332">
        <f>Q281+Q305</f>
        <v>-4.0749999999999995E-2</v>
      </c>
      <c r="R332">
        <f>R281+R305</f>
        <v>-2.3829999999999997E-2</v>
      </c>
      <c r="S332">
        <f>S281+S305</f>
        <v>-9.6759999999999999E-2</v>
      </c>
      <c r="T332">
        <f>T281+T305</f>
        <v>-9.3200000000000005E-2</v>
      </c>
      <c r="U332">
        <f>U281+U305</f>
        <v>-5.7520000000000002E-2</v>
      </c>
      <c r="V332">
        <f>V281+V305</f>
        <v>-7.529000000000001E-2</v>
      </c>
      <c r="W332">
        <f>W281+W305</f>
        <v>-9.2799999999999994E-2</v>
      </c>
      <c r="X332">
        <f>X281+X305</f>
        <v>-0.10681</v>
      </c>
      <c r="Y332">
        <f>Y281+Y305</f>
        <v>-6.2829999999999997E-2</v>
      </c>
      <c r="Z332">
        <f>Z281+Z305</f>
        <v>-5.5849999999999997E-2</v>
      </c>
      <c r="AA332">
        <f>AA281+AA305</f>
        <v>-5.3170000000000002E-2</v>
      </c>
      <c r="AB332">
        <f>AB281+AB305</f>
        <v>-7.7350000000000002E-2</v>
      </c>
      <c r="AC332">
        <f>AC281+AC305</f>
        <v>-7.2020000000000001E-2</v>
      </c>
      <c r="AD332">
        <f>AD281+AD305</f>
        <v>-6.8479999999999999E-2</v>
      </c>
      <c r="AE332">
        <f>AE281+AE305</f>
        <v>-7.146000000000001E-2</v>
      </c>
      <c r="AF332">
        <f>AF281+AF305</f>
        <v>-8.2220000000000001E-2</v>
      </c>
      <c r="AG332">
        <f>AG281+AG305</f>
        <v>-7.3670000000000013E-2</v>
      </c>
      <c r="AH332">
        <f>AH281+AH305</f>
        <v>-8.3199999999999996E-2</v>
      </c>
      <c r="AI332">
        <f>AI281+AI305</f>
        <v>-8.2199999999999995E-2</v>
      </c>
      <c r="AJ332">
        <f>AJ281+AJ305</f>
        <v>-8.5110000000000005E-2</v>
      </c>
      <c r="AK332">
        <f>AK281+AK305</f>
        <v>-8.3269999999999997E-2</v>
      </c>
      <c r="AL332">
        <f>AL281+AL305</f>
        <v>-8.3029999999999993E-2</v>
      </c>
      <c r="AM332">
        <f>AM281+AM305</f>
        <v>-5.985E-2</v>
      </c>
      <c r="AN332">
        <f>AN281+AN305</f>
        <v>-5.858E-2</v>
      </c>
      <c r="AO332">
        <f>AO281+AO305</f>
        <v>-4.2779999999999999E-2</v>
      </c>
      <c r="AP332">
        <f>AP281+AP305</f>
        <v>-4.5259999999999995E-2</v>
      </c>
      <c r="AQ332">
        <f>AQ281+AQ305</f>
        <v>-4.2599999999999999E-2</v>
      </c>
      <c r="AR332">
        <f>AR281+AR305</f>
        <v>-4.5870000000000001E-2</v>
      </c>
      <c r="AS332">
        <f>AS281+AS305</f>
        <v>-3.9780000000000003E-2</v>
      </c>
      <c r="AT332">
        <f>AT281+AT305</f>
        <v>-3.2160000000000001E-2</v>
      </c>
      <c r="AU332">
        <f>AU281+AU305</f>
        <v>-4.3209999999999998E-2</v>
      </c>
      <c r="AV332">
        <f>AV281+AV305</f>
        <v>-4.0399999999999998E-2</v>
      </c>
      <c r="AW332">
        <f>AW281+AW305</f>
        <v>-4.6059999999999997E-2</v>
      </c>
      <c r="AX332">
        <f>AX281+AX305</f>
        <v>-5.2019999999999997E-2</v>
      </c>
      <c r="AY332">
        <f>AY281+AY305</f>
        <v>-5.0310000000000001E-2</v>
      </c>
      <c r="AZ332">
        <f>AZ281+AZ305</f>
        <v>-3.4040000000000001E-2</v>
      </c>
      <c r="BA332">
        <f>BA281+BA305</f>
        <v>-3.3500000000000002E-2</v>
      </c>
      <c r="BB332">
        <f>BB281+BB305</f>
        <v>-3.7649999999999996E-2</v>
      </c>
      <c r="BC332">
        <f>BC281+BC305</f>
        <v>-2.495E-2</v>
      </c>
      <c r="BD332">
        <f>BD281+BD305</f>
        <v>-2.4030000000000003E-2</v>
      </c>
      <c r="BE332">
        <f>BE281+BE305</f>
        <v>-2.3979999999999998E-2</v>
      </c>
      <c r="BF332">
        <f>BF281+BF305</f>
        <v>-2.4250000000000001E-2</v>
      </c>
      <c r="BG332">
        <f>BG281+BG305</f>
        <v>-1.085E-2</v>
      </c>
      <c r="BH332">
        <f>BH281+BH305</f>
        <v>-1.1209999999999998E-2</v>
      </c>
      <c r="BI332">
        <f>BI281+BI305</f>
        <v>-1.7599999999999998E-2</v>
      </c>
      <c r="BJ332">
        <f>BJ281+BJ305</f>
        <v>-1.9199999999999998E-2</v>
      </c>
      <c r="BK332">
        <f>BK281+BK305</f>
        <v>-1.46E-2</v>
      </c>
      <c r="BL332">
        <f>BL281+BL305</f>
        <v>-2.155E-2</v>
      </c>
      <c r="BM332">
        <f>BM281+BM305</f>
        <v>-2.6669999999999999E-2</v>
      </c>
      <c r="BN332">
        <f>BN281+BN305</f>
        <v>-3.279E-2</v>
      </c>
      <c r="BO332">
        <f>BO281+BO305</f>
        <v>-2.9059999999999999E-2</v>
      </c>
      <c r="BP332">
        <f>BP281+BP305</f>
        <v>-3.9599999999999996E-2</v>
      </c>
      <c r="BQ332">
        <f>BQ281+BQ305</f>
        <v>-5.7000000000000002E-2</v>
      </c>
      <c r="BR332">
        <f>BR281+BR305</f>
        <v>-5.9600000000000007E-2</v>
      </c>
      <c r="BS332">
        <f>BS281+BS305</f>
        <v>-5.4800000000000001E-2</v>
      </c>
      <c r="BT332">
        <f>BT281+BT305</f>
        <v>-4.0300000000000002E-2</v>
      </c>
      <c r="BU332">
        <f>BU281+BU305</f>
        <v>-1.15E-2</v>
      </c>
      <c r="BV332">
        <f>BV281+BV305</f>
        <v>-1.0299999999999998E-2</v>
      </c>
      <c r="BW332">
        <f>BW281+BW305</f>
        <v>-1.4999999999999996E-3</v>
      </c>
      <c r="BX332">
        <f>BX281+BX305</f>
        <v>2.1200000000000004E-3</v>
      </c>
      <c r="BY332">
        <f>BY281+BY305</f>
        <v>-8.9999999999999976E-4</v>
      </c>
      <c r="BZ332">
        <f>BZ281+BZ305</f>
        <v>-1.5000000000000013E-3</v>
      </c>
      <c r="CA332">
        <f>CA281+CA305</f>
        <v>-1.6300000000000002E-2</v>
      </c>
      <c r="CB332">
        <f>CB281+CB305</f>
        <v>-3.2899999999999999E-2</v>
      </c>
      <c r="CC332">
        <f>CC281+CC305</f>
        <v>-4.2099999999999999E-2</v>
      </c>
      <c r="CD332">
        <f>CD281+CD305</f>
        <v>-4.41E-2</v>
      </c>
      <c r="CE332">
        <f>CE281+CE305</f>
        <v>-4.3499999999999997E-2</v>
      </c>
      <c r="CF332">
        <f>CF281+CF305</f>
        <v>-6.5100000000000005E-2</v>
      </c>
      <c r="CG332">
        <f>CG281+CG305</f>
        <v>-0.10120000000000001</v>
      </c>
      <c r="CH332">
        <f>CH281+CH305</f>
        <v>-0.10170000000000001</v>
      </c>
      <c r="CI332">
        <f>CI281+CI305</f>
        <v>-0.1003</v>
      </c>
      <c r="CJ332">
        <f>CJ281+CJ305</f>
        <v>-7.3799999999999991E-2</v>
      </c>
      <c r="CK332">
        <f>CK281+CK305</f>
        <v>-9.9100000000000008E-2</v>
      </c>
      <c r="CL332">
        <f>CL281+CL305</f>
        <v>-6.4599999999999991E-2</v>
      </c>
      <c r="CM332">
        <f>CM281+CM305</f>
        <v>-4.2499999999999996E-2</v>
      </c>
      <c r="CN332">
        <f>CN281+CN305</f>
        <v>-2.8100000000000003E-2</v>
      </c>
      <c r="CO332">
        <f>CO281+CO305</f>
        <v>-0.12559999999999999</v>
      </c>
      <c r="CP332">
        <f>CP281+CP305</f>
        <v>-0.11270000000000001</v>
      </c>
      <c r="CQ332">
        <f>CQ281+CQ305</f>
        <v>-0.1338</v>
      </c>
      <c r="CR332">
        <f>CR281+CR305</f>
        <v>-0.11370000000000001</v>
      </c>
      <c r="CS332">
        <f>CS281+CS305</f>
        <v>-5.0499999999999996E-2</v>
      </c>
      <c r="CT332">
        <f>CT281+CT305</f>
        <v>-4.4999999999999998E-2</v>
      </c>
      <c r="CU332">
        <f>CU281+CU305</f>
        <v>-0.11800000000000001</v>
      </c>
      <c r="CV332">
        <f>CV281+CV305</f>
        <v>-0.126</v>
      </c>
      <c r="CW332">
        <f>CW281+CW305</f>
        <v>-9.3799999999999994E-2</v>
      </c>
      <c r="CX332">
        <f>CX281+CX305</f>
        <v>-0.29420000000000002</v>
      </c>
    </row>
    <row r="333" spans="1:102" x14ac:dyDescent="0.2">
      <c r="A333" t="s">
        <v>210</v>
      </c>
      <c r="B333" t="s">
        <v>220</v>
      </c>
      <c r="C333" t="s">
        <v>223</v>
      </c>
      <c r="D333">
        <f>D282+D306</f>
        <v>1.596E-3</v>
      </c>
      <c r="E333">
        <f>E282+E306</f>
        <v>1.596E-3</v>
      </c>
      <c r="F333">
        <f>F282+F306</f>
        <v>1.596E-3</v>
      </c>
      <c r="G333">
        <f>G282+G306</f>
        <v>3.5845000000000002E-2</v>
      </c>
      <c r="H333">
        <f>H282+H306</f>
        <v>-1.9023999999999999E-2</v>
      </c>
      <c r="I333">
        <f>I282+I306</f>
        <v>1.7290000000000001E-3</v>
      </c>
      <c r="J333">
        <f>J282+J306</f>
        <v>-1.4184E-2</v>
      </c>
      <c r="K333">
        <f>K282+K306</f>
        <v>-4.045E-3</v>
      </c>
      <c r="L333">
        <f>L282+L306</f>
        <v>1.238E-3</v>
      </c>
      <c r="M333">
        <f>M282+M306</f>
        <v>-5.3549999999999995E-3</v>
      </c>
      <c r="N333">
        <f>N282+N306</f>
        <v>5.143E-3</v>
      </c>
      <c r="O333">
        <f>O282+O306</f>
        <v>2.7899999999999999E-3</v>
      </c>
      <c r="P333">
        <f>P282+P306</f>
        <v>8.7039999999999999E-3</v>
      </c>
      <c r="Q333">
        <f>Q282+Q306</f>
        <v>-7.9079999999999984E-3</v>
      </c>
      <c r="R333">
        <f>R282+R306</f>
        <v>-8.6300000000000005E-3</v>
      </c>
      <c r="S333">
        <f>S282+S306</f>
        <v>2.1280000000000001E-3</v>
      </c>
      <c r="T333">
        <f>T282+T306</f>
        <v>3.5479999999999999E-3</v>
      </c>
      <c r="U333">
        <f>U282+U306</f>
        <v>6.3499999999999993E-4</v>
      </c>
      <c r="V333">
        <f>V282+V306</f>
        <v>4.3E-3</v>
      </c>
      <c r="W333">
        <f>W282+W306</f>
        <v>5.3150000000000003E-3</v>
      </c>
      <c r="X333">
        <f>X282+X306</f>
        <v>7.3420000000000004E-3</v>
      </c>
      <c r="Y333">
        <f>Y282+Y306</f>
        <v>2.3029999999999999E-3</v>
      </c>
      <c r="Z333">
        <f>Z282+Z306</f>
        <v>5.019E-3</v>
      </c>
      <c r="AA333">
        <f>AA282+AA306</f>
        <v>5.0139999999999994E-3</v>
      </c>
      <c r="AB333">
        <f>AB282+AB306</f>
        <v>6.7780000000000002E-3</v>
      </c>
      <c r="AC333">
        <f>AC282+AC306</f>
        <v>3.5559999999999997E-3</v>
      </c>
      <c r="AD333">
        <f>AD282+AD306</f>
        <v>4.5660000000000006E-3</v>
      </c>
      <c r="AE333">
        <f>AE282+AE306</f>
        <v>5.4050000000000001E-3</v>
      </c>
      <c r="AF333">
        <f>AF282+AF306</f>
        <v>7.2139999999999999E-3</v>
      </c>
      <c r="AG333">
        <f>AG282+AG306</f>
        <v>8.4260000000000012E-3</v>
      </c>
      <c r="AH333">
        <f>AH282+AH306</f>
        <v>7.7660000000000003E-3</v>
      </c>
      <c r="AI333">
        <f>AI282+AI306</f>
        <v>6.6180000000000006E-3</v>
      </c>
      <c r="AJ333">
        <f>AJ282+AJ306</f>
        <v>5.1769999999999993E-3</v>
      </c>
      <c r="AK333">
        <f>AK282+AK306</f>
        <v>5.5420000000000001E-3</v>
      </c>
      <c r="AL333">
        <f>AL282+AL306</f>
        <v>4.9919999999999999E-3</v>
      </c>
      <c r="AM333">
        <f>AM282+AM306</f>
        <v>2.945E-4</v>
      </c>
      <c r="AN333">
        <f>AN282+AN306</f>
        <v>-2.4360000000000002E-3</v>
      </c>
      <c r="AO333">
        <f>AO282+AO306</f>
        <v>-3.117E-3</v>
      </c>
      <c r="AP333">
        <f>AP282+AP306</f>
        <v>-1.8799999999999999E-3</v>
      </c>
      <c r="AQ333">
        <f>AQ282+AQ306</f>
        <v>-3.4710000000000001E-3</v>
      </c>
      <c r="AR333">
        <f>AR282+AR306</f>
        <v>-1.941E-3</v>
      </c>
      <c r="AS333">
        <f>AS282+AS306</f>
        <v>-5.8E-4</v>
      </c>
      <c r="AT333">
        <f>AT282+AT306</f>
        <v>-1.7229999999999999E-3</v>
      </c>
      <c r="AU333">
        <f>AU282+AU306</f>
        <v>2.336E-3</v>
      </c>
      <c r="AV333">
        <f>AV282+AV306</f>
        <v>4.1729999999999996E-3</v>
      </c>
      <c r="AW333">
        <f>AW282+AW306</f>
        <v>3.418E-3</v>
      </c>
      <c r="AX333">
        <f>AX282+AX306</f>
        <v>6.3140000000000002E-3</v>
      </c>
      <c r="AY333">
        <f>AY282+AY306</f>
        <v>6.8170000000000001E-3</v>
      </c>
      <c r="AZ333">
        <f>AZ282+AZ306</f>
        <v>5.4840000000000002E-3</v>
      </c>
      <c r="BA333">
        <f>BA282+BA306</f>
        <v>6.4209999999999996E-3</v>
      </c>
      <c r="BB333">
        <f>BB282+BB306</f>
        <v>6.5320000000000005E-3</v>
      </c>
      <c r="BC333">
        <f>BC282+BC306</f>
        <v>2.1540000000000001E-3</v>
      </c>
      <c r="BD333">
        <f>BD282+BD306</f>
        <v>1.8400000000000001E-3</v>
      </c>
      <c r="BE333">
        <f>BE282+BE306</f>
        <v>-6.3900000000000003E-4</v>
      </c>
      <c r="BF333">
        <f>BF282+BF306</f>
        <v>2.5379999999999999E-3</v>
      </c>
      <c r="BG333">
        <f>BG282+BG306</f>
        <v>8.4599999999999996E-4</v>
      </c>
      <c r="BH333">
        <f>BH282+BH306</f>
        <v>1.5709999999999999E-3</v>
      </c>
      <c r="BI333">
        <f>BI282+BI306</f>
        <v>2.4020000000000001E-3</v>
      </c>
      <c r="BJ333">
        <f>BJ282+BJ306</f>
        <v>3.382E-3</v>
      </c>
      <c r="BK333">
        <f>BK282+BK306</f>
        <v>4.424E-3</v>
      </c>
      <c r="BL333">
        <f>BL282+BL306</f>
        <v>5.6239999999999997E-3</v>
      </c>
      <c r="BM333">
        <f>BM282+BM306</f>
        <v>6.3150000000000003E-3</v>
      </c>
      <c r="BN333">
        <f>BN282+BN306</f>
        <v>8.4790000000000004E-3</v>
      </c>
      <c r="BO333">
        <f>BO282+BO306</f>
        <v>9.5209999999999999E-3</v>
      </c>
      <c r="BP333">
        <f>BP282+BP306</f>
        <v>1.0623E-2</v>
      </c>
      <c r="BQ333">
        <f>BQ282+BQ306</f>
        <v>9.8790000000000006E-3</v>
      </c>
      <c r="BR333">
        <f>BR282+BR306</f>
        <v>1.1646999999999999E-2</v>
      </c>
      <c r="BS333">
        <f>BS282+BS306</f>
        <v>1.2754E-2</v>
      </c>
      <c r="BT333">
        <f>BT282+BT306</f>
        <v>1.0453E-2</v>
      </c>
      <c r="BU333">
        <f>BU282+BU306</f>
        <v>5.3030000000000004E-3</v>
      </c>
      <c r="BV333">
        <f>BV282+BV306</f>
        <v>5.0150000000000004E-3</v>
      </c>
      <c r="BW333">
        <f>BW282+BW306</f>
        <v>2.7910000000000001E-3</v>
      </c>
      <c r="BX333">
        <f>BX282+BX306</f>
        <v>2.9120000000000001E-3</v>
      </c>
      <c r="BY333">
        <f>BY282+BY306</f>
        <v>4.9649999999999998E-3</v>
      </c>
      <c r="BZ333">
        <f>BZ282+BZ306</f>
        <v>6.234E-3</v>
      </c>
      <c r="CA333">
        <f>CA282+CA306</f>
        <v>9.2329999999999999E-3</v>
      </c>
      <c r="CB333">
        <f>CB282+CB306</f>
        <v>1.1960999999999999E-2</v>
      </c>
      <c r="CC333">
        <f>CC282+CC306</f>
        <v>1.3177000000000001E-2</v>
      </c>
      <c r="CD333">
        <f>CD282+CD306</f>
        <v>1.4598000000000002E-2</v>
      </c>
      <c r="CE333">
        <f>CE282+CE306</f>
        <v>1.4619E-2</v>
      </c>
      <c r="CF333">
        <f>CF282+CF306</f>
        <v>1.7648E-2</v>
      </c>
      <c r="CG333">
        <f>CG282+CG306</f>
        <v>2.5338999999999997E-2</v>
      </c>
      <c r="CH333">
        <f>CH282+CH306</f>
        <v>2.1322999999999998E-2</v>
      </c>
      <c r="CI333">
        <f>CI282+CI306</f>
        <v>2.2914E-2</v>
      </c>
      <c r="CJ333">
        <f>CJ282+CJ306</f>
        <v>2.0822E-2</v>
      </c>
      <c r="CK333">
        <f>CK282+CK306</f>
        <v>2.2373999999999998E-2</v>
      </c>
      <c r="CL333">
        <f>CL282+CL306</f>
        <v>1.9159000000000002E-2</v>
      </c>
      <c r="CM333">
        <f>CM282+CM306</f>
        <v>2.0271000000000001E-2</v>
      </c>
      <c r="CN333">
        <f>CN282+CN306</f>
        <v>1.7358999999999999E-2</v>
      </c>
      <c r="CO333">
        <f>CO282+CO306</f>
        <v>3.1128999999999997E-2</v>
      </c>
      <c r="CP333">
        <f>CP282+CP306</f>
        <v>2.6470999999999998E-2</v>
      </c>
      <c r="CQ333">
        <f>CQ282+CQ306</f>
        <v>2.5211000000000001E-2</v>
      </c>
      <c r="CR333">
        <f>CR282+CR306</f>
        <v>1.9722E-2</v>
      </c>
      <c r="CS333">
        <f>CS282+CS306</f>
        <v>1.7534999999999999E-2</v>
      </c>
      <c r="CT333">
        <f>CT282+CT306</f>
        <v>1.2947999999999999E-2</v>
      </c>
      <c r="CU333">
        <f>CU282+CU306</f>
        <v>1.5566E-2</v>
      </c>
      <c r="CV333">
        <f>CV282+CV306</f>
        <v>2.3536000000000001E-2</v>
      </c>
      <c r="CW333">
        <f>CW282+CW306</f>
        <v>2.9009999999999999E-3</v>
      </c>
      <c r="CX333">
        <f>CX282+CX306</f>
        <v>4.9575000000000001E-2</v>
      </c>
    </row>
    <row r="334" spans="1:102" x14ac:dyDescent="0.2">
      <c r="A334" t="s">
        <v>211</v>
      </c>
      <c r="B334" t="s">
        <v>220</v>
      </c>
      <c r="C334" t="s">
        <v>223</v>
      </c>
      <c r="D334">
        <f>D283+D307</f>
        <v>5.0879999999999996E-3</v>
      </c>
      <c r="E334">
        <f>E283+E307</f>
        <v>5.0879999999999996E-3</v>
      </c>
      <c r="F334">
        <f>F283+F307</f>
        <v>5.0879999999999996E-3</v>
      </c>
      <c r="G334">
        <f>G283+G307</f>
        <v>0.14727999999999999</v>
      </c>
      <c r="H334">
        <f>H283+H307</f>
        <v>6.3930000000000001E-2</v>
      </c>
      <c r="I334">
        <f>I283+I307</f>
        <v>3.2219999999999999E-2</v>
      </c>
      <c r="J334">
        <f>J283+J307</f>
        <v>1.8929999999999999E-2</v>
      </c>
      <c r="K334">
        <f>K283+K307</f>
        <v>2.358E-2</v>
      </c>
      <c r="L334">
        <f>L283+L307</f>
        <v>1.142E-2</v>
      </c>
      <c r="M334">
        <f>M283+M307</f>
        <v>9.6099999999999988E-3</v>
      </c>
      <c r="N334">
        <f>N283+N307</f>
        <v>6.77E-3</v>
      </c>
      <c r="O334">
        <f>O283+O307</f>
        <v>1.11E-2</v>
      </c>
      <c r="P334">
        <f>P283+P307</f>
        <v>3.2399999999999998E-3</v>
      </c>
      <c r="Q334">
        <f>Q283+Q307</f>
        <v>1.7139999999999998E-3</v>
      </c>
      <c r="R334">
        <f>R283+R307</f>
        <v>-2.686E-3</v>
      </c>
      <c r="S334">
        <f>S283+S307</f>
        <v>1.5969999999999999E-3</v>
      </c>
      <c r="T334">
        <f>T283+T307</f>
        <v>4.4850000000000003E-3</v>
      </c>
      <c r="U334">
        <f>U283+U307</f>
        <v>2.0410000000000003E-3</v>
      </c>
      <c r="V334">
        <f>V283+V307</f>
        <v>3.483E-3</v>
      </c>
      <c r="W334">
        <f>W283+W307</f>
        <v>5.705E-3</v>
      </c>
      <c r="X334">
        <f>X283+X307</f>
        <v>6.6829999999999997E-3</v>
      </c>
      <c r="Y334">
        <f>Y283+Y307</f>
        <v>3.0739999999999999E-3</v>
      </c>
      <c r="Z334">
        <f>Z283+Z307</f>
        <v>7.0600000000000003E-3</v>
      </c>
      <c r="AA334">
        <f>AA283+AA307</f>
        <v>2.7980000000000001E-3</v>
      </c>
      <c r="AB334">
        <f>AB283+AB307</f>
        <v>5.1290000000000007E-3</v>
      </c>
      <c r="AC334">
        <f>AC283+AC307</f>
        <v>3.2929999999999999E-3</v>
      </c>
      <c r="AD334">
        <f>AD283+AD307</f>
        <v>4.1399999999999996E-3</v>
      </c>
      <c r="AE334">
        <f>AE283+AE307</f>
        <v>4.7070000000000002E-3</v>
      </c>
      <c r="AF334">
        <f>AF283+AF307</f>
        <v>2.9560000000000003E-3</v>
      </c>
      <c r="AG334">
        <f>AG283+AG307</f>
        <v>4.8700000000000002E-3</v>
      </c>
      <c r="AH334">
        <f>AH283+AH307</f>
        <v>6.5290000000000001E-3</v>
      </c>
      <c r="AI334">
        <f>AI283+AI307</f>
        <v>6.9299999999999995E-3</v>
      </c>
      <c r="AJ334">
        <f>AJ283+AJ307</f>
        <v>5.3100000000000005E-3</v>
      </c>
      <c r="AK334">
        <f>AK283+AK307</f>
        <v>5.7000000000000002E-3</v>
      </c>
      <c r="AL334">
        <f>AL283+AL307</f>
        <v>3.9299999999999995E-3</v>
      </c>
      <c r="AM334">
        <f>AM283+AM307</f>
        <v>2.5900000000000003E-3</v>
      </c>
      <c r="AN334">
        <f>AN283+AN307</f>
        <v>2.66E-3</v>
      </c>
      <c r="AO334">
        <f>AO283+AO307</f>
        <v>2.0500000000000002E-3</v>
      </c>
      <c r="AP334">
        <f>AP283+AP307</f>
        <v>1.457E-3</v>
      </c>
      <c r="AQ334">
        <f>AQ283+AQ307</f>
        <v>2.6899999999999997E-3</v>
      </c>
      <c r="AR334">
        <f>AR283+AR307</f>
        <v>5.8400000000000006E-3</v>
      </c>
      <c r="AS334">
        <f>AS283+AS307</f>
        <v>5.5699999999999994E-3</v>
      </c>
      <c r="AT334">
        <f>AT283+AT307</f>
        <v>4.7699999999999999E-3</v>
      </c>
      <c r="AU334">
        <f>AU283+AU307</f>
        <v>6.8500000000000002E-3</v>
      </c>
      <c r="AV334">
        <f>AV283+AV307</f>
        <v>7.9900000000000006E-3</v>
      </c>
      <c r="AW334">
        <f>AW283+AW307</f>
        <v>9.1700000000000011E-3</v>
      </c>
      <c r="AX334">
        <f>AX283+AX307</f>
        <v>9.4699999999999993E-3</v>
      </c>
      <c r="AY334">
        <f>AY283+AY307</f>
        <v>1.145E-2</v>
      </c>
      <c r="AZ334">
        <f>AZ283+AZ307</f>
        <v>1.01E-2</v>
      </c>
      <c r="BA334">
        <f>BA283+BA307</f>
        <v>1.116E-2</v>
      </c>
      <c r="BB334">
        <f>BB283+BB307</f>
        <v>1.2789999999999999E-2</v>
      </c>
      <c r="BC334">
        <f>BC283+BC307</f>
        <v>1.1140000000000001E-2</v>
      </c>
      <c r="BD334">
        <f>BD283+BD307</f>
        <v>1.059E-2</v>
      </c>
      <c r="BE334">
        <f>BE283+BE307</f>
        <v>6.1799999999999997E-3</v>
      </c>
      <c r="BF334">
        <f>BF283+BF307</f>
        <v>6.6600000000000001E-3</v>
      </c>
      <c r="BG334">
        <f>BG283+BG307</f>
        <v>5.0600000000000003E-3</v>
      </c>
      <c r="BH334">
        <f>BH283+BH307</f>
        <v>4.3200000000000001E-3</v>
      </c>
      <c r="BI334">
        <f>BI283+BI307</f>
        <v>2.97E-3</v>
      </c>
      <c r="BJ334">
        <f>BJ283+BJ307</f>
        <v>9.6499999999999993E-4</v>
      </c>
      <c r="BK334">
        <f>BK283+BK307</f>
        <v>7.9999999999999993E-4</v>
      </c>
      <c r="BL334">
        <f>BL283+BL307</f>
        <v>-3.1099999999999995E-3</v>
      </c>
      <c r="BM334">
        <f>BM283+BM307</f>
        <v>-1.5100000000000001E-3</v>
      </c>
      <c r="BN334">
        <f>BN283+BN307</f>
        <v>-1.4999999999999998E-3</v>
      </c>
      <c r="BO334">
        <f>BO283+BO307</f>
        <v>-4.4499999999999991E-3</v>
      </c>
      <c r="BP334">
        <f>BP283+BP307</f>
        <v>-5.0399999999999993E-3</v>
      </c>
      <c r="BQ334">
        <f>BQ283+BQ307</f>
        <v>-2.4700000000000004E-3</v>
      </c>
      <c r="BR334">
        <f>BR283+BR307</f>
        <v>-1.8400000000000001E-3</v>
      </c>
      <c r="BS334">
        <f>BS283+BS307</f>
        <v>4.1000000000000021E-4</v>
      </c>
      <c r="BT334">
        <f>BT283+BT307</f>
        <v>-1.6200000000000003E-3</v>
      </c>
      <c r="BU334">
        <f>BU283+BU307</f>
        <v>-4.6300000000000004E-3</v>
      </c>
      <c r="BV334">
        <f>BV283+BV307</f>
        <v>-4.1399999999999996E-3</v>
      </c>
      <c r="BW334">
        <f>BW283+BW307</f>
        <v>-6.1900000000000011E-3</v>
      </c>
      <c r="BX334">
        <f>BX283+BX307</f>
        <v>-5.3699999999999998E-3</v>
      </c>
      <c r="BY334">
        <f>BY283+BY307</f>
        <v>-2.48E-3</v>
      </c>
      <c r="BZ334">
        <f>BZ283+BZ307</f>
        <v>-3.65E-3</v>
      </c>
      <c r="CA334">
        <f>CA283+CA307</f>
        <v>-2.97E-3</v>
      </c>
      <c r="CB334">
        <f>CB283+CB307</f>
        <v>-3.8300000000000005E-3</v>
      </c>
      <c r="CC334">
        <f>CC283+CC307</f>
        <v>-4.47E-3</v>
      </c>
      <c r="CD334">
        <f>CD283+CD307</f>
        <v>-5.2900000000000013E-3</v>
      </c>
      <c r="CE334">
        <f>CE283+CE307</f>
        <v>-4.6600000000000009E-3</v>
      </c>
      <c r="CF334">
        <f>CF283+CF307</f>
        <v>-2.7299999999999998E-3</v>
      </c>
      <c r="CG334">
        <f>CG283+CG307</f>
        <v>8.8500000000000002E-3</v>
      </c>
      <c r="CH334">
        <f>CH283+CH307</f>
        <v>5.64E-3</v>
      </c>
      <c r="CI334">
        <f>CI283+CI307</f>
        <v>3.2381000000000003E-3</v>
      </c>
      <c r="CJ334">
        <f>CJ283+CJ307</f>
        <v>4.64E-3</v>
      </c>
      <c r="CK334">
        <f>CK283+CK307</f>
        <v>1.094E-2</v>
      </c>
      <c r="CL334">
        <f>CL283+CL307</f>
        <v>5.5900000000000004E-3</v>
      </c>
      <c r="CM334">
        <f>CM283+CM307</f>
        <v>1.4599999999999999E-3</v>
      </c>
      <c r="CN334">
        <f>CN283+CN307</f>
        <v>3.2729999999999999E-3</v>
      </c>
      <c r="CO334">
        <f>CO283+CO307</f>
        <v>1.1120000000000001E-2</v>
      </c>
      <c r="CP334">
        <f>CP283+CP307</f>
        <v>2.2210000000000001E-2</v>
      </c>
      <c r="CQ334">
        <f>CQ283+CQ307</f>
        <v>2.4650000000000002E-2</v>
      </c>
      <c r="CR334">
        <f>CR283+CR307</f>
        <v>1.8380000000000001E-2</v>
      </c>
      <c r="CS334">
        <f>CS283+CS307</f>
        <v>-1.1630000000000001E-2</v>
      </c>
      <c r="CT334">
        <f>CT283+CT307</f>
        <v>-1.0800000000000002E-3</v>
      </c>
      <c r="CU334">
        <f>CU283+CU307</f>
        <v>8.8899999999999986E-3</v>
      </c>
      <c r="CV334">
        <f>CV283+CV307</f>
        <v>-2.6249999999999999E-2</v>
      </c>
      <c r="CW334">
        <f>CW283+CW307</f>
        <v>-1.3989999999999999E-2</v>
      </c>
      <c r="CX334">
        <f>CX283+CX307</f>
        <v>2.298E-2</v>
      </c>
    </row>
    <row r="335" spans="1:102" x14ac:dyDescent="0.2">
      <c r="A335" t="s">
        <v>212</v>
      </c>
      <c r="B335" t="s">
        <v>220</v>
      </c>
      <c r="C335" t="s">
        <v>223</v>
      </c>
      <c r="D335">
        <f>D284+D308</f>
        <v>1.3830000000000001E-3</v>
      </c>
      <c r="E335">
        <f>E284+E308</f>
        <v>1.3830000000000001E-3</v>
      </c>
      <c r="F335">
        <f>F284+F308</f>
        <v>1.3830000000000001E-3</v>
      </c>
      <c r="G335">
        <f>G284+G308</f>
        <v>6.8729999999999999E-2</v>
      </c>
      <c r="H335">
        <f>H284+H308</f>
        <v>3.44E-2</v>
      </c>
      <c r="I335">
        <f>I284+I308</f>
        <v>3.662E-2</v>
      </c>
      <c r="J335">
        <f>J284+J308</f>
        <v>1.1550000000000001E-2</v>
      </c>
      <c r="K335">
        <f>K284+K308</f>
        <v>1.1850000000000001E-2</v>
      </c>
      <c r="L335">
        <f>L284+L308</f>
        <v>1.4339999999999999E-2</v>
      </c>
      <c r="M335">
        <f>M284+M308</f>
        <v>1.227E-2</v>
      </c>
      <c r="N335">
        <f>N284+N308</f>
        <v>1.316E-2</v>
      </c>
      <c r="O335">
        <f>O284+O308</f>
        <v>1.1259999999999999E-2</v>
      </c>
      <c r="P335">
        <f>P284+P308</f>
        <v>1.18E-2</v>
      </c>
      <c r="Q335">
        <f>Q284+Q308</f>
        <v>5.0099999999999997E-3</v>
      </c>
      <c r="R335">
        <f>R284+R308</f>
        <v>3.15E-3</v>
      </c>
      <c r="S335">
        <f>S284+S308</f>
        <v>4.0809999999999996E-3</v>
      </c>
      <c r="T335">
        <f>T284+T308</f>
        <v>4.5990000000000007E-3</v>
      </c>
      <c r="U335">
        <f>U284+U308</f>
        <v>2.7190000000000001E-3</v>
      </c>
      <c r="V335">
        <f>V284+V308</f>
        <v>4.4339999999999996E-3</v>
      </c>
      <c r="W335">
        <f>W284+W308</f>
        <v>3.8649999999999999E-3</v>
      </c>
      <c r="X335">
        <f>X284+X308</f>
        <v>3.2030000000000001E-3</v>
      </c>
      <c r="Y335">
        <f>Y284+Y308</f>
        <v>1.539E-3</v>
      </c>
      <c r="Z335">
        <f>Z284+Z308</f>
        <v>1.9469999999999999E-3</v>
      </c>
      <c r="AA335">
        <f>AA284+AA308</f>
        <v>2.1089999999999998E-3</v>
      </c>
      <c r="AB335">
        <f>AB284+AB308</f>
        <v>3.1119999999999997E-3</v>
      </c>
      <c r="AC335">
        <f>AC284+AC308</f>
        <v>2.7989999999999998E-3</v>
      </c>
      <c r="AD335">
        <f>AD284+AD308</f>
        <v>2.8440000000000002E-3</v>
      </c>
      <c r="AE335">
        <f>AE284+AE308</f>
        <v>3.8479999999999999E-3</v>
      </c>
      <c r="AF335">
        <f>AF284+AF308</f>
        <v>4.463E-3</v>
      </c>
      <c r="AG335">
        <f>AG284+AG308</f>
        <v>4.182E-3</v>
      </c>
      <c r="AH335">
        <f>AH284+AH308</f>
        <v>4.28E-3</v>
      </c>
      <c r="AI335">
        <f>AI284+AI308</f>
        <v>4.1320000000000003E-3</v>
      </c>
      <c r="AJ335">
        <f>AJ284+AJ308</f>
        <v>3.6470000000000001E-3</v>
      </c>
      <c r="AK335">
        <f>AK284+AK308</f>
        <v>3.2160000000000001E-3</v>
      </c>
      <c r="AL335">
        <f>AL284+AL308</f>
        <v>3.2940000000000001E-3</v>
      </c>
      <c r="AM335">
        <f>AM284+AM308</f>
        <v>2.441E-3</v>
      </c>
      <c r="AN335">
        <f>AN284+AN308</f>
        <v>2.209E-3</v>
      </c>
      <c r="AO335">
        <f>AO284+AO308</f>
        <v>1.9619999999999998E-3</v>
      </c>
      <c r="AP335">
        <f>AP284+AP308</f>
        <v>2.0049999999999998E-3</v>
      </c>
      <c r="AQ335">
        <f>AQ284+AQ308</f>
        <v>2.431E-3</v>
      </c>
      <c r="AR335">
        <f>AR284+AR308</f>
        <v>2.9889999999999999E-3</v>
      </c>
      <c r="AS335">
        <f>AS284+AS308</f>
        <v>3.1330000000000004E-3</v>
      </c>
      <c r="AT335">
        <f>AT284+AT308</f>
        <v>3.2669999999999999E-3</v>
      </c>
      <c r="AU335">
        <f>AU284+AU308</f>
        <v>3.9779999999999998E-3</v>
      </c>
      <c r="AV335">
        <f>AV284+AV308</f>
        <v>4.5699999999999994E-3</v>
      </c>
      <c r="AW335">
        <f>AW284+AW308</f>
        <v>4.6959999999999997E-3</v>
      </c>
      <c r="AX335">
        <f>AX284+AX308</f>
        <v>4.3949999999999996E-3</v>
      </c>
      <c r="AY335">
        <f>AY284+AY308</f>
        <v>3.9909999999999998E-3</v>
      </c>
      <c r="AZ335">
        <f>AZ284+AZ308</f>
        <v>3.6829999999999996E-3</v>
      </c>
      <c r="BA335">
        <f>BA284+BA308</f>
        <v>3.7459999999999998E-3</v>
      </c>
      <c r="BB335">
        <f>BB284+BB308</f>
        <v>3.522E-3</v>
      </c>
      <c r="BC335">
        <f>BC284+BC308</f>
        <v>2.405E-3</v>
      </c>
      <c r="BD335">
        <f>BD284+BD308</f>
        <v>2.408E-3</v>
      </c>
      <c r="BE335">
        <f>BE284+BE308</f>
        <v>2.1489999999999999E-3</v>
      </c>
      <c r="BF335">
        <f>BF284+BF308</f>
        <v>1.8939999999999999E-3</v>
      </c>
      <c r="BG335">
        <f>BG284+BG308</f>
        <v>2.1089999999999998E-3</v>
      </c>
      <c r="BH335">
        <f>BH284+BH308</f>
        <v>1.843E-3</v>
      </c>
      <c r="BI335">
        <f>BI284+BI308</f>
        <v>1.439E-3</v>
      </c>
      <c r="BJ335">
        <f>BJ284+BJ308</f>
        <v>2.2360000000000001E-3</v>
      </c>
      <c r="BK335">
        <f>BK284+BK308</f>
        <v>2.1359999999999999E-3</v>
      </c>
      <c r="BL335">
        <f>BL284+BL308</f>
        <v>2.5460000000000001E-3</v>
      </c>
      <c r="BM335">
        <f>BM284+BM308</f>
        <v>2.4579999999999997E-3</v>
      </c>
      <c r="BN335">
        <f>BN284+BN308</f>
        <v>2.3289999999999999E-3</v>
      </c>
      <c r="BO335">
        <f t="shared" ref="BO335" si="70">BO284+BO308</f>
        <v>1.8369999999999999E-3</v>
      </c>
      <c r="BP335">
        <f>BP284+BP308</f>
        <v>2.0989999999999997E-3</v>
      </c>
      <c r="BQ335">
        <f>BQ284+BQ308</f>
        <v>2.1410000000000001E-3</v>
      </c>
      <c r="BR335">
        <f>BR284+BR308</f>
        <v>1.0859999999999999E-3</v>
      </c>
      <c r="BS335">
        <f>BS284+BS308</f>
        <v>1.225E-3</v>
      </c>
      <c r="BT335">
        <f>BT284+BT308</f>
        <v>8.4900000000000004E-4</v>
      </c>
      <c r="BU335">
        <f>BU284+BU308</f>
        <v>4.1999999999999996E-4</v>
      </c>
      <c r="BV335">
        <f>BV284+BV308</f>
        <v>8.12E-4</v>
      </c>
      <c r="BW335">
        <f>BW284+BW308</f>
        <v>4.4799999999999999E-4</v>
      </c>
      <c r="BX335">
        <f>BX284+BX308</f>
        <v>-7.0000000000000075E-6</v>
      </c>
      <c r="BY335">
        <f>BY284+BY308</f>
        <v>1.2329999999999999E-3</v>
      </c>
      <c r="BZ335">
        <f>BZ284+BZ308</f>
        <v>1.3120000000000002E-3</v>
      </c>
      <c r="CA335">
        <f>CA284+CA308</f>
        <v>1.8339999999999999E-3</v>
      </c>
      <c r="CB335">
        <f>CB284+CB308</f>
        <v>1.6150000000000001E-3</v>
      </c>
      <c r="CC335">
        <f>CC284+CC308</f>
        <v>-2.9999999999999645E-6</v>
      </c>
      <c r="CD335">
        <f>CD284+CD308</f>
        <v>3.8999999999999972E-5</v>
      </c>
      <c r="CE335">
        <f>CE284+CE308</f>
        <v>-3.6880000000000002E-4</v>
      </c>
      <c r="CF335">
        <f>CF284+CF308</f>
        <v>-5.4100000000000003E-4</v>
      </c>
      <c r="CG335">
        <f>CG284+CG308</f>
        <v>-2.8180000000000002E-3</v>
      </c>
      <c r="CH335">
        <f>CH284+CH308</f>
        <v>-2.5760000000000002E-3</v>
      </c>
      <c r="CI335">
        <f>CI284+CI308</f>
        <v>-2.6450000000000002E-3</v>
      </c>
      <c r="CJ335">
        <f>CJ284+CJ308</f>
        <v>-2.238E-3</v>
      </c>
      <c r="CK335">
        <f>CK284+CK308</f>
        <v>-2.8519999999999999E-3</v>
      </c>
      <c r="CL335">
        <f>CL284+CL308</f>
        <v>-4.2139999999999999E-3</v>
      </c>
      <c r="CM335">
        <f>CM284+CM308</f>
        <v>-3.3529999999999996E-3</v>
      </c>
      <c r="CN335">
        <f>CN284+CN308</f>
        <v>-2.1550000000000002E-3</v>
      </c>
      <c r="CO335">
        <f>CO284+CO308</f>
        <v>-1.7590000000000001E-3</v>
      </c>
      <c r="CP335">
        <f>CP284+CP308</f>
        <v>-3.3509999999999998E-3</v>
      </c>
      <c r="CQ335">
        <f>CQ284+CQ308</f>
        <v>-3.284E-3</v>
      </c>
      <c r="CR335">
        <f>CR284+CR308</f>
        <v>-4.3569999999999998E-3</v>
      </c>
      <c r="CS335">
        <f>CS284+CS308</f>
        <v>-4.3550000000000004E-3</v>
      </c>
      <c r="CT335">
        <f>CT284+CT308</f>
        <v>-8.1690000000000009E-3</v>
      </c>
      <c r="CU335">
        <f>CU284+CU308</f>
        <v>-6.0920000000000002E-3</v>
      </c>
      <c r="CV335">
        <f>CV284+CV308</f>
        <v>-1.2034000000000001E-2</v>
      </c>
      <c r="CW335">
        <f>CW284+CW308</f>
        <v>-1.5432900000000001E-2</v>
      </c>
      <c r="CX335">
        <f>CX284+CX308</f>
        <v>-1.8874700000000001E-2</v>
      </c>
    </row>
    <row r="336" spans="1:102" x14ac:dyDescent="0.2">
      <c r="A336" t="s">
        <v>213</v>
      </c>
      <c r="B336" t="s">
        <v>220</v>
      </c>
      <c r="C336" t="s">
        <v>223</v>
      </c>
      <c r="D336">
        <f>D285+D309</f>
        <v>-2.3249999999999998E-3</v>
      </c>
      <c r="E336">
        <f>E285+E309</f>
        <v>-2.3249999999999998E-3</v>
      </c>
      <c r="F336">
        <f>F285+F309</f>
        <v>-2.3249999999999998E-3</v>
      </c>
      <c r="G336">
        <f>G285+G309</f>
        <v>-0.24360000000000001</v>
      </c>
      <c r="H336">
        <f>H285+H309</f>
        <v>2.256E-2</v>
      </c>
      <c r="I336">
        <f>I285+I309</f>
        <v>-7.041E-2</v>
      </c>
      <c r="J336">
        <f>J285+J309</f>
        <v>1.5160000000000002E-2</v>
      </c>
      <c r="K336">
        <f>K285+K309</f>
        <v>-2.0720000000000002E-2</v>
      </c>
      <c r="L336">
        <f>L285+L309</f>
        <v>-3.2219999999999999E-2</v>
      </c>
      <c r="M336">
        <f>M285+M309</f>
        <v>-1.2359999999999999E-2</v>
      </c>
      <c r="N336">
        <f>N285+N309</f>
        <v>-2.581E-2</v>
      </c>
      <c r="O336">
        <f>O285+O309</f>
        <v>-2.631E-2</v>
      </c>
      <c r="P336">
        <f>P285+P309</f>
        <v>-3.9370000000000002E-2</v>
      </c>
      <c r="Q336">
        <f>Q285+Q309</f>
        <v>4.2939999999999999E-2</v>
      </c>
      <c r="R336">
        <f>R285+R309</f>
        <v>6.037E-2</v>
      </c>
      <c r="S336">
        <f>S285+S309</f>
        <v>-1.763E-2</v>
      </c>
      <c r="T336">
        <f>T285+T309</f>
        <v>-2.545E-2</v>
      </c>
      <c r="U336">
        <f>U285+U309</f>
        <v>6.0800000000000003E-3</v>
      </c>
      <c r="V336">
        <f>V285+V309</f>
        <v>-2.6009999999999998E-2</v>
      </c>
      <c r="W336">
        <f>W285+W309</f>
        <v>-3.61E-2</v>
      </c>
      <c r="X336">
        <f>X285+X309</f>
        <v>-1.37E-2</v>
      </c>
      <c r="Y336">
        <f>Y285+Y309</f>
        <v>9.6600000000000002E-3</v>
      </c>
      <c r="Z336">
        <f>Z285+Z309</f>
        <v>8.5400000000000007E-3</v>
      </c>
      <c r="AA336">
        <f>AA285+AA309</f>
        <v>-1.0400000000000001E-3</v>
      </c>
      <c r="AB336">
        <f>AB285+AB309</f>
        <v>-1.494E-2</v>
      </c>
      <c r="AC336">
        <f>AC285+AC309</f>
        <v>-2.145E-2</v>
      </c>
      <c r="AD336">
        <f>AD285+AD309</f>
        <v>-1.6400000000000001E-2</v>
      </c>
      <c r="AE336">
        <f>AE285+AE309</f>
        <v>-1.4840000000000001E-2</v>
      </c>
      <c r="AF336">
        <f>AF285+AF309</f>
        <v>-1.8970000000000001E-2</v>
      </c>
      <c r="AG336">
        <f>AG285+AG309</f>
        <v>-2.1309999999999999E-2</v>
      </c>
      <c r="AH336">
        <f>AH285+AH309</f>
        <v>-2.2380000000000001E-2</v>
      </c>
      <c r="AI336">
        <f>AI285+AI309</f>
        <v>-1.813E-2</v>
      </c>
      <c r="AJ336">
        <f>AJ285+AJ309</f>
        <v>-1.687E-2</v>
      </c>
      <c r="AK336">
        <f>AK285+AK309</f>
        <v>-1.3550000000000001E-2</v>
      </c>
      <c r="AL336">
        <f>AL285+AL309</f>
        <v>-1.1169999999999999E-2</v>
      </c>
      <c r="AM336">
        <f>AM285+AM309</f>
        <v>-9.3500000000000007E-3</v>
      </c>
      <c r="AN336">
        <f>AN285+AN309</f>
        <v>-6.0699999999999999E-3</v>
      </c>
      <c r="AO336">
        <f>AO285+AO309</f>
        <v>-4.3800000000000002E-3</v>
      </c>
      <c r="AP336">
        <f>AP285+AP309</f>
        <v>-3.3400000000000001E-3</v>
      </c>
      <c r="AQ336">
        <f>AQ285+AQ309</f>
        <v>6.1999999999999989E-4</v>
      </c>
      <c r="AR336">
        <f>AR285+AR309</f>
        <v>-1.1529999999999999E-2</v>
      </c>
      <c r="AS336">
        <f>AS285+AS309</f>
        <v>-1.2869999999999999E-2</v>
      </c>
      <c r="AT336">
        <f>AT285+AT309</f>
        <v>-1.0359999999999999E-2</v>
      </c>
      <c r="AU336">
        <f>AU285+AU309</f>
        <v>-1.2290000000000001E-2</v>
      </c>
      <c r="AV336">
        <f>AV285+AV309</f>
        <v>-1.3840000000000002E-2</v>
      </c>
      <c r="AW336">
        <f>AW285+AW309</f>
        <v>-1.0279999999999999E-2</v>
      </c>
      <c r="AX336">
        <f>AX285+AX309</f>
        <v>-5.4299999999999991E-3</v>
      </c>
      <c r="AY336">
        <f>AY285+AY309</f>
        <v>-4.8599999999999997E-3</v>
      </c>
      <c r="AZ336">
        <f>AZ285+AZ309</f>
        <v>-1.2235899999999999E-3</v>
      </c>
      <c r="BA336">
        <f>BA285+BA309</f>
        <v>1.7999999999999997E-3</v>
      </c>
      <c r="BB336">
        <f>BB285+BB309</f>
        <v>2.8999999999999998E-3</v>
      </c>
      <c r="BC336">
        <f>BC285+BC309</f>
        <v>6.3099999999999996E-3</v>
      </c>
      <c r="BD336">
        <f>BD285+BD309</f>
        <v>7.1300000000000009E-3</v>
      </c>
      <c r="BE336">
        <f>BE285+BE309</f>
        <v>6.7399999999999995E-3</v>
      </c>
      <c r="BF336">
        <f>BF285+BF309</f>
        <v>7.0800000000000012E-3</v>
      </c>
      <c r="BG336">
        <f>BG285+BG309</f>
        <v>9.7999999999999997E-3</v>
      </c>
      <c r="BH336">
        <f>BH285+BH309</f>
        <v>5.5799999999999999E-3</v>
      </c>
      <c r="BI336">
        <f>BI285+BI309</f>
        <v>5.6829999999999997E-3</v>
      </c>
      <c r="BJ336">
        <f>BJ285+BJ309</f>
        <v>-4.3799999999999997E-4</v>
      </c>
      <c r="BK336">
        <f>BK285+BK309</f>
        <v>8.8800000000000001E-4</v>
      </c>
      <c r="BL336">
        <f>BL285+BL309</f>
        <v>1.1209999999999998E-3</v>
      </c>
      <c r="BM336">
        <f>BM285+BM309</f>
        <v>-8.0300000000000011E-4</v>
      </c>
      <c r="BN336">
        <f>BN285+BN309</f>
        <v>-1.9599999999999999E-3</v>
      </c>
      <c r="BO336">
        <f>BO285+BO309</f>
        <v>-1.0344999999999998E-3</v>
      </c>
      <c r="BP336">
        <f>BP285+BP309</f>
        <v>-3.4499999999999999E-3</v>
      </c>
      <c r="BQ336">
        <f>BQ285+BQ309</f>
        <v>-2.6899999999999997E-3</v>
      </c>
      <c r="BR336">
        <f>BR285+BR309</f>
        <v>-1.5429999999999999E-3</v>
      </c>
      <c r="BS336">
        <f>BS285+BS309</f>
        <v>-2.2260000000000001E-3</v>
      </c>
      <c r="BT336">
        <f>BT285+BT309</f>
        <v>-4.0499999999999998E-3</v>
      </c>
      <c r="BU336">
        <f>BU285+BU309</f>
        <v>1.1179999999999999E-3</v>
      </c>
      <c r="BV336">
        <f>BV285+BV309</f>
        <v>2.3500000000000001E-3</v>
      </c>
      <c r="BW336">
        <f>BW285+BW309</f>
        <v>4.64E-3</v>
      </c>
      <c r="BX336">
        <f>BX285+BX309</f>
        <v>2.196E-3</v>
      </c>
      <c r="BY336">
        <f>BY285+BY309</f>
        <v>2.7409999999999999E-3</v>
      </c>
      <c r="BZ336">
        <f>BZ285+BZ309</f>
        <v>2.849E-3</v>
      </c>
      <c r="CA336">
        <f>CA285+CA309</f>
        <v>3.1920000000000004E-3</v>
      </c>
      <c r="CB336">
        <f>CB285+CB309</f>
        <v>7.7680000000000006E-3</v>
      </c>
      <c r="CC336">
        <f>CC285+CC309</f>
        <v>9.1920000000000005E-3</v>
      </c>
      <c r="CD336">
        <f>CD285+CD309</f>
        <v>1.3489000000000001E-2</v>
      </c>
      <c r="CE336">
        <f>CE285+CE309</f>
        <v>1.4751999999999999E-2</v>
      </c>
      <c r="CF336">
        <f>CF285+CF309</f>
        <v>1.4983000000000002E-2</v>
      </c>
      <c r="CG336">
        <f>CG285+CG309</f>
        <v>1.4974999999999999E-2</v>
      </c>
      <c r="CH336">
        <f>CH285+CH309</f>
        <v>1.8784000000000002E-2</v>
      </c>
      <c r="CI336">
        <f>CI285+CI309</f>
        <v>9.9810000000000003E-3</v>
      </c>
      <c r="CJ336">
        <f>CJ285+CJ309</f>
        <v>1.1651999999999999E-2</v>
      </c>
      <c r="CK336">
        <f>CK285+CK309</f>
        <v>1.5009000000000002E-2</v>
      </c>
      <c r="CL336">
        <f>CL285+CL309</f>
        <v>1.6225999999999997E-2</v>
      </c>
      <c r="CM336">
        <f>CM285+CM309</f>
        <v>1.5187000000000001E-2</v>
      </c>
      <c r="CN336">
        <f>CN285+CN309</f>
        <v>1.4679000000000001E-2</v>
      </c>
      <c r="CO336">
        <f>CO285+CO309</f>
        <v>6.9740000000000002E-3</v>
      </c>
      <c r="CP336">
        <f>CP285+CP309</f>
        <v>-9.2659999999999999E-3</v>
      </c>
      <c r="CQ336">
        <f>CQ285+CQ309</f>
        <v>-1.1035000000000001E-2</v>
      </c>
      <c r="CR336">
        <f>CR285+CR309</f>
        <v>-1.5143E-2</v>
      </c>
      <c r="CS336">
        <f>CS285+CS309</f>
        <v>1.7750000000000001E-3</v>
      </c>
      <c r="CT336">
        <f>CT285+CT309</f>
        <v>4.3879999999999995E-3</v>
      </c>
      <c r="CU336">
        <f>CU285+CU309</f>
        <v>-1.7573000000000002E-2</v>
      </c>
      <c r="CV336">
        <f>CV285+CV309</f>
        <v>-3.0536000000000001E-2</v>
      </c>
      <c r="CW336">
        <f>CW285+CW309</f>
        <v>-5.2409000000000004E-2</v>
      </c>
      <c r="CX336">
        <f>CX285+CX309</f>
        <v>-5.5074000000000005E-2</v>
      </c>
    </row>
    <row r="337" spans="1:102" x14ac:dyDescent="0.2">
      <c r="A337" t="s">
        <v>214</v>
      </c>
      <c r="B337" t="s">
        <v>220</v>
      </c>
      <c r="C337" t="s">
        <v>223</v>
      </c>
      <c r="D337">
        <f>D286+D310</f>
        <v>-2.9E-4</v>
      </c>
      <c r="E337">
        <f>E286+E310</f>
        <v>-2.9E-4</v>
      </c>
      <c r="F337">
        <f>F286+F310</f>
        <v>-2.9E-4</v>
      </c>
      <c r="G337">
        <f>G286+G310</f>
        <v>-3.0119999999999997E-2</v>
      </c>
      <c r="H337">
        <f>H286+H310</f>
        <v>-2.1659999999999999E-2</v>
      </c>
      <c r="I337">
        <f>I286+I310</f>
        <v>-4.5630000000000004E-2</v>
      </c>
      <c r="J337">
        <f>J286+J310</f>
        <v>-3.9620000000000002E-2</v>
      </c>
      <c r="K337">
        <f>K286+K310</f>
        <v>-3.0010000000000002E-2</v>
      </c>
      <c r="L337">
        <f>L286+L310</f>
        <v>-2.0889999999999999E-2</v>
      </c>
      <c r="M337">
        <f>M286+M310</f>
        <v>-1.5590000000000001E-2</v>
      </c>
      <c r="N337">
        <f>N286+N310</f>
        <v>-2.9049999999999999E-2</v>
      </c>
      <c r="O337">
        <f>O286+O310</f>
        <v>-1.8489999999999999E-2</v>
      </c>
      <c r="P337">
        <f>P286+P310</f>
        <v>-1.9050000000000001E-2</v>
      </c>
      <c r="Q337">
        <f>Q286+Q310</f>
        <v>-2.2380000000000001E-2</v>
      </c>
      <c r="R337">
        <f>R286+R310</f>
        <v>-1.703E-2</v>
      </c>
      <c r="S337">
        <f>S286+S310</f>
        <v>-6.0000000000000001E-3</v>
      </c>
      <c r="T337">
        <f>T286+T310</f>
        <v>-9.6600000000000002E-3</v>
      </c>
      <c r="U337">
        <f>U286+U310</f>
        <v>-4.3830000000000006E-3</v>
      </c>
      <c r="V337">
        <f>V286+V310</f>
        <v>-3.8070000000000005E-3</v>
      </c>
      <c r="W337">
        <f>W286+W310</f>
        <v>-6.6489999999999995E-3</v>
      </c>
      <c r="X337">
        <f>X286+X310</f>
        <v>-8.6119999999999999E-3</v>
      </c>
      <c r="Y337">
        <f>Y286+Y310</f>
        <v>-1.7642999999999999E-2</v>
      </c>
      <c r="Z337">
        <f>Z286+Z310</f>
        <v>-6.4530000000000004E-3</v>
      </c>
      <c r="AA337">
        <f>AA286+AA310</f>
        <v>4.1399999999999998E-4</v>
      </c>
      <c r="AB337">
        <f>AB286+AB310</f>
        <v>-6.9440000000000005E-3</v>
      </c>
      <c r="AC337">
        <f>AC286+AC310</f>
        <v>-3.5659999999999997E-3</v>
      </c>
      <c r="AD337">
        <f>AD286+AD310</f>
        <v>-5.7959999999999999E-3</v>
      </c>
      <c r="AE337">
        <f>AE286+AE310</f>
        <v>-8.036999999999999E-3</v>
      </c>
      <c r="AF337">
        <f>AF286+AF310</f>
        <v>-8.265999999999999E-3</v>
      </c>
      <c r="AG337">
        <f>AG286+AG310</f>
        <v>-9.0279999999999996E-3</v>
      </c>
      <c r="AH337">
        <f>AH286+AH310</f>
        <v>-7.1039999999999992E-3</v>
      </c>
      <c r="AI337">
        <f>AI286+AI310</f>
        <v>-5.5529999999999998E-3</v>
      </c>
      <c r="AJ337">
        <f>AJ286+AJ310</f>
        <v>-5.1509999999999993E-3</v>
      </c>
      <c r="AK337">
        <f>AK286+AK310</f>
        <v>-8.7430000000000008E-3</v>
      </c>
      <c r="AL337">
        <f>AL286+AL310</f>
        <v>-2.7139999999999998E-3</v>
      </c>
      <c r="AM337">
        <f>AM286+AM310</f>
        <v>-4.6280000000000002E-3</v>
      </c>
      <c r="AN337">
        <f>AN286+AN310</f>
        <v>-2.9640000000000001E-3</v>
      </c>
      <c r="AO337">
        <f>AO286+AO310</f>
        <v>-5.0560000000000006E-3</v>
      </c>
      <c r="AP337">
        <f>AP286+AP310</f>
        <v>-6.8100000000000001E-3</v>
      </c>
      <c r="AQ337">
        <f>AQ286+AQ310</f>
        <v>-1.9740000000000001E-3</v>
      </c>
      <c r="AR337">
        <f>AR286+AR310</f>
        <v>-9.2389999999999989E-3</v>
      </c>
      <c r="AS337">
        <f>AS286+AS310</f>
        <v>-2.147E-3</v>
      </c>
      <c r="AT337">
        <f>AT286+AT310</f>
        <v>-5.4550000000000006E-3</v>
      </c>
      <c r="AU337">
        <f>AU286+AU310</f>
        <v>-6.3010000000000002E-3</v>
      </c>
      <c r="AV337">
        <f>AV286+AV310</f>
        <v>-6.6620000000000004E-3</v>
      </c>
      <c r="AW337">
        <f>AW286+AW310</f>
        <v>-1.1602999999999999E-2</v>
      </c>
      <c r="AX337">
        <f>AX286+AX310</f>
        <v>-8.1740000000000007E-3</v>
      </c>
      <c r="AY337">
        <f>AY286+AY310</f>
        <v>-6.2449999999999997E-3</v>
      </c>
      <c r="AZ337">
        <f>AZ286+AZ310</f>
        <v>-6.326E-3</v>
      </c>
      <c r="BA337">
        <f>BA286+BA310</f>
        <v>-7.8070000000000006E-3</v>
      </c>
      <c r="BB337">
        <f>BB286+BB310</f>
        <v>-7.0709999999999992E-3</v>
      </c>
      <c r="BC337">
        <f>BC286+BC310</f>
        <v>-5.7459999999999994E-3</v>
      </c>
      <c r="BD337">
        <f>BD286+BD310</f>
        <v>-5.5730000000000007E-3</v>
      </c>
      <c r="BE337">
        <f>BE286+BE310</f>
        <v>-5.0200000000000002E-3</v>
      </c>
      <c r="BF337">
        <f>BF286+BF310</f>
        <v>-6.7380000000000001E-3</v>
      </c>
      <c r="BG337">
        <f>BG286+BG310</f>
        <v>-7.3819999999999997E-3</v>
      </c>
      <c r="BH337">
        <f>BH286+BH310</f>
        <v>-8.7250000000000001E-3</v>
      </c>
      <c r="BI337">
        <f>BI286+BI310</f>
        <v>-5.2909999999999997E-3</v>
      </c>
      <c r="BJ337">
        <f>BJ286+BJ310</f>
        <v>-8.7219999999999989E-3</v>
      </c>
      <c r="BK337">
        <f>BK286+BK310</f>
        <v>-1.0859000000000001E-2</v>
      </c>
      <c r="BL337">
        <f>BL286+BL310</f>
        <v>-1.2833000000000001E-2</v>
      </c>
      <c r="BM337">
        <f>BM286+BM310</f>
        <v>-7.1540000000000006E-3</v>
      </c>
      <c r="BN337">
        <f>BN286+BN310</f>
        <v>-5.6569999999999997E-3</v>
      </c>
      <c r="BO337">
        <f>BO286+BO310</f>
        <v>-6.4320000000000002E-3</v>
      </c>
      <c r="BP337">
        <f>BP286+BP310</f>
        <v>-7.657999999999999E-3</v>
      </c>
      <c r="BQ337">
        <f>BQ286+BQ310</f>
        <v>-5.679E-3</v>
      </c>
      <c r="BR337">
        <f>BR286+BR310</f>
        <v>-1.0938E-2</v>
      </c>
      <c r="BS337">
        <f>BS286+BS310</f>
        <v>-8.6980000000000009E-3</v>
      </c>
      <c r="BT337">
        <f>BT286+BT310</f>
        <v>-9.8539999999999999E-3</v>
      </c>
      <c r="BU337">
        <f>BU286+BU310</f>
        <v>-1.3368E-2</v>
      </c>
      <c r="BV337">
        <f>BV286+BV310</f>
        <v>-1.1146999999999999E-2</v>
      </c>
      <c r="BW337">
        <f>BW286+BW310</f>
        <v>-1.0442E-2</v>
      </c>
      <c r="BX337">
        <f>BX286+BX310</f>
        <v>-9.3259999999999992E-3</v>
      </c>
      <c r="BY337">
        <f>BY286+BY310</f>
        <v>-9.3229999999999997E-3</v>
      </c>
      <c r="BZ337">
        <f>BZ286+BZ310</f>
        <v>-1.0848999999999999E-2</v>
      </c>
      <c r="CA337">
        <f>CA286+CA310</f>
        <v>-1.4705000000000001E-2</v>
      </c>
      <c r="CB337">
        <f>CB286+CB310</f>
        <v>-1.0019999999999999E-2</v>
      </c>
      <c r="CC337">
        <f>CC286+CC310</f>
        <v>-1.0414E-2</v>
      </c>
      <c r="CD337">
        <f>CD286+CD310</f>
        <v>-9.6440000000000015E-3</v>
      </c>
      <c r="CE337">
        <f>CE286+CE310</f>
        <v>-8.659E-3</v>
      </c>
      <c r="CF337">
        <f>CF286+CF310</f>
        <v>-1.0784999999999999E-2</v>
      </c>
      <c r="CG337">
        <f>CG286+CG310</f>
        <v>-8.3840000000000008E-3</v>
      </c>
      <c r="CH337">
        <f>CH286+CH310</f>
        <v>-1.1536000000000001E-2</v>
      </c>
      <c r="CI337">
        <f>CI286+CI310</f>
        <v>-7.2589999999999998E-3</v>
      </c>
      <c r="CJ337">
        <f>CJ286+CJ310</f>
        <v>-8.7667000000000005E-3</v>
      </c>
      <c r="CK337">
        <f>CK286+CK310</f>
        <v>-5.9390000000000007E-3</v>
      </c>
      <c r="CL337">
        <f>CL286+CL310</f>
        <v>-4.4660000000000004E-3</v>
      </c>
      <c r="CM337">
        <f>CM286+CM310</f>
        <v>-1.1144999999999999E-2</v>
      </c>
      <c r="CN337">
        <f>CN286+CN310</f>
        <v>6.11E-4</v>
      </c>
      <c r="CO337">
        <f>CO286+CO310</f>
        <v>-3.0131000000000003E-3</v>
      </c>
      <c r="CP337">
        <f>CP286+CP310</f>
        <v>-9.3019999999999995E-3</v>
      </c>
      <c r="CQ337">
        <f>CQ286+CQ310</f>
        <v>-7.672E-3</v>
      </c>
      <c r="CR337">
        <f>CR286+CR310</f>
        <v>-3.8349999999999999E-3</v>
      </c>
      <c r="CS337">
        <f>CS286+CS310</f>
        <v>-4.9689999999999995E-3</v>
      </c>
      <c r="CT337">
        <f>CT286+CT310</f>
        <v>-1.2232E-2</v>
      </c>
      <c r="CU337">
        <f>CU286+CU310</f>
        <v>-2.0557000000000002E-2</v>
      </c>
      <c r="CV337">
        <f>CV286+CV310</f>
        <v>-1.2625000000000001E-2</v>
      </c>
      <c r="CW337">
        <f>CW286+CW310</f>
        <v>-2.3230000000000001E-2</v>
      </c>
      <c r="CX337">
        <f>CX286+CX310</f>
        <v>-8.0499999999999999E-3</v>
      </c>
    </row>
    <row r="338" spans="1:102" x14ac:dyDescent="0.2">
      <c r="A338" t="s">
        <v>215</v>
      </c>
      <c r="B338" t="s">
        <v>220</v>
      </c>
      <c r="C338" t="s">
        <v>223</v>
      </c>
      <c r="D338">
        <f>D287+D311</f>
        <v>1.2874E-2</v>
      </c>
      <c r="E338">
        <f>E287+E311</f>
        <v>1.2874E-2</v>
      </c>
      <c r="F338">
        <f>F287+F311</f>
        <v>1.2874E-2</v>
      </c>
      <c r="G338">
        <f>G287+G311</f>
        <v>0.14050000000000001</v>
      </c>
      <c r="H338">
        <f>H287+H311</f>
        <v>0.12140000000000001</v>
      </c>
      <c r="I338">
        <f>I287+I311</f>
        <v>8.455E-2</v>
      </c>
      <c r="J338">
        <f>J287+J311</f>
        <v>2.019E-2</v>
      </c>
      <c r="K338">
        <f>K287+K311</f>
        <v>-2.529E-2</v>
      </c>
      <c r="L338">
        <f>L287+L311</f>
        <v>-5.9580000000000001E-2</v>
      </c>
      <c r="M338">
        <f>M287+M311</f>
        <v>-3.9513E-2</v>
      </c>
      <c r="N338">
        <f>N287+N311</f>
        <v>-3.3805999999999996E-2</v>
      </c>
      <c r="O338">
        <f>O287+O311</f>
        <v>-2.4810000000000002E-2</v>
      </c>
      <c r="P338">
        <f>P287+P311</f>
        <v>-1.6630000000000002E-2</v>
      </c>
      <c r="Q338">
        <f>Q287+Q311</f>
        <v>3.7600000000000003E-3</v>
      </c>
      <c r="R338">
        <f>R287+R311</f>
        <v>-1.3399999999999998E-3</v>
      </c>
      <c r="S338">
        <f>S287+S311</f>
        <v>-4.7800000000000004E-3</v>
      </c>
      <c r="T338">
        <f>T287+T311</f>
        <v>-5.6099999999999987E-3</v>
      </c>
      <c r="U338">
        <f>U287+U311</f>
        <v>-6.8000000000000005E-3</v>
      </c>
      <c r="V338">
        <f>V287+V311</f>
        <v>-3.7299999999999998E-3</v>
      </c>
      <c r="W338">
        <f>W287+W311</f>
        <v>-2.9499999999999995E-3</v>
      </c>
      <c r="X338">
        <f>X287+X311</f>
        <v>-5.0000000000000001E-4</v>
      </c>
      <c r="Y338">
        <f>Y287+Y311</f>
        <v>7.7200000000000003E-3</v>
      </c>
      <c r="Z338">
        <f>Z287+Z311</f>
        <v>4.1799999999999997E-3</v>
      </c>
      <c r="AA338">
        <f>AA287+AA311</f>
        <v>6.6400000000000001E-3</v>
      </c>
      <c r="AB338">
        <f>AB287+AB311</f>
        <v>3.7959999999999999E-3</v>
      </c>
      <c r="AC338">
        <f>AC287+AC311</f>
        <v>5.8900000000000003E-3</v>
      </c>
      <c r="AD338">
        <f>AD287+AD311</f>
        <v>7.8300000000000002E-3</v>
      </c>
      <c r="AE338">
        <f>AE287+AE311</f>
        <v>7.5300000000000002E-3</v>
      </c>
      <c r="AF338">
        <f>AF287+AF311</f>
        <v>3.9199999999999999E-3</v>
      </c>
      <c r="AG338">
        <f>AG287+AG311</f>
        <v>3.79E-3</v>
      </c>
      <c r="AH338">
        <f>AH287+AH311</f>
        <v>2.8109999999999997E-3</v>
      </c>
      <c r="AI338">
        <f>AI287+AI311</f>
        <v>3.712E-3</v>
      </c>
      <c r="AJ338">
        <f>AJ287+AJ311</f>
        <v>1.2490000000000001E-2</v>
      </c>
      <c r="AK338">
        <f>AK287+AK311</f>
        <v>1.9799999999999998E-2</v>
      </c>
      <c r="AL338">
        <f>AL287+AL311</f>
        <v>2.0029999999999999E-2</v>
      </c>
      <c r="AM338">
        <f>AM287+AM311</f>
        <v>2.247E-2</v>
      </c>
      <c r="AN338">
        <f>AN287+AN311</f>
        <v>2.3029999999999998E-2</v>
      </c>
      <c r="AO338">
        <f>AO287+AO311</f>
        <v>1.8970000000000001E-2</v>
      </c>
      <c r="AP338">
        <f>AP287+AP311</f>
        <v>2.0029999999999999E-2</v>
      </c>
      <c r="AQ338">
        <f>AQ287+AQ311</f>
        <v>2.1519999999999997E-2</v>
      </c>
      <c r="AR338">
        <f>AR287+AR311</f>
        <v>2.0279999999999999E-2</v>
      </c>
      <c r="AS338">
        <f>AS287+AS311</f>
        <v>2.5829999999999999E-2</v>
      </c>
      <c r="AT338">
        <f>AT287+AT311</f>
        <v>2.683E-2</v>
      </c>
      <c r="AU338">
        <f>AU287+AU311</f>
        <v>2.5590000000000002E-2</v>
      </c>
      <c r="AV338">
        <f>AV287+AV311</f>
        <v>2.2540000000000001E-2</v>
      </c>
      <c r="AW338">
        <f>AW287+AW311</f>
        <v>2.4379999999999999E-2</v>
      </c>
      <c r="AX338">
        <f>AX287+AX311</f>
        <v>2.053E-2</v>
      </c>
      <c r="AY338">
        <f>AY287+AY311</f>
        <v>1.9449999999999999E-2</v>
      </c>
      <c r="AZ338">
        <f>AZ287+AZ311</f>
        <v>2.0670000000000001E-2</v>
      </c>
      <c r="BA338">
        <f>BA287+BA311</f>
        <v>1.8069999999999999E-2</v>
      </c>
      <c r="BB338">
        <f>BB287+BB311</f>
        <v>2.2260000000000002E-2</v>
      </c>
      <c r="BC338">
        <f>BC287+BC311</f>
        <v>2.2350000000000002E-2</v>
      </c>
      <c r="BD338">
        <f>BD287+BD311</f>
        <v>3.193E-2</v>
      </c>
      <c r="BE338">
        <f>BE287+BE311</f>
        <v>3.0780000000000002E-2</v>
      </c>
      <c r="BF338">
        <f>BF287+BF311</f>
        <v>3.134E-2</v>
      </c>
      <c r="BG338">
        <f>BG287+BG311</f>
        <v>3.014E-2</v>
      </c>
      <c r="BH338">
        <f>BH287+BH311</f>
        <v>2.989E-2</v>
      </c>
      <c r="BI338">
        <f>BI287+BI311</f>
        <v>2.7660000000000001E-2</v>
      </c>
      <c r="BJ338">
        <f>BJ287+BJ311</f>
        <v>2.443E-2</v>
      </c>
      <c r="BK338">
        <f>BK287+BK311</f>
        <v>1.9390000000000001E-2</v>
      </c>
      <c r="BL338">
        <f>BL287+BL311</f>
        <v>1.8970000000000001E-2</v>
      </c>
      <c r="BM338">
        <f>BM287+BM311</f>
        <v>2.18E-2</v>
      </c>
      <c r="BN338">
        <f>BN287+BN311</f>
        <v>2.2170000000000002E-2</v>
      </c>
      <c r="BO338">
        <f>BO287+BO311</f>
        <v>2.1240000000000002E-2</v>
      </c>
      <c r="BP338">
        <f>BP287+BP311</f>
        <v>2.3579999999999997E-2</v>
      </c>
      <c r="BQ338">
        <f>BQ287+BQ311</f>
        <v>2.6750000000000003E-2</v>
      </c>
      <c r="BR338">
        <f>BR287+BR311</f>
        <v>2.877E-2</v>
      </c>
      <c r="BS338">
        <f>BS287+BS311</f>
        <v>3.0200000000000001E-2</v>
      </c>
      <c r="BT338">
        <f>BT287+BT311</f>
        <v>2.8389999999999999E-2</v>
      </c>
      <c r="BU338">
        <f>BU287+BU311</f>
        <v>2.835E-2</v>
      </c>
      <c r="BV338">
        <f>BV287+BV311</f>
        <v>1.5350000000000001E-2</v>
      </c>
      <c r="BW338">
        <f>BW287+BW311</f>
        <v>2.2920000000000003E-2</v>
      </c>
      <c r="BX338">
        <f>BX287+BX311</f>
        <v>2.256E-2</v>
      </c>
      <c r="BY338">
        <f>BY287+BY311</f>
        <v>1.856E-2</v>
      </c>
      <c r="BZ338">
        <f>BZ287+BZ311</f>
        <v>2.034E-2</v>
      </c>
      <c r="CA338">
        <f>CA287+CA311</f>
        <v>1.762E-2</v>
      </c>
      <c r="CB338">
        <f>CB287+CB311</f>
        <v>-4.7699999999999999E-3</v>
      </c>
      <c r="CC338">
        <f>CC287+CC311</f>
        <v>-8.1999999999999955E-4</v>
      </c>
      <c r="CD338">
        <f>CD287+CD311</f>
        <v>-3.3400000000000001E-3</v>
      </c>
      <c r="CE338">
        <f>CE287+CE311</f>
        <v>-4.5400000000000006E-3</v>
      </c>
      <c r="CF338">
        <f>CF287+CF311</f>
        <v>-3.0000000000000512E-5</v>
      </c>
      <c r="CG338">
        <f>CG287+CG311</f>
        <v>3.6199999999999995E-3</v>
      </c>
      <c r="CH338">
        <f t="shared" ref="CH338:CX338" si="71">CH287+CH311</f>
        <v>-9.4000000000000073E-4</v>
      </c>
      <c r="CI338">
        <f t="shared" si="71"/>
        <v>-1.7899999999999999E-3</v>
      </c>
      <c r="CJ338">
        <f t="shared" si="71"/>
        <v>-1.6199999999999999E-3</v>
      </c>
      <c r="CK338">
        <f t="shared" si="71"/>
        <v>-7.6300000000000005E-3</v>
      </c>
      <c r="CL338">
        <f t="shared" si="71"/>
        <v>-1.0359999999999999E-2</v>
      </c>
      <c r="CM338">
        <f t="shared" si="71"/>
        <v>-9.3299999999999998E-3</v>
      </c>
      <c r="CN338">
        <f t="shared" si="71"/>
        <v>-2.4799999999999996E-3</v>
      </c>
      <c r="CO338">
        <f t="shared" si="71"/>
        <v>-9.2099999999999994E-3</v>
      </c>
      <c r="CP338">
        <f t="shared" si="71"/>
        <v>-1.0539999999999999E-2</v>
      </c>
      <c r="CQ338">
        <f t="shared" si="71"/>
        <v>-1.7000000000000001E-4</v>
      </c>
      <c r="CR338">
        <f t="shared" si="71"/>
        <v>-3.1099999999999999E-3</v>
      </c>
      <c r="CS338">
        <f t="shared" si="71"/>
        <v>-8.199999999999999E-3</v>
      </c>
      <c r="CT338">
        <f t="shared" si="71"/>
        <v>-1.525E-2</v>
      </c>
      <c r="CU338">
        <f t="shared" si="71"/>
        <v>1.47E-3</v>
      </c>
      <c r="CV338">
        <f t="shared" si="71"/>
        <v>8.7799999999999996E-3</v>
      </c>
      <c r="CW338">
        <f t="shared" si="71"/>
        <v>2.6980000000000001E-2</v>
      </c>
      <c r="CX338">
        <f t="shared" si="71"/>
        <v>2.06E-2</v>
      </c>
    </row>
    <row r="339" spans="1:102" x14ac:dyDescent="0.2">
      <c r="A339" t="s">
        <v>216</v>
      </c>
      <c r="B339" t="s">
        <v>220</v>
      </c>
      <c r="C339" t="s">
        <v>223</v>
      </c>
      <c r="D339">
        <f>D312</f>
        <v>1.8599999999999998E-2</v>
      </c>
      <c r="E339">
        <f t="shared" ref="E339:BP339" si="72">E312</f>
        <v>2.2100000000000002E-2</v>
      </c>
      <c r="F339">
        <f t="shared" si="72"/>
        <v>2.5499999999999998E-2</v>
      </c>
      <c r="G339">
        <f t="shared" si="72"/>
        <v>1.383</v>
      </c>
      <c r="H339">
        <f t="shared" si="72"/>
        <v>0.107</v>
      </c>
      <c r="I339">
        <f t="shared" si="72"/>
        <v>0.57999999999999996</v>
      </c>
      <c r="J339">
        <f t="shared" si="72"/>
        <v>0.439</v>
      </c>
      <c r="K339">
        <f t="shared" si="72"/>
        <v>0.40600000000000003</v>
      </c>
      <c r="L339">
        <f t="shared" si="72"/>
        <v>0.52900000000000003</v>
      </c>
      <c r="M339">
        <f t="shared" si="72"/>
        <v>0.45700000000000002</v>
      </c>
      <c r="N339">
        <f t="shared" si="72"/>
        <v>0.53400000000000003</v>
      </c>
      <c r="O339">
        <f t="shared" si="72"/>
        <v>0.54700000000000004</v>
      </c>
      <c r="P339">
        <f t="shared" si="72"/>
        <v>0.58199999999999996</v>
      </c>
      <c r="Q339">
        <f t="shared" si="72"/>
        <v>0.161</v>
      </c>
      <c r="R339">
        <f t="shared" si="72"/>
        <v>0.11600000000000001</v>
      </c>
      <c r="S339">
        <f t="shared" si="72"/>
        <v>0.39900000000000002</v>
      </c>
      <c r="T339">
        <f t="shared" si="72"/>
        <v>0.38100000000000001</v>
      </c>
      <c r="U339">
        <f t="shared" si="72"/>
        <v>0.215</v>
      </c>
      <c r="V339">
        <f t="shared" si="72"/>
        <v>0.29499999999999998</v>
      </c>
      <c r="W339">
        <f t="shared" si="72"/>
        <v>0.32500000000000001</v>
      </c>
      <c r="X339">
        <f t="shared" si="72"/>
        <v>0.314</v>
      </c>
      <c r="Y339">
        <f t="shared" si="72"/>
        <v>0.14299999999999999</v>
      </c>
      <c r="Z339">
        <f t="shared" si="72"/>
        <v>0.104</v>
      </c>
      <c r="AA339">
        <f t="shared" si="72"/>
        <v>9.9299999999999999E-2</v>
      </c>
      <c r="AB339">
        <f t="shared" si="72"/>
        <v>0.17899999999999999</v>
      </c>
      <c r="AC339">
        <f t="shared" si="72"/>
        <v>0.14599999999999999</v>
      </c>
      <c r="AD339">
        <f t="shared" si="72"/>
        <v>0.16600000000000001</v>
      </c>
      <c r="AE339">
        <f t="shared" si="72"/>
        <v>0.16800000000000001</v>
      </c>
      <c r="AF339">
        <f t="shared" si="72"/>
        <v>0.17599999999999999</v>
      </c>
      <c r="AG339">
        <f t="shared" si="72"/>
        <v>0.155</v>
      </c>
      <c r="AH339">
        <f t="shared" si="72"/>
        <v>0.154</v>
      </c>
      <c r="AI339">
        <f t="shared" si="72"/>
        <v>0.13800000000000001</v>
      </c>
      <c r="AJ339">
        <f t="shared" si="72"/>
        <v>0.13400000000000001</v>
      </c>
      <c r="AK339">
        <f t="shared" si="72"/>
        <v>0.11799999999999999</v>
      </c>
      <c r="AL339">
        <f t="shared" si="72"/>
        <v>0.106</v>
      </c>
      <c r="AM339">
        <f t="shared" si="72"/>
        <v>7.5600000000000001E-2</v>
      </c>
      <c r="AN339">
        <f t="shared" si="72"/>
        <v>6.4899999999999999E-2</v>
      </c>
      <c r="AO339">
        <f t="shared" si="72"/>
        <v>6.0900000000000003E-2</v>
      </c>
      <c r="AP339">
        <f t="shared" si="72"/>
        <v>6.7900000000000002E-2</v>
      </c>
      <c r="AQ339">
        <f t="shared" si="72"/>
        <v>4.2999999999999997E-2</v>
      </c>
      <c r="AR339">
        <f t="shared" si="72"/>
        <v>5.7000000000000002E-2</v>
      </c>
      <c r="AS339">
        <f t="shared" si="72"/>
        <v>5.28E-2</v>
      </c>
      <c r="AT339">
        <f t="shared" si="72"/>
        <v>4.36E-2</v>
      </c>
      <c r="AU339">
        <f t="shared" si="72"/>
        <v>6.8599999999999994E-2</v>
      </c>
      <c r="AV339">
        <f t="shared" si="72"/>
        <v>3.6700000000000003E-2</v>
      </c>
      <c r="AW339">
        <f t="shared" si="72"/>
        <v>3.7199999999999997E-2</v>
      </c>
      <c r="AX339">
        <f t="shared" si="72"/>
        <v>2.4199999999999999E-2</v>
      </c>
      <c r="AY339">
        <f t="shared" si="72"/>
        <v>2.01E-2</v>
      </c>
      <c r="AZ339">
        <f t="shared" si="72"/>
        <v>-7.7499999999999999E-3</v>
      </c>
      <c r="BA339">
        <f t="shared" si="72"/>
        <v>-3.0999999999999999E-3</v>
      </c>
      <c r="BB339">
        <f t="shared" si="72"/>
        <v>-9.8600000000000007E-3</v>
      </c>
      <c r="BC339">
        <f t="shared" si="72"/>
        <v>-2.81E-2</v>
      </c>
      <c r="BD339">
        <f t="shared" si="72"/>
        <v>-3.8300000000000001E-2</v>
      </c>
      <c r="BE339">
        <f t="shared" si="72"/>
        <v>-3.2199999999999999E-2</v>
      </c>
      <c r="BF339">
        <f t="shared" si="72"/>
        <v>-2.87E-2</v>
      </c>
      <c r="BG339">
        <f t="shared" si="72"/>
        <v>-4.48E-2</v>
      </c>
      <c r="BH339">
        <f t="shared" si="72"/>
        <v>-3.0300000000000001E-2</v>
      </c>
      <c r="BI339">
        <f t="shared" si="72"/>
        <v>-1.7100000000000001E-2</v>
      </c>
      <c r="BJ339">
        <f t="shared" si="72"/>
        <v>-8.43E-3</v>
      </c>
      <c r="BK339">
        <f t="shared" si="72"/>
        <v>-2.3E-3</v>
      </c>
      <c r="BL339">
        <f t="shared" si="72"/>
        <v>6.8999999999999999E-3</v>
      </c>
      <c r="BM339">
        <f t="shared" si="72"/>
        <v>1.18E-2</v>
      </c>
      <c r="BN339">
        <f t="shared" si="72"/>
        <v>4.3699999999999998E-3</v>
      </c>
      <c r="BO339">
        <f t="shared" si="72"/>
        <v>1.21E-2</v>
      </c>
      <c r="BP339">
        <f t="shared" si="72"/>
        <v>3.0800000000000001E-2</v>
      </c>
      <c r="BQ339">
        <f t="shared" ref="BQ339:CX339" si="73">BQ312</f>
        <v>4.9799999999999997E-2</v>
      </c>
      <c r="BR339">
        <f t="shared" si="73"/>
        <v>4.7800000000000002E-2</v>
      </c>
      <c r="BS339">
        <f t="shared" si="73"/>
        <v>3.9800000000000002E-4</v>
      </c>
      <c r="BT339">
        <f t="shared" si="73"/>
        <v>-2.7699999999999999E-2</v>
      </c>
      <c r="BU339">
        <f t="shared" si="73"/>
        <v>-5.7700000000000001E-2</v>
      </c>
      <c r="BV339">
        <f t="shared" si="73"/>
        <v>-6.4799999999999996E-2</v>
      </c>
      <c r="BW339">
        <f t="shared" si="73"/>
        <v>-8.0399999999999999E-2</v>
      </c>
      <c r="BX339">
        <f t="shared" si="73"/>
        <v>-8.5599999999999996E-2</v>
      </c>
      <c r="BY339">
        <f t="shared" si="73"/>
        <v>-9.11E-2</v>
      </c>
      <c r="BZ339">
        <f t="shared" si="73"/>
        <v>-8.7300000000000003E-2</v>
      </c>
      <c r="CA339">
        <f t="shared" si="73"/>
        <v>-7.2099999999999997E-2</v>
      </c>
      <c r="CB339">
        <f t="shared" si="73"/>
        <v>-1.77E-2</v>
      </c>
      <c r="CC339">
        <f t="shared" si="73"/>
        <v>-2.4899999999999999E-2</v>
      </c>
      <c r="CD339">
        <f t="shared" si="73"/>
        <v>-4.15E-3</v>
      </c>
      <c r="CE339">
        <f t="shared" si="73"/>
        <v>4.3099999999999996E-3</v>
      </c>
      <c r="CF339">
        <f t="shared" si="73"/>
        <v>1.03E-2</v>
      </c>
      <c r="CG339">
        <f t="shared" si="73"/>
        <v>4.8899999999999999E-2</v>
      </c>
      <c r="CH339">
        <f t="shared" si="73"/>
        <v>6.0999999999999999E-2</v>
      </c>
      <c r="CI339">
        <f t="shared" si="73"/>
        <v>7.1999999999999995E-2</v>
      </c>
      <c r="CJ339">
        <f t="shared" si="73"/>
        <v>3.1099999999999999E-2</v>
      </c>
      <c r="CK339">
        <f t="shared" si="73"/>
        <v>2.9499999999999998E-2</v>
      </c>
      <c r="CL339">
        <f t="shared" si="73"/>
        <v>-0.01</v>
      </c>
      <c r="CM339">
        <f t="shared" si="73"/>
        <v>-4.0399999999999998E-2</v>
      </c>
      <c r="CN339">
        <f t="shared" si="73"/>
        <v>-6.25E-2</v>
      </c>
      <c r="CO339">
        <f t="shared" si="73"/>
        <v>6.7699999999999996E-2</v>
      </c>
      <c r="CP339">
        <f t="shared" si="73"/>
        <v>8.8999999999999996E-2</v>
      </c>
      <c r="CQ339">
        <f t="shared" si="73"/>
        <v>8.72E-2</v>
      </c>
      <c r="CR339">
        <f t="shared" si="73"/>
        <v>6.5699999999999995E-2</v>
      </c>
      <c r="CS339">
        <f t="shared" si="73"/>
        <v>4.7499999999999999E-3</v>
      </c>
      <c r="CT339">
        <f t="shared" si="73"/>
        <v>-2.8799999999999999E-2</v>
      </c>
      <c r="CU339">
        <f t="shared" si="73"/>
        <v>2.8299999999999999E-2</v>
      </c>
      <c r="CV339">
        <f t="shared" si="73"/>
        <v>5.6099999999999997E-2</v>
      </c>
      <c r="CW339">
        <f t="shared" si="73"/>
        <v>0.14599999999999999</v>
      </c>
      <c r="CX339">
        <f t="shared" si="73"/>
        <v>0.28999999999999998</v>
      </c>
    </row>
    <row r="340" spans="1:102" x14ac:dyDescent="0.2">
      <c r="A340" t="s">
        <v>5909</v>
      </c>
      <c r="B340" t="s">
        <v>220</v>
      </c>
      <c r="C340" t="s">
        <v>223</v>
      </c>
      <c r="D340">
        <f>D288+D313</f>
        <v>-0.1125</v>
      </c>
      <c r="E340">
        <f t="shared" ref="E340:BP354" si="74">E288+E313</f>
        <v>-0.1125</v>
      </c>
      <c r="F340">
        <f t="shared" si="74"/>
        <v>-0.1125</v>
      </c>
      <c r="G340">
        <f t="shared" si="74"/>
        <v>-1.8052000000000001</v>
      </c>
      <c r="H340">
        <f t="shared" si="74"/>
        <v>-0.64979999999999993</v>
      </c>
      <c r="I340">
        <f t="shared" si="74"/>
        <v>-0.80879999999999996</v>
      </c>
      <c r="J340">
        <f t="shared" si="74"/>
        <v>-0.66830000000000001</v>
      </c>
      <c r="K340">
        <f t="shared" si="74"/>
        <v>-0.58460000000000001</v>
      </c>
      <c r="L340">
        <f t="shared" si="74"/>
        <v>-0.60910000000000009</v>
      </c>
      <c r="M340">
        <f t="shared" si="74"/>
        <v>-0.56679999999999997</v>
      </c>
      <c r="N340">
        <f t="shared" si="74"/>
        <v>-0.55310000000000004</v>
      </c>
      <c r="O340">
        <f t="shared" si="74"/>
        <v>-0.60449999999999993</v>
      </c>
      <c r="P340">
        <f t="shared" si="74"/>
        <v>-0.57789999999999997</v>
      </c>
      <c r="Q340">
        <f t="shared" si="74"/>
        <v>-0.31240000000000001</v>
      </c>
      <c r="R340">
        <f t="shared" si="74"/>
        <v>-0.30570000000000003</v>
      </c>
      <c r="S340">
        <f t="shared" si="74"/>
        <v>-0.38419999999999999</v>
      </c>
      <c r="T340">
        <f t="shared" si="74"/>
        <v>-0.34410000000000002</v>
      </c>
      <c r="U340">
        <f t="shared" si="74"/>
        <v>-0.26140000000000002</v>
      </c>
      <c r="V340">
        <f t="shared" si="74"/>
        <v>-0.27430000000000004</v>
      </c>
      <c r="W340">
        <f t="shared" si="74"/>
        <v>-0.25039999999999996</v>
      </c>
      <c r="X340">
        <f t="shared" si="74"/>
        <v>-0.24560000000000001</v>
      </c>
      <c r="Y340">
        <f t="shared" si="74"/>
        <v>-0.1804</v>
      </c>
      <c r="Z340">
        <f t="shared" si="74"/>
        <v>-0.1656</v>
      </c>
      <c r="AA340">
        <f t="shared" si="74"/>
        <v>-0.16159999999999999</v>
      </c>
      <c r="AB340">
        <f t="shared" si="74"/>
        <v>-0.161</v>
      </c>
      <c r="AC340">
        <f t="shared" si="74"/>
        <v>-0.14799999999999999</v>
      </c>
      <c r="AD340">
        <f t="shared" si="74"/>
        <v>-0.15490000000000001</v>
      </c>
      <c r="AE340">
        <f t="shared" si="74"/>
        <v>-0.1578</v>
      </c>
      <c r="AF340">
        <f t="shared" si="74"/>
        <v>-0.15570000000000001</v>
      </c>
      <c r="AG340">
        <f t="shared" si="74"/>
        <v>-0.16139999999999999</v>
      </c>
      <c r="AH340">
        <f t="shared" si="74"/>
        <v>-0.16439999999999999</v>
      </c>
      <c r="AI340">
        <f t="shared" si="74"/>
        <v>-0.14960000000000001</v>
      </c>
      <c r="AJ340">
        <f t="shared" si="74"/>
        <v>-0.15570000000000001</v>
      </c>
      <c r="AK340">
        <f t="shared" si="74"/>
        <v>-0.1447</v>
      </c>
      <c r="AL340">
        <f t="shared" si="74"/>
        <v>-0.14699999999999999</v>
      </c>
      <c r="AM340">
        <f t="shared" si="74"/>
        <v>-0.1298</v>
      </c>
      <c r="AN340">
        <f t="shared" si="74"/>
        <v>-0.1237</v>
      </c>
      <c r="AO340">
        <f t="shared" si="74"/>
        <v>-0.1192</v>
      </c>
      <c r="AP340">
        <f t="shared" si="74"/>
        <v>-0.11990000000000001</v>
      </c>
      <c r="AQ340">
        <f t="shared" si="74"/>
        <v>-0.12570000000000001</v>
      </c>
      <c r="AR340">
        <f t="shared" si="74"/>
        <v>-0.11699999999999999</v>
      </c>
      <c r="AS340">
        <f t="shared" si="74"/>
        <v>-0.12509999999999999</v>
      </c>
      <c r="AT340">
        <f t="shared" si="74"/>
        <v>-0.1293</v>
      </c>
      <c r="AU340">
        <f t="shared" si="74"/>
        <v>-0.12870000000000001</v>
      </c>
      <c r="AV340">
        <f t="shared" si="74"/>
        <v>-0.1123</v>
      </c>
      <c r="AW340">
        <f t="shared" si="74"/>
        <v>-0.11099999999999999</v>
      </c>
      <c r="AX340">
        <f t="shared" si="74"/>
        <v>-0.1048</v>
      </c>
      <c r="AY340">
        <f t="shared" si="74"/>
        <v>-0.11120000000000001</v>
      </c>
      <c r="AZ340">
        <f t="shared" si="74"/>
        <v>-9.9499999999999991E-2</v>
      </c>
      <c r="BA340">
        <f t="shared" si="74"/>
        <v>-0.10370000000000001</v>
      </c>
      <c r="BB340">
        <f t="shared" si="74"/>
        <v>-0.1106</v>
      </c>
      <c r="BC340">
        <f t="shared" si="74"/>
        <v>-9.3100000000000002E-2</v>
      </c>
      <c r="BD340">
        <f t="shared" si="74"/>
        <v>-9.2700000000000005E-2</v>
      </c>
      <c r="BE340">
        <f t="shared" si="74"/>
        <v>-8.5499999999999993E-2</v>
      </c>
      <c r="BF340">
        <f t="shared" si="74"/>
        <v>-9.06E-2</v>
      </c>
      <c r="BG340">
        <f t="shared" si="74"/>
        <v>-8.7100000000000011E-2</v>
      </c>
      <c r="BH340">
        <f t="shared" si="74"/>
        <v>-0.1003</v>
      </c>
      <c r="BI340">
        <f t="shared" si="74"/>
        <v>-9.3900000000000011E-2</v>
      </c>
      <c r="BJ340">
        <f t="shared" si="74"/>
        <v>-9.5799999999999996E-2</v>
      </c>
      <c r="BK340">
        <f t="shared" si="74"/>
        <v>-9.3700000000000006E-2</v>
      </c>
      <c r="BL340">
        <f t="shared" si="74"/>
        <v>-9.8299999999999998E-2</v>
      </c>
      <c r="BM340">
        <f t="shared" si="74"/>
        <v>-0.10350000000000001</v>
      </c>
      <c r="BN340">
        <f t="shared" si="74"/>
        <v>-0.1046</v>
      </c>
      <c r="BO340">
        <f t="shared" si="74"/>
        <v>-0.10589999999999999</v>
      </c>
      <c r="BP340">
        <f t="shared" si="74"/>
        <v>-0.11380000000000001</v>
      </c>
      <c r="BQ340">
        <f t="shared" ref="BQ340:CX347" si="75">BQ288+BQ313</f>
        <v>-0.1338</v>
      </c>
      <c r="BR340">
        <f t="shared" si="75"/>
        <v>-0.13159999999999999</v>
      </c>
      <c r="BS340">
        <f t="shared" si="75"/>
        <v>-0.11619999999999998</v>
      </c>
      <c r="BT340">
        <f t="shared" si="75"/>
        <v>-8.879999999999999E-2</v>
      </c>
      <c r="BU340">
        <f t="shared" si="75"/>
        <v>-6.4799999999999996E-2</v>
      </c>
      <c r="BV340">
        <f t="shared" si="75"/>
        <v>-5.0499999999999996E-2</v>
      </c>
      <c r="BW340">
        <f t="shared" si="75"/>
        <v>-3.9400000000000004E-2</v>
      </c>
      <c r="BX340">
        <f t="shared" si="75"/>
        <v>-3.4200000000000001E-2</v>
      </c>
      <c r="BY340">
        <f t="shared" si="75"/>
        <v>-2.1299999999999999E-2</v>
      </c>
      <c r="BZ340">
        <f t="shared" si="75"/>
        <v>-2.7000000000000003E-2</v>
      </c>
      <c r="CA340">
        <f t="shared" si="75"/>
        <v>-2.5800000000000003E-2</v>
      </c>
      <c r="CB340">
        <f t="shared" si="75"/>
        <v>-6.3799999999999996E-2</v>
      </c>
      <c r="CC340">
        <f t="shared" si="75"/>
        <v>-4.4200000000000003E-2</v>
      </c>
      <c r="CD340">
        <f t="shared" si="75"/>
        <v>-7.1800000000000003E-2</v>
      </c>
      <c r="CE340">
        <f t="shared" si="75"/>
        <v>-8.7899999999999992E-2</v>
      </c>
      <c r="CF340">
        <f t="shared" si="75"/>
        <v>-7.690000000000001E-2</v>
      </c>
      <c r="CG340">
        <f t="shared" si="75"/>
        <v>-9.6900000000000014E-2</v>
      </c>
      <c r="CH340">
        <f t="shared" si="75"/>
        <v>-0.10379999999999999</v>
      </c>
      <c r="CI340">
        <f t="shared" si="75"/>
        <v>-0.11130000000000001</v>
      </c>
      <c r="CJ340">
        <f t="shared" si="75"/>
        <v>-8.6800000000000016E-2</v>
      </c>
      <c r="CK340">
        <f t="shared" si="75"/>
        <v>-8.8200000000000001E-2</v>
      </c>
      <c r="CL340">
        <f t="shared" si="75"/>
        <v>-6.720000000000001E-2</v>
      </c>
      <c r="CM340">
        <f t="shared" si="75"/>
        <v>-4.6900000000000004E-2</v>
      </c>
      <c r="CN340">
        <f t="shared" si="75"/>
        <v>-5.0899999999999994E-2</v>
      </c>
      <c r="CO340">
        <f t="shared" si="75"/>
        <v>-0.12059999999999998</v>
      </c>
      <c r="CP340">
        <f t="shared" si="75"/>
        <v>-0.13570000000000002</v>
      </c>
      <c r="CQ340">
        <f t="shared" si="75"/>
        <v>-0.15409999999999999</v>
      </c>
      <c r="CR340">
        <f t="shared" si="75"/>
        <v>-0.15430000000000002</v>
      </c>
      <c r="CS340">
        <f t="shared" si="75"/>
        <v>-8.4199999999999997E-2</v>
      </c>
      <c r="CT340">
        <f t="shared" si="75"/>
        <v>-8.9700000000000002E-2</v>
      </c>
      <c r="CU340">
        <f t="shared" si="75"/>
        <v>-6.2699999999999992E-2</v>
      </c>
      <c r="CV340">
        <f t="shared" si="75"/>
        <v>-0.1135</v>
      </c>
      <c r="CW340">
        <f t="shared" si="75"/>
        <v>-0.15180000000000002</v>
      </c>
      <c r="CX340">
        <f t="shared" si="75"/>
        <v>-0.35159999999999997</v>
      </c>
    </row>
    <row r="341" spans="1:102" x14ac:dyDescent="0.2">
      <c r="A341" t="s">
        <v>5910</v>
      </c>
      <c r="B341" t="s">
        <v>220</v>
      </c>
      <c r="C341" t="s">
        <v>223</v>
      </c>
      <c r="D341">
        <f t="shared" ref="D341:BO341" si="76">D289+D314</f>
        <v>3.1200000000000002E-2</v>
      </c>
      <c r="E341">
        <f t="shared" si="76"/>
        <v>3.1200000000000002E-2</v>
      </c>
      <c r="F341">
        <f t="shared" si="76"/>
        <v>3.1200000000000002E-2</v>
      </c>
      <c r="G341">
        <f t="shared" si="76"/>
        <v>-0.2288</v>
      </c>
      <c r="H341">
        <f t="shared" si="76"/>
        <v>0.39679999999999999</v>
      </c>
      <c r="I341">
        <f t="shared" si="76"/>
        <v>-7.4499999999999997E-2</v>
      </c>
      <c r="J341">
        <f t="shared" si="76"/>
        <v>1.2799999999999999E-2</v>
      </c>
      <c r="K341">
        <f t="shared" si="76"/>
        <v>-2.1600000000000001E-2</v>
      </c>
      <c r="L341">
        <f t="shared" si="76"/>
        <v>-6.1499999999999999E-2</v>
      </c>
      <c r="M341">
        <f t="shared" si="76"/>
        <v>-7.4200000000000002E-2</v>
      </c>
      <c r="N341">
        <f t="shared" si="76"/>
        <v>-0.11700000000000001</v>
      </c>
      <c r="O341">
        <f t="shared" si="76"/>
        <v>-0.19750000000000001</v>
      </c>
      <c r="P341">
        <f t="shared" si="76"/>
        <v>-0.23800000000000002</v>
      </c>
      <c r="Q341">
        <f t="shared" si="76"/>
        <v>-4.7399999999999998E-2</v>
      </c>
      <c r="R341">
        <f t="shared" si="76"/>
        <v>-4.3699999999999996E-2</v>
      </c>
      <c r="S341">
        <f t="shared" si="76"/>
        <v>-0.1794</v>
      </c>
      <c r="T341">
        <f t="shared" si="76"/>
        <v>-0.1774</v>
      </c>
      <c r="U341">
        <f t="shared" si="76"/>
        <v>-0.11030000000000001</v>
      </c>
      <c r="V341">
        <f t="shared" si="76"/>
        <v>-0.14229999999999998</v>
      </c>
      <c r="W341">
        <f t="shared" si="76"/>
        <v>-0.13750000000000001</v>
      </c>
      <c r="X341">
        <f t="shared" si="76"/>
        <v>-0.13399999999999998</v>
      </c>
      <c r="Y341">
        <f t="shared" si="76"/>
        <v>-7.3000000000000009E-2</v>
      </c>
      <c r="Z341">
        <f t="shared" si="76"/>
        <v>-5.800000000000001E-2</v>
      </c>
      <c r="AA341">
        <f t="shared" si="76"/>
        <v>-5.4000000000000006E-2</v>
      </c>
      <c r="AB341">
        <f t="shared" si="76"/>
        <v>-5.7599999999999998E-2</v>
      </c>
      <c r="AC341">
        <f t="shared" si="76"/>
        <v>-4.5599999999999995E-2</v>
      </c>
      <c r="AD341">
        <f t="shared" si="76"/>
        <v>-5.21E-2</v>
      </c>
      <c r="AE341">
        <f t="shared" si="76"/>
        <v>-5.3599999999999995E-2</v>
      </c>
      <c r="AF341">
        <f t="shared" si="76"/>
        <v>-0.05</v>
      </c>
      <c r="AG341">
        <f t="shared" si="76"/>
        <v>-5.5099999999999996E-2</v>
      </c>
      <c r="AH341">
        <f t="shared" si="76"/>
        <v>-5.6700000000000007E-2</v>
      </c>
      <c r="AI341">
        <f t="shared" si="76"/>
        <v>-3.56E-2</v>
      </c>
      <c r="AJ341">
        <f t="shared" si="76"/>
        <v>-3.7900000000000003E-2</v>
      </c>
      <c r="AK341">
        <f t="shared" si="76"/>
        <v>-2.5000000000000001E-2</v>
      </c>
      <c r="AL341">
        <f t="shared" si="76"/>
        <v>-2.7500000000000004E-2</v>
      </c>
      <c r="AM341">
        <f t="shared" si="76"/>
        <v>-9.1000000000000004E-3</v>
      </c>
      <c r="AN341">
        <f t="shared" si="76"/>
        <v>-1.5000000000000013E-3</v>
      </c>
      <c r="AO341">
        <f t="shared" si="76"/>
        <v>3.599999999999999E-3</v>
      </c>
      <c r="AP341">
        <f t="shared" si="76"/>
        <v>2.3999999999999994E-3</v>
      </c>
      <c r="AQ341">
        <f t="shared" si="76"/>
        <v>-4.4000000000000011E-3</v>
      </c>
      <c r="AR341">
        <f t="shared" si="76"/>
        <v>3.0000000000000027E-3</v>
      </c>
      <c r="AS341">
        <f t="shared" si="76"/>
        <v>-5.2999999999999992E-3</v>
      </c>
      <c r="AT341">
        <f t="shared" si="76"/>
        <v>-9.8000000000000032E-3</v>
      </c>
      <c r="AU341">
        <f t="shared" si="76"/>
        <v>-9.499999999999998E-3</v>
      </c>
      <c r="AV341">
        <f t="shared" si="76"/>
        <v>5.2999999999999992E-3</v>
      </c>
      <c r="AW341">
        <f t="shared" si="76"/>
        <v>7.7999999999999979E-3</v>
      </c>
      <c r="AX341">
        <f t="shared" si="76"/>
        <v>1.2799999999999999E-2</v>
      </c>
      <c r="AY341">
        <f t="shared" si="76"/>
        <v>6.5999999999999982E-3</v>
      </c>
      <c r="AZ341">
        <f t="shared" si="76"/>
        <v>2.2699999999999998E-2</v>
      </c>
      <c r="BA341">
        <f t="shared" si="76"/>
        <v>1.83E-2</v>
      </c>
      <c r="BB341">
        <f t="shared" si="76"/>
        <v>1.1299999999999998E-2</v>
      </c>
      <c r="BC341">
        <f t="shared" si="76"/>
        <v>3.1800000000000002E-2</v>
      </c>
      <c r="BD341">
        <f t="shared" si="76"/>
        <v>3.2099999999999997E-2</v>
      </c>
      <c r="BE341">
        <f t="shared" si="76"/>
        <v>0.04</v>
      </c>
      <c r="BF341">
        <f t="shared" si="76"/>
        <v>3.3700000000000001E-2</v>
      </c>
      <c r="BG341">
        <f t="shared" si="76"/>
        <v>3.6299999999999999E-2</v>
      </c>
      <c r="BH341">
        <f t="shared" si="76"/>
        <v>2.2499999999999999E-2</v>
      </c>
      <c r="BI341">
        <f t="shared" si="76"/>
        <v>2.6000000000000002E-2</v>
      </c>
      <c r="BJ341">
        <f t="shared" si="76"/>
        <v>2.1599999999999998E-2</v>
      </c>
      <c r="BK341">
        <f t="shared" si="76"/>
        <v>2.3600000000000003E-2</v>
      </c>
      <c r="BL341">
        <f t="shared" si="76"/>
        <v>1.5599999999999999E-2</v>
      </c>
      <c r="BM341">
        <f t="shared" si="76"/>
        <v>9.7000000000000003E-3</v>
      </c>
      <c r="BN341">
        <f t="shared" si="76"/>
        <v>7.4000000000000003E-3</v>
      </c>
      <c r="BO341">
        <f t="shared" si="76"/>
        <v>1.1400000000000004E-2</v>
      </c>
      <c r="BP341">
        <f t="shared" si="74"/>
        <v>1.2499999999999997E-2</v>
      </c>
      <c r="BQ341">
        <f t="shared" si="75"/>
        <v>-3.2999999999999974E-3</v>
      </c>
      <c r="BR341">
        <f t="shared" si="75"/>
        <v>2.8000000000000039E-3</v>
      </c>
      <c r="BS341">
        <f t="shared" si="75"/>
        <v>2.1299999999999996E-2</v>
      </c>
      <c r="BT341">
        <f t="shared" si="75"/>
        <v>4.8399999999999999E-2</v>
      </c>
      <c r="BU341">
        <f t="shared" si="75"/>
        <v>7.3999999999999996E-2</v>
      </c>
      <c r="BV341">
        <f t="shared" si="75"/>
        <v>8.4100000000000008E-2</v>
      </c>
      <c r="BW341">
        <f t="shared" si="75"/>
        <v>9.6799999999999997E-2</v>
      </c>
      <c r="BX341">
        <f t="shared" si="75"/>
        <v>0.10170000000000001</v>
      </c>
      <c r="BY341">
        <f t="shared" si="75"/>
        <v>0.1061</v>
      </c>
      <c r="BZ341">
        <f t="shared" si="75"/>
        <v>0.10239999999999999</v>
      </c>
      <c r="CA341">
        <f t="shared" si="75"/>
        <v>0.1066</v>
      </c>
      <c r="CB341">
        <f t="shared" si="75"/>
        <v>6.6699999999999995E-2</v>
      </c>
      <c r="CC341">
        <f t="shared" si="75"/>
        <v>9.2100000000000001E-2</v>
      </c>
      <c r="CD341">
        <f t="shared" si="75"/>
        <v>6.8100000000000008E-2</v>
      </c>
      <c r="CE341">
        <f t="shared" si="75"/>
        <v>6.0399999999999995E-2</v>
      </c>
      <c r="CF341">
        <f t="shared" si="75"/>
        <v>7.8899999999999998E-2</v>
      </c>
      <c r="CG341">
        <f t="shared" si="75"/>
        <v>5.2500000000000005E-2</v>
      </c>
      <c r="CH341">
        <f t="shared" si="75"/>
        <v>4.1700000000000008E-2</v>
      </c>
      <c r="CI341">
        <f t="shared" si="75"/>
        <v>2.6700000000000002E-2</v>
      </c>
      <c r="CJ341">
        <f t="shared" si="75"/>
        <v>5.2500000000000005E-2</v>
      </c>
      <c r="CK341">
        <f t="shared" si="75"/>
        <v>6.2899999999999998E-2</v>
      </c>
      <c r="CL341">
        <f t="shared" si="75"/>
        <v>8.7799999999999989E-2</v>
      </c>
      <c r="CM341">
        <f t="shared" si="75"/>
        <v>0.11230000000000001</v>
      </c>
      <c r="CN341">
        <f t="shared" si="75"/>
        <v>0.108</v>
      </c>
      <c r="CO341">
        <f t="shared" si="75"/>
        <v>5.8400000000000007E-2</v>
      </c>
      <c r="CP341">
        <f t="shared" si="75"/>
        <v>5.6499999999999995E-2</v>
      </c>
      <c r="CQ341">
        <f t="shared" si="75"/>
        <v>5.0700000000000002E-2</v>
      </c>
      <c r="CR341">
        <f t="shared" si="75"/>
        <v>6.1399999999999996E-2</v>
      </c>
      <c r="CS341">
        <f t="shared" si="75"/>
        <v>0.13780000000000001</v>
      </c>
      <c r="CT341">
        <f t="shared" si="75"/>
        <v>0.15670000000000001</v>
      </c>
      <c r="CU341">
        <f t="shared" si="75"/>
        <v>0.16489999999999999</v>
      </c>
      <c r="CV341">
        <f t="shared" si="75"/>
        <v>0.22639999999999999</v>
      </c>
      <c r="CW341">
        <f t="shared" si="75"/>
        <v>9.7699999999999995E-2</v>
      </c>
      <c r="CX341">
        <f t="shared" si="75"/>
        <v>2.3699999999999999E-2</v>
      </c>
    </row>
    <row r="342" spans="1:102" x14ac:dyDescent="0.2">
      <c r="A342" t="s">
        <v>5911</v>
      </c>
      <c r="B342" t="s">
        <v>220</v>
      </c>
      <c r="C342" t="s">
        <v>223</v>
      </c>
      <c r="D342">
        <f t="shared" ref="D342:BO342" si="77">D290+D315</f>
        <v>-2.12E-2</v>
      </c>
      <c r="E342">
        <f t="shared" si="77"/>
        <v>-2.12E-2</v>
      </c>
      <c r="F342">
        <f t="shared" si="77"/>
        <v>-2.12E-2</v>
      </c>
      <c r="G342">
        <f t="shared" si="77"/>
        <v>-0.79139999999999999</v>
      </c>
      <c r="H342">
        <f t="shared" si="77"/>
        <v>-0.38920000000000005</v>
      </c>
      <c r="I342">
        <f t="shared" si="77"/>
        <v>-0.35049999999999998</v>
      </c>
      <c r="J342">
        <f t="shared" si="77"/>
        <v>-0.23480000000000001</v>
      </c>
      <c r="K342">
        <f t="shared" si="77"/>
        <v>-0.24440000000000001</v>
      </c>
      <c r="L342">
        <f t="shared" si="77"/>
        <v>-0.2407</v>
      </c>
      <c r="M342">
        <f t="shared" si="77"/>
        <v>-0.26200000000000001</v>
      </c>
      <c r="N342">
        <f t="shared" si="77"/>
        <v>-0.25980000000000003</v>
      </c>
      <c r="O342">
        <f t="shared" si="77"/>
        <v>-0.22899999999999998</v>
      </c>
      <c r="P342">
        <f t="shared" si="77"/>
        <v>-0.23760000000000001</v>
      </c>
      <c r="Q342">
        <f t="shared" si="77"/>
        <v>-0.11900000000000001</v>
      </c>
      <c r="R342">
        <f t="shared" si="77"/>
        <v>-0.1021</v>
      </c>
      <c r="S342">
        <f t="shared" si="77"/>
        <v>-0.15869999999999998</v>
      </c>
      <c r="T342">
        <f t="shared" si="77"/>
        <v>-0.1444</v>
      </c>
      <c r="U342">
        <f t="shared" si="77"/>
        <v>-0.1047</v>
      </c>
      <c r="V342">
        <f t="shared" si="77"/>
        <v>-0.1171</v>
      </c>
      <c r="W342">
        <f t="shared" si="77"/>
        <v>-0.12930000000000003</v>
      </c>
      <c r="X342">
        <f t="shared" si="77"/>
        <v>-0.14399999999999999</v>
      </c>
      <c r="Y342">
        <f t="shared" si="77"/>
        <v>-0.1019</v>
      </c>
      <c r="Z342">
        <f t="shared" si="77"/>
        <v>-9.5000000000000001E-2</v>
      </c>
      <c r="AA342">
        <f t="shared" si="77"/>
        <v>-9.2699999999999991E-2</v>
      </c>
      <c r="AB342">
        <f t="shared" si="77"/>
        <v>-0.1153</v>
      </c>
      <c r="AC342">
        <f t="shared" si="77"/>
        <v>-0.1101</v>
      </c>
      <c r="AD342">
        <f t="shared" si="77"/>
        <v>-0.10680000000000001</v>
      </c>
      <c r="AE342">
        <f t="shared" si="77"/>
        <v>-0.1103</v>
      </c>
      <c r="AF342">
        <f t="shared" si="77"/>
        <v>-0.1216</v>
      </c>
      <c r="AG342">
        <f t="shared" si="77"/>
        <v>-0.1144</v>
      </c>
      <c r="AH342">
        <f t="shared" si="77"/>
        <v>-0.12440000000000001</v>
      </c>
      <c r="AI342">
        <f t="shared" si="77"/>
        <v>-0.12590000000000001</v>
      </c>
      <c r="AJ342">
        <f t="shared" si="77"/>
        <v>-0.13040000000000002</v>
      </c>
      <c r="AK342">
        <f t="shared" si="77"/>
        <v>-0.12939999999999999</v>
      </c>
      <c r="AL342">
        <f t="shared" si="77"/>
        <v>-0.1293</v>
      </c>
      <c r="AM342">
        <f t="shared" si="77"/>
        <v>-0.107</v>
      </c>
      <c r="AN342">
        <f t="shared" si="77"/>
        <v>-0.1061</v>
      </c>
      <c r="AO342">
        <f t="shared" si="77"/>
        <v>-9.0300000000000005E-2</v>
      </c>
      <c r="AP342">
        <f t="shared" si="77"/>
        <v>-9.2600000000000002E-2</v>
      </c>
      <c r="AQ342">
        <f t="shared" si="77"/>
        <v>-8.9700000000000002E-2</v>
      </c>
      <c r="AR342">
        <f t="shared" si="77"/>
        <v>-9.2799999999999994E-2</v>
      </c>
      <c r="AS342">
        <f t="shared" si="77"/>
        <v>-8.6500000000000007E-2</v>
      </c>
      <c r="AT342">
        <f t="shared" si="77"/>
        <v>-7.8899999999999998E-2</v>
      </c>
      <c r="AU342">
        <f t="shared" si="77"/>
        <v>-8.9499999999999996E-2</v>
      </c>
      <c r="AV342">
        <f t="shared" si="77"/>
        <v>-8.6800000000000002E-2</v>
      </c>
      <c r="AW342">
        <f t="shared" si="77"/>
        <v>-9.2799999999999994E-2</v>
      </c>
      <c r="AX342">
        <f t="shared" si="77"/>
        <v>-9.9299999999999999E-2</v>
      </c>
      <c r="AY342">
        <f t="shared" si="77"/>
        <v>-9.7700000000000009E-2</v>
      </c>
      <c r="AZ342">
        <f t="shared" si="77"/>
        <v>-8.3400000000000002E-2</v>
      </c>
      <c r="BA342">
        <f t="shared" si="77"/>
        <v>-8.3099999999999993E-2</v>
      </c>
      <c r="BB342">
        <f t="shared" si="77"/>
        <v>-8.7399999999999992E-2</v>
      </c>
      <c r="BC342">
        <f t="shared" si="77"/>
        <v>-7.6000000000000012E-2</v>
      </c>
      <c r="BD342">
        <f t="shared" si="77"/>
        <v>-7.5300000000000006E-2</v>
      </c>
      <c r="BE342">
        <f t="shared" si="77"/>
        <v>-7.6100000000000001E-2</v>
      </c>
      <c r="BF342">
        <f t="shared" si="77"/>
        <v>-7.6100000000000001E-2</v>
      </c>
      <c r="BG342">
        <f t="shared" si="77"/>
        <v>-5.91E-2</v>
      </c>
      <c r="BH342">
        <f t="shared" si="77"/>
        <v>-5.91E-2</v>
      </c>
      <c r="BI342">
        <f t="shared" si="77"/>
        <v>-6.4200000000000007E-2</v>
      </c>
      <c r="BJ342">
        <f t="shared" si="77"/>
        <v>-6.5500000000000003E-2</v>
      </c>
      <c r="BK342">
        <f t="shared" si="77"/>
        <v>-6.0900000000000003E-2</v>
      </c>
      <c r="BL342">
        <f t="shared" si="77"/>
        <v>-6.7100000000000007E-2</v>
      </c>
      <c r="BM342">
        <f t="shared" si="77"/>
        <v>-7.2000000000000008E-2</v>
      </c>
      <c r="BN342">
        <f t="shared" si="77"/>
        <v>-7.8200000000000006E-2</v>
      </c>
      <c r="BO342">
        <f t="shared" si="77"/>
        <v>-7.669999999999999E-2</v>
      </c>
      <c r="BP342">
        <f t="shared" si="74"/>
        <v>-9.0800000000000006E-2</v>
      </c>
      <c r="BQ342">
        <f t="shared" si="75"/>
        <v>-0.11019999999999999</v>
      </c>
      <c r="BR342">
        <f t="shared" si="75"/>
        <v>-0.1147</v>
      </c>
      <c r="BS342">
        <f t="shared" si="75"/>
        <v>-0.11149999999999999</v>
      </c>
      <c r="BT342">
        <f t="shared" si="75"/>
        <v>-9.7499999999999989E-2</v>
      </c>
      <c r="BU342">
        <f t="shared" si="75"/>
        <v>-6.989999999999999E-2</v>
      </c>
      <c r="BV342">
        <f t="shared" si="75"/>
        <v>-6.8000000000000005E-2</v>
      </c>
      <c r="BW342">
        <f t="shared" si="75"/>
        <v>-6.0400000000000002E-2</v>
      </c>
      <c r="BX342">
        <f t="shared" si="75"/>
        <v>-5.6499999999999995E-2</v>
      </c>
      <c r="BY342">
        <f t="shared" si="75"/>
        <v>-5.96E-2</v>
      </c>
      <c r="BZ342">
        <f t="shared" si="75"/>
        <v>-6.0500000000000005E-2</v>
      </c>
      <c r="CA342">
        <f t="shared" si="75"/>
        <v>-7.6999999999999999E-2</v>
      </c>
      <c r="CB342">
        <f t="shared" si="75"/>
        <v>-9.2600000000000002E-2</v>
      </c>
      <c r="CC342">
        <f t="shared" si="75"/>
        <v>-0.1056</v>
      </c>
      <c r="CD342">
        <f t="shared" si="75"/>
        <v>-0.11220000000000001</v>
      </c>
      <c r="CE342">
        <f t="shared" si="75"/>
        <v>-0.11670000000000001</v>
      </c>
      <c r="CF342">
        <f t="shared" si="75"/>
        <v>-0.14299999999999999</v>
      </c>
      <c r="CG342">
        <f t="shared" si="75"/>
        <v>-0.17770000000000002</v>
      </c>
      <c r="CH342">
        <f t="shared" si="75"/>
        <v>-0.17530000000000001</v>
      </c>
      <c r="CI342">
        <f t="shared" si="75"/>
        <v>-0.1711</v>
      </c>
      <c r="CJ342">
        <f t="shared" si="75"/>
        <v>-0.14630000000000001</v>
      </c>
      <c r="CK342">
        <f t="shared" si="75"/>
        <v>-0.1802</v>
      </c>
      <c r="CL342">
        <f t="shared" si="75"/>
        <v>-0.14860000000000001</v>
      </c>
      <c r="CM342">
        <f t="shared" si="75"/>
        <v>-0.12940000000000002</v>
      </c>
      <c r="CN342">
        <f t="shared" si="75"/>
        <v>-0.11579999999999999</v>
      </c>
      <c r="CO342">
        <f t="shared" si="75"/>
        <v>-0.22209999999999999</v>
      </c>
      <c r="CP342">
        <f t="shared" si="75"/>
        <v>-0.19869999999999999</v>
      </c>
      <c r="CQ342">
        <f t="shared" si="75"/>
        <v>-0.2278</v>
      </c>
      <c r="CR342">
        <f t="shared" si="75"/>
        <v>-0.21299999999999999</v>
      </c>
      <c r="CS342">
        <f t="shared" si="75"/>
        <v>-0.156</v>
      </c>
      <c r="CT342">
        <f t="shared" si="75"/>
        <v>-0.1552</v>
      </c>
      <c r="CU342">
        <f t="shared" si="75"/>
        <v>-0.21680000000000002</v>
      </c>
      <c r="CV342">
        <f t="shared" si="75"/>
        <v>-0.26929999999999998</v>
      </c>
      <c r="CW342">
        <f t="shared" si="75"/>
        <v>-0.2379</v>
      </c>
      <c r="CX342">
        <f t="shared" si="75"/>
        <v>-0.51480000000000004</v>
      </c>
    </row>
    <row r="343" spans="1:102" x14ac:dyDescent="0.2">
      <c r="A343" t="s">
        <v>5912</v>
      </c>
      <c r="B343" t="s">
        <v>220</v>
      </c>
      <c r="C343" t="s">
        <v>223</v>
      </c>
      <c r="D343">
        <f t="shared" ref="D343:BO343" si="78">D291+D316</f>
        <v>3.4599999999999999E-2</v>
      </c>
      <c r="E343">
        <f t="shared" si="78"/>
        <v>3.4599999999999999E-2</v>
      </c>
      <c r="F343">
        <f t="shared" si="78"/>
        <v>3.4599999999999999E-2</v>
      </c>
      <c r="G343">
        <f t="shared" si="78"/>
        <v>-6.7000000000000011E-3</v>
      </c>
      <c r="H343">
        <f t="shared" si="78"/>
        <v>0.13930000000000001</v>
      </c>
      <c r="I343">
        <f t="shared" si="78"/>
        <v>3.4200000000000001E-2</v>
      </c>
      <c r="J343">
        <f t="shared" si="78"/>
        <v>0.1187</v>
      </c>
      <c r="K343">
        <f t="shared" si="78"/>
        <v>4.7E-2</v>
      </c>
      <c r="L343">
        <f t="shared" si="78"/>
        <v>3.5099999999999999E-2</v>
      </c>
      <c r="M343">
        <f t="shared" si="78"/>
        <v>5.9000000000000007E-3</v>
      </c>
      <c r="N343">
        <f t="shared" si="78"/>
        <v>-1.15E-2</v>
      </c>
      <c r="O343">
        <f t="shared" si="78"/>
        <v>5.3000000000000009E-3</v>
      </c>
      <c r="P343">
        <f t="shared" si="78"/>
        <v>-3.7100000000000001E-2</v>
      </c>
      <c r="Q343">
        <f t="shared" si="78"/>
        <v>3.7400000000000003E-2</v>
      </c>
      <c r="R343">
        <f t="shared" si="78"/>
        <v>5.4399999999999997E-2</v>
      </c>
      <c r="S343">
        <f t="shared" si="78"/>
        <v>-3.4299999999999997E-2</v>
      </c>
      <c r="T343">
        <f t="shared" si="78"/>
        <v>-4.19E-2</v>
      </c>
      <c r="U343">
        <f t="shared" si="78"/>
        <v>-1.0400000000000001E-2</v>
      </c>
      <c r="V343">
        <f t="shared" si="78"/>
        <v>-3.3399999999999999E-2</v>
      </c>
      <c r="W343">
        <f t="shared" si="78"/>
        <v>-5.6300000000000003E-2</v>
      </c>
      <c r="X343">
        <f t="shared" si="78"/>
        <v>-7.0499999999999993E-2</v>
      </c>
      <c r="Y343">
        <f t="shared" si="78"/>
        <v>-2.3800000000000002E-2</v>
      </c>
      <c r="Z343">
        <f t="shared" si="78"/>
        <v>-1.67E-2</v>
      </c>
      <c r="AA343">
        <f t="shared" si="78"/>
        <v>-1.3800000000000002E-2</v>
      </c>
      <c r="AB343">
        <f t="shared" si="78"/>
        <v>-3.9400000000000004E-2</v>
      </c>
      <c r="AC343">
        <f t="shared" si="78"/>
        <v>-3.39E-2</v>
      </c>
      <c r="AD343">
        <f t="shared" si="78"/>
        <v>-3.0099999999999998E-2</v>
      </c>
      <c r="AE343">
        <f t="shared" si="78"/>
        <v>-3.2600000000000004E-2</v>
      </c>
      <c r="AF343">
        <f t="shared" si="78"/>
        <v>-4.2700000000000002E-2</v>
      </c>
      <c r="AG343">
        <f t="shared" si="78"/>
        <v>-3.2899999999999999E-2</v>
      </c>
      <c r="AH343">
        <f t="shared" si="78"/>
        <v>-4.2000000000000003E-2</v>
      </c>
      <c r="AI343">
        <f t="shared" si="78"/>
        <v>-3.85E-2</v>
      </c>
      <c r="AJ343">
        <f t="shared" si="78"/>
        <v>-3.9800000000000002E-2</v>
      </c>
      <c r="AK343">
        <f t="shared" si="78"/>
        <v>-3.7200000000000004E-2</v>
      </c>
      <c r="AL343">
        <f t="shared" si="78"/>
        <v>-3.6700000000000003E-2</v>
      </c>
      <c r="AM343">
        <f t="shared" si="78"/>
        <v>-1.2799999999999999E-2</v>
      </c>
      <c r="AN343">
        <f t="shared" si="78"/>
        <v>-1.0999999999999999E-2</v>
      </c>
      <c r="AO343">
        <f t="shared" si="78"/>
        <v>4.6999999999999993E-3</v>
      </c>
      <c r="AP343">
        <f t="shared" si="78"/>
        <v>2E-3</v>
      </c>
      <c r="AQ343">
        <f t="shared" si="78"/>
        <v>4.4999999999999997E-3</v>
      </c>
      <c r="AR343">
        <f t="shared" si="78"/>
        <v>1.0999999999999985E-3</v>
      </c>
      <c r="AS343">
        <f t="shared" si="78"/>
        <v>7.0999999999999995E-3</v>
      </c>
      <c r="AT343">
        <f t="shared" si="78"/>
        <v>1.44E-2</v>
      </c>
      <c r="AU343">
        <f t="shared" si="78"/>
        <v>3.0999999999999995E-3</v>
      </c>
      <c r="AV343">
        <f t="shared" si="78"/>
        <v>5.9999999999999993E-3</v>
      </c>
      <c r="AW343">
        <f t="shared" si="78"/>
        <v>7.0000000000000097E-4</v>
      </c>
      <c r="AX343">
        <f t="shared" si="78"/>
        <v>-4.7000000000000011E-3</v>
      </c>
      <c r="AY343">
        <f t="shared" si="78"/>
        <v>-2.9999999999999992E-3</v>
      </c>
      <c r="AZ343">
        <f t="shared" si="78"/>
        <v>1.5200000000000002E-2</v>
      </c>
      <c r="BA343">
        <f t="shared" si="78"/>
        <v>1.6199999999999999E-2</v>
      </c>
      <c r="BB343">
        <f t="shared" si="78"/>
        <v>1.2E-2</v>
      </c>
      <c r="BC343">
        <f t="shared" si="78"/>
        <v>2.6200000000000001E-2</v>
      </c>
      <c r="BD343">
        <f t="shared" si="78"/>
        <v>2.7300000000000001E-2</v>
      </c>
      <c r="BE343">
        <f t="shared" si="78"/>
        <v>2.81E-2</v>
      </c>
      <c r="BF343">
        <f t="shared" si="78"/>
        <v>2.7699999999999999E-2</v>
      </c>
      <c r="BG343">
        <f t="shared" si="78"/>
        <v>3.7400000000000003E-2</v>
      </c>
      <c r="BH343">
        <f t="shared" si="78"/>
        <v>3.6699999999999997E-2</v>
      </c>
      <c r="BI343">
        <f t="shared" si="78"/>
        <v>2.9100000000000001E-2</v>
      </c>
      <c r="BJ343">
        <f t="shared" si="78"/>
        <v>2.7099999999999999E-2</v>
      </c>
      <c r="BK343">
        <f t="shared" si="78"/>
        <v>3.1600000000000003E-2</v>
      </c>
      <c r="BL343">
        <f t="shared" si="78"/>
        <v>2.4E-2</v>
      </c>
      <c r="BM343">
        <f t="shared" si="78"/>
        <v>1.8599999999999998E-2</v>
      </c>
      <c r="BN343">
        <f t="shared" si="78"/>
        <v>1.2500000000000001E-2</v>
      </c>
      <c r="BO343">
        <f t="shared" si="78"/>
        <v>1.8600000000000002E-2</v>
      </c>
      <c r="BP343">
        <f t="shared" si="74"/>
        <v>1.1599999999999999E-2</v>
      </c>
      <c r="BQ343">
        <f t="shared" si="75"/>
        <v>-3.8000000000000013E-3</v>
      </c>
      <c r="BR343">
        <f t="shared" si="75"/>
        <v>-4.5000000000000005E-3</v>
      </c>
      <c r="BS343">
        <f t="shared" si="75"/>
        <v>1.7000000000000001E-3</v>
      </c>
      <c r="BT343">
        <f t="shared" si="75"/>
        <v>1.7000000000000001E-2</v>
      </c>
      <c r="BU343">
        <f t="shared" si="75"/>
        <v>4.6800000000000001E-2</v>
      </c>
      <c r="BV343">
        <f t="shared" si="75"/>
        <v>4.7500000000000001E-2</v>
      </c>
      <c r="BW343">
        <f t="shared" si="75"/>
        <v>5.7200000000000001E-2</v>
      </c>
      <c r="BX343">
        <f t="shared" si="75"/>
        <v>6.0700000000000004E-2</v>
      </c>
      <c r="BY343">
        <f t="shared" si="75"/>
        <v>5.79E-2</v>
      </c>
      <c r="BZ343">
        <f t="shared" si="75"/>
        <v>5.7499999999999996E-2</v>
      </c>
      <c r="CA343">
        <f t="shared" si="75"/>
        <v>4.4499999999999998E-2</v>
      </c>
      <c r="CB343">
        <f t="shared" si="75"/>
        <v>2.6800000000000001E-2</v>
      </c>
      <c r="CC343">
        <f t="shared" si="75"/>
        <v>2.1299999999999999E-2</v>
      </c>
      <c r="CD343">
        <f t="shared" si="75"/>
        <v>2.41E-2</v>
      </c>
      <c r="CE343">
        <f t="shared" si="75"/>
        <v>2.98E-2</v>
      </c>
      <c r="CF343">
        <f t="shared" si="75"/>
        <v>1.2800000000000002E-2</v>
      </c>
      <c r="CG343">
        <f t="shared" si="75"/>
        <v>-2.52E-2</v>
      </c>
      <c r="CH343">
        <f t="shared" si="75"/>
        <v>-2.7199999999999998E-2</v>
      </c>
      <c r="CI343">
        <f t="shared" si="75"/>
        <v>-2.9400000000000003E-2</v>
      </c>
      <c r="CJ343">
        <f t="shared" si="75"/>
        <v>-1.2999999999999991E-3</v>
      </c>
      <c r="CK343">
        <f t="shared" si="75"/>
        <v>-1.7899999999999999E-2</v>
      </c>
      <c r="CL343">
        <f t="shared" si="75"/>
        <v>1.9400000000000001E-2</v>
      </c>
      <c r="CM343">
        <f t="shared" si="75"/>
        <v>4.4399999999999995E-2</v>
      </c>
      <c r="CN343">
        <f t="shared" si="75"/>
        <v>5.96E-2</v>
      </c>
      <c r="CO343">
        <f t="shared" si="75"/>
        <v>-2.8499999999999998E-2</v>
      </c>
      <c r="CP343">
        <f t="shared" si="75"/>
        <v>-2.6599999999999999E-2</v>
      </c>
      <c r="CQ343">
        <f t="shared" si="75"/>
        <v>-4.0800000000000003E-2</v>
      </c>
      <c r="CR343">
        <f t="shared" si="75"/>
        <v>-1.44E-2</v>
      </c>
      <c r="CS343">
        <f t="shared" si="75"/>
        <v>5.5099999999999996E-2</v>
      </c>
      <c r="CT343">
        <f t="shared" si="75"/>
        <v>6.5199999999999994E-2</v>
      </c>
      <c r="CU343">
        <f t="shared" si="75"/>
        <v>-1.8200000000000001E-2</v>
      </c>
      <c r="CV343">
        <f t="shared" si="75"/>
        <v>1.7600000000000001E-2</v>
      </c>
      <c r="CW343">
        <f t="shared" si="75"/>
        <v>4.9299999999999997E-2</v>
      </c>
      <c r="CX343">
        <f t="shared" si="75"/>
        <v>-7.3000000000000009E-2</v>
      </c>
    </row>
    <row r="344" spans="1:102" x14ac:dyDescent="0.2">
      <c r="A344" t="s">
        <v>5913</v>
      </c>
      <c r="B344" t="s">
        <v>220</v>
      </c>
      <c r="C344" t="s">
        <v>223</v>
      </c>
      <c r="D344">
        <f t="shared" ref="D344:BO344" si="79">D292+D317</f>
        <v>-4.3999999999999994E-3</v>
      </c>
      <c r="E344">
        <f t="shared" si="79"/>
        <v>-4.3999999999999994E-3</v>
      </c>
      <c r="F344">
        <f t="shared" si="79"/>
        <v>-4.3999999999999994E-3</v>
      </c>
      <c r="G344">
        <f t="shared" si="79"/>
        <v>-4.2099999999999999E-2</v>
      </c>
      <c r="H344">
        <f t="shared" si="79"/>
        <v>-7.1299999999999988E-2</v>
      </c>
      <c r="I344">
        <f t="shared" si="79"/>
        <v>-3.5000000000000003E-2</v>
      </c>
      <c r="J344">
        <f t="shared" si="79"/>
        <v>-4.9399999999999999E-2</v>
      </c>
      <c r="K344">
        <f t="shared" si="79"/>
        <v>-3.4099999999999998E-2</v>
      </c>
      <c r="L344">
        <f t="shared" si="79"/>
        <v>-2.7199999999999998E-2</v>
      </c>
      <c r="M344">
        <f t="shared" si="79"/>
        <v>-3.1699999999999999E-2</v>
      </c>
      <c r="N344">
        <f t="shared" si="79"/>
        <v>-1.9E-2</v>
      </c>
      <c r="O344">
        <f t="shared" si="79"/>
        <v>-2.01E-2</v>
      </c>
      <c r="P344">
        <f t="shared" si="79"/>
        <v>-1.0800000000000001E-2</v>
      </c>
      <c r="Q344">
        <f t="shared" si="79"/>
        <v>-2.3299999999999998E-2</v>
      </c>
      <c r="R344">
        <f t="shared" si="79"/>
        <v>-2.41E-2</v>
      </c>
      <c r="S344">
        <f t="shared" si="79"/>
        <v>-1.0299999999999998E-2</v>
      </c>
      <c r="T344">
        <f t="shared" si="79"/>
        <v>-6.7999999999999996E-3</v>
      </c>
      <c r="U344">
        <f t="shared" si="79"/>
        <v>-8.8999999999999999E-3</v>
      </c>
      <c r="V344">
        <f t="shared" si="79"/>
        <v>-4.2000000000000006E-3</v>
      </c>
      <c r="W344">
        <f t="shared" si="79"/>
        <v>-2.0999999999999999E-3</v>
      </c>
      <c r="X344">
        <f t="shared" si="79"/>
        <v>-2.0000000000000004E-4</v>
      </c>
      <c r="Y344">
        <f t="shared" si="79"/>
        <v>-5.1999999999999998E-3</v>
      </c>
      <c r="Z344">
        <f t="shared" si="79"/>
        <v>-2.7000000000000001E-3</v>
      </c>
      <c r="AA344">
        <f t="shared" si="79"/>
        <v>-2.7000000000000001E-3</v>
      </c>
      <c r="AB344">
        <f t="shared" si="79"/>
        <v>-6.9999999999999999E-4</v>
      </c>
      <c r="AC344">
        <f t="shared" si="79"/>
        <v>-4.0000000000000001E-3</v>
      </c>
      <c r="AD344">
        <f t="shared" si="79"/>
        <v>-3.0999999999999999E-3</v>
      </c>
      <c r="AE344">
        <f t="shared" si="79"/>
        <v>-2.4000000000000002E-3</v>
      </c>
      <c r="AF344">
        <f t="shared" si="79"/>
        <v>-7.9999999999999993E-4</v>
      </c>
      <c r="AG344">
        <f t="shared" si="79"/>
        <v>1.0000000000000005E-4</v>
      </c>
      <c r="AH344">
        <f t="shared" si="79"/>
        <v>-8.0000000000000004E-4</v>
      </c>
      <c r="AI344">
        <f t="shared" si="79"/>
        <v>-2.5000000000000001E-3</v>
      </c>
      <c r="AJ344">
        <f t="shared" si="79"/>
        <v>-4.4000000000000003E-3</v>
      </c>
      <c r="AK344">
        <f t="shared" si="79"/>
        <v>-4.1999999999999997E-3</v>
      </c>
      <c r="AL344">
        <f t="shared" si="79"/>
        <v>-5.1000000000000004E-3</v>
      </c>
      <c r="AM344">
        <f t="shared" si="79"/>
        <v>-0.01</v>
      </c>
      <c r="AN344">
        <f t="shared" si="79"/>
        <v>-1.29E-2</v>
      </c>
      <c r="AO344">
        <f t="shared" si="79"/>
        <v>-1.37E-2</v>
      </c>
      <c r="AP344">
        <f t="shared" si="79"/>
        <v>-1.2500000000000001E-2</v>
      </c>
      <c r="AQ344">
        <f t="shared" si="79"/>
        <v>-1.41E-2</v>
      </c>
      <c r="AR344">
        <f t="shared" si="79"/>
        <v>-1.2500000000000001E-2</v>
      </c>
      <c r="AS344">
        <f t="shared" si="79"/>
        <v>-1.12E-2</v>
      </c>
      <c r="AT344">
        <f t="shared" si="79"/>
        <v>-1.23E-2</v>
      </c>
      <c r="AU344">
        <f t="shared" si="79"/>
        <v>-8.3999999999999995E-3</v>
      </c>
      <c r="AV344">
        <f t="shared" si="79"/>
        <v>-6.4999999999999997E-3</v>
      </c>
      <c r="AW344">
        <f t="shared" si="79"/>
        <v>-7.3999999999999995E-3</v>
      </c>
      <c r="AX344">
        <f t="shared" si="79"/>
        <v>-4.5999999999999999E-3</v>
      </c>
      <c r="AY344">
        <f t="shared" si="79"/>
        <v>-4.1000000000000003E-3</v>
      </c>
      <c r="AZ344">
        <f t="shared" si="79"/>
        <v>-6.0000000000000001E-3</v>
      </c>
      <c r="BA344">
        <f t="shared" si="79"/>
        <v>-5.1999999999999998E-3</v>
      </c>
      <c r="BB344">
        <f t="shared" si="79"/>
        <v>-5.1000000000000004E-3</v>
      </c>
      <c r="BC344">
        <f t="shared" si="79"/>
        <v>-9.7999999999999997E-3</v>
      </c>
      <c r="BD344">
        <f t="shared" si="79"/>
        <v>-1.0200000000000001E-2</v>
      </c>
      <c r="BE344">
        <f t="shared" si="79"/>
        <v>-1.2900000000000002E-2</v>
      </c>
      <c r="BF344">
        <f t="shared" si="79"/>
        <v>-9.7000000000000003E-3</v>
      </c>
      <c r="BG344">
        <f t="shared" si="79"/>
        <v>-1.1200000000000002E-2</v>
      </c>
      <c r="BH344">
        <f t="shared" si="79"/>
        <v>-1.0499999999999999E-2</v>
      </c>
      <c r="BI344">
        <f t="shared" si="79"/>
        <v>-9.3999999999999986E-3</v>
      </c>
      <c r="BJ344">
        <f t="shared" si="79"/>
        <v>-8.5000000000000006E-3</v>
      </c>
      <c r="BK344">
        <f t="shared" si="79"/>
        <v>-7.4999999999999997E-3</v>
      </c>
      <c r="BL344">
        <f t="shared" si="79"/>
        <v>-6.3E-3</v>
      </c>
      <c r="BM344">
        <f t="shared" si="79"/>
        <v>-5.5999999999999999E-3</v>
      </c>
      <c r="BN344">
        <f t="shared" si="79"/>
        <v>-3.5000000000000001E-3</v>
      </c>
      <c r="BO344">
        <f t="shared" si="79"/>
        <v>-3.0999999999999999E-3</v>
      </c>
      <c r="BP344">
        <f t="shared" si="74"/>
        <v>-3.0000000000000001E-3</v>
      </c>
      <c r="BQ344">
        <f t="shared" si="75"/>
        <v>-4.3E-3</v>
      </c>
      <c r="BR344">
        <f t="shared" si="75"/>
        <v>-3.0000000000000001E-3</v>
      </c>
      <c r="BS344">
        <f t="shared" si="75"/>
        <v>-2.3E-3</v>
      </c>
      <c r="BT344">
        <f t="shared" si="75"/>
        <v>-4.7000000000000002E-3</v>
      </c>
      <c r="BU344">
        <f t="shared" si="75"/>
        <v>-1.0199999999999999E-2</v>
      </c>
      <c r="BV344">
        <f t="shared" si="75"/>
        <v>-1.04E-2</v>
      </c>
      <c r="BW344">
        <f t="shared" si="75"/>
        <v>-1.3100000000000001E-2</v>
      </c>
      <c r="BX344">
        <f t="shared" si="75"/>
        <v>-1.2999999999999999E-2</v>
      </c>
      <c r="BY344">
        <f t="shared" si="75"/>
        <v>-1.11E-2</v>
      </c>
      <c r="BZ344">
        <f t="shared" si="75"/>
        <v>-1.0199999999999999E-2</v>
      </c>
      <c r="CA344">
        <f t="shared" si="75"/>
        <v>-7.7999999999999996E-3</v>
      </c>
      <c r="CB344">
        <f t="shared" si="75"/>
        <v>-4.8000000000000004E-3</v>
      </c>
      <c r="CC344">
        <f t="shared" si="75"/>
        <v>-4.8000000000000004E-3</v>
      </c>
      <c r="CD344">
        <f t="shared" si="75"/>
        <v>-4.8999999999999998E-3</v>
      </c>
      <c r="CE344">
        <f t="shared" si="75"/>
        <v>-6.3999999999999994E-3</v>
      </c>
      <c r="CF344">
        <f t="shared" si="75"/>
        <v>-4.8999999999999998E-3</v>
      </c>
      <c r="CG344">
        <f t="shared" si="75"/>
        <v>3.0999999999999999E-3</v>
      </c>
      <c r="CH344">
        <f t="shared" si="75"/>
        <v>-2.0000000000000009E-4</v>
      </c>
      <c r="CI344">
        <f t="shared" si="75"/>
        <v>1.8999999999999998E-3</v>
      </c>
      <c r="CJ344">
        <f t="shared" si="75"/>
        <v>-9.0000000000000008E-4</v>
      </c>
      <c r="CK344">
        <f t="shared" si="75"/>
        <v>-1.9E-3</v>
      </c>
      <c r="CL344">
        <f t="shared" si="75"/>
        <v>-6.0000000000000001E-3</v>
      </c>
      <c r="CM344">
        <f t="shared" si="75"/>
        <v>-5.8999999999999999E-3</v>
      </c>
      <c r="CN344">
        <f t="shared" si="75"/>
        <v>-9.1000000000000004E-3</v>
      </c>
      <c r="CO344">
        <f t="shared" si="75"/>
        <v>1.8000000000000002E-3</v>
      </c>
      <c r="CP344">
        <f t="shared" si="75"/>
        <v>-4.8999999999999998E-3</v>
      </c>
      <c r="CQ344">
        <f t="shared" si="75"/>
        <v>-9.7000000000000003E-3</v>
      </c>
      <c r="CR344">
        <f t="shared" si="75"/>
        <v>-1.8100000000000002E-2</v>
      </c>
      <c r="CS344">
        <f t="shared" si="75"/>
        <v>-2.3300000000000001E-2</v>
      </c>
      <c r="CT344">
        <f t="shared" si="75"/>
        <v>-3.2899999999999999E-2</v>
      </c>
      <c r="CU344">
        <f t="shared" si="75"/>
        <v>-2.8400000000000002E-2</v>
      </c>
      <c r="CV344">
        <f t="shared" si="75"/>
        <v>-4.3799999999999999E-2</v>
      </c>
      <c r="CW344">
        <f t="shared" si="75"/>
        <v>-6.5100000000000005E-2</v>
      </c>
      <c r="CX344">
        <f t="shared" si="75"/>
        <v>-6.5099999999999991E-2</v>
      </c>
    </row>
    <row r="345" spans="1:102" x14ac:dyDescent="0.2">
      <c r="A345" t="s">
        <v>5914</v>
      </c>
      <c r="B345" t="s">
        <v>220</v>
      </c>
      <c r="C345" t="s">
        <v>223</v>
      </c>
      <c r="D345">
        <f t="shared" ref="D345:BO345" si="80">D293+D318</f>
        <v>7.6E-3</v>
      </c>
      <c r="E345">
        <f t="shared" si="80"/>
        <v>7.6E-3</v>
      </c>
      <c r="F345">
        <f t="shared" si="80"/>
        <v>7.6E-3</v>
      </c>
      <c r="G345">
        <f t="shared" si="80"/>
        <v>0.1139</v>
      </c>
      <c r="H345">
        <f t="shared" si="80"/>
        <v>3.3099999999999997E-2</v>
      </c>
      <c r="I345">
        <f t="shared" si="80"/>
        <v>3.8400000000000004E-2</v>
      </c>
      <c r="J345">
        <f t="shared" si="80"/>
        <v>2.1100000000000001E-2</v>
      </c>
      <c r="K345">
        <f t="shared" si="80"/>
        <v>2.5900000000000003E-2</v>
      </c>
      <c r="L345">
        <f t="shared" si="80"/>
        <v>2.9700000000000001E-2</v>
      </c>
      <c r="M345">
        <f t="shared" si="80"/>
        <v>2.0999999999999998E-2</v>
      </c>
      <c r="N345">
        <f t="shared" si="80"/>
        <v>2.93E-2</v>
      </c>
      <c r="O345">
        <f t="shared" si="80"/>
        <v>2.5700000000000001E-2</v>
      </c>
      <c r="P345">
        <f t="shared" si="80"/>
        <v>2.8199999999999999E-2</v>
      </c>
      <c r="Q345">
        <f t="shared" si="80"/>
        <v>7.5000000000000006E-3</v>
      </c>
      <c r="R345">
        <f t="shared" si="80"/>
        <v>6.9999999999999993E-3</v>
      </c>
      <c r="S345">
        <f t="shared" si="80"/>
        <v>1.4499999999999999E-2</v>
      </c>
      <c r="T345">
        <f t="shared" si="80"/>
        <v>1.38E-2</v>
      </c>
      <c r="U345">
        <f t="shared" si="80"/>
        <v>1.0200000000000001E-2</v>
      </c>
      <c r="V345">
        <f t="shared" si="80"/>
        <v>1.2699999999999999E-2</v>
      </c>
      <c r="W345">
        <f t="shared" si="80"/>
        <v>1.2699999999999999E-2</v>
      </c>
      <c r="X345">
        <f t="shared" si="80"/>
        <v>1.4799999999999999E-2</v>
      </c>
      <c r="Y345">
        <f t="shared" si="80"/>
        <v>9.8999999999999991E-3</v>
      </c>
      <c r="Z345">
        <f t="shared" si="80"/>
        <v>1.2699999999999999E-2</v>
      </c>
      <c r="AA345">
        <f t="shared" si="80"/>
        <v>1.2699999999999999E-2</v>
      </c>
      <c r="AB345">
        <f t="shared" si="80"/>
        <v>1.43E-2</v>
      </c>
      <c r="AC345">
        <f t="shared" si="80"/>
        <v>1.11E-2</v>
      </c>
      <c r="AD345">
        <f t="shared" si="80"/>
        <v>1.2200000000000001E-2</v>
      </c>
      <c r="AE345">
        <f t="shared" si="80"/>
        <v>1.3299999999999999E-2</v>
      </c>
      <c r="AF345">
        <f t="shared" si="80"/>
        <v>1.52E-2</v>
      </c>
      <c r="AG345">
        <f t="shared" si="80"/>
        <v>1.6800000000000002E-2</v>
      </c>
      <c r="AH345">
        <f t="shared" si="80"/>
        <v>1.6299999999999999E-2</v>
      </c>
      <c r="AI345">
        <f t="shared" si="80"/>
        <v>1.5799999999999998E-2</v>
      </c>
      <c r="AJ345">
        <f t="shared" si="80"/>
        <v>1.4800000000000001E-2</v>
      </c>
      <c r="AK345">
        <f t="shared" si="80"/>
        <v>1.54E-2</v>
      </c>
      <c r="AL345">
        <f t="shared" si="80"/>
        <v>1.4999999999999999E-2</v>
      </c>
      <c r="AM345">
        <f t="shared" si="80"/>
        <v>1.06E-2</v>
      </c>
      <c r="AN345">
        <f t="shared" si="80"/>
        <v>8.0000000000000002E-3</v>
      </c>
      <c r="AO345">
        <f t="shared" si="80"/>
        <v>7.3999999999999995E-3</v>
      </c>
      <c r="AP345">
        <f t="shared" si="80"/>
        <v>8.6999999999999994E-3</v>
      </c>
      <c r="AQ345">
        <f t="shared" si="80"/>
        <v>7.1999999999999998E-3</v>
      </c>
      <c r="AR345">
        <f t="shared" si="80"/>
        <v>8.6999999999999994E-3</v>
      </c>
      <c r="AS345">
        <f t="shared" si="80"/>
        <v>9.9999999999999985E-3</v>
      </c>
      <c r="AT345">
        <f t="shared" si="80"/>
        <v>8.8999999999999999E-3</v>
      </c>
      <c r="AU345">
        <f t="shared" si="80"/>
        <v>1.2999999999999999E-2</v>
      </c>
      <c r="AV345">
        <f t="shared" si="80"/>
        <v>1.49E-2</v>
      </c>
      <c r="AW345">
        <f t="shared" si="80"/>
        <v>1.4200000000000001E-2</v>
      </c>
      <c r="AX345">
        <f t="shared" si="80"/>
        <v>1.7300000000000003E-2</v>
      </c>
      <c r="AY345">
        <f t="shared" si="80"/>
        <v>1.78E-2</v>
      </c>
      <c r="AZ345">
        <f t="shared" si="80"/>
        <v>1.6900000000000002E-2</v>
      </c>
      <c r="BA345">
        <f t="shared" si="80"/>
        <v>1.8000000000000002E-2</v>
      </c>
      <c r="BB345">
        <f t="shared" si="80"/>
        <v>1.8200000000000001E-2</v>
      </c>
      <c r="BC345">
        <f t="shared" si="80"/>
        <v>1.4200000000000001E-2</v>
      </c>
      <c r="BD345">
        <f t="shared" si="80"/>
        <v>1.38E-2</v>
      </c>
      <c r="BE345">
        <f t="shared" si="80"/>
        <v>1.1600000000000001E-2</v>
      </c>
      <c r="BF345">
        <f t="shared" si="80"/>
        <v>1.4800000000000001E-2</v>
      </c>
      <c r="BG345">
        <f t="shared" si="80"/>
        <v>1.3000000000000001E-2</v>
      </c>
      <c r="BH345">
        <f t="shared" si="80"/>
        <v>1.37E-2</v>
      </c>
      <c r="BI345">
        <f t="shared" si="80"/>
        <v>1.4199999999999999E-2</v>
      </c>
      <c r="BJ345">
        <f t="shared" si="80"/>
        <v>1.52E-2</v>
      </c>
      <c r="BK345">
        <f t="shared" si="80"/>
        <v>1.6300000000000002E-2</v>
      </c>
      <c r="BL345">
        <f t="shared" si="80"/>
        <v>1.7500000000000002E-2</v>
      </c>
      <c r="BM345">
        <f t="shared" si="80"/>
        <v>1.8200000000000001E-2</v>
      </c>
      <c r="BN345">
        <f t="shared" si="80"/>
        <v>2.0400000000000001E-2</v>
      </c>
      <c r="BO345">
        <f t="shared" si="80"/>
        <v>2.2100000000000002E-2</v>
      </c>
      <c r="BP345">
        <f t="shared" si="74"/>
        <v>2.4299999999999999E-2</v>
      </c>
      <c r="BQ345">
        <f t="shared" si="75"/>
        <v>2.41E-2</v>
      </c>
      <c r="BR345">
        <f t="shared" si="75"/>
        <v>2.63E-2</v>
      </c>
      <c r="BS345">
        <f t="shared" si="75"/>
        <v>2.7900000000000001E-2</v>
      </c>
      <c r="BT345">
        <f t="shared" si="75"/>
        <v>2.5700000000000001E-2</v>
      </c>
      <c r="BU345">
        <f t="shared" si="75"/>
        <v>2.0799999999999999E-2</v>
      </c>
      <c r="BV345">
        <f t="shared" si="75"/>
        <v>2.0499999999999997E-2</v>
      </c>
      <c r="BW345">
        <f t="shared" si="75"/>
        <v>1.8699999999999998E-2</v>
      </c>
      <c r="BX345">
        <f t="shared" si="75"/>
        <v>1.8799999999999997E-2</v>
      </c>
      <c r="BY345">
        <f t="shared" si="75"/>
        <v>2.0999999999999998E-2</v>
      </c>
      <c r="BZ345">
        <f t="shared" si="75"/>
        <v>2.2699999999999998E-2</v>
      </c>
      <c r="CA345">
        <f t="shared" si="75"/>
        <v>2.6200000000000001E-2</v>
      </c>
      <c r="CB345">
        <f t="shared" si="75"/>
        <v>2.8799999999999999E-2</v>
      </c>
      <c r="CC345">
        <f t="shared" si="75"/>
        <v>3.1100000000000003E-2</v>
      </c>
      <c r="CD345">
        <f t="shared" si="75"/>
        <v>3.4000000000000002E-2</v>
      </c>
      <c r="CE345">
        <f t="shared" si="75"/>
        <v>3.5600000000000007E-2</v>
      </c>
      <c r="CF345">
        <f t="shared" si="75"/>
        <v>4.0300000000000002E-2</v>
      </c>
      <c r="CG345">
        <f t="shared" si="75"/>
        <v>4.7699999999999999E-2</v>
      </c>
      <c r="CH345">
        <f t="shared" si="75"/>
        <v>4.2899999999999994E-2</v>
      </c>
      <c r="CI345">
        <f t="shared" si="75"/>
        <v>4.3899999999999995E-2</v>
      </c>
      <c r="CJ345">
        <f t="shared" si="75"/>
        <v>4.2399999999999993E-2</v>
      </c>
      <c r="CK345">
        <f t="shared" si="75"/>
        <v>4.6599999999999996E-2</v>
      </c>
      <c r="CL345">
        <f t="shared" si="75"/>
        <v>4.4299999999999999E-2</v>
      </c>
      <c r="CM345">
        <f t="shared" si="75"/>
        <v>4.6399999999999997E-2</v>
      </c>
      <c r="CN345">
        <f t="shared" si="75"/>
        <v>4.3800000000000006E-2</v>
      </c>
      <c r="CO345">
        <f t="shared" si="75"/>
        <v>6.0499999999999998E-2</v>
      </c>
      <c r="CP345">
        <f t="shared" si="75"/>
        <v>5.8000000000000003E-2</v>
      </c>
      <c r="CQ345">
        <f t="shared" si="75"/>
        <v>6.0100000000000001E-2</v>
      </c>
      <c r="CR345">
        <f t="shared" si="75"/>
        <v>5.74E-2</v>
      </c>
      <c r="CS345">
        <f t="shared" si="75"/>
        <v>5.8300000000000005E-2</v>
      </c>
      <c r="CT345">
        <f t="shared" si="75"/>
        <v>5.8900000000000001E-2</v>
      </c>
      <c r="CU345">
        <f t="shared" si="75"/>
        <v>5.9499999999999997E-2</v>
      </c>
      <c r="CV345">
        <f t="shared" si="75"/>
        <v>9.1000000000000011E-2</v>
      </c>
      <c r="CW345">
        <f t="shared" si="75"/>
        <v>7.0900000000000005E-2</v>
      </c>
      <c r="CX345">
        <f t="shared" si="75"/>
        <v>0.1643</v>
      </c>
    </row>
    <row r="346" spans="1:102" x14ac:dyDescent="0.2">
      <c r="A346" t="s">
        <v>5915</v>
      </c>
      <c r="B346" t="s">
        <v>220</v>
      </c>
      <c r="C346" t="s">
        <v>223</v>
      </c>
      <c r="D346">
        <f t="shared" ref="D346:BO346" si="81">D294+D319</f>
        <v>-8.9999999999999998E-4</v>
      </c>
      <c r="E346">
        <f t="shared" si="81"/>
        <v>-8.9999999999999998E-4</v>
      </c>
      <c r="F346">
        <f t="shared" si="81"/>
        <v>-8.9999999999999998E-4</v>
      </c>
      <c r="G346">
        <f t="shared" si="81"/>
        <v>5.8700000000000002E-2</v>
      </c>
      <c r="H346">
        <f t="shared" si="81"/>
        <v>5.1999999999999998E-3</v>
      </c>
      <c r="I346">
        <f t="shared" si="81"/>
        <v>-9.4000000000000004E-3</v>
      </c>
      <c r="J346">
        <f t="shared" si="81"/>
        <v>-2.01E-2</v>
      </c>
      <c r="K346">
        <f t="shared" si="81"/>
        <v>-9.9000000000000008E-3</v>
      </c>
      <c r="L346">
        <f t="shared" si="81"/>
        <v>-2.0799999999999999E-2</v>
      </c>
      <c r="M346">
        <f t="shared" si="81"/>
        <v>-2.06E-2</v>
      </c>
      <c r="N346">
        <f t="shared" si="81"/>
        <v>-2.0899999999999998E-2</v>
      </c>
      <c r="O346">
        <f t="shared" si="81"/>
        <v>-1.5200000000000002E-2</v>
      </c>
      <c r="P346">
        <f t="shared" si="81"/>
        <v>-1.9199999999999998E-2</v>
      </c>
      <c r="Q346">
        <f t="shared" si="81"/>
        <v>-1.61E-2</v>
      </c>
      <c r="R346">
        <f t="shared" si="81"/>
        <v>-2.06E-2</v>
      </c>
      <c r="S346">
        <f t="shared" si="81"/>
        <v>-1.2800000000000001E-2</v>
      </c>
      <c r="T346">
        <f t="shared" si="81"/>
        <v>-7.4999999999999997E-3</v>
      </c>
      <c r="U346">
        <f t="shared" si="81"/>
        <v>-8.9999999999999993E-3</v>
      </c>
      <c r="V346">
        <f t="shared" si="81"/>
        <v>-6.4000000000000003E-3</v>
      </c>
      <c r="W346">
        <f t="shared" si="81"/>
        <v>-2.9000000000000002E-3</v>
      </c>
      <c r="X346">
        <f t="shared" si="81"/>
        <v>-1.9E-3</v>
      </c>
      <c r="Y346">
        <f t="shared" si="81"/>
        <v>-5.7000000000000002E-3</v>
      </c>
      <c r="Z346">
        <f t="shared" si="81"/>
        <v>-1.8000000000000002E-3</v>
      </c>
      <c r="AA346">
        <f t="shared" si="81"/>
        <v>-6.1999999999999998E-3</v>
      </c>
      <c r="AB346">
        <f t="shared" si="81"/>
        <v>-3.4999999999999996E-3</v>
      </c>
      <c r="AC346">
        <f t="shared" si="81"/>
        <v>-5.4000000000000003E-3</v>
      </c>
      <c r="AD346">
        <f t="shared" si="81"/>
        <v>-4.7000000000000002E-3</v>
      </c>
      <c r="AE346">
        <f t="shared" si="81"/>
        <v>-4.3E-3</v>
      </c>
      <c r="AF346">
        <f t="shared" si="81"/>
        <v>-6.3E-3</v>
      </c>
      <c r="AG346">
        <f t="shared" si="81"/>
        <v>-4.9999999999999992E-3</v>
      </c>
      <c r="AH346">
        <f t="shared" si="81"/>
        <v>-3.5000000000000001E-3</v>
      </c>
      <c r="AI346">
        <f t="shared" si="81"/>
        <v>-3.8000000000000004E-3</v>
      </c>
      <c r="AJ346">
        <f t="shared" si="81"/>
        <v>-6.0000000000000001E-3</v>
      </c>
      <c r="AK346">
        <f t="shared" si="81"/>
        <v>-5.7000000000000002E-3</v>
      </c>
      <c r="AL346">
        <f t="shared" si="81"/>
        <v>-7.7000000000000002E-3</v>
      </c>
      <c r="AM346">
        <f t="shared" si="81"/>
        <v>-9.300000000000001E-3</v>
      </c>
      <c r="AN346">
        <f t="shared" si="81"/>
        <v>-9.5000000000000015E-3</v>
      </c>
      <c r="AO346">
        <f t="shared" si="81"/>
        <v>-1.03E-2</v>
      </c>
      <c r="AP346">
        <f t="shared" si="81"/>
        <v>-1.1000000000000001E-2</v>
      </c>
      <c r="AQ346">
        <f t="shared" si="81"/>
        <v>-9.7000000000000003E-3</v>
      </c>
      <c r="AR346">
        <f t="shared" si="81"/>
        <v>-6.6E-3</v>
      </c>
      <c r="AS346">
        <f t="shared" si="81"/>
        <v>-6.7999999999999996E-3</v>
      </c>
      <c r="AT346">
        <f t="shared" si="81"/>
        <v>-7.5999999999999991E-3</v>
      </c>
      <c r="AU346">
        <f t="shared" si="81"/>
        <v>-5.5999999999999999E-3</v>
      </c>
      <c r="AV346">
        <f t="shared" si="81"/>
        <v>-4.5000000000000005E-3</v>
      </c>
      <c r="AW346">
        <f t="shared" si="81"/>
        <v>-3.5000000000000005E-3</v>
      </c>
      <c r="AX346">
        <f t="shared" si="81"/>
        <v>-3.3E-3</v>
      </c>
      <c r="AY346">
        <f t="shared" si="81"/>
        <v>-1.4E-3</v>
      </c>
      <c r="AZ346">
        <f t="shared" si="81"/>
        <v>-3.3E-3</v>
      </c>
      <c r="BA346">
        <f t="shared" si="81"/>
        <v>-2.3E-3</v>
      </c>
      <c r="BB346">
        <f t="shared" si="81"/>
        <v>-8.9999999999999998E-4</v>
      </c>
      <c r="BC346">
        <f t="shared" si="81"/>
        <v>-2.7999999999999995E-3</v>
      </c>
      <c r="BD346">
        <f t="shared" si="81"/>
        <v>-3.4999999999999996E-3</v>
      </c>
      <c r="BE346">
        <f t="shared" si="81"/>
        <v>-8.0999999999999996E-3</v>
      </c>
      <c r="BF346">
        <f t="shared" si="81"/>
        <v>-7.5999999999999991E-3</v>
      </c>
      <c r="BG346">
        <f t="shared" si="81"/>
        <v>-9.1000000000000004E-3</v>
      </c>
      <c r="BH346">
        <f t="shared" si="81"/>
        <v>-9.7999999999999997E-3</v>
      </c>
      <c r="BI346">
        <f t="shared" si="81"/>
        <v>-1.09E-2</v>
      </c>
      <c r="BJ346">
        <f t="shared" si="81"/>
        <v>-1.2899999999999998E-2</v>
      </c>
      <c r="BK346">
        <f t="shared" si="81"/>
        <v>-1.3100000000000001E-2</v>
      </c>
      <c r="BL346">
        <f t="shared" si="81"/>
        <v>-1.6899999999999998E-2</v>
      </c>
      <c r="BM346">
        <f t="shared" si="81"/>
        <v>-1.5299999999999999E-2</v>
      </c>
      <c r="BN346">
        <f t="shared" si="81"/>
        <v>-1.5299999999999998E-2</v>
      </c>
      <c r="BO346">
        <f t="shared" si="81"/>
        <v>-1.9099999999999999E-2</v>
      </c>
      <c r="BP346">
        <f t="shared" si="74"/>
        <v>-2.0799999999999999E-2</v>
      </c>
      <c r="BQ346">
        <f t="shared" si="75"/>
        <v>-1.89E-2</v>
      </c>
      <c r="BR346">
        <f t="shared" si="75"/>
        <v>-1.89E-2</v>
      </c>
      <c r="BS346">
        <f t="shared" si="75"/>
        <v>-1.7000000000000001E-2</v>
      </c>
      <c r="BT346">
        <f t="shared" si="75"/>
        <v>-1.9200000000000002E-2</v>
      </c>
      <c r="BU346">
        <f t="shared" si="75"/>
        <v>-2.2500000000000003E-2</v>
      </c>
      <c r="BV346">
        <f t="shared" si="75"/>
        <v>-2.18E-2</v>
      </c>
      <c r="BW346">
        <f t="shared" si="75"/>
        <v>-2.4400000000000002E-2</v>
      </c>
      <c r="BX346">
        <f t="shared" si="75"/>
        <v>-2.35E-2</v>
      </c>
      <c r="BY346">
        <f t="shared" si="75"/>
        <v>-2.06E-2</v>
      </c>
      <c r="BZ346">
        <f t="shared" si="75"/>
        <v>-2.2199999999999998E-2</v>
      </c>
      <c r="CA346">
        <f t="shared" si="75"/>
        <v>-2.2099999999999998E-2</v>
      </c>
      <c r="CB346">
        <f t="shared" si="75"/>
        <v>-2.24E-2</v>
      </c>
      <c r="CC346">
        <f t="shared" si="75"/>
        <v>-2.4399999999999998E-2</v>
      </c>
      <c r="CD346">
        <f t="shared" si="75"/>
        <v>-2.6700000000000002E-2</v>
      </c>
      <c r="CE346">
        <f t="shared" si="75"/>
        <v>-2.7699999999999999E-2</v>
      </c>
      <c r="CF346">
        <f t="shared" si="75"/>
        <v>-2.7300000000000001E-2</v>
      </c>
      <c r="CG346">
        <f t="shared" si="75"/>
        <v>-1.5399999999999999E-2</v>
      </c>
      <c r="CH346">
        <f t="shared" si="75"/>
        <v>-1.78E-2</v>
      </c>
      <c r="CI346">
        <f t="shared" si="75"/>
        <v>-1.9200000000000002E-2</v>
      </c>
      <c r="CJ346">
        <f t="shared" si="75"/>
        <v>-1.84E-2</v>
      </c>
      <c r="CK346">
        <f t="shared" si="75"/>
        <v>-1.4999999999999999E-2</v>
      </c>
      <c r="CL346">
        <f t="shared" si="75"/>
        <v>-2.1299999999999999E-2</v>
      </c>
      <c r="CM346">
        <f t="shared" si="75"/>
        <v>-2.58E-2</v>
      </c>
      <c r="CN346">
        <f t="shared" si="75"/>
        <v>-2.41E-2</v>
      </c>
      <c r="CO346">
        <f t="shared" si="75"/>
        <v>-1.9199999999999998E-2</v>
      </c>
      <c r="CP346">
        <f t="shared" si="75"/>
        <v>-9.6000000000000009E-3</v>
      </c>
      <c r="CQ346">
        <f t="shared" si="75"/>
        <v>-1.03E-2</v>
      </c>
      <c r="CR346">
        <f t="shared" si="75"/>
        <v>-1.89E-2</v>
      </c>
      <c r="CS346">
        <f t="shared" si="75"/>
        <v>-5.11E-2</v>
      </c>
      <c r="CT346">
        <f t="shared" si="75"/>
        <v>-4.5100000000000001E-2</v>
      </c>
      <c r="CU346">
        <f t="shared" si="75"/>
        <v>-3.2399999999999998E-2</v>
      </c>
      <c r="CV346">
        <f t="shared" si="75"/>
        <v>-8.6300000000000002E-2</v>
      </c>
      <c r="CW346">
        <f t="shared" si="75"/>
        <v>-7.4400000000000008E-2</v>
      </c>
      <c r="CX346">
        <f t="shared" si="75"/>
        <v>-7.3999999999999996E-2</v>
      </c>
    </row>
    <row r="347" spans="1:102" x14ac:dyDescent="0.2">
      <c r="A347" t="s">
        <v>5916</v>
      </c>
      <c r="B347" t="s">
        <v>220</v>
      </c>
      <c r="C347" t="s">
        <v>223</v>
      </c>
      <c r="D347">
        <f t="shared" ref="D347:BO347" si="82">D295+D320</f>
        <v>1.1099999999999999E-2</v>
      </c>
      <c r="E347">
        <f t="shared" si="82"/>
        <v>1.1099999999999999E-2</v>
      </c>
      <c r="F347">
        <f t="shared" si="82"/>
        <v>1.1099999999999999E-2</v>
      </c>
      <c r="G347">
        <f t="shared" si="82"/>
        <v>0.23670000000000002</v>
      </c>
      <c r="H347">
        <f t="shared" si="82"/>
        <v>0.1226</v>
      </c>
      <c r="I347">
        <f t="shared" si="82"/>
        <v>7.3799999999999991E-2</v>
      </c>
      <c r="J347">
        <f t="shared" si="82"/>
        <v>5.79E-2</v>
      </c>
      <c r="K347">
        <f t="shared" si="82"/>
        <v>5.6999999999999995E-2</v>
      </c>
      <c r="L347">
        <f t="shared" si="82"/>
        <v>4.36E-2</v>
      </c>
      <c r="M347">
        <f t="shared" si="82"/>
        <v>3.9899999999999998E-2</v>
      </c>
      <c r="N347">
        <f t="shared" si="82"/>
        <v>3.44E-2</v>
      </c>
      <c r="O347">
        <f t="shared" si="82"/>
        <v>3.7499999999999999E-2</v>
      </c>
      <c r="P347">
        <f t="shared" si="82"/>
        <v>2.5700000000000001E-2</v>
      </c>
      <c r="Q347">
        <f t="shared" si="82"/>
        <v>1.95E-2</v>
      </c>
      <c r="R347">
        <f t="shared" si="82"/>
        <v>1.5299999999999999E-2</v>
      </c>
      <c r="S347">
        <f t="shared" si="82"/>
        <v>1.6E-2</v>
      </c>
      <c r="T347">
        <f t="shared" si="82"/>
        <v>1.6400000000000001E-2</v>
      </c>
      <c r="U347">
        <f t="shared" si="82"/>
        <v>1.2999999999999999E-2</v>
      </c>
      <c r="V347">
        <f t="shared" si="82"/>
        <v>1.3399999999999999E-2</v>
      </c>
      <c r="W347">
        <f t="shared" si="82"/>
        <v>1.43E-2</v>
      </c>
      <c r="X347">
        <f t="shared" si="82"/>
        <v>1.5300000000000001E-2</v>
      </c>
      <c r="Y347">
        <f t="shared" si="82"/>
        <v>1.1899999999999999E-2</v>
      </c>
      <c r="Z347">
        <f t="shared" si="82"/>
        <v>1.6E-2</v>
      </c>
      <c r="AA347">
        <f t="shared" si="82"/>
        <v>1.18E-2</v>
      </c>
      <c r="AB347">
        <f t="shared" si="82"/>
        <v>1.38E-2</v>
      </c>
      <c r="AC347">
        <f t="shared" si="82"/>
        <v>1.2E-2</v>
      </c>
      <c r="AD347">
        <f t="shared" si="82"/>
        <v>1.3000000000000001E-2</v>
      </c>
      <c r="AE347">
        <f t="shared" si="82"/>
        <v>1.38E-2</v>
      </c>
      <c r="AF347">
        <f t="shared" si="82"/>
        <v>1.2200000000000001E-2</v>
      </c>
      <c r="AG347">
        <f t="shared" si="82"/>
        <v>1.47E-2</v>
      </c>
      <c r="AH347">
        <f t="shared" si="82"/>
        <v>1.66E-2</v>
      </c>
      <c r="AI347">
        <f t="shared" si="82"/>
        <v>1.7600000000000001E-2</v>
      </c>
      <c r="AJ347">
        <f t="shared" si="82"/>
        <v>1.66E-2</v>
      </c>
      <c r="AK347">
        <f t="shared" si="82"/>
        <v>1.72E-2</v>
      </c>
      <c r="AL347">
        <f t="shared" si="82"/>
        <v>1.55E-2</v>
      </c>
      <c r="AM347">
        <f t="shared" si="82"/>
        <v>1.4500000000000001E-2</v>
      </c>
      <c r="AN347">
        <f t="shared" si="82"/>
        <v>1.49E-2</v>
      </c>
      <c r="AO347">
        <f t="shared" si="82"/>
        <v>1.44E-2</v>
      </c>
      <c r="AP347">
        <f t="shared" si="82"/>
        <v>1.3800000000000002E-2</v>
      </c>
      <c r="AQ347">
        <f t="shared" si="82"/>
        <v>1.5100000000000001E-2</v>
      </c>
      <c r="AR347">
        <f t="shared" si="82"/>
        <v>1.8200000000000001E-2</v>
      </c>
      <c r="AS347">
        <f t="shared" si="82"/>
        <v>1.8000000000000002E-2</v>
      </c>
      <c r="AT347">
        <f t="shared" si="82"/>
        <v>1.7100000000000001E-2</v>
      </c>
      <c r="AU347">
        <f t="shared" si="82"/>
        <v>1.9300000000000001E-2</v>
      </c>
      <c r="AV347">
        <f t="shared" si="82"/>
        <v>2.0500000000000001E-2</v>
      </c>
      <c r="AW347">
        <f t="shared" si="82"/>
        <v>2.18E-2</v>
      </c>
      <c r="AX347">
        <f t="shared" si="82"/>
        <v>2.23E-2</v>
      </c>
      <c r="AY347">
        <f t="shared" si="82"/>
        <v>2.4199999999999999E-2</v>
      </c>
      <c r="AZ347">
        <f t="shared" si="82"/>
        <v>2.3400000000000001E-2</v>
      </c>
      <c r="BA347">
        <f t="shared" si="82"/>
        <v>2.47E-2</v>
      </c>
      <c r="BB347">
        <f t="shared" si="82"/>
        <v>2.64E-2</v>
      </c>
      <c r="BC347">
        <f t="shared" si="82"/>
        <v>2.52E-2</v>
      </c>
      <c r="BD347">
        <f t="shared" si="82"/>
        <v>2.47E-2</v>
      </c>
      <c r="BE347">
        <f t="shared" si="82"/>
        <v>2.06E-2</v>
      </c>
      <c r="BF347">
        <f t="shared" si="82"/>
        <v>2.1000000000000001E-2</v>
      </c>
      <c r="BG347">
        <f t="shared" si="82"/>
        <v>1.9200000000000002E-2</v>
      </c>
      <c r="BH347">
        <f t="shared" si="82"/>
        <v>1.84E-2</v>
      </c>
      <c r="BI347">
        <f t="shared" si="82"/>
        <v>1.6800000000000002E-2</v>
      </c>
      <c r="BJ347">
        <f t="shared" si="82"/>
        <v>1.4800000000000001E-2</v>
      </c>
      <c r="BK347">
        <f t="shared" si="82"/>
        <v>1.4700000000000001E-2</v>
      </c>
      <c r="BL347">
        <f t="shared" si="82"/>
        <v>1.0699999999999999E-2</v>
      </c>
      <c r="BM347">
        <f t="shared" si="82"/>
        <v>1.2199999999999999E-2</v>
      </c>
      <c r="BN347">
        <f t="shared" si="82"/>
        <v>1.23E-2</v>
      </c>
      <c r="BO347">
        <f t="shared" si="82"/>
        <v>1.01E-2</v>
      </c>
      <c r="BP347">
        <f t="shared" si="74"/>
        <v>1.0800000000000001E-2</v>
      </c>
      <c r="BQ347">
        <f t="shared" si="75"/>
        <v>1.4100000000000001E-2</v>
      </c>
      <c r="BR347">
        <f t="shared" si="75"/>
        <v>1.52E-2</v>
      </c>
      <c r="BS347">
        <f t="shared" si="75"/>
        <v>1.78E-2</v>
      </c>
      <c r="BT347">
        <f t="shared" si="75"/>
        <v>1.5900000000000001E-2</v>
      </c>
      <c r="BU347">
        <f t="shared" si="75"/>
        <v>1.3299999999999999E-2</v>
      </c>
      <c r="BV347">
        <f t="shared" si="75"/>
        <v>1.3599999999999999E-2</v>
      </c>
      <c r="BW347">
        <f t="shared" si="75"/>
        <v>1.1900000000000001E-2</v>
      </c>
      <c r="BX347">
        <f t="shared" si="75"/>
        <v>1.29E-2</v>
      </c>
      <c r="BY347">
        <f t="shared" si="75"/>
        <v>1.5800000000000002E-2</v>
      </c>
      <c r="BZ347">
        <f t="shared" si="75"/>
        <v>1.49E-2</v>
      </c>
      <c r="CA347">
        <f t="shared" si="75"/>
        <v>1.6199999999999999E-2</v>
      </c>
      <c r="CB347">
        <f t="shared" si="75"/>
        <v>1.4800000000000001E-2</v>
      </c>
      <c r="CC347">
        <f t="shared" si="75"/>
        <v>1.55E-2</v>
      </c>
      <c r="CD347">
        <f t="shared" si="75"/>
        <v>1.61E-2</v>
      </c>
      <c r="CE347">
        <f t="shared" si="75"/>
        <v>1.84E-2</v>
      </c>
      <c r="CF347">
        <f t="shared" si="75"/>
        <v>2.18E-2</v>
      </c>
      <c r="CG347">
        <f t="shared" si="75"/>
        <v>3.3099999999999997E-2</v>
      </c>
      <c r="CH347">
        <f t="shared" ref="CH347:CX347" si="83">CH295+CH320</f>
        <v>2.8999999999999998E-2</v>
      </c>
      <c r="CI347">
        <f t="shared" si="83"/>
        <v>2.5600000000000001E-2</v>
      </c>
      <c r="CJ347">
        <f t="shared" si="83"/>
        <v>2.7699999999999999E-2</v>
      </c>
      <c r="CK347">
        <f t="shared" si="83"/>
        <v>3.6899999999999995E-2</v>
      </c>
      <c r="CL347">
        <f t="shared" si="83"/>
        <v>3.2500000000000001E-2</v>
      </c>
      <c r="CM347">
        <f t="shared" si="83"/>
        <v>2.8799999999999999E-2</v>
      </c>
      <c r="CN347">
        <f t="shared" si="83"/>
        <v>3.0699999999999998E-2</v>
      </c>
      <c r="CO347">
        <f t="shared" si="83"/>
        <v>4.1399999999999999E-2</v>
      </c>
      <c r="CP347">
        <f t="shared" si="83"/>
        <v>5.4099999999999995E-2</v>
      </c>
      <c r="CQ347">
        <f t="shared" si="83"/>
        <v>5.96E-2</v>
      </c>
      <c r="CR347">
        <f t="shared" si="83"/>
        <v>5.57E-2</v>
      </c>
      <c r="CS347">
        <f t="shared" si="83"/>
        <v>2.7799999999999998E-2</v>
      </c>
      <c r="CT347">
        <f t="shared" si="83"/>
        <v>4.2899999999999994E-2</v>
      </c>
      <c r="CU347">
        <f t="shared" si="83"/>
        <v>5.0099999999999999E-2</v>
      </c>
      <c r="CV347">
        <f t="shared" si="83"/>
        <v>3.3700000000000001E-2</v>
      </c>
      <c r="CW347">
        <f t="shared" si="83"/>
        <v>4.6399999999999997E-2</v>
      </c>
      <c r="CX347">
        <f t="shared" si="83"/>
        <v>0.11990000000000001</v>
      </c>
    </row>
    <row r="348" spans="1:102" x14ac:dyDescent="0.2">
      <c r="A348" t="s">
        <v>5917</v>
      </c>
      <c r="B348" t="s">
        <v>220</v>
      </c>
      <c r="C348" t="s">
        <v>223</v>
      </c>
      <c r="D348">
        <f t="shared" ref="D348:BO348" si="84">D296+D321</f>
        <v>-1.6999999999999999E-3</v>
      </c>
      <c r="E348">
        <f t="shared" si="84"/>
        <v>-1.6999999999999999E-3</v>
      </c>
      <c r="F348">
        <f t="shared" si="84"/>
        <v>-1.6999999999999999E-3</v>
      </c>
      <c r="G348">
        <f t="shared" si="84"/>
        <v>2.1900000000000003E-2</v>
      </c>
      <c r="H348">
        <f t="shared" si="84"/>
        <v>3.1000000000000003E-3</v>
      </c>
      <c r="I348">
        <f t="shared" si="84"/>
        <v>1.4800000000000001E-2</v>
      </c>
      <c r="J348">
        <f t="shared" si="84"/>
        <v>-1.1599999999999999E-2</v>
      </c>
      <c r="K348">
        <f t="shared" si="84"/>
        <v>-6.8999999999999999E-3</v>
      </c>
      <c r="L348">
        <f t="shared" si="84"/>
        <v>-3.0000000000000001E-3</v>
      </c>
      <c r="M348">
        <f t="shared" si="84"/>
        <v>-3.3E-3</v>
      </c>
      <c r="N348">
        <f t="shared" si="84"/>
        <v>-5.9999999999999984E-4</v>
      </c>
      <c r="O348">
        <f t="shared" si="84"/>
        <v>-1.5E-3</v>
      </c>
      <c r="P348">
        <f t="shared" si="84"/>
        <v>1.2000000000000001E-3</v>
      </c>
      <c r="Q348">
        <f t="shared" si="84"/>
        <v>-3.1999999999999997E-3</v>
      </c>
      <c r="R348">
        <f t="shared" si="84"/>
        <v>-4.8999999999999998E-3</v>
      </c>
      <c r="S348">
        <f t="shared" si="84"/>
        <v>-2.1999999999999997E-3</v>
      </c>
      <c r="T348">
        <f t="shared" si="84"/>
        <v>-3.9999999999999996E-4</v>
      </c>
      <c r="U348">
        <f t="shared" si="84"/>
        <v>-1.8999999999999998E-3</v>
      </c>
      <c r="V348">
        <f t="shared" si="84"/>
        <v>5.0000000000000001E-4</v>
      </c>
      <c r="W348">
        <f t="shared" si="84"/>
        <v>3.9999999999999996E-4</v>
      </c>
      <c r="X348">
        <f t="shared" si="84"/>
        <v>-9.9999999999999937E-5</v>
      </c>
      <c r="Y348">
        <f t="shared" si="84"/>
        <v>-1.7000000000000001E-3</v>
      </c>
      <c r="Z348">
        <f t="shared" si="84"/>
        <v>-1.2999999999999999E-3</v>
      </c>
      <c r="AA348">
        <f t="shared" si="84"/>
        <v>-1.1000000000000001E-3</v>
      </c>
      <c r="AB348">
        <f t="shared" si="84"/>
        <v>9.9999999999999937E-5</v>
      </c>
      <c r="AC348">
        <f t="shared" si="84"/>
        <v>-3.0000000000000003E-4</v>
      </c>
      <c r="AD348">
        <f t="shared" si="84"/>
        <v>-2.0000000000000009E-4</v>
      </c>
      <c r="AE348">
        <f t="shared" si="84"/>
        <v>7.000000000000001E-4</v>
      </c>
      <c r="AF348">
        <f t="shared" si="84"/>
        <v>1.3000000000000002E-3</v>
      </c>
      <c r="AG348">
        <f t="shared" si="84"/>
        <v>8.9999999999999998E-4</v>
      </c>
      <c r="AH348">
        <f t="shared" si="84"/>
        <v>1E-3</v>
      </c>
      <c r="AI348">
        <f t="shared" si="84"/>
        <v>7.000000000000001E-4</v>
      </c>
      <c r="AJ348">
        <f t="shared" si="84"/>
        <v>1.0000000000000005E-4</v>
      </c>
      <c r="AK348">
        <f t="shared" si="84"/>
        <v>-3.9999999999999996E-4</v>
      </c>
      <c r="AL348">
        <f t="shared" si="84"/>
        <v>-2.0000000000000009E-4</v>
      </c>
      <c r="AM348">
        <f t="shared" si="84"/>
        <v>-1.2000000000000001E-3</v>
      </c>
      <c r="AN348">
        <f t="shared" si="84"/>
        <v>-1.4E-3</v>
      </c>
      <c r="AO348">
        <f t="shared" si="84"/>
        <v>-1.7000000000000001E-3</v>
      </c>
      <c r="AP348">
        <f t="shared" si="84"/>
        <v>-1.7000000000000001E-3</v>
      </c>
      <c r="AQ348">
        <f t="shared" si="84"/>
        <v>-1.1000000000000001E-3</v>
      </c>
      <c r="AR348">
        <f t="shared" si="84"/>
        <v>-5.9999999999999995E-4</v>
      </c>
      <c r="AS348">
        <f t="shared" si="84"/>
        <v>-4.0000000000000002E-4</v>
      </c>
      <c r="AT348">
        <f t="shared" si="84"/>
        <v>-2.9999999999999997E-4</v>
      </c>
      <c r="AU348">
        <f t="shared" si="84"/>
        <v>4.999999999999999E-4</v>
      </c>
      <c r="AV348">
        <f t="shared" si="84"/>
        <v>1E-3</v>
      </c>
      <c r="AW348">
        <f t="shared" si="84"/>
        <v>1E-3</v>
      </c>
      <c r="AX348">
        <f t="shared" si="84"/>
        <v>8.0000000000000004E-4</v>
      </c>
      <c r="AY348">
        <f t="shared" si="84"/>
        <v>4.0000000000000007E-4</v>
      </c>
      <c r="AZ348">
        <f t="shared" si="84"/>
        <v>-1.0000000000000005E-4</v>
      </c>
      <c r="BA348">
        <f t="shared" si="84"/>
        <v>0</v>
      </c>
      <c r="BB348">
        <f t="shared" si="84"/>
        <v>-2.9999999999999997E-4</v>
      </c>
      <c r="BC348">
        <f t="shared" si="84"/>
        <v>-1.2999999999999999E-3</v>
      </c>
      <c r="BD348">
        <f t="shared" si="84"/>
        <v>-1.2999999999999999E-3</v>
      </c>
      <c r="BE348">
        <f t="shared" si="84"/>
        <v>-1.5999999999999999E-3</v>
      </c>
      <c r="BF348">
        <f t="shared" si="84"/>
        <v>-1.7000000000000001E-3</v>
      </c>
      <c r="BG348">
        <f t="shared" si="84"/>
        <v>-1.5E-3</v>
      </c>
      <c r="BH348">
        <f t="shared" si="84"/>
        <v>-1.7000000000000001E-3</v>
      </c>
      <c r="BI348">
        <f t="shared" si="84"/>
        <v>-2.0999999999999999E-3</v>
      </c>
      <c r="BJ348">
        <f t="shared" si="84"/>
        <v>-1.1999999999999999E-3</v>
      </c>
      <c r="BK348">
        <f t="shared" si="84"/>
        <v>-1.4E-3</v>
      </c>
      <c r="BL348">
        <f t="shared" si="84"/>
        <v>-8.9999999999999998E-4</v>
      </c>
      <c r="BM348">
        <f t="shared" si="84"/>
        <v>-8.9999999999999998E-4</v>
      </c>
      <c r="BN348">
        <f t="shared" si="84"/>
        <v>-1E-3</v>
      </c>
      <c r="BO348">
        <f t="shared" si="84"/>
        <v>-1.6999999999999999E-3</v>
      </c>
      <c r="BP348">
        <f t="shared" si="74"/>
        <v>-1.8E-3</v>
      </c>
      <c r="BQ348">
        <f t="shared" ref="BQ348:CX354" si="85">BQ296+BQ321</f>
        <v>-1.8999999999999998E-3</v>
      </c>
      <c r="BR348">
        <f t="shared" si="85"/>
        <v>-3.0999999999999999E-3</v>
      </c>
      <c r="BS348">
        <f t="shared" si="85"/>
        <v>-2.9999999999999996E-3</v>
      </c>
      <c r="BT348">
        <f t="shared" si="85"/>
        <v>-3.3999999999999998E-3</v>
      </c>
      <c r="BU348">
        <f t="shared" si="85"/>
        <v>-3.8999999999999998E-3</v>
      </c>
      <c r="BV348">
        <f t="shared" si="85"/>
        <v>-3.3999999999999998E-3</v>
      </c>
      <c r="BW348">
        <f t="shared" si="85"/>
        <v>-3.8999999999999998E-3</v>
      </c>
      <c r="BX348">
        <f t="shared" si="85"/>
        <v>-4.2000000000000006E-3</v>
      </c>
      <c r="BY348">
        <f t="shared" si="85"/>
        <v>-3.0000000000000001E-3</v>
      </c>
      <c r="BZ348">
        <f t="shared" si="85"/>
        <v>-3.0000000000000001E-3</v>
      </c>
      <c r="CA348">
        <f t="shared" si="85"/>
        <v>-2.5999999999999999E-3</v>
      </c>
      <c r="CB348">
        <f t="shared" si="85"/>
        <v>-2.7000000000000001E-3</v>
      </c>
      <c r="CC348">
        <f t="shared" si="85"/>
        <v>-4.5999999999999999E-3</v>
      </c>
      <c r="CD348">
        <f t="shared" si="85"/>
        <v>-4.8999999999999998E-3</v>
      </c>
      <c r="CE348">
        <f t="shared" si="85"/>
        <v>-5.7000000000000002E-3</v>
      </c>
      <c r="CF348">
        <f t="shared" si="85"/>
        <v>-6.1999999999999998E-3</v>
      </c>
      <c r="CG348">
        <f t="shared" si="85"/>
        <v>-7.4999999999999997E-3</v>
      </c>
      <c r="CH348">
        <f t="shared" si="85"/>
        <v>-7.1000000000000004E-3</v>
      </c>
      <c r="CI348">
        <f t="shared" si="85"/>
        <v>-6.9999999999999993E-3</v>
      </c>
      <c r="CJ348">
        <f t="shared" si="85"/>
        <v>-6.6E-3</v>
      </c>
      <c r="CK348">
        <f t="shared" si="85"/>
        <v>-7.7000000000000002E-3</v>
      </c>
      <c r="CL348">
        <f t="shared" si="85"/>
        <v>-9.1999999999999998E-3</v>
      </c>
      <c r="CM348">
        <f t="shared" si="85"/>
        <v>-8.4000000000000012E-3</v>
      </c>
      <c r="CN348">
        <f t="shared" si="85"/>
        <v>-7.1000000000000004E-3</v>
      </c>
      <c r="CO348">
        <f t="shared" si="85"/>
        <v>-7.2999999999999992E-3</v>
      </c>
      <c r="CP348">
        <f t="shared" si="85"/>
        <v>-9.300000000000001E-3</v>
      </c>
      <c r="CQ348">
        <f t="shared" si="85"/>
        <v>-9.7000000000000003E-3</v>
      </c>
      <c r="CR348">
        <f t="shared" si="85"/>
        <v>-1.0799999999999999E-2</v>
      </c>
      <c r="CS348">
        <f t="shared" si="85"/>
        <v>-1.12E-2</v>
      </c>
      <c r="CT348">
        <f t="shared" si="85"/>
        <v>-1.49E-2</v>
      </c>
      <c r="CU348">
        <f t="shared" si="85"/>
        <v>-1.2199999999999999E-2</v>
      </c>
      <c r="CV348">
        <f t="shared" si="85"/>
        <v>-2.0700000000000003E-2</v>
      </c>
      <c r="CW348">
        <f t="shared" si="85"/>
        <v>-2.41E-2</v>
      </c>
      <c r="CX348">
        <f t="shared" si="85"/>
        <v>-3.2199999999999999E-2</v>
      </c>
    </row>
    <row r="349" spans="1:102" x14ac:dyDescent="0.2">
      <c r="A349" t="s">
        <v>5918</v>
      </c>
      <c r="B349" t="s">
        <v>220</v>
      </c>
      <c r="C349" t="s">
        <v>223</v>
      </c>
      <c r="D349">
        <f t="shared" ref="D349:BO349" si="86">D297+D322</f>
        <v>4.4999999999999997E-3</v>
      </c>
      <c r="E349">
        <f t="shared" si="86"/>
        <v>4.4999999999999997E-3</v>
      </c>
      <c r="F349">
        <f t="shared" si="86"/>
        <v>4.4999999999999997E-3</v>
      </c>
      <c r="G349">
        <f t="shared" si="86"/>
        <v>0.11559999999999999</v>
      </c>
      <c r="H349">
        <f t="shared" si="86"/>
        <v>6.5599999999999992E-2</v>
      </c>
      <c r="I349">
        <f t="shared" si="86"/>
        <v>5.8399999999999994E-2</v>
      </c>
      <c r="J349">
        <f t="shared" si="86"/>
        <v>3.4599999999999999E-2</v>
      </c>
      <c r="K349">
        <f t="shared" si="86"/>
        <v>3.0499999999999999E-2</v>
      </c>
      <c r="L349">
        <f t="shared" si="86"/>
        <v>3.1699999999999999E-2</v>
      </c>
      <c r="M349">
        <f t="shared" si="86"/>
        <v>2.7899999999999998E-2</v>
      </c>
      <c r="N349">
        <f t="shared" si="86"/>
        <v>2.6799999999999997E-2</v>
      </c>
      <c r="O349">
        <f t="shared" si="86"/>
        <v>2.4E-2</v>
      </c>
      <c r="P349">
        <f t="shared" si="86"/>
        <v>2.24E-2</v>
      </c>
      <c r="Q349">
        <f t="shared" si="86"/>
        <v>1.32E-2</v>
      </c>
      <c r="R349">
        <f t="shared" si="86"/>
        <v>1.12E-2</v>
      </c>
      <c r="S349">
        <f t="shared" si="86"/>
        <v>1.03E-2</v>
      </c>
      <c r="T349">
        <f t="shared" si="86"/>
        <v>9.5999999999999992E-3</v>
      </c>
      <c r="U349">
        <f t="shared" si="86"/>
        <v>7.3000000000000001E-3</v>
      </c>
      <c r="V349">
        <f t="shared" si="86"/>
        <v>8.5000000000000006E-3</v>
      </c>
      <c r="W349">
        <f t="shared" si="86"/>
        <v>7.3000000000000001E-3</v>
      </c>
      <c r="X349">
        <f t="shared" si="86"/>
        <v>6.6E-3</v>
      </c>
      <c r="Y349">
        <f t="shared" si="86"/>
        <v>4.7999999999999996E-3</v>
      </c>
      <c r="Z349">
        <f t="shared" si="86"/>
        <v>5.1999999999999998E-3</v>
      </c>
      <c r="AA349">
        <f t="shared" si="86"/>
        <v>5.3E-3</v>
      </c>
      <c r="AB349">
        <f t="shared" si="86"/>
        <v>6.1999999999999998E-3</v>
      </c>
      <c r="AC349">
        <f t="shared" si="86"/>
        <v>5.8999999999999999E-3</v>
      </c>
      <c r="AD349">
        <f t="shared" si="86"/>
        <v>5.8999999999999999E-3</v>
      </c>
      <c r="AE349">
        <f t="shared" si="86"/>
        <v>7.0000000000000001E-3</v>
      </c>
      <c r="AF349">
        <f t="shared" si="86"/>
        <v>7.6E-3</v>
      </c>
      <c r="AG349">
        <f t="shared" si="86"/>
        <v>7.3999999999999995E-3</v>
      </c>
      <c r="AH349">
        <f t="shared" si="86"/>
        <v>7.4999999999999997E-3</v>
      </c>
      <c r="AI349">
        <f t="shared" si="86"/>
        <v>7.4999999999999997E-3</v>
      </c>
      <c r="AJ349">
        <f t="shared" si="86"/>
        <v>7.1999999999999998E-3</v>
      </c>
      <c r="AK349">
        <f t="shared" si="86"/>
        <v>6.7999999999999996E-3</v>
      </c>
      <c r="AL349">
        <f t="shared" si="86"/>
        <v>6.7999999999999996E-3</v>
      </c>
      <c r="AM349">
        <f t="shared" si="86"/>
        <v>6.0000000000000001E-3</v>
      </c>
      <c r="AN349">
        <f t="shared" si="86"/>
        <v>5.7999999999999996E-3</v>
      </c>
      <c r="AO349">
        <f t="shared" si="86"/>
        <v>5.5999999999999999E-3</v>
      </c>
      <c r="AP349">
        <f t="shared" si="86"/>
        <v>5.5999999999999999E-3</v>
      </c>
      <c r="AQ349">
        <f t="shared" si="86"/>
        <v>6.0000000000000001E-3</v>
      </c>
      <c r="AR349">
        <f t="shared" si="86"/>
        <v>6.6E-3</v>
      </c>
      <c r="AS349">
        <f t="shared" si="86"/>
        <v>6.6999999999999994E-3</v>
      </c>
      <c r="AT349">
        <f t="shared" si="86"/>
        <v>6.7999999999999996E-3</v>
      </c>
      <c r="AU349">
        <f t="shared" si="86"/>
        <v>7.4999999999999997E-3</v>
      </c>
      <c r="AV349">
        <f t="shared" si="86"/>
        <v>8.1000000000000013E-3</v>
      </c>
      <c r="AW349">
        <f t="shared" si="86"/>
        <v>8.3000000000000001E-3</v>
      </c>
      <c r="AX349">
        <f t="shared" si="86"/>
        <v>8.0000000000000002E-3</v>
      </c>
      <c r="AY349">
        <f t="shared" si="86"/>
        <v>7.6E-3</v>
      </c>
      <c r="AZ349">
        <f t="shared" si="86"/>
        <v>7.3999999999999995E-3</v>
      </c>
      <c r="BA349">
        <f t="shared" si="86"/>
        <v>7.4999999999999997E-3</v>
      </c>
      <c r="BB349">
        <f t="shared" si="86"/>
        <v>7.3000000000000001E-3</v>
      </c>
      <c r="BC349">
        <f t="shared" si="86"/>
        <v>6.0000000000000001E-3</v>
      </c>
      <c r="BD349">
        <f t="shared" si="86"/>
        <v>6.0000000000000001E-3</v>
      </c>
      <c r="BE349">
        <f t="shared" si="86"/>
        <v>5.7999999999999996E-3</v>
      </c>
      <c r="BF349">
        <f t="shared" si="86"/>
        <v>5.4999999999999997E-3</v>
      </c>
      <c r="BG349">
        <f t="shared" si="86"/>
        <v>5.6999999999999993E-3</v>
      </c>
      <c r="BH349">
        <f t="shared" si="86"/>
        <v>5.3999999999999994E-3</v>
      </c>
      <c r="BI349">
        <f t="shared" si="86"/>
        <v>4.8999999999999998E-3</v>
      </c>
      <c r="BJ349">
        <f t="shared" si="86"/>
        <v>5.6999999999999993E-3</v>
      </c>
      <c r="BK349">
        <f t="shared" si="86"/>
        <v>5.5999999999999999E-3</v>
      </c>
      <c r="BL349">
        <f t="shared" si="86"/>
        <v>5.8999999999999999E-3</v>
      </c>
      <c r="BM349">
        <f t="shared" si="86"/>
        <v>5.7999999999999996E-3</v>
      </c>
      <c r="BN349">
        <f t="shared" si="86"/>
        <v>5.6999999999999993E-3</v>
      </c>
      <c r="BO349">
        <f t="shared" si="86"/>
        <v>5.3999999999999994E-3</v>
      </c>
      <c r="BP349">
        <f t="shared" si="74"/>
        <v>5.8999999999999999E-3</v>
      </c>
      <c r="BQ349">
        <f t="shared" si="85"/>
        <v>6.0999999999999995E-3</v>
      </c>
      <c r="BR349">
        <f t="shared" si="85"/>
        <v>5.1999999999999998E-3</v>
      </c>
      <c r="BS349">
        <f t="shared" si="85"/>
        <v>5.3999999999999994E-3</v>
      </c>
      <c r="BT349">
        <f t="shared" si="85"/>
        <v>5.0000000000000001E-3</v>
      </c>
      <c r="BU349">
        <f t="shared" si="85"/>
        <v>4.6999999999999993E-3</v>
      </c>
      <c r="BV349">
        <f t="shared" si="85"/>
        <v>5.1000000000000004E-3</v>
      </c>
      <c r="BW349">
        <f t="shared" si="85"/>
        <v>4.7999999999999996E-3</v>
      </c>
      <c r="BX349">
        <f t="shared" si="85"/>
        <v>4.3E-3</v>
      </c>
      <c r="BY349">
        <f t="shared" si="85"/>
        <v>5.3999999999999994E-3</v>
      </c>
      <c r="BZ349">
        <f t="shared" si="85"/>
        <v>5.7000000000000002E-3</v>
      </c>
      <c r="CA349">
        <f t="shared" si="85"/>
        <v>6.1999999999999998E-3</v>
      </c>
      <c r="CB349">
        <f t="shared" si="85"/>
        <v>6.0000000000000001E-3</v>
      </c>
      <c r="CC349">
        <f t="shared" si="85"/>
        <v>4.5999999999999999E-3</v>
      </c>
      <c r="CD349">
        <f t="shared" si="85"/>
        <v>5.0000000000000001E-3</v>
      </c>
      <c r="CE349">
        <f t="shared" si="85"/>
        <v>5.0000000000000001E-3</v>
      </c>
      <c r="CF349">
        <f t="shared" si="85"/>
        <v>5.1000000000000004E-3</v>
      </c>
      <c r="CG349">
        <f t="shared" si="85"/>
        <v>1.9E-3</v>
      </c>
      <c r="CH349">
        <f t="shared" si="85"/>
        <v>2E-3</v>
      </c>
      <c r="CI349">
        <f t="shared" si="85"/>
        <v>1.8E-3</v>
      </c>
      <c r="CJ349">
        <f t="shared" si="85"/>
        <v>2.2000000000000001E-3</v>
      </c>
      <c r="CK349">
        <f t="shared" si="85"/>
        <v>2.0999999999999999E-3</v>
      </c>
      <c r="CL349">
        <f t="shared" si="85"/>
        <v>8.0000000000000004E-4</v>
      </c>
      <c r="CM349">
        <f t="shared" si="85"/>
        <v>1.6999999999999999E-3</v>
      </c>
      <c r="CN349">
        <f t="shared" si="85"/>
        <v>2.8999999999999998E-3</v>
      </c>
      <c r="CO349">
        <f t="shared" si="85"/>
        <v>3.8E-3</v>
      </c>
      <c r="CP349">
        <f t="shared" si="85"/>
        <v>2.5999999999999999E-3</v>
      </c>
      <c r="CQ349">
        <f t="shared" si="85"/>
        <v>3.0999999999999999E-3</v>
      </c>
      <c r="CR349">
        <f t="shared" si="85"/>
        <v>2.0999999999999999E-3</v>
      </c>
      <c r="CS349">
        <f t="shared" si="85"/>
        <v>2.5000000000000001E-3</v>
      </c>
      <c r="CT349">
        <f t="shared" si="85"/>
        <v>-1.4E-3</v>
      </c>
      <c r="CU349">
        <f t="shared" si="85"/>
        <v>0</v>
      </c>
      <c r="CV349">
        <f t="shared" si="85"/>
        <v>-3.3E-3</v>
      </c>
      <c r="CW349">
        <f t="shared" si="85"/>
        <v>-6.7999999999999996E-3</v>
      </c>
      <c r="CX349">
        <f t="shared" si="85"/>
        <v>-5.7000000000000002E-3</v>
      </c>
    </row>
    <row r="350" spans="1:102" x14ac:dyDescent="0.2">
      <c r="A350" t="s">
        <v>5919</v>
      </c>
      <c r="B350" t="s">
        <v>220</v>
      </c>
      <c r="C350" t="s">
        <v>223</v>
      </c>
      <c r="D350">
        <f t="shared" ref="D350:BO350" si="87">D298+D323</f>
        <v>-7.4999999999999997E-3</v>
      </c>
      <c r="E350">
        <f t="shared" si="87"/>
        <v>-7.4999999999999997E-3</v>
      </c>
      <c r="F350">
        <f t="shared" si="87"/>
        <v>-7.4999999999999997E-3</v>
      </c>
      <c r="G350">
        <f t="shared" si="87"/>
        <v>-0.3478</v>
      </c>
      <c r="H350">
        <f t="shared" si="87"/>
        <v>-4.5999999999999999E-2</v>
      </c>
      <c r="I350">
        <f t="shared" si="87"/>
        <v>-0.11989999999999999</v>
      </c>
      <c r="J350">
        <f t="shared" si="87"/>
        <v>-3.1300000000000001E-2</v>
      </c>
      <c r="K350">
        <f t="shared" si="87"/>
        <v>-6.1800000000000001E-2</v>
      </c>
      <c r="L350">
        <f t="shared" si="87"/>
        <v>-7.2300000000000003E-2</v>
      </c>
      <c r="M350">
        <f t="shared" si="87"/>
        <v>-0.05</v>
      </c>
      <c r="N350">
        <f t="shared" si="87"/>
        <v>-6.0899999999999996E-2</v>
      </c>
      <c r="O350">
        <f t="shared" si="87"/>
        <v>-6.0299999999999999E-2</v>
      </c>
      <c r="P350">
        <f t="shared" si="87"/>
        <v>-6.88E-2</v>
      </c>
      <c r="Q350">
        <f t="shared" si="87"/>
        <v>1.9699999999999999E-2</v>
      </c>
      <c r="R350">
        <f t="shared" si="87"/>
        <v>3.6700000000000003E-2</v>
      </c>
      <c r="S350">
        <f t="shared" si="87"/>
        <v>-3.6999999999999998E-2</v>
      </c>
      <c r="T350">
        <f t="shared" si="87"/>
        <v>-4.1599999999999998E-2</v>
      </c>
      <c r="U350">
        <f t="shared" si="87"/>
        <v>-8.6999999999999994E-3</v>
      </c>
      <c r="V350">
        <f t="shared" si="87"/>
        <v>-3.9199999999999999E-2</v>
      </c>
      <c r="W350">
        <f t="shared" si="87"/>
        <v>-4.7699999999999999E-2</v>
      </c>
      <c r="X350">
        <f t="shared" si="87"/>
        <v>-2.5000000000000001E-2</v>
      </c>
      <c r="Y350">
        <f t="shared" si="87"/>
        <v>-1.5E-3</v>
      </c>
      <c r="Z350">
        <f t="shared" si="87"/>
        <v>-2.7999999999999995E-3</v>
      </c>
      <c r="AA350">
        <f t="shared" si="87"/>
        <v>-1.26E-2</v>
      </c>
      <c r="AB350">
        <f t="shared" si="87"/>
        <v>-2.6200000000000001E-2</v>
      </c>
      <c r="AC350">
        <f t="shared" si="87"/>
        <v>-3.2800000000000003E-2</v>
      </c>
      <c r="AD350">
        <f t="shared" si="87"/>
        <v>-2.7699999999999999E-2</v>
      </c>
      <c r="AE350">
        <f t="shared" si="87"/>
        <v>-2.6200000000000001E-2</v>
      </c>
      <c r="AF350">
        <f t="shared" si="87"/>
        <v>-3.0600000000000002E-2</v>
      </c>
      <c r="AG350">
        <f t="shared" si="87"/>
        <v>-3.32E-2</v>
      </c>
      <c r="AH350">
        <f t="shared" si="87"/>
        <v>-3.4299999999999997E-2</v>
      </c>
      <c r="AI350">
        <f t="shared" si="87"/>
        <v>-3.0800000000000001E-2</v>
      </c>
      <c r="AJ350">
        <f t="shared" si="87"/>
        <v>-2.9900000000000003E-2</v>
      </c>
      <c r="AK350">
        <f t="shared" si="87"/>
        <v>-2.6699999999999998E-2</v>
      </c>
      <c r="AL350">
        <f t="shared" si="87"/>
        <v>-2.4399999999999998E-2</v>
      </c>
      <c r="AM350">
        <f t="shared" si="87"/>
        <v>-2.2899999999999997E-2</v>
      </c>
      <c r="AN350">
        <f t="shared" si="87"/>
        <v>-1.9799999999999998E-2</v>
      </c>
      <c r="AO350">
        <f t="shared" si="87"/>
        <v>-1.8099999999999998E-2</v>
      </c>
      <c r="AP350">
        <f t="shared" si="87"/>
        <v>-1.7000000000000001E-2</v>
      </c>
      <c r="AQ350">
        <f t="shared" si="87"/>
        <v>-1.3100000000000001E-2</v>
      </c>
      <c r="AR350">
        <f t="shared" si="87"/>
        <v>-2.53E-2</v>
      </c>
      <c r="AS350">
        <f t="shared" si="87"/>
        <v>-2.6500000000000003E-2</v>
      </c>
      <c r="AT350">
        <f t="shared" si="87"/>
        <v>-2.3899999999999998E-2</v>
      </c>
      <c r="AU350">
        <f t="shared" si="87"/>
        <v>-2.5899999999999999E-2</v>
      </c>
      <c r="AV350">
        <f t="shared" si="87"/>
        <v>-2.7300000000000001E-2</v>
      </c>
      <c r="AW350">
        <f t="shared" si="87"/>
        <v>-2.3900000000000001E-2</v>
      </c>
      <c r="AX350">
        <f t="shared" si="87"/>
        <v>-1.9E-2</v>
      </c>
      <c r="AY350">
        <f t="shared" si="87"/>
        <v>-1.8499999999999999E-2</v>
      </c>
      <c r="AZ350">
        <f t="shared" si="87"/>
        <v>-1.5300000000000001E-2</v>
      </c>
      <c r="BA350">
        <f t="shared" si="87"/>
        <v>-1.2500000000000001E-2</v>
      </c>
      <c r="BB350">
        <f t="shared" si="87"/>
        <v>-1.14E-2</v>
      </c>
      <c r="BC350">
        <f t="shared" si="87"/>
        <v>-8.4000000000000012E-3</v>
      </c>
      <c r="BD350">
        <f t="shared" si="87"/>
        <v>-7.6E-3</v>
      </c>
      <c r="BE350">
        <f t="shared" si="87"/>
        <v>-8.199999999999999E-3</v>
      </c>
      <c r="BF350">
        <f t="shared" si="87"/>
        <v>-7.7999999999999996E-3</v>
      </c>
      <c r="BG350">
        <f t="shared" si="87"/>
        <v>-4.8999999999999998E-3</v>
      </c>
      <c r="BH350">
        <f t="shared" si="87"/>
        <v>-8.8999999999999999E-3</v>
      </c>
      <c r="BI350">
        <f t="shared" si="87"/>
        <v>-8.3999999999999995E-3</v>
      </c>
      <c r="BJ350">
        <f t="shared" si="87"/>
        <v>-1.4500000000000001E-2</v>
      </c>
      <c r="BK350">
        <f t="shared" si="87"/>
        <v>-1.3299999999999999E-2</v>
      </c>
      <c r="BL350">
        <f t="shared" si="87"/>
        <v>-1.3099999999999999E-2</v>
      </c>
      <c r="BM350">
        <f t="shared" si="87"/>
        <v>-1.5000000000000001E-2</v>
      </c>
      <c r="BN350">
        <f t="shared" si="87"/>
        <v>-1.6300000000000002E-2</v>
      </c>
      <c r="BO350">
        <f t="shared" si="87"/>
        <v>-1.61E-2</v>
      </c>
      <c r="BP350">
        <f t="shared" si="74"/>
        <v>-1.9699999999999999E-2</v>
      </c>
      <c r="BQ350">
        <f t="shared" si="85"/>
        <v>-1.9400000000000001E-2</v>
      </c>
      <c r="BR350">
        <f t="shared" si="85"/>
        <v>-1.89E-2</v>
      </c>
      <c r="BS350">
        <f t="shared" si="85"/>
        <v>-1.9700000000000002E-2</v>
      </c>
      <c r="BT350">
        <f t="shared" si="85"/>
        <v>-2.1700000000000001E-2</v>
      </c>
      <c r="BU350">
        <f t="shared" si="85"/>
        <v>-1.6799999999999999E-2</v>
      </c>
      <c r="BV350">
        <f t="shared" si="85"/>
        <v>-1.5399999999999999E-2</v>
      </c>
      <c r="BW350">
        <f t="shared" si="85"/>
        <v>-1.34E-2</v>
      </c>
      <c r="BX350">
        <f t="shared" si="85"/>
        <v>-1.61E-2</v>
      </c>
      <c r="BY350">
        <f t="shared" si="85"/>
        <v>-1.5399999999999999E-2</v>
      </c>
      <c r="BZ350">
        <f t="shared" si="85"/>
        <v>-1.55E-2</v>
      </c>
      <c r="CA350">
        <f t="shared" si="85"/>
        <v>-1.5699999999999999E-2</v>
      </c>
      <c r="CB350">
        <f t="shared" si="85"/>
        <v>-1.0800000000000001E-2</v>
      </c>
      <c r="CC350">
        <f t="shared" si="85"/>
        <v>-1.06E-2</v>
      </c>
      <c r="CD350">
        <f t="shared" si="85"/>
        <v>-7.7999999999999996E-3</v>
      </c>
      <c r="CE350">
        <f t="shared" si="85"/>
        <v>-8.2000000000000007E-3</v>
      </c>
      <c r="CF350">
        <f t="shared" si="85"/>
        <v>-9.4000000000000004E-3</v>
      </c>
      <c r="CG350">
        <f t="shared" si="85"/>
        <v>-8.8999999999999999E-3</v>
      </c>
      <c r="CH350">
        <f t="shared" si="85"/>
        <v>-4.3E-3</v>
      </c>
      <c r="CI350">
        <f t="shared" si="85"/>
        <v>-1.2400000000000001E-2</v>
      </c>
      <c r="CJ350">
        <f t="shared" si="85"/>
        <v>-1.14E-2</v>
      </c>
      <c r="CK350">
        <f t="shared" si="85"/>
        <v>-1.0999999999999999E-2</v>
      </c>
      <c r="CL350">
        <f t="shared" si="85"/>
        <v>-1.0799999999999999E-2</v>
      </c>
      <c r="CM350">
        <f t="shared" si="85"/>
        <v>-1.23E-2</v>
      </c>
      <c r="CN350">
        <f t="shared" si="85"/>
        <v>-1.32E-2</v>
      </c>
      <c r="CO350">
        <f t="shared" si="85"/>
        <v>-2.41E-2</v>
      </c>
      <c r="CP350">
        <f t="shared" si="85"/>
        <v>-4.2500000000000003E-2</v>
      </c>
      <c r="CQ350">
        <f t="shared" si="85"/>
        <v>-4.7699999999999999E-2</v>
      </c>
      <c r="CR350">
        <f t="shared" si="85"/>
        <v>-5.5E-2</v>
      </c>
      <c r="CS350">
        <f t="shared" si="85"/>
        <v>-4.1300000000000003E-2</v>
      </c>
      <c r="CT350">
        <f t="shared" si="85"/>
        <v>-4.4299999999999999E-2</v>
      </c>
      <c r="CU350">
        <f t="shared" si="85"/>
        <v>-6.5999999999999989E-2</v>
      </c>
      <c r="CV350">
        <f t="shared" si="85"/>
        <v>-0.10479999999999999</v>
      </c>
      <c r="CW350">
        <f t="shared" si="85"/>
        <v>-0.12920000000000001</v>
      </c>
      <c r="CX350">
        <f t="shared" si="85"/>
        <v>-0.1832</v>
      </c>
    </row>
    <row r="351" spans="1:102" x14ac:dyDescent="0.2">
      <c r="A351" t="s">
        <v>5920</v>
      </c>
      <c r="B351" t="s">
        <v>220</v>
      </c>
      <c r="C351" t="s">
        <v>223</v>
      </c>
      <c r="D351">
        <f t="shared" ref="D351:BO351" si="88">D299+D324</f>
        <v>2.8999999999999998E-3</v>
      </c>
      <c r="E351">
        <f t="shared" si="88"/>
        <v>2.8999999999999998E-3</v>
      </c>
      <c r="F351">
        <f t="shared" si="88"/>
        <v>2.8999999999999998E-3</v>
      </c>
      <c r="G351">
        <f t="shared" si="88"/>
        <v>-0.1394</v>
      </c>
      <c r="H351">
        <f t="shared" si="88"/>
        <v>9.11E-2</v>
      </c>
      <c r="I351">
        <f t="shared" si="88"/>
        <v>-2.0900000000000002E-2</v>
      </c>
      <c r="J351">
        <f t="shared" si="88"/>
        <v>6.1600000000000002E-2</v>
      </c>
      <c r="K351">
        <f t="shared" si="88"/>
        <v>2.0199999999999999E-2</v>
      </c>
      <c r="L351">
        <f t="shared" si="88"/>
        <v>7.9000000000000008E-3</v>
      </c>
      <c r="M351">
        <f t="shared" si="88"/>
        <v>2.53E-2</v>
      </c>
      <c r="N351">
        <f t="shared" si="88"/>
        <v>9.300000000000001E-3</v>
      </c>
      <c r="O351">
        <f t="shared" si="88"/>
        <v>7.6E-3</v>
      </c>
      <c r="P351">
        <f t="shared" si="88"/>
        <v>-9.9999999999999985E-3</v>
      </c>
      <c r="Q351">
        <f t="shared" si="88"/>
        <v>6.6199999999999995E-2</v>
      </c>
      <c r="R351">
        <f t="shared" si="88"/>
        <v>8.3899999999999988E-2</v>
      </c>
      <c r="S351">
        <f t="shared" si="88"/>
        <v>1.8E-3</v>
      </c>
      <c r="T351">
        <f t="shared" si="88"/>
        <v>-9.300000000000001E-3</v>
      </c>
      <c r="U351">
        <f t="shared" si="88"/>
        <v>2.0799999999999999E-2</v>
      </c>
      <c r="V351">
        <f t="shared" si="88"/>
        <v>-1.2799999999999999E-2</v>
      </c>
      <c r="W351">
        <f t="shared" si="88"/>
        <v>-2.46E-2</v>
      </c>
      <c r="X351">
        <f t="shared" si="88"/>
        <v>-2.3999999999999998E-3</v>
      </c>
      <c r="Y351">
        <f t="shared" si="88"/>
        <v>2.0800000000000003E-2</v>
      </c>
      <c r="Z351">
        <f t="shared" si="88"/>
        <v>1.9800000000000002E-2</v>
      </c>
      <c r="AA351">
        <f t="shared" si="88"/>
        <v>1.0499999999999999E-2</v>
      </c>
      <c r="AB351">
        <f t="shared" si="88"/>
        <v>-3.7000000000000002E-3</v>
      </c>
      <c r="AC351">
        <f t="shared" si="88"/>
        <v>-1.0100000000000001E-2</v>
      </c>
      <c r="AD351">
        <f t="shared" si="88"/>
        <v>-5.0000000000000001E-3</v>
      </c>
      <c r="AE351">
        <f t="shared" si="88"/>
        <v>-3.5000000000000001E-3</v>
      </c>
      <c r="AF351">
        <f t="shared" si="88"/>
        <v>-7.4000000000000003E-3</v>
      </c>
      <c r="AG351">
        <f t="shared" si="88"/>
        <v>-9.4999999999999998E-3</v>
      </c>
      <c r="AH351">
        <f t="shared" si="88"/>
        <v>-1.0500000000000001E-2</v>
      </c>
      <c r="AI351">
        <f t="shared" si="88"/>
        <v>-5.4999999999999997E-3</v>
      </c>
      <c r="AJ351">
        <f t="shared" si="88"/>
        <v>-3.8999999999999998E-3</v>
      </c>
      <c r="AK351">
        <f t="shared" si="88"/>
        <v>-4.0000000000000002E-4</v>
      </c>
      <c r="AL351">
        <f t="shared" si="88"/>
        <v>2.0999999999999999E-3</v>
      </c>
      <c r="AM351">
        <f t="shared" si="88"/>
        <v>4.1999999999999997E-3</v>
      </c>
      <c r="AN351">
        <f t="shared" si="88"/>
        <v>7.6E-3</v>
      </c>
      <c r="AO351">
        <f t="shared" si="88"/>
        <v>9.4000000000000004E-3</v>
      </c>
      <c r="AP351">
        <f t="shared" si="88"/>
        <v>1.03E-2</v>
      </c>
      <c r="AQ351">
        <f t="shared" si="88"/>
        <v>1.43E-2</v>
      </c>
      <c r="AR351">
        <f t="shared" si="88"/>
        <v>2.2000000000000001E-3</v>
      </c>
      <c r="AS351">
        <f t="shared" si="88"/>
        <v>7.9999999999999993E-4</v>
      </c>
      <c r="AT351">
        <f t="shared" si="88"/>
        <v>3.1999999999999997E-3</v>
      </c>
      <c r="AU351">
        <f t="shared" si="88"/>
        <v>1.1999999999999999E-3</v>
      </c>
      <c r="AV351">
        <f t="shared" si="88"/>
        <v>-2.9999999999999997E-4</v>
      </c>
      <c r="AW351">
        <f t="shared" si="88"/>
        <v>3.3999999999999998E-3</v>
      </c>
      <c r="AX351">
        <f t="shared" si="88"/>
        <v>8.2000000000000007E-3</v>
      </c>
      <c r="AY351">
        <f t="shared" si="88"/>
        <v>8.8000000000000005E-3</v>
      </c>
      <c r="AZ351">
        <f t="shared" si="88"/>
        <v>1.2800000000000001E-2</v>
      </c>
      <c r="BA351">
        <f t="shared" si="88"/>
        <v>1.6E-2</v>
      </c>
      <c r="BB351">
        <f t="shared" si="88"/>
        <v>1.7300000000000003E-2</v>
      </c>
      <c r="BC351">
        <f t="shared" si="88"/>
        <v>2.0899999999999998E-2</v>
      </c>
      <c r="BD351">
        <f t="shared" si="88"/>
        <v>2.1899999999999999E-2</v>
      </c>
      <c r="BE351">
        <f t="shared" si="88"/>
        <v>2.1699999999999997E-2</v>
      </c>
      <c r="BF351">
        <f t="shared" si="88"/>
        <v>2.1899999999999999E-2</v>
      </c>
      <c r="BG351">
        <f t="shared" si="88"/>
        <v>2.4399999999999998E-2</v>
      </c>
      <c r="BH351">
        <f t="shared" si="88"/>
        <v>2.01E-2</v>
      </c>
      <c r="BI351">
        <f t="shared" si="88"/>
        <v>1.9799999999999998E-2</v>
      </c>
      <c r="BJ351">
        <f t="shared" si="88"/>
        <v>1.37E-2</v>
      </c>
      <c r="BK351">
        <f t="shared" si="88"/>
        <v>1.5100000000000001E-2</v>
      </c>
      <c r="BL351">
        <f t="shared" si="88"/>
        <v>1.5300000000000001E-2</v>
      </c>
      <c r="BM351">
        <f t="shared" si="88"/>
        <v>1.34E-2</v>
      </c>
      <c r="BN351">
        <f t="shared" si="88"/>
        <v>1.23E-2</v>
      </c>
      <c r="BO351">
        <f t="shared" si="88"/>
        <v>1.4E-2</v>
      </c>
      <c r="BP351">
        <f t="shared" si="74"/>
        <v>1.2800000000000001E-2</v>
      </c>
      <c r="BQ351">
        <f t="shared" si="85"/>
        <v>1.41E-2</v>
      </c>
      <c r="BR351">
        <f t="shared" si="85"/>
        <v>1.5699999999999999E-2</v>
      </c>
      <c r="BS351">
        <f t="shared" si="85"/>
        <v>1.5300000000000001E-2</v>
      </c>
      <c r="BT351">
        <f t="shared" si="85"/>
        <v>1.3600000000000001E-2</v>
      </c>
      <c r="BU351">
        <f t="shared" si="85"/>
        <v>1.9099999999999999E-2</v>
      </c>
      <c r="BV351">
        <f t="shared" si="85"/>
        <v>2.01E-2</v>
      </c>
      <c r="BW351">
        <f t="shared" si="85"/>
        <v>2.2799999999999997E-2</v>
      </c>
      <c r="BX351">
        <f t="shared" si="85"/>
        <v>2.0499999999999997E-2</v>
      </c>
      <c r="BY351">
        <f t="shared" si="85"/>
        <v>2.0899999999999998E-2</v>
      </c>
      <c r="BZ351">
        <f t="shared" si="85"/>
        <v>2.1299999999999999E-2</v>
      </c>
      <c r="CA351">
        <f t="shared" si="85"/>
        <v>2.2099999999999998E-2</v>
      </c>
      <c r="CB351">
        <f t="shared" si="85"/>
        <v>2.63E-2</v>
      </c>
      <c r="CC351">
        <f t="shared" si="85"/>
        <v>2.8999999999999998E-2</v>
      </c>
      <c r="CD351">
        <f t="shared" si="85"/>
        <v>3.4700000000000002E-2</v>
      </c>
      <c r="CE351">
        <f t="shared" si="85"/>
        <v>3.7699999999999997E-2</v>
      </c>
      <c r="CF351">
        <f t="shared" si="85"/>
        <v>3.9399999999999998E-2</v>
      </c>
      <c r="CG351">
        <f t="shared" si="85"/>
        <v>3.9E-2</v>
      </c>
      <c r="CH351">
        <f t="shared" si="85"/>
        <v>4.1800000000000004E-2</v>
      </c>
      <c r="CI351">
        <f t="shared" si="85"/>
        <v>3.2399999999999998E-2</v>
      </c>
      <c r="CJ351">
        <f t="shared" si="85"/>
        <v>3.4700000000000002E-2</v>
      </c>
      <c r="CK351">
        <f t="shared" si="85"/>
        <v>4.1099999999999998E-2</v>
      </c>
      <c r="CL351">
        <f t="shared" si="85"/>
        <v>4.3200000000000002E-2</v>
      </c>
      <c r="CM351">
        <f t="shared" si="85"/>
        <v>4.2700000000000002E-2</v>
      </c>
      <c r="CN351">
        <f t="shared" si="85"/>
        <v>4.2499999999999996E-2</v>
      </c>
      <c r="CO351">
        <f t="shared" si="85"/>
        <v>3.8100000000000002E-2</v>
      </c>
      <c r="CP351">
        <f t="shared" si="85"/>
        <v>2.4E-2</v>
      </c>
      <c r="CQ351">
        <f t="shared" si="85"/>
        <v>2.5499999999999998E-2</v>
      </c>
      <c r="CR351">
        <f t="shared" si="85"/>
        <v>2.47E-2</v>
      </c>
      <c r="CS351">
        <f t="shared" si="85"/>
        <v>4.4899999999999995E-2</v>
      </c>
      <c r="CT351">
        <f t="shared" si="85"/>
        <v>5.3199999999999997E-2</v>
      </c>
      <c r="CU351">
        <f t="shared" si="85"/>
        <v>3.09E-2</v>
      </c>
      <c r="CV351">
        <f t="shared" si="85"/>
        <v>4.3699999999999996E-2</v>
      </c>
      <c r="CW351">
        <f t="shared" si="85"/>
        <v>2.4399999999999998E-2</v>
      </c>
      <c r="CX351">
        <f t="shared" si="85"/>
        <v>7.3099999999999998E-2</v>
      </c>
    </row>
    <row r="352" spans="1:102" x14ac:dyDescent="0.2">
      <c r="A352" t="s">
        <v>5921</v>
      </c>
      <c r="B352" t="s">
        <v>220</v>
      </c>
      <c r="C352" t="s">
        <v>223</v>
      </c>
      <c r="D352">
        <f t="shared" ref="D352:BO352" si="89">D300+D325</f>
        <v>-3.9000000000000003E-3</v>
      </c>
      <c r="E352">
        <f t="shared" si="89"/>
        <v>-3.9000000000000003E-3</v>
      </c>
      <c r="F352">
        <f t="shared" si="89"/>
        <v>-3.9000000000000003E-3</v>
      </c>
      <c r="G352">
        <f t="shared" si="89"/>
        <v>-8.270000000000001E-2</v>
      </c>
      <c r="H352">
        <f t="shared" si="89"/>
        <v>-5.6899999999999999E-2</v>
      </c>
      <c r="I352">
        <f t="shared" si="89"/>
        <v>-7.1999999999999995E-2</v>
      </c>
      <c r="J352">
        <f t="shared" si="89"/>
        <v>-6.4600000000000005E-2</v>
      </c>
      <c r="K352">
        <f t="shared" si="89"/>
        <v>-5.1499999999999997E-2</v>
      </c>
      <c r="L352">
        <f t="shared" si="89"/>
        <v>-4.2000000000000003E-2</v>
      </c>
      <c r="M352">
        <f t="shared" si="89"/>
        <v>-3.5500000000000004E-2</v>
      </c>
      <c r="N352">
        <f t="shared" si="89"/>
        <v>-4.7500000000000001E-2</v>
      </c>
      <c r="O352">
        <f t="shared" si="89"/>
        <v>-3.61E-2</v>
      </c>
      <c r="P352">
        <f t="shared" si="89"/>
        <v>-3.4200000000000001E-2</v>
      </c>
      <c r="Q352">
        <f t="shared" si="89"/>
        <v>-3.4200000000000001E-2</v>
      </c>
      <c r="R352">
        <f t="shared" si="89"/>
        <v>-2.87E-2</v>
      </c>
      <c r="S352">
        <f t="shared" si="89"/>
        <v>-1.5699999999999999E-2</v>
      </c>
      <c r="T352">
        <f t="shared" si="89"/>
        <v>-1.7899999999999999E-2</v>
      </c>
      <c r="U352">
        <f t="shared" si="89"/>
        <v>-1.1899999999999999E-2</v>
      </c>
      <c r="V352">
        <f t="shared" si="89"/>
        <v>-1.06E-2</v>
      </c>
      <c r="W352">
        <f t="shared" si="89"/>
        <v>-1.26E-2</v>
      </c>
      <c r="X352">
        <f t="shared" si="89"/>
        <v>-1.46E-2</v>
      </c>
      <c r="Y352">
        <f t="shared" si="89"/>
        <v>-2.3599999999999999E-2</v>
      </c>
      <c r="Z352">
        <f t="shared" si="89"/>
        <v>-1.23E-2</v>
      </c>
      <c r="AA352">
        <f t="shared" si="89"/>
        <v>-5.4999999999999997E-3</v>
      </c>
      <c r="AB352">
        <f t="shared" si="89"/>
        <v>-1.26E-2</v>
      </c>
      <c r="AC352">
        <f t="shared" si="89"/>
        <v>-9.3999999999999986E-3</v>
      </c>
      <c r="AD352">
        <f t="shared" si="89"/>
        <v>-1.18E-2</v>
      </c>
      <c r="AE352">
        <f t="shared" si="89"/>
        <v>-1.4200000000000001E-2</v>
      </c>
      <c r="AF352">
        <f t="shared" si="89"/>
        <v>-1.46E-2</v>
      </c>
      <c r="AG352">
        <f t="shared" si="89"/>
        <v>-1.5599999999999999E-2</v>
      </c>
      <c r="AH352">
        <f t="shared" si="89"/>
        <v>-1.37E-2</v>
      </c>
      <c r="AI352">
        <f t="shared" si="89"/>
        <v>-1.26E-2</v>
      </c>
      <c r="AJ352">
        <f t="shared" si="89"/>
        <v>-1.24E-2</v>
      </c>
      <c r="AK352">
        <f t="shared" si="89"/>
        <v>-1.6E-2</v>
      </c>
      <c r="AL352">
        <f t="shared" si="89"/>
        <v>-0.01</v>
      </c>
      <c r="AM352">
        <f t="shared" si="89"/>
        <v>-1.21E-2</v>
      </c>
      <c r="AN352">
        <f t="shared" si="89"/>
        <v>-1.04E-2</v>
      </c>
      <c r="AO352">
        <f t="shared" si="89"/>
        <v>-1.2500000000000001E-2</v>
      </c>
      <c r="AP352">
        <f t="shared" si="89"/>
        <v>-1.4200000000000001E-2</v>
      </c>
      <c r="AQ352">
        <f t="shared" si="89"/>
        <v>-9.3999999999999986E-3</v>
      </c>
      <c r="AR352">
        <f t="shared" si="89"/>
        <v>-1.66E-2</v>
      </c>
      <c r="AS352">
        <f t="shared" si="89"/>
        <v>-9.4000000000000004E-3</v>
      </c>
      <c r="AT352">
        <f t="shared" si="89"/>
        <v>-1.2700000000000001E-2</v>
      </c>
      <c r="AU352">
        <f t="shared" si="89"/>
        <v>-1.3600000000000001E-2</v>
      </c>
      <c r="AV352">
        <f t="shared" si="89"/>
        <v>-1.4E-2</v>
      </c>
      <c r="AW352">
        <f t="shared" si="89"/>
        <v>-1.89E-2</v>
      </c>
      <c r="AX352">
        <f t="shared" si="89"/>
        <v>-1.55E-2</v>
      </c>
      <c r="AY352">
        <f t="shared" si="89"/>
        <v>-1.35E-2</v>
      </c>
      <c r="AZ352">
        <f t="shared" si="89"/>
        <v>-1.4E-2</v>
      </c>
      <c r="BA352">
        <f t="shared" si="89"/>
        <v>-1.54E-2</v>
      </c>
      <c r="BB352">
        <f t="shared" si="89"/>
        <v>-1.4800000000000001E-2</v>
      </c>
      <c r="BC352">
        <f t="shared" si="89"/>
        <v>-1.35E-2</v>
      </c>
      <c r="BD352">
        <f t="shared" si="89"/>
        <v>-1.3399999999999999E-2</v>
      </c>
      <c r="BE352">
        <f t="shared" si="89"/>
        <v>-1.29E-2</v>
      </c>
      <c r="BF352">
        <f t="shared" si="89"/>
        <v>-1.4599999999999998E-2</v>
      </c>
      <c r="BG352">
        <f t="shared" si="89"/>
        <v>-1.52E-2</v>
      </c>
      <c r="BH352">
        <f t="shared" si="89"/>
        <v>-1.6399999999999998E-2</v>
      </c>
      <c r="BI352">
        <f t="shared" si="89"/>
        <v>-1.29E-2</v>
      </c>
      <c r="BJ352">
        <f t="shared" si="89"/>
        <v>-1.6299999999999999E-2</v>
      </c>
      <c r="BK352">
        <f t="shared" si="89"/>
        <v>-1.83E-2</v>
      </c>
      <c r="BL352">
        <f t="shared" si="89"/>
        <v>-2.0199999999999999E-2</v>
      </c>
      <c r="BM352">
        <f t="shared" si="89"/>
        <v>-1.44E-2</v>
      </c>
      <c r="BN352">
        <f t="shared" si="89"/>
        <v>-1.29E-2</v>
      </c>
      <c r="BO352">
        <f t="shared" si="89"/>
        <v>-1.4199999999999999E-2</v>
      </c>
      <c r="BP352">
        <f t="shared" si="74"/>
        <v>-1.61E-2</v>
      </c>
      <c r="BQ352">
        <f t="shared" si="85"/>
        <v>-1.43E-2</v>
      </c>
      <c r="BR352">
        <f t="shared" si="85"/>
        <v>-1.9799999999999998E-2</v>
      </c>
      <c r="BS352">
        <f t="shared" si="85"/>
        <v>-1.78E-2</v>
      </c>
      <c r="BT352">
        <f t="shared" si="85"/>
        <v>-1.9099999999999999E-2</v>
      </c>
      <c r="BU352">
        <f t="shared" si="85"/>
        <v>-2.2599999999999999E-2</v>
      </c>
      <c r="BV352">
        <f t="shared" si="85"/>
        <v>-2.0199999999999999E-2</v>
      </c>
      <c r="BW352">
        <f t="shared" si="85"/>
        <v>-1.9599999999999999E-2</v>
      </c>
      <c r="BX352">
        <f t="shared" si="85"/>
        <v>-1.8599999999999998E-2</v>
      </c>
      <c r="BY352">
        <f t="shared" si="85"/>
        <v>-1.8499999999999999E-2</v>
      </c>
      <c r="BZ352">
        <f t="shared" si="85"/>
        <v>-2.0199999999999999E-2</v>
      </c>
      <c r="CA352">
        <f t="shared" si="85"/>
        <v>-2.4199999999999999E-2</v>
      </c>
      <c r="CB352">
        <f t="shared" si="85"/>
        <v>-1.9300000000000001E-2</v>
      </c>
      <c r="CC352">
        <f t="shared" si="85"/>
        <v>-2.0500000000000001E-2</v>
      </c>
      <c r="CD352">
        <f t="shared" si="85"/>
        <v>-2.0299999999999999E-2</v>
      </c>
      <c r="CE352">
        <f t="shared" si="85"/>
        <v>-2.01E-2</v>
      </c>
      <c r="CF352">
        <f t="shared" si="85"/>
        <v>-2.29E-2</v>
      </c>
      <c r="CG352">
        <f t="shared" si="85"/>
        <v>-2.0299999999999999E-2</v>
      </c>
      <c r="CH352">
        <f t="shared" si="85"/>
        <v>-2.3099999999999999E-2</v>
      </c>
      <c r="CI352">
        <f t="shared" si="85"/>
        <v>-1.8200000000000001E-2</v>
      </c>
      <c r="CJ352">
        <f t="shared" si="85"/>
        <v>-2.0199999999999999E-2</v>
      </c>
      <c r="CK352">
        <f t="shared" si="85"/>
        <v>-1.8800000000000001E-2</v>
      </c>
      <c r="CL352">
        <f t="shared" si="85"/>
        <v>-1.77E-2</v>
      </c>
      <c r="CM352">
        <f t="shared" si="85"/>
        <v>-2.47E-2</v>
      </c>
      <c r="CN352">
        <f t="shared" si="85"/>
        <v>-1.3100000000000001E-2</v>
      </c>
      <c r="CO352">
        <f t="shared" si="85"/>
        <v>-1.8200000000000001E-2</v>
      </c>
      <c r="CP352">
        <f t="shared" si="85"/>
        <v>-2.5600000000000001E-2</v>
      </c>
      <c r="CQ352">
        <f t="shared" si="85"/>
        <v>-2.5600000000000001E-2</v>
      </c>
      <c r="CR352">
        <f t="shared" si="85"/>
        <v>-2.24E-2</v>
      </c>
      <c r="CS352">
        <f t="shared" si="85"/>
        <v>-2.4900000000000002E-2</v>
      </c>
      <c r="CT352">
        <f t="shared" si="85"/>
        <v>-3.4699999999999995E-2</v>
      </c>
      <c r="CU352">
        <f t="shared" si="85"/>
        <v>-4.1399999999999999E-2</v>
      </c>
      <c r="CV352">
        <f t="shared" si="85"/>
        <v>-4.3399999999999994E-2</v>
      </c>
      <c r="CW352">
        <f t="shared" si="85"/>
        <v>-5.4400000000000004E-2</v>
      </c>
      <c r="CX352">
        <f t="shared" si="85"/>
        <v>-5.3999999999999999E-2</v>
      </c>
    </row>
    <row r="353" spans="1:102" x14ac:dyDescent="0.2">
      <c r="A353" t="s">
        <v>5922</v>
      </c>
      <c r="B353" t="s">
        <v>220</v>
      </c>
      <c r="C353" t="s">
        <v>223</v>
      </c>
      <c r="D353">
        <f t="shared" ref="D353:BO353" si="90">D301+D326</f>
        <v>3.3E-3</v>
      </c>
      <c r="E353">
        <f t="shared" si="90"/>
        <v>3.3E-3</v>
      </c>
      <c r="F353">
        <f t="shared" si="90"/>
        <v>3.3E-3</v>
      </c>
      <c r="G353">
        <f t="shared" si="90"/>
        <v>2.24E-2</v>
      </c>
      <c r="H353">
        <f t="shared" si="90"/>
        <v>1.35E-2</v>
      </c>
      <c r="I353">
        <f t="shared" si="90"/>
        <v>-1.9399999999999997E-2</v>
      </c>
      <c r="J353">
        <f t="shared" si="90"/>
        <v>-1.4700000000000001E-2</v>
      </c>
      <c r="K353">
        <f t="shared" si="90"/>
        <v>-8.5000000000000006E-3</v>
      </c>
      <c r="L353">
        <f t="shared" si="90"/>
        <v>1.9999999999999966E-4</v>
      </c>
      <c r="M353">
        <f t="shared" si="90"/>
        <v>4.2000000000000006E-3</v>
      </c>
      <c r="N353">
        <f t="shared" si="90"/>
        <v>-1.0700000000000001E-2</v>
      </c>
      <c r="O353">
        <f t="shared" si="90"/>
        <v>-8.9999999999999976E-4</v>
      </c>
      <c r="P353">
        <f t="shared" si="90"/>
        <v>-3.7999999999999996E-3</v>
      </c>
      <c r="Q353">
        <f t="shared" si="90"/>
        <v>-1.0699999999999999E-2</v>
      </c>
      <c r="R353">
        <f t="shared" si="90"/>
        <v>-5.4000000000000003E-3</v>
      </c>
      <c r="S353">
        <f t="shared" si="90"/>
        <v>3.6999999999999997E-3</v>
      </c>
      <c r="T353">
        <f t="shared" si="90"/>
        <v>-1.5000000000000005E-3</v>
      </c>
      <c r="U353">
        <f t="shared" si="90"/>
        <v>3.2000000000000002E-3</v>
      </c>
      <c r="V353">
        <f t="shared" si="90"/>
        <v>3.0000000000000001E-3</v>
      </c>
      <c r="W353">
        <f t="shared" si="90"/>
        <v>-7.000000000000001E-4</v>
      </c>
      <c r="X353">
        <f t="shared" si="90"/>
        <v>-2.7000000000000001E-3</v>
      </c>
      <c r="Y353">
        <f t="shared" si="90"/>
        <v>-1.17E-2</v>
      </c>
      <c r="Z353">
        <f t="shared" si="90"/>
        <v>-5.9999999999999984E-4</v>
      </c>
      <c r="AA353">
        <f t="shared" si="90"/>
        <v>6.3E-3</v>
      </c>
      <c r="AB353">
        <f t="shared" si="90"/>
        <v>-1.2999999999999999E-3</v>
      </c>
      <c r="AC353">
        <f t="shared" si="90"/>
        <v>2.3E-3</v>
      </c>
      <c r="AD353">
        <f t="shared" si="90"/>
        <v>1.9999999999999966E-4</v>
      </c>
      <c r="AE353">
        <f t="shared" si="90"/>
        <v>-1.9000000000000002E-3</v>
      </c>
      <c r="AF353">
        <f t="shared" si="90"/>
        <v>-1.8999999999999998E-3</v>
      </c>
      <c r="AG353">
        <f t="shared" si="90"/>
        <v>-2.5999999999999999E-3</v>
      </c>
      <c r="AH353">
        <f t="shared" si="90"/>
        <v>-5.0000000000000001E-4</v>
      </c>
      <c r="AI353">
        <f t="shared" si="90"/>
        <v>1.5E-3</v>
      </c>
      <c r="AJ353">
        <f t="shared" si="90"/>
        <v>2.0999999999999999E-3</v>
      </c>
      <c r="AK353">
        <f t="shared" si="90"/>
        <v>-1.4999999999999996E-3</v>
      </c>
      <c r="AL353">
        <f t="shared" si="90"/>
        <v>4.4999999999999997E-3</v>
      </c>
      <c r="AM353">
        <f t="shared" si="90"/>
        <v>2.8E-3</v>
      </c>
      <c r="AN353">
        <f t="shared" si="90"/>
        <v>4.3999999999999994E-3</v>
      </c>
      <c r="AO353">
        <f t="shared" si="90"/>
        <v>2.3999999999999998E-3</v>
      </c>
      <c r="AP353">
        <f t="shared" si="90"/>
        <v>6.0000000000000006E-4</v>
      </c>
      <c r="AQ353">
        <f t="shared" si="90"/>
        <v>5.4000000000000003E-3</v>
      </c>
      <c r="AR353">
        <f t="shared" si="90"/>
        <v>-1.8E-3</v>
      </c>
      <c r="AS353">
        <f t="shared" si="90"/>
        <v>5.1000000000000004E-3</v>
      </c>
      <c r="AT353">
        <f t="shared" si="90"/>
        <v>1.8999999999999998E-3</v>
      </c>
      <c r="AU353">
        <f t="shared" si="90"/>
        <v>9.999999999999998E-4</v>
      </c>
      <c r="AV353">
        <f t="shared" si="90"/>
        <v>5.9999999999999984E-4</v>
      </c>
      <c r="AW353">
        <f t="shared" si="90"/>
        <v>-4.2000000000000006E-3</v>
      </c>
      <c r="AX353">
        <f t="shared" si="90"/>
        <v>-8.0000000000000036E-4</v>
      </c>
      <c r="AY353">
        <f t="shared" si="90"/>
        <v>1.0000000000000002E-3</v>
      </c>
      <c r="AZ353">
        <f t="shared" si="90"/>
        <v>1.3999999999999998E-3</v>
      </c>
      <c r="BA353">
        <f t="shared" si="90"/>
        <v>-1.0000000000000026E-4</v>
      </c>
      <c r="BB353">
        <f t="shared" si="90"/>
        <v>6.0000000000000006E-4</v>
      </c>
      <c r="BC353">
        <f t="shared" si="90"/>
        <v>2.1000000000000003E-3</v>
      </c>
      <c r="BD353">
        <f t="shared" si="90"/>
        <v>2.1999999999999997E-3</v>
      </c>
      <c r="BE353">
        <f t="shared" si="90"/>
        <v>2.8999999999999998E-3</v>
      </c>
      <c r="BF353">
        <f t="shared" si="90"/>
        <v>1.0999999999999998E-3</v>
      </c>
      <c r="BG353">
        <f t="shared" si="90"/>
        <v>3.9999999999999996E-4</v>
      </c>
      <c r="BH353">
        <f t="shared" si="90"/>
        <v>-1.0999999999999998E-3</v>
      </c>
      <c r="BI353">
        <f t="shared" si="90"/>
        <v>2.3E-3</v>
      </c>
      <c r="BJ353">
        <f t="shared" si="90"/>
        <v>-1.1000000000000001E-3</v>
      </c>
      <c r="BK353">
        <f t="shared" si="90"/>
        <v>-3.3999999999999998E-3</v>
      </c>
      <c r="BL353">
        <f t="shared" si="90"/>
        <v>-5.4000000000000003E-3</v>
      </c>
      <c r="BM353">
        <f t="shared" si="90"/>
        <v>0</v>
      </c>
      <c r="BN353">
        <f t="shared" si="90"/>
        <v>1.6000000000000001E-3</v>
      </c>
      <c r="BO353">
        <f t="shared" si="90"/>
        <v>1.4E-3</v>
      </c>
      <c r="BP353">
        <f t="shared" si="74"/>
        <v>7.000000000000001E-4</v>
      </c>
      <c r="BQ353">
        <f t="shared" si="85"/>
        <v>3.0000000000000001E-3</v>
      </c>
      <c r="BR353">
        <f t="shared" si="85"/>
        <v>-2E-3</v>
      </c>
      <c r="BS353">
        <f t="shared" si="85"/>
        <v>5.0000000000000001E-4</v>
      </c>
      <c r="BT353">
        <f t="shared" si="85"/>
        <v>-7.000000000000001E-4</v>
      </c>
      <c r="BU353">
        <f t="shared" si="85"/>
        <v>-4.0999999999999995E-3</v>
      </c>
      <c r="BV353">
        <f t="shared" si="85"/>
        <v>-2.0999999999999999E-3</v>
      </c>
      <c r="BW353">
        <f t="shared" si="85"/>
        <v>-1.1000000000000001E-3</v>
      </c>
      <c r="BX353">
        <f t="shared" si="85"/>
        <v>-1.0000000000000005E-4</v>
      </c>
      <c r="BY353">
        <f t="shared" si="85"/>
        <v>-1.0000000000000005E-4</v>
      </c>
      <c r="BZ353">
        <f t="shared" si="85"/>
        <v>-1.5E-3</v>
      </c>
      <c r="CA353">
        <f t="shared" si="85"/>
        <v>-5.1999999999999998E-3</v>
      </c>
      <c r="CB353">
        <f t="shared" si="85"/>
        <v>-7.000000000000001E-4</v>
      </c>
      <c r="CC353">
        <f t="shared" si="85"/>
        <v>-5.0000000000000001E-4</v>
      </c>
      <c r="CD353">
        <f t="shared" si="85"/>
        <v>9.999999999999998E-4</v>
      </c>
      <c r="CE353">
        <f t="shared" si="85"/>
        <v>2.7000000000000001E-3</v>
      </c>
      <c r="CF353">
        <f t="shared" si="85"/>
        <v>1.2999999999999999E-3</v>
      </c>
      <c r="CG353">
        <f t="shared" si="85"/>
        <v>3.5999999999999999E-3</v>
      </c>
      <c r="CH353">
        <f t="shared" si="85"/>
        <v>-1.0000000000000005E-4</v>
      </c>
      <c r="CI353">
        <f t="shared" si="85"/>
        <v>3.7000000000000002E-3</v>
      </c>
      <c r="CJ353">
        <f t="shared" si="85"/>
        <v>2.7000000000000001E-3</v>
      </c>
      <c r="CK353">
        <f t="shared" si="85"/>
        <v>6.8999999999999999E-3</v>
      </c>
      <c r="CL353">
        <f t="shared" si="85"/>
        <v>8.8000000000000005E-3</v>
      </c>
      <c r="CM353">
        <f t="shared" si="85"/>
        <v>2.4000000000000002E-3</v>
      </c>
      <c r="CN353">
        <f t="shared" si="85"/>
        <v>1.43E-2</v>
      </c>
      <c r="CO353">
        <f t="shared" si="85"/>
        <v>1.23E-2</v>
      </c>
      <c r="CP353">
        <f t="shared" si="85"/>
        <v>6.9000000000000008E-3</v>
      </c>
      <c r="CQ353">
        <f t="shared" si="85"/>
        <v>1.03E-2</v>
      </c>
      <c r="CR353">
        <f t="shared" si="85"/>
        <v>1.4800000000000001E-2</v>
      </c>
      <c r="CS353">
        <f t="shared" si="85"/>
        <v>1.49E-2</v>
      </c>
      <c r="CT353">
        <f t="shared" si="85"/>
        <v>1.0200000000000001E-2</v>
      </c>
      <c r="CU353">
        <f t="shared" si="85"/>
        <v>2.9999999999999997E-4</v>
      </c>
      <c r="CV353">
        <f t="shared" si="85"/>
        <v>1.8200000000000001E-2</v>
      </c>
      <c r="CW353">
        <f t="shared" si="85"/>
        <v>8.0000000000000002E-3</v>
      </c>
      <c r="CX353">
        <f t="shared" si="85"/>
        <v>3.7899999999999996E-2</v>
      </c>
    </row>
    <row r="354" spans="1:102" x14ac:dyDescent="0.2">
      <c r="A354" t="s">
        <v>5923</v>
      </c>
      <c r="B354" t="s">
        <v>220</v>
      </c>
      <c r="C354" t="s">
        <v>223</v>
      </c>
      <c r="D354">
        <f t="shared" ref="D354:BO354" si="91">D302+D327</f>
        <v>-2.3E-3</v>
      </c>
      <c r="E354">
        <f t="shared" si="91"/>
        <v>-2.3E-3</v>
      </c>
      <c r="F354">
        <f t="shared" si="91"/>
        <v>-2.3E-3</v>
      </c>
      <c r="G354">
        <f t="shared" si="91"/>
        <v>3.8899999999999997E-2</v>
      </c>
      <c r="H354">
        <f t="shared" si="91"/>
        <v>-2.3200000000000002E-2</v>
      </c>
      <c r="I354">
        <f t="shared" si="91"/>
        <v>-2.1600000000000001E-2</v>
      </c>
      <c r="J354">
        <f t="shared" si="91"/>
        <v>-9.1300000000000006E-2</v>
      </c>
      <c r="K354">
        <f t="shared" si="91"/>
        <v>-0.13170000000000001</v>
      </c>
      <c r="L354">
        <f t="shared" si="91"/>
        <v>-0.17170000000000002</v>
      </c>
      <c r="M354">
        <f t="shared" si="91"/>
        <v>-0.13869999999999999</v>
      </c>
      <c r="N354">
        <f t="shared" si="91"/>
        <v>-0.12189999999999999</v>
      </c>
      <c r="O354">
        <f t="shared" si="91"/>
        <v>-0.108</v>
      </c>
      <c r="P354">
        <f t="shared" si="91"/>
        <v>-8.6799999999999988E-2</v>
      </c>
      <c r="Q354">
        <f t="shared" si="91"/>
        <v>-5.4400000000000004E-2</v>
      </c>
      <c r="R354">
        <f t="shared" si="91"/>
        <v>-6.0999999999999999E-2</v>
      </c>
      <c r="S354">
        <f t="shared" si="91"/>
        <v>-5.28E-2</v>
      </c>
      <c r="T354">
        <f t="shared" si="91"/>
        <v>-4.5499999999999999E-2</v>
      </c>
      <c r="U354">
        <f t="shared" si="91"/>
        <v>-4.2900000000000001E-2</v>
      </c>
      <c r="V354">
        <f t="shared" si="91"/>
        <v>-3.5700000000000003E-2</v>
      </c>
      <c r="W354">
        <f t="shared" si="91"/>
        <v>-3.0499999999999996E-2</v>
      </c>
      <c r="X354">
        <f t="shared" si="91"/>
        <v>-2.76E-2</v>
      </c>
      <c r="Y354">
        <f t="shared" si="91"/>
        <v>-1.9400000000000001E-2</v>
      </c>
      <c r="Z354">
        <f t="shared" si="91"/>
        <v>-2.3000000000000003E-2</v>
      </c>
      <c r="AA354">
        <f t="shared" si="91"/>
        <v>-2.0799999999999999E-2</v>
      </c>
      <c r="AB354">
        <f t="shared" si="91"/>
        <v>-2.2599999999999999E-2</v>
      </c>
      <c r="AC354">
        <f t="shared" si="91"/>
        <v>-2.0299999999999999E-2</v>
      </c>
      <c r="AD354">
        <f t="shared" si="91"/>
        <v>-1.8500000000000003E-2</v>
      </c>
      <c r="AE354">
        <f t="shared" si="91"/>
        <v>-1.8800000000000001E-2</v>
      </c>
      <c r="AF354">
        <f t="shared" si="91"/>
        <v>-2.29E-2</v>
      </c>
      <c r="AG354">
        <f t="shared" si="91"/>
        <v>-2.35E-2</v>
      </c>
      <c r="AH354">
        <f t="shared" si="91"/>
        <v>-2.5000000000000001E-2</v>
      </c>
      <c r="AI354">
        <f t="shared" si="91"/>
        <v>-2.58E-2</v>
      </c>
      <c r="AJ354">
        <f t="shared" si="91"/>
        <v>-1.5599999999999999E-2</v>
      </c>
      <c r="AK354">
        <f t="shared" si="91"/>
        <v>-8.6E-3</v>
      </c>
      <c r="AL354">
        <f t="shared" si="91"/>
        <v>-8.3000000000000001E-3</v>
      </c>
      <c r="AM354">
        <f t="shared" si="91"/>
        <v>-6.1000000000000004E-3</v>
      </c>
      <c r="AN354">
        <f t="shared" si="91"/>
        <v>-5.7000000000000002E-3</v>
      </c>
      <c r="AO354">
        <f t="shared" si="91"/>
        <v>-1.06E-2</v>
      </c>
      <c r="AP354">
        <f t="shared" si="91"/>
        <v>-9.4000000000000004E-3</v>
      </c>
      <c r="AQ354">
        <f t="shared" si="91"/>
        <v>-7.7999999999999996E-3</v>
      </c>
      <c r="AR354">
        <f t="shared" si="91"/>
        <v>-8.8999999999999999E-3</v>
      </c>
      <c r="AS354">
        <f t="shared" si="91"/>
        <v>-5.0000000000000001E-3</v>
      </c>
      <c r="AT354">
        <f t="shared" si="91"/>
        <v>-3.8999999999999998E-3</v>
      </c>
      <c r="AU354">
        <f t="shared" si="91"/>
        <v>-5.1000000000000004E-3</v>
      </c>
      <c r="AV354">
        <f t="shared" si="91"/>
        <v>-8.6E-3</v>
      </c>
      <c r="AW354">
        <f t="shared" si="91"/>
        <v>-6.9999999999999993E-3</v>
      </c>
      <c r="AX354">
        <f t="shared" si="91"/>
        <v>-1.09E-2</v>
      </c>
      <c r="AY354">
        <f t="shared" si="91"/>
        <v>-1.24E-2</v>
      </c>
      <c r="AZ354">
        <f t="shared" si="91"/>
        <v>-1.24E-2</v>
      </c>
      <c r="BA354">
        <f t="shared" si="91"/>
        <v>-1.5300000000000001E-2</v>
      </c>
      <c r="BB354">
        <f t="shared" si="91"/>
        <v>-1.1000000000000001E-2</v>
      </c>
      <c r="BC354">
        <f t="shared" si="91"/>
        <v>-1.2E-2</v>
      </c>
      <c r="BD354">
        <f t="shared" si="91"/>
        <v>-2.1999999999999997E-3</v>
      </c>
      <c r="BE354">
        <f t="shared" si="91"/>
        <v>-3.8999999999999998E-3</v>
      </c>
      <c r="BF354">
        <f t="shared" si="91"/>
        <v>-3.1999999999999997E-3</v>
      </c>
      <c r="BG354">
        <f t="shared" si="91"/>
        <v>-4.4000000000000003E-3</v>
      </c>
      <c r="BH354">
        <f t="shared" si="91"/>
        <v>-4.7000000000000002E-3</v>
      </c>
      <c r="BI354">
        <f t="shared" si="91"/>
        <v>-6.5000000000000006E-3</v>
      </c>
      <c r="BJ354">
        <f t="shared" si="91"/>
        <v>-1.04E-2</v>
      </c>
      <c r="BK354">
        <f t="shared" si="91"/>
        <v>-1.6500000000000001E-2</v>
      </c>
      <c r="BL354">
        <f t="shared" si="91"/>
        <v>-1.6899999999999998E-2</v>
      </c>
      <c r="BM354">
        <f t="shared" si="91"/>
        <v>-1.35E-2</v>
      </c>
      <c r="BN354">
        <f t="shared" si="91"/>
        <v>-1.3300000000000001E-2</v>
      </c>
      <c r="BO354">
        <f t="shared" si="91"/>
        <v>-1.6299999999999999E-2</v>
      </c>
      <c r="BP354">
        <f t="shared" si="74"/>
        <v>-1.7500000000000002E-2</v>
      </c>
      <c r="BQ354">
        <f t="shared" si="85"/>
        <v>-1.66E-2</v>
      </c>
      <c r="BR354">
        <f t="shared" si="85"/>
        <v>-1.6399999999999998E-2</v>
      </c>
      <c r="BS354">
        <f t="shared" si="85"/>
        <v>-1.67E-2</v>
      </c>
      <c r="BT354">
        <f t="shared" si="85"/>
        <v>-1.9E-2</v>
      </c>
      <c r="BU354">
        <f t="shared" si="85"/>
        <v>-1.9799999999999998E-2</v>
      </c>
      <c r="BV354">
        <f t="shared" si="85"/>
        <v>-2.86E-2</v>
      </c>
      <c r="BW354">
        <f t="shared" si="85"/>
        <v>-1.8599999999999998E-2</v>
      </c>
      <c r="BX354">
        <f t="shared" si="85"/>
        <v>-1.95E-2</v>
      </c>
      <c r="BY354">
        <f t="shared" si="85"/>
        <v>-2.41E-2</v>
      </c>
      <c r="BZ354">
        <f t="shared" si="85"/>
        <v>-2.3700000000000002E-2</v>
      </c>
      <c r="CA354">
        <f t="shared" si="85"/>
        <v>-2.8399999999999995E-2</v>
      </c>
      <c r="CB354">
        <f t="shared" si="85"/>
        <v>-3.5700000000000003E-2</v>
      </c>
      <c r="CC354">
        <f t="shared" si="85"/>
        <v>-3.3100000000000004E-2</v>
      </c>
      <c r="CD354">
        <f t="shared" si="85"/>
        <v>-3.8300000000000001E-2</v>
      </c>
      <c r="CE354">
        <f t="shared" si="85"/>
        <v>-4.2200000000000001E-2</v>
      </c>
      <c r="CF354">
        <f t="shared" si="85"/>
        <v>-3.4299999999999997E-2</v>
      </c>
      <c r="CG354">
        <f t="shared" si="85"/>
        <v>-2.9700000000000004E-2</v>
      </c>
      <c r="CH354">
        <f t="shared" si="85"/>
        <v>-3.2199999999999999E-2</v>
      </c>
      <c r="CI354">
        <f t="shared" si="85"/>
        <v>-3.2300000000000002E-2</v>
      </c>
      <c r="CJ354">
        <f t="shared" si="85"/>
        <v>-3.3000000000000002E-2</v>
      </c>
      <c r="CK354">
        <f t="shared" si="85"/>
        <v>-4.2199999999999994E-2</v>
      </c>
      <c r="CL354">
        <f t="shared" si="85"/>
        <v>-4.6199999999999998E-2</v>
      </c>
      <c r="CM354">
        <f t="shared" si="85"/>
        <v>-4.6600000000000003E-2</v>
      </c>
      <c r="CN354">
        <f t="shared" si="85"/>
        <v>-3.7900000000000003E-2</v>
      </c>
      <c r="CO354">
        <f t="shared" si="85"/>
        <v>-4.8599999999999997E-2</v>
      </c>
      <c r="CP354">
        <f t="shared" si="85"/>
        <v>-5.3200000000000004E-2</v>
      </c>
      <c r="CQ354">
        <f t="shared" si="85"/>
        <v>-3.8100000000000002E-2</v>
      </c>
      <c r="CR354">
        <f t="shared" si="85"/>
        <v>-4.3700000000000003E-2</v>
      </c>
      <c r="CS354">
        <f t="shared" si="85"/>
        <v>-5.1899999999999995E-2</v>
      </c>
      <c r="CT354">
        <f t="shared" si="85"/>
        <v>-6.3700000000000007E-2</v>
      </c>
      <c r="CU354">
        <f t="shared" si="85"/>
        <v>-3.9899999999999998E-2</v>
      </c>
      <c r="CV354">
        <f t="shared" si="85"/>
        <v>-3.44E-2</v>
      </c>
      <c r="CW354">
        <f t="shared" si="85"/>
        <v>-0.01</v>
      </c>
      <c r="CX354">
        <f t="shared" si="85"/>
        <v>-3.3000000000000002E-2</v>
      </c>
    </row>
    <row r="355" spans="1:102" x14ac:dyDescent="0.2">
      <c r="A355" t="s">
        <v>5924</v>
      </c>
      <c r="B355" t="s">
        <v>220</v>
      </c>
      <c r="C355" t="s">
        <v>223</v>
      </c>
      <c r="D355">
        <f>D303+D328</f>
        <v>2.8199999999999999E-2</v>
      </c>
      <c r="E355">
        <f t="shared" ref="E355:BP355" si="92">E303+E328</f>
        <v>2.8199999999999999E-2</v>
      </c>
      <c r="F355">
        <f t="shared" si="92"/>
        <v>2.8199999999999999E-2</v>
      </c>
      <c r="G355">
        <f t="shared" si="92"/>
        <v>0.24199999999999999</v>
      </c>
      <c r="H355">
        <f t="shared" si="92"/>
        <v>0.26700000000000002</v>
      </c>
      <c r="I355">
        <f t="shared" si="92"/>
        <v>0.19059999999999999</v>
      </c>
      <c r="J355">
        <f t="shared" si="92"/>
        <v>0.13150000000000001</v>
      </c>
      <c r="K355">
        <f t="shared" si="92"/>
        <v>8.1200000000000008E-2</v>
      </c>
      <c r="L355">
        <f t="shared" si="92"/>
        <v>5.2400000000000002E-2</v>
      </c>
      <c r="M355">
        <f t="shared" si="92"/>
        <v>5.96E-2</v>
      </c>
      <c r="N355">
        <f t="shared" si="92"/>
        <v>5.4400000000000004E-2</v>
      </c>
      <c r="O355">
        <f t="shared" si="92"/>
        <v>5.8400000000000001E-2</v>
      </c>
      <c r="P355">
        <f t="shared" si="92"/>
        <v>5.3499999999999999E-2</v>
      </c>
      <c r="Q355">
        <f t="shared" si="92"/>
        <v>6.1900000000000004E-2</v>
      </c>
      <c r="R355">
        <f t="shared" si="92"/>
        <v>5.8299999999999998E-2</v>
      </c>
      <c r="S355">
        <f t="shared" si="92"/>
        <v>4.3200000000000002E-2</v>
      </c>
      <c r="T355">
        <f t="shared" si="92"/>
        <v>3.44E-2</v>
      </c>
      <c r="U355">
        <f t="shared" si="92"/>
        <v>2.93E-2</v>
      </c>
      <c r="V355">
        <f t="shared" si="92"/>
        <v>2.8300000000000002E-2</v>
      </c>
      <c r="W355">
        <f t="shared" si="92"/>
        <v>2.4500000000000001E-2</v>
      </c>
      <c r="X355">
        <f t="shared" si="92"/>
        <v>2.6500000000000003E-2</v>
      </c>
      <c r="Y355">
        <f t="shared" si="92"/>
        <v>3.4799999999999998E-2</v>
      </c>
      <c r="Z355">
        <f t="shared" si="92"/>
        <v>3.1300000000000001E-2</v>
      </c>
      <c r="AA355">
        <f t="shared" si="92"/>
        <v>3.4099999999999998E-2</v>
      </c>
      <c r="AB355">
        <f t="shared" si="92"/>
        <v>3.0200000000000001E-2</v>
      </c>
      <c r="AC355">
        <f t="shared" si="92"/>
        <v>3.2100000000000004E-2</v>
      </c>
      <c r="AD355">
        <f t="shared" si="92"/>
        <v>3.4099999999999998E-2</v>
      </c>
      <c r="AE355">
        <f t="shared" si="92"/>
        <v>3.4000000000000002E-2</v>
      </c>
      <c r="AF355">
        <f t="shared" si="92"/>
        <v>3.09E-2</v>
      </c>
      <c r="AG355">
        <f t="shared" si="92"/>
        <v>3.1099999999999999E-2</v>
      </c>
      <c r="AH355">
        <f t="shared" si="92"/>
        <v>3.0599999999999999E-2</v>
      </c>
      <c r="AI355">
        <f t="shared" si="92"/>
        <v>3.32E-2</v>
      </c>
      <c r="AJ355">
        <f t="shared" si="92"/>
        <v>4.0500000000000001E-2</v>
      </c>
      <c r="AK355">
        <f t="shared" si="92"/>
        <v>4.82E-2</v>
      </c>
      <c r="AL355">
        <f t="shared" si="92"/>
        <v>4.8300000000000003E-2</v>
      </c>
      <c r="AM355">
        <f t="shared" si="92"/>
        <v>5.0999999999999997E-2</v>
      </c>
      <c r="AN355">
        <f t="shared" si="92"/>
        <v>5.1800000000000006E-2</v>
      </c>
      <c r="AO355">
        <f t="shared" si="92"/>
        <v>4.87E-2</v>
      </c>
      <c r="AP355">
        <f t="shared" si="92"/>
        <v>4.9600000000000005E-2</v>
      </c>
      <c r="AQ355">
        <f t="shared" si="92"/>
        <v>5.0900000000000001E-2</v>
      </c>
      <c r="AR355">
        <f t="shared" si="92"/>
        <v>4.9399999999999999E-2</v>
      </c>
      <c r="AS355">
        <f t="shared" si="92"/>
        <v>5.67E-2</v>
      </c>
      <c r="AT355">
        <f t="shared" si="92"/>
        <v>5.7599999999999998E-2</v>
      </c>
      <c r="AU355">
        <f t="shared" si="92"/>
        <v>5.6299999999999996E-2</v>
      </c>
      <c r="AV355">
        <f t="shared" si="92"/>
        <v>5.3699999999999998E-2</v>
      </c>
      <c r="AW355">
        <f t="shared" si="92"/>
        <v>5.5800000000000002E-2</v>
      </c>
      <c r="AX355">
        <f t="shared" si="92"/>
        <v>5.21E-2</v>
      </c>
      <c r="AY355">
        <f t="shared" si="92"/>
        <v>5.1299999999999998E-2</v>
      </c>
      <c r="AZ355">
        <f t="shared" si="92"/>
        <v>5.3700000000000005E-2</v>
      </c>
      <c r="BA355">
        <f t="shared" si="92"/>
        <v>5.1500000000000004E-2</v>
      </c>
      <c r="BB355">
        <f t="shared" si="92"/>
        <v>5.5500000000000001E-2</v>
      </c>
      <c r="BC355">
        <f t="shared" si="92"/>
        <v>5.67E-2</v>
      </c>
      <c r="BD355">
        <f t="shared" si="92"/>
        <v>6.6000000000000003E-2</v>
      </c>
      <c r="BE355">
        <f t="shared" si="92"/>
        <v>6.5500000000000003E-2</v>
      </c>
      <c r="BF355">
        <f t="shared" si="92"/>
        <v>6.5799999999999997E-2</v>
      </c>
      <c r="BG355">
        <f t="shared" si="92"/>
        <v>6.4600000000000005E-2</v>
      </c>
      <c r="BH355">
        <f t="shared" si="92"/>
        <v>6.4399999999999999E-2</v>
      </c>
      <c r="BI355">
        <f t="shared" si="92"/>
        <v>6.1800000000000001E-2</v>
      </c>
      <c r="BJ355">
        <f t="shared" si="92"/>
        <v>5.9299999999999999E-2</v>
      </c>
      <c r="BK355">
        <f t="shared" si="92"/>
        <v>5.5300000000000002E-2</v>
      </c>
      <c r="BL355">
        <f t="shared" si="92"/>
        <v>5.4900000000000004E-2</v>
      </c>
      <c r="BM355">
        <f t="shared" si="92"/>
        <v>5.7100000000000005E-2</v>
      </c>
      <c r="BN355">
        <f t="shared" si="92"/>
        <v>5.7700000000000001E-2</v>
      </c>
      <c r="BO355">
        <f t="shared" si="92"/>
        <v>5.8899999999999994E-2</v>
      </c>
      <c r="BP355">
        <f t="shared" si="92"/>
        <v>6.4699999999999994E-2</v>
      </c>
      <c r="BQ355">
        <f t="shared" ref="BQ355:CX355" si="93">BQ303+BQ328</f>
        <v>7.0199999999999999E-2</v>
      </c>
      <c r="BR355">
        <f t="shared" si="93"/>
        <v>7.4099999999999999E-2</v>
      </c>
      <c r="BS355">
        <f t="shared" si="93"/>
        <v>7.6999999999999999E-2</v>
      </c>
      <c r="BT355">
        <f t="shared" si="93"/>
        <v>7.5899999999999995E-2</v>
      </c>
      <c r="BU355">
        <f t="shared" si="93"/>
        <v>7.6399999999999996E-2</v>
      </c>
      <c r="BV355">
        <f t="shared" si="93"/>
        <v>5.9300000000000005E-2</v>
      </c>
      <c r="BW355">
        <f t="shared" si="93"/>
        <v>6.4500000000000002E-2</v>
      </c>
      <c r="BX355">
        <f t="shared" si="93"/>
        <v>6.4600000000000005E-2</v>
      </c>
      <c r="BY355">
        <f t="shared" si="93"/>
        <v>6.13E-2</v>
      </c>
      <c r="BZ355">
        <f t="shared" si="93"/>
        <v>6.4500000000000002E-2</v>
      </c>
      <c r="CA355">
        <f t="shared" si="93"/>
        <v>6.359999999999999E-2</v>
      </c>
      <c r="CB355">
        <f t="shared" si="93"/>
        <v>2.6200000000000001E-2</v>
      </c>
      <c r="CC355">
        <f t="shared" si="93"/>
        <v>3.1600000000000003E-2</v>
      </c>
      <c r="CD355">
        <f t="shared" si="93"/>
        <v>3.1600000000000003E-2</v>
      </c>
      <c r="CE355">
        <f t="shared" si="93"/>
        <v>3.3099999999999997E-2</v>
      </c>
      <c r="CF355">
        <f t="shared" si="93"/>
        <v>3.4200000000000001E-2</v>
      </c>
      <c r="CG355">
        <f t="shared" si="93"/>
        <v>3.6900000000000002E-2</v>
      </c>
      <c r="CH355">
        <f t="shared" si="93"/>
        <v>3.0300000000000001E-2</v>
      </c>
      <c r="CI355">
        <f t="shared" si="93"/>
        <v>2.86E-2</v>
      </c>
      <c r="CJ355">
        <f t="shared" si="93"/>
        <v>2.98E-2</v>
      </c>
      <c r="CK355">
        <f t="shared" si="93"/>
        <v>2.69E-2</v>
      </c>
      <c r="CL355">
        <f t="shared" si="93"/>
        <v>2.5500000000000002E-2</v>
      </c>
      <c r="CM355">
        <f t="shared" si="93"/>
        <v>2.7799999999999998E-2</v>
      </c>
      <c r="CN355">
        <f t="shared" si="93"/>
        <v>3.3000000000000002E-2</v>
      </c>
      <c r="CO355">
        <f t="shared" si="93"/>
        <v>3.0300000000000001E-2</v>
      </c>
      <c r="CP355">
        <f t="shared" si="93"/>
        <v>3.2100000000000004E-2</v>
      </c>
      <c r="CQ355">
        <f t="shared" si="93"/>
        <v>3.78E-2</v>
      </c>
      <c r="CR355">
        <f t="shared" si="93"/>
        <v>3.7499999999999999E-2</v>
      </c>
      <c r="CS355">
        <f t="shared" si="93"/>
        <v>3.56E-2</v>
      </c>
      <c r="CT355">
        <f t="shared" si="93"/>
        <v>3.3099999999999997E-2</v>
      </c>
      <c r="CU355">
        <f t="shared" si="93"/>
        <v>4.2899999999999994E-2</v>
      </c>
      <c r="CV355">
        <f t="shared" si="93"/>
        <v>5.1999999999999998E-2</v>
      </c>
      <c r="CW355">
        <f t="shared" si="93"/>
        <v>6.3899999999999998E-2</v>
      </c>
      <c r="CX355">
        <f t="shared" si="93"/>
        <v>7.4099999999999999E-2</v>
      </c>
    </row>
    <row r="356" spans="1:102" x14ac:dyDescent="0.2">
      <c r="A356" t="s">
        <v>5927</v>
      </c>
      <c r="B356" t="s">
        <v>220</v>
      </c>
      <c r="C356" t="s">
        <v>223</v>
      </c>
      <c r="D356">
        <f>D329</f>
        <v>-6.1400000000000003E-2</v>
      </c>
      <c r="E356">
        <f t="shared" ref="E356:BP356" si="94">E329</f>
        <v>-5.79E-2</v>
      </c>
      <c r="F356">
        <f t="shared" si="94"/>
        <v>-5.45E-2</v>
      </c>
      <c r="G356">
        <f t="shared" si="94"/>
        <v>0.46989999999999998</v>
      </c>
      <c r="H356">
        <f t="shared" si="94"/>
        <v>-0.51300000000000001</v>
      </c>
      <c r="I356">
        <f t="shared" si="94"/>
        <v>0.14280000000000001</v>
      </c>
      <c r="J356">
        <f t="shared" si="94"/>
        <v>3.0700000000000002E-2</v>
      </c>
      <c r="K356">
        <f t="shared" si="94"/>
        <v>6.4299999999999996E-2</v>
      </c>
      <c r="L356">
        <f t="shared" si="94"/>
        <v>0.1953</v>
      </c>
      <c r="M356">
        <f t="shared" si="94"/>
        <v>0.14979999999999999</v>
      </c>
      <c r="N356">
        <f t="shared" si="94"/>
        <v>0.25950000000000001</v>
      </c>
      <c r="O356">
        <f t="shared" si="94"/>
        <v>0.29039999999999999</v>
      </c>
      <c r="P356">
        <f t="shared" si="94"/>
        <v>0.3664</v>
      </c>
      <c r="Q356">
        <f t="shared" si="94"/>
        <v>-7.7000000000000002E-3</v>
      </c>
      <c r="R356">
        <f t="shared" si="94"/>
        <v>-5.16E-2</v>
      </c>
      <c r="S356">
        <f t="shared" si="94"/>
        <v>0.26729999999999998</v>
      </c>
      <c r="T356">
        <f t="shared" si="94"/>
        <v>0.27310000000000001</v>
      </c>
      <c r="U356">
        <f t="shared" si="94"/>
        <v>0.11749999999999999</v>
      </c>
      <c r="V356">
        <f t="shared" si="94"/>
        <v>0.20949999999999999</v>
      </c>
      <c r="W356">
        <f t="shared" si="94"/>
        <v>0.25140000000000001</v>
      </c>
      <c r="X356">
        <f t="shared" si="94"/>
        <v>0.2409</v>
      </c>
      <c r="Y356">
        <f t="shared" si="94"/>
        <v>7.1199999999999999E-2</v>
      </c>
      <c r="Z356">
        <f t="shared" si="94"/>
        <v>3.1300000000000001E-2</v>
      </c>
      <c r="AA356">
        <f t="shared" si="94"/>
        <v>2.6800000000000001E-2</v>
      </c>
      <c r="AB356">
        <f t="shared" si="94"/>
        <v>0.1094</v>
      </c>
      <c r="AC356">
        <f t="shared" si="94"/>
        <v>7.7299999999999994E-2</v>
      </c>
      <c r="AD356">
        <f t="shared" si="94"/>
        <v>9.6799999999999997E-2</v>
      </c>
      <c r="AE356">
        <f t="shared" si="94"/>
        <v>9.7500000000000003E-2</v>
      </c>
      <c r="AF356">
        <f t="shared" si="94"/>
        <v>0.1043</v>
      </c>
      <c r="AG356">
        <f t="shared" si="94"/>
        <v>8.2400000000000001E-2</v>
      </c>
      <c r="AH356">
        <f t="shared" si="94"/>
        <v>8.0600000000000005E-2</v>
      </c>
      <c r="AI356">
        <f t="shared" si="94"/>
        <v>0.06</v>
      </c>
      <c r="AJ356">
        <f t="shared" si="94"/>
        <v>5.3999999999999999E-2</v>
      </c>
      <c r="AK356">
        <f t="shared" si="94"/>
        <v>3.6700000000000003E-2</v>
      </c>
      <c r="AL356">
        <f t="shared" si="94"/>
        <v>2.5499999999999998E-2</v>
      </c>
      <c r="AM356">
        <f t="shared" si="94"/>
        <v>-6.3E-3</v>
      </c>
      <c r="AN356">
        <f t="shared" si="94"/>
        <v>-1.77E-2</v>
      </c>
      <c r="AO356">
        <f t="shared" si="94"/>
        <v>-2.2200000000000001E-2</v>
      </c>
      <c r="AP356">
        <f t="shared" si="94"/>
        <v>-1.47E-2</v>
      </c>
      <c r="AQ356">
        <f t="shared" si="94"/>
        <v>-3.9100000000000003E-2</v>
      </c>
      <c r="AR356">
        <f t="shared" si="94"/>
        <v>-2.4400000000000002E-2</v>
      </c>
      <c r="AS356">
        <f t="shared" si="94"/>
        <v>-2.9000000000000001E-2</v>
      </c>
      <c r="AT356">
        <f t="shared" si="94"/>
        <v>-3.7900000000000003E-2</v>
      </c>
      <c r="AU356">
        <f t="shared" si="94"/>
        <v>-1.24E-2</v>
      </c>
      <c r="AV356">
        <f t="shared" si="94"/>
        <v>-4.3999999999999997E-2</v>
      </c>
      <c r="AW356">
        <f t="shared" si="94"/>
        <v>-4.4200000000000003E-2</v>
      </c>
      <c r="AX356">
        <f t="shared" si="94"/>
        <v>-5.7099999999999998E-2</v>
      </c>
      <c r="AY356">
        <f t="shared" si="94"/>
        <v>-6.1400000000000003E-2</v>
      </c>
      <c r="AZ356">
        <f t="shared" si="94"/>
        <v>-9.2499999999999999E-2</v>
      </c>
      <c r="BA356">
        <f t="shared" si="94"/>
        <v>-8.7999999999999995E-2</v>
      </c>
      <c r="BB356">
        <f t="shared" si="94"/>
        <v>-9.4700000000000006E-2</v>
      </c>
      <c r="BC356">
        <f t="shared" si="94"/>
        <v>-0.11550000000000001</v>
      </c>
      <c r="BD356">
        <f t="shared" si="94"/>
        <v>-0.12570000000000001</v>
      </c>
      <c r="BE356">
        <f t="shared" si="94"/>
        <v>-0.1206</v>
      </c>
      <c r="BF356">
        <f t="shared" si="94"/>
        <v>-0.11650000000000001</v>
      </c>
      <c r="BG356">
        <f t="shared" si="94"/>
        <v>-0.1298</v>
      </c>
      <c r="BH356">
        <f t="shared" si="94"/>
        <v>-0.1149</v>
      </c>
      <c r="BI356">
        <f t="shared" si="94"/>
        <v>-9.9599999999999994E-2</v>
      </c>
      <c r="BJ356">
        <f t="shared" si="94"/>
        <v>-0.09</v>
      </c>
      <c r="BK356">
        <f t="shared" si="94"/>
        <v>-8.43E-2</v>
      </c>
      <c r="BL356">
        <f t="shared" si="94"/>
        <v>-7.3700000000000002E-2</v>
      </c>
      <c r="BM356">
        <f t="shared" si="94"/>
        <v>-6.8199999999999997E-2</v>
      </c>
      <c r="BN356">
        <f t="shared" si="94"/>
        <v>-7.5300000000000006E-2</v>
      </c>
      <c r="BO356">
        <f t="shared" si="94"/>
        <v>-7.17E-2</v>
      </c>
      <c r="BP356">
        <f t="shared" si="94"/>
        <v>-5.9499999999999997E-2</v>
      </c>
      <c r="BQ356">
        <f t="shared" ref="BQ356:CX356" si="95">BQ329</f>
        <v>-4.3900000000000002E-2</v>
      </c>
      <c r="BR356">
        <f t="shared" si="95"/>
        <v>-4.9099999999999998E-2</v>
      </c>
      <c r="BS356">
        <f t="shared" si="95"/>
        <v>-9.9000000000000005E-2</v>
      </c>
      <c r="BT356">
        <f t="shared" si="95"/>
        <v>-0.12759999999999999</v>
      </c>
      <c r="BU356">
        <f t="shared" si="95"/>
        <v>-0.1593</v>
      </c>
      <c r="BV356">
        <f t="shared" si="95"/>
        <v>-0.1628</v>
      </c>
      <c r="BW356">
        <f t="shared" si="95"/>
        <v>-0.17780000000000001</v>
      </c>
      <c r="BX356">
        <f t="shared" si="95"/>
        <v>-0.18290000000000001</v>
      </c>
      <c r="BY356">
        <f t="shared" si="95"/>
        <v>-0.18609999999999999</v>
      </c>
      <c r="BZ356">
        <f t="shared" si="95"/>
        <v>-0.1835</v>
      </c>
      <c r="CA356">
        <f t="shared" si="95"/>
        <v>-0.17119999999999999</v>
      </c>
      <c r="CB356">
        <f t="shared" si="95"/>
        <v>-0.10970000000000001</v>
      </c>
      <c r="CC356">
        <f t="shared" si="95"/>
        <v>-0.12189999999999999</v>
      </c>
      <c r="CD356">
        <f t="shared" si="95"/>
        <v>-0.1061</v>
      </c>
      <c r="CE356">
        <f t="shared" si="95"/>
        <v>-0.1047</v>
      </c>
      <c r="CF356">
        <f t="shared" si="95"/>
        <v>-0.10349999999999999</v>
      </c>
      <c r="CG356">
        <f t="shared" si="95"/>
        <v>-6.1100000000000002E-2</v>
      </c>
      <c r="CH356">
        <f t="shared" si="95"/>
        <v>-4.5600000000000002E-2</v>
      </c>
      <c r="CI356">
        <f t="shared" si="95"/>
        <v>-2.9399999999999999E-2</v>
      </c>
      <c r="CJ356">
        <f t="shared" si="95"/>
        <v>-7.2300000000000003E-2</v>
      </c>
      <c r="CK356">
        <f t="shared" si="95"/>
        <v>-8.48E-2</v>
      </c>
      <c r="CL356">
        <f t="shared" si="95"/>
        <v>-0.12809999999999999</v>
      </c>
      <c r="CM356">
        <f t="shared" si="95"/>
        <v>-0.16239999999999999</v>
      </c>
      <c r="CN356">
        <f t="shared" si="95"/>
        <v>-0.18490000000000001</v>
      </c>
      <c r="CO356">
        <f t="shared" si="95"/>
        <v>-6.7599999999999993E-2</v>
      </c>
      <c r="CP356">
        <f t="shared" si="95"/>
        <v>-4.3099999999999999E-2</v>
      </c>
      <c r="CQ356">
        <f t="shared" si="95"/>
        <v>-5.3100000000000001E-2</v>
      </c>
      <c r="CR356">
        <f t="shared" si="95"/>
        <v>-8.3400000000000002E-2</v>
      </c>
      <c r="CS356">
        <f t="shared" si="95"/>
        <v>-0.15179999999999999</v>
      </c>
      <c r="CT356">
        <f t="shared" si="95"/>
        <v>-0.1996</v>
      </c>
      <c r="CU356">
        <f t="shared" si="95"/>
        <v>-0.12470000000000001</v>
      </c>
      <c r="CV356">
        <f t="shared" si="95"/>
        <v>-0.1673</v>
      </c>
      <c r="CW356">
        <f t="shared" si="95"/>
        <v>-4.82E-2</v>
      </c>
      <c r="CX356">
        <f t="shared" si="95"/>
        <v>-2.3999999999999998E-3</v>
      </c>
    </row>
    <row r="357" spans="1:102" x14ac:dyDescent="0.2">
      <c r="A357" t="s">
        <v>5928</v>
      </c>
      <c r="B357" t="s">
        <v>220</v>
      </c>
      <c r="C357" t="s">
        <v>223</v>
      </c>
      <c r="D357">
        <f>D330</f>
        <v>9.8599999999999993E-2</v>
      </c>
      <c r="E357">
        <f t="shared" ref="E357:BP357" si="96">E330</f>
        <v>0.1021</v>
      </c>
      <c r="F357">
        <f t="shared" si="96"/>
        <v>0.1055</v>
      </c>
      <c r="G357">
        <f t="shared" si="96"/>
        <v>2.2965</v>
      </c>
      <c r="H357">
        <f t="shared" si="96"/>
        <v>0.72599999999999998</v>
      </c>
      <c r="I357">
        <f t="shared" si="96"/>
        <v>1.0173000000000001</v>
      </c>
      <c r="J357">
        <f t="shared" si="96"/>
        <v>0.84740000000000004</v>
      </c>
      <c r="K357">
        <f t="shared" si="96"/>
        <v>0.74729999999999996</v>
      </c>
      <c r="L357">
        <f t="shared" si="96"/>
        <v>0.86180000000000001</v>
      </c>
      <c r="M357">
        <f t="shared" si="96"/>
        <v>0.76419999999999999</v>
      </c>
      <c r="N357">
        <f t="shared" si="96"/>
        <v>0.80779999999999996</v>
      </c>
      <c r="O357">
        <f t="shared" si="96"/>
        <v>0.80330000000000001</v>
      </c>
      <c r="P357">
        <f t="shared" si="96"/>
        <v>0.79749999999999999</v>
      </c>
      <c r="Q357">
        <f t="shared" si="96"/>
        <v>0.32940000000000003</v>
      </c>
      <c r="R357">
        <f t="shared" si="96"/>
        <v>0.28360000000000002</v>
      </c>
      <c r="S357">
        <f t="shared" si="96"/>
        <v>0.53090000000000004</v>
      </c>
      <c r="T357">
        <f t="shared" si="96"/>
        <v>0.48849999999999999</v>
      </c>
      <c r="U357">
        <f t="shared" si="96"/>
        <v>0.31309999999999999</v>
      </c>
      <c r="V357">
        <f t="shared" si="96"/>
        <v>0.38090000000000002</v>
      </c>
      <c r="W357">
        <f t="shared" si="96"/>
        <v>0.39850000000000002</v>
      </c>
      <c r="X357">
        <f t="shared" si="96"/>
        <v>0.38640000000000002</v>
      </c>
      <c r="Y357">
        <f t="shared" si="96"/>
        <v>0.21560000000000001</v>
      </c>
      <c r="Z357">
        <f t="shared" si="96"/>
        <v>0.17580000000000001</v>
      </c>
      <c r="AA357">
        <f t="shared" si="96"/>
        <v>0.17169999999999999</v>
      </c>
      <c r="AB357">
        <f t="shared" si="96"/>
        <v>0.24829999999999999</v>
      </c>
      <c r="AC357">
        <f t="shared" si="96"/>
        <v>0.2155</v>
      </c>
      <c r="AD357">
        <f t="shared" si="96"/>
        <v>0.2356</v>
      </c>
      <c r="AE357">
        <f t="shared" si="96"/>
        <v>0.23780000000000001</v>
      </c>
      <c r="AF357">
        <f t="shared" si="96"/>
        <v>0.2467</v>
      </c>
      <c r="AG357">
        <f t="shared" si="96"/>
        <v>0.22739999999999999</v>
      </c>
      <c r="AH357">
        <f t="shared" si="96"/>
        <v>0.22739999999999999</v>
      </c>
      <c r="AI357">
        <f t="shared" si="96"/>
        <v>0.21560000000000001</v>
      </c>
      <c r="AJ357">
        <f t="shared" si="96"/>
        <v>0.21310000000000001</v>
      </c>
      <c r="AK357">
        <f t="shared" si="96"/>
        <v>0.1986</v>
      </c>
      <c r="AL357">
        <f t="shared" si="96"/>
        <v>0.18720000000000001</v>
      </c>
      <c r="AM357">
        <f t="shared" si="96"/>
        <v>0.1575</v>
      </c>
      <c r="AN357">
        <f t="shared" si="96"/>
        <v>0.1474</v>
      </c>
      <c r="AO357">
        <f t="shared" si="96"/>
        <v>0.14399999999999999</v>
      </c>
      <c r="AP357">
        <f t="shared" si="96"/>
        <v>0.15060000000000001</v>
      </c>
      <c r="AQ357">
        <f t="shared" si="96"/>
        <v>0.12509999999999999</v>
      </c>
      <c r="AR357">
        <f t="shared" si="96"/>
        <v>0.13830000000000001</v>
      </c>
      <c r="AS357">
        <f t="shared" si="96"/>
        <v>0.1346</v>
      </c>
      <c r="AT357">
        <f t="shared" si="96"/>
        <v>0.12509999999999999</v>
      </c>
      <c r="AU357">
        <f t="shared" si="96"/>
        <v>0.1497</v>
      </c>
      <c r="AV357">
        <f t="shared" si="96"/>
        <v>0.1174</v>
      </c>
      <c r="AW357">
        <f t="shared" si="96"/>
        <v>0.1187</v>
      </c>
      <c r="AX357">
        <f t="shared" si="96"/>
        <v>0.1055</v>
      </c>
      <c r="AY357">
        <f t="shared" si="96"/>
        <v>0.1016</v>
      </c>
      <c r="AZ357">
        <f t="shared" si="96"/>
        <v>7.6999999999999999E-2</v>
      </c>
      <c r="BA357">
        <f t="shared" si="96"/>
        <v>8.1900000000000001E-2</v>
      </c>
      <c r="BB357">
        <f t="shared" si="96"/>
        <v>7.4999999999999997E-2</v>
      </c>
      <c r="BC357">
        <f t="shared" si="96"/>
        <v>5.9299999999999999E-2</v>
      </c>
      <c r="BD357">
        <f t="shared" si="96"/>
        <v>4.9200000000000001E-2</v>
      </c>
      <c r="BE357">
        <f t="shared" si="96"/>
        <v>5.6300000000000003E-2</v>
      </c>
      <c r="BF357">
        <f t="shared" si="96"/>
        <v>5.9200000000000003E-2</v>
      </c>
      <c r="BG357">
        <f t="shared" si="96"/>
        <v>4.0099999999999997E-2</v>
      </c>
      <c r="BH357">
        <f t="shared" si="96"/>
        <v>5.4199999999999998E-2</v>
      </c>
      <c r="BI357">
        <f t="shared" si="96"/>
        <v>6.54E-2</v>
      </c>
      <c r="BJ357">
        <f t="shared" si="96"/>
        <v>7.3200000000000001E-2</v>
      </c>
      <c r="BK357">
        <f t="shared" si="96"/>
        <v>7.9699999999999993E-2</v>
      </c>
      <c r="BL357">
        <f t="shared" si="96"/>
        <v>8.7499999999999994E-2</v>
      </c>
      <c r="BM357">
        <f t="shared" si="96"/>
        <v>9.1700000000000004E-2</v>
      </c>
      <c r="BN357">
        <f t="shared" si="96"/>
        <v>8.4099999999999994E-2</v>
      </c>
      <c r="BO357">
        <f t="shared" si="96"/>
        <v>9.6000000000000002E-2</v>
      </c>
      <c r="BP357">
        <f t="shared" si="96"/>
        <v>0.1211</v>
      </c>
      <c r="BQ357">
        <f t="shared" ref="BQ357:CX357" si="97">BQ330</f>
        <v>0.14349999999999999</v>
      </c>
      <c r="BR357">
        <f t="shared" si="97"/>
        <v>0.14460000000000001</v>
      </c>
      <c r="BS357">
        <f t="shared" si="97"/>
        <v>9.98E-2</v>
      </c>
      <c r="BT357">
        <f t="shared" si="97"/>
        <v>7.2300000000000003E-2</v>
      </c>
      <c r="BU357">
        <f t="shared" si="97"/>
        <v>4.3999999999999997E-2</v>
      </c>
      <c r="BV357">
        <f t="shared" si="97"/>
        <v>3.32E-2</v>
      </c>
      <c r="BW357">
        <f t="shared" si="97"/>
        <v>1.7100000000000001E-2</v>
      </c>
      <c r="BX357">
        <f t="shared" si="97"/>
        <v>1.17E-2</v>
      </c>
      <c r="BY357">
        <f t="shared" si="97"/>
        <v>3.8E-3</v>
      </c>
      <c r="BZ357">
        <f t="shared" si="97"/>
        <v>8.9999999999999993E-3</v>
      </c>
      <c r="CA357">
        <f t="shared" si="97"/>
        <v>2.7E-2</v>
      </c>
      <c r="CB357">
        <f t="shared" si="97"/>
        <v>7.4300000000000005E-2</v>
      </c>
      <c r="CC357">
        <f t="shared" si="97"/>
        <v>7.22E-2</v>
      </c>
      <c r="CD357">
        <f t="shared" si="97"/>
        <v>9.7799999999999998E-2</v>
      </c>
      <c r="CE357">
        <f t="shared" si="97"/>
        <v>0.1133</v>
      </c>
      <c r="CF357">
        <f t="shared" si="97"/>
        <v>0.124</v>
      </c>
      <c r="CG357">
        <f t="shared" si="97"/>
        <v>0.159</v>
      </c>
      <c r="CH357">
        <f t="shared" si="97"/>
        <v>0.1676</v>
      </c>
      <c r="CI357">
        <f t="shared" si="97"/>
        <v>0.1734</v>
      </c>
      <c r="CJ357">
        <f t="shared" si="97"/>
        <v>0.13450000000000001</v>
      </c>
      <c r="CK357">
        <f t="shared" si="97"/>
        <v>0.14380000000000001</v>
      </c>
      <c r="CL357">
        <f t="shared" si="97"/>
        <v>0.1081</v>
      </c>
      <c r="CM357">
        <f t="shared" si="97"/>
        <v>8.1699999999999995E-2</v>
      </c>
      <c r="CN357">
        <f t="shared" si="97"/>
        <v>5.9900000000000002E-2</v>
      </c>
      <c r="CO357">
        <f t="shared" si="97"/>
        <v>0.2029</v>
      </c>
      <c r="CP357">
        <f t="shared" si="97"/>
        <v>0.22109999999999999</v>
      </c>
      <c r="CQ357">
        <f t="shared" si="97"/>
        <v>0.22750000000000001</v>
      </c>
      <c r="CR357">
        <f t="shared" si="97"/>
        <v>0.21479999999999999</v>
      </c>
      <c r="CS357">
        <f t="shared" si="97"/>
        <v>0.1613</v>
      </c>
      <c r="CT357">
        <f t="shared" si="97"/>
        <v>0.14199999999999999</v>
      </c>
      <c r="CU357">
        <f t="shared" si="97"/>
        <v>0.18129999999999999</v>
      </c>
      <c r="CV357">
        <f t="shared" si="97"/>
        <v>0.27950000000000003</v>
      </c>
      <c r="CW357">
        <f t="shared" si="97"/>
        <v>0.33929999999999999</v>
      </c>
      <c r="CX357">
        <f t="shared" si="97"/>
        <v>0.58179999999999998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/>
  </sheetPr>
  <dimension ref="A1:CX125"/>
  <sheetViews>
    <sheetView topLeftCell="A122" zoomScale="85" zoomScaleNormal="130" workbookViewId="0">
      <selection activeCell="A126" sqref="A126:A143"/>
    </sheetView>
  </sheetViews>
  <sheetFormatPr baseColWidth="10" defaultRowHeight="16" x14ac:dyDescent="0.2"/>
  <sheetData>
    <row r="1" spans="1:10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</row>
    <row r="2" spans="1:102" x14ac:dyDescent="0.2">
      <c r="A2" t="s">
        <v>203</v>
      </c>
      <c r="B2" t="s">
        <v>217</v>
      </c>
      <c r="C2" t="s">
        <v>102</v>
      </c>
      <c r="D2">
        <f>'2012_2015'!B2</f>
        <v>0.19900000000000001</v>
      </c>
      <c r="E2">
        <f>'2012_2015'!C2</f>
        <v>0.54900000000000004</v>
      </c>
      <c r="F2">
        <f>'2012_2015'!D2</f>
        <v>0.80400000000000005</v>
      </c>
      <c r="G2">
        <f>'2012_2015'!E2</f>
        <v>0.96</v>
      </c>
      <c r="H2">
        <f>'2012_2015'!F2</f>
        <v>1.1299999999999999</v>
      </c>
      <c r="I2">
        <f>'2012_2015'!G2</f>
        <v>1.1879999999999999</v>
      </c>
      <c r="J2">
        <f>'2012_2015'!H2</f>
        <v>1.3149999999999999</v>
      </c>
      <c r="K2">
        <f>'2012_2015'!I2</f>
        <v>1.3660000000000001</v>
      </c>
      <c r="L2">
        <f>'2012_2015'!J2</f>
        <v>1.4379999999999999</v>
      </c>
      <c r="M2">
        <f>'2012_2015'!K2</f>
        <v>1.5069999999999999</v>
      </c>
      <c r="N2">
        <f>'2012_2015'!L2</f>
        <v>1.5469999999999999</v>
      </c>
      <c r="O2">
        <f>'2012_2015'!M2</f>
        <v>1.5940000000000001</v>
      </c>
      <c r="P2">
        <f>'2012_2015'!N2</f>
        <v>1.6220000000000001</v>
      </c>
      <c r="Q2">
        <f>'2012_2015'!O2</f>
        <v>1.6379999999999999</v>
      </c>
      <c r="R2">
        <f>'2012_2015'!P2</f>
        <v>1.647</v>
      </c>
      <c r="S2">
        <f>'2012_2015'!Q2</f>
        <v>1.6679999999999999</v>
      </c>
      <c r="T2">
        <f>'2012_2015'!R2</f>
        <v>1.694</v>
      </c>
      <c r="U2">
        <f>'2012_2015'!S2</f>
        <v>1.7090000000000001</v>
      </c>
      <c r="V2">
        <f>'2012_2015'!T2</f>
        <v>1.7190000000000001</v>
      </c>
      <c r="W2">
        <f>'2012_2015'!U2</f>
        <v>1.73</v>
      </c>
      <c r="X2">
        <f>'2012_2015'!V2</f>
        <v>1.752</v>
      </c>
      <c r="Y2">
        <f>'2012_2015'!W2</f>
        <v>1.77</v>
      </c>
      <c r="Z2">
        <f>'2012_2015'!X2</f>
        <v>1.7949999999999999</v>
      </c>
      <c r="AA2">
        <f>'2012_2015'!Y2</f>
        <v>1.8069999999999999</v>
      </c>
      <c r="AB2">
        <f>'2012_2015'!Z2</f>
        <v>1.8069999999999999</v>
      </c>
      <c r="AC2">
        <f>'2012_2015'!AA2</f>
        <v>1.8169999999999999</v>
      </c>
      <c r="AD2">
        <f>'2012_2015'!AB2</f>
        <v>1.823</v>
      </c>
      <c r="AE2">
        <f>'2012_2015'!AC2</f>
        <v>1.827</v>
      </c>
      <c r="AF2">
        <f>'2012_2015'!AD2</f>
        <v>1.8380000000000001</v>
      </c>
      <c r="AG2">
        <f>'2012_2015'!AE2</f>
        <v>1.8520000000000001</v>
      </c>
      <c r="AH2">
        <f>'2012_2015'!AF2</f>
        <v>1.8620000000000001</v>
      </c>
      <c r="AI2">
        <f>'2012_2015'!AG2</f>
        <v>1.877</v>
      </c>
      <c r="AJ2">
        <f>'2012_2015'!AH2</f>
        <v>1.903</v>
      </c>
      <c r="AK2">
        <f>'2012_2015'!AI2</f>
        <v>1.9239999999999999</v>
      </c>
      <c r="AL2">
        <f>'2012_2015'!AJ2</f>
        <v>1.9370000000000001</v>
      </c>
      <c r="AM2">
        <f>'2012_2015'!AK2</f>
        <v>1.952</v>
      </c>
      <c r="AN2">
        <f>'2012_2015'!AL2</f>
        <v>1.96</v>
      </c>
      <c r="AO2">
        <f>'2012_2015'!AM2</f>
        <v>1.9750000000000001</v>
      </c>
      <c r="AP2">
        <f>'2012_2015'!AN2</f>
        <v>2.0059999999999998</v>
      </c>
      <c r="AQ2">
        <f>'2012_2015'!AO2</f>
        <v>2.0369999999999999</v>
      </c>
      <c r="AR2">
        <f>'2012_2015'!AP2</f>
        <v>2.0409999999999999</v>
      </c>
      <c r="AS2">
        <f>'2012_2015'!AQ2</f>
        <v>2.048</v>
      </c>
      <c r="AT2">
        <f>'2012_2015'!AR2</f>
        <v>2.0579999999999998</v>
      </c>
      <c r="AU2">
        <f>'2012_2015'!AS2</f>
        <v>2.0720000000000001</v>
      </c>
      <c r="AV2">
        <f>'2012_2015'!AT2</f>
        <v>2.0699999999999998</v>
      </c>
      <c r="AW2">
        <f>'2012_2015'!AU2</f>
        <v>2.097</v>
      </c>
      <c r="AX2">
        <f>'2012_2015'!AV2</f>
        <v>2.121</v>
      </c>
      <c r="AY2">
        <f>'2012_2015'!AW2</f>
        <v>2.1339999999999999</v>
      </c>
      <c r="AZ2">
        <f>'2012_2015'!AX2</f>
        <v>2.1469999999999998</v>
      </c>
      <c r="BA2">
        <f>'2012_2015'!AY2</f>
        <v>2.1629999999999998</v>
      </c>
      <c r="BB2">
        <f>'2012_2015'!AZ2</f>
        <v>2.1970000000000001</v>
      </c>
      <c r="BC2">
        <f>'2012_2015'!BA2</f>
        <v>2.222</v>
      </c>
      <c r="BD2">
        <f>'2012_2015'!BB2</f>
        <v>2.2269999999999999</v>
      </c>
      <c r="BE2">
        <f>'2012_2015'!BC2</f>
        <v>2.2469999999999999</v>
      </c>
      <c r="BF2">
        <f>'2012_2015'!BD2</f>
        <v>2.2450000000000001</v>
      </c>
      <c r="BG2">
        <f>'2012_2015'!BE2</f>
        <v>2.2719999999999998</v>
      </c>
      <c r="BH2">
        <f>'2012_2015'!BF2</f>
        <v>2.2890000000000001</v>
      </c>
      <c r="BI2">
        <f>'2012_2015'!BG2</f>
        <v>2.3130000000000002</v>
      </c>
      <c r="BJ2">
        <f>'2012_2015'!BH2</f>
        <v>2.3290000000000002</v>
      </c>
      <c r="BK2">
        <f>'2012_2015'!BI2</f>
        <v>2.35</v>
      </c>
      <c r="BL2">
        <f>'2012_2015'!BJ2</f>
        <v>2.3610000000000002</v>
      </c>
      <c r="BM2">
        <f>'2012_2015'!BK2</f>
        <v>2.3879999999999999</v>
      </c>
      <c r="BN2">
        <f>'2012_2015'!BL2</f>
        <v>2.41</v>
      </c>
      <c r="BO2">
        <f>'2012_2015'!BM2</f>
        <v>2.4409999999999998</v>
      </c>
      <c r="BP2">
        <f>'2012_2015'!BN2</f>
        <v>2.4500000000000002</v>
      </c>
      <c r="BQ2">
        <f>'2012_2015'!BO2</f>
        <v>2.472</v>
      </c>
      <c r="BR2">
        <f>'2012_2015'!BP2</f>
        <v>2.476</v>
      </c>
      <c r="BS2">
        <f>'2012_2015'!BQ2</f>
        <v>2.5110000000000001</v>
      </c>
      <c r="BT2">
        <f>'2012_2015'!BR2</f>
        <v>2.5310000000000001</v>
      </c>
      <c r="BU2">
        <f>'2012_2015'!BS2</f>
        <v>2.5529999999999999</v>
      </c>
      <c r="BV2">
        <f>'2012_2015'!BT2</f>
        <v>2.577</v>
      </c>
      <c r="BW2">
        <f>'2012_2015'!BU2</f>
        <v>2.6070000000000002</v>
      </c>
      <c r="BX2">
        <f>'2012_2015'!BV2</f>
        <v>2.6360000000000001</v>
      </c>
      <c r="BY2">
        <f>'2012_2015'!BW2</f>
        <v>2.657</v>
      </c>
      <c r="BZ2">
        <f>'2012_2015'!BX2</f>
        <v>2.71</v>
      </c>
      <c r="CA2">
        <f>'2012_2015'!BY2</f>
        <v>2.7410000000000001</v>
      </c>
      <c r="CB2">
        <f>'2012_2015'!BZ2</f>
        <v>2.7519999999999998</v>
      </c>
      <c r="CC2">
        <f>'2012_2015'!CA2</f>
        <v>2.7789999999999999</v>
      </c>
      <c r="CD2">
        <f>'2012_2015'!CB2</f>
        <v>2.7829999999999999</v>
      </c>
      <c r="CE2">
        <f>'2012_2015'!CC2</f>
        <v>2.84</v>
      </c>
      <c r="CF2">
        <f>'2012_2015'!CD2</f>
        <v>2.879</v>
      </c>
      <c r="CG2">
        <f>'2012_2015'!CE2</f>
        <v>2.9359999999999999</v>
      </c>
      <c r="CH2">
        <f>'2012_2015'!CF2</f>
        <v>2.9710000000000001</v>
      </c>
      <c r="CI2">
        <f>'2012_2015'!CG2</f>
        <v>3.0030000000000001</v>
      </c>
      <c r="CJ2">
        <f>'2012_2015'!CH2</f>
        <v>3.0510000000000002</v>
      </c>
      <c r="CK2">
        <f>'2012_2015'!CI2</f>
        <v>3.1179999999999999</v>
      </c>
      <c r="CL2">
        <f>'2012_2015'!CJ2</f>
        <v>3.1560000000000001</v>
      </c>
      <c r="CM2">
        <f>'2012_2015'!CK2</f>
        <v>3.1930000000000001</v>
      </c>
      <c r="CN2">
        <f>'2012_2015'!CL2</f>
        <v>3.27</v>
      </c>
      <c r="CO2">
        <f>'2012_2015'!CM2</f>
        <v>3.3290000000000002</v>
      </c>
      <c r="CP2">
        <f>'2012_2015'!CN2</f>
        <v>3.427</v>
      </c>
      <c r="CQ2">
        <f>'2012_2015'!CO2</f>
        <v>3.4489999999999998</v>
      </c>
      <c r="CR2">
        <f>'2012_2015'!CP2</f>
        <v>3.5630000000000002</v>
      </c>
      <c r="CS2">
        <f>'2012_2015'!CQ2</f>
        <v>3.66</v>
      </c>
      <c r="CT2">
        <f>'2012_2015'!CR2</f>
        <v>3.7480000000000002</v>
      </c>
      <c r="CU2">
        <f>'2012_2015'!CS2</f>
        <v>3.8969999999999998</v>
      </c>
      <c r="CV2">
        <f>'2012_2015'!CT2</f>
        <v>4.0730000000000004</v>
      </c>
      <c r="CW2">
        <f>'2012_2015'!CU2</f>
        <v>4.2949999999999999</v>
      </c>
      <c r="CX2">
        <f>'2012_2015'!CV2</f>
        <v>4.6260000000000003</v>
      </c>
    </row>
    <row r="3" spans="1:102" x14ac:dyDescent="0.2">
      <c r="A3" t="s">
        <v>204</v>
      </c>
      <c r="B3" t="s">
        <v>217</v>
      </c>
      <c r="C3" t="s">
        <v>102</v>
      </c>
      <c r="D3">
        <f>'2012_2015'!B3</f>
        <v>-7.6999999999999999E-2</v>
      </c>
      <c r="E3">
        <f>'2012_2015'!C3</f>
        <v>0.30599999999999999</v>
      </c>
      <c r="F3">
        <f>'2012_2015'!D3</f>
        <v>0.53600000000000003</v>
      </c>
      <c r="G3">
        <f>'2012_2015'!E3</f>
        <v>0.69099999999999995</v>
      </c>
      <c r="H3">
        <f>'2012_2015'!F3</f>
        <v>0.85599999999999998</v>
      </c>
      <c r="I3">
        <f>'2012_2015'!G3</f>
        <v>0.96299999999999997</v>
      </c>
      <c r="J3">
        <f>'2012_2015'!H3</f>
        <v>1.0529999999999999</v>
      </c>
      <c r="K3">
        <f>'2012_2015'!I3</f>
        <v>1.149</v>
      </c>
      <c r="L3">
        <f>'2012_2015'!J3</f>
        <v>1.22</v>
      </c>
      <c r="M3">
        <f>'2012_2015'!K3</f>
        <v>1.3089999999999999</v>
      </c>
      <c r="N3">
        <f>'2012_2015'!L3</f>
        <v>1.34</v>
      </c>
      <c r="O3">
        <f>'2012_2015'!M3</f>
        <v>1.389</v>
      </c>
      <c r="P3">
        <f>'2012_2015'!N3</f>
        <v>1.4359999999999999</v>
      </c>
      <c r="Q3">
        <f>'2012_2015'!O3</f>
        <v>1.468</v>
      </c>
      <c r="R3">
        <f>'2012_2015'!P3</f>
        <v>1.5089999999999999</v>
      </c>
      <c r="S3">
        <f>'2012_2015'!Q3</f>
        <v>1.536</v>
      </c>
      <c r="T3">
        <f>'2012_2015'!R3</f>
        <v>1.5549999999999999</v>
      </c>
      <c r="U3">
        <f>'2012_2015'!S3</f>
        <v>1.5680000000000001</v>
      </c>
      <c r="V3">
        <f>'2012_2015'!T3</f>
        <v>1.59</v>
      </c>
      <c r="W3">
        <f>'2012_2015'!U3</f>
        <v>1.6060000000000001</v>
      </c>
      <c r="X3">
        <f>'2012_2015'!V3</f>
        <v>1.627</v>
      </c>
      <c r="Y3">
        <f>'2012_2015'!W3</f>
        <v>1.641</v>
      </c>
      <c r="Z3">
        <f>'2012_2015'!X3</f>
        <v>1.653</v>
      </c>
      <c r="AA3">
        <f>'2012_2015'!Y3</f>
        <v>1.671</v>
      </c>
      <c r="AB3">
        <f>'2012_2015'!Z3</f>
        <v>1.6850000000000001</v>
      </c>
      <c r="AC3">
        <f>'2012_2015'!AA3</f>
        <v>1.7050000000000001</v>
      </c>
      <c r="AD3">
        <f>'2012_2015'!AB3</f>
        <v>1.7210000000000001</v>
      </c>
      <c r="AE3">
        <f>'2012_2015'!AC3</f>
        <v>1.736</v>
      </c>
      <c r="AF3">
        <f>'2012_2015'!AD3</f>
        <v>1.7470000000000001</v>
      </c>
      <c r="AG3">
        <f>'2012_2015'!AE3</f>
        <v>1.756</v>
      </c>
      <c r="AH3">
        <f>'2012_2015'!AF3</f>
        <v>1.7669999999999999</v>
      </c>
      <c r="AI3">
        <f>'2012_2015'!AG3</f>
        <v>1.7769999999999999</v>
      </c>
      <c r="AJ3">
        <f>'2012_2015'!AH3</f>
        <v>1.7869999999999999</v>
      </c>
      <c r="AK3">
        <f>'2012_2015'!AI3</f>
        <v>1.81</v>
      </c>
      <c r="AL3">
        <f>'2012_2015'!AJ3</f>
        <v>1.825</v>
      </c>
      <c r="AM3">
        <f>'2012_2015'!AK3</f>
        <v>1.8380000000000001</v>
      </c>
      <c r="AN3">
        <f>'2012_2015'!AL3</f>
        <v>1.8540000000000001</v>
      </c>
      <c r="AO3">
        <f>'2012_2015'!AM3</f>
        <v>1.87</v>
      </c>
      <c r="AP3">
        <f>'2012_2015'!AN3</f>
        <v>1.8879999999999999</v>
      </c>
      <c r="AQ3">
        <f>'2012_2015'!AO3</f>
        <v>1.899</v>
      </c>
      <c r="AR3">
        <f>'2012_2015'!AP3</f>
        <v>1.9139999999999999</v>
      </c>
      <c r="AS3">
        <f>'2012_2015'!AQ3</f>
        <v>1.93</v>
      </c>
      <c r="AT3">
        <f>'2012_2015'!AR3</f>
        <v>1.952</v>
      </c>
      <c r="AU3">
        <f>'2012_2015'!AS3</f>
        <v>1.9690000000000001</v>
      </c>
      <c r="AV3">
        <f>'2012_2015'!AT3</f>
        <v>1.9930000000000001</v>
      </c>
      <c r="AW3">
        <f>'2012_2015'!AU3</f>
        <v>2.0099999999999998</v>
      </c>
      <c r="AX3">
        <f>'2012_2015'!AV3</f>
        <v>2.028</v>
      </c>
      <c r="AY3">
        <f>'2012_2015'!AW3</f>
        <v>2.0299999999999998</v>
      </c>
      <c r="AZ3">
        <f>'2012_2015'!AX3</f>
        <v>2.0390000000000001</v>
      </c>
      <c r="BA3">
        <f>'2012_2015'!AY3</f>
        <v>2.0579999999999998</v>
      </c>
      <c r="BB3">
        <f>'2012_2015'!AZ3</f>
        <v>2.0699999999999998</v>
      </c>
      <c r="BC3">
        <f>'2012_2015'!BA3</f>
        <v>2.093</v>
      </c>
      <c r="BD3">
        <f>'2012_2015'!BB3</f>
        <v>2.1179999999999999</v>
      </c>
      <c r="BE3">
        <f>'2012_2015'!BC3</f>
        <v>2.1379999999999999</v>
      </c>
      <c r="BF3">
        <f>'2012_2015'!BD3</f>
        <v>2.15</v>
      </c>
      <c r="BG3">
        <f>'2012_2015'!BE3</f>
        <v>2.17</v>
      </c>
      <c r="BH3">
        <f>'2012_2015'!BF3</f>
        <v>2.2010000000000001</v>
      </c>
      <c r="BI3">
        <f>'2012_2015'!BG3</f>
        <v>2.2240000000000002</v>
      </c>
      <c r="BJ3">
        <f>'2012_2015'!BH3</f>
        <v>2.2450000000000001</v>
      </c>
      <c r="BK3">
        <f>'2012_2015'!BI3</f>
        <v>2.246</v>
      </c>
      <c r="BL3">
        <f>'2012_2015'!BJ3</f>
        <v>2.2589999999999999</v>
      </c>
      <c r="BM3">
        <f>'2012_2015'!BK3</f>
        <v>2.2850000000000001</v>
      </c>
      <c r="BN3">
        <f>'2012_2015'!BL3</f>
        <v>2.3109999999999999</v>
      </c>
      <c r="BO3">
        <f>'2012_2015'!BM3</f>
        <v>2.3290000000000002</v>
      </c>
      <c r="BP3">
        <f>'2012_2015'!BN3</f>
        <v>2.3479999999999999</v>
      </c>
      <c r="BQ3">
        <f>'2012_2015'!BO3</f>
        <v>2.3860000000000001</v>
      </c>
      <c r="BR3">
        <f>'2012_2015'!BP3</f>
        <v>2.4140000000000001</v>
      </c>
      <c r="BS3">
        <f>'2012_2015'!BQ3</f>
        <v>2.4369999999999998</v>
      </c>
      <c r="BT3">
        <f>'2012_2015'!BR3</f>
        <v>2.4409999999999998</v>
      </c>
      <c r="BU3">
        <f>'2012_2015'!BS3</f>
        <v>2.468</v>
      </c>
      <c r="BV3">
        <f>'2012_2015'!BT3</f>
        <v>2.5030000000000001</v>
      </c>
      <c r="BW3">
        <f>'2012_2015'!BU3</f>
        <v>2.5310000000000001</v>
      </c>
      <c r="BX3">
        <f>'2012_2015'!BV3</f>
        <v>2.5499999999999998</v>
      </c>
      <c r="BY3">
        <f>'2012_2015'!BW3</f>
        <v>2.5859999999999999</v>
      </c>
      <c r="BZ3">
        <f>'2012_2015'!BX3</f>
        <v>2.6269999999999998</v>
      </c>
      <c r="CA3">
        <f>'2012_2015'!BY3</f>
        <v>2.66</v>
      </c>
      <c r="CB3">
        <f>'2012_2015'!BZ3</f>
        <v>2.6669999999999998</v>
      </c>
      <c r="CC3">
        <f>'2012_2015'!CA3</f>
        <v>2.7189999999999999</v>
      </c>
      <c r="CD3">
        <f>'2012_2015'!CB3</f>
        <v>2.7490000000000001</v>
      </c>
      <c r="CE3">
        <f>'2012_2015'!CC3</f>
        <v>2.7810000000000001</v>
      </c>
      <c r="CF3">
        <f>'2012_2015'!CD3</f>
        <v>2.8330000000000002</v>
      </c>
      <c r="CG3">
        <f>'2012_2015'!CE3</f>
        <v>2.8690000000000002</v>
      </c>
      <c r="CH3">
        <f>'2012_2015'!CF3</f>
        <v>2.9329999999999998</v>
      </c>
      <c r="CI3">
        <f>'2012_2015'!CG3</f>
        <v>2.9420000000000002</v>
      </c>
      <c r="CJ3">
        <f>'2012_2015'!CH3</f>
        <v>2.9780000000000002</v>
      </c>
      <c r="CK3">
        <f>'2012_2015'!CI3</f>
        <v>3.0419999999999998</v>
      </c>
      <c r="CL3">
        <f>'2012_2015'!CJ3</f>
        <v>3.117</v>
      </c>
      <c r="CM3">
        <f>'2012_2015'!CK3</f>
        <v>3.1720000000000002</v>
      </c>
      <c r="CN3">
        <f>'2012_2015'!CL3</f>
        <v>3.222</v>
      </c>
      <c r="CO3">
        <f>'2012_2015'!CM3</f>
        <v>3.2970000000000002</v>
      </c>
      <c r="CP3">
        <f>'2012_2015'!CN3</f>
        <v>3.3460000000000001</v>
      </c>
      <c r="CQ3">
        <f>'2012_2015'!CO3</f>
        <v>3.4289999999999998</v>
      </c>
      <c r="CR3">
        <f>'2012_2015'!CP3</f>
        <v>3.5230000000000001</v>
      </c>
      <c r="CS3">
        <f>'2012_2015'!CQ3</f>
        <v>3.65</v>
      </c>
      <c r="CT3">
        <f>'2012_2015'!CR3</f>
        <v>3.7469999999999999</v>
      </c>
      <c r="CU3">
        <f>'2012_2015'!CS3</f>
        <v>3.8639999999999999</v>
      </c>
      <c r="CV3">
        <f>'2012_2015'!CT3</f>
        <v>4.0410000000000004</v>
      </c>
      <c r="CW3">
        <f>'2012_2015'!CU3</f>
        <v>4.2939999999999996</v>
      </c>
      <c r="CX3">
        <f>'2012_2015'!CV3</f>
        <v>4.609</v>
      </c>
    </row>
    <row r="4" spans="1:102" x14ac:dyDescent="0.2">
      <c r="A4" t="s">
        <v>205</v>
      </c>
      <c r="B4" t="s">
        <v>217</v>
      </c>
      <c r="C4" t="s">
        <v>102</v>
      </c>
      <c r="D4">
        <f>'2012_2015'!B4</f>
        <v>0.27600000000000002</v>
      </c>
      <c r="E4">
        <f>'2012_2015'!C4</f>
        <v>0.24299999999999999</v>
      </c>
      <c r="F4">
        <f>'2012_2015'!D4</f>
        <v>0.26800000000000002</v>
      </c>
      <c r="G4">
        <f>'2012_2015'!E4</f>
        <v>0.26900000000000002</v>
      </c>
      <c r="H4">
        <f>'2012_2015'!F4</f>
        <v>0.27400000000000002</v>
      </c>
      <c r="I4">
        <f>'2012_2015'!G4</f>
        <v>0.22600000000000001</v>
      </c>
      <c r="J4">
        <f>'2012_2015'!H4</f>
        <v>0.26200000000000001</v>
      </c>
      <c r="K4">
        <f>'2012_2015'!I4</f>
        <v>0.217</v>
      </c>
      <c r="L4">
        <f>'2012_2015'!J4</f>
        <v>0.218</v>
      </c>
      <c r="M4">
        <f>'2012_2015'!K4</f>
        <v>0.19800000000000001</v>
      </c>
      <c r="N4">
        <f>'2012_2015'!L4</f>
        <v>0.20699999999999999</v>
      </c>
      <c r="O4">
        <f>'2012_2015'!M4</f>
        <v>0.20499999999999999</v>
      </c>
      <c r="P4">
        <f>'2012_2015'!N4</f>
        <v>0.187</v>
      </c>
      <c r="Q4">
        <f>'2012_2015'!O4</f>
        <v>0.17</v>
      </c>
      <c r="R4">
        <f>'2012_2015'!P4</f>
        <v>0.13800000000000001</v>
      </c>
      <c r="S4">
        <f>'2012_2015'!Q4</f>
        <v>0.13300000000000001</v>
      </c>
      <c r="T4">
        <f>'2012_2015'!R4</f>
        <v>0.14000000000000001</v>
      </c>
      <c r="U4">
        <f>'2012_2015'!S4</f>
        <v>0.14099999999999999</v>
      </c>
      <c r="V4">
        <f>'2012_2015'!T4</f>
        <v>0.129</v>
      </c>
      <c r="W4">
        <f>'2012_2015'!U4</f>
        <v>0.124</v>
      </c>
      <c r="X4">
        <f>'2012_2015'!V4</f>
        <v>0.125</v>
      </c>
      <c r="Y4">
        <f>'2012_2015'!W4</f>
        <v>0.129</v>
      </c>
      <c r="Z4">
        <f>'2012_2015'!X4</f>
        <v>0.14099999999999999</v>
      </c>
      <c r="AA4">
        <f>'2012_2015'!Y4</f>
        <v>0.13600000000000001</v>
      </c>
      <c r="AB4">
        <f>'2012_2015'!Z4</f>
        <v>0.122</v>
      </c>
      <c r="AC4">
        <f>'2012_2015'!AA4</f>
        <v>0.112</v>
      </c>
      <c r="AD4">
        <f>'2012_2015'!AB4</f>
        <v>0.10199999999999999</v>
      </c>
      <c r="AE4">
        <f>'2012_2015'!AC4</f>
        <v>9.0700000000000003E-2</v>
      </c>
      <c r="AF4">
        <f>'2012_2015'!AD4</f>
        <v>9.0999999999999998E-2</v>
      </c>
      <c r="AG4">
        <f>'2012_2015'!AE4</f>
        <v>9.6500000000000002E-2</v>
      </c>
      <c r="AH4">
        <f>'2012_2015'!AF4</f>
        <v>9.4399999999999998E-2</v>
      </c>
      <c r="AI4">
        <f>'2012_2015'!AG4</f>
        <v>9.9900000000000003E-2</v>
      </c>
      <c r="AJ4">
        <f>'2012_2015'!AH4</f>
        <v>0.11600000000000001</v>
      </c>
      <c r="AK4">
        <f>'2012_2015'!AI4</f>
        <v>0.114</v>
      </c>
      <c r="AL4">
        <f>'2012_2015'!AJ4</f>
        <v>0.112</v>
      </c>
      <c r="AM4">
        <f>'2012_2015'!AK4</f>
        <v>0.114</v>
      </c>
      <c r="AN4">
        <f>'2012_2015'!AL4</f>
        <v>0.106</v>
      </c>
      <c r="AO4">
        <f>'2012_2015'!AM4</f>
        <v>0.104</v>
      </c>
      <c r="AP4">
        <f>'2012_2015'!AN4</f>
        <v>0.11799999999999999</v>
      </c>
      <c r="AQ4">
        <f>'2012_2015'!AO4</f>
        <v>0.13800000000000001</v>
      </c>
      <c r="AR4">
        <f>'2012_2015'!AP4</f>
        <v>0.127</v>
      </c>
      <c r="AS4">
        <f>'2012_2015'!AQ4</f>
        <v>0.11799999999999999</v>
      </c>
      <c r="AT4">
        <f>'2012_2015'!AR4</f>
        <v>0.106</v>
      </c>
      <c r="AU4">
        <f>'2012_2015'!AS4</f>
        <v>0.10299999999999999</v>
      </c>
      <c r="AV4">
        <f>'2012_2015'!AT4</f>
        <v>7.6799999999999993E-2</v>
      </c>
      <c r="AW4">
        <f>'2012_2015'!AU4</f>
        <v>8.6300000000000002E-2</v>
      </c>
      <c r="AX4">
        <f>'2012_2015'!AV4</f>
        <v>9.3200000000000005E-2</v>
      </c>
      <c r="AY4">
        <f>'2012_2015'!AW4</f>
        <v>0.104</v>
      </c>
      <c r="AZ4">
        <f>'2012_2015'!AX4</f>
        <v>0.108</v>
      </c>
      <c r="BA4">
        <f>'2012_2015'!AY4</f>
        <v>0.105</v>
      </c>
      <c r="BB4">
        <f>'2012_2015'!AZ4</f>
        <v>0.127</v>
      </c>
      <c r="BC4">
        <f>'2012_2015'!BA4</f>
        <v>0.129</v>
      </c>
      <c r="BD4">
        <f>'2012_2015'!BB4</f>
        <v>0.109</v>
      </c>
      <c r="BE4">
        <f>'2012_2015'!BC4</f>
        <v>0.11</v>
      </c>
      <c r="BF4">
        <f>'2012_2015'!BD4</f>
        <v>9.4899999999999998E-2</v>
      </c>
      <c r="BG4">
        <f>'2012_2015'!BE4</f>
        <v>0.10199999999999999</v>
      </c>
      <c r="BH4">
        <f>'2012_2015'!BF4</f>
        <v>8.7400000000000005E-2</v>
      </c>
      <c r="BI4">
        <f>'2012_2015'!BG4</f>
        <v>8.8900000000000007E-2</v>
      </c>
      <c r="BJ4">
        <f>'2012_2015'!BH4</f>
        <v>8.3900000000000002E-2</v>
      </c>
      <c r="BK4">
        <f>'2012_2015'!BI4</f>
        <v>0.104</v>
      </c>
      <c r="BL4">
        <f>'2012_2015'!BJ4</f>
        <v>0.10199999999999999</v>
      </c>
      <c r="BM4">
        <f>'2012_2015'!BK4</f>
        <v>0.10299999999999999</v>
      </c>
      <c r="BN4">
        <f>'2012_2015'!BL4</f>
        <v>9.9299999999999999E-2</v>
      </c>
      <c r="BO4">
        <f>'2012_2015'!BM4</f>
        <v>0.112</v>
      </c>
      <c r="BP4">
        <f>'2012_2015'!BN4</f>
        <v>0.10199999999999999</v>
      </c>
      <c r="BQ4">
        <f>'2012_2015'!BO4</f>
        <v>8.5599999999999996E-2</v>
      </c>
      <c r="BR4">
        <f>'2012_2015'!BP4</f>
        <v>6.2100000000000002E-2</v>
      </c>
      <c r="BS4">
        <f>'2012_2015'!BQ4</f>
        <v>7.3700000000000002E-2</v>
      </c>
      <c r="BT4">
        <f>'2012_2015'!BR4</f>
        <v>8.9599999999999999E-2</v>
      </c>
      <c r="BU4">
        <f>'2012_2015'!BS4</f>
        <v>8.4599999999999995E-2</v>
      </c>
      <c r="BV4">
        <f>'2012_2015'!BT4</f>
        <v>7.3999999999999996E-2</v>
      </c>
      <c r="BW4">
        <f>'2012_2015'!BU4</f>
        <v>7.6300000000000007E-2</v>
      </c>
      <c r="BX4">
        <f>'2012_2015'!BV4</f>
        <v>8.6900000000000005E-2</v>
      </c>
      <c r="BY4">
        <f>'2012_2015'!BW4</f>
        <v>7.0900000000000005E-2</v>
      </c>
      <c r="BZ4">
        <f>'2012_2015'!BX4</f>
        <v>8.2600000000000007E-2</v>
      </c>
      <c r="CA4">
        <f>'2012_2015'!BY4</f>
        <v>8.1000000000000003E-2</v>
      </c>
      <c r="CB4">
        <f>'2012_2015'!BZ4</f>
        <v>8.4599999999999995E-2</v>
      </c>
      <c r="CC4">
        <f>'2012_2015'!CA4</f>
        <v>6.0100000000000001E-2</v>
      </c>
      <c r="CD4">
        <f>'2012_2015'!CB4</f>
        <v>3.44E-2</v>
      </c>
      <c r="CE4">
        <f>'2012_2015'!CC4</f>
        <v>5.8900000000000001E-2</v>
      </c>
      <c r="CF4">
        <f>'2012_2015'!CD4</f>
        <v>4.6899999999999997E-2</v>
      </c>
      <c r="CG4">
        <f>'2012_2015'!CE4</f>
        <v>6.6900000000000001E-2</v>
      </c>
      <c r="CH4">
        <f>'2012_2015'!CF4</f>
        <v>3.7699999999999997E-2</v>
      </c>
      <c r="CI4">
        <f>'2012_2015'!CG4</f>
        <v>6.0900000000000003E-2</v>
      </c>
      <c r="CJ4">
        <f>'2012_2015'!CH4</f>
        <v>7.3499999999999996E-2</v>
      </c>
      <c r="CK4">
        <f>'2012_2015'!CI4</f>
        <v>7.6300000000000007E-2</v>
      </c>
      <c r="CL4">
        <f>'2012_2015'!CJ4</f>
        <v>3.9300000000000002E-2</v>
      </c>
      <c r="CM4">
        <f>'2012_2015'!CK4</f>
        <v>2.1000000000000001E-2</v>
      </c>
      <c r="CN4">
        <f>'2012_2015'!CL4</f>
        <v>4.7699999999999999E-2</v>
      </c>
      <c r="CO4">
        <f>'2012_2015'!CM4</f>
        <v>3.1800000000000002E-2</v>
      </c>
      <c r="CP4">
        <f>'2012_2015'!CN4</f>
        <v>8.1299999999999997E-2</v>
      </c>
      <c r="CQ4">
        <f>'2012_2015'!CO4</f>
        <v>1.9800000000000002E-2</v>
      </c>
      <c r="CR4">
        <f>'2012_2015'!CP4</f>
        <v>0.04</v>
      </c>
      <c r="CS4">
        <f>'2012_2015'!CQ4</f>
        <v>9.8600000000000007E-3</v>
      </c>
      <c r="CT4">
        <f>'2012_2015'!CR4</f>
        <v>8.1499999999999997E-4</v>
      </c>
      <c r="CU4">
        <f>'2012_2015'!CS4</f>
        <v>3.2399999999999998E-2</v>
      </c>
      <c r="CV4">
        <f>'2012_2015'!CT4</f>
        <v>3.2399999999999998E-2</v>
      </c>
      <c r="CW4">
        <f>'2012_2015'!CU4</f>
        <v>1.24E-3</v>
      </c>
      <c r="CX4">
        <f>'2012_2015'!CV4</f>
        <v>1.7299999999999999E-2</v>
      </c>
    </row>
    <row r="5" spans="1:102" x14ac:dyDescent="0.2">
      <c r="A5" t="s">
        <v>206</v>
      </c>
      <c r="B5" t="s">
        <v>217</v>
      </c>
      <c r="C5" t="s">
        <v>102</v>
      </c>
      <c r="D5">
        <f>'2012_2015'!B5</f>
        <v>4.8300000000000003E-2</v>
      </c>
      <c r="E5">
        <f>'2012_2015'!C5</f>
        <v>6.7599999999999993E-2</v>
      </c>
      <c r="F5">
        <f>'2012_2015'!D5</f>
        <v>6.7599999999999993E-2</v>
      </c>
      <c r="G5">
        <f>'2012_2015'!E5</f>
        <v>6.7400000000000002E-2</v>
      </c>
      <c r="H5">
        <f>'2012_2015'!F5</f>
        <v>6.3399999999999998E-2</v>
      </c>
      <c r="I5">
        <f>'2012_2015'!G5</f>
        <v>6.8099999999999994E-2</v>
      </c>
      <c r="J5">
        <f>'2012_2015'!H5</f>
        <v>6.6400000000000001E-2</v>
      </c>
      <c r="K5">
        <f>'2012_2015'!I5</f>
        <v>6.2100000000000002E-2</v>
      </c>
      <c r="L5">
        <f>'2012_2015'!J5</f>
        <v>6.3700000000000007E-2</v>
      </c>
      <c r="M5">
        <f>'2012_2015'!K5</f>
        <v>5.11E-2</v>
      </c>
      <c r="N5">
        <f>'2012_2015'!L5</f>
        <v>4.9399999999999999E-2</v>
      </c>
      <c r="O5">
        <f>'2012_2015'!M5</f>
        <v>4.6699999999999998E-2</v>
      </c>
      <c r="P5">
        <f>'2012_2015'!N5</f>
        <v>4.2700000000000002E-2</v>
      </c>
      <c r="Q5">
        <f>'2012_2015'!O5</f>
        <v>3.8600000000000002E-2</v>
      </c>
      <c r="R5">
        <f>'2012_2015'!P5</f>
        <v>3.2199999999999999E-2</v>
      </c>
      <c r="S5">
        <f>'2012_2015'!Q5</f>
        <v>2.93E-2</v>
      </c>
      <c r="T5">
        <f>'2012_2015'!R5</f>
        <v>2.8000000000000001E-2</v>
      </c>
      <c r="U5">
        <f>'2012_2015'!S5</f>
        <v>2.75E-2</v>
      </c>
      <c r="V5">
        <f>'2012_2015'!T5</f>
        <v>2.6200000000000001E-2</v>
      </c>
      <c r="W5">
        <f>'2012_2015'!U5</f>
        <v>2.5700000000000001E-2</v>
      </c>
      <c r="X5">
        <f>'2012_2015'!V5</f>
        <v>2.52E-2</v>
      </c>
      <c r="Y5">
        <f>'2012_2015'!W5</f>
        <v>2.53E-2</v>
      </c>
      <c r="Z5">
        <f>'2012_2015'!X5</f>
        <v>2.52E-2</v>
      </c>
      <c r="AA5">
        <f>'2012_2015'!Y5</f>
        <v>2.52E-2</v>
      </c>
      <c r="AB5">
        <f>'2012_2015'!Z5</f>
        <v>2.52E-2</v>
      </c>
      <c r="AC5">
        <f>'2012_2015'!AA5</f>
        <v>2.4799999999999999E-2</v>
      </c>
      <c r="AD5">
        <f>'2012_2015'!AB5</f>
        <v>2.47E-2</v>
      </c>
      <c r="AE5">
        <f>'2012_2015'!AC5</f>
        <v>2.47E-2</v>
      </c>
      <c r="AF5">
        <f>'2012_2015'!AD5</f>
        <v>2.5000000000000001E-2</v>
      </c>
      <c r="AG5">
        <f>'2012_2015'!AE5</f>
        <v>2.5600000000000001E-2</v>
      </c>
      <c r="AH5">
        <f>'2012_2015'!AF5</f>
        <v>2.63E-2</v>
      </c>
      <c r="AI5">
        <f>'2012_2015'!AG5</f>
        <v>2.6800000000000001E-2</v>
      </c>
      <c r="AJ5">
        <f>'2012_2015'!AH5</f>
        <v>2.7400000000000001E-2</v>
      </c>
      <c r="AK5">
        <f>'2012_2015'!AI5</f>
        <v>2.8500000000000001E-2</v>
      </c>
      <c r="AL5">
        <f>'2012_2015'!AJ5</f>
        <v>2.9399999999999999E-2</v>
      </c>
      <c r="AM5">
        <f>'2012_2015'!AK5</f>
        <v>3.0200000000000001E-2</v>
      </c>
      <c r="AN5">
        <f>'2012_2015'!AL5</f>
        <v>3.1199999999999999E-2</v>
      </c>
      <c r="AO5">
        <f>'2012_2015'!AM5</f>
        <v>3.2500000000000001E-2</v>
      </c>
      <c r="AP5">
        <f>'2012_2015'!AN5</f>
        <v>3.3399999999999999E-2</v>
      </c>
      <c r="AQ5">
        <f>'2012_2015'!AO5</f>
        <v>3.4500000000000003E-2</v>
      </c>
      <c r="AR5">
        <f>'2012_2015'!AP5</f>
        <v>3.5200000000000002E-2</v>
      </c>
      <c r="AS5">
        <f>'2012_2015'!AQ5</f>
        <v>3.61E-2</v>
      </c>
      <c r="AT5">
        <f>'2012_2015'!AR5</f>
        <v>3.6700000000000003E-2</v>
      </c>
      <c r="AU5">
        <f>'2012_2015'!AS5</f>
        <v>3.6799999999999999E-2</v>
      </c>
      <c r="AV5">
        <f>'2012_2015'!AT5</f>
        <v>3.6700000000000003E-2</v>
      </c>
      <c r="AW5">
        <f>'2012_2015'!AU5</f>
        <v>3.6499999999999998E-2</v>
      </c>
      <c r="AX5">
        <f>'2012_2015'!AV5</f>
        <v>3.6700000000000003E-2</v>
      </c>
      <c r="AY5">
        <f>'2012_2015'!AW5</f>
        <v>3.7600000000000001E-2</v>
      </c>
      <c r="AZ5">
        <f>'2012_2015'!AX5</f>
        <v>3.7999999999999999E-2</v>
      </c>
      <c r="BA5">
        <f>'2012_2015'!AY5</f>
        <v>3.9199999999999999E-2</v>
      </c>
      <c r="BB5">
        <f>'2012_2015'!AZ5</f>
        <v>4.02E-2</v>
      </c>
      <c r="BC5">
        <f>'2012_2015'!BA5</f>
        <v>4.2500000000000003E-2</v>
      </c>
      <c r="BD5">
        <f>'2012_2015'!BB5</f>
        <v>4.4999999999999998E-2</v>
      </c>
      <c r="BE5">
        <f>'2012_2015'!BC5</f>
        <v>4.6600000000000003E-2</v>
      </c>
      <c r="BF5">
        <f>'2012_2015'!BD5</f>
        <v>4.7600000000000003E-2</v>
      </c>
      <c r="BG5">
        <f>'2012_2015'!BE5</f>
        <v>4.8000000000000001E-2</v>
      </c>
      <c r="BH5">
        <f>'2012_2015'!BF5</f>
        <v>4.7399999999999998E-2</v>
      </c>
      <c r="BI5">
        <f>'2012_2015'!BG5</f>
        <v>4.6699999999999998E-2</v>
      </c>
      <c r="BJ5">
        <f>'2012_2015'!BH5</f>
        <v>4.6600000000000003E-2</v>
      </c>
      <c r="BK5">
        <f>'2012_2015'!BI5</f>
        <v>4.6800000000000001E-2</v>
      </c>
      <c r="BL5">
        <f>'2012_2015'!BJ5</f>
        <v>4.7E-2</v>
      </c>
      <c r="BM5">
        <f>'2012_2015'!BK5</f>
        <v>4.8800000000000003E-2</v>
      </c>
      <c r="BN5">
        <f>'2012_2015'!BL5</f>
        <v>5.11E-2</v>
      </c>
      <c r="BO5">
        <f>'2012_2015'!BM5</f>
        <v>5.3100000000000001E-2</v>
      </c>
      <c r="BP5">
        <f>'2012_2015'!BN5</f>
        <v>5.4300000000000001E-2</v>
      </c>
      <c r="BQ5">
        <f>'2012_2015'!BO5</f>
        <v>5.5199999999999999E-2</v>
      </c>
      <c r="BR5">
        <f>'2012_2015'!BP5</f>
        <v>5.4699999999999999E-2</v>
      </c>
      <c r="BS5">
        <f>'2012_2015'!BQ5</f>
        <v>5.4699999999999999E-2</v>
      </c>
      <c r="BT5">
        <f>'2012_2015'!BR5</f>
        <v>5.4699999999999999E-2</v>
      </c>
      <c r="BU5">
        <f>'2012_2015'!BS5</f>
        <v>5.6000000000000001E-2</v>
      </c>
      <c r="BV5">
        <f>'2012_2015'!BT5</f>
        <v>5.9400000000000001E-2</v>
      </c>
      <c r="BW5">
        <f>'2012_2015'!BU5</f>
        <v>6.2399999999999997E-2</v>
      </c>
      <c r="BX5">
        <f>'2012_2015'!BV5</f>
        <v>6.4399999999999999E-2</v>
      </c>
      <c r="BY5">
        <f>'2012_2015'!BW5</f>
        <v>6.6299999999999998E-2</v>
      </c>
      <c r="BZ5">
        <f>'2012_2015'!BX5</f>
        <v>6.5500000000000003E-2</v>
      </c>
      <c r="CA5">
        <f>'2012_2015'!BY5</f>
        <v>6.4899999999999999E-2</v>
      </c>
      <c r="CB5">
        <f>'2012_2015'!BZ5</f>
        <v>6.4000000000000001E-2</v>
      </c>
      <c r="CC5">
        <f>'2012_2015'!CA5</f>
        <v>6.7199999999999996E-2</v>
      </c>
      <c r="CD5">
        <f>'2012_2015'!CB5</f>
        <v>7.1300000000000002E-2</v>
      </c>
      <c r="CE5">
        <f>'2012_2015'!CC5</f>
        <v>7.46E-2</v>
      </c>
      <c r="CF5">
        <f>'2012_2015'!CD5</f>
        <v>7.7600000000000002E-2</v>
      </c>
      <c r="CG5">
        <f>'2012_2015'!CE5</f>
        <v>7.3700000000000002E-2</v>
      </c>
      <c r="CH5">
        <f>'2012_2015'!CF5</f>
        <v>6.8000000000000005E-2</v>
      </c>
      <c r="CI5">
        <f>'2012_2015'!CG5</f>
        <v>6.6600000000000006E-2</v>
      </c>
      <c r="CJ5">
        <f>'2012_2015'!CH5</f>
        <v>7.0400000000000004E-2</v>
      </c>
      <c r="CK5">
        <f>'2012_2015'!CI5</f>
        <v>8.7800000000000003E-2</v>
      </c>
      <c r="CL5">
        <f>'2012_2015'!CJ5</f>
        <v>8.48E-2</v>
      </c>
      <c r="CM5">
        <f>'2012_2015'!CK5</f>
        <v>0.08</v>
      </c>
      <c r="CN5">
        <f>'2012_2015'!CL5</f>
        <v>8.2799999999999999E-2</v>
      </c>
      <c r="CO5">
        <f>'2012_2015'!CM5</f>
        <v>8.1799999999999998E-2</v>
      </c>
      <c r="CP5">
        <f>'2012_2015'!CN5</f>
        <v>7.5399999999999995E-2</v>
      </c>
      <c r="CQ5">
        <f>'2012_2015'!CO5</f>
        <v>8.6400000000000005E-2</v>
      </c>
      <c r="CR5">
        <f>'2012_2015'!CP5</f>
        <v>9.5200000000000007E-2</v>
      </c>
      <c r="CS5">
        <f>'2012_2015'!CQ5</f>
        <v>8.1600000000000006E-2</v>
      </c>
      <c r="CT5">
        <f>'2012_2015'!CR5</f>
        <v>9.4399999999999998E-2</v>
      </c>
      <c r="CU5">
        <f>'2012_2015'!CS5</f>
        <v>7.1900000000000006E-2</v>
      </c>
      <c r="CV5">
        <f>'2012_2015'!CT5</f>
        <v>8.3199999999999996E-2</v>
      </c>
      <c r="CW5">
        <f>'2012_2015'!CU5</f>
        <v>7.9500000000000001E-2</v>
      </c>
      <c r="CX5">
        <f>'2012_2015'!CV5</f>
        <v>6.9900000000000004E-2</v>
      </c>
    </row>
    <row r="6" spans="1:102" x14ac:dyDescent="0.2">
      <c r="A6" t="s">
        <v>207</v>
      </c>
      <c r="B6" t="s">
        <v>217</v>
      </c>
      <c r="C6" t="s">
        <v>102</v>
      </c>
      <c r="D6">
        <f>'2012_2015'!B6</f>
        <v>0.22800000000000001</v>
      </c>
      <c r="E6">
        <f>'2012_2015'!C6</f>
        <v>0.17499999999999999</v>
      </c>
      <c r="F6">
        <f>'2012_2015'!D6</f>
        <v>0.20100000000000001</v>
      </c>
      <c r="G6">
        <f>'2012_2015'!E6</f>
        <v>0.20200000000000001</v>
      </c>
      <c r="H6">
        <f>'2012_2015'!F6</f>
        <v>0.21099999999999999</v>
      </c>
      <c r="I6">
        <f>'2012_2015'!G6</f>
        <v>0.157</v>
      </c>
      <c r="J6">
        <f>'2012_2015'!H6</f>
        <v>0.19600000000000001</v>
      </c>
      <c r="K6">
        <f>'2012_2015'!I6</f>
        <v>0.155</v>
      </c>
      <c r="L6">
        <f>'2012_2015'!J6</f>
        <v>0.154</v>
      </c>
      <c r="M6">
        <f>'2012_2015'!K6</f>
        <v>0.14699999999999999</v>
      </c>
      <c r="N6">
        <f>'2012_2015'!L6</f>
        <v>0.157</v>
      </c>
      <c r="O6">
        <f>'2012_2015'!M6</f>
        <v>0.159</v>
      </c>
      <c r="P6">
        <f>'2012_2015'!N6</f>
        <v>0.14399999999999999</v>
      </c>
      <c r="Q6">
        <f>'2012_2015'!O6</f>
        <v>0.13100000000000001</v>
      </c>
      <c r="R6">
        <f>'2012_2015'!P6</f>
        <v>0.106</v>
      </c>
      <c r="S6">
        <f>'2012_2015'!Q6</f>
        <v>0.10299999999999999</v>
      </c>
      <c r="T6">
        <f>'2012_2015'!R6</f>
        <v>0.112</v>
      </c>
      <c r="U6">
        <f>'2012_2015'!S6</f>
        <v>0.113</v>
      </c>
      <c r="V6">
        <f>'2012_2015'!T6</f>
        <v>0.10199999999999999</v>
      </c>
      <c r="W6">
        <f>'2012_2015'!U6</f>
        <v>9.8599999999999993E-2</v>
      </c>
      <c r="X6">
        <f>'2012_2015'!V6</f>
        <v>9.9400000000000002E-2</v>
      </c>
      <c r="Y6">
        <f>'2012_2015'!W6</f>
        <v>0.104</v>
      </c>
      <c r="Z6">
        <f>'2012_2015'!X6</f>
        <v>0.11600000000000001</v>
      </c>
      <c r="AA6">
        <f>'2012_2015'!Y6</f>
        <v>0.111</v>
      </c>
      <c r="AB6">
        <f>'2012_2015'!Z6</f>
        <v>9.6600000000000005E-2</v>
      </c>
      <c r="AC6">
        <f>'2012_2015'!AA6</f>
        <v>8.7300000000000003E-2</v>
      </c>
      <c r="AD6">
        <f>'2012_2015'!AB6</f>
        <v>7.6999999999999999E-2</v>
      </c>
      <c r="AE6">
        <f>'2012_2015'!AC6</f>
        <v>6.6000000000000003E-2</v>
      </c>
      <c r="AF6">
        <f>'2012_2015'!AD6</f>
        <v>6.59E-2</v>
      </c>
      <c r="AG6">
        <f>'2012_2015'!AE6</f>
        <v>7.0900000000000005E-2</v>
      </c>
      <c r="AH6">
        <f>'2012_2015'!AF6</f>
        <v>6.8199999999999997E-2</v>
      </c>
      <c r="AI6">
        <f>'2012_2015'!AG6</f>
        <v>7.2999999999999995E-2</v>
      </c>
      <c r="AJ6">
        <f>'2012_2015'!AH6</f>
        <v>8.8300000000000003E-2</v>
      </c>
      <c r="AK6">
        <f>'2012_2015'!AI6</f>
        <v>8.5599999999999996E-2</v>
      </c>
      <c r="AL6">
        <f>'2012_2015'!AJ6</f>
        <v>8.3000000000000004E-2</v>
      </c>
      <c r="AM6">
        <f>'2012_2015'!AK6</f>
        <v>8.3599999999999994E-2</v>
      </c>
      <c r="AN6">
        <f>'2012_2015'!AL6</f>
        <v>7.4499999999999997E-2</v>
      </c>
      <c r="AO6">
        <f>'2012_2015'!AM6</f>
        <v>7.1800000000000003E-2</v>
      </c>
      <c r="AP6">
        <f>'2012_2015'!AN6</f>
        <v>8.4699999999999998E-2</v>
      </c>
      <c r="AQ6">
        <f>'2012_2015'!AO6</f>
        <v>0.104</v>
      </c>
      <c r="AR6">
        <f>'2012_2015'!AP6</f>
        <v>9.1800000000000007E-2</v>
      </c>
      <c r="AS6">
        <f>'2012_2015'!AQ6</f>
        <v>8.1500000000000003E-2</v>
      </c>
      <c r="AT6">
        <f>'2012_2015'!AR6</f>
        <v>6.9099999999999995E-2</v>
      </c>
      <c r="AU6">
        <f>'2012_2015'!AS6</f>
        <v>6.6500000000000004E-2</v>
      </c>
      <c r="AV6">
        <f>'2012_2015'!AT6</f>
        <v>4.0099999999999997E-2</v>
      </c>
      <c r="AW6">
        <f>'2012_2015'!AU6</f>
        <v>4.9700000000000001E-2</v>
      </c>
      <c r="AX6">
        <f>'2012_2015'!AV6</f>
        <v>5.6599999999999998E-2</v>
      </c>
      <c r="AY6">
        <f>'2012_2015'!AW6</f>
        <v>6.6600000000000006E-2</v>
      </c>
      <c r="AZ6">
        <f>'2012_2015'!AX6</f>
        <v>6.9699999999999998E-2</v>
      </c>
      <c r="BA6">
        <f>'2012_2015'!AY6</f>
        <v>6.5299999999999997E-2</v>
      </c>
      <c r="BB6">
        <f>'2012_2015'!AZ6</f>
        <v>8.72E-2</v>
      </c>
      <c r="BC6">
        <f>'2012_2015'!BA6</f>
        <v>8.6699999999999999E-2</v>
      </c>
      <c r="BD6">
        <f>'2012_2015'!BB6</f>
        <v>6.4100000000000004E-2</v>
      </c>
      <c r="BE6">
        <f>'2012_2015'!BC6</f>
        <v>6.2899999999999998E-2</v>
      </c>
      <c r="BF6">
        <f>'2012_2015'!BD6</f>
        <v>4.7300000000000002E-2</v>
      </c>
      <c r="BG6">
        <f>'2012_2015'!BE6</f>
        <v>5.3800000000000001E-2</v>
      </c>
      <c r="BH6">
        <f>'2012_2015'!BF6</f>
        <v>0.04</v>
      </c>
      <c r="BI6">
        <f>'2012_2015'!BG6</f>
        <v>4.2200000000000001E-2</v>
      </c>
      <c r="BJ6">
        <f>'2012_2015'!BH6</f>
        <v>3.73E-2</v>
      </c>
      <c r="BK6">
        <f>'2012_2015'!BI6</f>
        <v>5.7500000000000002E-2</v>
      </c>
      <c r="BL6">
        <f>'2012_2015'!BJ6</f>
        <v>5.4899999999999997E-2</v>
      </c>
      <c r="BM6">
        <f>'2012_2015'!BK6</f>
        <v>5.3699999999999998E-2</v>
      </c>
      <c r="BN6">
        <f>'2012_2015'!BL6</f>
        <v>4.82E-2</v>
      </c>
      <c r="BO6">
        <f>'2012_2015'!BM6</f>
        <v>5.8799999999999998E-2</v>
      </c>
      <c r="BP6">
        <f>'2012_2015'!BN6</f>
        <v>4.7399999999999998E-2</v>
      </c>
      <c r="BQ6">
        <f>'2012_2015'!BO6</f>
        <v>3.04E-2</v>
      </c>
      <c r="BR6">
        <f>'2012_2015'!BP6</f>
        <v>7.3600000000000002E-3</v>
      </c>
      <c r="BS6">
        <f>'2012_2015'!BQ6</f>
        <v>1.9E-2</v>
      </c>
      <c r="BT6">
        <f>'2012_2015'!BR6</f>
        <v>3.49E-2</v>
      </c>
      <c r="BU6">
        <f>'2012_2015'!BS6</f>
        <v>2.86E-2</v>
      </c>
      <c r="BV6">
        <f>'2012_2015'!BT6</f>
        <v>1.46E-2</v>
      </c>
      <c r="BW6">
        <f>'2012_2015'!BU6</f>
        <v>1.3899999999999999E-2</v>
      </c>
      <c r="BX6">
        <f>'2012_2015'!BV6</f>
        <v>2.2499999999999999E-2</v>
      </c>
      <c r="BY6">
        <f>'2012_2015'!BW6</f>
        <v>4.5799999999999999E-3</v>
      </c>
      <c r="BZ6">
        <f>'2012_2015'!BX6</f>
        <v>1.7100000000000001E-2</v>
      </c>
      <c r="CA6">
        <f>'2012_2015'!BY6</f>
        <v>1.61E-2</v>
      </c>
      <c r="CB6">
        <f>'2012_2015'!BZ6</f>
        <v>2.06E-2</v>
      </c>
      <c r="CC6">
        <f>'2012_2015'!CA6</f>
        <v>-7.1599999999999997E-3</v>
      </c>
      <c r="CD6">
        <f>'2012_2015'!CB6</f>
        <v>-3.6900000000000002E-2</v>
      </c>
      <c r="CE6">
        <f>'2012_2015'!CC6</f>
        <v>-1.5699999999999999E-2</v>
      </c>
      <c r="CF6">
        <f>'2012_2015'!CD6</f>
        <v>-3.0700000000000002E-2</v>
      </c>
      <c r="CG6">
        <f>'2012_2015'!CE6</f>
        <v>-6.7299999999999999E-3</v>
      </c>
      <c r="CH6">
        <f>'2012_2015'!CF6</f>
        <v>-3.0300000000000001E-2</v>
      </c>
      <c r="CI6">
        <f>'2012_2015'!CG6</f>
        <v>-5.6899999999999997E-3</v>
      </c>
      <c r="CJ6">
        <f>'2012_2015'!CH6</f>
        <v>3.1099999999999999E-3</v>
      </c>
      <c r="CK6">
        <f>'2012_2015'!CI6</f>
        <v>-1.15E-2</v>
      </c>
      <c r="CL6">
        <f>'2012_2015'!CJ6</f>
        <v>-4.5600000000000002E-2</v>
      </c>
      <c r="CM6">
        <f>'2012_2015'!CK6</f>
        <v>-5.8999999999999997E-2</v>
      </c>
      <c r="CN6">
        <f>'2012_2015'!CL6</f>
        <v>-3.5099999999999999E-2</v>
      </c>
      <c r="CO6">
        <f>'2012_2015'!CM6</f>
        <v>-4.99E-2</v>
      </c>
      <c r="CP6">
        <f>'2012_2015'!CN6</f>
        <v>5.8500000000000002E-3</v>
      </c>
      <c r="CQ6">
        <f>'2012_2015'!CO6</f>
        <v>-6.6600000000000006E-2</v>
      </c>
      <c r="CR6">
        <f>'2012_2015'!CP6</f>
        <v>-5.5199999999999999E-2</v>
      </c>
      <c r="CS6">
        <f>'2012_2015'!CQ6</f>
        <v>-7.1800000000000003E-2</v>
      </c>
      <c r="CT6">
        <f>'2012_2015'!CR6</f>
        <v>-9.3600000000000003E-2</v>
      </c>
      <c r="CU6">
        <f>'2012_2015'!CS6</f>
        <v>-3.9600000000000003E-2</v>
      </c>
      <c r="CV6">
        <f>'2012_2015'!CT6</f>
        <v>-5.0799999999999998E-2</v>
      </c>
      <c r="CW6">
        <f>'2012_2015'!CU6</f>
        <v>-7.8299999999999995E-2</v>
      </c>
      <c r="CX6">
        <f>'2012_2015'!CV6</f>
        <v>-5.2499999999999998E-2</v>
      </c>
    </row>
    <row r="7" spans="1:102" x14ac:dyDescent="0.2">
      <c r="A7" t="s">
        <v>208</v>
      </c>
      <c r="B7" t="s">
        <v>218</v>
      </c>
      <c r="C7" t="s">
        <v>102</v>
      </c>
      <c r="D7">
        <f>'2012_2015'!B7</f>
        <v>2.3199999999999998E-2</v>
      </c>
      <c r="E7">
        <f>'2012_2015'!C7</f>
        <v>3.2099999999999997E-2</v>
      </c>
      <c r="F7">
        <f>'2012_2015'!D7</f>
        <v>3.0700000000000002E-2</v>
      </c>
      <c r="G7">
        <f>'2012_2015'!E7</f>
        <v>2.9399999999999999E-2</v>
      </c>
      <c r="H7">
        <f>'2012_2015'!F7</f>
        <v>2.75E-2</v>
      </c>
      <c r="I7">
        <f>'2012_2015'!G7</f>
        <v>2.9700000000000001E-2</v>
      </c>
      <c r="J7">
        <f>'2012_2015'!H7</f>
        <v>2.9000000000000001E-2</v>
      </c>
      <c r="K7">
        <f>'2012_2015'!I7</f>
        <v>2.7199999999999998E-2</v>
      </c>
      <c r="L7">
        <f>'2012_2015'!J7</f>
        <v>2.81E-2</v>
      </c>
      <c r="M7">
        <f>'2012_2015'!K7</f>
        <v>2.2499999999999999E-2</v>
      </c>
      <c r="N7">
        <f>'2012_2015'!L7</f>
        <v>2.2100000000000002E-2</v>
      </c>
      <c r="O7">
        <f>'2012_2015'!M7</f>
        <v>2.1000000000000001E-2</v>
      </c>
      <c r="P7">
        <f>'2012_2015'!N7</f>
        <v>1.9400000000000001E-2</v>
      </c>
      <c r="Q7">
        <f>'2012_2015'!O7</f>
        <v>1.7999999999999999E-2</v>
      </c>
      <c r="R7">
        <f>'2012_2015'!P7</f>
        <v>1.54E-2</v>
      </c>
      <c r="S7">
        <f>'2012_2015'!Q7</f>
        <v>1.4200000000000001E-2</v>
      </c>
      <c r="T7">
        <f>'2012_2015'!R7</f>
        <v>1.38E-2</v>
      </c>
      <c r="U7">
        <f>'2012_2015'!S7</f>
        <v>1.38E-2</v>
      </c>
      <c r="V7">
        <f>'2012_2015'!T7</f>
        <v>1.3599999999999999E-2</v>
      </c>
      <c r="W7">
        <f>'2012_2015'!U7</f>
        <v>1.3599999999999999E-2</v>
      </c>
      <c r="X7">
        <f>'2012_2015'!V7</f>
        <v>1.37E-2</v>
      </c>
      <c r="Y7">
        <f>'2012_2015'!W7</f>
        <v>1.4E-2</v>
      </c>
      <c r="Z7">
        <f>'2012_2015'!X7</f>
        <v>1.4200000000000001E-2</v>
      </c>
      <c r="AA7">
        <f>'2012_2015'!Y7</f>
        <v>1.46E-2</v>
      </c>
      <c r="AB7">
        <f>'2012_2015'!Z7</f>
        <v>1.47E-2</v>
      </c>
      <c r="AC7">
        <f>'2012_2015'!AA7</f>
        <v>1.4800000000000001E-2</v>
      </c>
      <c r="AD7">
        <f>'2012_2015'!AB7</f>
        <v>1.49E-2</v>
      </c>
      <c r="AE7">
        <f>'2012_2015'!AC7</f>
        <v>1.5100000000000001E-2</v>
      </c>
      <c r="AF7">
        <f>'2012_2015'!AD7</f>
        <v>1.55E-2</v>
      </c>
      <c r="AG7">
        <f>'2012_2015'!AE7</f>
        <v>1.61E-2</v>
      </c>
      <c r="AH7">
        <f>'2012_2015'!AF7</f>
        <v>1.6799999999999999E-2</v>
      </c>
      <c r="AI7">
        <f>'2012_2015'!AG7</f>
        <v>1.7500000000000002E-2</v>
      </c>
      <c r="AJ7">
        <f>'2012_2015'!AH7</f>
        <v>1.8200000000000001E-2</v>
      </c>
      <c r="AK7">
        <f>'2012_2015'!AI7</f>
        <v>1.9099999999999999E-2</v>
      </c>
      <c r="AL7">
        <f>'2012_2015'!AJ7</f>
        <v>0.02</v>
      </c>
      <c r="AM7">
        <f>'2012_2015'!AK7</f>
        <v>2.07E-2</v>
      </c>
      <c r="AN7">
        <f>'2012_2015'!AL7</f>
        <v>2.1499999999999998E-2</v>
      </c>
      <c r="AO7">
        <f>'2012_2015'!AM7</f>
        <v>2.2800000000000001E-2</v>
      </c>
      <c r="AP7">
        <f>'2012_2015'!AN7</f>
        <v>2.3699999999999999E-2</v>
      </c>
      <c r="AQ7">
        <f>'2012_2015'!AO7</f>
        <v>2.46E-2</v>
      </c>
      <c r="AR7">
        <f>'2012_2015'!AP7</f>
        <v>2.5399999999999999E-2</v>
      </c>
      <c r="AS7">
        <f>'2012_2015'!AQ7</f>
        <v>2.63E-2</v>
      </c>
      <c r="AT7">
        <f>'2012_2015'!AR7</f>
        <v>2.69E-2</v>
      </c>
      <c r="AU7">
        <f>'2012_2015'!AS7</f>
        <v>2.7099999999999999E-2</v>
      </c>
      <c r="AV7">
        <f>'2012_2015'!AT7</f>
        <v>2.7300000000000001E-2</v>
      </c>
      <c r="AW7">
        <f>'2012_2015'!AU7</f>
        <v>2.7400000000000001E-2</v>
      </c>
      <c r="AX7">
        <f>'2012_2015'!AV7</f>
        <v>2.76E-2</v>
      </c>
      <c r="AY7">
        <f>'2012_2015'!AW7</f>
        <v>2.8400000000000002E-2</v>
      </c>
      <c r="AZ7">
        <f>'2012_2015'!AX7</f>
        <v>2.8899999999999999E-2</v>
      </c>
      <c r="BA7">
        <f>'2012_2015'!AY7</f>
        <v>0.03</v>
      </c>
      <c r="BB7">
        <f>'2012_2015'!AZ7</f>
        <v>3.09E-2</v>
      </c>
      <c r="BC7">
        <f>'2012_2015'!BA7</f>
        <v>3.2899999999999999E-2</v>
      </c>
      <c r="BD7">
        <f>'2012_2015'!BB7</f>
        <v>3.5000000000000003E-2</v>
      </c>
      <c r="BE7">
        <f>'2012_2015'!BC7</f>
        <v>3.6499999999999998E-2</v>
      </c>
      <c r="BF7">
        <f>'2012_2015'!BD7</f>
        <v>3.7499999999999999E-2</v>
      </c>
      <c r="BG7">
        <f>'2012_2015'!BE7</f>
        <v>3.7999999999999999E-2</v>
      </c>
      <c r="BH7">
        <f>'2012_2015'!BF7</f>
        <v>3.78E-2</v>
      </c>
      <c r="BI7">
        <f>'2012_2015'!BG7</f>
        <v>3.7400000000000003E-2</v>
      </c>
      <c r="BJ7">
        <f>'2012_2015'!BH7</f>
        <v>3.7499999999999999E-2</v>
      </c>
      <c r="BK7">
        <f>'2012_2015'!BI7</f>
        <v>3.7600000000000001E-2</v>
      </c>
      <c r="BL7">
        <f>'2012_2015'!BJ7</f>
        <v>3.7999999999999999E-2</v>
      </c>
      <c r="BM7">
        <f>'2012_2015'!BK7</f>
        <v>3.9699999999999999E-2</v>
      </c>
      <c r="BN7">
        <f>'2012_2015'!BL7</f>
        <v>4.1799999999999997E-2</v>
      </c>
      <c r="BO7">
        <f>'2012_2015'!BM7</f>
        <v>4.3499999999999997E-2</v>
      </c>
      <c r="BP7">
        <f>'2012_2015'!BN7</f>
        <v>4.4900000000000002E-2</v>
      </c>
      <c r="BQ7">
        <f>'2012_2015'!BO7</f>
        <v>4.5900000000000003E-2</v>
      </c>
      <c r="BR7">
        <f>'2012_2015'!BP7</f>
        <v>4.58E-2</v>
      </c>
      <c r="BS7">
        <f>'2012_2015'!BQ7</f>
        <v>4.58E-2</v>
      </c>
      <c r="BT7">
        <f>'2012_2015'!BR7</f>
        <v>4.5999999999999999E-2</v>
      </c>
      <c r="BU7">
        <f>'2012_2015'!BS7</f>
        <v>4.7399999999999998E-2</v>
      </c>
      <c r="BV7">
        <f>'2012_2015'!BT7</f>
        <v>5.0700000000000002E-2</v>
      </c>
      <c r="BW7">
        <f>'2012_2015'!BU7</f>
        <v>5.3499999999999999E-2</v>
      </c>
      <c r="BX7">
        <f>'2012_2015'!BV7</f>
        <v>5.5300000000000002E-2</v>
      </c>
      <c r="BY7">
        <f>'2012_2015'!BW7</f>
        <v>5.7099999999999998E-2</v>
      </c>
      <c r="BZ7">
        <f>'2012_2015'!BX7</f>
        <v>5.6899999999999999E-2</v>
      </c>
      <c r="CA7">
        <f>'2012_2015'!BY7</f>
        <v>5.6500000000000002E-2</v>
      </c>
      <c r="CB7">
        <f>'2012_2015'!BZ7</f>
        <v>5.5800000000000002E-2</v>
      </c>
      <c r="CC7">
        <f>'2012_2015'!CA7</f>
        <v>5.8999999999999997E-2</v>
      </c>
      <c r="CD7">
        <f>'2012_2015'!CB7</f>
        <v>6.2700000000000006E-2</v>
      </c>
      <c r="CE7">
        <f>'2012_2015'!CC7</f>
        <v>6.6000000000000003E-2</v>
      </c>
      <c r="CF7">
        <f>'2012_2015'!CD7</f>
        <v>6.88E-2</v>
      </c>
      <c r="CG7">
        <f>'2012_2015'!CE7</f>
        <v>6.5699999999999995E-2</v>
      </c>
      <c r="CH7">
        <f>'2012_2015'!CF7</f>
        <v>6.08E-2</v>
      </c>
      <c r="CI7">
        <f>'2012_2015'!CG7</f>
        <v>5.9299999999999999E-2</v>
      </c>
      <c r="CJ7">
        <f>'2012_2015'!CH7</f>
        <v>6.2899999999999998E-2</v>
      </c>
      <c r="CK7">
        <f>'2012_2015'!CI7</f>
        <v>7.8899999999999998E-2</v>
      </c>
      <c r="CL7">
        <f>'2012_2015'!CJ7</f>
        <v>7.6499999999999999E-2</v>
      </c>
      <c r="CM7">
        <f>'2012_2015'!CK7</f>
        <v>7.2599999999999998E-2</v>
      </c>
      <c r="CN7">
        <f>'2012_2015'!CL7</f>
        <v>7.5700000000000003E-2</v>
      </c>
      <c r="CO7">
        <f>'2012_2015'!CM7</f>
        <v>7.4899999999999994E-2</v>
      </c>
      <c r="CP7">
        <f>'2012_2015'!CN7</f>
        <v>6.9099999999999995E-2</v>
      </c>
      <c r="CQ7">
        <f>'2012_2015'!CO7</f>
        <v>7.9500000000000001E-2</v>
      </c>
      <c r="CR7">
        <f>'2012_2015'!CP7</f>
        <v>8.7900000000000006E-2</v>
      </c>
      <c r="CS7">
        <f>'2012_2015'!CQ7</f>
        <v>7.5300000000000006E-2</v>
      </c>
      <c r="CT7">
        <f>'2012_2015'!CR7</f>
        <v>8.7099999999999997E-2</v>
      </c>
      <c r="CU7">
        <f>'2012_2015'!CS7</f>
        <v>6.7100000000000007E-2</v>
      </c>
      <c r="CV7">
        <f>'2012_2015'!CT7</f>
        <v>7.7799999999999994E-2</v>
      </c>
      <c r="CW7">
        <f>'2012_2015'!CU7</f>
        <v>7.4800000000000005E-2</v>
      </c>
      <c r="CX7">
        <f>'2012_2015'!CV7</f>
        <v>6.6500000000000004E-2</v>
      </c>
    </row>
    <row r="8" spans="1:102" x14ac:dyDescent="0.2">
      <c r="A8" t="s">
        <v>209</v>
      </c>
      <c r="B8" t="s">
        <v>218</v>
      </c>
      <c r="C8" t="s">
        <v>102</v>
      </c>
      <c r="D8">
        <f>'2012_2015'!B8</f>
        <v>3.1900000000000001E-3</v>
      </c>
      <c r="E8">
        <f>'2012_2015'!C8</f>
        <v>6.1999999999999998E-3</v>
      </c>
      <c r="F8">
        <f>'2012_2015'!D8</f>
        <v>7.5300000000000002E-3</v>
      </c>
      <c r="G8">
        <f>'2012_2015'!E8</f>
        <v>7.8300000000000002E-3</v>
      </c>
      <c r="H8">
        <f>'2012_2015'!F8</f>
        <v>7.7200000000000003E-3</v>
      </c>
      <c r="I8">
        <f>'2012_2015'!G8</f>
        <v>8.7200000000000003E-3</v>
      </c>
      <c r="J8">
        <f>'2012_2015'!H8</f>
        <v>8.4499999999999992E-3</v>
      </c>
      <c r="K8">
        <f>'2012_2015'!I8</f>
        <v>8.0199999999999994E-3</v>
      </c>
      <c r="L8">
        <f>'2012_2015'!J8</f>
        <v>8.26E-3</v>
      </c>
      <c r="M8">
        <f>'2012_2015'!K8</f>
        <v>6.79E-3</v>
      </c>
      <c r="N8">
        <f>'2012_2015'!L8</f>
        <v>6.6699999999999997E-3</v>
      </c>
      <c r="O8">
        <f>'2012_2015'!M8</f>
        <v>6.3699999999999998E-3</v>
      </c>
      <c r="P8">
        <f>'2012_2015'!N8</f>
        <v>5.9699999999999996E-3</v>
      </c>
      <c r="Q8">
        <f>'2012_2015'!O8</f>
        <v>5.5799999999999999E-3</v>
      </c>
      <c r="R8">
        <f>'2012_2015'!P8</f>
        <v>4.8199999999999996E-3</v>
      </c>
      <c r="S8">
        <f>'2012_2015'!Q8</f>
        <v>4.5500000000000002E-3</v>
      </c>
      <c r="T8">
        <f>'2012_2015'!R8</f>
        <v>4.47E-3</v>
      </c>
      <c r="U8">
        <f>'2012_2015'!S8</f>
        <v>4.45E-3</v>
      </c>
      <c r="V8">
        <f>'2012_2015'!T8</f>
        <v>4.4000000000000003E-3</v>
      </c>
      <c r="W8">
        <f>'2012_2015'!U8</f>
        <v>4.4200000000000003E-3</v>
      </c>
      <c r="X8">
        <f>'2012_2015'!V8</f>
        <v>4.3899999999999998E-3</v>
      </c>
      <c r="Y8">
        <f>'2012_2015'!W8</f>
        <v>4.4999999999999997E-3</v>
      </c>
      <c r="Z8">
        <f>'2012_2015'!X8</f>
        <v>4.5599999999999998E-3</v>
      </c>
      <c r="AA8">
        <f>'2012_2015'!Y8</f>
        <v>4.6600000000000001E-3</v>
      </c>
      <c r="AB8">
        <f>'2012_2015'!Z8</f>
        <v>4.7800000000000004E-3</v>
      </c>
      <c r="AC8">
        <f>'2012_2015'!AA8</f>
        <v>4.7999999999999996E-3</v>
      </c>
      <c r="AD8">
        <f>'2012_2015'!AB8</f>
        <v>4.8799999999999998E-3</v>
      </c>
      <c r="AE8">
        <f>'2012_2015'!AC8</f>
        <v>4.96E-3</v>
      </c>
      <c r="AF8">
        <f>'2012_2015'!AD8</f>
        <v>5.0499999999999998E-3</v>
      </c>
      <c r="AG8">
        <f>'2012_2015'!AE8</f>
        <v>5.2199999999999998E-3</v>
      </c>
      <c r="AH8">
        <f>'2012_2015'!AF8</f>
        <v>5.3699999999999998E-3</v>
      </c>
      <c r="AI8">
        <f>'2012_2015'!AG8</f>
        <v>5.5500000000000002E-3</v>
      </c>
      <c r="AJ8">
        <f>'2012_2015'!AH8</f>
        <v>5.7200000000000003E-3</v>
      </c>
      <c r="AK8">
        <f>'2012_2015'!AI8</f>
        <v>6.0499999999999998E-3</v>
      </c>
      <c r="AL8">
        <f>'2012_2015'!AJ8</f>
        <v>6.2899999999999996E-3</v>
      </c>
      <c r="AM8">
        <f>'2012_2015'!AK8</f>
        <v>6.4700000000000001E-3</v>
      </c>
      <c r="AN8">
        <f>'2012_2015'!AL8</f>
        <v>6.7200000000000003E-3</v>
      </c>
      <c r="AO8">
        <f>'2012_2015'!AM8</f>
        <v>7.0499999999999998E-3</v>
      </c>
      <c r="AP8">
        <f>'2012_2015'!AN8</f>
        <v>7.3299999999999997E-3</v>
      </c>
      <c r="AQ8">
        <f>'2012_2015'!AO8</f>
        <v>7.6699999999999997E-3</v>
      </c>
      <c r="AR8">
        <f>'2012_2015'!AP8</f>
        <v>7.8799999999999999E-3</v>
      </c>
      <c r="AS8">
        <f>'2012_2015'!AQ8</f>
        <v>8.1899999999999994E-3</v>
      </c>
      <c r="AT8">
        <f>'2012_2015'!AR8</f>
        <v>8.3599999999999994E-3</v>
      </c>
      <c r="AU8">
        <f>'2012_2015'!AS8</f>
        <v>8.4399999999999996E-3</v>
      </c>
      <c r="AV8">
        <f>'2012_2015'!AT8</f>
        <v>8.43E-3</v>
      </c>
      <c r="AW8">
        <f>'2012_2015'!AU8</f>
        <v>8.4399999999999996E-3</v>
      </c>
      <c r="AX8">
        <f>'2012_2015'!AV8</f>
        <v>8.4899999999999993E-3</v>
      </c>
      <c r="AY8">
        <f>'2012_2015'!AW8</f>
        <v>8.7299999999999999E-3</v>
      </c>
      <c r="AZ8">
        <f>'2012_2015'!AX8</f>
        <v>8.8199999999999997E-3</v>
      </c>
      <c r="BA8">
        <f>'2012_2015'!AY8</f>
        <v>9.1299999999999992E-3</v>
      </c>
      <c r="BB8">
        <f>'2012_2015'!AZ8</f>
        <v>9.3399999999999993E-3</v>
      </c>
      <c r="BC8">
        <f>'2012_2015'!BA8</f>
        <v>9.8799999999999999E-3</v>
      </c>
      <c r="BD8">
        <f>'2012_2015'!BB8</f>
        <v>1.04E-2</v>
      </c>
      <c r="BE8">
        <f>'2012_2015'!BC8</f>
        <v>1.0800000000000001E-2</v>
      </c>
      <c r="BF8">
        <f>'2012_2015'!BD8</f>
        <v>1.11E-2</v>
      </c>
      <c r="BG8">
        <f>'2012_2015'!BE8</f>
        <v>1.12E-2</v>
      </c>
      <c r="BH8">
        <f>'2012_2015'!BF8</f>
        <v>1.11E-2</v>
      </c>
      <c r="BI8">
        <f>'2012_2015'!BG8</f>
        <v>1.09E-2</v>
      </c>
      <c r="BJ8">
        <f>'2012_2015'!BH8</f>
        <v>1.09E-2</v>
      </c>
      <c r="BK8">
        <f>'2012_2015'!BI8</f>
        <v>1.09E-2</v>
      </c>
      <c r="BL8">
        <f>'2012_2015'!BJ8</f>
        <v>1.09E-2</v>
      </c>
      <c r="BM8">
        <f>'2012_2015'!BK8</f>
        <v>1.12E-2</v>
      </c>
      <c r="BN8">
        <f>'2012_2015'!BL8</f>
        <v>1.17E-2</v>
      </c>
      <c r="BO8">
        <f>'2012_2015'!BM8</f>
        <v>1.2200000000000001E-2</v>
      </c>
      <c r="BP8">
        <f>'2012_2015'!BN8</f>
        <v>1.24E-2</v>
      </c>
      <c r="BQ8">
        <f>'2012_2015'!BO8</f>
        <v>1.26E-2</v>
      </c>
      <c r="BR8">
        <f>'2012_2015'!BP8</f>
        <v>1.24E-2</v>
      </c>
      <c r="BS8">
        <f>'2012_2015'!BQ8</f>
        <v>1.24E-2</v>
      </c>
      <c r="BT8">
        <f>'2012_2015'!BR8</f>
        <v>1.2500000000000001E-2</v>
      </c>
      <c r="BU8">
        <f>'2012_2015'!BS8</f>
        <v>1.26E-2</v>
      </c>
      <c r="BV8">
        <f>'2012_2015'!BT8</f>
        <v>1.34E-2</v>
      </c>
      <c r="BW8">
        <f>'2012_2015'!BU8</f>
        <v>1.41E-2</v>
      </c>
      <c r="BX8">
        <f>'2012_2015'!BV8</f>
        <v>1.44E-2</v>
      </c>
      <c r="BY8">
        <f>'2012_2015'!BW8</f>
        <v>1.4800000000000001E-2</v>
      </c>
      <c r="BZ8">
        <f>'2012_2015'!BX8</f>
        <v>1.46E-2</v>
      </c>
      <c r="CA8">
        <f>'2012_2015'!BY8</f>
        <v>1.44E-2</v>
      </c>
      <c r="CB8">
        <f>'2012_2015'!BZ8</f>
        <v>1.4200000000000001E-2</v>
      </c>
      <c r="CC8">
        <f>'2012_2015'!CA8</f>
        <v>1.4800000000000001E-2</v>
      </c>
      <c r="CD8">
        <f>'2012_2015'!CB8</f>
        <v>1.5699999999999999E-2</v>
      </c>
      <c r="CE8">
        <f>'2012_2015'!CC8</f>
        <v>1.6199999999999999E-2</v>
      </c>
      <c r="CF8">
        <f>'2012_2015'!CD8</f>
        <v>1.6899999999999998E-2</v>
      </c>
      <c r="CG8">
        <f>'2012_2015'!CE8</f>
        <v>1.61E-2</v>
      </c>
      <c r="CH8">
        <f>'2012_2015'!CF8</f>
        <v>1.49E-2</v>
      </c>
      <c r="CI8">
        <f>'2012_2015'!CG8</f>
        <v>1.47E-2</v>
      </c>
      <c r="CJ8">
        <f>'2012_2015'!CH8</f>
        <v>1.55E-2</v>
      </c>
      <c r="CK8">
        <f>'2012_2015'!CI8</f>
        <v>1.9400000000000001E-2</v>
      </c>
      <c r="CL8">
        <f>'2012_2015'!CJ8</f>
        <v>1.8800000000000001E-2</v>
      </c>
      <c r="CM8">
        <f>'2012_2015'!CK8</f>
        <v>1.78E-2</v>
      </c>
      <c r="CN8">
        <f>'2012_2015'!CL8</f>
        <v>1.8599999999999998E-2</v>
      </c>
      <c r="CO8">
        <f>'2012_2015'!CM8</f>
        <v>1.8200000000000001E-2</v>
      </c>
      <c r="CP8">
        <f>'2012_2015'!CN8</f>
        <v>1.72E-2</v>
      </c>
      <c r="CQ8">
        <f>'2012_2015'!CO8</f>
        <v>1.9900000000000001E-2</v>
      </c>
      <c r="CR8">
        <f>'2012_2015'!CP8</f>
        <v>2.1999999999999999E-2</v>
      </c>
      <c r="CS8">
        <f>'2012_2015'!CQ8</f>
        <v>1.8800000000000001E-2</v>
      </c>
      <c r="CT8">
        <f>'2012_2015'!CR8</f>
        <v>2.2200000000000001E-2</v>
      </c>
      <c r="CU8">
        <f>'2012_2015'!CS8</f>
        <v>1.7100000000000001E-2</v>
      </c>
      <c r="CV8">
        <f>'2012_2015'!CT8</f>
        <v>2.06E-2</v>
      </c>
      <c r="CW8">
        <f>'2012_2015'!CU8</f>
        <v>2.0899999999999998E-2</v>
      </c>
      <c r="CX8">
        <f>'2012_2015'!CV8</f>
        <v>1.9599999999999999E-2</v>
      </c>
    </row>
    <row r="9" spans="1:102" x14ac:dyDescent="0.2">
      <c r="A9" t="s">
        <v>210</v>
      </c>
      <c r="B9" t="s">
        <v>218</v>
      </c>
      <c r="C9" t="s">
        <v>102</v>
      </c>
      <c r="D9">
        <f>'2012_2015'!B9</f>
        <v>-2.4599999999999999E-3</v>
      </c>
      <c r="E9">
        <f>'2012_2015'!C9</f>
        <v>-2.96E-3</v>
      </c>
      <c r="F9">
        <f>'2012_2015'!D9</f>
        <v>-2.7299999999999998E-3</v>
      </c>
      <c r="G9">
        <f>'2012_2015'!E9</f>
        <v>-2.4099999999999998E-3</v>
      </c>
      <c r="H9">
        <f>'2012_2015'!F9</f>
        <v>-2.16E-3</v>
      </c>
      <c r="I9">
        <f>'2012_2015'!G9</f>
        <v>-2.1900000000000001E-3</v>
      </c>
      <c r="J9">
        <f>'2012_2015'!H9</f>
        <v>-1.92E-3</v>
      </c>
      <c r="K9">
        <f>'2012_2015'!I9</f>
        <v>-1.6999999999999999E-3</v>
      </c>
      <c r="L9">
        <f>'2012_2015'!J9</f>
        <v>-1.6299999999999999E-3</v>
      </c>
      <c r="M9">
        <f>'2012_2015'!K9</f>
        <v>-1.23E-3</v>
      </c>
      <c r="N9">
        <f>'2012_2015'!L9</f>
        <v>-1.1299999999999999E-3</v>
      </c>
      <c r="O9">
        <f>'2012_2015'!M9</f>
        <v>-1E-3</v>
      </c>
      <c r="P9">
        <f>'2012_2015'!N9</f>
        <v>-8.8500000000000004E-4</v>
      </c>
      <c r="Q9">
        <f>'2012_2015'!O9</f>
        <v>-7.6900000000000004E-4</v>
      </c>
      <c r="R9">
        <f>'2012_2015'!P9</f>
        <v>-6.3599999999999996E-4</v>
      </c>
      <c r="S9">
        <f>'2012_2015'!Q9</f>
        <v>-5.8699999999999996E-4</v>
      </c>
      <c r="T9">
        <f>'2012_2015'!R9</f>
        <v>-5.7399999999999997E-4</v>
      </c>
      <c r="U9">
        <f>'2012_2015'!S9</f>
        <v>-5.62E-4</v>
      </c>
      <c r="V9">
        <f>'2012_2015'!T9</f>
        <v>-5.6599999999999999E-4</v>
      </c>
      <c r="W9">
        <f>'2012_2015'!U9</f>
        <v>-5.6800000000000004E-4</v>
      </c>
      <c r="X9">
        <f>'2012_2015'!V9</f>
        <v>-6.0499999999999996E-4</v>
      </c>
      <c r="Y9">
        <f>'2012_2015'!W9</f>
        <v>-6.3599999999999996E-4</v>
      </c>
      <c r="Z9">
        <f>'2012_2015'!X9</f>
        <v>-6.5499999999999998E-4</v>
      </c>
      <c r="AA9">
        <f>'2012_2015'!Y9</f>
        <v>-6.8499999999999995E-4</v>
      </c>
      <c r="AB9">
        <f>'2012_2015'!Z9</f>
        <v>-6.96E-4</v>
      </c>
      <c r="AC9">
        <f>'2012_2015'!AA9</f>
        <v>-7.1599999999999995E-4</v>
      </c>
      <c r="AD9">
        <f>'2012_2015'!AB9</f>
        <v>-7.4100000000000001E-4</v>
      </c>
      <c r="AE9">
        <f>'2012_2015'!AC9</f>
        <v>-7.7700000000000002E-4</v>
      </c>
      <c r="AF9">
        <f>'2012_2015'!AD9</f>
        <v>-8.0599999999999997E-4</v>
      </c>
      <c r="AG9">
        <f>'2012_2015'!AE9</f>
        <v>-8.4999999999999995E-4</v>
      </c>
      <c r="AH9">
        <f>'2012_2015'!AF9</f>
        <v>-9.1100000000000003E-4</v>
      </c>
      <c r="AI9">
        <f>'2012_2015'!AG9</f>
        <v>-9.5399999999999999E-4</v>
      </c>
      <c r="AJ9">
        <f>'2012_2015'!AH9</f>
        <v>-9.9099999999999991E-4</v>
      </c>
      <c r="AK9">
        <f>'2012_2015'!AI9</f>
        <v>-1.0499999999999999E-3</v>
      </c>
      <c r="AL9">
        <f>'2012_2015'!AJ9</f>
        <v>-1.1100000000000001E-3</v>
      </c>
      <c r="AM9">
        <f>'2012_2015'!AK9</f>
        <v>-1.16E-3</v>
      </c>
      <c r="AN9">
        <f>'2012_2015'!AL9</f>
        <v>-1.1999999999999999E-3</v>
      </c>
      <c r="AO9">
        <f>'2012_2015'!AM9</f>
        <v>-1.2800000000000001E-3</v>
      </c>
      <c r="AP9">
        <f>'2012_2015'!AN9</f>
        <v>-1.34E-3</v>
      </c>
      <c r="AQ9">
        <f>'2012_2015'!AO9</f>
        <v>-1.4300000000000001E-3</v>
      </c>
      <c r="AR9">
        <f>'2012_2015'!AP9</f>
        <v>-1.48E-3</v>
      </c>
      <c r="AS9">
        <f>'2012_2015'!AQ9</f>
        <v>-1.5200000000000001E-3</v>
      </c>
      <c r="AT9">
        <f>'2012_2015'!AR9</f>
        <v>-1.5399999999999999E-3</v>
      </c>
      <c r="AU9">
        <f>'2012_2015'!AS9</f>
        <v>-1.5499999999999999E-3</v>
      </c>
      <c r="AV9">
        <f>'2012_2015'!AT9</f>
        <v>-1.5399999999999999E-3</v>
      </c>
      <c r="AW9">
        <f>'2012_2015'!AU9</f>
        <v>-1.5499999999999999E-3</v>
      </c>
      <c r="AX9">
        <f>'2012_2015'!AV9</f>
        <v>-1.5499999999999999E-3</v>
      </c>
      <c r="AY9">
        <f>'2012_2015'!AW9</f>
        <v>-1.6000000000000001E-3</v>
      </c>
      <c r="AZ9">
        <f>'2012_2015'!AX9</f>
        <v>-1.6199999999999999E-3</v>
      </c>
      <c r="BA9">
        <f>'2012_2015'!AY9</f>
        <v>-1.6900000000000001E-3</v>
      </c>
      <c r="BB9">
        <f>'2012_2015'!AZ9</f>
        <v>-1.72E-3</v>
      </c>
      <c r="BC9">
        <f>'2012_2015'!BA9</f>
        <v>-1.82E-3</v>
      </c>
      <c r="BD9">
        <f>'2012_2015'!BB9</f>
        <v>-1.92E-3</v>
      </c>
      <c r="BE9">
        <f>'2012_2015'!BC9</f>
        <v>-1.9599999999999999E-3</v>
      </c>
      <c r="BF9">
        <f>'2012_2015'!BD9</f>
        <v>-1.98E-3</v>
      </c>
      <c r="BG9">
        <f>'2012_2015'!BE9</f>
        <v>-1.99E-3</v>
      </c>
      <c r="BH9">
        <f>'2012_2015'!BF9</f>
        <v>-1.97E-3</v>
      </c>
      <c r="BI9">
        <f>'2012_2015'!BG9</f>
        <v>-1.92E-3</v>
      </c>
      <c r="BJ9">
        <f>'2012_2015'!BH9</f>
        <v>-1.91E-3</v>
      </c>
      <c r="BK9">
        <f>'2012_2015'!BI9</f>
        <v>-1.9E-3</v>
      </c>
      <c r="BL9">
        <f>'2012_2015'!BJ9</f>
        <v>-1.9E-3</v>
      </c>
      <c r="BM9">
        <f>'2012_2015'!BK9</f>
        <v>-1.9499999999999999E-3</v>
      </c>
      <c r="BN9">
        <f>'2012_2015'!BL9</f>
        <v>-2.0500000000000002E-3</v>
      </c>
      <c r="BO9">
        <f>'2012_2015'!BM9</f>
        <v>-2.0600000000000002E-3</v>
      </c>
      <c r="BP9">
        <f>'2012_2015'!BN9</f>
        <v>-2.1099999999999999E-3</v>
      </c>
      <c r="BQ9">
        <f>'2012_2015'!BO9</f>
        <v>-2.1099999999999999E-3</v>
      </c>
      <c r="BR9">
        <f>'2012_2015'!BP9</f>
        <v>-2.0799999999999998E-3</v>
      </c>
      <c r="BS9">
        <f>'2012_2015'!BQ9</f>
        <v>-2.0699999999999998E-3</v>
      </c>
      <c r="BT9">
        <f>'2012_2015'!BR9</f>
        <v>-2.0500000000000002E-3</v>
      </c>
      <c r="BU9">
        <f>'2012_2015'!BS9</f>
        <v>-2.0600000000000002E-3</v>
      </c>
      <c r="BV9">
        <f>'2012_2015'!BT9</f>
        <v>-2.1900000000000001E-3</v>
      </c>
      <c r="BW9">
        <f>'2012_2015'!BU9</f>
        <v>-2.2799999999999999E-3</v>
      </c>
      <c r="BX9">
        <f>'2012_2015'!BV9</f>
        <v>-2.31E-3</v>
      </c>
      <c r="BY9">
        <f>'2012_2015'!BW9</f>
        <v>-2.3800000000000002E-3</v>
      </c>
      <c r="BZ9">
        <f>'2012_2015'!BX9</f>
        <v>-2.3500000000000001E-3</v>
      </c>
      <c r="CA9">
        <f>'2012_2015'!BY9</f>
        <v>-2.32E-3</v>
      </c>
      <c r="CB9">
        <f>'2012_2015'!BZ9</f>
        <v>-2.2300000000000002E-3</v>
      </c>
      <c r="CC9">
        <f>'2012_2015'!CA9</f>
        <v>-2.3600000000000001E-3</v>
      </c>
      <c r="CD9">
        <f>'2012_2015'!CB9</f>
        <v>-2.49E-3</v>
      </c>
      <c r="CE9">
        <f>'2012_2015'!CC9</f>
        <v>-2.5100000000000001E-3</v>
      </c>
      <c r="CF9">
        <f>'2012_2015'!CD9</f>
        <v>-2.6099999999999999E-3</v>
      </c>
      <c r="CG9">
        <f>'2012_2015'!CE9</f>
        <v>-2.48E-3</v>
      </c>
      <c r="CH9">
        <f>'2012_2015'!CF9</f>
        <v>-2.32E-3</v>
      </c>
      <c r="CI9">
        <f>'2012_2015'!CG9</f>
        <v>-2.2499999999999998E-3</v>
      </c>
      <c r="CJ9">
        <f>'2012_2015'!CH9</f>
        <v>-2.3900000000000002E-3</v>
      </c>
      <c r="CK9">
        <f>'2012_2015'!CI9</f>
        <v>-2.8999999999999998E-3</v>
      </c>
      <c r="CL9">
        <f>'2012_2015'!CJ9</f>
        <v>-2.82E-3</v>
      </c>
      <c r="CM9">
        <f>'2012_2015'!CK9</f>
        <v>-2.7599999999999999E-3</v>
      </c>
      <c r="CN9">
        <f>'2012_2015'!CL9</f>
        <v>-2.8700000000000002E-3</v>
      </c>
      <c r="CO9">
        <f>'2012_2015'!CM9</f>
        <v>-2.8600000000000001E-3</v>
      </c>
      <c r="CP9">
        <f>'2012_2015'!CN9</f>
        <v>-2.7499999999999998E-3</v>
      </c>
      <c r="CQ9">
        <f>'2012_2015'!CO9</f>
        <v>-3.2499999999999999E-3</v>
      </c>
      <c r="CR9">
        <f>'2012_2015'!CP9</f>
        <v>-3.5699999999999998E-3</v>
      </c>
      <c r="CS9">
        <f>'2012_2015'!CQ9</f>
        <v>-3.0699999999999998E-3</v>
      </c>
      <c r="CT9">
        <f>'2012_2015'!CR9</f>
        <v>-3.8500000000000001E-3</v>
      </c>
      <c r="CU9">
        <f>'2012_2015'!CS9</f>
        <v>-3.0400000000000002E-3</v>
      </c>
      <c r="CV9">
        <f>'2012_2015'!CT9</f>
        <v>-3.48E-3</v>
      </c>
      <c r="CW9">
        <f>'2012_2015'!CU9</f>
        <v>-3.63E-3</v>
      </c>
      <c r="CX9">
        <f>'2012_2015'!CV9</f>
        <v>-3.5200000000000001E-3</v>
      </c>
    </row>
    <row r="10" spans="1:102" x14ac:dyDescent="0.2">
      <c r="A10" t="s">
        <v>211</v>
      </c>
      <c r="B10" t="s">
        <v>218</v>
      </c>
      <c r="C10" t="s">
        <v>102</v>
      </c>
      <c r="D10">
        <f>'2012_2015'!B10</f>
        <v>-2.15E-3</v>
      </c>
      <c r="E10">
        <f>'2012_2015'!C10</f>
        <v>-2.47E-3</v>
      </c>
      <c r="F10">
        <f>'2012_2015'!D10</f>
        <v>-2.31E-3</v>
      </c>
      <c r="G10">
        <f>'2012_2015'!E10</f>
        <v>-2.15E-3</v>
      </c>
      <c r="H10">
        <f>'2012_2015'!F10</f>
        <v>-1.92E-3</v>
      </c>
      <c r="I10">
        <f>'2012_2015'!G10</f>
        <v>-1.9400000000000001E-3</v>
      </c>
      <c r="J10">
        <f>'2012_2015'!H10</f>
        <v>-1.8500000000000001E-3</v>
      </c>
      <c r="K10">
        <f>'2012_2015'!I10</f>
        <v>-1.89E-3</v>
      </c>
      <c r="L10">
        <f>'2012_2015'!J10</f>
        <v>-1.7600000000000001E-3</v>
      </c>
      <c r="M10">
        <f>'2012_2015'!K10</f>
        <v>-1.48E-3</v>
      </c>
      <c r="N10">
        <f>'2012_2015'!L10</f>
        <v>-1.5200000000000001E-3</v>
      </c>
      <c r="O10">
        <f>'2012_2015'!M10</f>
        <v>-1.5E-3</v>
      </c>
      <c r="P10">
        <f>'2012_2015'!N10</f>
        <v>-1.42E-3</v>
      </c>
      <c r="Q10">
        <f>'2012_2015'!O10</f>
        <v>-1.3699999999999999E-3</v>
      </c>
      <c r="R10">
        <f>'2012_2015'!P10</f>
        <v>-1.15E-3</v>
      </c>
      <c r="S10">
        <f>'2012_2015'!Q10</f>
        <v>-1.1199999999999999E-3</v>
      </c>
      <c r="T10">
        <f>'2012_2015'!R10</f>
        <v>-1.0300000000000001E-3</v>
      </c>
      <c r="U10">
        <f>'2012_2015'!S10</f>
        <v>-1.08E-3</v>
      </c>
      <c r="V10">
        <f>'2012_2015'!T10</f>
        <v>-1.0499999999999999E-3</v>
      </c>
      <c r="W10">
        <f>'2012_2015'!U10</f>
        <v>-1.0399999999999999E-3</v>
      </c>
      <c r="X10">
        <f>'2012_2015'!V10</f>
        <v>-1.0499999999999999E-3</v>
      </c>
      <c r="Y10">
        <f>'2012_2015'!W10</f>
        <v>-1.1000000000000001E-3</v>
      </c>
      <c r="Z10">
        <f>'2012_2015'!X10</f>
        <v>-1.09E-3</v>
      </c>
      <c r="AA10">
        <f>'2012_2015'!Y10</f>
        <v>-1.1299999999999999E-3</v>
      </c>
      <c r="AB10">
        <f>'2012_2015'!Z10</f>
        <v>-1.1000000000000001E-3</v>
      </c>
      <c r="AC10">
        <f>'2012_2015'!AA10</f>
        <v>-1.1000000000000001E-3</v>
      </c>
      <c r="AD10">
        <f>'2012_2015'!AB10</f>
        <v>-1.14E-3</v>
      </c>
      <c r="AE10">
        <f>'2012_2015'!AC10</f>
        <v>-1.1299999999999999E-3</v>
      </c>
      <c r="AF10">
        <f>'2012_2015'!AD10</f>
        <v>-1.16E-3</v>
      </c>
      <c r="AG10">
        <f>'2012_2015'!AE10</f>
        <v>-1.2999999999999999E-3</v>
      </c>
      <c r="AH10">
        <f>'2012_2015'!AF10</f>
        <v>-1.32E-3</v>
      </c>
      <c r="AI10">
        <f>'2012_2015'!AG10</f>
        <v>-1.3699999999999999E-3</v>
      </c>
      <c r="AJ10">
        <f>'2012_2015'!AH10</f>
        <v>-1.4400000000000001E-3</v>
      </c>
      <c r="AK10">
        <f>'2012_2015'!AI10</f>
        <v>-1.49E-3</v>
      </c>
      <c r="AL10">
        <f>'2012_2015'!AJ10</f>
        <v>-1.56E-3</v>
      </c>
      <c r="AM10">
        <f>'2012_2015'!AK10</f>
        <v>-1.6000000000000001E-3</v>
      </c>
      <c r="AN10">
        <f>'2012_2015'!AL10</f>
        <v>-1.6100000000000001E-3</v>
      </c>
      <c r="AO10">
        <f>'2012_2015'!AM10</f>
        <v>-1.7600000000000001E-3</v>
      </c>
      <c r="AP10">
        <f>'2012_2015'!AN10</f>
        <v>-1.83E-3</v>
      </c>
      <c r="AQ10">
        <f>'2012_2015'!AO10</f>
        <v>-1.8500000000000001E-3</v>
      </c>
      <c r="AR10">
        <f>'2012_2015'!AP10</f>
        <v>-1.9300000000000001E-3</v>
      </c>
      <c r="AS10">
        <f>'2012_2015'!AQ10</f>
        <v>-1.9599999999999999E-3</v>
      </c>
      <c r="AT10">
        <f>'2012_2015'!AR10</f>
        <v>-1.98E-3</v>
      </c>
      <c r="AU10">
        <f>'2012_2015'!AS10</f>
        <v>-1.98E-3</v>
      </c>
      <c r="AV10">
        <f>'2012_2015'!AT10</f>
        <v>-1.9599999999999999E-3</v>
      </c>
      <c r="AW10">
        <f>'2012_2015'!AU10</f>
        <v>-2.0100000000000001E-3</v>
      </c>
      <c r="AX10">
        <f>'2012_2015'!AV10</f>
        <v>-2.0500000000000002E-3</v>
      </c>
      <c r="AY10">
        <f>'2012_2015'!AW10</f>
        <v>-2.0200000000000001E-3</v>
      </c>
      <c r="AZ10">
        <f>'2012_2015'!AX10</f>
        <v>-2.0899999999999998E-3</v>
      </c>
      <c r="BA10">
        <f>'2012_2015'!AY10</f>
        <v>-2.14E-3</v>
      </c>
      <c r="BB10">
        <f>'2012_2015'!AZ10</f>
        <v>-2.1700000000000001E-3</v>
      </c>
      <c r="BC10">
        <f>'2012_2015'!BA10</f>
        <v>-2.2699999999999999E-3</v>
      </c>
      <c r="BD10">
        <f>'2012_2015'!BB10</f>
        <v>-2.4099999999999998E-3</v>
      </c>
      <c r="BE10">
        <f>'2012_2015'!BC10</f>
        <v>-2.5600000000000002E-3</v>
      </c>
      <c r="BF10">
        <f>'2012_2015'!BD10</f>
        <v>-2.5699999999999998E-3</v>
      </c>
      <c r="BG10">
        <f>'2012_2015'!BE10</f>
        <v>-2.5999999999999999E-3</v>
      </c>
      <c r="BH10">
        <f>'2012_2015'!BF10</f>
        <v>-2.5999999999999999E-3</v>
      </c>
      <c r="BI10">
        <f>'2012_2015'!BG10</f>
        <v>-2.6099999999999999E-3</v>
      </c>
      <c r="BJ10">
        <f>'2012_2015'!BH10</f>
        <v>-2.6800000000000001E-3</v>
      </c>
      <c r="BK10">
        <f>'2012_2015'!BI10</f>
        <v>-2.5999999999999999E-3</v>
      </c>
      <c r="BL10">
        <f>'2012_2015'!BJ10</f>
        <v>-2.5699999999999998E-3</v>
      </c>
      <c r="BM10">
        <f>'2012_2015'!BK10</f>
        <v>-2.7299999999999998E-3</v>
      </c>
      <c r="BN10">
        <f>'2012_2015'!BL10</f>
        <v>-2.9099999999999998E-3</v>
      </c>
      <c r="BO10">
        <f>'2012_2015'!BM10</f>
        <v>-3.0200000000000001E-3</v>
      </c>
      <c r="BP10">
        <f>'2012_2015'!BN10</f>
        <v>-3.0999999999999999E-3</v>
      </c>
      <c r="BQ10">
        <f>'2012_2015'!BO10</f>
        <v>-3.13E-3</v>
      </c>
      <c r="BR10">
        <f>'2012_2015'!BP10</f>
        <v>-3.2399999999999998E-3</v>
      </c>
      <c r="BS10">
        <f>'2012_2015'!BQ10</f>
        <v>-3.2399999999999998E-3</v>
      </c>
      <c r="BT10">
        <f>'2012_2015'!BR10</f>
        <v>-3.1700000000000001E-3</v>
      </c>
      <c r="BU10">
        <f>'2012_2015'!BS10</f>
        <v>-3.2100000000000002E-3</v>
      </c>
      <c r="BV10">
        <f>'2012_2015'!BT10</f>
        <v>-3.49E-3</v>
      </c>
      <c r="BW10">
        <f>'2012_2015'!BU10</f>
        <v>-3.6600000000000001E-3</v>
      </c>
      <c r="BX10">
        <f>'2012_2015'!BV10</f>
        <v>-3.7100000000000002E-3</v>
      </c>
      <c r="BY10">
        <f>'2012_2015'!BW10</f>
        <v>-3.7699999999999999E-3</v>
      </c>
      <c r="BZ10">
        <f>'2012_2015'!BX10</f>
        <v>-3.7599999999999999E-3</v>
      </c>
      <c r="CA10">
        <f>'2012_2015'!BY10</f>
        <v>-3.8300000000000001E-3</v>
      </c>
      <c r="CB10">
        <f>'2012_2015'!BZ10</f>
        <v>-3.62E-3</v>
      </c>
      <c r="CC10">
        <f>'2012_2015'!CA10</f>
        <v>-3.81E-3</v>
      </c>
      <c r="CD10">
        <f>'2012_2015'!CB10</f>
        <v>-3.96E-3</v>
      </c>
      <c r="CE10">
        <f>'2012_2015'!CC10</f>
        <v>-4.1200000000000004E-3</v>
      </c>
      <c r="CF10">
        <f>'2012_2015'!CD10</f>
        <v>-4.28E-3</v>
      </c>
      <c r="CG10">
        <f>'2012_2015'!CE10</f>
        <v>-4.1099999999999999E-3</v>
      </c>
      <c r="CH10">
        <f>'2012_2015'!CF10</f>
        <v>-3.8999999999999998E-3</v>
      </c>
      <c r="CI10">
        <f>'2012_2015'!CG10</f>
        <v>-3.5899999999999999E-3</v>
      </c>
      <c r="CJ10">
        <f>'2012_2015'!CH10</f>
        <v>-3.79E-3</v>
      </c>
      <c r="CK10">
        <f>'2012_2015'!CI10</f>
        <v>-4.7400000000000003E-3</v>
      </c>
      <c r="CL10">
        <f>'2012_2015'!CJ10</f>
        <v>-4.5700000000000003E-3</v>
      </c>
      <c r="CM10">
        <f>'2012_2015'!CK10</f>
        <v>-4.4799999999999996E-3</v>
      </c>
      <c r="CN10">
        <f>'2012_2015'!CL10</f>
        <v>-4.5799999999999999E-3</v>
      </c>
      <c r="CO10">
        <f>'2012_2015'!CM10</f>
        <v>-4.4000000000000003E-3</v>
      </c>
      <c r="CP10">
        <f>'2012_2015'!CN10</f>
        <v>-4.1900000000000001E-3</v>
      </c>
      <c r="CQ10">
        <f>'2012_2015'!CO10</f>
        <v>-4.8999999999999998E-3</v>
      </c>
      <c r="CR10">
        <f>'2012_2015'!CP10</f>
        <v>-5.5999999999999999E-3</v>
      </c>
      <c r="CS10">
        <f>'2012_2015'!CQ10</f>
        <v>-4.96E-3</v>
      </c>
      <c r="CT10">
        <f>'2012_2015'!CR10</f>
        <v>-5.6600000000000001E-3</v>
      </c>
      <c r="CU10">
        <f>'2012_2015'!CS10</f>
        <v>-4.5199999999999997E-3</v>
      </c>
      <c r="CV10">
        <f>'2012_2015'!CT10</f>
        <v>-5.6100000000000004E-3</v>
      </c>
      <c r="CW10">
        <f>'2012_2015'!CU10</f>
        <v>-5.3099999999999996E-3</v>
      </c>
      <c r="CX10">
        <f>'2012_2015'!CV10</f>
        <v>-4.5399999999999998E-3</v>
      </c>
    </row>
    <row r="11" spans="1:102" x14ac:dyDescent="0.2">
      <c r="A11" t="s">
        <v>212</v>
      </c>
      <c r="B11" t="s">
        <v>218</v>
      </c>
      <c r="C11" t="s">
        <v>102</v>
      </c>
      <c r="D11">
        <f>'2012_2015'!B11</f>
        <v>2.0400000000000001E-3</v>
      </c>
      <c r="E11">
        <f>'2012_2015'!C11</f>
        <v>2.4199999999999998E-3</v>
      </c>
      <c r="F11">
        <f>'2012_2015'!D11</f>
        <v>2.2100000000000002E-3</v>
      </c>
      <c r="G11">
        <f>'2012_2015'!E11</f>
        <v>1.9599999999999999E-3</v>
      </c>
      <c r="H11">
        <f>'2012_2015'!F11</f>
        <v>1.74E-3</v>
      </c>
      <c r="I11">
        <f>'2012_2015'!G11</f>
        <v>1.67E-3</v>
      </c>
      <c r="J11">
        <f>'2012_2015'!H11</f>
        <v>1.57E-3</v>
      </c>
      <c r="K11">
        <f>'2012_2015'!I11</f>
        <v>1.4599999999999999E-3</v>
      </c>
      <c r="L11">
        <f>'2012_2015'!J11</f>
        <v>1.3799999999999999E-3</v>
      </c>
      <c r="M11">
        <f>'2012_2015'!K11</f>
        <v>1.08E-3</v>
      </c>
      <c r="N11">
        <f>'2012_2015'!L11</f>
        <v>9.859999999999999E-4</v>
      </c>
      <c r="O11">
        <f>'2012_2015'!M11</f>
        <v>8.6799999999999996E-4</v>
      </c>
      <c r="P11">
        <f>'2012_2015'!N11</f>
        <v>7.7800000000000005E-4</v>
      </c>
      <c r="Q11">
        <f>'2012_2015'!O11</f>
        <v>6.6100000000000002E-4</v>
      </c>
      <c r="R11">
        <f>'2012_2015'!P11</f>
        <v>5.2400000000000005E-4</v>
      </c>
      <c r="S11">
        <f>'2012_2015'!Q11</f>
        <v>4.6900000000000002E-4</v>
      </c>
      <c r="T11">
        <f>'2012_2015'!R11</f>
        <v>4.28E-4</v>
      </c>
      <c r="U11">
        <f>'2012_2015'!S11</f>
        <v>4.0700000000000003E-4</v>
      </c>
      <c r="V11">
        <f>'2012_2015'!T11</f>
        <v>3.7500000000000001E-4</v>
      </c>
      <c r="W11">
        <f>'2012_2015'!U11</f>
        <v>3.5500000000000001E-4</v>
      </c>
      <c r="X11">
        <f>'2012_2015'!V11</f>
        <v>3.4499999999999998E-4</v>
      </c>
      <c r="Y11">
        <f>'2012_2015'!W11</f>
        <v>3.3E-4</v>
      </c>
      <c r="Z11">
        <f>'2012_2015'!X11</f>
        <v>3.21E-4</v>
      </c>
      <c r="AA11">
        <f>'2012_2015'!Y11</f>
        <v>3.1599999999999998E-4</v>
      </c>
      <c r="AB11">
        <f>'2012_2015'!Z11</f>
        <v>3.0200000000000002E-4</v>
      </c>
      <c r="AC11">
        <f>'2012_2015'!AA11</f>
        <v>2.9999999999999997E-4</v>
      </c>
      <c r="AD11">
        <f>'2012_2015'!AB11</f>
        <v>2.8800000000000001E-4</v>
      </c>
      <c r="AE11">
        <f>'2012_2015'!AC11</f>
        <v>2.7599999999999999E-4</v>
      </c>
      <c r="AF11">
        <f>'2012_2015'!AD11</f>
        <v>2.7799999999999998E-4</v>
      </c>
      <c r="AG11">
        <f>'2012_2015'!AE11</f>
        <v>2.6899999999999998E-4</v>
      </c>
      <c r="AH11">
        <f>'2012_2015'!AF11</f>
        <v>2.6699999999999998E-4</v>
      </c>
      <c r="AI11">
        <f>'2012_2015'!AG11</f>
        <v>2.6400000000000002E-4</v>
      </c>
      <c r="AJ11">
        <f>'2012_2015'!AH11</f>
        <v>2.7099999999999997E-4</v>
      </c>
      <c r="AK11">
        <f>'2012_2015'!AI11</f>
        <v>2.7500000000000002E-4</v>
      </c>
      <c r="AL11">
        <f>'2012_2015'!AJ11</f>
        <v>2.8699999999999998E-4</v>
      </c>
      <c r="AM11">
        <f>'2012_2015'!AK11</f>
        <v>2.8499999999999999E-4</v>
      </c>
      <c r="AN11">
        <f>'2012_2015'!AL11</f>
        <v>2.8400000000000002E-4</v>
      </c>
      <c r="AO11">
        <f>'2012_2015'!AM11</f>
        <v>2.9100000000000003E-4</v>
      </c>
      <c r="AP11">
        <f>'2012_2015'!AN11</f>
        <v>2.8899999999999998E-4</v>
      </c>
      <c r="AQ11">
        <f>'2012_2015'!AO11</f>
        <v>2.9E-4</v>
      </c>
      <c r="AR11">
        <f>'2012_2015'!AP11</f>
        <v>2.92E-4</v>
      </c>
      <c r="AS11">
        <f>'2012_2015'!AQ11</f>
        <v>2.9399999999999999E-4</v>
      </c>
      <c r="AT11">
        <f>'2012_2015'!AR11</f>
        <v>2.9E-4</v>
      </c>
      <c r="AU11">
        <f>'2012_2015'!AS11</f>
        <v>2.8499999999999999E-4</v>
      </c>
      <c r="AV11">
        <f>'2012_2015'!AT11</f>
        <v>2.7599999999999999E-4</v>
      </c>
      <c r="AW11">
        <f>'2012_2015'!AU11</f>
        <v>2.7900000000000001E-4</v>
      </c>
      <c r="AX11">
        <f>'2012_2015'!AV11</f>
        <v>2.7399999999999999E-4</v>
      </c>
      <c r="AY11">
        <f>'2012_2015'!AW11</f>
        <v>2.61E-4</v>
      </c>
      <c r="AZ11">
        <f>'2012_2015'!AX11</f>
        <v>2.5700000000000001E-4</v>
      </c>
      <c r="BA11">
        <f>'2012_2015'!AY11</f>
        <v>2.52E-4</v>
      </c>
      <c r="BB11">
        <f>'2012_2015'!AZ11</f>
        <v>2.52E-4</v>
      </c>
      <c r="BC11">
        <f>'2012_2015'!BA11</f>
        <v>2.6400000000000002E-4</v>
      </c>
      <c r="BD11">
        <f>'2012_2015'!BB11</f>
        <v>2.7399999999999999E-4</v>
      </c>
      <c r="BE11">
        <f>'2012_2015'!BC11</f>
        <v>2.7599999999999999E-4</v>
      </c>
      <c r="BF11">
        <f>'2012_2015'!BD11</f>
        <v>2.7599999999999999E-4</v>
      </c>
      <c r="BG11">
        <f>'2012_2015'!BE11</f>
        <v>2.7E-4</v>
      </c>
      <c r="BH11">
        <f>'2012_2015'!BF11</f>
        <v>2.5500000000000002E-4</v>
      </c>
      <c r="BI11">
        <f>'2012_2015'!BG11</f>
        <v>2.5099999999999998E-4</v>
      </c>
      <c r="BJ11">
        <f>'2012_2015'!BH11</f>
        <v>2.5700000000000001E-4</v>
      </c>
      <c r="BK11">
        <f>'2012_2015'!BI11</f>
        <v>2.4600000000000002E-4</v>
      </c>
      <c r="BL11">
        <f>'2012_2015'!BJ11</f>
        <v>2.4399999999999999E-4</v>
      </c>
      <c r="BM11">
        <f>'2012_2015'!BK11</f>
        <v>2.4600000000000002E-4</v>
      </c>
      <c r="BN11">
        <f>'2012_2015'!BL11</f>
        <v>2.4800000000000001E-4</v>
      </c>
      <c r="BO11">
        <f>'2012_2015'!BM11</f>
        <v>2.4600000000000002E-4</v>
      </c>
      <c r="BP11">
        <f>'2012_2015'!BN11</f>
        <v>2.5599999999999999E-4</v>
      </c>
      <c r="BQ11">
        <f>'2012_2015'!BO11</f>
        <v>2.63E-4</v>
      </c>
      <c r="BR11">
        <f>'2012_2015'!BP11</f>
        <v>2.52E-4</v>
      </c>
      <c r="BS11">
        <f>'2012_2015'!BQ11</f>
        <v>2.4499999999999999E-4</v>
      </c>
      <c r="BT11">
        <f>'2012_2015'!BR11</f>
        <v>2.4800000000000001E-4</v>
      </c>
      <c r="BU11">
        <f>'2012_2015'!BS11</f>
        <v>2.5700000000000001E-4</v>
      </c>
      <c r="BV11">
        <f>'2012_2015'!BT11</f>
        <v>2.8400000000000002E-4</v>
      </c>
      <c r="BW11">
        <f>'2012_2015'!BU11</f>
        <v>2.9999999999999997E-4</v>
      </c>
      <c r="BX11">
        <f>'2012_2015'!BV11</f>
        <v>2.8400000000000002E-4</v>
      </c>
      <c r="BY11">
        <f>'2012_2015'!BW11</f>
        <v>2.9300000000000002E-4</v>
      </c>
      <c r="BZ11">
        <f>'2012_2015'!BX11</f>
        <v>2.9100000000000003E-4</v>
      </c>
      <c r="CA11">
        <f>'2012_2015'!BY11</f>
        <v>2.8800000000000001E-4</v>
      </c>
      <c r="CB11">
        <f>'2012_2015'!BZ11</f>
        <v>2.72E-4</v>
      </c>
      <c r="CC11">
        <f>'2012_2015'!CA11</f>
        <v>2.81E-4</v>
      </c>
      <c r="CD11">
        <f>'2012_2015'!CB11</f>
        <v>2.6699999999999998E-4</v>
      </c>
      <c r="CE11">
        <f>'2012_2015'!CC11</f>
        <v>2.61E-4</v>
      </c>
      <c r="CF11">
        <f>'2012_2015'!CD11</f>
        <v>2.5399999999999999E-4</v>
      </c>
      <c r="CG11">
        <f>'2012_2015'!CE11</f>
        <v>2.4000000000000001E-4</v>
      </c>
      <c r="CH11">
        <f>'2012_2015'!CF11</f>
        <v>2.1499999999999999E-4</v>
      </c>
      <c r="CI11">
        <f>'2012_2015'!CG11</f>
        <v>2.0000000000000001E-4</v>
      </c>
      <c r="CJ11">
        <f>'2012_2015'!CH11</f>
        <v>1.75E-4</v>
      </c>
      <c r="CK11">
        <f>'2012_2015'!CI11</f>
        <v>2.13E-4</v>
      </c>
      <c r="CL11">
        <f>'2012_2015'!CJ11</f>
        <v>2.12E-4</v>
      </c>
      <c r="CM11">
        <f>'2012_2015'!CK11</f>
        <v>1.9799999999999999E-4</v>
      </c>
      <c r="CN11">
        <f>'2012_2015'!CL11</f>
        <v>2.0599999999999999E-4</v>
      </c>
      <c r="CO11">
        <f>'2012_2015'!CM11</f>
        <v>1.8699999999999999E-4</v>
      </c>
      <c r="CP11">
        <f>'2012_2015'!CN11</f>
        <v>1.75E-4</v>
      </c>
      <c r="CQ11">
        <f>'2012_2015'!CO11</f>
        <v>1.8599999999999999E-4</v>
      </c>
      <c r="CR11">
        <f>'2012_2015'!CP11</f>
        <v>2.0000000000000001E-4</v>
      </c>
      <c r="CS11">
        <f>'2012_2015'!CQ11</f>
        <v>1.64E-4</v>
      </c>
      <c r="CT11">
        <f>'2012_2015'!CR11</f>
        <v>1.7100000000000001E-4</v>
      </c>
      <c r="CU11">
        <f>'2012_2015'!CS11</f>
        <v>1.25E-4</v>
      </c>
      <c r="CV11">
        <f>'2012_2015'!CT11</f>
        <v>1.6699999999999999E-4</v>
      </c>
      <c r="CW11">
        <f>'2012_2015'!CU11</f>
        <v>1.16E-4</v>
      </c>
      <c r="CX11">
        <f>'2012_2015'!CV11</f>
        <v>1.5699999999999999E-4</v>
      </c>
    </row>
    <row r="12" spans="1:102" x14ac:dyDescent="0.2">
      <c r="A12" t="s">
        <v>213</v>
      </c>
      <c r="B12" t="s">
        <v>218</v>
      </c>
      <c r="C12" t="s">
        <v>102</v>
      </c>
      <c r="D12">
        <f>'2012_2015'!B12</f>
        <v>7.9299999999999995E-3</v>
      </c>
      <c r="E12">
        <f>'2012_2015'!C12</f>
        <v>1.14E-2</v>
      </c>
      <c r="F12">
        <f>'2012_2015'!D12</f>
        <v>1.2200000000000001E-2</v>
      </c>
      <c r="G12">
        <f>'2012_2015'!E12</f>
        <v>1.2500000000000001E-2</v>
      </c>
      <c r="H12">
        <f>'2012_2015'!F12</f>
        <v>1.24E-2</v>
      </c>
      <c r="I12">
        <f>'2012_2015'!G12</f>
        <v>1.37E-2</v>
      </c>
      <c r="J12">
        <f>'2012_2015'!H12</f>
        <v>1.37E-2</v>
      </c>
      <c r="K12">
        <f>'2012_2015'!I12</f>
        <v>1.32E-2</v>
      </c>
      <c r="L12">
        <f>'2012_2015'!J12</f>
        <v>1.35E-2</v>
      </c>
      <c r="M12">
        <f>'2012_2015'!K12</f>
        <v>1.09E-2</v>
      </c>
      <c r="N12">
        <f>'2012_2015'!L12</f>
        <v>1.06E-2</v>
      </c>
      <c r="O12">
        <f>'2012_2015'!M12</f>
        <v>9.9399999999999992E-3</v>
      </c>
      <c r="P12">
        <f>'2012_2015'!N12</f>
        <v>8.9700000000000005E-3</v>
      </c>
      <c r="Q12">
        <f>'2012_2015'!O12</f>
        <v>7.79E-3</v>
      </c>
      <c r="R12">
        <f>'2012_2015'!P12</f>
        <v>6.2599999999999999E-3</v>
      </c>
      <c r="S12">
        <f>'2012_2015'!Q12</f>
        <v>5.5500000000000002E-3</v>
      </c>
      <c r="T12">
        <f>'2012_2015'!R12</f>
        <v>5.1900000000000002E-3</v>
      </c>
      <c r="U12">
        <f>'2012_2015'!S12</f>
        <v>5.0000000000000001E-3</v>
      </c>
      <c r="V12">
        <f>'2012_2015'!T12</f>
        <v>4.3800000000000002E-3</v>
      </c>
      <c r="W12">
        <f>'2012_2015'!U12</f>
        <v>4.0400000000000002E-3</v>
      </c>
      <c r="X12">
        <f>'2012_2015'!V12</f>
        <v>3.8400000000000001E-3</v>
      </c>
      <c r="Y12">
        <f>'2012_2015'!W12</f>
        <v>3.6700000000000001E-3</v>
      </c>
      <c r="Z12">
        <f>'2012_2015'!X12</f>
        <v>3.4499999999999999E-3</v>
      </c>
      <c r="AA12">
        <f>'2012_2015'!Y12</f>
        <v>3.1900000000000001E-3</v>
      </c>
      <c r="AB12">
        <f>'2012_2015'!Z12</f>
        <v>2.9499999999999999E-3</v>
      </c>
      <c r="AC12">
        <f>'2012_2015'!AA12</f>
        <v>2.7399999999999998E-3</v>
      </c>
      <c r="AD12">
        <f>'2012_2015'!AB12</f>
        <v>2.5999999999999999E-3</v>
      </c>
      <c r="AE12">
        <f>'2012_2015'!AC12</f>
        <v>2.5200000000000001E-3</v>
      </c>
      <c r="AF12">
        <f>'2012_2015'!AD12</f>
        <v>2.4199999999999998E-3</v>
      </c>
      <c r="AG12">
        <f>'2012_2015'!AE12</f>
        <v>2.3800000000000002E-3</v>
      </c>
      <c r="AH12">
        <f>'2012_2015'!AF12</f>
        <v>2.2799999999999999E-3</v>
      </c>
      <c r="AI12">
        <f>'2012_2015'!AG12</f>
        <v>2.14E-3</v>
      </c>
      <c r="AJ12">
        <f>'2012_2015'!AH12</f>
        <v>2.0500000000000002E-3</v>
      </c>
      <c r="AK12">
        <f>'2012_2015'!AI12</f>
        <v>1.97E-3</v>
      </c>
      <c r="AL12">
        <f>'2012_2015'!AJ12</f>
        <v>1.92E-3</v>
      </c>
      <c r="AM12">
        <f>'2012_2015'!AK12</f>
        <v>1.8799999999999999E-3</v>
      </c>
      <c r="AN12">
        <f>'2012_2015'!AL12</f>
        <v>1.8799999999999999E-3</v>
      </c>
      <c r="AO12">
        <f>'2012_2015'!AM12</f>
        <v>1.8400000000000001E-3</v>
      </c>
      <c r="AP12">
        <f>'2012_2015'!AN12</f>
        <v>1.7600000000000001E-3</v>
      </c>
      <c r="AQ12">
        <f>'2012_2015'!AO12</f>
        <v>1.64E-3</v>
      </c>
      <c r="AR12">
        <f>'2012_2015'!AP12</f>
        <v>1.57E-3</v>
      </c>
      <c r="AS12">
        <f>'2012_2015'!AQ12</f>
        <v>1.4300000000000001E-3</v>
      </c>
      <c r="AT12">
        <f>'2012_2015'!AR12</f>
        <v>1.2700000000000001E-3</v>
      </c>
      <c r="AU12">
        <f>'2012_2015'!AS12</f>
        <v>1.1199999999999999E-3</v>
      </c>
      <c r="AV12">
        <f>'2012_2015'!AT12</f>
        <v>9.5E-4</v>
      </c>
      <c r="AW12">
        <f>'2012_2015'!AU12</f>
        <v>8.9499999999999996E-4</v>
      </c>
      <c r="AX12">
        <f>'2012_2015'!AV12</f>
        <v>8.8500000000000004E-4</v>
      </c>
      <c r="AY12">
        <f>'2012_2015'!AW12</f>
        <v>8.4800000000000001E-4</v>
      </c>
      <c r="AZ12">
        <f>'2012_2015'!AX12</f>
        <v>8.5099999999999998E-4</v>
      </c>
      <c r="BA12">
        <f>'2012_2015'!AY12</f>
        <v>7.4299999999999995E-4</v>
      </c>
      <c r="BB12">
        <f>'2012_2015'!AZ12</f>
        <v>7.0100000000000002E-4</v>
      </c>
      <c r="BC12">
        <f>'2012_2015'!BA12</f>
        <v>6.1799999999999995E-4</v>
      </c>
      <c r="BD12">
        <f>'2012_2015'!BB12</f>
        <v>5.6599999999999999E-4</v>
      </c>
      <c r="BE12">
        <f>'2012_2015'!BC12</f>
        <v>4.8799999999999999E-4</v>
      </c>
      <c r="BF12">
        <f>'2012_2015'!BD12</f>
        <v>3.21E-4</v>
      </c>
      <c r="BG12">
        <f>'2012_2015'!BE12</f>
        <v>1.8100000000000001E-4</v>
      </c>
      <c r="BH12">
        <f>'2012_2015'!BF12</f>
        <v>1.12E-4</v>
      </c>
      <c r="BI12">
        <f>'2012_2015'!BG12</f>
        <v>8.2000000000000001E-5</v>
      </c>
      <c r="BJ12">
        <f>'2012_2015'!BH12</f>
        <v>1.13E-4</v>
      </c>
      <c r="BK12">
        <f>'2012_2015'!BI12</f>
        <v>6.4800000000000003E-5</v>
      </c>
      <c r="BL12">
        <f>'2012_2015'!BJ12</f>
        <v>6.8899999999999994E-5</v>
      </c>
      <c r="BM12">
        <f>'2012_2015'!BK12</f>
        <v>7.8999999999999996E-5</v>
      </c>
      <c r="BN12">
        <f>'2012_2015'!BL12</f>
        <v>6.7999999999999999E-5</v>
      </c>
      <c r="BO12">
        <f>'2012_2015'!BM12</f>
        <v>-5.99E-7</v>
      </c>
      <c r="BP12">
        <f>'2012_2015'!BN12</f>
        <v>-1.44E-4</v>
      </c>
      <c r="BQ12">
        <f>'2012_2015'!BO12</f>
        <v>-2.03E-4</v>
      </c>
      <c r="BR12">
        <f>'2012_2015'!BP12</f>
        <v>-2.2699999999999999E-4</v>
      </c>
      <c r="BS12">
        <f>'2012_2015'!BQ12</f>
        <v>-2.5700000000000001E-4</v>
      </c>
      <c r="BT12">
        <f>'2012_2015'!BR12</f>
        <v>-3.5199999999999999E-4</v>
      </c>
      <c r="BU12">
        <f>'2012_2015'!BS12</f>
        <v>-4.0900000000000002E-4</v>
      </c>
      <c r="BV12">
        <f>'2012_2015'!BT12</f>
        <v>-4.6500000000000003E-4</v>
      </c>
      <c r="BW12">
        <f>'2012_2015'!BU12</f>
        <v>-5.62E-4</v>
      </c>
      <c r="BX12">
        <f>'2012_2015'!BV12</f>
        <v>-4.4900000000000002E-4</v>
      </c>
      <c r="BY12">
        <f>'2012_2015'!BW12</f>
        <v>-5.8E-4</v>
      </c>
      <c r="BZ12">
        <f>'2012_2015'!BX12</f>
        <v>-5.8699999999999996E-4</v>
      </c>
      <c r="CA12">
        <f>'2012_2015'!BY12</f>
        <v>-5.9100000000000005E-4</v>
      </c>
      <c r="CB12">
        <f>'2012_2015'!BZ12</f>
        <v>-6.8800000000000003E-4</v>
      </c>
      <c r="CC12">
        <f>'2012_2015'!CA12</f>
        <v>-6.9800000000000005E-4</v>
      </c>
      <c r="CD12">
        <f>'2012_2015'!CB12</f>
        <v>-6.5899999999999997E-4</v>
      </c>
      <c r="CE12">
        <f>'2012_2015'!CC12</f>
        <v>-6.2200000000000005E-4</v>
      </c>
      <c r="CF12">
        <f>'2012_2015'!CD12</f>
        <v>-6.1499999999999999E-4</v>
      </c>
      <c r="CG12">
        <f>'2012_2015'!CE12</f>
        <v>-7.5900000000000002E-4</v>
      </c>
      <c r="CH12">
        <f>'2012_2015'!CF12</f>
        <v>-7.0200000000000004E-4</v>
      </c>
      <c r="CI12">
        <f>'2012_2015'!CG12</f>
        <v>-5.6999999999999998E-4</v>
      </c>
      <c r="CJ12">
        <f>'2012_2015'!CH12</f>
        <v>-4.9299999999999995E-4</v>
      </c>
      <c r="CK12">
        <f>'2012_2015'!CI12</f>
        <v>-6.4199999999999999E-4</v>
      </c>
      <c r="CL12">
        <f>'2012_2015'!CJ12</f>
        <v>-5.6899999999999995E-4</v>
      </c>
      <c r="CM12">
        <f>'2012_2015'!CK12</f>
        <v>-4.7600000000000002E-4</v>
      </c>
      <c r="CN12">
        <f>'2012_2015'!CL12</f>
        <v>-7.0299999999999996E-4</v>
      </c>
      <c r="CO12">
        <f>'2012_2015'!CM12</f>
        <v>-6.6500000000000001E-4</v>
      </c>
      <c r="CP12">
        <f>'2012_2015'!CN12</f>
        <v>-5.0100000000000003E-4</v>
      </c>
      <c r="CQ12">
        <f>'2012_2015'!CO12</f>
        <v>-6.5899999999999997E-4</v>
      </c>
      <c r="CR12">
        <f>'2012_2015'!CP12</f>
        <v>-7.6999999999999996E-4</v>
      </c>
      <c r="CS12">
        <f>'2012_2015'!CQ12</f>
        <v>-5.7399999999999997E-4</v>
      </c>
      <c r="CT12">
        <f>'2012_2015'!CR12</f>
        <v>-4.6799999999999999E-4</v>
      </c>
      <c r="CU12">
        <f>'2012_2015'!CS12</f>
        <v>-2.24E-4</v>
      </c>
      <c r="CV12">
        <f>'2012_2015'!CT12</f>
        <v>-3.19E-4</v>
      </c>
      <c r="CW12">
        <f>'2012_2015'!CU12</f>
        <v>-5.7600000000000001E-4</v>
      </c>
      <c r="CX12">
        <f>'2012_2015'!CV12</f>
        <v>-5.8600000000000004E-4</v>
      </c>
    </row>
    <row r="13" spans="1:102" x14ac:dyDescent="0.2">
      <c r="A13" t="s">
        <v>214</v>
      </c>
      <c r="B13" t="s">
        <v>218</v>
      </c>
      <c r="C13" t="s">
        <v>102</v>
      </c>
      <c r="D13">
        <f>'2012_2015'!B13</f>
        <v>5.3899999999999998E-4</v>
      </c>
      <c r="E13">
        <f>'2012_2015'!C13</f>
        <v>4.1100000000000002E-4</v>
      </c>
      <c r="F13">
        <f>'2012_2015'!D13</f>
        <v>3.2899999999999997E-4</v>
      </c>
      <c r="G13">
        <f>'2012_2015'!E13</f>
        <v>2.63E-4</v>
      </c>
      <c r="H13">
        <f>'2012_2015'!F13</f>
        <v>2.0900000000000001E-4</v>
      </c>
      <c r="I13">
        <f>'2012_2015'!G13</f>
        <v>1.2400000000000001E-4</v>
      </c>
      <c r="J13">
        <f>'2012_2015'!H13</f>
        <v>3.2199999999999997E-5</v>
      </c>
      <c r="K13">
        <f>'2012_2015'!I13</f>
        <v>-3.4999999999999997E-5</v>
      </c>
      <c r="L13">
        <f>'2012_2015'!J13</f>
        <v>1.04E-5</v>
      </c>
      <c r="M13">
        <f>'2012_2015'!K13</f>
        <v>-2.6999999999999999E-5</v>
      </c>
      <c r="N13">
        <f>'2012_2015'!L13</f>
        <v>-4.18E-5</v>
      </c>
      <c r="O13">
        <f>'2012_2015'!M13</f>
        <v>-3.1099999999999997E-5</v>
      </c>
      <c r="P13">
        <f>'2012_2015'!N13</f>
        <v>1.8399999999999999E-8</v>
      </c>
      <c r="Q13">
        <f>'2012_2015'!O13</f>
        <v>-6.0800000000000001E-5</v>
      </c>
      <c r="R13">
        <f>'2012_2015'!P13</f>
        <v>-3.8899999999999997E-5</v>
      </c>
      <c r="S13">
        <f>'2012_2015'!Q13</f>
        <v>1.81E-6</v>
      </c>
      <c r="T13">
        <f>'2012_2015'!R13</f>
        <v>-7.5599999999999994E-5</v>
      </c>
      <c r="U13">
        <f>'2012_2015'!S13</f>
        <v>-3.6600000000000002E-5</v>
      </c>
      <c r="V13">
        <f>'2012_2015'!T13</f>
        <v>-4.6400000000000003E-5</v>
      </c>
      <c r="W13">
        <f>'2012_2015'!U13</f>
        <v>-5.5399999999999998E-5</v>
      </c>
      <c r="X13">
        <f>'2012_2015'!V13</f>
        <v>-3.6000000000000001E-5</v>
      </c>
      <c r="Y13">
        <f>'2012_2015'!W13</f>
        <v>-5.5800000000000001E-5</v>
      </c>
      <c r="Z13">
        <f>'2012_2015'!X13</f>
        <v>-4.1300000000000001E-5</v>
      </c>
      <c r="AA13">
        <f>'2012_2015'!Y13</f>
        <v>-5.3600000000000002E-5</v>
      </c>
      <c r="AB13">
        <f>'2012_2015'!Z13</f>
        <v>-5.5800000000000001E-5</v>
      </c>
      <c r="AC13">
        <f>'2012_2015'!AA13</f>
        <v>-8.2200000000000006E-5</v>
      </c>
      <c r="AD13">
        <f>'2012_2015'!AB13</f>
        <v>-4.9299999999999999E-5</v>
      </c>
      <c r="AE13">
        <f>'2012_2015'!AC13</f>
        <v>-6.5099999999999997E-5</v>
      </c>
      <c r="AF13">
        <f>'2012_2015'!AD13</f>
        <v>-6.8499999999999998E-5</v>
      </c>
      <c r="AG13">
        <f>'2012_2015'!AE13</f>
        <v>3.6399999999999999E-6</v>
      </c>
      <c r="AH13">
        <f>'2012_2015'!AF13</f>
        <v>-2.2399999999999999E-5</v>
      </c>
      <c r="AI13">
        <f>'2012_2015'!AG13</f>
        <v>-4.9799999999999998E-5</v>
      </c>
      <c r="AJ13">
        <f>'2012_2015'!AH13</f>
        <v>-4.1600000000000002E-5</v>
      </c>
      <c r="AK13">
        <f>'2012_2015'!AI13</f>
        <v>-7.8499999999999997E-5</v>
      </c>
      <c r="AL13">
        <f>'2012_2015'!AJ13</f>
        <v>-4.7599999999999998E-5</v>
      </c>
      <c r="AM13">
        <f>'2012_2015'!AK13</f>
        <v>-3.1000000000000001E-5</v>
      </c>
      <c r="AN13">
        <f>'2012_2015'!AL13</f>
        <v>-6.7899999999999997E-5</v>
      </c>
      <c r="AO13">
        <f>'2012_2015'!AM13</f>
        <v>-3.65E-5</v>
      </c>
      <c r="AP13">
        <f>'2012_2015'!AN13</f>
        <v>-5.8400000000000003E-5</v>
      </c>
      <c r="AQ13">
        <f>'2012_2015'!AO13</f>
        <v>-3.93E-5</v>
      </c>
      <c r="AR13">
        <f>'2012_2015'!AP13</f>
        <v>-1.6099999999999998E-5</v>
      </c>
      <c r="AS13">
        <f>'2012_2015'!AQ13</f>
        <v>-5.3000000000000001E-5</v>
      </c>
      <c r="AT13">
        <f>'2012_2015'!AR13</f>
        <v>-5.1100000000000002E-5</v>
      </c>
      <c r="AU13">
        <f>'2012_2015'!AS13</f>
        <v>-4.8999999999999998E-5</v>
      </c>
      <c r="AV13">
        <f>'2012_2015'!AT13</f>
        <v>-5.1700000000000003E-5</v>
      </c>
      <c r="AW13">
        <f>'2012_2015'!AU13</f>
        <v>-1.3900000000000001E-5</v>
      </c>
      <c r="AX13">
        <f>'2012_2015'!AV13</f>
        <v>-6.6199999999999996E-5</v>
      </c>
      <c r="AY13">
        <f>'2012_2015'!AW13</f>
        <v>-2.5599999999999999E-5</v>
      </c>
      <c r="AZ13">
        <f>'2012_2015'!AX13</f>
        <v>1.84E-5</v>
      </c>
      <c r="BA13">
        <f>'2012_2015'!AY13</f>
        <v>-1.3200000000000001E-5</v>
      </c>
      <c r="BB13">
        <f>'2012_2015'!AZ13</f>
        <v>-8.1300000000000001E-6</v>
      </c>
      <c r="BC13">
        <f>'2012_2015'!BA13</f>
        <v>-5.31E-6</v>
      </c>
      <c r="BD13">
        <f>'2012_2015'!BB13</f>
        <v>-3.41E-6</v>
      </c>
      <c r="BE13">
        <f>'2012_2015'!BC13</f>
        <v>2.7300000000000001E-6</v>
      </c>
      <c r="BF13">
        <f>'2012_2015'!BD13</f>
        <v>2.4300000000000001E-5</v>
      </c>
      <c r="BG13">
        <f>'2012_2015'!BE13</f>
        <v>1.47E-5</v>
      </c>
      <c r="BH13">
        <f>'2012_2015'!BF13</f>
        <v>7.8099999999999998E-6</v>
      </c>
      <c r="BI13">
        <f>'2012_2015'!BG13</f>
        <v>1.5500000000000001E-5</v>
      </c>
      <c r="BJ13">
        <f>'2012_2015'!BH13</f>
        <v>-3.96E-5</v>
      </c>
      <c r="BK13">
        <f>'2012_2015'!BI13</f>
        <v>1.01E-4</v>
      </c>
      <c r="BL13">
        <f>'2012_2015'!BJ13</f>
        <v>2.1299999999999999E-5</v>
      </c>
      <c r="BM13">
        <f>'2012_2015'!BK13</f>
        <v>6.8200000000000004E-5</v>
      </c>
      <c r="BN13">
        <f>'2012_2015'!BL13</f>
        <v>8.9400000000000005E-5</v>
      </c>
      <c r="BO13">
        <f>'2012_2015'!BM13</f>
        <v>9.6500000000000001E-5</v>
      </c>
      <c r="BP13">
        <f>'2012_2015'!BN13</f>
        <v>8.1600000000000005E-5</v>
      </c>
      <c r="BQ13">
        <f>'2012_2015'!BO13</f>
        <v>7.1000000000000005E-5</v>
      </c>
      <c r="BR13">
        <f>'2012_2015'!BP13</f>
        <v>1.05E-4</v>
      </c>
      <c r="BS13">
        <f>'2012_2015'!BQ13</f>
        <v>5.1799999999999999E-5</v>
      </c>
      <c r="BT13">
        <f>'2012_2015'!BR13</f>
        <v>1.1400000000000001E-4</v>
      </c>
      <c r="BU13">
        <f>'2012_2015'!BS13</f>
        <v>1.15E-4</v>
      </c>
      <c r="BV13">
        <f>'2012_2015'!BT13</f>
        <v>7.8499999999999997E-5</v>
      </c>
      <c r="BW13">
        <f>'2012_2015'!BU13</f>
        <v>9.2E-5</v>
      </c>
      <c r="BX13">
        <f>'2012_2015'!BV13</f>
        <v>1.47E-4</v>
      </c>
      <c r="BY13">
        <f>'2012_2015'!BW13</f>
        <v>1.2300000000000001E-4</v>
      </c>
      <c r="BZ13">
        <f>'2012_2015'!BX13</f>
        <v>1.06E-4</v>
      </c>
      <c r="CA13">
        <f>'2012_2015'!BY13</f>
        <v>7.7100000000000004E-5</v>
      </c>
      <c r="CB13">
        <f>'2012_2015'!BZ13</f>
        <v>1.66E-4</v>
      </c>
      <c r="CC13">
        <f>'2012_2015'!CA13</f>
        <v>1.4799999999999999E-4</v>
      </c>
      <c r="CD13">
        <f>'2012_2015'!CB13</f>
        <v>1.95E-4</v>
      </c>
      <c r="CE13">
        <f>'2012_2015'!CC13</f>
        <v>2.0000000000000001E-4</v>
      </c>
      <c r="CF13">
        <f>'2012_2015'!CD13</f>
        <v>2.0799999999999999E-4</v>
      </c>
      <c r="CG13">
        <f>'2012_2015'!CE13</f>
        <v>2.1000000000000001E-4</v>
      </c>
      <c r="CH13">
        <f>'2012_2015'!CF13</f>
        <v>1.93E-4</v>
      </c>
      <c r="CI13">
        <f>'2012_2015'!CG13</f>
        <v>2.5799999999999998E-4</v>
      </c>
      <c r="CJ13">
        <f>'2012_2015'!CH13</f>
        <v>2.2900000000000001E-4</v>
      </c>
      <c r="CK13">
        <f>'2012_2015'!CI13</f>
        <v>3.19E-4</v>
      </c>
      <c r="CL13">
        <f>'2012_2015'!CJ13</f>
        <v>2.9799999999999998E-4</v>
      </c>
      <c r="CM13">
        <f>'2012_2015'!CK13</f>
        <v>2.3800000000000001E-4</v>
      </c>
      <c r="CN13">
        <f>'2012_2015'!CL13</f>
        <v>3.1500000000000001E-4</v>
      </c>
      <c r="CO13">
        <f>'2012_2015'!CM13</f>
        <v>3.19E-4</v>
      </c>
      <c r="CP13">
        <f>'2012_2015'!CN13</f>
        <v>3.5799999999999997E-4</v>
      </c>
      <c r="CQ13">
        <f>'2012_2015'!CO13</f>
        <v>4.26E-4</v>
      </c>
      <c r="CR13">
        <f>'2012_2015'!CP13</f>
        <v>4.75E-4</v>
      </c>
      <c r="CS13">
        <f>'2012_2015'!CQ13</f>
        <v>2.9700000000000001E-4</v>
      </c>
      <c r="CT13">
        <f>'2012_2015'!CR13</f>
        <v>5.0299999999999997E-4</v>
      </c>
      <c r="CU13">
        <f>'2012_2015'!CS13</f>
        <v>3.39E-4</v>
      </c>
      <c r="CV13">
        <f>'2012_2015'!CT13</f>
        <v>3.4699999999999998E-4</v>
      </c>
      <c r="CW13">
        <f>'2012_2015'!CU13</f>
        <v>2.34E-4</v>
      </c>
      <c r="CX13">
        <f>'2012_2015'!CV13</f>
        <v>2.1599999999999999E-4</v>
      </c>
    </row>
    <row r="14" spans="1:102" x14ac:dyDescent="0.2">
      <c r="A14" t="s">
        <v>215</v>
      </c>
      <c r="B14" t="s">
        <v>218</v>
      </c>
      <c r="C14" t="s">
        <v>102</v>
      </c>
      <c r="D14">
        <f>'2012_2015'!B14</f>
        <v>1.61E-2</v>
      </c>
      <c r="E14">
        <f>'2012_2015'!C14</f>
        <v>2.0500000000000001E-2</v>
      </c>
      <c r="F14">
        <f>'2012_2015'!D14</f>
        <v>1.9699999999999999E-2</v>
      </c>
      <c r="G14">
        <f>'2012_2015'!E14</f>
        <v>0.02</v>
      </c>
      <c r="H14">
        <f>'2012_2015'!F14</f>
        <v>1.7899999999999999E-2</v>
      </c>
      <c r="I14">
        <f>'2012_2015'!G14</f>
        <v>1.83E-2</v>
      </c>
      <c r="J14">
        <f>'2012_2015'!H14</f>
        <v>1.7399999999999999E-2</v>
      </c>
      <c r="K14">
        <f>'2012_2015'!I14</f>
        <v>1.5900000000000001E-2</v>
      </c>
      <c r="L14">
        <f>'2012_2015'!J14</f>
        <v>1.5900000000000001E-2</v>
      </c>
      <c r="M14">
        <f>'2012_2015'!K14</f>
        <v>1.2500000000000001E-2</v>
      </c>
      <c r="N14">
        <f>'2012_2015'!L14</f>
        <v>1.18E-2</v>
      </c>
      <c r="O14">
        <f>'2012_2015'!M14</f>
        <v>1.0999999999999999E-2</v>
      </c>
      <c r="P14">
        <f>'2012_2015'!N14</f>
        <v>9.8899999999999995E-3</v>
      </c>
      <c r="Q14">
        <f>'2012_2015'!O14</f>
        <v>8.6999999999999994E-3</v>
      </c>
      <c r="R14">
        <f>'2012_2015'!P14</f>
        <v>6.9300000000000004E-3</v>
      </c>
      <c r="S14">
        <f>'2012_2015'!Q14</f>
        <v>6.2599999999999999E-3</v>
      </c>
      <c r="T14">
        <f>'2012_2015'!R14</f>
        <v>5.7200000000000003E-3</v>
      </c>
      <c r="U14">
        <f>'2012_2015'!S14</f>
        <v>5.4999999999999997E-3</v>
      </c>
      <c r="V14">
        <f>'2012_2015'!T14</f>
        <v>5.1000000000000004E-3</v>
      </c>
      <c r="W14">
        <f>'2012_2015'!U14</f>
        <v>4.8700000000000002E-3</v>
      </c>
      <c r="X14">
        <f>'2012_2015'!V14</f>
        <v>4.6699999999999997E-3</v>
      </c>
      <c r="Y14">
        <f>'2012_2015'!W14</f>
        <v>4.5599999999999998E-3</v>
      </c>
      <c r="Z14">
        <f>'2012_2015'!X14</f>
        <v>4.4600000000000004E-3</v>
      </c>
      <c r="AA14">
        <f>'2012_2015'!Y14</f>
        <v>4.3499999999999997E-3</v>
      </c>
      <c r="AB14">
        <f>'2012_2015'!Z14</f>
        <v>4.2599999999999999E-3</v>
      </c>
      <c r="AC14">
        <f>'2012_2015'!AA14</f>
        <v>4.1099999999999999E-3</v>
      </c>
      <c r="AD14">
        <f>'2012_2015'!AB14</f>
        <v>3.9699999999999996E-3</v>
      </c>
      <c r="AE14">
        <f>'2012_2015'!AC14</f>
        <v>3.8600000000000001E-3</v>
      </c>
      <c r="AF14">
        <f>'2012_2015'!AD14</f>
        <v>3.79E-3</v>
      </c>
      <c r="AG14">
        <f>'2012_2015'!AE14</f>
        <v>3.79E-3</v>
      </c>
      <c r="AH14">
        <f>'2012_2015'!AF14</f>
        <v>3.7699999999999999E-3</v>
      </c>
      <c r="AI14">
        <f>'2012_2015'!AG14</f>
        <v>3.7100000000000002E-3</v>
      </c>
      <c r="AJ14">
        <f>'2012_2015'!AH14</f>
        <v>3.65E-3</v>
      </c>
      <c r="AK14">
        <f>'2012_2015'!AI14</f>
        <v>3.6800000000000001E-3</v>
      </c>
      <c r="AL14">
        <f>'2012_2015'!AJ14</f>
        <v>3.65E-3</v>
      </c>
      <c r="AM14">
        <f>'2012_2015'!AK14</f>
        <v>3.5999999999999999E-3</v>
      </c>
      <c r="AN14">
        <f>'2012_2015'!AL14</f>
        <v>3.5999999999999999E-3</v>
      </c>
      <c r="AO14">
        <f>'2012_2015'!AM14</f>
        <v>3.5599999999999998E-3</v>
      </c>
      <c r="AP14">
        <f>'2012_2015'!AN14</f>
        <v>3.5799999999999998E-3</v>
      </c>
      <c r="AQ14">
        <f>'2012_2015'!AO14</f>
        <v>3.5599999999999998E-3</v>
      </c>
      <c r="AR14">
        <f>'2012_2015'!AP14</f>
        <v>3.5500000000000002E-3</v>
      </c>
      <c r="AS14">
        <f>'2012_2015'!AQ14</f>
        <v>3.5000000000000001E-3</v>
      </c>
      <c r="AT14">
        <f>'2012_2015'!AR14</f>
        <v>3.47E-3</v>
      </c>
      <c r="AU14">
        <f>'2012_2015'!AS14</f>
        <v>3.3899999999999998E-3</v>
      </c>
      <c r="AV14">
        <f>'2012_2015'!AT14</f>
        <v>3.2299999999999998E-3</v>
      </c>
      <c r="AW14">
        <f>'2012_2015'!AU14</f>
        <v>3.1099999999999999E-3</v>
      </c>
      <c r="AX14">
        <f>'2012_2015'!AV14</f>
        <v>3.0999999999999999E-3</v>
      </c>
      <c r="AY14">
        <f>'2012_2015'!AW14</f>
        <v>3.0500000000000002E-3</v>
      </c>
      <c r="AZ14">
        <f>'2012_2015'!AX14</f>
        <v>2.8800000000000002E-3</v>
      </c>
      <c r="BA14">
        <f>'2012_2015'!AY14</f>
        <v>2.9099999999999998E-3</v>
      </c>
      <c r="BB14">
        <f>'2012_2015'!AZ14</f>
        <v>2.8500000000000001E-3</v>
      </c>
      <c r="BC14">
        <f>'2012_2015'!BA14</f>
        <v>2.9299999999999999E-3</v>
      </c>
      <c r="BD14">
        <f>'2012_2015'!BB14</f>
        <v>3.0000000000000001E-3</v>
      </c>
      <c r="BE14">
        <f>'2012_2015'!BC14</f>
        <v>2.9499999999999999E-3</v>
      </c>
      <c r="BF14">
        <f>'2012_2015'!BD14</f>
        <v>2.9399999999999999E-3</v>
      </c>
      <c r="BG14">
        <f>'2012_2015'!BE14</f>
        <v>2.8600000000000001E-3</v>
      </c>
      <c r="BH14">
        <f>'2012_2015'!BF14</f>
        <v>2.7200000000000002E-3</v>
      </c>
      <c r="BI14">
        <f>'2012_2015'!BG14</f>
        <v>2.5400000000000002E-3</v>
      </c>
      <c r="BJ14">
        <f>'2012_2015'!BH14</f>
        <v>2.4099999999999998E-3</v>
      </c>
      <c r="BK14">
        <f>'2012_2015'!BI14</f>
        <v>2.3700000000000001E-3</v>
      </c>
      <c r="BL14">
        <f>'2012_2015'!BJ14</f>
        <v>2.2200000000000002E-3</v>
      </c>
      <c r="BM14">
        <f>'2012_2015'!BK14</f>
        <v>2.1199999999999999E-3</v>
      </c>
      <c r="BN14">
        <f>'2012_2015'!BL14</f>
        <v>2.1800000000000001E-3</v>
      </c>
      <c r="BO14">
        <f>'2012_2015'!BM14</f>
        <v>2.1099999999999999E-3</v>
      </c>
      <c r="BP14">
        <f>'2012_2015'!BN14</f>
        <v>1.98E-3</v>
      </c>
      <c r="BQ14">
        <f>'2012_2015'!BO14</f>
        <v>1.8400000000000001E-3</v>
      </c>
      <c r="BR14">
        <f>'2012_2015'!BP14</f>
        <v>1.7700000000000001E-3</v>
      </c>
      <c r="BS14">
        <f>'2012_2015'!BQ14</f>
        <v>1.6900000000000001E-3</v>
      </c>
      <c r="BT14">
        <f>'2012_2015'!BR14</f>
        <v>1.4E-3</v>
      </c>
      <c r="BU14">
        <f>'2012_2015'!BS14</f>
        <v>1.2099999999999999E-3</v>
      </c>
      <c r="BV14">
        <f>'2012_2015'!BT14</f>
        <v>1.0300000000000001E-3</v>
      </c>
      <c r="BW14">
        <f>'2012_2015'!BU14</f>
        <v>8.7900000000000001E-4</v>
      </c>
      <c r="BX14">
        <f>'2012_2015'!BV14</f>
        <v>7.67E-4</v>
      </c>
      <c r="BY14">
        <f>'2012_2015'!BW14</f>
        <v>6.7299999999999999E-4</v>
      </c>
      <c r="BZ14">
        <f>'2012_2015'!BX14</f>
        <v>4.1300000000000001E-4</v>
      </c>
      <c r="CA14">
        <f>'2012_2015'!BY14</f>
        <v>3.1500000000000001E-4</v>
      </c>
      <c r="CB14">
        <f>'2012_2015'!BZ14</f>
        <v>1.2999999999999999E-4</v>
      </c>
      <c r="CC14">
        <f>'2012_2015'!CA14</f>
        <v>-1.1900000000000001E-4</v>
      </c>
      <c r="CD14">
        <f>'2012_2015'!CB14</f>
        <v>-3.9399999999999998E-4</v>
      </c>
      <c r="CE14">
        <f>'2012_2015'!CC14</f>
        <v>-8.1300000000000003E-4</v>
      </c>
      <c r="CF14">
        <f>'2012_2015'!CD14</f>
        <v>-1.07E-3</v>
      </c>
      <c r="CG14">
        <f>'2012_2015'!CE14</f>
        <v>-1.2099999999999999E-3</v>
      </c>
      <c r="CH14">
        <f>'2012_2015'!CF14</f>
        <v>-1.25E-3</v>
      </c>
      <c r="CI14">
        <f>'2012_2015'!CG14</f>
        <v>-1.4300000000000001E-3</v>
      </c>
      <c r="CJ14">
        <f>'2012_2015'!CH14</f>
        <v>-1.7600000000000001E-3</v>
      </c>
      <c r="CK14">
        <f>'2012_2015'!CI14</f>
        <v>-2.6800000000000001E-3</v>
      </c>
      <c r="CL14">
        <f>'2012_2015'!CJ14</f>
        <v>-3.0799999999999998E-3</v>
      </c>
      <c r="CM14">
        <f>'2012_2015'!CK14</f>
        <v>-3.16E-3</v>
      </c>
      <c r="CN14">
        <f>'2012_2015'!CL14</f>
        <v>-3.79E-3</v>
      </c>
      <c r="CO14">
        <f>'2012_2015'!CM14</f>
        <v>-3.9199999999999999E-3</v>
      </c>
      <c r="CP14">
        <f>'2012_2015'!CN14</f>
        <v>-3.8999999999999998E-3</v>
      </c>
      <c r="CQ14">
        <f>'2012_2015'!CO14</f>
        <v>-4.7999999999999996E-3</v>
      </c>
      <c r="CR14">
        <f>'2012_2015'!CP14</f>
        <v>-5.4200000000000003E-3</v>
      </c>
      <c r="CS14">
        <f>'2012_2015'!CQ14</f>
        <v>-4.4000000000000003E-3</v>
      </c>
      <c r="CT14">
        <f>'2012_2015'!CR14</f>
        <v>-5.5900000000000004E-3</v>
      </c>
      <c r="CU14">
        <f>'2012_2015'!CS14</f>
        <v>-4.9500000000000004E-3</v>
      </c>
      <c r="CV14">
        <f>'2012_2015'!CT14</f>
        <v>-6.3099999999999996E-3</v>
      </c>
      <c r="CW14">
        <f>'2012_2015'!CU14</f>
        <v>-6.9499999999999996E-3</v>
      </c>
      <c r="CX14">
        <f>'2012_2015'!CV14</f>
        <v>-7.9600000000000001E-3</v>
      </c>
    </row>
    <row r="15" spans="1:102" x14ac:dyDescent="0.2">
      <c r="A15" t="s">
        <v>208</v>
      </c>
      <c r="B15" t="s">
        <v>219</v>
      </c>
      <c r="C15" t="s">
        <v>102</v>
      </c>
      <c r="D15">
        <f>'2012_2015'!B15</f>
        <v>0.437</v>
      </c>
      <c r="E15">
        <f>'2012_2015'!C15</f>
        <v>0.20799999999999999</v>
      </c>
      <c r="F15">
        <f>'2012_2015'!D15</f>
        <v>-3.9399999999999998E-2</v>
      </c>
      <c r="G15">
        <f>'2012_2015'!E15</f>
        <v>-4.0899999999999999E-2</v>
      </c>
      <c r="H15">
        <f>'2012_2015'!F15</f>
        <v>-0.16800000000000001</v>
      </c>
      <c r="I15">
        <f>'2012_2015'!G15</f>
        <v>-9.2399999999999996E-2</v>
      </c>
      <c r="J15">
        <f>'2012_2015'!H15</f>
        <v>-0.19</v>
      </c>
      <c r="K15">
        <f>'2012_2015'!I15</f>
        <v>-0.16200000000000001</v>
      </c>
      <c r="L15">
        <f>'2012_2015'!J15</f>
        <v>-0.17699999999999999</v>
      </c>
      <c r="M15">
        <f>'2012_2015'!K15</f>
        <v>-0.13400000000000001</v>
      </c>
      <c r="N15">
        <f>'2012_2015'!L15</f>
        <v>-0.2</v>
      </c>
      <c r="O15">
        <f>'2012_2015'!M15</f>
        <v>-0.28000000000000003</v>
      </c>
      <c r="P15">
        <f>'2012_2015'!N15</f>
        <v>-0.26400000000000001</v>
      </c>
      <c r="Q15">
        <f>'2012_2015'!O15</f>
        <v>-0.21199999999999999</v>
      </c>
      <c r="R15">
        <f>'2012_2015'!P15</f>
        <v>-0.123</v>
      </c>
      <c r="S15">
        <f>'2012_2015'!Q15</f>
        <v>-9.3399999999999997E-2</v>
      </c>
      <c r="T15">
        <f>'2012_2015'!R15</f>
        <v>-9.1200000000000003E-2</v>
      </c>
      <c r="U15">
        <f>'2012_2015'!S15</f>
        <v>-9.11E-2</v>
      </c>
      <c r="V15">
        <f>'2012_2015'!T15</f>
        <v>-6.6600000000000006E-2</v>
      </c>
      <c r="W15">
        <f>'2012_2015'!U15</f>
        <v>-6.1699999999999998E-2</v>
      </c>
      <c r="X15">
        <f>'2012_2015'!V15</f>
        <v>-6.3700000000000007E-2</v>
      </c>
      <c r="Y15">
        <f>'2012_2015'!W15</f>
        <v>-7.3700000000000002E-2</v>
      </c>
      <c r="Z15">
        <f>'2012_2015'!X15</f>
        <v>-7.9399999999999998E-2</v>
      </c>
      <c r="AA15">
        <f>'2012_2015'!Y15</f>
        <v>-8.0399999999999999E-2</v>
      </c>
      <c r="AB15">
        <f>'2012_2015'!Z15</f>
        <v>-6.7500000000000004E-2</v>
      </c>
      <c r="AC15">
        <f>'2012_2015'!AA15</f>
        <v>-5.28E-2</v>
      </c>
      <c r="AD15">
        <f>'2012_2015'!AB15</f>
        <v>-4.2799999999999998E-2</v>
      </c>
      <c r="AE15">
        <f>'2012_2015'!AC15</f>
        <v>-3.9399999999999998E-2</v>
      </c>
      <c r="AF15">
        <f>'2012_2015'!AD15</f>
        <v>-3.3300000000000003E-2</v>
      </c>
      <c r="AG15">
        <f>'2012_2015'!AE15</f>
        <v>-2.9399999999999999E-2</v>
      </c>
      <c r="AH15">
        <f>'2012_2015'!AF15</f>
        <v>-2.8400000000000002E-2</v>
      </c>
      <c r="AI15">
        <f>'2012_2015'!AG15</f>
        <v>-2.1000000000000001E-2</v>
      </c>
      <c r="AJ15">
        <f>'2012_2015'!AH15</f>
        <v>-2.81E-3</v>
      </c>
      <c r="AK15">
        <f>'2012_2015'!AI15</f>
        <v>4.8500000000000001E-3</v>
      </c>
      <c r="AL15">
        <f>'2012_2015'!AJ15</f>
        <v>1.38E-2</v>
      </c>
      <c r="AM15">
        <f>'2012_2015'!AK15</f>
        <v>1.09E-2</v>
      </c>
      <c r="AN15">
        <f>'2012_2015'!AL15</f>
        <v>6.4400000000000004E-3</v>
      </c>
      <c r="AO15">
        <f>'2012_2015'!AM15</f>
        <v>-6.5900000000000004E-3</v>
      </c>
      <c r="AP15">
        <f>'2012_2015'!AN15</f>
        <v>-3.2000000000000001E-2</v>
      </c>
      <c r="AQ15">
        <f>'2012_2015'!AO15</f>
        <v>-5.8200000000000002E-2</v>
      </c>
      <c r="AR15">
        <f>'2012_2015'!AP15</f>
        <v>-6.7199999999999996E-2</v>
      </c>
      <c r="AS15">
        <f>'2012_2015'!AQ15</f>
        <v>-7.6999999999999999E-2</v>
      </c>
      <c r="AT15">
        <f>'2012_2015'!AR15</f>
        <v>-7.7799999999999994E-2</v>
      </c>
      <c r="AU15">
        <f>'2012_2015'!AS15</f>
        <v>-7.7200000000000005E-2</v>
      </c>
      <c r="AV15">
        <f>'2012_2015'!AT15</f>
        <v>-6.4899999999999999E-2</v>
      </c>
      <c r="AW15">
        <f>'2012_2015'!AU15</f>
        <v>-3.6400000000000002E-2</v>
      </c>
      <c r="AX15">
        <f>'2012_2015'!AV15</f>
        <v>-1.8800000000000001E-2</v>
      </c>
      <c r="AY15">
        <f>'2012_2015'!AW15</f>
        <v>-1.5299999999999999E-2</v>
      </c>
      <c r="AZ15">
        <f>'2012_2015'!AX15</f>
        <v>-7.11E-3</v>
      </c>
      <c r="BA15">
        <f>'2012_2015'!AY15</f>
        <v>-7.9900000000000006E-3</v>
      </c>
      <c r="BB15">
        <f>'2012_2015'!AZ15</f>
        <v>-2.2499999999999999E-2</v>
      </c>
      <c r="BC15">
        <f>'2012_2015'!BA15</f>
        <v>-6.3200000000000006E-2</v>
      </c>
      <c r="BD15">
        <f>'2012_2015'!BB15</f>
        <v>-9.1499999999999998E-2</v>
      </c>
      <c r="BE15">
        <f>'2012_2015'!BC15</f>
        <v>-0.111</v>
      </c>
      <c r="BF15">
        <f>'2012_2015'!BD15</f>
        <v>-0.11700000000000001</v>
      </c>
      <c r="BG15">
        <f>'2012_2015'!BE15</f>
        <v>-0.126</v>
      </c>
      <c r="BH15">
        <f>'2012_2015'!BF15</f>
        <v>-0.114</v>
      </c>
      <c r="BI15">
        <f>'2012_2015'!BG15</f>
        <v>-8.3799999999999999E-2</v>
      </c>
      <c r="BJ15">
        <f>'2012_2015'!BH15</f>
        <v>-6.5100000000000005E-2</v>
      </c>
      <c r="BK15">
        <f>'2012_2015'!BI15</f>
        <v>-4.6800000000000001E-2</v>
      </c>
      <c r="BL15">
        <f>'2012_2015'!BJ15</f>
        <v>-4.3499999999999997E-2</v>
      </c>
      <c r="BM15">
        <f>'2012_2015'!BK15</f>
        <v>-5.5599999999999997E-2</v>
      </c>
      <c r="BN15">
        <f>'2012_2015'!BL15</f>
        <v>-7.3599999999999999E-2</v>
      </c>
      <c r="BO15">
        <f>'2012_2015'!BM15</f>
        <v>-0.10100000000000001</v>
      </c>
      <c r="BP15">
        <f>'2012_2015'!BN15</f>
        <v>-0.124</v>
      </c>
      <c r="BQ15">
        <f>'2012_2015'!BO15</f>
        <v>-0.127</v>
      </c>
      <c r="BR15">
        <f>'2012_2015'!BP15</f>
        <v>-0.123</v>
      </c>
      <c r="BS15">
        <f>'2012_2015'!BQ15</f>
        <v>-9.8299999999999998E-2</v>
      </c>
      <c r="BT15">
        <f>'2012_2015'!BR15</f>
        <v>-7.5700000000000003E-2</v>
      </c>
      <c r="BU15">
        <f>'2012_2015'!BS15</f>
        <v>-4.9399999999999999E-2</v>
      </c>
      <c r="BV15">
        <f>'2012_2015'!BT15</f>
        <v>-6.0499999999999998E-2</v>
      </c>
      <c r="BW15">
        <f>'2012_2015'!BU15</f>
        <v>-5.1999999999999998E-2</v>
      </c>
      <c r="BX15">
        <f>'2012_2015'!BV15</f>
        <v>-6.0900000000000003E-2</v>
      </c>
      <c r="BY15">
        <f>'2012_2015'!BW15</f>
        <v>-9.1899999999999996E-2</v>
      </c>
      <c r="BZ15">
        <f>'2012_2015'!BX15</f>
        <v>-0.14399999999999999</v>
      </c>
      <c r="CA15">
        <f>'2012_2015'!BY15</f>
        <v>-0.16400000000000001</v>
      </c>
      <c r="CB15">
        <f>'2012_2015'!BZ15</f>
        <v>-0.158</v>
      </c>
      <c r="CC15">
        <f>'2012_2015'!CA15</f>
        <v>-0.188</v>
      </c>
      <c r="CD15">
        <f>'2012_2015'!CB15</f>
        <v>-0.20200000000000001</v>
      </c>
      <c r="CE15">
        <f>'2012_2015'!CC15</f>
        <v>-8.1299999999999997E-2</v>
      </c>
      <c r="CF15">
        <f>'2012_2015'!CD15</f>
        <v>-5.3199999999999997E-2</v>
      </c>
      <c r="CG15">
        <f>'2012_2015'!CE15</f>
        <v>-4.8000000000000001E-2</v>
      </c>
      <c r="CH15">
        <f>'2012_2015'!CF15</f>
        <v>-2.8500000000000001E-2</v>
      </c>
      <c r="CI15">
        <f>'2012_2015'!CG15</f>
        <v>-1.72E-2</v>
      </c>
      <c r="CJ15">
        <f>'2012_2015'!CH15</f>
        <v>-2.9700000000000001E-2</v>
      </c>
      <c r="CK15">
        <f>'2012_2015'!CI15</f>
        <v>-0.23100000000000001</v>
      </c>
      <c r="CL15">
        <f>'2012_2015'!CJ15</f>
        <v>-0.21199999999999999</v>
      </c>
      <c r="CM15">
        <f>'2012_2015'!CK15</f>
        <v>-0.14099999999999999</v>
      </c>
      <c r="CN15">
        <f>'2012_2015'!CL15</f>
        <v>-5.8099999999999999E-2</v>
      </c>
      <c r="CO15">
        <f>'2012_2015'!CM15</f>
        <v>-4.7199999999999999E-2</v>
      </c>
      <c r="CP15">
        <f>'2012_2015'!CN15</f>
        <v>-0.122</v>
      </c>
      <c r="CQ15">
        <f>'2012_2015'!CO15</f>
        <v>-0.255</v>
      </c>
      <c r="CR15">
        <f>'2012_2015'!CP15</f>
        <v>-0.159</v>
      </c>
      <c r="CS15">
        <f>'2012_2015'!CQ15</f>
        <v>-0.17499999999999999</v>
      </c>
      <c r="CT15">
        <f>'2012_2015'!CR15</f>
        <v>-0.14799999999999999</v>
      </c>
      <c r="CU15">
        <f>'2012_2015'!CS15</f>
        <v>3.4000000000000002E-2</v>
      </c>
      <c r="CV15">
        <f>'2012_2015'!CT15</f>
        <v>-0.105</v>
      </c>
      <c r="CW15">
        <f>'2012_2015'!CU15</f>
        <v>-4.2599999999999999E-2</v>
      </c>
      <c r="CX15">
        <f>'2012_2015'!CV15</f>
        <v>-2.86E-2</v>
      </c>
    </row>
    <row r="16" spans="1:102" x14ac:dyDescent="0.2">
      <c r="A16" t="s">
        <v>209</v>
      </c>
      <c r="B16" t="s">
        <v>219</v>
      </c>
      <c r="C16" t="s">
        <v>102</v>
      </c>
      <c r="D16">
        <f>'2012_2015'!B16</f>
        <v>-8.6099999999999996E-3</v>
      </c>
      <c r="E16">
        <f>'2012_2015'!C16</f>
        <v>4.9099999999999998E-2</v>
      </c>
      <c r="F16">
        <f>'2012_2015'!D16</f>
        <v>-0.115</v>
      </c>
      <c r="G16">
        <f>'2012_2015'!E16</f>
        <v>-9.8000000000000004E-2</v>
      </c>
      <c r="H16">
        <f>'2012_2015'!F16</f>
        <v>-0.127</v>
      </c>
      <c r="I16">
        <f>'2012_2015'!G16</f>
        <v>-0.105</v>
      </c>
      <c r="J16">
        <f>'2012_2015'!H16</f>
        <v>-0.13300000000000001</v>
      </c>
      <c r="K16">
        <f>'2012_2015'!I16</f>
        <v>-0.128</v>
      </c>
      <c r="L16">
        <f>'2012_2015'!J16</f>
        <v>-0.11799999999999999</v>
      </c>
      <c r="M16">
        <f>'2012_2015'!K16</f>
        <v>-0.10299999999999999</v>
      </c>
      <c r="N16">
        <f>'2012_2015'!L16</f>
        <v>-0.123</v>
      </c>
      <c r="O16">
        <f>'2012_2015'!M16</f>
        <v>-0.159</v>
      </c>
      <c r="P16">
        <f>'2012_2015'!N16</f>
        <v>-0.14699999999999999</v>
      </c>
      <c r="Q16">
        <f>'2012_2015'!O16</f>
        <v>-0.11600000000000001</v>
      </c>
      <c r="R16">
        <f>'2012_2015'!P16</f>
        <v>-6.3600000000000004E-2</v>
      </c>
      <c r="S16">
        <f>'2012_2015'!Q16</f>
        <v>-4.4699999999999997E-2</v>
      </c>
      <c r="T16">
        <f>'2012_2015'!R16</f>
        <v>-4.6100000000000002E-2</v>
      </c>
      <c r="U16">
        <f>'2012_2015'!S16</f>
        <v>-3.9100000000000003E-2</v>
      </c>
      <c r="V16">
        <f>'2012_2015'!T16</f>
        <v>-2.7E-2</v>
      </c>
      <c r="W16">
        <f>'2012_2015'!U16</f>
        <v>-1.7299999999999999E-2</v>
      </c>
      <c r="X16">
        <f>'2012_2015'!V16</f>
        <v>-1.9199999999999998E-2</v>
      </c>
      <c r="Y16">
        <f>'2012_2015'!W16</f>
        <v>-3.0499999999999999E-2</v>
      </c>
      <c r="Z16">
        <f>'2012_2015'!X16</f>
        <v>-3.61E-2</v>
      </c>
      <c r="AA16">
        <f>'2012_2015'!Y16</f>
        <v>-4.0099999999999997E-2</v>
      </c>
      <c r="AB16">
        <f>'2012_2015'!Z16</f>
        <v>-0.03</v>
      </c>
      <c r="AC16">
        <f>'2012_2015'!AA16</f>
        <v>-1.7500000000000002E-2</v>
      </c>
      <c r="AD16">
        <f>'2012_2015'!AB16</f>
        <v>-1.4200000000000001E-2</v>
      </c>
      <c r="AE16">
        <f>'2012_2015'!AC16</f>
        <v>-1.0200000000000001E-2</v>
      </c>
      <c r="AF16">
        <f>'2012_2015'!AD16</f>
        <v>2.0600000000000002E-3</v>
      </c>
      <c r="AG16">
        <f>'2012_2015'!AE16</f>
        <v>1.06E-2</v>
      </c>
      <c r="AH16">
        <f>'2012_2015'!AF16</f>
        <v>7.2399999999999999E-3</v>
      </c>
      <c r="AI16">
        <f>'2012_2015'!AG16</f>
        <v>1.5699999999999999E-2</v>
      </c>
      <c r="AJ16">
        <f>'2012_2015'!AH16</f>
        <v>3.5999999999999997E-2</v>
      </c>
      <c r="AK16">
        <f>'2012_2015'!AI16</f>
        <v>4.2599999999999999E-2</v>
      </c>
      <c r="AL16">
        <f>'2012_2015'!AJ16</f>
        <v>4.5100000000000001E-2</v>
      </c>
      <c r="AM16">
        <f>'2012_2015'!AK16</f>
        <v>5.04E-2</v>
      </c>
      <c r="AN16">
        <f>'2012_2015'!AL16</f>
        <v>4.8300000000000003E-2</v>
      </c>
      <c r="AO16">
        <f>'2012_2015'!AM16</f>
        <v>4.0800000000000003E-2</v>
      </c>
      <c r="AP16">
        <f>'2012_2015'!AN16</f>
        <v>1.83E-2</v>
      </c>
      <c r="AQ16">
        <f>'2012_2015'!AO16</f>
        <v>-4.0999999999999999E-4</v>
      </c>
      <c r="AR16">
        <f>'2012_2015'!AP16</f>
        <v>-4.0200000000000001E-3</v>
      </c>
      <c r="AS16">
        <f>'2012_2015'!AQ16</f>
        <v>-1.84E-2</v>
      </c>
      <c r="AT16">
        <f>'2012_2015'!AR16</f>
        <v>-1.37E-2</v>
      </c>
      <c r="AU16">
        <f>'2012_2015'!AS16</f>
        <v>-1.5900000000000001E-2</v>
      </c>
      <c r="AV16">
        <f>'2012_2015'!AT16</f>
        <v>3.0000000000000001E-3</v>
      </c>
      <c r="AW16">
        <f>'2012_2015'!AU16</f>
        <v>2.69E-2</v>
      </c>
      <c r="AX16">
        <f>'2012_2015'!AV16</f>
        <v>5.8299999999999998E-2</v>
      </c>
      <c r="AY16">
        <f>'2012_2015'!AW16</f>
        <v>5.7099999999999998E-2</v>
      </c>
      <c r="AZ16">
        <f>'2012_2015'!AX16</f>
        <v>6.4199999999999993E-2</v>
      </c>
      <c r="BA16">
        <f>'2012_2015'!AY16</f>
        <v>6.2799999999999995E-2</v>
      </c>
      <c r="BB16">
        <f>'2012_2015'!AZ16</f>
        <v>4.8899999999999999E-2</v>
      </c>
      <c r="BC16">
        <f>'2012_2015'!BA16</f>
        <v>1.38E-2</v>
      </c>
      <c r="BD16">
        <f>'2012_2015'!BB16</f>
        <v>-1.67E-2</v>
      </c>
      <c r="BE16">
        <f>'2012_2015'!BC16</f>
        <v>-2.64E-2</v>
      </c>
      <c r="BF16">
        <f>'2012_2015'!BD16</f>
        <v>-2.86E-2</v>
      </c>
      <c r="BG16">
        <f>'2012_2015'!BE16</f>
        <v>-3.1699999999999999E-2</v>
      </c>
      <c r="BH16">
        <f>'2012_2015'!BF16</f>
        <v>-2.2700000000000001E-2</v>
      </c>
      <c r="BI16">
        <f>'2012_2015'!BG16</f>
        <v>3.8899999999999998E-3</v>
      </c>
      <c r="BJ16">
        <f>'2012_2015'!BH16</f>
        <v>1.4999999999999999E-2</v>
      </c>
      <c r="BK16">
        <f>'2012_2015'!BI16</f>
        <v>1.8200000000000001E-2</v>
      </c>
      <c r="BL16">
        <f>'2012_2015'!BJ16</f>
        <v>2.3599999999999999E-2</v>
      </c>
      <c r="BM16">
        <f>'2012_2015'!BK16</f>
        <v>1.72E-2</v>
      </c>
      <c r="BN16">
        <f>'2012_2015'!BL16</f>
        <v>-8.9899999999999997E-3</v>
      </c>
      <c r="BO16">
        <f>'2012_2015'!BM16</f>
        <v>-3.3500000000000002E-2</v>
      </c>
      <c r="BP16">
        <f>'2012_2015'!BN16</f>
        <v>-5.7299999999999997E-2</v>
      </c>
      <c r="BQ16">
        <f>'2012_2015'!BO16</f>
        <v>-6.2799999999999995E-2</v>
      </c>
      <c r="BR16">
        <f>'2012_2015'!BP16</f>
        <v>-5.7599999999999998E-2</v>
      </c>
      <c r="BS16">
        <f>'2012_2015'!BQ16</f>
        <v>-3.3599999999999998E-2</v>
      </c>
      <c r="BT16">
        <f>'2012_2015'!BR16</f>
        <v>-1.3899999999999999E-2</v>
      </c>
      <c r="BU16">
        <f>'2012_2015'!BS16</f>
        <v>1.35E-2</v>
      </c>
      <c r="BV16">
        <f>'2012_2015'!BT16</f>
        <v>-2.82E-3</v>
      </c>
      <c r="BW16">
        <f>'2012_2015'!BU16</f>
        <v>2.6700000000000001E-3</v>
      </c>
      <c r="BX16">
        <f>'2012_2015'!BV16</f>
        <v>-2.8300000000000001E-3</v>
      </c>
      <c r="BY16">
        <f>'2012_2015'!BW16</f>
        <v>-3.2399999999999998E-2</v>
      </c>
      <c r="BZ16">
        <f>'2012_2015'!BX16</f>
        <v>-9.0999999999999998E-2</v>
      </c>
      <c r="CA16">
        <f>'2012_2015'!BY16</f>
        <v>-0.107</v>
      </c>
      <c r="CB16">
        <f>'2012_2015'!BZ16</f>
        <v>-0.10199999999999999</v>
      </c>
      <c r="CC16">
        <f>'2012_2015'!CA16</f>
        <v>-0.128</v>
      </c>
      <c r="CD16">
        <f>'2012_2015'!CB16</f>
        <v>-0.13400000000000001</v>
      </c>
      <c r="CE16">
        <f>'2012_2015'!CC16</f>
        <v>9.1500000000000001E-4</v>
      </c>
      <c r="CF16">
        <f>'2012_2015'!CD16</f>
        <v>1.5599999999999999E-2</v>
      </c>
      <c r="CG16">
        <f>'2012_2015'!CE16</f>
        <v>1.23E-2</v>
      </c>
      <c r="CH16">
        <f>'2012_2015'!CF16</f>
        <v>3.6400000000000002E-2</v>
      </c>
      <c r="CI16">
        <f>'2012_2015'!CG16</f>
        <v>2.9600000000000001E-2</v>
      </c>
      <c r="CJ16">
        <f>'2012_2015'!CH16</f>
        <v>2.52E-2</v>
      </c>
      <c r="CK16">
        <f>'2012_2015'!CI16</f>
        <v>-0.182</v>
      </c>
      <c r="CL16">
        <f>'2012_2015'!CJ16</f>
        <v>-0.16900000000000001</v>
      </c>
      <c r="CM16">
        <f>'2012_2015'!CK16</f>
        <v>-0.113</v>
      </c>
      <c r="CN16">
        <f>'2012_2015'!CL16</f>
        <v>-2.7799999999999998E-2</v>
      </c>
      <c r="CO16">
        <f>'2012_2015'!CM16</f>
        <v>-3.5200000000000001E-3</v>
      </c>
      <c r="CP16">
        <f>'2012_2015'!CN16</f>
        <v>-8.2900000000000001E-2</v>
      </c>
      <c r="CQ16">
        <f>'2012_2015'!CO16</f>
        <v>-0.224</v>
      </c>
      <c r="CR16">
        <f>'2012_2015'!CP16</f>
        <v>-0.14599999999999999</v>
      </c>
      <c r="CS16">
        <f>'2012_2015'!CQ16</f>
        <v>-0.16</v>
      </c>
      <c r="CT16">
        <f>'2012_2015'!CR16</f>
        <v>-0.155</v>
      </c>
      <c r="CU16">
        <f>'2012_2015'!CS16</f>
        <v>3.7199999999999997E-2</v>
      </c>
      <c r="CV16">
        <f>'2012_2015'!CT16</f>
        <v>-0.14599999999999999</v>
      </c>
      <c r="CW16">
        <f>'2012_2015'!CU16</f>
        <v>-9.2600000000000002E-2</v>
      </c>
      <c r="CX16">
        <f>'2012_2015'!CV16</f>
        <v>-1.32E-2</v>
      </c>
    </row>
    <row r="17" spans="1:102" x14ac:dyDescent="0.2">
      <c r="A17" t="s">
        <v>210</v>
      </c>
      <c r="B17" t="s">
        <v>219</v>
      </c>
      <c r="C17" t="s">
        <v>102</v>
      </c>
      <c r="D17">
        <f>'2012_2015'!B17</f>
        <v>-9.7000000000000003E-3</v>
      </c>
      <c r="E17">
        <f>'2012_2015'!C17</f>
        <v>-1.9400000000000001E-2</v>
      </c>
      <c r="F17">
        <f>'2012_2015'!D17</f>
        <v>8.6899999999999998E-3</v>
      </c>
      <c r="G17">
        <f>'2012_2015'!E17</f>
        <v>1.25E-3</v>
      </c>
      <c r="H17">
        <f>'2012_2015'!F17</f>
        <v>2.1899999999999999E-2</v>
      </c>
      <c r="I17">
        <f>'2012_2015'!G17</f>
        <v>1.0999999999999999E-2</v>
      </c>
      <c r="J17">
        <f>'2012_2015'!H17</f>
        <v>1.5699999999999999E-2</v>
      </c>
      <c r="K17">
        <f>'2012_2015'!I17</f>
        <v>1.3100000000000001E-2</v>
      </c>
      <c r="L17">
        <f>'2012_2015'!J17</f>
        <v>9.7000000000000003E-3</v>
      </c>
      <c r="M17">
        <f>'2012_2015'!K17</f>
        <v>5.3E-3</v>
      </c>
      <c r="N17">
        <f>'2012_2015'!L17</f>
        <v>1.23E-2</v>
      </c>
      <c r="O17">
        <f>'2012_2015'!M17</f>
        <v>1.8700000000000001E-2</v>
      </c>
      <c r="P17">
        <f>'2012_2015'!N17</f>
        <v>1.61E-2</v>
      </c>
      <c r="Q17">
        <f>'2012_2015'!O17</f>
        <v>9.11E-3</v>
      </c>
      <c r="R17">
        <f>'2012_2015'!P17</f>
        <v>1.6199999999999999E-3</v>
      </c>
      <c r="S17">
        <f>'2012_2015'!Q17</f>
        <v>-1.73E-3</v>
      </c>
      <c r="T17">
        <f>'2012_2015'!R17</f>
        <v>-1.6000000000000001E-3</v>
      </c>
      <c r="U17">
        <f>'2012_2015'!S17</f>
        <v>-2.4599999999999999E-3</v>
      </c>
      <c r="V17">
        <f>'2012_2015'!T17</f>
        <v>-4.6800000000000001E-3</v>
      </c>
      <c r="W17">
        <f>'2012_2015'!U17</f>
        <v>-4.3099999999999996E-3</v>
      </c>
      <c r="X17">
        <f>'2012_2015'!V17</f>
        <v>-1.3799999999999999E-3</v>
      </c>
      <c r="Y17">
        <f>'2012_2015'!W17</f>
        <v>5.52E-5</v>
      </c>
      <c r="Z17">
        <f>'2012_2015'!X17</f>
        <v>1.16E-3</v>
      </c>
      <c r="AA17">
        <f>'2012_2015'!Y17</f>
        <v>1.66E-3</v>
      </c>
      <c r="AB17">
        <f>'2012_2015'!Z17</f>
        <v>-1.3500000000000001E-3</v>
      </c>
      <c r="AC17">
        <f>'2012_2015'!AA17</f>
        <v>-2.8400000000000001E-3</v>
      </c>
      <c r="AD17">
        <f>'2012_2015'!AB17</f>
        <v>-3.48E-3</v>
      </c>
      <c r="AE17">
        <f>'2012_2015'!AC17</f>
        <v>-3.9300000000000003E-3</v>
      </c>
      <c r="AF17">
        <f>'2012_2015'!AD17</f>
        <v>-6.1900000000000002E-3</v>
      </c>
      <c r="AG17">
        <f>'2012_2015'!AE17</f>
        <v>-6.4200000000000004E-3</v>
      </c>
      <c r="AH17">
        <f>'2012_2015'!AF17</f>
        <v>-5.4200000000000003E-3</v>
      </c>
      <c r="AI17">
        <f>'2012_2015'!AG17</f>
        <v>-7.5599999999999999E-3</v>
      </c>
      <c r="AJ17">
        <f>'2012_2015'!AH17</f>
        <v>-1.2999999999999999E-2</v>
      </c>
      <c r="AK17">
        <f>'2012_2015'!AI17</f>
        <v>-1.44E-2</v>
      </c>
      <c r="AL17">
        <f>'2012_2015'!AJ17</f>
        <v>-1.6299999999999999E-2</v>
      </c>
      <c r="AM17">
        <f>'2012_2015'!AK17</f>
        <v>-1.61E-2</v>
      </c>
      <c r="AN17">
        <f>'2012_2015'!AL17</f>
        <v>-1.6899999999999998E-2</v>
      </c>
      <c r="AO17">
        <f>'2012_2015'!AM17</f>
        <v>-1.5900000000000001E-2</v>
      </c>
      <c r="AP17">
        <f>'2012_2015'!AN17</f>
        <v>-1.0800000000000001E-2</v>
      </c>
      <c r="AQ17">
        <f>'2012_2015'!AO17</f>
        <v>-3.82E-3</v>
      </c>
      <c r="AR17">
        <f>'2012_2015'!AP17</f>
        <v>-8.5400000000000005E-4</v>
      </c>
      <c r="AS17">
        <f>'2012_2015'!AQ17</f>
        <v>1.2099999999999999E-3</v>
      </c>
      <c r="AT17">
        <f>'2012_2015'!AR17</f>
        <v>1.5900000000000001E-3</v>
      </c>
      <c r="AU17">
        <f>'2012_2015'!AS17</f>
        <v>2.15E-3</v>
      </c>
      <c r="AV17">
        <f>'2012_2015'!AT17</f>
        <v>-2.97E-3</v>
      </c>
      <c r="AW17">
        <f>'2012_2015'!AU17</f>
        <v>-9.8300000000000002E-3</v>
      </c>
      <c r="AX17">
        <f>'2012_2015'!AV17</f>
        <v>-1.66E-2</v>
      </c>
      <c r="AY17">
        <f>'2012_2015'!AW17</f>
        <v>-1.7399999999999999E-2</v>
      </c>
      <c r="AZ17">
        <f>'2012_2015'!AX17</f>
        <v>-1.8499999999999999E-2</v>
      </c>
      <c r="BA17">
        <f>'2012_2015'!AY17</f>
        <v>-1.78E-2</v>
      </c>
      <c r="BB17">
        <f>'2012_2015'!AZ17</f>
        <v>-1.6199999999999999E-2</v>
      </c>
      <c r="BC17">
        <f>'2012_2015'!BA17</f>
        <v>-7.0299999999999998E-3</v>
      </c>
      <c r="BD17">
        <f>'2012_2015'!BB17</f>
        <v>-6.0400000000000004E-4</v>
      </c>
      <c r="BE17">
        <f>'2012_2015'!BC17</f>
        <v>2.0600000000000002E-3</v>
      </c>
      <c r="BF17">
        <f>'2012_2015'!BD17</f>
        <v>2.1800000000000001E-3</v>
      </c>
      <c r="BG17">
        <f>'2012_2015'!BE17</f>
        <v>3.81E-3</v>
      </c>
      <c r="BH17">
        <f>'2012_2015'!BF17</f>
        <v>3.9100000000000003E-3</v>
      </c>
      <c r="BI17">
        <f>'2012_2015'!BG17</f>
        <v>-1.56E-3</v>
      </c>
      <c r="BJ17">
        <f>'2012_2015'!BH17</f>
        <v>-3.63E-3</v>
      </c>
      <c r="BK17">
        <f>'2012_2015'!BI17</f>
        <v>-7.0400000000000003E-3</v>
      </c>
      <c r="BL17">
        <f>'2012_2015'!BJ17</f>
        <v>-7.0299999999999998E-3</v>
      </c>
      <c r="BM17">
        <f>'2012_2015'!BK17</f>
        <v>-4.7600000000000003E-3</v>
      </c>
      <c r="BN17">
        <f>'2012_2015'!BL17</f>
        <v>2.7299999999999998E-3</v>
      </c>
      <c r="BO17">
        <f>'2012_2015'!BM17</f>
        <v>5.8300000000000001E-3</v>
      </c>
      <c r="BP17">
        <f>'2012_2015'!BN17</f>
        <v>0.01</v>
      </c>
      <c r="BQ17">
        <f>'2012_2015'!BO17</f>
        <v>1.03E-2</v>
      </c>
      <c r="BR17">
        <f>'2012_2015'!BP17</f>
        <v>1.03E-2</v>
      </c>
      <c r="BS17">
        <f>'2012_2015'!BQ17</f>
        <v>3.8500000000000001E-3</v>
      </c>
      <c r="BT17">
        <f>'2012_2015'!BR17</f>
        <v>-2.4199999999999998E-3</v>
      </c>
      <c r="BU17">
        <f>'2012_2015'!BS17</f>
        <v>-8.0000000000000002E-3</v>
      </c>
      <c r="BV17">
        <f>'2012_2015'!BT17</f>
        <v>-3.14E-3</v>
      </c>
      <c r="BW17">
        <f>'2012_2015'!BU17</f>
        <v>-5.79E-3</v>
      </c>
      <c r="BX17">
        <f>'2012_2015'!BV17</f>
        <v>-5.5199999999999997E-3</v>
      </c>
      <c r="BY17">
        <f>'2012_2015'!BW17</f>
        <v>3.0599999999999998E-3</v>
      </c>
      <c r="BZ17">
        <f>'2012_2015'!BX17</f>
        <v>1.67E-2</v>
      </c>
      <c r="CA17">
        <f>'2012_2015'!BY17</f>
        <v>1.9E-2</v>
      </c>
      <c r="CB17">
        <f>'2012_2015'!BZ17</f>
        <v>1.43E-2</v>
      </c>
      <c r="CC17">
        <f>'2012_2015'!CA17</f>
        <v>2.2100000000000002E-2</v>
      </c>
      <c r="CD17">
        <f>'2012_2015'!CB17</f>
        <v>2.47E-2</v>
      </c>
      <c r="CE17">
        <f>'2012_2015'!CC17</f>
        <v>-7.1000000000000004E-3</v>
      </c>
      <c r="CF17">
        <f>'2012_2015'!CD17</f>
        <v>-9.8300000000000002E-3</v>
      </c>
      <c r="CG17">
        <f>'2012_2015'!CE17</f>
        <v>-9.8799999999999999E-3</v>
      </c>
      <c r="CH17">
        <f>'2012_2015'!CF17</f>
        <v>-9.7900000000000001E-3</v>
      </c>
      <c r="CI17">
        <f>'2012_2015'!CG17</f>
        <v>-1.54E-2</v>
      </c>
      <c r="CJ17">
        <f>'2012_2015'!CH17</f>
        <v>-1.4500000000000001E-2</v>
      </c>
      <c r="CK17">
        <f>'2012_2015'!CI17</f>
        <v>2.69E-2</v>
      </c>
      <c r="CL17">
        <f>'2012_2015'!CJ17</f>
        <v>2.75E-2</v>
      </c>
      <c r="CM17">
        <f>'2012_2015'!CK17</f>
        <v>1.9599999999999999E-2</v>
      </c>
      <c r="CN17">
        <f>'2012_2015'!CL17</f>
        <v>-1.47E-3</v>
      </c>
      <c r="CO17">
        <f>'2012_2015'!CM17</f>
        <v>-3.8E-3</v>
      </c>
      <c r="CP17">
        <f>'2012_2015'!CN17</f>
        <v>2.0199999999999999E-2</v>
      </c>
      <c r="CQ17">
        <f>'2012_2015'!CO17</f>
        <v>5.1999999999999998E-2</v>
      </c>
      <c r="CR17">
        <f>'2012_2015'!CP17</f>
        <v>2.3800000000000002E-2</v>
      </c>
      <c r="CS17">
        <f>'2012_2015'!CQ17</f>
        <v>2.7099999999999999E-2</v>
      </c>
      <c r="CT17">
        <f>'2012_2015'!CR17</f>
        <v>3.2199999999999999E-2</v>
      </c>
      <c r="CU17">
        <f>'2012_2015'!CS17</f>
        <v>-2.1000000000000001E-2</v>
      </c>
      <c r="CV17">
        <f>'2012_2015'!CT17</f>
        <v>6.0800000000000003E-3</v>
      </c>
      <c r="CW17">
        <f>'2012_2015'!CU17</f>
        <v>1.01E-2</v>
      </c>
      <c r="CX17">
        <f>'2012_2015'!CV17</f>
        <v>1.55E-2</v>
      </c>
    </row>
    <row r="18" spans="1:102" x14ac:dyDescent="0.2">
      <c r="A18" t="s">
        <v>211</v>
      </c>
      <c r="B18" t="s">
        <v>219</v>
      </c>
      <c r="C18" t="s">
        <v>102</v>
      </c>
      <c r="D18">
        <f>'2012_2015'!B18</f>
        <v>1.6500000000000001E-2</v>
      </c>
      <c r="E18">
        <f>'2012_2015'!C18</f>
        <v>1.12E-2</v>
      </c>
      <c r="F18">
        <f>'2012_2015'!D18</f>
        <v>2.5499999999999998E-2</v>
      </c>
      <c r="G18">
        <f>'2012_2015'!E18</f>
        <v>1.7899999999999999E-2</v>
      </c>
      <c r="H18">
        <f>'2012_2015'!F18</f>
        <v>2.06E-2</v>
      </c>
      <c r="I18">
        <f>'2012_2015'!G18</f>
        <v>1.6199999999999999E-2</v>
      </c>
      <c r="J18">
        <f>'2012_2015'!H18</f>
        <v>1.17E-2</v>
      </c>
      <c r="K18">
        <f>'2012_2015'!I18</f>
        <v>1.43E-2</v>
      </c>
      <c r="L18">
        <f>'2012_2015'!J18</f>
        <v>9.0500000000000008E-3</v>
      </c>
      <c r="M18">
        <f>'2012_2015'!K18</f>
        <v>8.1399999999999997E-3</v>
      </c>
      <c r="N18">
        <f>'2012_2015'!L18</f>
        <v>1.46E-2</v>
      </c>
      <c r="O18">
        <f>'2012_2015'!M18</f>
        <v>2.1499999999999998E-2</v>
      </c>
      <c r="P18">
        <f>'2012_2015'!N18</f>
        <v>1.8200000000000001E-2</v>
      </c>
      <c r="Q18">
        <f>'2012_2015'!O18</f>
        <v>1.46E-2</v>
      </c>
      <c r="R18">
        <f>'2012_2015'!P18</f>
        <v>1.0699999999999999E-2</v>
      </c>
      <c r="S18">
        <f>'2012_2015'!Q18</f>
        <v>1.21E-2</v>
      </c>
      <c r="T18">
        <f>'2012_2015'!R18</f>
        <v>8.3099999999999997E-3</v>
      </c>
      <c r="U18">
        <f>'2012_2015'!S18</f>
        <v>9.4000000000000004E-3</v>
      </c>
      <c r="V18">
        <f>'2012_2015'!T18</f>
        <v>6.8100000000000001E-3</v>
      </c>
      <c r="W18">
        <f>'2012_2015'!U18</f>
        <v>6.4900000000000001E-3</v>
      </c>
      <c r="X18">
        <f>'2012_2015'!V18</f>
        <v>8.6499999999999997E-3</v>
      </c>
      <c r="Y18">
        <f>'2012_2015'!W18</f>
        <v>8.9599999999999992E-3</v>
      </c>
      <c r="Z18">
        <f>'2012_2015'!X18</f>
        <v>9.0399999999999994E-3</v>
      </c>
      <c r="AA18">
        <f>'2012_2015'!Y18</f>
        <v>8.4799999999999997E-3</v>
      </c>
      <c r="AB18">
        <f>'2012_2015'!Z18</f>
        <v>3.1900000000000001E-3</v>
      </c>
      <c r="AC18">
        <f>'2012_2015'!AA18</f>
        <v>1.4E-3</v>
      </c>
      <c r="AD18">
        <f>'2012_2015'!AB18</f>
        <v>2.5300000000000001E-3</v>
      </c>
      <c r="AE18">
        <f>'2012_2015'!AC18</f>
        <v>2.1900000000000001E-3</v>
      </c>
      <c r="AF18">
        <f>'2012_2015'!AD18</f>
        <v>4.0200000000000001E-3</v>
      </c>
      <c r="AG18">
        <f>'2012_2015'!AE18</f>
        <v>5.7499999999999999E-3</v>
      </c>
      <c r="AH18">
        <f>'2012_2015'!AF18</f>
        <v>4.0699999999999998E-3</v>
      </c>
      <c r="AI18">
        <f>'2012_2015'!AG18</f>
        <v>3.0699999999999998E-3</v>
      </c>
      <c r="AJ18">
        <f>'2012_2015'!AH18</f>
        <v>1.31E-3</v>
      </c>
      <c r="AK18">
        <f>'2012_2015'!AI18</f>
        <v>-8.0199999999999998E-4</v>
      </c>
      <c r="AL18">
        <f>'2012_2015'!AJ18</f>
        <v>-1.7899999999999999E-3</v>
      </c>
      <c r="AM18">
        <f>'2012_2015'!AK18</f>
        <v>-2.8500000000000001E-3</v>
      </c>
      <c r="AN18">
        <f>'2012_2015'!AL18</f>
        <v>-2.7799999999999999E-3</v>
      </c>
      <c r="AO18">
        <f>'2012_2015'!AM18</f>
        <v>3.3300000000000001E-3</v>
      </c>
      <c r="AP18">
        <f>'2012_2015'!AN18</f>
        <v>5.3099999999999996E-3</v>
      </c>
      <c r="AQ18">
        <f>'2012_2015'!AO18</f>
        <v>6.3400000000000001E-3</v>
      </c>
      <c r="AR18">
        <f>'2012_2015'!AP18</f>
        <v>4.7800000000000004E-3</v>
      </c>
      <c r="AS18">
        <f>'2012_2015'!AQ18</f>
        <v>3.3400000000000001E-3</v>
      </c>
      <c r="AT18">
        <f>'2012_2015'!AR18</f>
        <v>3.7000000000000002E-3</v>
      </c>
      <c r="AU18">
        <f>'2012_2015'!AS18</f>
        <v>3.65E-3</v>
      </c>
      <c r="AV18">
        <f>'2012_2015'!AT18</f>
        <v>6.2899999999999996E-3</v>
      </c>
      <c r="AW18">
        <f>'2012_2015'!AU18</f>
        <v>5.1399999999999996E-3</v>
      </c>
      <c r="AX18">
        <f>'2012_2015'!AV18</f>
        <v>3.4099999999999998E-3</v>
      </c>
      <c r="AY18">
        <f>'2012_2015'!AW18</f>
        <v>-1.63E-4</v>
      </c>
      <c r="AZ18">
        <f>'2012_2015'!AX18</f>
        <v>7.0600000000000003E-4</v>
      </c>
      <c r="BA18">
        <f>'2012_2015'!AY18</f>
        <v>2.0300000000000001E-3</v>
      </c>
      <c r="BB18">
        <f>'2012_2015'!AZ18</f>
        <v>1.56E-3</v>
      </c>
      <c r="BC18">
        <f>'2012_2015'!BA18</f>
        <v>3.81E-3</v>
      </c>
      <c r="BD18">
        <f>'2012_2015'!BB18</f>
        <v>4.1700000000000001E-3</v>
      </c>
      <c r="BE18">
        <f>'2012_2015'!BC18</f>
        <v>8.4100000000000008E-3</v>
      </c>
      <c r="BF18">
        <f>'2012_2015'!BD18</f>
        <v>1.29E-2</v>
      </c>
      <c r="BG18">
        <f>'2012_2015'!BE18</f>
        <v>1.1599999999999999E-2</v>
      </c>
      <c r="BH18">
        <f>'2012_2015'!BF18</f>
        <v>1.15E-2</v>
      </c>
      <c r="BI18">
        <f>'2012_2015'!BG18</f>
        <v>8.1899999999999994E-3</v>
      </c>
      <c r="BJ18">
        <f>'2012_2015'!BH18</f>
        <v>8.26E-3</v>
      </c>
      <c r="BK18">
        <f>'2012_2015'!BI18</f>
        <v>4.7499999999999999E-3</v>
      </c>
      <c r="BL18">
        <f>'2012_2015'!BJ18</f>
        <v>4.5799999999999999E-3</v>
      </c>
      <c r="BM18">
        <f>'2012_2015'!BK18</f>
        <v>6.8700000000000002E-3</v>
      </c>
      <c r="BN18">
        <f>'2012_2015'!BL18</f>
        <v>1.2699999999999999E-2</v>
      </c>
      <c r="BO18">
        <f>'2012_2015'!BM18</f>
        <v>1.54E-2</v>
      </c>
      <c r="BP18">
        <f>'2012_2015'!BN18</f>
        <v>1.3100000000000001E-2</v>
      </c>
      <c r="BQ18">
        <f>'2012_2015'!BO18</f>
        <v>1.34E-2</v>
      </c>
      <c r="BR18">
        <f>'2012_2015'!BP18</f>
        <v>2.06E-2</v>
      </c>
      <c r="BS18">
        <f>'2012_2015'!BQ18</f>
        <v>1.5599999999999999E-2</v>
      </c>
      <c r="BT18">
        <f>'2012_2015'!BR18</f>
        <v>9.4999999999999998E-3</v>
      </c>
      <c r="BU18">
        <f>'2012_2015'!BS18</f>
        <v>8.1700000000000002E-3</v>
      </c>
      <c r="BV18">
        <f>'2012_2015'!BT18</f>
        <v>1.09E-2</v>
      </c>
      <c r="BW18">
        <f>'2012_2015'!BU18</f>
        <v>8.5699999999999995E-3</v>
      </c>
      <c r="BX18">
        <f>'2012_2015'!BV18</f>
        <v>5.0600000000000003E-3</v>
      </c>
      <c r="BY18">
        <f>'2012_2015'!BW18</f>
        <v>7.2700000000000004E-3</v>
      </c>
      <c r="BZ18">
        <f>'2012_2015'!BX18</f>
        <v>1.67E-2</v>
      </c>
      <c r="CA18">
        <f>'2012_2015'!BY18</f>
        <v>1.6299999999999999E-2</v>
      </c>
      <c r="CB18">
        <f>'2012_2015'!BZ18</f>
        <v>9.7400000000000004E-3</v>
      </c>
      <c r="CC18">
        <f>'2012_2015'!CA18</f>
        <v>1.46E-2</v>
      </c>
      <c r="CD18">
        <f>'2012_2015'!CB18</f>
        <v>2.46E-2</v>
      </c>
      <c r="CE18">
        <f>'2012_2015'!CC18</f>
        <v>5.8300000000000001E-3</v>
      </c>
      <c r="CF18">
        <f>'2012_2015'!CD18</f>
        <v>2.0300000000000001E-3</v>
      </c>
      <c r="CG18">
        <f>'2012_2015'!CE18</f>
        <v>2.14E-3</v>
      </c>
      <c r="CH18">
        <f>'2012_2015'!CF18</f>
        <v>-4.8399999999999997E-3</v>
      </c>
      <c r="CI18">
        <f>'2012_2015'!CG18</f>
        <v>-1.2200000000000001E-2</v>
      </c>
      <c r="CJ18">
        <f>'2012_2015'!CH18</f>
        <v>-1.1900000000000001E-2</v>
      </c>
      <c r="CK18">
        <f>'2012_2015'!CI18</f>
        <v>1.7299999999999999E-2</v>
      </c>
      <c r="CL18">
        <f>'2012_2015'!CJ18</f>
        <v>7.1700000000000002E-3</v>
      </c>
      <c r="CM18">
        <f>'2012_2015'!CK18</f>
        <v>4.8399999999999997E-3</v>
      </c>
      <c r="CN18">
        <f>'2012_2015'!CL18</f>
        <v>-1.7999999999999999E-2</v>
      </c>
      <c r="CO18">
        <f>'2012_2015'!CM18</f>
        <v>-2.7699999999999999E-2</v>
      </c>
      <c r="CP18">
        <f>'2012_2015'!CN18</f>
        <v>-1.84E-2</v>
      </c>
      <c r="CQ18">
        <f>'2012_2015'!CO18</f>
        <v>1.09E-2</v>
      </c>
      <c r="CR18">
        <f>'2012_2015'!CP18</f>
        <v>-1.03E-2</v>
      </c>
      <c r="CS18">
        <f>'2012_2015'!CQ18</f>
        <v>3.1099999999999999E-3</v>
      </c>
      <c r="CT18">
        <f>'2012_2015'!CR18</f>
        <v>-5.4599999999999996E-3</v>
      </c>
      <c r="CU18">
        <f>'2012_2015'!CS18</f>
        <v>-4.6600000000000003E-2</v>
      </c>
      <c r="CV18">
        <f>'2012_2015'!CT18</f>
        <v>-2.1000000000000001E-2</v>
      </c>
      <c r="CW18">
        <f>'2012_2015'!CU18</f>
        <v>-3.27E-2</v>
      </c>
      <c r="CX18">
        <f>'2012_2015'!CV18</f>
        <v>-4.9799999999999997E-2</v>
      </c>
    </row>
    <row r="19" spans="1:102" x14ac:dyDescent="0.2">
      <c r="A19" t="s">
        <v>212</v>
      </c>
      <c r="B19" t="s">
        <v>219</v>
      </c>
      <c r="C19" t="s">
        <v>102</v>
      </c>
      <c r="D19">
        <f>'2012_2015'!B19</f>
        <v>-3.8999999999999998E-3</v>
      </c>
      <c r="E19">
        <f>'2012_2015'!C19</f>
        <v>-7.0000000000000001E-3</v>
      </c>
      <c r="F19">
        <f>'2012_2015'!D19</f>
        <v>3.7399999999999998E-3</v>
      </c>
      <c r="G19">
        <f>'2012_2015'!E19</f>
        <v>-3.0000000000000001E-3</v>
      </c>
      <c r="H19">
        <f>'2012_2015'!F19</f>
        <v>4.9699999999999996E-3</v>
      </c>
      <c r="I19">
        <f>'2012_2015'!G19</f>
        <v>1.18E-4</v>
      </c>
      <c r="J19">
        <f>'2012_2015'!H19</f>
        <v>4.3E-3</v>
      </c>
      <c r="K19">
        <f>'2012_2015'!I19</f>
        <v>4.79E-3</v>
      </c>
      <c r="L19">
        <f>'2012_2015'!J19</f>
        <v>3.3899999999999998E-3</v>
      </c>
      <c r="M19">
        <f>'2012_2015'!K19</f>
        <v>3.1099999999999999E-3</v>
      </c>
      <c r="N19">
        <f>'2012_2015'!L19</f>
        <v>7.2500000000000004E-3</v>
      </c>
      <c r="O19">
        <f>'2012_2015'!M19</f>
        <v>1.0500000000000001E-2</v>
      </c>
      <c r="P19">
        <f>'2012_2015'!N19</f>
        <v>1.01E-2</v>
      </c>
      <c r="Q19">
        <f>'2012_2015'!O19</f>
        <v>7.1900000000000002E-3</v>
      </c>
      <c r="R19">
        <f>'2012_2015'!P19</f>
        <v>3.0500000000000002E-3</v>
      </c>
      <c r="S19">
        <f>'2012_2015'!Q19</f>
        <v>2.5000000000000001E-3</v>
      </c>
      <c r="T19">
        <f>'2012_2015'!R19</f>
        <v>2.47E-3</v>
      </c>
      <c r="U19">
        <f>'2012_2015'!S19</f>
        <v>2.8400000000000001E-3</v>
      </c>
      <c r="V19">
        <f>'2012_2015'!T19</f>
        <v>1.8699999999999999E-3</v>
      </c>
      <c r="W19">
        <f>'2012_2015'!U19</f>
        <v>1.57E-3</v>
      </c>
      <c r="X19">
        <f>'2012_2015'!V19</f>
        <v>1.8E-3</v>
      </c>
      <c r="Y19">
        <f>'2012_2015'!W19</f>
        <v>1.7799999999999999E-3</v>
      </c>
      <c r="Z19">
        <f>'2012_2015'!X19</f>
        <v>1.98E-3</v>
      </c>
      <c r="AA19">
        <f>'2012_2015'!Y19</f>
        <v>1.73E-3</v>
      </c>
      <c r="AB19">
        <f>'2012_2015'!Z19</f>
        <v>1.01E-3</v>
      </c>
      <c r="AC19">
        <f>'2012_2015'!AA19</f>
        <v>9.4899999999999997E-4</v>
      </c>
      <c r="AD19">
        <f>'2012_2015'!AB19</f>
        <v>5.9500000000000004E-4</v>
      </c>
      <c r="AE19">
        <f>'2012_2015'!AC19</f>
        <v>1.7799999999999999E-4</v>
      </c>
      <c r="AF19">
        <f>'2012_2015'!AD19</f>
        <v>3.86E-4</v>
      </c>
      <c r="AG19">
        <f>'2012_2015'!AE19</f>
        <v>1.46E-4</v>
      </c>
      <c r="AH19">
        <f>'2012_2015'!AF19</f>
        <v>-1.56E-4</v>
      </c>
      <c r="AI19">
        <f>'2012_2015'!AG19</f>
        <v>-4.95E-4</v>
      </c>
      <c r="AJ19">
        <f>'2012_2015'!AH19</f>
        <v>-1.17E-3</v>
      </c>
      <c r="AK19">
        <f>'2012_2015'!AI19</f>
        <v>-1.1999999999999999E-3</v>
      </c>
      <c r="AL19">
        <f>'2012_2015'!AJ19</f>
        <v>-6.8300000000000001E-4</v>
      </c>
      <c r="AM19">
        <f>'2012_2015'!AK19</f>
        <v>-5.7300000000000005E-4</v>
      </c>
      <c r="AN19">
        <f>'2012_2015'!AL19</f>
        <v>-4.5199999999999998E-4</v>
      </c>
      <c r="AO19">
        <f>'2012_2015'!AM19</f>
        <v>-6.3299999999999994E-5</v>
      </c>
      <c r="AP19">
        <f>'2012_2015'!AN19</f>
        <v>3.59E-4</v>
      </c>
      <c r="AQ19">
        <f>'2012_2015'!AO19</f>
        <v>2.8800000000000001E-4</v>
      </c>
      <c r="AR19">
        <f>'2012_2015'!AP19</f>
        <v>4.6700000000000002E-4</v>
      </c>
      <c r="AS19">
        <f>'2012_2015'!AQ19</f>
        <v>7.9900000000000001E-4</v>
      </c>
      <c r="AT19">
        <f>'2012_2015'!AR19</f>
        <v>7.2199999999999999E-4</v>
      </c>
      <c r="AU19">
        <f>'2012_2015'!AS19</f>
        <v>5.0600000000000005E-4</v>
      </c>
      <c r="AV19">
        <f>'2012_2015'!AT19</f>
        <v>9.3199999999999999E-4</v>
      </c>
      <c r="AW19">
        <f>'2012_2015'!AU19</f>
        <v>6.1799999999999995E-4</v>
      </c>
      <c r="AX19">
        <f>'2012_2015'!AV19</f>
        <v>1.2300000000000001E-4</v>
      </c>
      <c r="AY19">
        <f>'2012_2015'!AW19</f>
        <v>-3.9800000000000002E-4</v>
      </c>
      <c r="AZ19">
        <f>'2012_2015'!AX19</f>
        <v>-5.8100000000000003E-4</v>
      </c>
      <c r="BA19">
        <f>'2012_2015'!AY19</f>
        <v>-1.08E-3</v>
      </c>
      <c r="BB19">
        <f>'2012_2015'!AZ19</f>
        <v>-1.14E-3</v>
      </c>
      <c r="BC19">
        <f>'2012_2015'!BA19</f>
        <v>-4.0000000000000002E-4</v>
      </c>
      <c r="BD19">
        <f>'2012_2015'!BB19</f>
        <v>2.5799999999999998E-4</v>
      </c>
      <c r="BE19">
        <f>'2012_2015'!BC19</f>
        <v>5.0199999999999995E-4</v>
      </c>
      <c r="BF19">
        <f>'2012_2015'!BD19</f>
        <v>1.08E-3</v>
      </c>
      <c r="BG19">
        <f>'2012_2015'!BE19</f>
        <v>8.4099999999999995E-4</v>
      </c>
      <c r="BH19">
        <f>'2012_2015'!BF19</f>
        <v>4.55E-4</v>
      </c>
      <c r="BI19">
        <f>'2012_2015'!BG19</f>
        <v>1.83E-4</v>
      </c>
      <c r="BJ19">
        <f>'2012_2015'!BH19</f>
        <v>4.3899999999999999E-4</v>
      </c>
      <c r="BK19">
        <f>'2012_2015'!BI19</f>
        <v>-1.3100000000000001E-4</v>
      </c>
      <c r="BL19">
        <f>'2012_2015'!BJ19</f>
        <v>1.4300000000000001E-4</v>
      </c>
      <c r="BM19">
        <f>'2012_2015'!BK19</f>
        <v>2.3699999999999999E-4</v>
      </c>
      <c r="BN19">
        <f>'2012_2015'!BL19</f>
        <v>5.6899999999999995E-4</v>
      </c>
      <c r="BO19">
        <f>'2012_2015'!BM19</f>
        <v>5.4699999999999996E-4</v>
      </c>
      <c r="BP19">
        <f>'2012_2015'!BN19</f>
        <v>1.2700000000000001E-3</v>
      </c>
      <c r="BQ19">
        <f>'2012_2015'!BO19</f>
        <v>1.8E-3</v>
      </c>
      <c r="BR19">
        <f>'2012_2015'!BP19</f>
        <v>2.0100000000000001E-3</v>
      </c>
      <c r="BS19">
        <f>'2012_2015'!BQ19</f>
        <v>1.23E-3</v>
      </c>
      <c r="BT19">
        <f>'2012_2015'!BR19</f>
        <v>8.1700000000000002E-4</v>
      </c>
      <c r="BU19">
        <f>'2012_2015'!BS19</f>
        <v>9.0200000000000002E-4</v>
      </c>
      <c r="BV19">
        <f>'2012_2015'!BT19</f>
        <v>1.9400000000000001E-3</v>
      </c>
      <c r="BW19">
        <f>'2012_2015'!BU19</f>
        <v>1.6900000000000001E-3</v>
      </c>
      <c r="BX19">
        <f>'2012_2015'!BV19</f>
        <v>8.7200000000000005E-4</v>
      </c>
      <c r="BY19">
        <f>'2012_2015'!BW19</f>
        <v>1.8699999999999999E-3</v>
      </c>
      <c r="BZ19">
        <f>'2012_2015'!BX19</f>
        <v>2.3999999999999998E-3</v>
      </c>
      <c r="CA19">
        <f>'2012_2015'!BY19</f>
        <v>2.8900000000000002E-3</v>
      </c>
      <c r="CB19">
        <f>'2012_2015'!BZ19</f>
        <v>2.7899999999999999E-3</v>
      </c>
      <c r="CC19">
        <f>'2012_2015'!CA19</f>
        <v>3.0899999999999999E-3</v>
      </c>
      <c r="CD19">
        <f>'2012_2015'!CB19</f>
        <v>2.7299999999999998E-3</v>
      </c>
      <c r="CE19">
        <f>'2012_2015'!CC19</f>
        <v>3.4900000000000003E-4</v>
      </c>
      <c r="CF19">
        <f>'2012_2015'!CD19</f>
        <v>-3.0499999999999999E-4</v>
      </c>
      <c r="CG19">
        <f>'2012_2015'!CE19</f>
        <v>-3.0299999999999999E-4</v>
      </c>
      <c r="CH19">
        <f>'2012_2015'!CF19</f>
        <v>-3.8900000000000002E-4</v>
      </c>
      <c r="CI19">
        <f>'2012_2015'!CG19</f>
        <v>-6.9800000000000005E-4</v>
      </c>
      <c r="CJ19">
        <f>'2012_2015'!CH19</f>
        <v>-9.9599999999999992E-4</v>
      </c>
      <c r="CK19">
        <f>'2012_2015'!CI19</f>
        <v>1.9799999999999999E-4</v>
      </c>
      <c r="CL19">
        <f>'2012_2015'!CJ19</f>
        <v>1.14E-3</v>
      </c>
      <c r="CM19">
        <f>'2012_2015'!CK19</f>
        <v>4.2999999999999999E-4</v>
      </c>
      <c r="CN19">
        <f>'2012_2015'!CL19</f>
        <v>-1.9599999999999999E-5</v>
      </c>
      <c r="CO19">
        <f>'2012_2015'!CM19</f>
        <v>-1.23E-3</v>
      </c>
      <c r="CP19">
        <f>'2012_2015'!CN19</f>
        <v>-8.5099999999999998E-4</v>
      </c>
      <c r="CQ19">
        <f>'2012_2015'!CO19</f>
        <v>4.8999999999999998E-4</v>
      </c>
      <c r="CR19">
        <f>'2012_2015'!CP19</f>
        <v>-9.7300000000000002E-4</v>
      </c>
      <c r="CS19">
        <f>'2012_2015'!CQ19</f>
        <v>-4.1199999999999999E-5</v>
      </c>
      <c r="CT19">
        <f>'2012_2015'!CR19</f>
        <v>-8.0400000000000003E-4</v>
      </c>
      <c r="CU19">
        <f>'2012_2015'!CS19</f>
        <v>-1.5200000000000001E-3</v>
      </c>
      <c r="CV19">
        <f>'2012_2015'!CT19</f>
        <v>-1.6800000000000001E-3</v>
      </c>
      <c r="CW19">
        <f>'2012_2015'!CU19</f>
        <v>-3.79E-3</v>
      </c>
      <c r="CX19">
        <f>'2012_2015'!CV19</f>
        <v>-4.9899999999999996E-3</v>
      </c>
    </row>
    <row r="20" spans="1:102" x14ac:dyDescent="0.2">
      <c r="A20" t="s">
        <v>213</v>
      </c>
      <c r="B20" t="s">
        <v>219</v>
      </c>
      <c r="C20" t="s">
        <v>102</v>
      </c>
      <c r="D20">
        <f>'2012_2015'!B20</f>
        <v>7.6499999999999999E-2</v>
      </c>
      <c r="E20">
        <f>'2012_2015'!C20</f>
        <v>0.111</v>
      </c>
      <c r="F20">
        <f>'2012_2015'!D20</f>
        <v>2.5600000000000001E-2</v>
      </c>
      <c r="G20">
        <f>'2012_2015'!E20</f>
        <v>4.0899999999999999E-2</v>
      </c>
      <c r="H20">
        <f>'2012_2015'!F20</f>
        <v>-2.9000000000000001E-2</v>
      </c>
      <c r="I20">
        <f>'2012_2015'!G20</f>
        <v>1.2500000000000001E-2</v>
      </c>
      <c r="J20">
        <f>'2012_2015'!H20</f>
        <v>-2.7799999999999998E-2</v>
      </c>
      <c r="K20">
        <f>'2012_2015'!I20</f>
        <v>-2.3199999999999998E-2</v>
      </c>
      <c r="L20">
        <f>'2012_2015'!J20</f>
        <v>-2.5999999999999999E-2</v>
      </c>
      <c r="M20">
        <f>'2012_2015'!K20</f>
        <v>-2.3199999999999998E-2</v>
      </c>
      <c r="N20">
        <f>'2012_2015'!L20</f>
        <v>-8.0100000000000005E-2</v>
      </c>
      <c r="O20">
        <f>'2012_2015'!M20</f>
        <v>-0.13800000000000001</v>
      </c>
      <c r="P20">
        <f>'2012_2015'!N20</f>
        <v>-0.14000000000000001</v>
      </c>
      <c r="Q20">
        <f>'2012_2015'!O20</f>
        <v>-0.114</v>
      </c>
      <c r="R20">
        <f>'2012_2015'!P20</f>
        <v>-7.1999999999999995E-2</v>
      </c>
      <c r="S20">
        <f>'2012_2015'!Q20</f>
        <v>-5.4800000000000001E-2</v>
      </c>
      <c r="T20">
        <f>'2012_2015'!R20</f>
        <v>-5.5500000000000001E-2</v>
      </c>
      <c r="U20">
        <f>'2012_2015'!S20</f>
        <v>-5.67E-2</v>
      </c>
      <c r="V20">
        <f>'2012_2015'!T20</f>
        <v>-4.7300000000000002E-2</v>
      </c>
      <c r="W20">
        <f>'2012_2015'!U20</f>
        <v>-4.48E-2</v>
      </c>
      <c r="X20">
        <f>'2012_2015'!V20</f>
        <v>-4.8800000000000003E-2</v>
      </c>
      <c r="Y20">
        <f>'2012_2015'!W20</f>
        <v>-5.1200000000000002E-2</v>
      </c>
      <c r="Z20">
        <f>'2012_2015'!X20</f>
        <v>-5.0799999999999998E-2</v>
      </c>
      <c r="AA20">
        <f>'2012_2015'!Y20</f>
        <v>-4.6300000000000001E-2</v>
      </c>
      <c r="AB20">
        <f>'2012_2015'!Z20</f>
        <v>-4.1399999999999999E-2</v>
      </c>
      <c r="AC20">
        <f>'2012_2015'!AA20</f>
        <v>-3.3399999999999999E-2</v>
      </c>
      <c r="AD20">
        <f>'2012_2015'!AB20</f>
        <v>-2.6700000000000002E-2</v>
      </c>
      <c r="AE20">
        <f>'2012_2015'!AC20</f>
        <v>-2.9600000000000001E-2</v>
      </c>
      <c r="AF20">
        <f>'2012_2015'!AD20</f>
        <v>-2.41E-2</v>
      </c>
      <c r="AG20">
        <f>'2012_2015'!AE20</f>
        <v>-2.3400000000000001E-2</v>
      </c>
      <c r="AH20">
        <f>'2012_2015'!AF20</f>
        <v>-2.2499999999999999E-2</v>
      </c>
      <c r="AI20">
        <f>'2012_2015'!AG20</f>
        <v>-1.6299999999999999E-2</v>
      </c>
      <c r="AJ20">
        <f>'2012_2015'!AH20</f>
        <v>-1.2999999999999999E-2</v>
      </c>
      <c r="AK20">
        <f>'2012_2015'!AI20</f>
        <v>-9.6799999999999994E-3</v>
      </c>
      <c r="AL20">
        <f>'2012_2015'!AJ20</f>
        <v>-1.11E-2</v>
      </c>
      <c r="AM20">
        <f>'2012_2015'!AK20</f>
        <v>-1.3599999999999999E-2</v>
      </c>
      <c r="AN20">
        <f>'2012_2015'!AL20</f>
        <v>-2.0299999999999999E-2</v>
      </c>
      <c r="AO20">
        <f>'2012_2015'!AM20</f>
        <v>-2.52E-2</v>
      </c>
      <c r="AP20">
        <f>'2012_2015'!AN20</f>
        <v>-2.7199999999999998E-2</v>
      </c>
      <c r="AQ20">
        <f>'2012_2015'!AO20</f>
        <v>-2.6499999999999999E-2</v>
      </c>
      <c r="AR20">
        <f>'2012_2015'!AP20</f>
        <v>-2.4299999999999999E-2</v>
      </c>
      <c r="AS20">
        <f>'2012_2015'!AQ20</f>
        <v>-1.89E-2</v>
      </c>
      <c r="AT20">
        <f>'2012_2015'!AR20</f>
        <v>-1.6E-2</v>
      </c>
      <c r="AU20">
        <f>'2012_2015'!AS20</f>
        <v>-1.04E-2</v>
      </c>
      <c r="AV20">
        <f>'2012_2015'!AT20</f>
        <v>-6.2899999999999996E-3</v>
      </c>
      <c r="AW20">
        <f>'2012_2015'!AU20</f>
        <v>-3.3400000000000001E-3</v>
      </c>
      <c r="AX20">
        <f>'2012_2015'!AV20</f>
        <v>-1.7799999999999999E-3</v>
      </c>
      <c r="AY20">
        <f>'2012_2015'!AW20</f>
        <v>-3.6900000000000001E-3</v>
      </c>
      <c r="AZ20">
        <f>'2012_2015'!AX20</f>
        <v>-0.01</v>
      </c>
      <c r="BA20">
        <f>'2012_2015'!AY20</f>
        <v>-1.1599999999999999E-2</v>
      </c>
      <c r="BB20">
        <f>'2012_2015'!AZ20</f>
        <v>-1.1299999999999999E-2</v>
      </c>
      <c r="BC20">
        <f>'2012_2015'!BA20</f>
        <v>-1.35E-2</v>
      </c>
      <c r="BD20">
        <f>'2012_2015'!BB20</f>
        <v>-1.2999999999999999E-2</v>
      </c>
      <c r="BE20">
        <f>'2012_2015'!BC20</f>
        <v>-1.29E-2</v>
      </c>
      <c r="BF20">
        <f>'2012_2015'!BD20</f>
        <v>-1.26E-2</v>
      </c>
      <c r="BG20">
        <f>'2012_2015'!BE20</f>
        <v>-7.6099999999999996E-3</v>
      </c>
      <c r="BH20">
        <f>'2012_2015'!BF20</f>
        <v>-5.8999999999999999E-3</v>
      </c>
      <c r="BI20">
        <f>'2012_2015'!BG20</f>
        <v>-8.6800000000000002E-3</v>
      </c>
      <c r="BJ20">
        <f>'2012_2015'!BH20</f>
        <v>-1.2800000000000001E-2</v>
      </c>
      <c r="BK20">
        <f>'2012_2015'!BI20</f>
        <v>-9.6399999999999993E-3</v>
      </c>
      <c r="BL20">
        <f>'2012_2015'!BJ20</f>
        <v>-9.2700000000000005E-3</v>
      </c>
      <c r="BM20">
        <f>'2012_2015'!BK20</f>
        <v>-1.2999999999999999E-2</v>
      </c>
      <c r="BN20">
        <f>'2012_2015'!BL20</f>
        <v>-1.5100000000000001E-2</v>
      </c>
      <c r="BO20">
        <f>'2012_2015'!BM20</f>
        <v>-1.4500000000000001E-2</v>
      </c>
      <c r="BP20">
        <f>'2012_2015'!BN20</f>
        <v>-8.6700000000000006E-3</v>
      </c>
      <c r="BQ20">
        <f>'2012_2015'!BO20</f>
        <v>-7.1000000000000004E-3</v>
      </c>
      <c r="BR20">
        <f>'2012_2015'!BP20</f>
        <v>-6.8300000000000001E-3</v>
      </c>
      <c r="BS20">
        <f>'2012_2015'!BQ20</f>
        <v>-6.6699999999999997E-3</v>
      </c>
      <c r="BT20">
        <f>'2012_2015'!BR20</f>
        <v>-1.01E-3</v>
      </c>
      <c r="BU20">
        <f>'2012_2015'!BS20</f>
        <v>-1.56E-3</v>
      </c>
      <c r="BV20">
        <f>'2012_2015'!BT20</f>
        <v>1.32E-3</v>
      </c>
      <c r="BW20">
        <f>'2012_2015'!BU20</f>
        <v>2.4099999999999998E-3</v>
      </c>
      <c r="BX20">
        <f>'2012_2015'!BV20</f>
        <v>-3.64E-3</v>
      </c>
      <c r="BY20">
        <f>'2012_2015'!BW20</f>
        <v>-5.4099999999999999E-3</v>
      </c>
      <c r="BZ20">
        <f>'2012_2015'!BX20</f>
        <v>-5.8700000000000002E-3</v>
      </c>
      <c r="CA20">
        <f>'2012_2015'!BY20</f>
        <v>-6.3900000000000003E-4</v>
      </c>
      <c r="CB20">
        <f>'2012_2015'!BZ20</f>
        <v>1.06E-2</v>
      </c>
      <c r="CC20">
        <f>'2012_2015'!CA20</f>
        <v>1.0999999999999999E-2</v>
      </c>
      <c r="CD20">
        <f>'2012_2015'!CB20</f>
        <v>1.5100000000000001E-2</v>
      </c>
      <c r="CE20">
        <f>'2012_2015'!CC20</f>
        <v>1.11E-2</v>
      </c>
      <c r="CF20">
        <f>'2012_2015'!CD20</f>
        <v>7.8399999999999997E-3</v>
      </c>
      <c r="CG20">
        <f>'2012_2015'!CE20</f>
        <v>1.67E-2</v>
      </c>
      <c r="CH20">
        <f>'2012_2015'!CF20</f>
        <v>1.8100000000000002E-2</v>
      </c>
      <c r="CI20">
        <f>'2012_2015'!CG20</f>
        <v>1.5299999999999999E-2</v>
      </c>
      <c r="CJ20">
        <f>'2012_2015'!CH20</f>
        <v>1.9599999999999999E-2</v>
      </c>
      <c r="CK20">
        <f>'2012_2015'!CI20</f>
        <v>2.5499999999999998E-2</v>
      </c>
      <c r="CL20">
        <f>'2012_2015'!CJ20</f>
        <v>2.4500000000000001E-2</v>
      </c>
      <c r="CM20">
        <f>'2012_2015'!CK20</f>
        <v>2.2100000000000002E-2</v>
      </c>
      <c r="CN20">
        <f>'2012_2015'!CL20</f>
        <v>3.6799999999999999E-2</v>
      </c>
      <c r="CO20">
        <f>'2012_2015'!CM20</f>
        <v>4.2099999999999999E-2</v>
      </c>
      <c r="CP20">
        <f>'2012_2015'!CN20</f>
        <v>3.04E-2</v>
      </c>
      <c r="CQ20">
        <f>'2012_2015'!CO20</f>
        <v>4.4499999999999998E-2</v>
      </c>
      <c r="CR20">
        <f>'2012_2015'!CP20</f>
        <v>5.2999999999999999E-2</v>
      </c>
      <c r="CS20">
        <f>'2012_2015'!CQ20</f>
        <v>3.7199999999999997E-2</v>
      </c>
      <c r="CT20">
        <f>'2012_2015'!CR20</f>
        <v>4.8000000000000001E-2</v>
      </c>
      <c r="CU20">
        <f>'2012_2015'!CS20</f>
        <v>4.4400000000000002E-2</v>
      </c>
      <c r="CV20">
        <f>'2012_2015'!CT20</f>
        <v>4.8500000000000001E-2</v>
      </c>
      <c r="CW20">
        <f>'2012_2015'!CU20</f>
        <v>5.3999999999999999E-2</v>
      </c>
      <c r="CX20">
        <f>'2012_2015'!CV20</f>
        <v>5.5500000000000001E-2</v>
      </c>
    </row>
    <row r="21" spans="1:102" x14ac:dyDescent="0.2">
      <c r="A21" t="s">
        <v>214</v>
      </c>
      <c r="B21" t="s">
        <v>219</v>
      </c>
      <c r="C21" t="s">
        <v>102</v>
      </c>
      <c r="D21">
        <f>'2012_2015'!B21</f>
        <v>-5.3800000000000002E-3</v>
      </c>
      <c r="E21">
        <f>'2012_2015'!C21</f>
        <v>-2.5999999999999999E-3</v>
      </c>
      <c r="F21">
        <f>'2012_2015'!D21</f>
        <v>1.1299999999999999E-2</v>
      </c>
      <c r="G21">
        <f>'2012_2015'!E21</f>
        <v>1.49E-2</v>
      </c>
      <c r="H21">
        <f>'2012_2015'!F21</f>
        <v>1.4E-2</v>
      </c>
      <c r="I21">
        <f>'2012_2015'!G21</f>
        <v>7.6299999999999996E-3</v>
      </c>
      <c r="J21">
        <f>'2012_2015'!H21</f>
        <v>7.1300000000000001E-3</v>
      </c>
      <c r="K21">
        <f>'2012_2015'!I21</f>
        <v>2.6700000000000001E-3</v>
      </c>
      <c r="L21">
        <f>'2012_2015'!J21</f>
        <v>7.2100000000000003E-3</v>
      </c>
      <c r="M21">
        <f>'2012_2015'!K21</f>
        <v>5.7499999999999999E-3</v>
      </c>
      <c r="N21">
        <f>'2012_2015'!L21</f>
        <v>5.45E-3</v>
      </c>
      <c r="O21">
        <f>'2012_2015'!M21</f>
        <v>4.8599999999999997E-3</v>
      </c>
      <c r="P21">
        <f>'2012_2015'!N21</f>
        <v>3.5699999999999998E-3</v>
      </c>
      <c r="Q21">
        <f>'2012_2015'!O21</f>
        <v>3.1900000000000001E-3</v>
      </c>
      <c r="R21">
        <f>'2012_2015'!P21</f>
        <v>8.3099999999999997E-3</v>
      </c>
      <c r="S21">
        <f>'2012_2015'!Q21</f>
        <v>9.1299999999999992E-3</v>
      </c>
      <c r="T21">
        <f>'2012_2015'!R21</f>
        <v>1.57E-3</v>
      </c>
      <c r="U21">
        <f>'2012_2015'!S21</f>
        <v>3.5899999999999999E-3</v>
      </c>
      <c r="V21">
        <f>'2012_2015'!T21</f>
        <v>5.4200000000000003E-3</v>
      </c>
      <c r="W21">
        <f>'2012_2015'!U21</f>
        <v>6.1999999999999998E-3</v>
      </c>
      <c r="X21">
        <f>'2012_2015'!V21</f>
        <v>7.45E-3</v>
      </c>
      <c r="Y21">
        <f>'2012_2015'!W21</f>
        <v>5.7800000000000004E-3</v>
      </c>
      <c r="Z21">
        <f>'2012_2015'!X21</f>
        <v>6.3200000000000001E-3</v>
      </c>
      <c r="AA21">
        <f>'2012_2015'!Y21</f>
        <v>3.96E-3</v>
      </c>
      <c r="AB21">
        <f>'2012_2015'!Z21</f>
        <v>2.7100000000000002E-3</v>
      </c>
      <c r="AC21">
        <f>'2012_2015'!AA21</f>
        <v>8.4699999999999999E-4</v>
      </c>
      <c r="AD21">
        <f>'2012_2015'!AB21</f>
        <v>3.0699999999999998E-3</v>
      </c>
      <c r="AE21">
        <f>'2012_2015'!AC21</f>
        <v>3.6800000000000001E-3</v>
      </c>
      <c r="AF21">
        <f>'2012_2015'!AD21</f>
        <v>3.8099999999999999E-4</v>
      </c>
      <c r="AG21">
        <f>'2012_2015'!AE21</f>
        <v>8.0099999999999998E-3</v>
      </c>
      <c r="AH21">
        <f>'2012_2015'!AF21</f>
        <v>5.5799999999999999E-3</v>
      </c>
      <c r="AI21">
        <f>'2012_2015'!AG21</f>
        <v>1.4300000000000001E-3</v>
      </c>
      <c r="AJ21">
        <f>'2012_2015'!AH21</f>
        <v>3.2799999999999999E-3</v>
      </c>
      <c r="AK21">
        <f>'2012_2015'!AI21</f>
        <v>-4.57E-4</v>
      </c>
      <c r="AL21">
        <f>'2012_2015'!AJ21</f>
        <v>1.7799999999999999E-3</v>
      </c>
      <c r="AM21">
        <f>'2012_2015'!AK21</f>
        <v>6.3899999999999998E-3</v>
      </c>
      <c r="AN21">
        <f>'2012_2015'!AL21</f>
        <v>3.79E-4</v>
      </c>
      <c r="AO21">
        <f>'2012_2015'!AM21</f>
        <v>2.2000000000000001E-3</v>
      </c>
      <c r="AP21">
        <f>'2012_2015'!AN21</f>
        <v>1.7100000000000001E-4</v>
      </c>
      <c r="AQ21">
        <f>'2012_2015'!AO21</f>
        <v>2.15E-3</v>
      </c>
      <c r="AR21">
        <f>'2012_2015'!AP21</f>
        <v>-2.7299999999999998E-3</v>
      </c>
      <c r="AS21">
        <f>'2012_2015'!AQ21</f>
        <v>3.5599999999999998E-3</v>
      </c>
      <c r="AT21">
        <f>'2012_2015'!AR21</f>
        <v>2.7100000000000002E-3</v>
      </c>
      <c r="AU21">
        <f>'2012_2015'!AS21</f>
        <v>2.5500000000000002E-3</v>
      </c>
      <c r="AV21">
        <f>'2012_2015'!AT21</f>
        <v>-5.8199999999999997E-3</v>
      </c>
      <c r="AW21">
        <f>'2012_2015'!AU21</f>
        <v>-1.7699999999999999E-4</v>
      </c>
      <c r="AX21">
        <f>'2012_2015'!AV21</f>
        <v>-4.13E-3</v>
      </c>
      <c r="AY21">
        <f>'2012_2015'!AW21</f>
        <v>2.4499999999999999E-4</v>
      </c>
      <c r="AZ21">
        <f>'2012_2015'!AX21</f>
        <v>1.65E-3</v>
      </c>
      <c r="BA21">
        <f>'2012_2015'!AY21</f>
        <v>-8.0400000000000003E-4</v>
      </c>
      <c r="BB21">
        <f>'2012_2015'!AZ21</f>
        <v>2.12E-4</v>
      </c>
      <c r="BC21">
        <f>'2012_2015'!BA21</f>
        <v>5.2999999999999998E-4</v>
      </c>
      <c r="BD21">
        <f>'2012_2015'!BB21</f>
        <v>1.4799999999999999E-4</v>
      </c>
      <c r="BE21">
        <f>'2012_2015'!BC21</f>
        <v>5.3299999999999997E-3</v>
      </c>
      <c r="BF21">
        <f>'2012_2015'!BD21</f>
        <v>-6.8999999999999997E-4</v>
      </c>
      <c r="BG21">
        <f>'2012_2015'!BE21</f>
        <v>1.67E-3</v>
      </c>
      <c r="BH21">
        <f>'2012_2015'!BF21</f>
        <v>-2.1299999999999999E-3</v>
      </c>
      <c r="BI21">
        <f>'2012_2015'!BG21</f>
        <v>-5.8100000000000003E-4</v>
      </c>
      <c r="BJ21">
        <f>'2012_2015'!BH21</f>
        <v>-8.5199999999999998E-3</v>
      </c>
      <c r="BK21">
        <f>'2012_2015'!BI21</f>
        <v>7.11E-3</v>
      </c>
      <c r="BL21">
        <f>'2012_2015'!BJ21</f>
        <v>-1.83E-3</v>
      </c>
      <c r="BM21">
        <f>'2012_2015'!BK21</f>
        <v>2.7699999999999999E-3</v>
      </c>
      <c r="BN21">
        <f>'2012_2015'!BL21</f>
        <v>3.5999999999999999E-3</v>
      </c>
      <c r="BO21">
        <f>'2012_2015'!BM21</f>
        <v>4.7000000000000002E-3</v>
      </c>
      <c r="BP21">
        <f>'2012_2015'!BN21</f>
        <v>2.5000000000000001E-3</v>
      </c>
      <c r="BQ21">
        <f>'2012_2015'!BO21</f>
        <v>5.9500000000000004E-3</v>
      </c>
      <c r="BR21">
        <f>'2012_2015'!BP21</f>
        <v>1.2600000000000001E-3</v>
      </c>
      <c r="BS21">
        <f>'2012_2015'!BQ21</f>
        <v>-3.16E-3</v>
      </c>
      <c r="BT21">
        <f>'2012_2015'!BR21</f>
        <v>3.0999999999999999E-3</v>
      </c>
      <c r="BU21">
        <f>'2012_2015'!BS21</f>
        <v>-5.5699999999999999E-4</v>
      </c>
      <c r="BV21">
        <f>'2012_2015'!BT21</f>
        <v>7.1900000000000002E-4</v>
      </c>
      <c r="BW21">
        <f>'2012_2015'!BU21</f>
        <v>-2.66E-3</v>
      </c>
      <c r="BX21">
        <f>'2012_2015'!BV21</f>
        <v>8.1899999999999996E-4</v>
      </c>
      <c r="BY21">
        <f>'2012_2015'!BW21</f>
        <v>-7.9799999999999999E-4</v>
      </c>
      <c r="BZ21">
        <f>'2012_2015'!BX21</f>
        <v>8.3799999999999999E-4</v>
      </c>
      <c r="CA21">
        <f>'2012_2015'!BY21</f>
        <v>-4.8599999999999997E-3</v>
      </c>
      <c r="CB21">
        <f>'2012_2015'!BZ21</f>
        <v>1.4E-2</v>
      </c>
      <c r="CC21">
        <f>'2012_2015'!CA21</f>
        <v>1.29E-2</v>
      </c>
      <c r="CD21">
        <f>'2012_2015'!CB21</f>
        <v>2.4199999999999998E-3</v>
      </c>
      <c r="CE21">
        <f>'2012_2015'!CC21</f>
        <v>-9.810000000000001E-4</v>
      </c>
      <c r="CF21">
        <f>'2012_2015'!CD21</f>
        <v>-5.1900000000000004E-4</v>
      </c>
      <c r="CG21">
        <f>'2012_2015'!CE21</f>
        <v>6.4000000000000005E-4</v>
      </c>
      <c r="CH21">
        <f>'2012_2015'!CF21</f>
        <v>4.4600000000000004E-3</v>
      </c>
      <c r="CI21">
        <f>'2012_2015'!CG21</f>
        <v>2.5100000000000001E-3</v>
      </c>
      <c r="CJ21">
        <f>'2012_2015'!CH21</f>
        <v>-5.1699999999999999E-4</v>
      </c>
      <c r="CK21">
        <f>'2012_2015'!CI21</f>
        <v>6.6800000000000002E-3</v>
      </c>
      <c r="CL21">
        <f>'2012_2015'!CJ21</f>
        <v>1.23E-2</v>
      </c>
      <c r="CM21">
        <f>'2012_2015'!CK21</f>
        <v>-1.2800000000000001E-3</v>
      </c>
      <c r="CN21">
        <f>'2012_2015'!CL21</f>
        <v>5.4200000000000003E-3</v>
      </c>
      <c r="CO21">
        <f>'2012_2015'!CM21</f>
        <v>-5.8100000000000003E-4</v>
      </c>
      <c r="CP21">
        <f>'2012_2015'!CN21</f>
        <v>5.1200000000000004E-3</v>
      </c>
      <c r="CQ21">
        <f>'2012_2015'!CO21</f>
        <v>6.94E-3</v>
      </c>
      <c r="CR21">
        <f>'2012_2015'!CP21</f>
        <v>1.35E-2</v>
      </c>
      <c r="CS21">
        <f>'2012_2015'!CQ21</f>
        <v>8.8900000000000003E-3</v>
      </c>
      <c r="CT21">
        <f>'2012_2015'!CR21</f>
        <v>1.2200000000000001E-2</v>
      </c>
      <c r="CU21">
        <f>'2012_2015'!CS21</f>
        <v>-1.2999999999999999E-3</v>
      </c>
      <c r="CV21">
        <f>'2012_2015'!CT21</f>
        <v>7.2700000000000004E-3</v>
      </c>
      <c r="CW21">
        <f>'2012_2015'!CU21</f>
        <v>8.4000000000000003E-4</v>
      </c>
      <c r="CX21">
        <f>'2012_2015'!CV21</f>
        <v>1.3599999999999999E-2</v>
      </c>
    </row>
    <row r="22" spans="1:102" x14ac:dyDescent="0.2">
      <c r="A22" t="s">
        <v>215</v>
      </c>
      <c r="B22" t="s">
        <v>219</v>
      </c>
      <c r="C22" t="s">
        <v>102</v>
      </c>
      <c r="D22">
        <f>'2012_2015'!B22</f>
        <v>-3.1699999999999999E-2</v>
      </c>
      <c r="E22">
        <f>'2012_2015'!C22</f>
        <v>5.45E-2</v>
      </c>
      <c r="F22">
        <f>'2012_2015'!D22</f>
        <v>1.09E-2</v>
      </c>
      <c r="G22">
        <f>'2012_2015'!E22</f>
        <v>-6.2700000000000006E-2</v>
      </c>
      <c r="H22">
        <f>'2012_2015'!F22</f>
        <v>-5.9299999999999999E-2</v>
      </c>
      <c r="I22">
        <f>'2012_2015'!G22</f>
        <v>-6.83E-2</v>
      </c>
      <c r="J22">
        <f>'2012_2015'!H22</f>
        <v>-8.9800000000000005E-2</v>
      </c>
      <c r="K22">
        <f>'2012_2015'!I22</f>
        <v>-5.9400000000000001E-2</v>
      </c>
      <c r="L22">
        <f>'2012_2015'!J22</f>
        <v>-6.2899999999999998E-2</v>
      </c>
      <c r="M22">
        <f>'2012_2015'!K22</f>
        <v>-4.4900000000000002E-2</v>
      </c>
      <c r="N22">
        <f>'2012_2015'!L22</f>
        <v>-4.6199999999999998E-2</v>
      </c>
      <c r="O22">
        <f>'2012_2015'!M22</f>
        <v>-3.8199999999999998E-2</v>
      </c>
      <c r="P22">
        <f>'2012_2015'!N22</f>
        <v>-3.2800000000000003E-2</v>
      </c>
      <c r="Q22">
        <f>'2012_2015'!O22</f>
        <v>-2.5600000000000001E-2</v>
      </c>
      <c r="R22">
        <f>'2012_2015'!P22</f>
        <v>-1.9699999999999999E-2</v>
      </c>
      <c r="S22">
        <f>'2012_2015'!Q22</f>
        <v>-1.8599999999999998E-2</v>
      </c>
      <c r="T22">
        <f>'2012_2015'!R22</f>
        <v>-1.61E-2</v>
      </c>
      <c r="U22">
        <f>'2012_2015'!S22</f>
        <v>-1.67E-2</v>
      </c>
      <c r="V22">
        <f>'2012_2015'!T22</f>
        <v>-1.7500000000000002E-2</v>
      </c>
      <c r="W22">
        <f>'2012_2015'!U22</f>
        <v>-1.9E-2</v>
      </c>
      <c r="X22">
        <f>'2012_2015'!V22</f>
        <v>-1.43E-2</v>
      </c>
      <c r="Y22">
        <f>'2012_2015'!W22</f>
        <v>-1.5599999999999999E-2</v>
      </c>
      <c r="Z22">
        <f>'2012_2015'!X22</f>
        <v>-1.0999999999999999E-2</v>
      </c>
      <c r="AA22">
        <f>'2012_2015'!Y22</f>
        <v>-1.14E-2</v>
      </c>
      <c r="AB22">
        <f>'2012_2015'!Z22</f>
        <v>-1.1599999999999999E-2</v>
      </c>
      <c r="AC22">
        <f>'2012_2015'!AA22</f>
        <v>-1.14E-2</v>
      </c>
      <c r="AD22">
        <f>'2012_2015'!AB22</f>
        <v>-1.0800000000000001E-2</v>
      </c>
      <c r="AE22">
        <f>'2012_2015'!AC22</f>
        <v>-9.4999999999999998E-3</v>
      </c>
      <c r="AF22">
        <f>'2012_2015'!AD22</f>
        <v>-1.0699999999999999E-2</v>
      </c>
      <c r="AG22">
        <f>'2012_2015'!AE22</f>
        <v>-1.0999999999999999E-2</v>
      </c>
      <c r="AH22">
        <f>'2012_2015'!AF22</f>
        <v>-1.34E-2</v>
      </c>
      <c r="AI22">
        <f>'2012_2015'!AG22</f>
        <v>-1.4200000000000001E-2</v>
      </c>
      <c r="AJ22">
        <f>'2012_2015'!AH22</f>
        <v>-9.9100000000000004E-3</v>
      </c>
      <c r="AK22">
        <f>'2012_2015'!AI22</f>
        <v>4.1700000000000001E-3</v>
      </c>
      <c r="AL22">
        <f>'2012_2015'!AJ22</f>
        <v>1.3500000000000001E-3</v>
      </c>
      <c r="AM22">
        <f>'2012_2015'!AK22</f>
        <v>3.8200000000000002E-4</v>
      </c>
      <c r="AN22">
        <f>'2012_2015'!AL22</f>
        <v>-9.5600000000000004E-4</v>
      </c>
      <c r="AO22">
        <f>'2012_2015'!AM22</f>
        <v>-1.1800000000000001E-3</v>
      </c>
      <c r="AP22">
        <f>'2012_2015'!AN22</f>
        <v>6.45E-3</v>
      </c>
      <c r="AQ22">
        <f>'2012_2015'!AO22</f>
        <v>6.45E-3</v>
      </c>
      <c r="AR22">
        <f>'2012_2015'!AP22</f>
        <v>7.3299999999999997E-3</v>
      </c>
      <c r="AS22">
        <f>'2012_2015'!AQ22</f>
        <v>9.7999999999999997E-4</v>
      </c>
      <c r="AT22">
        <f>'2012_2015'!AR22</f>
        <v>1.47E-3</v>
      </c>
      <c r="AU22">
        <f>'2012_2015'!AS22</f>
        <v>2.6199999999999999E-3</v>
      </c>
      <c r="AV22">
        <f>'2012_2015'!AT22</f>
        <v>1.67E-3</v>
      </c>
      <c r="AW22">
        <f>'2012_2015'!AU22</f>
        <v>1.1999999999999999E-3</v>
      </c>
      <c r="AX22">
        <f>'2012_2015'!AV22</f>
        <v>-1.3799999999999999E-3</v>
      </c>
      <c r="AY22">
        <f>'2012_2015'!AW22</f>
        <v>-1.07E-3</v>
      </c>
      <c r="AZ22">
        <f>'2012_2015'!AX22</f>
        <v>-5.5100000000000001E-3</v>
      </c>
      <c r="BA22">
        <f>'2012_2015'!AY22</f>
        <v>-1.21E-2</v>
      </c>
      <c r="BB22">
        <f>'2012_2015'!AZ22</f>
        <v>-1.29E-2</v>
      </c>
      <c r="BC22">
        <f>'2012_2015'!BA22</f>
        <v>-1.38E-2</v>
      </c>
      <c r="BD22">
        <f>'2012_2015'!BB22</f>
        <v>-1.6299999999999999E-2</v>
      </c>
      <c r="BE22">
        <f>'2012_2015'!BC22</f>
        <v>-1.34E-2</v>
      </c>
      <c r="BF22">
        <f>'2012_2015'!BD22</f>
        <v>-1.61E-2</v>
      </c>
      <c r="BG22">
        <f>'2012_2015'!BE22</f>
        <v>-1.7000000000000001E-2</v>
      </c>
      <c r="BH22">
        <f>'2012_2015'!BF22</f>
        <v>-1.9400000000000001E-2</v>
      </c>
      <c r="BI22">
        <f>'2012_2015'!BG22</f>
        <v>6.0200000000000002E-3</v>
      </c>
      <c r="BJ22">
        <f>'2012_2015'!BH22</f>
        <v>1.0999999999999999E-2</v>
      </c>
      <c r="BK22">
        <f>'2012_2015'!BI22</f>
        <v>1.23E-2</v>
      </c>
      <c r="BL22">
        <f>'2012_2015'!BJ22</f>
        <v>1.06E-2</v>
      </c>
      <c r="BM22">
        <f>'2012_2015'!BK22</f>
        <v>2.06E-2</v>
      </c>
      <c r="BN22">
        <f>'2012_2015'!BL22</f>
        <v>2.1100000000000001E-2</v>
      </c>
      <c r="BO22">
        <f>'2012_2015'!BM22</f>
        <v>1.6799999999999999E-2</v>
      </c>
      <c r="BP22">
        <f>'2012_2015'!BN22</f>
        <v>1.37E-2</v>
      </c>
      <c r="BQ22">
        <f>'2012_2015'!BO22</f>
        <v>1.4200000000000001E-2</v>
      </c>
      <c r="BR22">
        <f>'2012_2015'!BP22</f>
        <v>1.34E-2</v>
      </c>
      <c r="BS22">
        <f>'2012_2015'!BQ22</f>
        <v>1.11E-2</v>
      </c>
      <c r="BT22">
        <f>'2012_2015'!BR22</f>
        <v>1.72E-2</v>
      </c>
      <c r="BU22">
        <f>'2012_2015'!BS22</f>
        <v>1.6299999999999999E-2</v>
      </c>
      <c r="BV22">
        <f>'2012_2015'!BT22</f>
        <v>1.6299999999999999E-2</v>
      </c>
      <c r="BW22">
        <f>'2012_2015'!BU22</f>
        <v>1.8700000000000001E-2</v>
      </c>
      <c r="BX22">
        <f>'2012_2015'!BV22</f>
        <v>1.47E-2</v>
      </c>
      <c r="BY22">
        <f>'2012_2015'!BW22</f>
        <v>1.2699999999999999E-2</v>
      </c>
      <c r="BZ22">
        <f>'2012_2015'!BX22</f>
        <v>9.1000000000000004E-3</v>
      </c>
      <c r="CA22">
        <f>'2012_2015'!BY22</f>
        <v>7.4700000000000001E-3</v>
      </c>
      <c r="CB22">
        <f>'2012_2015'!BZ22</f>
        <v>6.28E-3</v>
      </c>
      <c r="CC22">
        <f>'2012_2015'!CA22</f>
        <v>8.6800000000000002E-3</v>
      </c>
      <c r="CD22">
        <f>'2012_2015'!CB22</f>
        <v>1.5699999999999999E-2</v>
      </c>
      <c r="CE22">
        <f>'2012_2015'!CC22</f>
        <v>1.5699999999999999E-2</v>
      </c>
      <c r="CF22">
        <f>'2012_2015'!CD22</f>
        <v>1.3299999999999999E-2</v>
      </c>
      <c r="CG22">
        <f>'2012_2015'!CE22</f>
        <v>1.15E-2</v>
      </c>
      <c r="CH22">
        <f>'2012_2015'!CF22</f>
        <v>7.3000000000000001E-3</v>
      </c>
      <c r="CI22">
        <f>'2012_2015'!CG22</f>
        <v>6.4400000000000004E-3</v>
      </c>
      <c r="CJ22">
        <f>'2012_2015'!CH22</f>
        <v>3.0499999999999999E-2</v>
      </c>
      <c r="CK22">
        <f>'2012_2015'!CI22</f>
        <v>3.0599999999999999E-2</v>
      </c>
      <c r="CL22">
        <f>'2012_2015'!CJ22</f>
        <v>2.07E-2</v>
      </c>
      <c r="CM22">
        <f>'2012_2015'!CK22</f>
        <v>9.4800000000000006E-3</v>
      </c>
      <c r="CN22">
        <f>'2012_2015'!CL22</f>
        <v>5.8700000000000002E-3</v>
      </c>
      <c r="CO22">
        <f>'2012_2015'!CM22</f>
        <v>-7.6800000000000002E-3</v>
      </c>
      <c r="CP22">
        <f>'2012_2015'!CN22</f>
        <v>-6.5799999999999999E-3</v>
      </c>
      <c r="CQ22">
        <f>'2012_2015'!CO22</f>
        <v>-6.7499999999999999E-3</v>
      </c>
      <c r="CR22">
        <f>'2012_2015'!CP22</f>
        <v>-2.8500000000000001E-2</v>
      </c>
      <c r="CS22">
        <f>'2012_2015'!CQ22</f>
        <v>-2.53E-2</v>
      </c>
      <c r="CT22">
        <f>'2012_2015'!CR22</f>
        <v>6.7799999999999999E-2</v>
      </c>
      <c r="CU22">
        <f>'2012_2015'!CS22</f>
        <v>7.5399999999999995E-2</v>
      </c>
      <c r="CV22">
        <f>'2012_2015'!CT22</f>
        <v>7.1599999999999997E-2</v>
      </c>
      <c r="CW22">
        <f>'2012_2015'!CU22</f>
        <v>7.2499999999999995E-2</v>
      </c>
      <c r="CX22">
        <f>'2012_2015'!CV22</f>
        <v>6.9400000000000003E-2</v>
      </c>
    </row>
    <row r="23" spans="1:102" x14ac:dyDescent="0.2">
      <c r="A23" t="s">
        <v>216</v>
      </c>
      <c r="B23" t="s">
        <v>219</v>
      </c>
      <c r="C23" t="s">
        <v>102</v>
      </c>
      <c r="D23">
        <f>'2012_2015'!B23</f>
        <v>-0.24199999999999999</v>
      </c>
      <c r="E23">
        <f>'2012_2015'!C23</f>
        <v>-0.22900000000000001</v>
      </c>
      <c r="F23">
        <f>'2012_2015'!D23</f>
        <v>0.26900000000000002</v>
      </c>
      <c r="G23">
        <f>'2012_2015'!E23</f>
        <v>0.33200000000000002</v>
      </c>
      <c r="H23">
        <f>'2012_2015'!F23</f>
        <v>0.53300000000000003</v>
      </c>
      <c r="I23">
        <f>'2012_2015'!G23</f>
        <v>0.375</v>
      </c>
      <c r="J23">
        <f>'2012_2015'!H23</f>
        <v>0.59799999999999998</v>
      </c>
      <c r="K23">
        <f>'2012_2015'!I23</f>
        <v>0.49399999999999999</v>
      </c>
      <c r="L23">
        <f>'2012_2015'!J23</f>
        <v>0.50800000000000001</v>
      </c>
      <c r="M23">
        <f>'2012_2015'!K23</f>
        <v>0.43</v>
      </c>
      <c r="N23">
        <f>'2012_2015'!L23</f>
        <v>0.56699999999999995</v>
      </c>
      <c r="O23">
        <f>'2012_2015'!M23</f>
        <v>0.71799999999999997</v>
      </c>
      <c r="P23">
        <f>'2012_2015'!N23</f>
        <v>0.67900000000000005</v>
      </c>
      <c r="Q23">
        <f>'2012_2015'!O23</f>
        <v>0.56599999999999995</v>
      </c>
      <c r="R23">
        <f>'2012_2015'!P23</f>
        <v>0.36</v>
      </c>
      <c r="S23">
        <f>'2012_2015'!Q23</f>
        <v>0.29299999999999998</v>
      </c>
      <c r="T23">
        <f>'2012_2015'!R23</f>
        <v>0.31</v>
      </c>
      <c r="U23">
        <f>'2012_2015'!S23</f>
        <v>0.30399999999999999</v>
      </c>
      <c r="V23">
        <f>'2012_2015'!T23</f>
        <v>0.252</v>
      </c>
      <c r="W23">
        <f>'2012_2015'!U23</f>
        <v>0.23100000000000001</v>
      </c>
      <c r="X23">
        <f>'2012_2015'!V23</f>
        <v>0.22900000000000001</v>
      </c>
      <c r="Y23">
        <f>'2012_2015'!W23</f>
        <v>0.25800000000000001</v>
      </c>
      <c r="Z23">
        <f>'2012_2015'!X23</f>
        <v>0.27500000000000002</v>
      </c>
      <c r="AA23">
        <f>'2012_2015'!Y23</f>
        <v>0.27300000000000002</v>
      </c>
      <c r="AB23">
        <f>'2012_2015'!Z23</f>
        <v>0.24199999999999999</v>
      </c>
      <c r="AC23">
        <f>'2012_2015'!AA23</f>
        <v>0.20200000000000001</v>
      </c>
      <c r="AD23">
        <f>'2012_2015'!AB23</f>
        <v>0.16900000000000001</v>
      </c>
      <c r="AE23">
        <f>'2012_2015'!AC23</f>
        <v>0.153</v>
      </c>
      <c r="AF23">
        <f>'2012_2015'!AD23</f>
        <v>0.13400000000000001</v>
      </c>
      <c r="AG23">
        <f>'2012_2015'!AE23</f>
        <v>0.11700000000000001</v>
      </c>
      <c r="AH23">
        <f>'2012_2015'!AF23</f>
        <v>0.121</v>
      </c>
      <c r="AI23">
        <f>'2012_2015'!AG23</f>
        <v>0.112</v>
      </c>
      <c r="AJ23">
        <f>'2012_2015'!AH23</f>
        <v>8.7599999999999997E-2</v>
      </c>
      <c r="AK23">
        <f>'2012_2015'!AI23</f>
        <v>6.0499999999999998E-2</v>
      </c>
      <c r="AL23">
        <f>'2012_2015'!AJ23</f>
        <v>5.0900000000000001E-2</v>
      </c>
      <c r="AM23">
        <f>'2012_2015'!AK23</f>
        <v>4.8599999999999997E-2</v>
      </c>
      <c r="AN23">
        <f>'2012_2015'!AL23</f>
        <v>6.0699999999999997E-2</v>
      </c>
      <c r="AO23">
        <f>'2012_2015'!AM23</f>
        <v>7.4399999999999994E-2</v>
      </c>
      <c r="AP23">
        <f>'2012_2015'!AN23</f>
        <v>0.124</v>
      </c>
      <c r="AQ23">
        <f>'2012_2015'!AO23</f>
        <v>0.17699999999999999</v>
      </c>
      <c r="AR23">
        <f>'2012_2015'!AP23</f>
        <v>0.17799999999999999</v>
      </c>
      <c r="AS23">
        <f>'2012_2015'!AQ23</f>
        <v>0.186</v>
      </c>
      <c r="AT23">
        <f>'2012_2015'!AR23</f>
        <v>0.16700000000000001</v>
      </c>
      <c r="AU23">
        <f>'2012_2015'!AS23</f>
        <v>0.159</v>
      </c>
      <c r="AV23">
        <f>'2012_2015'!AT23</f>
        <v>0.108</v>
      </c>
      <c r="AW23">
        <f>'2012_2015'!AU23</f>
        <v>6.5699999999999995E-2</v>
      </c>
      <c r="AX23">
        <f>'2012_2015'!AV23</f>
        <v>3.7400000000000003E-2</v>
      </c>
      <c r="AY23">
        <f>'2012_2015'!AW23</f>
        <v>4.7199999999999999E-2</v>
      </c>
      <c r="AZ23">
        <f>'2012_2015'!AX23</f>
        <v>4.4900000000000002E-2</v>
      </c>
      <c r="BA23">
        <f>'2012_2015'!AY23</f>
        <v>5.1900000000000002E-2</v>
      </c>
      <c r="BB23">
        <f>'2012_2015'!AZ23</f>
        <v>0.10100000000000001</v>
      </c>
      <c r="BC23">
        <f>'2012_2015'!BA23</f>
        <v>0.16600000000000001</v>
      </c>
      <c r="BD23">
        <f>'2012_2015'!BB23</f>
        <v>0.19800000000000001</v>
      </c>
      <c r="BE23">
        <f>'2012_2015'!BC23</f>
        <v>0.21099999999999999</v>
      </c>
      <c r="BF23">
        <f>'2012_2015'!BD23</f>
        <v>0.20599999999999999</v>
      </c>
      <c r="BG23">
        <f>'2012_2015'!BE23</f>
        <v>0.218</v>
      </c>
      <c r="BH23">
        <f>'2012_2015'!BF23</f>
        <v>0.188</v>
      </c>
      <c r="BI23">
        <f>'2012_2015'!BG23</f>
        <v>0.11899999999999999</v>
      </c>
      <c r="BJ23">
        <f>'2012_2015'!BH23</f>
        <v>9.2600000000000002E-2</v>
      </c>
      <c r="BK23">
        <f>'2012_2015'!BI23</f>
        <v>7.8799999999999995E-2</v>
      </c>
      <c r="BL23">
        <f>'2012_2015'!BJ23</f>
        <v>7.7600000000000002E-2</v>
      </c>
      <c r="BM23">
        <f>'2012_2015'!BK23</f>
        <v>7.9500000000000001E-2</v>
      </c>
      <c r="BN23">
        <f>'2012_2015'!BL23</f>
        <v>0.105</v>
      </c>
      <c r="BO23">
        <f>'2012_2015'!BM23</f>
        <v>0.16400000000000001</v>
      </c>
      <c r="BP23">
        <f>'2012_2015'!BN23</f>
        <v>0.19700000000000001</v>
      </c>
      <c r="BQ23">
        <f>'2012_2015'!BO23</f>
        <v>0.182</v>
      </c>
      <c r="BR23">
        <f>'2012_2015'!BP23</f>
        <v>0.14699999999999999</v>
      </c>
      <c r="BS23">
        <f>'2012_2015'!BQ23</f>
        <v>0.129</v>
      </c>
      <c r="BT23">
        <f>'2012_2015'!BR23</f>
        <v>9.7299999999999998E-2</v>
      </c>
      <c r="BU23">
        <f>'2012_2015'!BS23</f>
        <v>4.9299999999999997E-2</v>
      </c>
      <c r="BV23">
        <f>'2012_2015'!BT23</f>
        <v>4.99E-2</v>
      </c>
      <c r="BW23">
        <f>'2012_2015'!BU23</f>
        <v>4.0300000000000002E-2</v>
      </c>
      <c r="BX23">
        <f>'2012_2015'!BV23</f>
        <v>7.3899999999999993E-2</v>
      </c>
      <c r="BY23">
        <f>'2012_2015'!BW23</f>
        <v>0.11</v>
      </c>
      <c r="BZ23">
        <f>'2012_2015'!BX23</f>
        <v>0.21299999999999999</v>
      </c>
      <c r="CA23">
        <f>'2012_2015'!BY23</f>
        <v>0.247</v>
      </c>
      <c r="CB23">
        <f>'2012_2015'!BZ23</f>
        <v>0.222</v>
      </c>
      <c r="CC23">
        <f>'2012_2015'!CA23</f>
        <v>0.23699999999999999</v>
      </c>
      <c r="CD23">
        <f>'2012_2015'!CB23</f>
        <v>0.21299999999999999</v>
      </c>
      <c r="CE23">
        <f>'2012_2015'!CC23</f>
        <v>3.9800000000000002E-2</v>
      </c>
      <c r="CF23">
        <f>'2012_2015'!CD23</f>
        <v>-5.5300000000000002E-3</v>
      </c>
      <c r="CG23">
        <f>'2012_2015'!CE23</f>
        <v>8.1200000000000005E-3</v>
      </c>
      <c r="CH23">
        <f>'2012_2015'!CF23</f>
        <v>-5.3100000000000001E-2</v>
      </c>
      <c r="CI23">
        <f>'2012_2015'!CG23</f>
        <v>-1.4200000000000001E-2</v>
      </c>
      <c r="CJ23">
        <f>'2012_2015'!CH23</f>
        <v>-1.4500000000000001E-2</v>
      </c>
      <c r="CK23">
        <f>'2012_2015'!CI23</f>
        <v>0.29499999999999998</v>
      </c>
      <c r="CL23">
        <f>'2012_2015'!CJ23</f>
        <v>0.24199999999999999</v>
      </c>
      <c r="CM23">
        <f>'2012_2015'!CK23</f>
        <v>0.14000000000000001</v>
      </c>
      <c r="CN23">
        <f>'2012_2015'!CL23</f>
        <v>2.2200000000000001E-2</v>
      </c>
      <c r="CO23">
        <f>'2012_2015'!CM23</f>
        <v>-3.3100000000000002E-4</v>
      </c>
      <c r="CP23">
        <f>'2012_2015'!CN23</f>
        <v>0.18099999999999999</v>
      </c>
      <c r="CQ23">
        <f>'2012_2015'!CO23</f>
        <v>0.30299999999999999</v>
      </c>
      <c r="CR23">
        <f>'2012_2015'!CP23</f>
        <v>0.2</v>
      </c>
      <c r="CS23">
        <f>'2012_2015'!CQ23</f>
        <v>0.21299999999999999</v>
      </c>
      <c r="CT23">
        <f>'2012_2015'!CR23</f>
        <v>5.5599999999999997E-2</v>
      </c>
      <c r="CU23">
        <f>'2012_2015'!CS23</f>
        <v>-0.16</v>
      </c>
      <c r="CV23">
        <f>'2012_2015'!CT23</f>
        <v>8.9599999999999999E-2</v>
      </c>
      <c r="CW23">
        <f>'2012_2015'!CU23</f>
        <v>-4.41E-2</v>
      </c>
      <c r="CX23">
        <f>'2012_2015'!CV23</f>
        <v>-0.11</v>
      </c>
    </row>
    <row r="24" spans="1:102" x14ac:dyDescent="0.2">
      <c r="A24" t="s">
        <v>208</v>
      </c>
      <c r="B24" t="s">
        <v>220</v>
      </c>
      <c r="C24" t="s">
        <v>102</v>
      </c>
      <c r="D24">
        <f>D7+D15</f>
        <v>0.4602</v>
      </c>
      <c r="E24">
        <f t="shared" ref="E24:BP25" si="0">E7+E15</f>
        <v>0.24009999999999998</v>
      </c>
      <c r="F24">
        <f t="shared" si="0"/>
        <v>-8.6999999999999959E-3</v>
      </c>
      <c r="G24">
        <f t="shared" si="0"/>
        <v>-1.15E-2</v>
      </c>
      <c r="H24">
        <f t="shared" si="0"/>
        <v>-0.14050000000000001</v>
      </c>
      <c r="I24">
        <f t="shared" si="0"/>
        <v>-6.2699999999999992E-2</v>
      </c>
      <c r="J24">
        <f t="shared" si="0"/>
        <v>-0.161</v>
      </c>
      <c r="K24">
        <f t="shared" si="0"/>
        <v>-0.1348</v>
      </c>
      <c r="L24">
        <f t="shared" si="0"/>
        <v>-0.14889999999999998</v>
      </c>
      <c r="M24">
        <f t="shared" si="0"/>
        <v>-0.11150000000000002</v>
      </c>
      <c r="N24">
        <f t="shared" si="0"/>
        <v>-0.1779</v>
      </c>
      <c r="O24">
        <f t="shared" si="0"/>
        <v>-0.25900000000000001</v>
      </c>
      <c r="P24">
        <f t="shared" si="0"/>
        <v>-0.24460000000000001</v>
      </c>
      <c r="Q24">
        <f t="shared" si="0"/>
        <v>-0.19400000000000001</v>
      </c>
      <c r="R24">
        <f t="shared" si="0"/>
        <v>-0.1076</v>
      </c>
      <c r="S24">
        <f t="shared" si="0"/>
        <v>-7.9199999999999993E-2</v>
      </c>
      <c r="T24">
        <f t="shared" si="0"/>
        <v>-7.7399999999999997E-2</v>
      </c>
      <c r="U24">
        <f t="shared" si="0"/>
        <v>-7.7300000000000008E-2</v>
      </c>
      <c r="V24">
        <f t="shared" si="0"/>
        <v>-5.3000000000000005E-2</v>
      </c>
      <c r="W24">
        <f t="shared" si="0"/>
        <v>-4.8099999999999997E-2</v>
      </c>
      <c r="X24">
        <f t="shared" si="0"/>
        <v>-0.05</v>
      </c>
      <c r="Y24">
        <f t="shared" si="0"/>
        <v>-5.9700000000000003E-2</v>
      </c>
      <c r="Z24">
        <f t="shared" si="0"/>
        <v>-6.5199999999999994E-2</v>
      </c>
      <c r="AA24">
        <f t="shared" si="0"/>
        <v>-6.5799999999999997E-2</v>
      </c>
      <c r="AB24">
        <f t="shared" si="0"/>
        <v>-5.2800000000000007E-2</v>
      </c>
      <c r="AC24">
        <f t="shared" si="0"/>
        <v>-3.7999999999999999E-2</v>
      </c>
      <c r="AD24">
        <f t="shared" si="0"/>
        <v>-2.7899999999999998E-2</v>
      </c>
      <c r="AE24">
        <f t="shared" si="0"/>
        <v>-2.4299999999999995E-2</v>
      </c>
      <c r="AF24">
        <f t="shared" si="0"/>
        <v>-1.7800000000000003E-2</v>
      </c>
      <c r="AG24">
        <f t="shared" si="0"/>
        <v>-1.3299999999999999E-2</v>
      </c>
      <c r="AH24">
        <f t="shared" si="0"/>
        <v>-1.1600000000000003E-2</v>
      </c>
      <c r="AI24">
        <f t="shared" si="0"/>
        <v>-3.4999999999999996E-3</v>
      </c>
      <c r="AJ24">
        <f t="shared" si="0"/>
        <v>1.5390000000000001E-2</v>
      </c>
      <c r="AK24">
        <f t="shared" si="0"/>
        <v>2.3949999999999999E-2</v>
      </c>
      <c r="AL24">
        <f t="shared" si="0"/>
        <v>3.3799999999999997E-2</v>
      </c>
      <c r="AM24">
        <f t="shared" si="0"/>
        <v>3.1600000000000003E-2</v>
      </c>
      <c r="AN24">
        <f t="shared" si="0"/>
        <v>2.794E-2</v>
      </c>
      <c r="AO24">
        <f t="shared" si="0"/>
        <v>1.6210000000000002E-2</v>
      </c>
      <c r="AP24">
        <f t="shared" si="0"/>
        <v>-8.3000000000000018E-3</v>
      </c>
      <c r="AQ24">
        <f t="shared" si="0"/>
        <v>-3.3600000000000005E-2</v>
      </c>
      <c r="AR24">
        <f t="shared" si="0"/>
        <v>-4.1799999999999997E-2</v>
      </c>
      <c r="AS24">
        <f t="shared" si="0"/>
        <v>-5.0699999999999995E-2</v>
      </c>
      <c r="AT24">
        <f t="shared" si="0"/>
        <v>-5.0899999999999994E-2</v>
      </c>
      <c r="AU24">
        <f t="shared" si="0"/>
        <v>-5.0100000000000006E-2</v>
      </c>
      <c r="AV24">
        <f t="shared" si="0"/>
        <v>-3.7599999999999995E-2</v>
      </c>
      <c r="AW24">
        <f t="shared" si="0"/>
        <v>-9.0000000000000011E-3</v>
      </c>
      <c r="AX24">
        <f t="shared" si="0"/>
        <v>8.7999999999999988E-3</v>
      </c>
      <c r="AY24">
        <f t="shared" si="0"/>
        <v>1.3100000000000002E-2</v>
      </c>
      <c r="AZ24">
        <f t="shared" si="0"/>
        <v>2.1789999999999997E-2</v>
      </c>
      <c r="BA24">
        <f t="shared" si="0"/>
        <v>2.2009999999999998E-2</v>
      </c>
      <c r="BB24">
        <f t="shared" si="0"/>
        <v>8.4000000000000012E-3</v>
      </c>
      <c r="BC24">
        <f t="shared" si="0"/>
        <v>-3.0300000000000007E-2</v>
      </c>
      <c r="BD24">
        <f t="shared" si="0"/>
        <v>-5.6499999999999995E-2</v>
      </c>
      <c r="BE24">
        <f t="shared" si="0"/>
        <v>-7.4500000000000011E-2</v>
      </c>
      <c r="BF24">
        <f t="shared" si="0"/>
        <v>-7.9500000000000015E-2</v>
      </c>
      <c r="BG24">
        <f t="shared" si="0"/>
        <v>-8.7999999999999995E-2</v>
      </c>
      <c r="BH24">
        <f t="shared" si="0"/>
        <v>-7.6200000000000004E-2</v>
      </c>
      <c r="BI24">
        <f t="shared" si="0"/>
        <v>-4.6399999999999997E-2</v>
      </c>
      <c r="BJ24">
        <f t="shared" si="0"/>
        <v>-2.7600000000000006E-2</v>
      </c>
      <c r="BK24">
        <f t="shared" si="0"/>
        <v>-9.1999999999999998E-3</v>
      </c>
      <c r="BL24">
        <f t="shared" si="0"/>
        <v>-5.4999999999999979E-3</v>
      </c>
      <c r="BM24">
        <f t="shared" si="0"/>
        <v>-1.5899999999999997E-2</v>
      </c>
      <c r="BN24">
        <f t="shared" si="0"/>
        <v>-3.1800000000000002E-2</v>
      </c>
      <c r="BO24">
        <f t="shared" si="0"/>
        <v>-5.7500000000000009E-2</v>
      </c>
      <c r="BP24">
        <f t="shared" si="0"/>
        <v>-7.9100000000000004E-2</v>
      </c>
      <c r="BQ24">
        <f t="shared" ref="BQ24:CX28" si="1">BQ7+BQ15</f>
        <v>-8.1100000000000005E-2</v>
      </c>
      <c r="BR24">
        <f t="shared" si="1"/>
        <v>-7.7199999999999991E-2</v>
      </c>
      <c r="BS24">
        <f t="shared" si="1"/>
        <v>-5.2499999999999998E-2</v>
      </c>
      <c r="BT24">
        <f t="shared" si="1"/>
        <v>-2.9700000000000004E-2</v>
      </c>
      <c r="BU24">
        <f t="shared" si="1"/>
        <v>-2.0000000000000018E-3</v>
      </c>
      <c r="BV24">
        <f t="shared" si="1"/>
        <v>-9.7999999999999962E-3</v>
      </c>
      <c r="BW24">
        <f t="shared" si="1"/>
        <v>1.5000000000000013E-3</v>
      </c>
      <c r="BX24">
        <f t="shared" si="1"/>
        <v>-5.6000000000000008E-3</v>
      </c>
      <c r="BY24">
        <f t="shared" si="1"/>
        <v>-3.4799999999999998E-2</v>
      </c>
      <c r="BZ24">
        <f t="shared" si="1"/>
        <v>-8.7099999999999983E-2</v>
      </c>
      <c r="CA24">
        <f t="shared" si="1"/>
        <v>-0.10750000000000001</v>
      </c>
      <c r="CB24">
        <f t="shared" si="1"/>
        <v>-0.1022</v>
      </c>
      <c r="CC24">
        <f t="shared" si="1"/>
        <v>-0.129</v>
      </c>
      <c r="CD24">
        <f t="shared" si="1"/>
        <v>-0.13930000000000001</v>
      </c>
      <c r="CE24">
        <f t="shared" si="1"/>
        <v>-1.5299999999999994E-2</v>
      </c>
      <c r="CF24">
        <f t="shared" si="1"/>
        <v>1.5600000000000003E-2</v>
      </c>
      <c r="CG24">
        <f t="shared" si="1"/>
        <v>1.7699999999999994E-2</v>
      </c>
      <c r="CH24">
        <f t="shared" si="1"/>
        <v>3.2299999999999995E-2</v>
      </c>
      <c r="CI24">
        <f t="shared" si="1"/>
        <v>4.2099999999999999E-2</v>
      </c>
      <c r="CJ24">
        <f t="shared" si="1"/>
        <v>3.3199999999999993E-2</v>
      </c>
      <c r="CK24">
        <f t="shared" si="1"/>
        <v>-0.15210000000000001</v>
      </c>
      <c r="CL24">
        <f t="shared" si="1"/>
        <v>-0.13550000000000001</v>
      </c>
      <c r="CM24">
        <f t="shared" si="1"/>
        <v>-6.8399999999999989E-2</v>
      </c>
      <c r="CN24">
        <f t="shared" si="1"/>
        <v>1.7600000000000005E-2</v>
      </c>
      <c r="CO24">
        <f t="shared" si="1"/>
        <v>2.7699999999999995E-2</v>
      </c>
      <c r="CP24">
        <f t="shared" si="1"/>
        <v>-5.2900000000000003E-2</v>
      </c>
      <c r="CQ24">
        <f t="shared" si="1"/>
        <v>-0.17549999999999999</v>
      </c>
      <c r="CR24">
        <f t="shared" si="1"/>
        <v>-7.1099999999999997E-2</v>
      </c>
      <c r="CS24">
        <f t="shared" si="1"/>
        <v>-9.9699999999999983E-2</v>
      </c>
      <c r="CT24">
        <f t="shared" si="1"/>
        <v>-6.0899999999999996E-2</v>
      </c>
      <c r="CU24">
        <f t="shared" si="1"/>
        <v>0.10110000000000001</v>
      </c>
      <c r="CV24">
        <f t="shared" si="1"/>
        <v>-2.7200000000000002E-2</v>
      </c>
      <c r="CW24">
        <f t="shared" si="1"/>
        <v>3.2200000000000006E-2</v>
      </c>
      <c r="CX24">
        <f t="shared" si="1"/>
        <v>3.7900000000000003E-2</v>
      </c>
    </row>
    <row r="25" spans="1:102" x14ac:dyDescent="0.2">
      <c r="A25" t="s">
        <v>209</v>
      </c>
      <c r="B25" t="s">
        <v>220</v>
      </c>
      <c r="C25" t="s">
        <v>102</v>
      </c>
      <c r="D25">
        <f t="shared" ref="D25:S31" si="2">D8+D16</f>
        <v>-5.4199999999999995E-3</v>
      </c>
      <c r="E25">
        <f t="shared" si="2"/>
        <v>5.5299999999999995E-2</v>
      </c>
      <c r="F25">
        <f t="shared" si="2"/>
        <v>-0.10747000000000001</v>
      </c>
      <c r="G25">
        <f t="shared" si="2"/>
        <v>-9.017E-2</v>
      </c>
      <c r="H25">
        <f t="shared" si="2"/>
        <v>-0.11928</v>
      </c>
      <c r="I25">
        <f t="shared" si="2"/>
        <v>-9.6279999999999991E-2</v>
      </c>
      <c r="J25">
        <f t="shared" si="2"/>
        <v>-0.12455000000000001</v>
      </c>
      <c r="K25">
        <f t="shared" si="2"/>
        <v>-0.11998</v>
      </c>
      <c r="L25">
        <f t="shared" si="2"/>
        <v>-0.10973999999999999</v>
      </c>
      <c r="M25">
        <f t="shared" si="2"/>
        <v>-9.620999999999999E-2</v>
      </c>
      <c r="N25">
        <f t="shared" si="2"/>
        <v>-0.11633</v>
      </c>
      <c r="O25">
        <f t="shared" si="2"/>
        <v>-0.15263000000000002</v>
      </c>
      <c r="P25">
        <f t="shared" si="2"/>
        <v>-0.14102999999999999</v>
      </c>
      <c r="Q25">
        <f t="shared" si="2"/>
        <v>-0.11042</v>
      </c>
      <c r="R25">
        <f t="shared" si="2"/>
        <v>-5.8780000000000006E-2</v>
      </c>
      <c r="S25">
        <f t="shared" si="2"/>
        <v>-4.0149999999999998E-2</v>
      </c>
      <c r="T25">
        <f t="shared" si="0"/>
        <v>-4.163E-2</v>
      </c>
      <c r="U25">
        <f t="shared" si="0"/>
        <v>-3.465E-2</v>
      </c>
      <c r="V25">
        <f t="shared" si="0"/>
        <v>-2.2599999999999999E-2</v>
      </c>
      <c r="W25">
        <f t="shared" si="0"/>
        <v>-1.2879999999999999E-2</v>
      </c>
      <c r="X25">
        <f t="shared" si="0"/>
        <v>-1.4809999999999999E-2</v>
      </c>
      <c r="Y25">
        <f t="shared" si="0"/>
        <v>-2.5999999999999999E-2</v>
      </c>
      <c r="Z25">
        <f t="shared" si="0"/>
        <v>-3.1539999999999999E-2</v>
      </c>
      <c r="AA25">
        <f t="shared" si="0"/>
        <v>-3.5439999999999999E-2</v>
      </c>
      <c r="AB25">
        <f t="shared" si="0"/>
        <v>-2.5219999999999999E-2</v>
      </c>
      <c r="AC25">
        <f t="shared" si="0"/>
        <v>-1.2700000000000003E-2</v>
      </c>
      <c r="AD25">
        <f t="shared" si="0"/>
        <v>-9.3200000000000019E-3</v>
      </c>
      <c r="AE25">
        <f t="shared" si="0"/>
        <v>-5.2400000000000007E-3</v>
      </c>
      <c r="AF25">
        <f t="shared" si="0"/>
        <v>7.11E-3</v>
      </c>
      <c r="AG25">
        <f t="shared" si="0"/>
        <v>1.5820000000000001E-2</v>
      </c>
      <c r="AH25">
        <f t="shared" si="0"/>
        <v>1.261E-2</v>
      </c>
      <c r="AI25">
        <f t="shared" si="0"/>
        <v>2.1249999999999998E-2</v>
      </c>
      <c r="AJ25">
        <f t="shared" si="0"/>
        <v>4.172E-2</v>
      </c>
      <c r="AK25">
        <f t="shared" si="0"/>
        <v>4.8649999999999999E-2</v>
      </c>
      <c r="AL25">
        <f t="shared" si="0"/>
        <v>5.1389999999999998E-2</v>
      </c>
      <c r="AM25">
        <f t="shared" si="0"/>
        <v>5.6870000000000004E-2</v>
      </c>
      <c r="AN25">
        <f t="shared" si="0"/>
        <v>5.5019999999999999E-2</v>
      </c>
      <c r="AO25">
        <f t="shared" si="0"/>
        <v>4.7850000000000004E-2</v>
      </c>
      <c r="AP25">
        <f t="shared" si="0"/>
        <v>2.563E-2</v>
      </c>
      <c r="AQ25">
        <f t="shared" si="0"/>
        <v>7.26E-3</v>
      </c>
      <c r="AR25">
        <f t="shared" si="0"/>
        <v>3.8599999999999997E-3</v>
      </c>
      <c r="AS25">
        <f t="shared" si="0"/>
        <v>-1.021E-2</v>
      </c>
      <c r="AT25">
        <f t="shared" si="0"/>
        <v>-5.340000000000001E-3</v>
      </c>
      <c r="AU25">
        <f t="shared" si="0"/>
        <v>-7.4600000000000014E-3</v>
      </c>
      <c r="AV25">
        <f t="shared" si="0"/>
        <v>1.1429999999999999E-2</v>
      </c>
      <c r="AW25">
        <f t="shared" si="0"/>
        <v>3.5339999999999996E-2</v>
      </c>
      <c r="AX25">
        <f t="shared" si="0"/>
        <v>6.6790000000000002E-2</v>
      </c>
      <c r="AY25">
        <f t="shared" si="0"/>
        <v>6.583E-2</v>
      </c>
      <c r="AZ25">
        <f t="shared" si="0"/>
        <v>7.3019999999999988E-2</v>
      </c>
      <c r="BA25">
        <f t="shared" si="0"/>
        <v>7.1929999999999994E-2</v>
      </c>
      <c r="BB25">
        <f t="shared" si="0"/>
        <v>5.824E-2</v>
      </c>
      <c r="BC25">
        <f t="shared" si="0"/>
        <v>2.368E-2</v>
      </c>
      <c r="BD25">
        <f t="shared" si="0"/>
        <v>-6.3E-3</v>
      </c>
      <c r="BE25">
        <f t="shared" si="0"/>
        <v>-1.5599999999999999E-2</v>
      </c>
      <c r="BF25">
        <f t="shared" si="0"/>
        <v>-1.7500000000000002E-2</v>
      </c>
      <c r="BG25">
        <f t="shared" si="0"/>
        <v>-2.0499999999999997E-2</v>
      </c>
      <c r="BH25">
        <f t="shared" si="0"/>
        <v>-1.1600000000000001E-2</v>
      </c>
      <c r="BI25">
        <f t="shared" si="0"/>
        <v>1.4789999999999999E-2</v>
      </c>
      <c r="BJ25">
        <f t="shared" si="0"/>
        <v>2.5899999999999999E-2</v>
      </c>
      <c r="BK25">
        <f t="shared" si="0"/>
        <v>2.9100000000000001E-2</v>
      </c>
      <c r="BL25">
        <f t="shared" si="0"/>
        <v>3.4500000000000003E-2</v>
      </c>
      <c r="BM25">
        <f t="shared" si="0"/>
        <v>2.8400000000000002E-2</v>
      </c>
      <c r="BN25">
        <f t="shared" si="0"/>
        <v>2.7100000000000006E-3</v>
      </c>
      <c r="BO25">
        <f t="shared" si="0"/>
        <v>-2.1299999999999999E-2</v>
      </c>
      <c r="BP25">
        <f t="shared" si="0"/>
        <v>-4.4899999999999995E-2</v>
      </c>
      <c r="BQ25">
        <f t="shared" si="1"/>
        <v>-5.0199999999999995E-2</v>
      </c>
      <c r="BR25">
        <f t="shared" si="1"/>
        <v>-4.5199999999999997E-2</v>
      </c>
      <c r="BS25">
        <f t="shared" si="1"/>
        <v>-2.1199999999999997E-2</v>
      </c>
      <c r="BT25">
        <f t="shared" si="1"/>
        <v>-1.3999999999999985E-3</v>
      </c>
      <c r="BU25">
        <f t="shared" si="1"/>
        <v>2.6099999999999998E-2</v>
      </c>
      <c r="BV25">
        <f t="shared" si="1"/>
        <v>1.0580000000000001E-2</v>
      </c>
      <c r="BW25">
        <f t="shared" si="1"/>
        <v>1.677E-2</v>
      </c>
      <c r="BX25">
        <f t="shared" si="1"/>
        <v>1.157E-2</v>
      </c>
      <c r="BY25">
        <f t="shared" si="1"/>
        <v>-1.7599999999999998E-2</v>
      </c>
      <c r="BZ25">
        <f t="shared" si="1"/>
        <v>-7.6399999999999996E-2</v>
      </c>
      <c r="CA25">
        <f t="shared" si="1"/>
        <v>-9.2600000000000002E-2</v>
      </c>
      <c r="CB25">
        <f t="shared" si="1"/>
        <v>-8.7799999999999989E-2</v>
      </c>
      <c r="CC25">
        <f t="shared" si="1"/>
        <v>-0.1132</v>
      </c>
      <c r="CD25">
        <f t="shared" si="1"/>
        <v>-0.11830000000000002</v>
      </c>
      <c r="CE25">
        <f t="shared" si="1"/>
        <v>1.7114999999999998E-2</v>
      </c>
      <c r="CF25">
        <f t="shared" si="1"/>
        <v>3.2500000000000001E-2</v>
      </c>
      <c r="CG25">
        <f t="shared" si="1"/>
        <v>2.8400000000000002E-2</v>
      </c>
      <c r="CH25">
        <f t="shared" si="1"/>
        <v>5.1299999999999998E-2</v>
      </c>
      <c r="CI25">
        <f t="shared" si="1"/>
        <v>4.4299999999999999E-2</v>
      </c>
      <c r="CJ25">
        <f t="shared" si="1"/>
        <v>4.07E-2</v>
      </c>
      <c r="CK25">
        <f t="shared" si="1"/>
        <v>-0.16259999999999999</v>
      </c>
      <c r="CL25">
        <f t="shared" si="1"/>
        <v>-0.1502</v>
      </c>
      <c r="CM25">
        <f t="shared" si="1"/>
        <v>-9.5200000000000007E-2</v>
      </c>
      <c r="CN25">
        <f t="shared" si="1"/>
        <v>-9.1999999999999998E-3</v>
      </c>
      <c r="CO25">
        <f t="shared" si="1"/>
        <v>1.468E-2</v>
      </c>
      <c r="CP25">
        <f t="shared" si="1"/>
        <v>-6.5700000000000008E-2</v>
      </c>
      <c r="CQ25">
        <f t="shared" si="1"/>
        <v>-0.2041</v>
      </c>
      <c r="CR25">
        <f t="shared" si="1"/>
        <v>-0.124</v>
      </c>
      <c r="CS25">
        <f t="shared" si="1"/>
        <v>-0.14119999999999999</v>
      </c>
      <c r="CT25">
        <f t="shared" si="1"/>
        <v>-0.1328</v>
      </c>
      <c r="CU25">
        <f t="shared" si="1"/>
        <v>5.4300000000000001E-2</v>
      </c>
      <c r="CV25">
        <f t="shared" si="1"/>
        <v>-0.12539999999999998</v>
      </c>
      <c r="CW25">
        <f t="shared" si="1"/>
        <v>-7.17E-2</v>
      </c>
      <c r="CX25">
        <f t="shared" si="1"/>
        <v>6.3999999999999994E-3</v>
      </c>
    </row>
    <row r="26" spans="1:102" x14ac:dyDescent="0.2">
      <c r="A26" t="s">
        <v>210</v>
      </c>
      <c r="B26" t="s">
        <v>220</v>
      </c>
      <c r="C26" t="s">
        <v>102</v>
      </c>
      <c r="D26">
        <f t="shared" si="2"/>
        <v>-1.2160000000000001E-2</v>
      </c>
      <c r="E26">
        <f t="shared" ref="E26:BP29" si="3">E9+E17</f>
        <v>-2.2360000000000001E-2</v>
      </c>
      <c r="F26">
        <f t="shared" si="3"/>
        <v>5.96E-3</v>
      </c>
      <c r="G26">
        <f t="shared" si="3"/>
        <v>-1.1599999999999998E-3</v>
      </c>
      <c r="H26">
        <f t="shared" si="3"/>
        <v>1.9740000000000001E-2</v>
      </c>
      <c r="I26">
        <f t="shared" si="3"/>
        <v>8.8099999999999984E-3</v>
      </c>
      <c r="J26">
        <f t="shared" si="3"/>
        <v>1.3779999999999999E-2</v>
      </c>
      <c r="K26">
        <f t="shared" si="3"/>
        <v>1.14E-2</v>
      </c>
      <c r="L26">
        <f t="shared" si="3"/>
        <v>8.0700000000000008E-3</v>
      </c>
      <c r="M26">
        <f t="shared" si="3"/>
        <v>4.0699999999999998E-3</v>
      </c>
      <c r="N26">
        <f t="shared" si="3"/>
        <v>1.1169999999999999E-2</v>
      </c>
      <c r="O26">
        <f t="shared" si="3"/>
        <v>1.77E-2</v>
      </c>
      <c r="P26">
        <f t="shared" si="3"/>
        <v>1.5214999999999999E-2</v>
      </c>
      <c r="Q26">
        <f t="shared" si="3"/>
        <v>8.3409999999999995E-3</v>
      </c>
      <c r="R26">
        <f t="shared" si="3"/>
        <v>9.8400000000000007E-4</v>
      </c>
      <c r="S26">
        <f t="shared" si="3"/>
        <v>-2.317E-3</v>
      </c>
      <c r="T26">
        <f t="shared" si="3"/>
        <v>-2.1740000000000002E-3</v>
      </c>
      <c r="U26">
        <f t="shared" si="3"/>
        <v>-3.0219999999999999E-3</v>
      </c>
      <c r="V26">
        <f t="shared" si="3"/>
        <v>-5.2459999999999998E-3</v>
      </c>
      <c r="W26">
        <f t="shared" si="3"/>
        <v>-4.8779999999999995E-3</v>
      </c>
      <c r="X26">
        <f t="shared" si="3"/>
        <v>-1.9849999999999998E-3</v>
      </c>
      <c r="Y26">
        <f t="shared" si="3"/>
        <v>-5.8079999999999991E-4</v>
      </c>
      <c r="Z26">
        <f t="shared" si="3"/>
        <v>5.0500000000000002E-4</v>
      </c>
      <c r="AA26">
        <f t="shared" si="3"/>
        <v>9.7500000000000006E-4</v>
      </c>
      <c r="AB26">
        <f t="shared" si="3"/>
        <v>-2.0460000000000001E-3</v>
      </c>
      <c r="AC26">
        <f t="shared" si="3"/>
        <v>-3.5560000000000001E-3</v>
      </c>
      <c r="AD26">
        <f t="shared" si="3"/>
        <v>-4.2209999999999999E-3</v>
      </c>
      <c r="AE26">
        <f t="shared" si="3"/>
        <v>-4.7070000000000002E-3</v>
      </c>
      <c r="AF26">
        <f t="shared" si="3"/>
        <v>-6.9960000000000005E-3</v>
      </c>
      <c r="AG26">
        <f t="shared" si="3"/>
        <v>-7.2700000000000004E-3</v>
      </c>
      <c r="AH26">
        <f t="shared" si="3"/>
        <v>-6.3310000000000007E-3</v>
      </c>
      <c r="AI26">
        <f t="shared" si="3"/>
        <v>-8.5140000000000007E-3</v>
      </c>
      <c r="AJ26">
        <f t="shared" si="3"/>
        <v>-1.3991E-2</v>
      </c>
      <c r="AK26">
        <f t="shared" si="3"/>
        <v>-1.545E-2</v>
      </c>
      <c r="AL26">
        <f t="shared" si="3"/>
        <v>-1.7409999999999998E-2</v>
      </c>
      <c r="AM26">
        <f t="shared" si="3"/>
        <v>-1.7260000000000001E-2</v>
      </c>
      <c r="AN26">
        <f t="shared" si="3"/>
        <v>-1.8099999999999998E-2</v>
      </c>
      <c r="AO26">
        <f t="shared" si="3"/>
        <v>-1.7180000000000001E-2</v>
      </c>
      <c r="AP26">
        <f t="shared" si="3"/>
        <v>-1.2140000000000001E-2</v>
      </c>
      <c r="AQ26">
        <f t="shared" si="3"/>
        <v>-5.2500000000000003E-3</v>
      </c>
      <c r="AR26">
        <f t="shared" si="3"/>
        <v>-2.3340000000000001E-3</v>
      </c>
      <c r="AS26">
        <f t="shared" si="3"/>
        <v>-3.1000000000000016E-4</v>
      </c>
      <c r="AT26">
        <f t="shared" si="3"/>
        <v>5.0000000000000131E-5</v>
      </c>
      <c r="AU26">
        <f t="shared" si="3"/>
        <v>6.0000000000000006E-4</v>
      </c>
      <c r="AV26">
        <f t="shared" si="3"/>
        <v>-4.5100000000000001E-3</v>
      </c>
      <c r="AW26">
        <f t="shared" si="3"/>
        <v>-1.1379999999999999E-2</v>
      </c>
      <c r="AX26">
        <f t="shared" si="3"/>
        <v>-1.8149999999999999E-2</v>
      </c>
      <c r="AY26">
        <f t="shared" si="3"/>
        <v>-1.9E-2</v>
      </c>
      <c r="AZ26">
        <f t="shared" si="3"/>
        <v>-2.0119999999999999E-2</v>
      </c>
      <c r="BA26">
        <f t="shared" si="3"/>
        <v>-1.949E-2</v>
      </c>
      <c r="BB26">
        <f t="shared" si="3"/>
        <v>-1.7919999999999998E-2</v>
      </c>
      <c r="BC26">
        <f t="shared" si="3"/>
        <v>-8.8500000000000002E-3</v>
      </c>
      <c r="BD26">
        <f t="shared" si="3"/>
        <v>-2.5240000000000002E-3</v>
      </c>
      <c r="BE26">
        <f t="shared" si="3"/>
        <v>1.0000000000000026E-4</v>
      </c>
      <c r="BF26">
        <f t="shared" si="3"/>
        <v>2.0000000000000009E-4</v>
      </c>
      <c r="BG26">
        <f t="shared" si="3"/>
        <v>1.82E-3</v>
      </c>
      <c r="BH26">
        <f t="shared" si="3"/>
        <v>1.9400000000000003E-3</v>
      </c>
      <c r="BI26">
        <f t="shared" si="3"/>
        <v>-3.48E-3</v>
      </c>
      <c r="BJ26">
        <f t="shared" si="3"/>
        <v>-5.5399999999999998E-3</v>
      </c>
      <c r="BK26">
        <f t="shared" si="3"/>
        <v>-8.94E-3</v>
      </c>
      <c r="BL26">
        <f t="shared" si="3"/>
        <v>-8.9300000000000004E-3</v>
      </c>
      <c r="BM26">
        <f t="shared" si="3"/>
        <v>-6.7100000000000007E-3</v>
      </c>
      <c r="BN26">
        <f t="shared" si="3"/>
        <v>6.7999999999999962E-4</v>
      </c>
      <c r="BO26">
        <f t="shared" si="3"/>
        <v>3.7699999999999999E-3</v>
      </c>
      <c r="BP26">
        <f t="shared" si="3"/>
        <v>7.8900000000000012E-3</v>
      </c>
      <c r="BQ26">
        <f t="shared" si="1"/>
        <v>8.1899999999999994E-3</v>
      </c>
      <c r="BR26">
        <f t="shared" si="1"/>
        <v>8.2199999999999999E-3</v>
      </c>
      <c r="BS26">
        <f t="shared" si="1"/>
        <v>1.7800000000000003E-3</v>
      </c>
      <c r="BT26">
        <f t="shared" si="1"/>
        <v>-4.47E-3</v>
      </c>
      <c r="BU26">
        <f t="shared" si="1"/>
        <v>-1.0059999999999999E-2</v>
      </c>
      <c r="BV26">
        <f t="shared" si="1"/>
        <v>-5.3299999999999997E-3</v>
      </c>
      <c r="BW26">
        <f t="shared" si="1"/>
        <v>-8.0700000000000008E-3</v>
      </c>
      <c r="BX26">
        <f t="shared" si="1"/>
        <v>-7.8300000000000002E-3</v>
      </c>
      <c r="BY26">
        <f t="shared" si="1"/>
        <v>6.7999999999999962E-4</v>
      </c>
      <c r="BZ26">
        <f t="shared" si="1"/>
        <v>1.435E-2</v>
      </c>
      <c r="CA26">
        <f t="shared" si="1"/>
        <v>1.668E-2</v>
      </c>
      <c r="CB26">
        <f t="shared" si="1"/>
        <v>1.2070000000000001E-2</v>
      </c>
      <c r="CC26">
        <f t="shared" si="1"/>
        <v>1.9740000000000001E-2</v>
      </c>
      <c r="CD26">
        <f t="shared" si="1"/>
        <v>2.2210000000000001E-2</v>
      </c>
      <c r="CE26">
        <f t="shared" si="1"/>
        <v>-9.6100000000000005E-3</v>
      </c>
      <c r="CF26">
        <f t="shared" si="1"/>
        <v>-1.244E-2</v>
      </c>
      <c r="CG26">
        <f t="shared" si="1"/>
        <v>-1.2359999999999999E-2</v>
      </c>
      <c r="CH26">
        <f t="shared" si="1"/>
        <v>-1.2109999999999999E-2</v>
      </c>
      <c r="CI26">
        <f t="shared" si="1"/>
        <v>-1.7649999999999999E-2</v>
      </c>
      <c r="CJ26">
        <f t="shared" si="1"/>
        <v>-1.6890000000000002E-2</v>
      </c>
      <c r="CK26">
        <f t="shared" si="1"/>
        <v>2.4E-2</v>
      </c>
      <c r="CL26">
        <f t="shared" si="1"/>
        <v>2.4680000000000001E-2</v>
      </c>
      <c r="CM26">
        <f t="shared" si="1"/>
        <v>1.6840000000000001E-2</v>
      </c>
      <c r="CN26">
        <f t="shared" si="1"/>
        <v>-4.3400000000000001E-3</v>
      </c>
      <c r="CO26">
        <f t="shared" si="1"/>
        <v>-6.6600000000000001E-3</v>
      </c>
      <c r="CP26">
        <f t="shared" si="1"/>
        <v>1.745E-2</v>
      </c>
      <c r="CQ26">
        <f t="shared" si="1"/>
        <v>4.8749999999999995E-2</v>
      </c>
      <c r="CR26">
        <f t="shared" si="1"/>
        <v>2.0230000000000001E-2</v>
      </c>
      <c r="CS26">
        <f t="shared" si="1"/>
        <v>2.4029999999999999E-2</v>
      </c>
      <c r="CT26">
        <f t="shared" si="1"/>
        <v>2.835E-2</v>
      </c>
      <c r="CU26">
        <f t="shared" si="1"/>
        <v>-2.4040000000000002E-2</v>
      </c>
      <c r="CV26">
        <f t="shared" si="1"/>
        <v>2.6000000000000003E-3</v>
      </c>
      <c r="CW26">
        <f t="shared" si="1"/>
        <v>6.4700000000000001E-3</v>
      </c>
      <c r="CX26">
        <f t="shared" si="1"/>
        <v>1.1979999999999999E-2</v>
      </c>
    </row>
    <row r="27" spans="1:102" x14ac:dyDescent="0.2">
      <c r="A27" t="s">
        <v>211</v>
      </c>
      <c r="B27" t="s">
        <v>220</v>
      </c>
      <c r="C27" t="s">
        <v>102</v>
      </c>
      <c r="D27">
        <f t="shared" si="2"/>
        <v>1.4350000000000002E-2</v>
      </c>
      <c r="E27">
        <f t="shared" si="3"/>
        <v>8.7299999999999999E-3</v>
      </c>
      <c r="F27">
        <f t="shared" si="3"/>
        <v>2.3189999999999999E-2</v>
      </c>
      <c r="G27">
        <f t="shared" si="3"/>
        <v>1.575E-2</v>
      </c>
      <c r="H27">
        <f t="shared" si="3"/>
        <v>1.8679999999999999E-2</v>
      </c>
      <c r="I27">
        <f t="shared" si="3"/>
        <v>1.4259999999999998E-2</v>
      </c>
      <c r="J27">
        <f t="shared" si="3"/>
        <v>9.8500000000000011E-3</v>
      </c>
      <c r="K27">
        <f t="shared" si="3"/>
        <v>1.2410000000000001E-2</v>
      </c>
      <c r="L27">
        <f t="shared" si="3"/>
        <v>7.2900000000000005E-3</v>
      </c>
      <c r="M27">
        <f t="shared" si="3"/>
        <v>6.6599999999999993E-3</v>
      </c>
      <c r="N27">
        <f t="shared" si="3"/>
        <v>1.308E-2</v>
      </c>
      <c r="O27">
        <f t="shared" si="3"/>
        <v>1.9999999999999997E-2</v>
      </c>
      <c r="P27">
        <f t="shared" si="3"/>
        <v>1.678E-2</v>
      </c>
      <c r="Q27">
        <f t="shared" si="3"/>
        <v>1.323E-2</v>
      </c>
      <c r="R27">
        <f t="shared" si="3"/>
        <v>9.5499999999999995E-3</v>
      </c>
      <c r="S27">
        <f t="shared" si="3"/>
        <v>1.098E-2</v>
      </c>
      <c r="T27">
        <f t="shared" si="3"/>
        <v>7.28E-3</v>
      </c>
      <c r="U27">
        <f t="shared" si="3"/>
        <v>8.320000000000001E-3</v>
      </c>
      <c r="V27">
        <f t="shared" si="3"/>
        <v>5.7600000000000004E-3</v>
      </c>
      <c r="W27">
        <f t="shared" si="3"/>
        <v>5.45E-3</v>
      </c>
      <c r="X27">
        <f t="shared" si="3"/>
        <v>7.6E-3</v>
      </c>
      <c r="Y27">
        <f t="shared" si="3"/>
        <v>7.8599999999999989E-3</v>
      </c>
      <c r="Z27">
        <f t="shared" si="3"/>
        <v>7.9499999999999987E-3</v>
      </c>
      <c r="AA27">
        <f t="shared" si="3"/>
        <v>7.3499999999999998E-3</v>
      </c>
      <c r="AB27">
        <f t="shared" si="3"/>
        <v>2.0899999999999998E-3</v>
      </c>
      <c r="AC27">
        <f t="shared" si="3"/>
        <v>2.9999999999999992E-4</v>
      </c>
      <c r="AD27">
        <f t="shared" si="3"/>
        <v>1.3900000000000002E-3</v>
      </c>
      <c r="AE27">
        <f t="shared" si="3"/>
        <v>1.0600000000000002E-3</v>
      </c>
      <c r="AF27">
        <f t="shared" si="3"/>
        <v>2.8600000000000001E-3</v>
      </c>
      <c r="AG27">
        <f t="shared" si="3"/>
        <v>4.45E-3</v>
      </c>
      <c r="AH27">
        <f t="shared" si="3"/>
        <v>2.7499999999999998E-3</v>
      </c>
      <c r="AI27">
        <f t="shared" si="3"/>
        <v>1.6999999999999999E-3</v>
      </c>
      <c r="AJ27">
        <f t="shared" si="3"/>
        <v>-1.3000000000000012E-4</v>
      </c>
      <c r="AK27">
        <f t="shared" si="3"/>
        <v>-2.2919999999999998E-3</v>
      </c>
      <c r="AL27">
        <f t="shared" si="3"/>
        <v>-3.3499999999999997E-3</v>
      </c>
      <c r="AM27">
        <f t="shared" si="3"/>
        <v>-4.45E-3</v>
      </c>
      <c r="AN27">
        <f t="shared" si="3"/>
        <v>-4.3899999999999998E-3</v>
      </c>
      <c r="AO27">
        <f t="shared" si="3"/>
        <v>1.57E-3</v>
      </c>
      <c r="AP27">
        <f t="shared" si="3"/>
        <v>3.4799999999999996E-3</v>
      </c>
      <c r="AQ27">
        <f t="shared" si="3"/>
        <v>4.4900000000000001E-3</v>
      </c>
      <c r="AR27">
        <f t="shared" si="3"/>
        <v>2.8500000000000001E-3</v>
      </c>
      <c r="AS27">
        <f t="shared" si="3"/>
        <v>1.3800000000000002E-3</v>
      </c>
      <c r="AT27">
        <f t="shared" si="3"/>
        <v>1.7200000000000002E-3</v>
      </c>
      <c r="AU27">
        <f t="shared" si="3"/>
        <v>1.67E-3</v>
      </c>
      <c r="AV27">
        <f t="shared" si="3"/>
        <v>4.3299999999999996E-3</v>
      </c>
      <c r="AW27">
        <f t="shared" si="3"/>
        <v>3.1299999999999995E-3</v>
      </c>
      <c r="AX27">
        <f t="shared" si="3"/>
        <v>1.3599999999999997E-3</v>
      </c>
      <c r="AY27">
        <f t="shared" si="3"/>
        <v>-2.183E-3</v>
      </c>
      <c r="AZ27">
        <f t="shared" si="3"/>
        <v>-1.3839999999999998E-3</v>
      </c>
      <c r="BA27">
        <f t="shared" si="3"/>
        <v>-1.0999999999999985E-4</v>
      </c>
      <c r="BB27">
        <f t="shared" si="3"/>
        <v>-6.1000000000000008E-4</v>
      </c>
      <c r="BC27">
        <f t="shared" si="3"/>
        <v>1.5400000000000001E-3</v>
      </c>
      <c r="BD27">
        <f t="shared" si="3"/>
        <v>1.7600000000000003E-3</v>
      </c>
      <c r="BE27">
        <f t="shared" si="3"/>
        <v>5.850000000000001E-3</v>
      </c>
      <c r="BF27">
        <f t="shared" si="3"/>
        <v>1.0330000000000001E-2</v>
      </c>
      <c r="BG27">
        <f t="shared" si="3"/>
        <v>8.9999999999999993E-3</v>
      </c>
      <c r="BH27">
        <f t="shared" si="3"/>
        <v>8.8999999999999999E-3</v>
      </c>
      <c r="BI27">
        <f t="shared" si="3"/>
        <v>5.5799999999999999E-3</v>
      </c>
      <c r="BJ27">
        <f t="shared" si="3"/>
        <v>5.5799999999999999E-3</v>
      </c>
      <c r="BK27">
        <f t="shared" si="3"/>
        <v>2.15E-3</v>
      </c>
      <c r="BL27">
        <f t="shared" si="3"/>
        <v>2.0100000000000001E-3</v>
      </c>
      <c r="BM27">
        <f t="shared" si="3"/>
        <v>4.1400000000000005E-3</v>
      </c>
      <c r="BN27">
        <f t="shared" si="3"/>
        <v>9.7900000000000001E-3</v>
      </c>
      <c r="BO27">
        <f t="shared" si="3"/>
        <v>1.238E-2</v>
      </c>
      <c r="BP27">
        <f t="shared" si="3"/>
        <v>0.01</v>
      </c>
      <c r="BQ27">
        <f t="shared" si="1"/>
        <v>1.0270000000000001E-2</v>
      </c>
      <c r="BR27">
        <f t="shared" si="1"/>
        <v>1.736E-2</v>
      </c>
      <c r="BS27">
        <f t="shared" si="1"/>
        <v>1.2359999999999999E-2</v>
      </c>
      <c r="BT27">
        <f t="shared" si="1"/>
        <v>6.3299999999999997E-3</v>
      </c>
      <c r="BU27">
        <f t="shared" si="1"/>
        <v>4.96E-3</v>
      </c>
      <c r="BV27">
        <f t="shared" si="1"/>
        <v>7.4099999999999999E-3</v>
      </c>
      <c r="BW27">
        <f t="shared" si="1"/>
        <v>4.9099999999999994E-3</v>
      </c>
      <c r="BX27">
        <f t="shared" si="1"/>
        <v>1.3500000000000001E-3</v>
      </c>
      <c r="BY27">
        <f t="shared" si="1"/>
        <v>3.5000000000000005E-3</v>
      </c>
      <c r="BZ27">
        <f t="shared" si="1"/>
        <v>1.294E-2</v>
      </c>
      <c r="CA27">
        <f t="shared" si="1"/>
        <v>1.2469999999999998E-2</v>
      </c>
      <c r="CB27">
        <f t="shared" si="1"/>
        <v>6.1200000000000004E-3</v>
      </c>
      <c r="CC27">
        <f t="shared" si="1"/>
        <v>1.0790000000000001E-2</v>
      </c>
      <c r="CD27">
        <f t="shared" si="1"/>
        <v>2.0639999999999999E-2</v>
      </c>
      <c r="CE27">
        <f t="shared" si="1"/>
        <v>1.7099999999999997E-3</v>
      </c>
      <c r="CF27">
        <f t="shared" si="1"/>
        <v>-2.2499999999999998E-3</v>
      </c>
      <c r="CG27">
        <f t="shared" si="1"/>
        <v>-1.97E-3</v>
      </c>
      <c r="CH27">
        <f t="shared" si="1"/>
        <v>-8.7399999999999995E-3</v>
      </c>
      <c r="CI27">
        <f t="shared" si="1"/>
        <v>-1.5790000000000002E-2</v>
      </c>
      <c r="CJ27">
        <f t="shared" si="1"/>
        <v>-1.5690000000000003E-2</v>
      </c>
      <c r="CK27">
        <f t="shared" si="1"/>
        <v>1.2559999999999998E-2</v>
      </c>
      <c r="CL27">
        <f t="shared" si="1"/>
        <v>2.5999999999999999E-3</v>
      </c>
      <c r="CM27">
        <f t="shared" si="1"/>
        <v>3.6000000000000008E-4</v>
      </c>
      <c r="CN27">
        <f t="shared" si="1"/>
        <v>-2.2579999999999999E-2</v>
      </c>
      <c r="CO27">
        <f t="shared" si="1"/>
        <v>-3.2099999999999997E-2</v>
      </c>
      <c r="CP27">
        <f t="shared" si="1"/>
        <v>-2.2589999999999999E-2</v>
      </c>
      <c r="CQ27">
        <f t="shared" si="1"/>
        <v>6.0000000000000001E-3</v>
      </c>
      <c r="CR27">
        <f t="shared" si="1"/>
        <v>-1.5900000000000001E-2</v>
      </c>
      <c r="CS27">
        <f t="shared" si="1"/>
        <v>-1.8500000000000001E-3</v>
      </c>
      <c r="CT27">
        <f t="shared" si="1"/>
        <v>-1.112E-2</v>
      </c>
      <c r="CU27">
        <f t="shared" si="1"/>
        <v>-5.1119999999999999E-2</v>
      </c>
      <c r="CV27">
        <f t="shared" si="1"/>
        <v>-2.6610000000000002E-2</v>
      </c>
      <c r="CW27">
        <f t="shared" si="1"/>
        <v>-3.8010000000000002E-2</v>
      </c>
      <c r="CX27">
        <f t="shared" si="1"/>
        <v>-5.4339999999999999E-2</v>
      </c>
    </row>
    <row r="28" spans="1:102" x14ac:dyDescent="0.2">
      <c r="A28" t="s">
        <v>212</v>
      </c>
      <c r="B28" t="s">
        <v>220</v>
      </c>
      <c r="C28" t="s">
        <v>102</v>
      </c>
      <c r="D28">
        <f t="shared" si="2"/>
        <v>-1.8599999999999997E-3</v>
      </c>
      <c r="E28">
        <f t="shared" si="3"/>
        <v>-4.5800000000000007E-3</v>
      </c>
      <c r="F28">
        <f t="shared" si="3"/>
        <v>5.9500000000000004E-3</v>
      </c>
      <c r="G28">
        <f t="shared" si="3"/>
        <v>-1.0400000000000001E-3</v>
      </c>
      <c r="H28">
        <f t="shared" si="3"/>
        <v>6.7099999999999998E-3</v>
      </c>
      <c r="I28">
        <f t="shared" si="3"/>
        <v>1.7880000000000001E-3</v>
      </c>
      <c r="J28">
        <f t="shared" si="3"/>
        <v>5.8700000000000002E-3</v>
      </c>
      <c r="K28">
        <f t="shared" si="3"/>
        <v>6.2500000000000003E-3</v>
      </c>
      <c r="L28">
        <f t="shared" si="3"/>
        <v>4.7699999999999999E-3</v>
      </c>
      <c r="M28">
        <f t="shared" si="3"/>
        <v>4.1900000000000001E-3</v>
      </c>
      <c r="N28">
        <f t="shared" si="3"/>
        <v>8.2360000000000003E-3</v>
      </c>
      <c r="O28">
        <f t="shared" si="3"/>
        <v>1.1368000000000001E-2</v>
      </c>
      <c r="P28">
        <f t="shared" si="3"/>
        <v>1.0877999999999999E-2</v>
      </c>
      <c r="Q28">
        <f t="shared" si="3"/>
        <v>7.8510000000000003E-3</v>
      </c>
      <c r="R28">
        <f t="shared" si="3"/>
        <v>3.5740000000000004E-3</v>
      </c>
      <c r="S28">
        <f t="shared" si="3"/>
        <v>2.9690000000000003E-3</v>
      </c>
      <c r="T28">
        <f t="shared" si="3"/>
        <v>2.898E-3</v>
      </c>
      <c r="U28">
        <f t="shared" si="3"/>
        <v>3.2469999999999999E-3</v>
      </c>
      <c r="V28">
        <f t="shared" si="3"/>
        <v>2.245E-3</v>
      </c>
      <c r="W28">
        <f t="shared" si="3"/>
        <v>1.9250000000000001E-3</v>
      </c>
      <c r="X28">
        <f t="shared" si="3"/>
        <v>2.1449999999999998E-3</v>
      </c>
      <c r="Y28">
        <f t="shared" si="3"/>
        <v>2.1099999999999999E-3</v>
      </c>
      <c r="Z28">
        <f t="shared" si="3"/>
        <v>2.3010000000000001E-3</v>
      </c>
      <c r="AA28">
        <f t="shared" si="3"/>
        <v>2.0460000000000001E-3</v>
      </c>
      <c r="AB28">
        <f t="shared" si="3"/>
        <v>1.312E-3</v>
      </c>
      <c r="AC28">
        <f t="shared" si="3"/>
        <v>1.2489999999999999E-3</v>
      </c>
      <c r="AD28">
        <f t="shared" si="3"/>
        <v>8.830000000000001E-4</v>
      </c>
      <c r="AE28">
        <f t="shared" si="3"/>
        <v>4.5399999999999998E-4</v>
      </c>
      <c r="AF28">
        <f t="shared" si="3"/>
        <v>6.6399999999999999E-4</v>
      </c>
      <c r="AG28">
        <f t="shared" si="3"/>
        <v>4.15E-4</v>
      </c>
      <c r="AH28">
        <f t="shared" si="3"/>
        <v>1.1099999999999999E-4</v>
      </c>
      <c r="AI28">
        <f t="shared" si="3"/>
        <v>-2.3099999999999998E-4</v>
      </c>
      <c r="AJ28">
        <f t="shared" si="3"/>
        <v>-8.9900000000000006E-4</v>
      </c>
      <c r="AK28">
        <f t="shared" si="3"/>
        <v>-9.2499999999999982E-4</v>
      </c>
      <c r="AL28">
        <f t="shared" si="3"/>
        <v>-3.9600000000000003E-4</v>
      </c>
      <c r="AM28">
        <f t="shared" si="3"/>
        <v>-2.8800000000000006E-4</v>
      </c>
      <c r="AN28">
        <f t="shared" si="3"/>
        <v>-1.6799999999999996E-4</v>
      </c>
      <c r="AO28">
        <f t="shared" si="3"/>
        <v>2.2770000000000003E-4</v>
      </c>
      <c r="AP28">
        <f t="shared" si="3"/>
        <v>6.4799999999999992E-4</v>
      </c>
      <c r="AQ28">
        <f t="shared" si="3"/>
        <v>5.7799999999999995E-4</v>
      </c>
      <c r="AR28">
        <f t="shared" si="3"/>
        <v>7.5900000000000002E-4</v>
      </c>
      <c r="AS28">
        <f t="shared" si="3"/>
        <v>1.093E-3</v>
      </c>
      <c r="AT28">
        <f t="shared" si="3"/>
        <v>1.0119999999999999E-3</v>
      </c>
      <c r="AU28">
        <f t="shared" si="3"/>
        <v>7.9100000000000004E-4</v>
      </c>
      <c r="AV28">
        <f t="shared" si="3"/>
        <v>1.2079999999999999E-3</v>
      </c>
      <c r="AW28">
        <f t="shared" si="3"/>
        <v>8.9700000000000001E-4</v>
      </c>
      <c r="AX28">
        <f t="shared" si="3"/>
        <v>3.97E-4</v>
      </c>
      <c r="AY28">
        <f t="shared" si="3"/>
        <v>-1.3700000000000002E-4</v>
      </c>
      <c r="AZ28">
        <f t="shared" si="3"/>
        <v>-3.2400000000000001E-4</v>
      </c>
      <c r="BA28">
        <f t="shared" si="3"/>
        <v>-8.2799999999999996E-4</v>
      </c>
      <c r="BB28">
        <f t="shared" si="3"/>
        <v>-8.879999999999999E-4</v>
      </c>
      <c r="BC28">
        <f t="shared" si="3"/>
        <v>-1.36E-4</v>
      </c>
      <c r="BD28">
        <f t="shared" si="3"/>
        <v>5.3199999999999992E-4</v>
      </c>
      <c r="BE28">
        <f t="shared" si="3"/>
        <v>7.7799999999999994E-4</v>
      </c>
      <c r="BF28">
        <f t="shared" si="3"/>
        <v>1.356E-3</v>
      </c>
      <c r="BG28">
        <f t="shared" si="3"/>
        <v>1.111E-3</v>
      </c>
      <c r="BH28">
        <f t="shared" si="3"/>
        <v>7.1000000000000002E-4</v>
      </c>
      <c r="BI28">
        <f t="shared" si="3"/>
        <v>4.3399999999999998E-4</v>
      </c>
      <c r="BJ28">
        <f t="shared" si="3"/>
        <v>6.96E-4</v>
      </c>
      <c r="BK28">
        <f t="shared" si="3"/>
        <v>1.15E-4</v>
      </c>
      <c r="BL28">
        <f t="shared" si="3"/>
        <v>3.8699999999999997E-4</v>
      </c>
      <c r="BM28">
        <f t="shared" si="3"/>
        <v>4.8300000000000003E-4</v>
      </c>
      <c r="BN28">
        <f t="shared" si="3"/>
        <v>8.1700000000000002E-4</v>
      </c>
      <c r="BO28">
        <f t="shared" si="3"/>
        <v>7.9299999999999998E-4</v>
      </c>
      <c r="BP28">
        <f t="shared" si="3"/>
        <v>1.526E-3</v>
      </c>
      <c r="BQ28">
        <f t="shared" si="1"/>
        <v>2.0629999999999997E-3</v>
      </c>
      <c r="BR28">
        <f t="shared" si="1"/>
        <v>2.2620000000000001E-3</v>
      </c>
      <c r="BS28">
        <f t="shared" si="1"/>
        <v>1.475E-3</v>
      </c>
      <c r="BT28">
        <f t="shared" si="1"/>
        <v>1.065E-3</v>
      </c>
      <c r="BU28">
        <f t="shared" si="1"/>
        <v>1.1590000000000001E-3</v>
      </c>
      <c r="BV28">
        <f t="shared" si="1"/>
        <v>2.2240000000000003E-3</v>
      </c>
      <c r="BW28">
        <f t="shared" si="1"/>
        <v>1.99E-3</v>
      </c>
      <c r="BX28">
        <f t="shared" si="1"/>
        <v>1.1560000000000001E-3</v>
      </c>
      <c r="BY28">
        <f t="shared" si="1"/>
        <v>2.163E-3</v>
      </c>
      <c r="BZ28">
        <f t="shared" si="1"/>
        <v>2.6909999999999998E-3</v>
      </c>
      <c r="CA28">
        <f t="shared" si="1"/>
        <v>3.1780000000000003E-3</v>
      </c>
      <c r="CB28">
        <f t="shared" si="1"/>
        <v>3.0620000000000001E-3</v>
      </c>
      <c r="CC28">
        <f t="shared" si="1"/>
        <v>3.3709999999999999E-3</v>
      </c>
      <c r="CD28">
        <f t="shared" si="1"/>
        <v>2.9969999999999997E-3</v>
      </c>
      <c r="CE28">
        <f t="shared" si="1"/>
        <v>6.1000000000000008E-4</v>
      </c>
      <c r="CF28">
        <f t="shared" si="1"/>
        <v>-5.0999999999999993E-5</v>
      </c>
      <c r="CG28">
        <f t="shared" si="1"/>
        <v>-6.2999999999999986E-5</v>
      </c>
      <c r="CH28">
        <f t="shared" si="1"/>
        <v>-1.7400000000000003E-4</v>
      </c>
      <c r="CI28">
        <f t="shared" si="1"/>
        <v>-4.9800000000000007E-4</v>
      </c>
      <c r="CJ28">
        <f t="shared" si="1"/>
        <v>-8.209999999999999E-4</v>
      </c>
      <c r="CK28">
        <f t="shared" si="1"/>
        <v>4.1100000000000002E-4</v>
      </c>
      <c r="CL28">
        <f t="shared" si="1"/>
        <v>1.3519999999999999E-3</v>
      </c>
      <c r="CM28">
        <f t="shared" si="1"/>
        <v>6.2799999999999998E-4</v>
      </c>
      <c r="CN28">
        <f t="shared" si="1"/>
        <v>1.864E-4</v>
      </c>
      <c r="CO28">
        <f t="shared" si="1"/>
        <v>-1.0430000000000001E-3</v>
      </c>
      <c r="CP28">
        <f t="shared" si="1"/>
        <v>-6.7599999999999995E-4</v>
      </c>
      <c r="CQ28">
        <f t="shared" si="1"/>
        <v>6.7599999999999995E-4</v>
      </c>
      <c r="CR28">
        <f t="shared" si="1"/>
        <v>-7.7300000000000003E-4</v>
      </c>
      <c r="CS28">
        <f t="shared" si="1"/>
        <v>1.228E-4</v>
      </c>
      <c r="CT28">
        <f t="shared" si="1"/>
        <v>-6.3299999999999999E-4</v>
      </c>
      <c r="CU28">
        <f t="shared" si="1"/>
        <v>-1.395E-3</v>
      </c>
      <c r="CV28">
        <f t="shared" si="1"/>
        <v>-1.513E-3</v>
      </c>
      <c r="CW28">
        <f t="shared" si="1"/>
        <v>-3.6740000000000002E-3</v>
      </c>
      <c r="CX28">
        <f t="shared" si="1"/>
        <v>-4.8329999999999996E-3</v>
      </c>
    </row>
    <row r="29" spans="1:102" x14ac:dyDescent="0.2">
      <c r="A29" t="s">
        <v>213</v>
      </c>
      <c r="B29" t="s">
        <v>220</v>
      </c>
      <c r="C29" t="s">
        <v>102</v>
      </c>
      <c r="D29">
        <f t="shared" si="2"/>
        <v>8.4430000000000005E-2</v>
      </c>
      <c r="E29">
        <f t="shared" si="3"/>
        <v>0.12240000000000001</v>
      </c>
      <c r="F29">
        <f t="shared" si="3"/>
        <v>3.78E-2</v>
      </c>
      <c r="G29">
        <f t="shared" si="3"/>
        <v>5.3400000000000003E-2</v>
      </c>
      <c r="H29">
        <f t="shared" si="3"/>
        <v>-1.6600000000000004E-2</v>
      </c>
      <c r="I29">
        <f t="shared" si="3"/>
        <v>2.6200000000000001E-2</v>
      </c>
      <c r="J29">
        <f t="shared" si="3"/>
        <v>-1.4099999999999998E-2</v>
      </c>
      <c r="K29">
        <f t="shared" si="3"/>
        <v>-9.9999999999999985E-3</v>
      </c>
      <c r="L29">
        <f t="shared" si="3"/>
        <v>-1.2499999999999999E-2</v>
      </c>
      <c r="M29">
        <f t="shared" si="3"/>
        <v>-1.2299999999999998E-2</v>
      </c>
      <c r="N29">
        <f t="shared" si="3"/>
        <v>-6.9500000000000006E-2</v>
      </c>
      <c r="O29">
        <f t="shared" si="3"/>
        <v>-0.12806000000000001</v>
      </c>
      <c r="P29">
        <f t="shared" si="3"/>
        <v>-0.13103000000000001</v>
      </c>
      <c r="Q29">
        <f t="shared" si="3"/>
        <v>-0.10621</v>
      </c>
      <c r="R29">
        <f t="shared" si="3"/>
        <v>-6.5739999999999993E-2</v>
      </c>
      <c r="S29">
        <f t="shared" si="3"/>
        <v>-4.9250000000000002E-2</v>
      </c>
      <c r="T29">
        <f t="shared" si="3"/>
        <v>-5.0310000000000001E-2</v>
      </c>
      <c r="U29">
        <f t="shared" si="3"/>
        <v>-5.1700000000000003E-2</v>
      </c>
      <c r="V29">
        <f t="shared" si="3"/>
        <v>-4.292E-2</v>
      </c>
      <c r="W29">
        <f t="shared" si="3"/>
        <v>-4.0759999999999998E-2</v>
      </c>
      <c r="X29">
        <f t="shared" si="3"/>
        <v>-4.496E-2</v>
      </c>
      <c r="Y29">
        <f t="shared" si="3"/>
        <v>-4.7530000000000003E-2</v>
      </c>
      <c r="Z29">
        <f t="shared" si="3"/>
        <v>-4.7349999999999996E-2</v>
      </c>
      <c r="AA29">
        <f t="shared" si="3"/>
        <v>-4.3110000000000002E-2</v>
      </c>
      <c r="AB29">
        <f t="shared" si="3"/>
        <v>-3.8449999999999998E-2</v>
      </c>
      <c r="AC29">
        <f t="shared" si="3"/>
        <v>-3.066E-2</v>
      </c>
      <c r="AD29">
        <f t="shared" si="3"/>
        <v>-2.4100000000000003E-2</v>
      </c>
      <c r="AE29">
        <f t="shared" si="3"/>
        <v>-2.708E-2</v>
      </c>
      <c r="AF29">
        <f t="shared" si="3"/>
        <v>-2.1680000000000001E-2</v>
      </c>
      <c r="AG29">
        <f t="shared" si="3"/>
        <v>-2.102E-2</v>
      </c>
      <c r="AH29">
        <f t="shared" si="3"/>
        <v>-2.0219999999999998E-2</v>
      </c>
      <c r="AI29">
        <f t="shared" si="3"/>
        <v>-1.4159999999999999E-2</v>
      </c>
      <c r="AJ29">
        <f t="shared" si="3"/>
        <v>-1.095E-2</v>
      </c>
      <c r="AK29">
        <f t="shared" si="3"/>
        <v>-7.7099999999999998E-3</v>
      </c>
      <c r="AL29">
        <f t="shared" si="3"/>
        <v>-9.1800000000000007E-3</v>
      </c>
      <c r="AM29">
        <f t="shared" si="3"/>
        <v>-1.172E-2</v>
      </c>
      <c r="AN29">
        <f t="shared" si="3"/>
        <v>-1.8419999999999999E-2</v>
      </c>
      <c r="AO29">
        <f t="shared" si="3"/>
        <v>-2.3359999999999999E-2</v>
      </c>
      <c r="AP29">
        <f t="shared" si="3"/>
        <v>-2.5439999999999997E-2</v>
      </c>
      <c r="AQ29">
        <f t="shared" si="3"/>
        <v>-2.486E-2</v>
      </c>
      <c r="AR29">
        <f t="shared" si="3"/>
        <v>-2.273E-2</v>
      </c>
      <c r="AS29">
        <f t="shared" si="3"/>
        <v>-1.7469999999999999E-2</v>
      </c>
      <c r="AT29">
        <f t="shared" si="3"/>
        <v>-1.473E-2</v>
      </c>
      <c r="AU29">
        <f t="shared" si="3"/>
        <v>-9.2800000000000001E-3</v>
      </c>
      <c r="AV29">
        <f t="shared" si="3"/>
        <v>-5.3399999999999993E-3</v>
      </c>
      <c r="AW29">
        <f t="shared" si="3"/>
        <v>-2.4450000000000001E-3</v>
      </c>
      <c r="AX29">
        <f t="shared" si="3"/>
        <v>-8.9499999999999985E-4</v>
      </c>
      <c r="AY29">
        <f t="shared" si="3"/>
        <v>-2.8419999999999999E-3</v>
      </c>
      <c r="AZ29">
        <f t="shared" si="3"/>
        <v>-9.1490000000000009E-3</v>
      </c>
      <c r="BA29">
        <f t="shared" si="3"/>
        <v>-1.0856999999999999E-2</v>
      </c>
      <c r="BB29">
        <f t="shared" si="3"/>
        <v>-1.0598999999999999E-2</v>
      </c>
      <c r="BC29">
        <f t="shared" si="3"/>
        <v>-1.2881999999999999E-2</v>
      </c>
      <c r="BD29">
        <f t="shared" si="3"/>
        <v>-1.2433999999999999E-2</v>
      </c>
      <c r="BE29">
        <f t="shared" si="3"/>
        <v>-1.2411999999999999E-2</v>
      </c>
      <c r="BF29">
        <f t="shared" si="3"/>
        <v>-1.2279E-2</v>
      </c>
      <c r="BG29">
        <f t="shared" si="3"/>
        <v>-7.4289999999999998E-3</v>
      </c>
      <c r="BH29">
        <f t="shared" si="3"/>
        <v>-5.7879999999999997E-3</v>
      </c>
      <c r="BI29">
        <f t="shared" si="3"/>
        <v>-8.5979999999999997E-3</v>
      </c>
      <c r="BJ29">
        <f t="shared" si="3"/>
        <v>-1.2687E-2</v>
      </c>
      <c r="BK29">
        <f t="shared" si="3"/>
        <v>-9.575199999999999E-3</v>
      </c>
      <c r="BL29">
        <f t="shared" si="3"/>
        <v>-9.2011000000000003E-3</v>
      </c>
      <c r="BM29">
        <f t="shared" si="3"/>
        <v>-1.2921E-2</v>
      </c>
      <c r="BN29">
        <f t="shared" si="3"/>
        <v>-1.5032E-2</v>
      </c>
      <c r="BO29">
        <f t="shared" si="3"/>
        <v>-1.4500599000000001E-2</v>
      </c>
      <c r="BP29">
        <f t="shared" ref="BP29:CX31" si="4">BP12+BP20</f>
        <v>-8.8140000000000007E-3</v>
      </c>
      <c r="BQ29">
        <f t="shared" si="4"/>
        <v>-7.3030000000000005E-3</v>
      </c>
      <c r="BR29">
        <f t="shared" si="4"/>
        <v>-7.0569999999999999E-3</v>
      </c>
      <c r="BS29">
        <f t="shared" si="4"/>
        <v>-6.927E-3</v>
      </c>
      <c r="BT29">
        <f t="shared" si="4"/>
        <v>-1.3619999999999999E-3</v>
      </c>
      <c r="BU29">
        <f t="shared" si="4"/>
        <v>-1.9689999999999998E-3</v>
      </c>
      <c r="BV29">
        <f t="shared" si="4"/>
        <v>8.5499999999999997E-4</v>
      </c>
      <c r="BW29">
        <f t="shared" si="4"/>
        <v>1.8479999999999998E-3</v>
      </c>
      <c r="BX29">
        <f t="shared" si="4"/>
        <v>-4.0889999999999998E-3</v>
      </c>
      <c r="BY29">
        <f t="shared" si="4"/>
        <v>-5.9899999999999997E-3</v>
      </c>
      <c r="BZ29">
        <f t="shared" si="4"/>
        <v>-6.4570000000000001E-3</v>
      </c>
      <c r="CA29">
        <f t="shared" si="4"/>
        <v>-1.2300000000000002E-3</v>
      </c>
      <c r="CB29">
        <f t="shared" si="4"/>
        <v>9.9120000000000007E-3</v>
      </c>
      <c r="CC29">
        <f t="shared" si="4"/>
        <v>1.0301999999999999E-2</v>
      </c>
      <c r="CD29">
        <f t="shared" si="4"/>
        <v>1.4441000000000001E-2</v>
      </c>
      <c r="CE29">
        <f t="shared" si="4"/>
        <v>1.0478000000000001E-2</v>
      </c>
      <c r="CF29">
        <f t="shared" si="4"/>
        <v>7.2249999999999997E-3</v>
      </c>
      <c r="CG29">
        <f t="shared" si="4"/>
        <v>1.5941E-2</v>
      </c>
      <c r="CH29">
        <f t="shared" si="4"/>
        <v>1.7398E-2</v>
      </c>
      <c r="CI29">
        <f t="shared" si="4"/>
        <v>1.473E-2</v>
      </c>
      <c r="CJ29">
        <f t="shared" si="4"/>
        <v>1.9106999999999999E-2</v>
      </c>
      <c r="CK29">
        <f t="shared" si="4"/>
        <v>2.4857999999999998E-2</v>
      </c>
      <c r="CL29">
        <f t="shared" si="4"/>
        <v>2.3931000000000001E-2</v>
      </c>
      <c r="CM29">
        <f t="shared" si="4"/>
        <v>2.1624000000000001E-2</v>
      </c>
      <c r="CN29">
        <f t="shared" si="4"/>
        <v>3.6096999999999997E-2</v>
      </c>
      <c r="CO29">
        <f t="shared" si="4"/>
        <v>4.1435E-2</v>
      </c>
      <c r="CP29">
        <f t="shared" si="4"/>
        <v>2.9898999999999998E-2</v>
      </c>
      <c r="CQ29">
        <f t="shared" si="4"/>
        <v>4.3840999999999998E-2</v>
      </c>
      <c r="CR29">
        <f t="shared" si="4"/>
        <v>5.2229999999999999E-2</v>
      </c>
      <c r="CS29">
        <f t="shared" si="4"/>
        <v>3.6625999999999999E-2</v>
      </c>
      <c r="CT29">
        <f t="shared" si="4"/>
        <v>4.7531999999999998E-2</v>
      </c>
      <c r="CU29">
        <f t="shared" si="4"/>
        <v>4.4176E-2</v>
      </c>
      <c r="CV29">
        <f t="shared" si="4"/>
        <v>4.8181000000000002E-2</v>
      </c>
      <c r="CW29">
        <f t="shared" si="4"/>
        <v>5.3423999999999999E-2</v>
      </c>
      <c r="CX29">
        <f t="shared" si="4"/>
        <v>5.4913999999999998E-2</v>
      </c>
    </row>
    <row r="30" spans="1:102" x14ac:dyDescent="0.2">
      <c r="A30" t="s">
        <v>214</v>
      </c>
      <c r="B30" t="s">
        <v>220</v>
      </c>
      <c r="C30" t="s">
        <v>102</v>
      </c>
      <c r="D30">
        <f t="shared" si="2"/>
        <v>-4.8409999999999998E-3</v>
      </c>
      <c r="E30">
        <f t="shared" ref="E30:BP31" si="5">E13+E21</f>
        <v>-2.189E-3</v>
      </c>
      <c r="F30">
        <f t="shared" si="5"/>
        <v>1.1628999999999999E-2</v>
      </c>
      <c r="G30">
        <f t="shared" si="5"/>
        <v>1.5162999999999999E-2</v>
      </c>
      <c r="H30">
        <f t="shared" si="5"/>
        <v>1.4209000000000001E-2</v>
      </c>
      <c r="I30">
        <f t="shared" si="5"/>
        <v>7.7539999999999996E-3</v>
      </c>
      <c r="J30">
        <f t="shared" si="5"/>
        <v>7.1621999999999996E-3</v>
      </c>
      <c r="K30">
        <f t="shared" si="5"/>
        <v>2.6350000000000002E-3</v>
      </c>
      <c r="L30">
        <f t="shared" si="5"/>
        <v>7.2204000000000001E-3</v>
      </c>
      <c r="M30">
        <f t="shared" si="5"/>
        <v>5.7229999999999998E-3</v>
      </c>
      <c r="N30">
        <f t="shared" si="5"/>
        <v>5.4082000000000002E-3</v>
      </c>
      <c r="O30">
        <f t="shared" si="5"/>
        <v>4.8288999999999997E-3</v>
      </c>
      <c r="P30">
        <f t="shared" si="5"/>
        <v>3.5700184E-3</v>
      </c>
      <c r="Q30">
        <f t="shared" si="5"/>
        <v>3.1292E-3</v>
      </c>
      <c r="R30">
        <f t="shared" si="5"/>
        <v>8.2711E-3</v>
      </c>
      <c r="S30">
        <f t="shared" si="5"/>
        <v>9.1318099999999989E-3</v>
      </c>
      <c r="T30">
        <f t="shared" si="5"/>
        <v>1.4943999999999999E-3</v>
      </c>
      <c r="U30">
        <f t="shared" si="5"/>
        <v>3.5534E-3</v>
      </c>
      <c r="V30">
        <f t="shared" si="5"/>
        <v>5.3736000000000001E-3</v>
      </c>
      <c r="W30">
        <f t="shared" si="5"/>
        <v>6.1446000000000001E-3</v>
      </c>
      <c r="X30">
        <f t="shared" si="5"/>
        <v>7.4140000000000005E-3</v>
      </c>
      <c r="Y30">
        <f t="shared" si="5"/>
        <v>5.7242000000000005E-3</v>
      </c>
      <c r="Z30">
        <f t="shared" si="5"/>
        <v>6.2786999999999999E-3</v>
      </c>
      <c r="AA30">
        <f t="shared" si="5"/>
        <v>3.9064E-3</v>
      </c>
      <c r="AB30">
        <f t="shared" si="5"/>
        <v>2.6542000000000002E-3</v>
      </c>
      <c r="AC30">
        <f t="shared" si="5"/>
        <v>7.6479999999999994E-4</v>
      </c>
      <c r="AD30">
        <f t="shared" si="5"/>
        <v>3.0206999999999999E-3</v>
      </c>
      <c r="AE30">
        <f t="shared" si="5"/>
        <v>3.6149000000000003E-3</v>
      </c>
      <c r="AF30">
        <f t="shared" si="5"/>
        <v>3.1250000000000001E-4</v>
      </c>
      <c r="AG30">
        <f t="shared" si="5"/>
        <v>8.013639999999999E-3</v>
      </c>
      <c r="AH30">
        <f t="shared" si="5"/>
        <v>5.5576000000000002E-3</v>
      </c>
      <c r="AI30">
        <f t="shared" si="5"/>
        <v>1.3802E-3</v>
      </c>
      <c r="AJ30">
        <f t="shared" si="5"/>
        <v>3.2383999999999998E-3</v>
      </c>
      <c r="AK30">
        <f t="shared" si="5"/>
        <v>-5.3549999999999995E-4</v>
      </c>
      <c r="AL30">
        <f t="shared" si="5"/>
        <v>1.7323999999999998E-3</v>
      </c>
      <c r="AM30">
        <f t="shared" si="5"/>
        <v>6.3590000000000001E-3</v>
      </c>
      <c r="AN30">
        <f t="shared" si="5"/>
        <v>3.1110000000000003E-4</v>
      </c>
      <c r="AO30">
        <f t="shared" si="5"/>
        <v>2.1635000000000001E-3</v>
      </c>
      <c r="AP30">
        <f t="shared" si="5"/>
        <v>1.126E-4</v>
      </c>
      <c r="AQ30">
        <f t="shared" si="5"/>
        <v>2.1107000000000001E-3</v>
      </c>
      <c r="AR30">
        <f t="shared" si="5"/>
        <v>-2.7460999999999996E-3</v>
      </c>
      <c r="AS30">
        <f t="shared" si="5"/>
        <v>3.5069999999999997E-3</v>
      </c>
      <c r="AT30">
        <f t="shared" si="5"/>
        <v>2.6589000000000001E-3</v>
      </c>
      <c r="AU30">
        <f t="shared" si="5"/>
        <v>2.5010000000000002E-3</v>
      </c>
      <c r="AV30">
        <f t="shared" si="5"/>
        <v>-5.8716999999999997E-3</v>
      </c>
      <c r="AW30">
        <f t="shared" si="5"/>
        <v>-1.9090000000000001E-4</v>
      </c>
      <c r="AX30">
        <f t="shared" si="5"/>
        <v>-4.1961999999999998E-3</v>
      </c>
      <c r="AY30">
        <f t="shared" si="5"/>
        <v>2.1939999999999999E-4</v>
      </c>
      <c r="AZ30">
        <f t="shared" si="5"/>
        <v>1.6684E-3</v>
      </c>
      <c r="BA30">
        <f t="shared" si="5"/>
        <v>-8.1720000000000002E-4</v>
      </c>
      <c r="BB30">
        <f t="shared" si="5"/>
        <v>2.0387000000000001E-4</v>
      </c>
      <c r="BC30">
        <f t="shared" si="5"/>
        <v>5.2468999999999997E-4</v>
      </c>
      <c r="BD30">
        <f t="shared" si="5"/>
        <v>1.4459E-4</v>
      </c>
      <c r="BE30">
        <f t="shared" si="5"/>
        <v>5.3327299999999999E-3</v>
      </c>
      <c r="BF30">
        <f t="shared" si="5"/>
        <v>-6.6569999999999997E-4</v>
      </c>
      <c r="BG30">
        <f t="shared" si="5"/>
        <v>1.6847000000000001E-3</v>
      </c>
      <c r="BH30">
        <f t="shared" si="5"/>
        <v>-2.1221899999999999E-3</v>
      </c>
      <c r="BI30">
        <f t="shared" si="5"/>
        <v>-5.6550000000000003E-4</v>
      </c>
      <c r="BJ30">
        <f t="shared" si="5"/>
        <v>-8.5596000000000005E-3</v>
      </c>
      <c r="BK30">
        <f t="shared" si="5"/>
        <v>7.2110000000000004E-3</v>
      </c>
      <c r="BL30">
        <f t="shared" si="5"/>
        <v>-1.8087000000000001E-3</v>
      </c>
      <c r="BM30">
        <f t="shared" si="5"/>
        <v>2.8381999999999999E-3</v>
      </c>
      <c r="BN30">
        <f t="shared" si="5"/>
        <v>3.6893999999999998E-3</v>
      </c>
      <c r="BO30">
        <f t="shared" si="5"/>
        <v>4.7965000000000004E-3</v>
      </c>
      <c r="BP30">
        <f t="shared" si="5"/>
        <v>2.5815999999999999E-3</v>
      </c>
      <c r="BQ30">
        <f t="shared" si="4"/>
        <v>6.0210000000000003E-3</v>
      </c>
      <c r="BR30">
        <f t="shared" si="4"/>
        <v>1.3650000000000001E-3</v>
      </c>
      <c r="BS30">
        <f t="shared" si="4"/>
        <v>-3.1082000000000002E-3</v>
      </c>
      <c r="BT30">
        <f t="shared" si="4"/>
        <v>3.2139999999999998E-3</v>
      </c>
      <c r="BU30">
        <f t="shared" si="4"/>
        <v>-4.4200000000000001E-4</v>
      </c>
      <c r="BV30">
        <f t="shared" si="4"/>
        <v>7.9750000000000003E-4</v>
      </c>
      <c r="BW30">
        <f t="shared" si="4"/>
        <v>-2.568E-3</v>
      </c>
      <c r="BX30">
        <f t="shared" si="4"/>
        <v>9.6599999999999995E-4</v>
      </c>
      <c r="BY30">
        <f t="shared" si="4"/>
        <v>-6.7500000000000004E-4</v>
      </c>
      <c r="BZ30">
        <f t="shared" si="4"/>
        <v>9.4399999999999996E-4</v>
      </c>
      <c r="CA30">
        <f t="shared" si="4"/>
        <v>-4.7828999999999997E-3</v>
      </c>
      <c r="CB30">
        <f t="shared" si="4"/>
        <v>1.4166E-2</v>
      </c>
      <c r="CC30">
        <f t="shared" si="4"/>
        <v>1.3048000000000001E-2</v>
      </c>
      <c r="CD30">
        <f t="shared" si="4"/>
        <v>2.6149999999999997E-3</v>
      </c>
      <c r="CE30">
        <f t="shared" si="4"/>
        <v>-7.8100000000000012E-4</v>
      </c>
      <c r="CF30">
        <f t="shared" si="4"/>
        <v>-3.1100000000000008E-4</v>
      </c>
      <c r="CG30">
        <f t="shared" si="4"/>
        <v>8.5000000000000006E-4</v>
      </c>
      <c r="CH30">
        <f t="shared" si="4"/>
        <v>4.653E-3</v>
      </c>
      <c r="CI30">
        <f t="shared" si="4"/>
        <v>2.7680000000000001E-3</v>
      </c>
      <c r="CJ30">
        <f t="shared" si="4"/>
        <v>-2.8799999999999995E-4</v>
      </c>
      <c r="CK30">
        <f t="shared" si="4"/>
        <v>6.999E-3</v>
      </c>
      <c r="CL30">
        <f t="shared" si="4"/>
        <v>1.2598E-2</v>
      </c>
      <c r="CM30">
        <f t="shared" si="4"/>
        <v>-1.0420000000000002E-3</v>
      </c>
      <c r="CN30">
        <f t="shared" si="4"/>
        <v>5.7350000000000005E-3</v>
      </c>
      <c r="CO30">
        <f t="shared" si="4"/>
        <v>-2.6200000000000003E-4</v>
      </c>
      <c r="CP30">
        <f t="shared" si="4"/>
        <v>5.4780000000000002E-3</v>
      </c>
      <c r="CQ30">
        <f t="shared" si="4"/>
        <v>7.3660000000000002E-3</v>
      </c>
      <c r="CR30">
        <f t="shared" si="4"/>
        <v>1.3975E-2</v>
      </c>
      <c r="CS30">
        <f t="shared" si="4"/>
        <v>9.1870000000000007E-3</v>
      </c>
      <c r="CT30">
        <f t="shared" si="4"/>
        <v>1.2703000000000001E-2</v>
      </c>
      <c r="CU30">
        <f t="shared" si="4"/>
        <v>-9.6099999999999994E-4</v>
      </c>
      <c r="CV30">
        <f t="shared" si="4"/>
        <v>7.6170000000000005E-3</v>
      </c>
      <c r="CW30">
        <f t="shared" si="4"/>
        <v>1.0740000000000001E-3</v>
      </c>
      <c r="CX30">
        <f t="shared" si="4"/>
        <v>1.3815999999999998E-2</v>
      </c>
    </row>
    <row r="31" spans="1:102" x14ac:dyDescent="0.2">
      <c r="A31" t="s">
        <v>215</v>
      </c>
      <c r="B31" t="s">
        <v>220</v>
      </c>
      <c r="C31" t="s">
        <v>102</v>
      </c>
      <c r="D31">
        <f t="shared" si="2"/>
        <v>-1.5599999999999999E-2</v>
      </c>
      <c r="E31">
        <f t="shared" si="5"/>
        <v>7.4999999999999997E-2</v>
      </c>
      <c r="F31">
        <f t="shared" si="5"/>
        <v>3.0599999999999999E-2</v>
      </c>
      <c r="G31">
        <f t="shared" si="5"/>
        <v>-4.2700000000000002E-2</v>
      </c>
      <c r="H31">
        <f t="shared" si="5"/>
        <v>-4.1399999999999999E-2</v>
      </c>
      <c r="I31">
        <f t="shared" si="5"/>
        <v>-0.05</v>
      </c>
      <c r="J31">
        <f t="shared" si="5"/>
        <v>-7.2400000000000006E-2</v>
      </c>
      <c r="K31">
        <f t="shared" si="5"/>
        <v>-4.3499999999999997E-2</v>
      </c>
      <c r="L31">
        <f t="shared" si="5"/>
        <v>-4.7E-2</v>
      </c>
      <c r="M31">
        <f t="shared" si="5"/>
        <v>-3.2399999999999998E-2</v>
      </c>
      <c r="N31">
        <f t="shared" si="5"/>
        <v>-3.44E-2</v>
      </c>
      <c r="O31">
        <f t="shared" si="5"/>
        <v>-2.7199999999999998E-2</v>
      </c>
      <c r="P31">
        <f t="shared" si="5"/>
        <v>-2.2910000000000003E-2</v>
      </c>
      <c r="Q31">
        <f t="shared" si="5"/>
        <v>-1.6900000000000002E-2</v>
      </c>
      <c r="R31">
        <f t="shared" si="5"/>
        <v>-1.2769999999999998E-2</v>
      </c>
      <c r="S31">
        <f t="shared" si="5"/>
        <v>-1.2339999999999999E-2</v>
      </c>
      <c r="T31">
        <f t="shared" si="5"/>
        <v>-1.038E-2</v>
      </c>
      <c r="U31">
        <f t="shared" si="5"/>
        <v>-1.12E-2</v>
      </c>
      <c r="V31">
        <f t="shared" si="5"/>
        <v>-1.2400000000000001E-2</v>
      </c>
      <c r="W31">
        <f t="shared" si="5"/>
        <v>-1.413E-2</v>
      </c>
      <c r="X31">
        <f t="shared" si="5"/>
        <v>-9.6299999999999997E-3</v>
      </c>
      <c r="Y31">
        <f t="shared" si="5"/>
        <v>-1.1039999999999999E-2</v>
      </c>
      <c r="Z31">
        <f t="shared" si="5"/>
        <v>-6.5399999999999989E-3</v>
      </c>
      <c r="AA31">
        <f t="shared" si="5"/>
        <v>-7.0500000000000007E-3</v>
      </c>
      <c r="AB31">
        <f t="shared" si="5"/>
        <v>-7.3399999999999993E-3</v>
      </c>
      <c r="AC31">
        <f t="shared" si="5"/>
        <v>-7.2900000000000005E-3</v>
      </c>
      <c r="AD31">
        <f t="shared" si="5"/>
        <v>-6.830000000000001E-3</v>
      </c>
      <c r="AE31">
        <f t="shared" si="5"/>
        <v>-5.6399999999999992E-3</v>
      </c>
      <c r="AF31">
        <f t="shared" si="5"/>
        <v>-6.9099999999999995E-3</v>
      </c>
      <c r="AG31">
        <f t="shared" si="5"/>
        <v>-7.2099999999999994E-3</v>
      </c>
      <c r="AH31">
        <f t="shared" si="5"/>
        <v>-9.6299999999999997E-3</v>
      </c>
      <c r="AI31">
        <f t="shared" si="5"/>
        <v>-1.0490000000000001E-2</v>
      </c>
      <c r="AJ31">
        <f t="shared" si="5"/>
        <v>-6.2599999999999999E-3</v>
      </c>
      <c r="AK31">
        <f t="shared" si="5"/>
        <v>7.8499999999999993E-3</v>
      </c>
      <c r="AL31">
        <f t="shared" si="5"/>
        <v>5.0000000000000001E-3</v>
      </c>
      <c r="AM31">
        <f t="shared" si="5"/>
        <v>3.9820000000000003E-3</v>
      </c>
      <c r="AN31">
        <f t="shared" si="5"/>
        <v>2.6439999999999996E-3</v>
      </c>
      <c r="AO31">
        <f t="shared" si="5"/>
        <v>2.3799999999999997E-3</v>
      </c>
      <c r="AP31">
        <f t="shared" si="5"/>
        <v>1.0030000000000001E-2</v>
      </c>
      <c r="AQ31">
        <f t="shared" si="5"/>
        <v>1.001E-2</v>
      </c>
      <c r="AR31">
        <f t="shared" si="5"/>
        <v>1.0880000000000001E-2</v>
      </c>
      <c r="AS31">
        <f t="shared" si="5"/>
        <v>4.4799999999999996E-3</v>
      </c>
      <c r="AT31">
        <f t="shared" si="5"/>
        <v>4.9399999999999999E-3</v>
      </c>
      <c r="AU31">
        <f t="shared" si="5"/>
        <v>6.0099999999999997E-3</v>
      </c>
      <c r="AV31">
        <f t="shared" si="5"/>
        <v>4.8999999999999998E-3</v>
      </c>
      <c r="AW31">
        <f t="shared" si="5"/>
        <v>4.3099999999999996E-3</v>
      </c>
      <c r="AX31">
        <f t="shared" si="5"/>
        <v>1.72E-3</v>
      </c>
      <c r="AY31">
        <f t="shared" si="5"/>
        <v>1.98E-3</v>
      </c>
      <c r="AZ31">
        <f t="shared" si="5"/>
        <v>-2.63E-3</v>
      </c>
      <c r="BA31">
        <f t="shared" si="5"/>
        <v>-9.1900000000000003E-3</v>
      </c>
      <c r="BB31">
        <f t="shared" si="5"/>
        <v>-1.005E-2</v>
      </c>
      <c r="BC31">
        <f t="shared" si="5"/>
        <v>-1.0869999999999999E-2</v>
      </c>
      <c r="BD31">
        <f t="shared" si="5"/>
        <v>-1.3299999999999999E-2</v>
      </c>
      <c r="BE31">
        <f t="shared" si="5"/>
        <v>-1.0450000000000001E-2</v>
      </c>
      <c r="BF31">
        <f t="shared" si="5"/>
        <v>-1.316E-2</v>
      </c>
      <c r="BG31">
        <f t="shared" si="5"/>
        <v>-1.4140000000000002E-2</v>
      </c>
      <c r="BH31">
        <f t="shared" si="5"/>
        <v>-1.668E-2</v>
      </c>
      <c r="BI31">
        <f t="shared" si="5"/>
        <v>8.5599999999999999E-3</v>
      </c>
      <c r="BJ31">
        <f t="shared" si="5"/>
        <v>1.3409999999999998E-2</v>
      </c>
      <c r="BK31">
        <f t="shared" si="5"/>
        <v>1.4670000000000001E-2</v>
      </c>
      <c r="BL31">
        <f t="shared" si="5"/>
        <v>1.282E-2</v>
      </c>
      <c r="BM31">
        <f t="shared" si="5"/>
        <v>2.2720000000000001E-2</v>
      </c>
      <c r="BN31">
        <f t="shared" si="5"/>
        <v>2.3280000000000002E-2</v>
      </c>
      <c r="BO31">
        <f t="shared" si="5"/>
        <v>1.891E-2</v>
      </c>
      <c r="BP31">
        <f t="shared" si="5"/>
        <v>1.5679999999999999E-2</v>
      </c>
      <c r="BQ31">
        <f t="shared" si="4"/>
        <v>1.6040000000000002E-2</v>
      </c>
      <c r="BR31">
        <f t="shared" si="4"/>
        <v>1.5170000000000001E-2</v>
      </c>
      <c r="BS31">
        <f t="shared" si="4"/>
        <v>1.2790000000000001E-2</v>
      </c>
      <c r="BT31">
        <f t="shared" si="4"/>
        <v>1.8599999999999998E-2</v>
      </c>
      <c r="BU31">
        <f t="shared" si="4"/>
        <v>1.7509999999999998E-2</v>
      </c>
      <c r="BV31">
        <f t="shared" si="4"/>
        <v>1.7329999999999998E-2</v>
      </c>
      <c r="BW31">
        <f t="shared" si="4"/>
        <v>1.9579000000000003E-2</v>
      </c>
      <c r="BX31">
        <f t="shared" si="4"/>
        <v>1.5467E-2</v>
      </c>
      <c r="BY31">
        <f t="shared" si="4"/>
        <v>1.3372999999999999E-2</v>
      </c>
      <c r="BZ31">
        <f t="shared" si="4"/>
        <v>9.5130000000000006E-3</v>
      </c>
      <c r="CA31">
        <f t="shared" si="4"/>
        <v>7.7850000000000003E-3</v>
      </c>
      <c r="CB31">
        <f t="shared" si="4"/>
        <v>6.4099999999999999E-3</v>
      </c>
      <c r="CC31">
        <f t="shared" si="4"/>
        <v>8.5610000000000009E-3</v>
      </c>
      <c r="CD31">
        <f t="shared" si="4"/>
        <v>1.5305999999999998E-2</v>
      </c>
      <c r="CE31">
        <f t="shared" si="4"/>
        <v>1.4886999999999999E-2</v>
      </c>
      <c r="CF31">
        <f t="shared" si="4"/>
        <v>1.223E-2</v>
      </c>
      <c r="CG31">
        <f t="shared" si="4"/>
        <v>1.0290000000000001E-2</v>
      </c>
      <c r="CH31">
        <f t="shared" si="4"/>
        <v>6.0499999999999998E-3</v>
      </c>
      <c r="CI31">
        <f t="shared" si="4"/>
        <v>5.0100000000000006E-3</v>
      </c>
      <c r="CJ31">
        <f t="shared" si="4"/>
        <v>2.8739999999999998E-2</v>
      </c>
      <c r="CK31">
        <f t="shared" si="4"/>
        <v>2.792E-2</v>
      </c>
      <c r="CL31">
        <f t="shared" si="4"/>
        <v>1.762E-2</v>
      </c>
      <c r="CM31">
        <f t="shared" si="4"/>
        <v>6.320000000000001E-3</v>
      </c>
      <c r="CN31">
        <f t="shared" si="4"/>
        <v>2.0800000000000003E-3</v>
      </c>
      <c r="CO31">
        <f t="shared" si="4"/>
        <v>-1.1599999999999999E-2</v>
      </c>
      <c r="CP31">
        <f t="shared" si="4"/>
        <v>-1.048E-2</v>
      </c>
      <c r="CQ31">
        <f t="shared" si="4"/>
        <v>-1.155E-2</v>
      </c>
      <c r="CR31">
        <f t="shared" si="4"/>
        <v>-3.3919999999999999E-2</v>
      </c>
      <c r="CS31">
        <f t="shared" si="4"/>
        <v>-2.9700000000000001E-2</v>
      </c>
      <c r="CT31">
        <f t="shared" si="4"/>
        <v>6.2210000000000001E-2</v>
      </c>
      <c r="CU31">
        <f t="shared" si="4"/>
        <v>7.0449999999999999E-2</v>
      </c>
      <c r="CV31">
        <f t="shared" si="4"/>
        <v>6.5290000000000001E-2</v>
      </c>
      <c r="CW31">
        <f t="shared" si="4"/>
        <v>6.5549999999999997E-2</v>
      </c>
      <c r="CX31">
        <f t="shared" si="4"/>
        <v>6.1440000000000002E-2</v>
      </c>
    </row>
    <row r="32" spans="1:102" x14ac:dyDescent="0.2">
      <c r="A32" t="s">
        <v>216</v>
      </c>
      <c r="B32" t="s">
        <v>220</v>
      </c>
      <c r="C32" t="s">
        <v>102</v>
      </c>
      <c r="D32">
        <f>D23</f>
        <v>-0.24199999999999999</v>
      </c>
      <c r="E32">
        <f t="shared" ref="E32:BP32" si="6">E23</f>
        <v>-0.22900000000000001</v>
      </c>
      <c r="F32">
        <f t="shared" si="6"/>
        <v>0.26900000000000002</v>
      </c>
      <c r="G32">
        <f t="shared" si="6"/>
        <v>0.33200000000000002</v>
      </c>
      <c r="H32">
        <f t="shared" si="6"/>
        <v>0.53300000000000003</v>
      </c>
      <c r="I32">
        <f t="shared" si="6"/>
        <v>0.375</v>
      </c>
      <c r="J32">
        <f t="shared" si="6"/>
        <v>0.59799999999999998</v>
      </c>
      <c r="K32">
        <f t="shared" si="6"/>
        <v>0.49399999999999999</v>
      </c>
      <c r="L32">
        <f t="shared" si="6"/>
        <v>0.50800000000000001</v>
      </c>
      <c r="M32">
        <f t="shared" si="6"/>
        <v>0.43</v>
      </c>
      <c r="N32">
        <f t="shared" si="6"/>
        <v>0.56699999999999995</v>
      </c>
      <c r="O32">
        <f t="shared" si="6"/>
        <v>0.71799999999999997</v>
      </c>
      <c r="P32">
        <f t="shared" si="6"/>
        <v>0.67900000000000005</v>
      </c>
      <c r="Q32">
        <f t="shared" si="6"/>
        <v>0.56599999999999995</v>
      </c>
      <c r="R32">
        <f t="shared" si="6"/>
        <v>0.36</v>
      </c>
      <c r="S32">
        <f t="shared" si="6"/>
        <v>0.29299999999999998</v>
      </c>
      <c r="T32">
        <f t="shared" si="6"/>
        <v>0.31</v>
      </c>
      <c r="U32">
        <f t="shared" si="6"/>
        <v>0.30399999999999999</v>
      </c>
      <c r="V32">
        <f t="shared" si="6"/>
        <v>0.252</v>
      </c>
      <c r="W32">
        <f t="shared" si="6"/>
        <v>0.23100000000000001</v>
      </c>
      <c r="X32">
        <f t="shared" si="6"/>
        <v>0.22900000000000001</v>
      </c>
      <c r="Y32">
        <f t="shared" si="6"/>
        <v>0.25800000000000001</v>
      </c>
      <c r="Z32">
        <f t="shared" si="6"/>
        <v>0.27500000000000002</v>
      </c>
      <c r="AA32">
        <f t="shared" si="6"/>
        <v>0.27300000000000002</v>
      </c>
      <c r="AB32">
        <f t="shared" si="6"/>
        <v>0.24199999999999999</v>
      </c>
      <c r="AC32">
        <f t="shared" si="6"/>
        <v>0.20200000000000001</v>
      </c>
      <c r="AD32">
        <f t="shared" si="6"/>
        <v>0.16900000000000001</v>
      </c>
      <c r="AE32">
        <f t="shared" si="6"/>
        <v>0.153</v>
      </c>
      <c r="AF32">
        <f t="shared" si="6"/>
        <v>0.13400000000000001</v>
      </c>
      <c r="AG32">
        <f t="shared" si="6"/>
        <v>0.11700000000000001</v>
      </c>
      <c r="AH32">
        <f t="shared" si="6"/>
        <v>0.121</v>
      </c>
      <c r="AI32">
        <f t="shared" si="6"/>
        <v>0.112</v>
      </c>
      <c r="AJ32">
        <f t="shared" si="6"/>
        <v>8.7599999999999997E-2</v>
      </c>
      <c r="AK32">
        <f t="shared" si="6"/>
        <v>6.0499999999999998E-2</v>
      </c>
      <c r="AL32">
        <f t="shared" si="6"/>
        <v>5.0900000000000001E-2</v>
      </c>
      <c r="AM32">
        <f t="shared" si="6"/>
        <v>4.8599999999999997E-2</v>
      </c>
      <c r="AN32">
        <f t="shared" si="6"/>
        <v>6.0699999999999997E-2</v>
      </c>
      <c r="AO32">
        <f t="shared" si="6"/>
        <v>7.4399999999999994E-2</v>
      </c>
      <c r="AP32">
        <f t="shared" si="6"/>
        <v>0.124</v>
      </c>
      <c r="AQ32">
        <f t="shared" si="6"/>
        <v>0.17699999999999999</v>
      </c>
      <c r="AR32">
        <f t="shared" si="6"/>
        <v>0.17799999999999999</v>
      </c>
      <c r="AS32">
        <f t="shared" si="6"/>
        <v>0.186</v>
      </c>
      <c r="AT32">
        <f t="shared" si="6"/>
        <v>0.16700000000000001</v>
      </c>
      <c r="AU32">
        <f t="shared" si="6"/>
        <v>0.159</v>
      </c>
      <c r="AV32">
        <f t="shared" si="6"/>
        <v>0.108</v>
      </c>
      <c r="AW32">
        <f t="shared" si="6"/>
        <v>6.5699999999999995E-2</v>
      </c>
      <c r="AX32">
        <f t="shared" si="6"/>
        <v>3.7400000000000003E-2</v>
      </c>
      <c r="AY32">
        <f t="shared" si="6"/>
        <v>4.7199999999999999E-2</v>
      </c>
      <c r="AZ32">
        <f t="shared" si="6"/>
        <v>4.4900000000000002E-2</v>
      </c>
      <c r="BA32">
        <f t="shared" si="6"/>
        <v>5.1900000000000002E-2</v>
      </c>
      <c r="BB32">
        <f t="shared" si="6"/>
        <v>0.10100000000000001</v>
      </c>
      <c r="BC32">
        <f t="shared" si="6"/>
        <v>0.16600000000000001</v>
      </c>
      <c r="BD32">
        <f t="shared" si="6"/>
        <v>0.19800000000000001</v>
      </c>
      <c r="BE32">
        <f t="shared" si="6"/>
        <v>0.21099999999999999</v>
      </c>
      <c r="BF32">
        <f t="shared" si="6"/>
        <v>0.20599999999999999</v>
      </c>
      <c r="BG32">
        <f t="shared" si="6"/>
        <v>0.218</v>
      </c>
      <c r="BH32">
        <f t="shared" si="6"/>
        <v>0.188</v>
      </c>
      <c r="BI32">
        <f t="shared" si="6"/>
        <v>0.11899999999999999</v>
      </c>
      <c r="BJ32">
        <f t="shared" si="6"/>
        <v>9.2600000000000002E-2</v>
      </c>
      <c r="BK32">
        <f t="shared" si="6"/>
        <v>7.8799999999999995E-2</v>
      </c>
      <c r="BL32">
        <f t="shared" si="6"/>
        <v>7.7600000000000002E-2</v>
      </c>
      <c r="BM32">
        <f t="shared" si="6"/>
        <v>7.9500000000000001E-2</v>
      </c>
      <c r="BN32">
        <f t="shared" si="6"/>
        <v>0.105</v>
      </c>
      <c r="BO32">
        <f t="shared" si="6"/>
        <v>0.16400000000000001</v>
      </c>
      <c r="BP32">
        <f t="shared" si="6"/>
        <v>0.19700000000000001</v>
      </c>
      <c r="BQ32">
        <f t="shared" ref="BQ32:CX32" si="7">BQ23</f>
        <v>0.182</v>
      </c>
      <c r="BR32">
        <f t="shared" si="7"/>
        <v>0.14699999999999999</v>
      </c>
      <c r="BS32">
        <f t="shared" si="7"/>
        <v>0.129</v>
      </c>
      <c r="BT32">
        <f t="shared" si="7"/>
        <v>9.7299999999999998E-2</v>
      </c>
      <c r="BU32">
        <f t="shared" si="7"/>
        <v>4.9299999999999997E-2</v>
      </c>
      <c r="BV32">
        <f t="shared" si="7"/>
        <v>4.99E-2</v>
      </c>
      <c r="BW32">
        <f t="shared" si="7"/>
        <v>4.0300000000000002E-2</v>
      </c>
      <c r="BX32">
        <f t="shared" si="7"/>
        <v>7.3899999999999993E-2</v>
      </c>
      <c r="BY32">
        <f t="shared" si="7"/>
        <v>0.11</v>
      </c>
      <c r="BZ32">
        <f t="shared" si="7"/>
        <v>0.21299999999999999</v>
      </c>
      <c r="CA32">
        <f t="shared" si="7"/>
        <v>0.247</v>
      </c>
      <c r="CB32">
        <f t="shared" si="7"/>
        <v>0.222</v>
      </c>
      <c r="CC32">
        <f t="shared" si="7"/>
        <v>0.23699999999999999</v>
      </c>
      <c r="CD32">
        <f t="shared" si="7"/>
        <v>0.21299999999999999</v>
      </c>
      <c r="CE32">
        <f t="shared" si="7"/>
        <v>3.9800000000000002E-2</v>
      </c>
      <c r="CF32">
        <f t="shared" si="7"/>
        <v>-5.5300000000000002E-3</v>
      </c>
      <c r="CG32">
        <f t="shared" si="7"/>
        <v>8.1200000000000005E-3</v>
      </c>
      <c r="CH32">
        <f t="shared" si="7"/>
        <v>-5.3100000000000001E-2</v>
      </c>
      <c r="CI32">
        <f t="shared" si="7"/>
        <v>-1.4200000000000001E-2</v>
      </c>
      <c r="CJ32">
        <f t="shared" si="7"/>
        <v>-1.4500000000000001E-2</v>
      </c>
      <c r="CK32">
        <f t="shared" si="7"/>
        <v>0.29499999999999998</v>
      </c>
      <c r="CL32">
        <f t="shared" si="7"/>
        <v>0.24199999999999999</v>
      </c>
      <c r="CM32">
        <f t="shared" si="7"/>
        <v>0.14000000000000001</v>
      </c>
      <c r="CN32">
        <f t="shared" si="7"/>
        <v>2.2200000000000001E-2</v>
      </c>
      <c r="CO32">
        <f t="shared" si="7"/>
        <v>-3.3100000000000002E-4</v>
      </c>
      <c r="CP32">
        <f t="shared" si="7"/>
        <v>0.18099999999999999</v>
      </c>
      <c r="CQ32">
        <f t="shared" si="7"/>
        <v>0.30299999999999999</v>
      </c>
      <c r="CR32">
        <f t="shared" si="7"/>
        <v>0.2</v>
      </c>
      <c r="CS32">
        <f t="shared" si="7"/>
        <v>0.21299999999999999</v>
      </c>
      <c r="CT32">
        <f t="shared" si="7"/>
        <v>5.5599999999999997E-2</v>
      </c>
      <c r="CU32">
        <f t="shared" si="7"/>
        <v>-0.16</v>
      </c>
      <c r="CV32">
        <f t="shared" si="7"/>
        <v>8.9599999999999999E-2</v>
      </c>
      <c r="CW32">
        <f t="shared" si="7"/>
        <v>-4.41E-2</v>
      </c>
      <c r="CX32">
        <f t="shared" si="7"/>
        <v>-0.11</v>
      </c>
    </row>
    <row r="33" spans="1:102" x14ac:dyDescent="0.2">
      <c r="A33" t="s">
        <v>203</v>
      </c>
      <c r="B33" t="s">
        <v>217</v>
      </c>
      <c r="C33" t="s">
        <v>221</v>
      </c>
      <c r="D33">
        <f>'2015_2020'!B2</f>
        <v>0.19</v>
      </c>
      <c r="E33">
        <f>'2015_2020'!C2</f>
        <v>0.48399999999999999</v>
      </c>
      <c r="F33">
        <f>'2015_2020'!D2</f>
        <v>0.70499999999999996</v>
      </c>
      <c r="G33">
        <f>'2015_2020'!E2</f>
        <v>0.88800000000000001</v>
      </c>
      <c r="H33">
        <f>'2015_2020'!F2</f>
        <v>0.997</v>
      </c>
      <c r="I33">
        <f>'2015_2020'!G2</f>
        <v>1.111</v>
      </c>
      <c r="J33">
        <f>'2015_2020'!H2</f>
        <v>1.1970000000000001</v>
      </c>
      <c r="K33">
        <f>'2015_2020'!I2</f>
        <v>1.292</v>
      </c>
      <c r="L33">
        <f>'2015_2020'!J2</f>
        <v>1.3879999999999999</v>
      </c>
      <c r="M33">
        <f>'2015_2020'!K2</f>
        <v>1.4219999999999999</v>
      </c>
      <c r="N33">
        <f>'2015_2020'!L2</f>
        <v>1.492</v>
      </c>
      <c r="O33">
        <f>'2015_2020'!M2</f>
        <v>1.575</v>
      </c>
      <c r="P33">
        <f>'2015_2020'!N2</f>
        <v>1.583</v>
      </c>
      <c r="Q33">
        <f>'2015_2020'!O2</f>
        <v>1.613</v>
      </c>
      <c r="R33">
        <f>'2015_2020'!P2</f>
        <v>1.647</v>
      </c>
      <c r="S33">
        <f>'2015_2020'!Q2</f>
        <v>1.6719999999999999</v>
      </c>
      <c r="T33">
        <f>'2015_2020'!R2</f>
        <v>1.704</v>
      </c>
      <c r="U33">
        <f>'2015_2020'!S2</f>
        <v>1.718</v>
      </c>
      <c r="V33">
        <f>'2015_2020'!T2</f>
        <v>1.744</v>
      </c>
      <c r="W33">
        <f>'2015_2020'!U2</f>
        <v>1.7509999999999999</v>
      </c>
      <c r="X33">
        <f>'2015_2020'!V2</f>
        <v>1.758</v>
      </c>
      <c r="Y33">
        <f>'2015_2020'!W2</f>
        <v>1.7949999999999999</v>
      </c>
      <c r="Z33">
        <f>'2015_2020'!X2</f>
        <v>1.802</v>
      </c>
      <c r="AA33">
        <f>'2015_2020'!Y2</f>
        <v>1.8009999999999999</v>
      </c>
      <c r="AB33">
        <f>'2015_2020'!Z2</f>
        <v>1.806</v>
      </c>
      <c r="AC33">
        <f>'2015_2020'!AA2</f>
        <v>1.8109999999999999</v>
      </c>
      <c r="AD33">
        <f>'2015_2020'!AB2</f>
        <v>1.839</v>
      </c>
      <c r="AE33">
        <f>'2015_2020'!AC2</f>
        <v>1.8440000000000001</v>
      </c>
      <c r="AF33">
        <f>'2015_2020'!AD2</f>
        <v>1.8520000000000001</v>
      </c>
      <c r="AG33">
        <f>'2015_2020'!AE2</f>
        <v>1.86</v>
      </c>
      <c r="AH33">
        <f>'2015_2020'!AF2</f>
        <v>1.881</v>
      </c>
      <c r="AI33">
        <f>'2015_2020'!AG2</f>
        <v>1.889</v>
      </c>
      <c r="AJ33">
        <f>'2015_2020'!AH2</f>
        <v>1.895</v>
      </c>
      <c r="AK33">
        <f>'2015_2020'!AI2</f>
        <v>1.9119999999999999</v>
      </c>
      <c r="AL33">
        <f>'2015_2020'!AJ2</f>
        <v>1.95</v>
      </c>
      <c r="AM33">
        <f>'2015_2020'!AK2</f>
        <v>1.9690000000000001</v>
      </c>
      <c r="AN33">
        <f>'2015_2020'!AL2</f>
        <v>1.9810000000000001</v>
      </c>
      <c r="AO33">
        <f>'2015_2020'!AM2</f>
        <v>1.9830000000000001</v>
      </c>
      <c r="AP33">
        <f>'2015_2020'!AN2</f>
        <v>1.9890000000000001</v>
      </c>
      <c r="AQ33">
        <f>'2015_2020'!AO2</f>
        <v>2.008</v>
      </c>
      <c r="AR33">
        <f>'2015_2020'!AP2</f>
        <v>2.028</v>
      </c>
      <c r="AS33">
        <f>'2015_2020'!AQ2</f>
        <v>2.0470000000000002</v>
      </c>
      <c r="AT33">
        <f>'2015_2020'!AR2</f>
        <v>2.0649999999999999</v>
      </c>
      <c r="AU33">
        <f>'2015_2020'!AS2</f>
        <v>2.089</v>
      </c>
      <c r="AV33">
        <f>'2015_2020'!AT2</f>
        <v>2.0950000000000002</v>
      </c>
      <c r="AW33">
        <f>'2015_2020'!AU2</f>
        <v>2.1139999999999999</v>
      </c>
      <c r="AX33">
        <f>'2015_2020'!AV2</f>
        <v>2.1160000000000001</v>
      </c>
      <c r="AY33">
        <f>'2015_2020'!AW2</f>
        <v>2.137</v>
      </c>
      <c r="AZ33">
        <f>'2015_2020'!AX2</f>
        <v>2.1469999999999998</v>
      </c>
      <c r="BA33">
        <f>'2015_2020'!AY2</f>
        <v>2.1760000000000002</v>
      </c>
      <c r="BB33">
        <f>'2015_2020'!AZ2</f>
        <v>2.2029999999999998</v>
      </c>
      <c r="BC33">
        <f>'2015_2020'!BA2</f>
        <v>2.2170000000000001</v>
      </c>
      <c r="BD33">
        <f>'2015_2020'!BB2</f>
        <v>2.2090000000000001</v>
      </c>
      <c r="BE33">
        <f>'2015_2020'!BC2</f>
        <v>2.2290000000000001</v>
      </c>
      <c r="BF33">
        <f>'2015_2020'!BD2</f>
        <v>2.2679999999999998</v>
      </c>
      <c r="BG33">
        <f>'2015_2020'!BE2</f>
        <v>2.2719999999999998</v>
      </c>
      <c r="BH33">
        <f>'2015_2020'!BF2</f>
        <v>2.2919999999999998</v>
      </c>
      <c r="BI33">
        <f>'2015_2020'!BG2</f>
        <v>2.3109999999999999</v>
      </c>
      <c r="BJ33">
        <f>'2015_2020'!BH2</f>
        <v>2.3180000000000001</v>
      </c>
      <c r="BK33">
        <f>'2015_2020'!BI2</f>
        <v>2.3490000000000002</v>
      </c>
      <c r="BL33">
        <f>'2015_2020'!BJ2</f>
        <v>2.39</v>
      </c>
      <c r="BM33">
        <f>'2015_2020'!BK2</f>
        <v>2.4</v>
      </c>
      <c r="BN33">
        <f>'2015_2020'!BL2</f>
        <v>2.4020000000000001</v>
      </c>
      <c r="BO33">
        <f>'2015_2020'!BM2</f>
        <v>2.4359999999999999</v>
      </c>
      <c r="BP33">
        <f>'2015_2020'!BN2</f>
        <v>2.4929999999999999</v>
      </c>
      <c r="BQ33">
        <f>'2015_2020'!BO2</f>
        <v>2.504</v>
      </c>
      <c r="BR33">
        <f>'2015_2020'!BP2</f>
        <v>2.496</v>
      </c>
      <c r="BS33">
        <f>'2015_2020'!BQ2</f>
        <v>2.5</v>
      </c>
      <c r="BT33">
        <f>'2015_2020'!BR2</f>
        <v>2.5030000000000001</v>
      </c>
      <c r="BU33">
        <f>'2015_2020'!BS2</f>
        <v>2.5379999999999998</v>
      </c>
      <c r="BV33">
        <f>'2015_2020'!BT2</f>
        <v>2.5840000000000001</v>
      </c>
      <c r="BW33">
        <f>'2015_2020'!BU2</f>
        <v>2.621</v>
      </c>
      <c r="BX33">
        <f>'2015_2020'!BV2</f>
        <v>2.6389999999999998</v>
      </c>
      <c r="BY33">
        <f>'2015_2020'!BW2</f>
        <v>2.6789999999999998</v>
      </c>
      <c r="BZ33">
        <f>'2015_2020'!BX2</f>
        <v>2.7170000000000001</v>
      </c>
      <c r="CA33">
        <f>'2015_2020'!BY2</f>
        <v>2.7210000000000001</v>
      </c>
      <c r="CB33">
        <f>'2015_2020'!BZ2</f>
        <v>2.7759999999999998</v>
      </c>
      <c r="CC33">
        <f>'2015_2020'!CA2</f>
        <v>2.8039999999999998</v>
      </c>
      <c r="CD33">
        <f>'2015_2020'!CB2</f>
        <v>2.8290000000000002</v>
      </c>
      <c r="CE33">
        <f>'2015_2020'!CC2</f>
        <v>2.8959999999999999</v>
      </c>
      <c r="CF33">
        <f>'2015_2020'!CD2</f>
        <v>2.899</v>
      </c>
      <c r="CG33">
        <f>'2015_2020'!CE2</f>
        <v>2.91</v>
      </c>
      <c r="CH33">
        <f>'2015_2020'!CF2</f>
        <v>2.9649999999999999</v>
      </c>
      <c r="CI33">
        <f>'2015_2020'!CG2</f>
        <v>3.012</v>
      </c>
      <c r="CJ33">
        <f>'2015_2020'!CH2</f>
        <v>3.0640000000000001</v>
      </c>
      <c r="CK33">
        <f>'2015_2020'!CI2</f>
        <v>3.1339999999999999</v>
      </c>
      <c r="CL33">
        <f>'2015_2020'!CJ2</f>
        <v>3.2040000000000002</v>
      </c>
      <c r="CM33">
        <f>'2015_2020'!CK2</f>
        <v>3.198</v>
      </c>
      <c r="CN33">
        <f>'2015_2020'!CL2</f>
        <v>3.2719999999999998</v>
      </c>
      <c r="CO33">
        <f>'2015_2020'!CM2</f>
        <v>3.335</v>
      </c>
      <c r="CP33">
        <f>'2015_2020'!CN2</f>
        <v>3.4140000000000001</v>
      </c>
      <c r="CQ33">
        <f>'2015_2020'!CO2</f>
        <v>3.44</v>
      </c>
      <c r="CR33">
        <f>'2015_2020'!CP2</f>
        <v>3.5590000000000002</v>
      </c>
      <c r="CS33">
        <f>'2015_2020'!CQ2</f>
        <v>3.6520000000000001</v>
      </c>
      <c r="CT33">
        <f>'2015_2020'!CR2</f>
        <v>3.76</v>
      </c>
      <c r="CU33">
        <f>'2015_2020'!CS2</f>
        <v>3.887</v>
      </c>
      <c r="CV33">
        <f>'2015_2020'!CT2</f>
        <v>4.1040000000000001</v>
      </c>
      <c r="CW33">
        <f>'2015_2020'!CU2</f>
        <v>4.2880000000000003</v>
      </c>
      <c r="CX33">
        <f>'2015_2020'!CV2</f>
        <v>4.609</v>
      </c>
    </row>
    <row r="34" spans="1:102" x14ac:dyDescent="0.2">
      <c r="A34" t="s">
        <v>204</v>
      </c>
      <c r="B34" t="s">
        <v>217</v>
      </c>
      <c r="C34" t="s">
        <v>221</v>
      </c>
      <c r="D34">
        <f>'2015_2020'!B3</f>
        <v>0.19900000000000001</v>
      </c>
      <c r="E34">
        <f>'2015_2020'!C3</f>
        <v>0.54900000000000004</v>
      </c>
      <c r="F34">
        <f>'2015_2020'!D3</f>
        <v>0.80400000000000005</v>
      </c>
      <c r="G34">
        <f>'2015_2020'!E3</f>
        <v>0.96</v>
      </c>
      <c r="H34">
        <f>'2015_2020'!F3</f>
        <v>1.1299999999999999</v>
      </c>
      <c r="I34">
        <f>'2015_2020'!G3</f>
        <v>1.1879999999999999</v>
      </c>
      <c r="J34">
        <f>'2015_2020'!H3</f>
        <v>1.3149999999999999</v>
      </c>
      <c r="K34">
        <f>'2015_2020'!I3</f>
        <v>1.3660000000000001</v>
      </c>
      <c r="L34">
        <f>'2015_2020'!J3</f>
        <v>1.4379999999999999</v>
      </c>
      <c r="M34">
        <f>'2015_2020'!K3</f>
        <v>1.5069999999999999</v>
      </c>
      <c r="N34">
        <f>'2015_2020'!L3</f>
        <v>1.5469999999999999</v>
      </c>
      <c r="O34">
        <f>'2015_2020'!M3</f>
        <v>1.5940000000000001</v>
      </c>
      <c r="P34">
        <f>'2015_2020'!N3</f>
        <v>1.6220000000000001</v>
      </c>
      <c r="Q34">
        <f>'2015_2020'!O3</f>
        <v>1.6379999999999999</v>
      </c>
      <c r="R34">
        <f>'2015_2020'!P3</f>
        <v>1.647</v>
      </c>
      <c r="S34">
        <f>'2015_2020'!Q3</f>
        <v>1.6679999999999999</v>
      </c>
      <c r="T34">
        <f>'2015_2020'!R3</f>
        <v>1.694</v>
      </c>
      <c r="U34">
        <f>'2015_2020'!S3</f>
        <v>1.7090000000000001</v>
      </c>
      <c r="V34">
        <f>'2015_2020'!T3</f>
        <v>1.7190000000000001</v>
      </c>
      <c r="W34">
        <f>'2015_2020'!U3</f>
        <v>1.73</v>
      </c>
      <c r="X34">
        <f>'2015_2020'!V3</f>
        <v>1.752</v>
      </c>
      <c r="Y34">
        <f>'2015_2020'!W3</f>
        <v>1.77</v>
      </c>
      <c r="Z34">
        <f>'2015_2020'!X3</f>
        <v>1.7949999999999999</v>
      </c>
      <c r="AA34">
        <f>'2015_2020'!Y3</f>
        <v>1.8069999999999999</v>
      </c>
      <c r="AB34">
        <f>'2015_2020'!Z3</f>
        <v>1.8069999999999999</v>
      </c>
      <c r="AC34">
        <f>'2015_2020'!AA3</f>
        <v>1.8180000000000001</v>
      </c>
      <c r="AD34">
        <f>'2015_2020'!AB3</f>
        <v>1.823</v>
      </c>
      <c r="AE34">
        <f>'2015_2020'!AC3</f>
        <v>1.827</v>
      </c>
      <c r="AF34">
        <f>'2015_2020'!AD3</f>
        <v>1.8380000000000001</v>
      </c>
      <c r="AG34">
        <f>'2015_2020'!AE3</f>
        <v>1.8520000000000001</v>
      </c>
      <c r="AH34">
        <f>'2015_2020'!AF3</f>
        <v>1.8620000000000001</v>
      </c>
      <c r="AI34">
        <f>'2015_2020'!AG3</f>
        <v>1.877</v>
      </c>
      <c r="AJ34">
        <f>'2015_2020'!AH3</f>
        <v>1.903</v>
      </c>
      <c r="AK34">
        <f>'2015_2020'!AI3</f>
        <v>1.9239999999999999</v>
      </c>
      <c r="AL34">
        <f>'2015_2020'!AJ3</f>
        <v>1.9370000000000001</v>
      </c>
      <c r="AM34">
        <f>'2015_2020'!AK3</f>
        <v>1.952</v>
      </c>
      <c r="AN34">
        <f>'2015_2020'!AL3</f>
        <v>1.96</v>
      </c>
      <c r="AO34">
        <f>'2015_2020'!AM3</f>
        <v>1.9750000000000001</v>
      </c>
      <c r="AP34">
        <f>'2015_2020'!AN3</f>
        <v>2.0059999999999998</v>
      </c>
      <c r="AQ34">
        <f>'2015_2020'!AO3</f>
        <v>2.0369999999999999</v>
      </c>
      <c r="AR34">
        <f>'2015_2020'!AP3</f>
        <v>2.0409999999999999</v>
      </c>
      <c r="AS34">
        <f>'2015_2020'!AQ3</f>
        <v>2.048</v>
      </c>
      <c r="AT34">
        <f>'2015_2020'!AR3</f>
        <v>2.0579999999999998</v>
      </c>
      <c r="AU34">
        <f>'2015_2020'!AS3</f>
        <v>2.0720000000000001</v>
      </c>
      <c r="AV34">
        <f>'2015_2020'!AT3</f>
        <v>2.0699999999999998</v>
      </c>
      <c r="AW34">
        <f>'2015_2020'!AU3</f>
        <v>2.097</v>
      </c>
      <c r="AX34">
        <f>'2015_2020'!AV3</f>
        <v>2.121</v>
      </c>
      <c r="AY34">
        <f>'2015_2020'!AW3</f>
        <v>2.1339999999999999</v>
      </c>
      <c r="AZ34">
        <f>'2015_2020'!AX3</f>
        <v>2.1469999999999998</v>
      </c>
      <c r="BA34">
        <f>'2015_2020'!AY3</f>
        <v>2.1629999999999998</v>
      </c>
      <c r="BB34">
        <f>'2015_2020'!AZ3</f>
        <v>2.1970000000000001</v>
      </c>
      <c r="BC34">
        <f>'2015_2020'!BA3</f>
        <v>2.222</v>
      </c>
      <c r="BD34">
        <f>'2015_2020'!BB3</f>
        <v>2.2269999999999999</v>
      </c>
      <c r="BE34">
        <f>'2015_2020'!BC3</f>
        <v>2.2469999999999999</v>
      </c>
      <c r="BF34">
        <f>'2015_2020'!BD3</f>
        <v>2.2450000000000001</v>
      </c>
      <c r="BG34">
        <f>'2015_2020'!BE3</f>
        <v>2.2719999999999998</v>
      </c>
      <c r="BH34">
        <f>'2015_2020'!BF3</f>
        <v>2.2890000000000001</v>
      </c>
      <c r="BI34">
        <f>'2015_2020'!BG3</f>
        <v>2.3130000000000002</v>
      </c>
      <c r="BJ34">
        <f>'2015_2020'!BH3</f>
        <v>2.3290000000000002</v>
      </c>
      <c r="BK34">
        <f>'2015_2020'!BI3</f>
        <v>2.35</v>
      </c>
      <c r="BL34">
        <f>'2015_2020'!BJ3</f>
        <v>2.3610000000000002</v>
      </c>
      <c r="BM34">
        <f>'2015_2020'!BK3</f>
        <v>2.3879999999999999</v>
      </c>
      <c r="BN34">
        <f>'2015_2020'!BL3</f>
        <v>2.41</v>
      </c>
      <c r="BO34">
        <f>'2015_2020'!BM3</f>
        <v>2.4409999999999998</v>
      </c>
      <c r="BP34">
        <f>'2015_2020'!BN3</f>
        <v>2.4500000000000002</v>
      </c>
      <c r="BQ34">
        <f>'2015_2020'!BO3</f>
        <v>2.472</v>
      </c>
      <c r="BR34">
        <f>'2015_2020'!BP3</f>
        <v>2.476</v>
      </c>
      <c r="BS34">
        <f>'2015_2020'!BQ3</f>
        <v>2.5110000000000001</v>
      </c>
      <c r="BT34">
        <f>'2015_2020'!BR3</f>
        <v>2.5310000000000001</v>
      </c>
      <c r="BU34">
        <f>'2015_2020'!BS3</f>
        <v>2.5529999999999999</v>
      </c>
      <c r="BV34">
        <f>'2015_2020'!BT3</f>
        <v>2.577</v>
      </c>
      <c r="BW34">
        <f>'2015_2020'!BU3</f>
        <v>2.6070000000000002</v>
      </c>
      <c r="BX34">
        <f>'2015_2020'!BV3</f>
        <v>2.6360000000000001</v>
      </c>
      <c r="BY34">
        <f>'2015_2020'!BW3</f>
        <v>2.657</v>
      </c>
      <c r="BZ34">
        <f>'2015_2020'!BX3</f>
        <v>2.71</v>
      </c>
      <c r="CA34">
        <f>'2015_2020'!BY3</f>
        <v>2.7410000000000001</v>
      </c>
      <c r="CB34">
        <f>'2015_2020'!BZ3</f>
        <v>2.7519999999999998</v>
      </c>
      <c r="CC34">
        <f>'2015_2020'!CA3</f>
        <v>2.7789999999999999</v>
      </c>
      <c r="CD34">
        <f>'2015_2020'!CB3</f>
        <v>2.7829999999999999</v>
      </c>
      <c r="CE34">
        <f>'2015_2020'!CC3</f>
        <v>2.84</v>
      </c>
      <c r="CF34">
        <f>'2015_2020'!CD3</f>
        <v>2.879</v>
      </c>
      <c r="CG34">
        <f>'2015_2020'!CE3</f>
        <v>2.9359999999999999</v>
      </c>
      <c r="CH34">
        <f>'2015_2020'!CF3</f>
        <v>2.9710000000000001</v>
      </c>
      <c r="CI34">
        <f>'2015_2020'!CG3</f>
        <v>3.0030000000000001</v>
      </c>
      <c r="CJ34">
        <f>'2015_2020'!CH3</f>
        <v>3.0510000000000002</v>
      </c>
      <c r="CK34">
        <f>'2015_2020'!CI3</f>
        <v>3.1179999999999999</v>
      </c>
      <c r="CL34">
        <f>'2015_2020'!CJ3</f>
        <v>3.1560000000000001</v>
      </c>
      <c r="CM34">
        <f>'2015_2020'!CK3</f>
        <v>3.1930000000000001</v>
      </c>
      <c r="CN34">
        <f>'2015_2020'!CL3</f>
        <v>3.27</v>
      </c>
      <c r="CO34">
        <f>'2015_2020'!CM3</f>
        <v>3.3290000000000002</v>
      </c>
      <c r="CP34">
        <f>'2015_2020'!CN3</f>
        <v>3.427</v>
      </c>
      <c r="CQ34">
        <f>'2015_2020'!CO3</f>
        <v>3.4489999999999998</v>
      </c>
      <c r="CR34">
        <f>'2015_2020'!CP3</f>
        <v>3.5630000000000002</v>
      </c>
      <c r="CS34">
        <f>'2015_2020'!CQ3</f>
        <v>3.66</v>
      </c>
      <c r="CT34">
        <f>'2015_2020'!CR3</f>
        <v>3.7480000000000002</v>
      </c>
      <c r="CU34">
        <f>'2015_2020'!CS3</f>
        <v>3.8969999999999998</v>
      </c>
      <c r="CV34">
        <f>'2015_2020'!CT3</f>
        <v>4.0730000000000004</v>
      </c>
      <c r="CW34">
        <f>'2015_2020'!CU3</f>
        <v>4.2949999999999999</v>
      </c>
      <c r="CX34">
        <f>'2015_2020'!CV3</f>
        <v>4.6260000000000003</v>
      </c>
    </row>
    <row r="35" spans="1:102" x14ac:dyDescent="0.2">
      <c r="A35" t="s">
        <v>205</v>
      </c>
      <c r="B35" t="s">
        <v>217</v>
      </c>
      <c r="C35" t="s">
        <v>221</v>
      </c>
      <c r="D35">
        <f>'2015_2020'!B4</f>
        <v>-9.3200000000000002E-3</v>
      </c>
      <c r="E35">
        <f>'2015_2020'!C4</f>
        <v>-6.4600000000000005E-2</v>
      </c>
      <c r="F35">
        <f>'2015_2020'!D4</f>
        <v>-9.9500000000000005E-2</v>
      </c>
      <c r="G35">
        <f>'2015_2020'!E4</f>
        <v>-7.2300000000000003E-2</v>
      </c>
      <c r="H35">
        <f>'2015_2020'!F4</f>
        <v>-0.13300000000000001</v>
      </c>
      <c r="I35">
        <f>'2015_2020'!G4</f>
        <v>-7.6799999999999993E-2</v>
      </c>
      <c r="J35">
        <f>'2015_2020'!H4</f>
        <v>-0.11799999999999999</v>
      </c>
      <c r="K35">
        <f>'2015_2020'!I4</f>
        <v>-7.3999999999999996E-2</v>
      </c>
      <c r="L35">
        <f>'2015_2020'!J4</f>
        <v>-5.04E-2</v>
      </c>
      <c r="M35">
        <f>'2015_2020'!K4</f>
        <v>-8.5300000000000001E-2</v>
      </c>
      <c r="N35">
        <f>'2015_2020'!L4</f>
        <v>-5.45E-2</v>
      </c>
      <c r="O35">
        <f>'2015_2020'!M4</f>
        <v>-1.8800000000000001E-2</v>
      </c>
      <c r="P35">
        <f>'2015_2020'!N4</f>
        <v>-3.8800000000000001E-2</v>
      </c>
      <c r="Q35">
        <f>'2015_2020'!O4</f>
        <v>-2.4199999999999999E-2</v>
      </c>
      <c r="R35">
        <f>'2015_2020'!P4</f>
        <v>-8.25E-4</v>
      </c>
      <c r="S35">
        <f>'2015_2020'!Q4</f>
        <v>3.2100000000000002E-3</v>
      </c>
      <c r="T35">
        <f>'2015_2020'!R4</f>
        <v>9.7199999999999995E-3</v>
      </c>
      <c r="U35">
        <f>'2015_2020'!S4</f>
        <v>8.7200000000000003E-3</v>
      </c>
      <c r="V35">
        <f>'2015_2020'!T4</f>
        <v>2.5100000000000001E-2</v>
      </c>
      <c r="W35">
        <f>'2015_2020'!U4</f>
        <v>2.1499999999999998E-2</v>
      </c>
      <c r="X35">
        <f>'2015_2020'!V4</f>
        <v>6.7099999999999998E-3</v>
      </c>
      <c r="Y35">
        <f>'2015_2020'!W4</f>
        <v>2.5399999999999999E-2</v>
      </c>
      <c r="Z35">
        <f>'2015_2020'!X4</f>
        <v>7.4999999999999997E-3</v>
      </c>
      <c r="AA35">
        <f>'2015_2020'!Y4</f>
        <v>-5.2100000000000002E-3</v>
      </c>
      <c r="AB35">
        <f>'2015_2020'!Z4</f>
        <v>-8.4699999999999999E-4</v>
      </c>
      <c r="AC35">
        <f>'2015_2020'!AA4</f>
        <v>-6.6600000000000001E-3</v>
      </c>
      <c r="AD35">
        <f>'2015_2020'!AB4</f>
        <v>1.6299999999999999E-2</v>
      </c>
      <c r="AE35">
        <f>'2015_2020'!AC4</f>
        <v>1.6799999999999999E-2</v>
      </c>
      <c r="AF35">
        <f>'2015_2020'!AD4</f>
        <v>1.4E-2</v>
      </c>
      <c r="AG35">
        <f>'2015_2020'!AE4</f>
        <v>7.3200000000000001E-3</v>
      </c>
      <c r="AH35">
        <f>'2015_2020'!AF4</f>
        <v>1.9099999999999999E-2</v>
      </c>
      <c r="AI35">
        <f>'2015_2020'!AG4</f>
        <v>1.1900000000000001E-2</v>
      </c>
      <c r="AJ35">
        <f>'2015_2020'!AH4</f>
        <v>-8.09E-3</v>
      </c>
      <c r="AK35">
        <f>'2015_2020'!AI4</f>
        <v>-1.21E-2</v>
      </c>
      <c r="AL35">
        <f>'2015_2020'!AJ4</f>
        <v>1.26E-2</v>
      </c>
      <c r="AM35">
        <f>'2015_2020'!AK4</f>
        <v>1.7100000000000001E-2</v>
      </c>
      <c r="AN35">
        <f>'2015_2020'!AL4</f>
        <v>2.1299999999999999E-2</v>
      </c>
      <c r="AO35">
        <f>'2015_2020'!AM4</f>
        <v>8.6E-3</v>
      </c>
      <c r="AP35">
        <f>'2015_2020'!AN4</f>
        <v>-1.67E-2</v>
      </c>
      <c r="AQ35">
        <f>'2015_2020'!AO4</f>
        <v>-2.8199999999999999E-2</v>
      </c>
      <c r="AR35">
        <f>'2015_2020'!AP4</f>
        <v>-1.23E-2</v>
      </c>
      <c r="AS35">
        <f>'2015_2020'!AQ4</f>
        <v>-1.1299999999999999E-3</v>
      </c>
      <c r="AT35">
        <f>'2015_2020'!AR4</f>
        <v>7.0200000000000002E-3</v>
      </c>
      <c r="AU35">
        <f>'2015_2020'!AS4</f>
        <v>1.6500000000000001E-2</v>
      </c>
      <c r="AV35">
        <f>'2015_2020'!AT4</f>
        <v>2.4799999999999999E-2</v>
      </c>
      <c r="AW35">
        <f>'2015_2020'!AU4</f>
        <v>1.77E-2</v>
      </c>
      <c r="AX35">
        <f>'2015_2020'!AV4</f>
        <v>-4.9899999999999996E-3</v>
      </c>
      <c r="AY35">
        <f>'2015_2020'!AW4</f>
        <v>2.31E-3</v>
      </c>
      <c r="AZ35">
        <f>'2015_2020'!AX4</f>
        <v>7.4100000000000001E-4</v>
      </c>
      <c r="BA35">
        <f>'2015_2020'!AY4</f>
        <v>1.2699999999999999E-2</v>
      </c>
      <c r="BB35">
        <f>'2015_2020'!AZ4</f>
        <v>5.8199999999999997E-3</v>
      </c>
      <c r="BC35">
        <f>'2015_2020'!BA4</f>
        <v>-5.3800000000000002E-3</v>
      </c>
      <c r="BD35">
        <f>'2015_2020'!BB4</f>
        <v>-1.7999999999999999E-2</v>
      </c>
      <c r="BE35">
        <f>'2015_2020'!BC4</f>
        <v>-1.7999999999999999E-2</v>
      </c>
      <c r="BF35">
        <f>'2015_2020'!BD4</f>
        <v>2.3400000000000001E-2</v>
      </c>
      <c r="BG35">
        <f>'2015_2020'!BE4</f>
        <v>3.3300000000000002E-4</v>
      </c>
      <c r="BH35">
        <f>'2015_2020'!BF4</f>
        <v>3.2399999999999998E-3</v>
      </c>
      <c r="BI35">
        <f>'2015_2020'!BG4</f>
        <v>-2.33E-3</v>
      </c>
      <c r="BJ35">
        <f>'2015_2020'!BH4</f>
        <v>-1.0200000000000001E-2</v>
      </c>
      <c r="BK35">
        <f>'2015_2020'!BI4</f>
        <v>-1.39E-3</v>
      </c>
      <c r="BL35">
        <f>'2015_2020'!BJ4</f>
        <v>2.8299999999999999E-2</v>
      </c>
      <c r="BM35">
        <f>'2015_2020'!BK4</f>
        <v>1.2800000000000001E-2</v>
      </c>
      <c r="BN35">
        <f>'2015_2020'!BL4</f>
        <v>-8.3000000000000001E-3</v>
      </c>
      <c r="BO35">
        <f>'2015_2020'!BM4</f>
        <v>-4.1000000000000003E-3</v>
      </c>
      <c r="BP35">
        <f>'2015_2020'!BN4</f>
        <v>4.2500000000000003E-2</v>
      </c>
      <c r="BQ35">
        <f>'2015_2020'!BO4</f>
        <v>3.2199999999999999E-2</v>
      </c>
      <c r="BR35">
        <f>'2015_2020'!BP4</f>
        <v>1.9099999999999999E-2</v>
      </c>
      <c r="BS35">
        <f>'2015_2020'!BQ4</f>
        <v>-1.09E-2</v>
      </c>
      <c r="BT35">
        <f>'2015_2020'!BR4</f>
        <v>-2.8199999999999999E-2</v>
      </c>
      <c r="BU35">
        <f>'2015_2020'!BS4</f>
        <v>-1.47E-2</v>
      </c>
      <c r="BV35">
        <f>'2015_2020'!BT4</f>
        <v>6.2500000000000003E-3</v>
      </c>
      <c r="BW35">
        <f>'2015_2020'!BU4</f>
        <v>1.41E-2</v>
      </c>
      <c r="BX35">
        <f>'2015_2020'!BV4</f>
        <v>2.64E-3</v>
      </c>
      <c r="BY35">
        <f>'2015_2020'!BW4</f>
        <v>2.2499999999999999E-2</v>
      </c>
      <c r="BZ35">
        <f>'2015_2020'!BX4</f>
        <v>7.6800000000000002E-3</v>
      </c>
      <c r="CA35">
        <f>'2015_2020'!BY4</f>
        <v>-2.01E-2</v>
      </c>
      <c r="CB35">
        <f>'2015_2020'!BZ4</f>
        <v>2.4199999999999999E-2</v>
      </c>
      <c r="CC35">
        <f>'2015_2020'!CA4</f>
        <v>2.52E-2</v>
      </c>
      <c r="CD35">
        <f>'2015_2020'!CB4</f>
        <v>4.5900000000000003E-2</v>
      </c>
      <c r="CE35">
        <f>'2015_2020'!CC4</f>
        <v>5.5599999999999997E-2</v>
      </c>
      <c r="CF35">
        <f>'2015_2020'!CD4</f>
        <v>0.02</v>
      </c>
      <c r="CG35">
        <f>'2015_2020'!CE4</f>
        <v>-2.5600000000000001E-2</v>
      </c>
      <c r="CH35">
        <f>'2015_2020'!CF4</f>
        <v>-6.2599999999999999E-3</v>
      </c>
      <c r="CI35">
        <f>'2015_2020'!CG4</f>
        <v>9.5999999999999992E-3</v>
      </c>
      <c r="CJ35">
        <f>'2015_2020'!CH4</f>
        <v>1.26E-2</v>
      </c>
      <c r="CK35">
        <f>'2015_2020'!CI4</f>
        <v>1.55E-2</v>
      </c>
      <c r="CL35">
        <f>'2015_2020'!CJ4</f>
        <v>4.7500000000000001E-2</v>
      </c>
      <c r="CM35">
        <f>'2015_2020'!CK4</f>
        <v>5.4900000000000001E-3</v>
      </c>
      <c r="CN35">
        <f>'2015_2020'!CL4</f>
        <v>1.5E-3</v>
      </c>
      <c r="CO35">
        <f>'2015_2020'!CM4</f>
        <v>6.5500000000000003E-3</v>
      </c>
      <c r="CP35">
        <f>'2015_2020'!CN4</f>
        <v>-1.32E-2</v>
      </c>
      <c r="CQ35">
        <f>'2015_2020'!CO4</f>
        <v>-8.5900000000000004E-3</v>
      </c>
      <c r="CR35">
        <f>'2015_2020'!CP4</f>
        <v>-4.0800000000000003E-3</v>
      </c>
      <c r="CS35">
        <f>'2015_2020'!CQ4</f>
        <v>-8.2799999999999992E-3</v>
      </c>
      <c r="CT35">
        <f>'2015_2020'!CR4</f>
        <v>1.23E-2</v>
      </c>
      <c r="CU35">
        <f>'2015_2020'!CS4</f>
        <v>-9.8600000000000007E-3</v>
      </c>
      <c r="CV35">
        <f>'2015_2020'!CT4</f>
        <v>3.09E-2</v>
      </c>
      <c r="CW35">
        <f>'2015_2020'!CU4</f>
        <v>-6.3600000000000002E-3</v>
      </c>
      <c r="CX35">
        <f>'2015_2020'!CV4</f>
        <v>-1.7600000000000001E-2</v>
      </c>
    </row>
    <row r="36" spans="1:102" x14ac:dyDescent="0.2">
      <c r="A36" t="s">
        <v>206</v>
      </c>
      <c r="B36" t="s">
        <v>217</v>
      </c>
      <c r="C36" t="s">
        <v>221</v>
      </c>
      <c r="D36">
        <f>'2015_2020'!B5</f>
        <v>4.1799999999999997E-2</v>
      </c>
      <c r="E36">
        <f>'2015_2020'!C5</f>
        <v>4.9799999999999997E-2</v>
      </c>
      <c r="F36">
        <f>'2015_2020'!D5</f>
        <v>3.9100000000000003E-2</v>
      </c>
      <c r="G36">
        <f>'2015_2020'!E5</f>
        <v>3.73E-2</v>
      </c>
      <c r="H36">
        <f>'2015_2020'!F5</f>
        <v>2.98E-2</v>
      </c>
      <c r="I36">
        <f>'2015_2020'!G5</f>
        <v>3.3300000000000003E-2</v>
      </c>
      <c r="J36">
        <f>'2015_2020'!H5</f>
        <v>2.75E-2</v>
      </c>
      <c r="K36">
        <f>'2015_2020'!I5</f>
        <v>2.5999999999999999E-2</v>
      </c>
      <c r="L36">
        <f>'2015_2020'!J5</f>
        <v>2.6200000000000001E-2</v>
      </c>
      <c r="M36">
        <f>'2015_2020'!K5</f>
        <v>2.12E-2</v>
      </c>
      <c r="N36">
        <f>'2015_2020'!L5</f>
        <v>1.89E-2</v>
      </c>
      <c r="O36">
        <f>'2015_2020'!M5</f>
        <v>1.6199999999999999E-2</v>
      </c>
      <c r="P36">
        <f>'2015_2020'!N5</f>
        <v>1.6E-2</v>
      </c>
      <c r="Q36">
        <f>'2015_2020'!O5</f>
        <v>1.6299999999999999E-2</v>
      </c>
      <c r="R36">
        <f>'2015_2020'!P5</f>
        <v>1.7899999999999999E-2</v>
      </c>
      <c r="S36">
        <f>'2015_2020'!Q5</f>
        <v>1.78E-2</v>
      </c>
      <c r="T36">
        <f>'2015_2020'!R5</f>
        <v>1.8100000000000002E-2</v>
      </c>
      <c r="U36">
        <f>'2015_2020'!S5</f>
        <v>1.9400000000000001E-2</v>
      </c>
      <c r="V36">
        <f>'2015_2020'!T5</f>
        <v>2.12E-2</v>
      </c>
      <c r="W36">
        <f>'2015_2020'!U5</f>
        <v>2.2599999999999999E-2</v>
      </c>
      <c r="X36">
        <f>'2015_2020'!V5</f>
        <v>2.3199999999999998E-2</v>
      </c>
      <c r="Y36">
        <f>'2015_2020'!W5</f>
        <v>2.35E-2</v>
      </c>
      <c r="Z36">
        <f>'2015_2020'!X5</f>
        <v>2.3599999999999999E-2</v>
      </c>
      <c r="AA36">
        <f>'2015_2020'!Y5</f>
        <v>2.46E-2</v>
      </c>
      <c r="AB36">
        <f>'2015_2020'!Z5</f>
        <v>2.64E-2</v>
      </c>
      <c r="AC36">
        <f>'2015_2020'!AA5</f>
        <v>2.76E-2</v>
      </c>
      <c r="AD36">
        <f>'2015_2020'!AB5</f>
        <v>2.8199999999999999E-2</v>
      </c>
      <c r="AE36">
        <f>'2015_2020'!AC5</f>
        <v>3.0700000000000002E-2</v>
      </c>
      <c r="AF36">
        <f>'2015_2020'!AD5</f>
        <v>3.2199999999999999E-2</v>
      </c>
      <c r="AG36">
        <f>'2015_2020'!AE5</f>
        <v>3.39E-2</v>
      </c>
      <c r="AH36">
        <f>'2015_2020'!AF5</f>
        <v>3.6299999999999999E-2</v>
      </c>
      <c r="AI36">
        <f>'2015_2020'!AG5</f>
        <v>3.8699999999999998E-2</v>
      </c>
      <c r="AJ36">
        <f>'2015_2020'!AH5</f>
        <v>4.2999999999999997E-2</v>
      </c>
      <c r="AK36">
        <f>'2015_2020'!AI5</f>
        <v>4.6100000000000002E-2</v>
      </c>
      <c r="AL36">
        <f>'2015_2020'!AJ5</f>
        <v>4.8899999999999999E-2</v>
      </c>
      <c r="AM36">
        <f>'2015_2020'!AK5</f>
        <v>5.0799999999999998E-2</v>
      </c>
      <c r="AN36">
        <f>'2015_2020'!AL5</f>
        <v>5.2900000000000003E-2</v>
      </c>
      <c r="AO36">
        <f>'2015_2020'!AM5</f>
        <v>5.4899999999999997E-2</v>
      </c>
      <c r="AP36">
        <f>'2015_2020'!AN5</f>
        <v>5.45E-2</v>
      </c>
      <c r="AQ36">
        <f>'2015_2020'!AO5</f>
        <v>5.4100000000000002E-2</v>
      </c>
      <c r="AR36">
        <f>'2015_2020'!AP5</f>
        <v>5.4699999999999999E-2</v>
      </c>
      <c r="AS36">
        <f>'2015_2020'!AQ5</f>
        <v>5.4800000000000001E-2</v>
      </c>
      <c r="AT36">
        <f>'2015_2020'!AR5</f>
        <v>5.6300000000000003E-2</v>
      </c>
      <c r="AU36">
        <f>'2015_2020'!AS5</f>
        <v>5.6300000000000003E-2</v>
      </c>
      <c r="AV36">
        <f>'2015_2020'!AT5</f>
        <v>5.9400000000000001E-2</v>
      </c>
      <c r="AW36">
        <f>'2015_2020'!AU5</f>
        <v>6.25E-2</v>
      </c>
      <c r="AX36">
        <f>'2015_2020'!AV5</f>
        <v>6.6400000000000001E-2</v>
      </c>
      <c r="AY36">
        <f>'2015_2020'!AW5</f>
        <v>6.93E-2</v>
      </c>
      <c r="AZ36">
        <f>'2015_2020'!AX5</f>
        <v>7.22E-2</v>
      </c>
      <c r="BA36">
        <f>'2015_2020'!AY5</f>
        <v>7.51E-2</v>
      </c>
      <c r="BB36">
        <f>'2015_2020'!AZ5</f>
        <v>7.5899999999999995E-2</v>
      </c>
      <c r="BC36">
        <f>'2015_2020'!BA5</f>
        <v>7.6100000000000001E-2</v>
      </c>
      <c r="BD36">
        <f>'2015_2020'!BB5</f>
        <v>7.6499999999999999E-2</v>
      </c>
      <c r="BE36">
        <f>'2015_2020'!BC5</f>
        <v>7.7100000000000002E-2</v>
      </c>
      <c r="BF36">
        <f>'2015_2020'!BD5</f>
        <v>7.9299999999999995E-2</v>
      </c>
      <c r="BG36">
        <f>'2015_2020'!BE5</f>
        <v>7.9799999999999996E-2</v>
      </c>
      <c r="BH36">
        <f>'2015_2020'!BF5</f>
        <v>8.1199999999999994E-2</v>
      </c>
      <c r="BI36">
        <f>'2015_2020'!BG5</f>
        <v>8.4400000000000003E-2</v>
      </c>
      <c r="BJ36">
        <f>'2015_2020'!BH5</f>
        <v>8.6900000000000005E-2</v>
      </c>
      <c r="BK36">
        <f>'2015_2020'!BI5</f>
        <v>8.8599999999999998E-2</v>
      </c>
      <c r="BL36">
        <f>'2015_2020'!BJ5</f>
        <v>8.9899999999999994E-2</v>
      </c>
      <c r="BM36">
        <f>'2015_2020'!BK5</f>
        <v>9.1999999999999998E-2</v>
      </c>
      <c r="BN36">
        <f>'2015_2020'!BL5</f>
        <v>9.3299999999999994E-2</v>
      </c>
      <c r="BO36">
        <f>'2015_2020'!BM5</f>
        <v>9.35E-2</v>
      </c>
      <c r="BP36">
        <f>'2015_2020'!BN5</f>
        <v>9.3100000000000002E-2</v>
      </c>
      <c r="BQ36">
        <f>'2015_2020'!BO5</f>
        <v>9.3700000000000006E-2</v>
      </c>
      <c r="BR36">
        <f>'2015_2020'!BP5</f>
        <v>9.4700000000000006E-2</v>
      </c>
      <c r="BS36">
        <f>'2015_2020'!BQ5</f>
        <v>9.98E-2</v>
      </c>
      <c r="BT36">
        <f>'2015_2020'!BR5</f>
        <v>0.10299999999999999</v>
      </c>
      <c r="BU36">
        <f>'2015_2020'!BS5</f>
        <v>0.11</v>
      </c>
      <c r="BV36">
        <f>'2015_2020'!BT5</f>
        <v>0.114</v>
      </c>
      <c r="BW36">
        <f>'2015_2020'!BU5</f>
        <v>0.124</v>
      </c>
      <c r="BX36">
        <f>'2015_2020'!BV5</f>
        <v>0.127</v>
      </c>
      <c r="BY36">
        <f>'2015_2020'!BW5</f>
        <v>0.126</v>
      </c>
      <c r="BZ36">
        <f>'2015_2020'!BX5</f>
        <v>0.11600000000000001</v>
      </c>
      <c r="CA36">
        <f>'2015_2020'!BY5</f>
        <v>0.113</v>
      </c>
      <c r="CB36">
        <f>'2015_2020'!BZ5</f>
        <v>0.111</v>
      </c>
      <c r="CC36">
        <f>'2015_2020'!CA5</f>
        <v>0.111</v>
      </c>
      <c r="CD36">
        <f>'2015_2020'!CB5</f>
        <v>0.11700000000000001</v>
      </c>
      <c r="CE36">
        <f>'2015_2020'!CC5</f>
        <v>0.14699999999999999</v>
      </c>
      <c r="CF36">
        <f>'2015_2020'!CD5</f>
        <v>0.159</v>
      </c>
      <c r="CG36">
        <f>'2015_2020'!CE5</f>
        <v>0.154</v>
      </c>
      <c r="CH36">
        <f>'2015_2020'!CF5</f>
        <v>0.14799999999999999</v>
      </c>
      <c r="CI36">
        <f>'2015_2020'!CG5</f>
        <v>0.14799999999999999</v>
      </c>
      <c r="CJ36">
        <f>'2015_2020'!CH5</f>
        <v>0.152</v>
      </c>
      <c r="CK36">
        <f>'2015_2020'!CI5</f>
        <v>0.14599999999999999</v>
      </c>
      <c r="CL36">
        <f>'2015_2020'!CJ5</f>
        <v>0.14000000000000001</v>
      </c>
      <c r="CM36">
        <f>'2015_2020'!CK5</f>
        <v>0.14399999999999999</v>
      </c>
      <c r="CN36">
        <f>'2015_2020'!CL5</f>
        <v>0.16700000000000001</v>
      </c>
      <c r="CO36">
        <f>'2015_2020'!CM5</f>
        <v>0.16800000000000001</v>
      </c>
      <c r="CP36">
        <f>'2015_2020'!CN5</f>
        <v>0.14199999999999999</v>
      </c>
      <c r="CQ36">
        <f>'2015_2020'!CO5</f>
        <v>0.13100000000000001</v>
      </c>
      <c r="CR36">
        <f>'2015_2020'!CP5</f>
        <v>0.16700000000000001</v>
      </c>
      <c r="CS36">
        <f>'2015_2020'!CQ5</f>
        <v>0.13600000000000001</v>
      </c>
      <c r="CT36">
        <f>'2015_2020'!CR5</f>
        <v>0.16</v>
      </c>
      <c r="CU36">
        <f>'2015_2020'!CS5</f>
        <v>0.16</v>
      </c>
      <c r="CV36">
        <f>'2015_2020'!CT5</f>
        <v>0.14799999999999999</v>
      </c>
      <c r="CW36">
        <f>'2015_2020'!CU5</f>
        <v>0.152</v>
      </c>
      <c r="CX36">
        <f>'2015_2020'!CV5</f>
        <v>0.14899999999999999</v>
      </c>
    </row>
    <row r="37" spans="1:102" x14ac:dyDescent="0.2">
      <c r="A37" t="s">
        <v>207</v>
      </c>
      <c r="B37" t="s">
        <v>217</v>
      </c>
      <c r="C37" t="s">
        <v>221</v>
      </c>
      <c r="D37">
        <f>'2015_2020'!B6</f>
        <v>-5.11E-2</v>
      </c>
      <c r="E37">
        <f>'2015_2020'!C6</f>
        <v>-0.114</v>
      </c>
      <c r="F37">
        <f>'2015_2020'!D6</f>
        <v>-0.13900000000000001</v>
      </c>
      <c r="G37">
        <f>'2015_2020'!E6</f>
        <v>-0.11</v>
      </c>
      <c r="H37">
        <f>'2015_2020'!F6</f>
        <v>-0.16300000000000001</v>
      </c>
      <c r="I37">
        <f>'2015_2020'!G6</f>
        <v>-0.11</v>
      </c>
      <c r="J37">
        <f>'2015_2020'!H6</f>
        <v>-0.14499999999999999</v>
      </c>
      <c r="K37">
        <f>'2015_2020'!I6</f>
        <v>-0.1</v>
      </c>
      <c r="L37">
        <f>'2015_2020'!J6</f>
        <v>-7.6600000000000001E-2</v>
      </c>
      <c r="M37">
        <f>'2015_2020'!K6</f>
        <v>-0.107</v>
      </c>
      <c r="N37">
        <f>'2015_2020'!L6</f>
        <v>-7.3400000000000007E-2</v>
      </c>
      <c r="O37">
        <f>'2015_2020'!M6</f>
        <v>-3.5000000000000003E-2</v>
      </c>
      <c r="P37">
        <f>'2015_2020'!N6</f>
        <v>-5.4800000000000001E-2</v>
      </c>
      <c r="Q37">
        <f>'2015_2020'!O6</f>
        <v>-4.0500000000000001E-2</v>
      </c>
      <c r="R37">
        <f>'2015_2020'!P6</f>
        <v>-1.8700000000000001E-2</v>
      </c>
      <c r="S37">
        <f>'2015_2020'!Q6</f>
        <v>-1.46E-2</v>
      </c>
      <c r="T37">
        <f>'2015_2020'!R6</f>
        <v>-8.3899999999999999E-3</v>
      </c>
      <c r="U37">
        <f>'2015_2020'!S6</f>
        <v>-1.06E-2</v>
      </c>
      <c r="V37">
        <f>'2015_2020'!T6</f>
        <v>3.8700000000000002E-3</v>
      </c>
      <c r="W37">
        <f>'2015_2020'!U6</f>
        <v>-1.08E-3</v>
      </c>
      <c r="X37">
        <f>'2015_2020'!V6</f>
        <v>-1.6500000000000001E-2</v>
      </c>
      <c r="Y37">
        <f>'2015_2020'!W6</f>
        <v>1.97E-3</v>
      </c>
      <c r="Z37">
        <f>'2015_2020'!X6</f>
        <v>-1.61E-2</v>
      </c>
      <c r="AA37">
        <f>'2015_2020'!Y6</f>
        <v>-2.98E-2</v>
      </c>
      <c r="AB37">
        <f>'2015_2020'!Z6</f>
        <v>-2.7199999999999998E-2</v>
      </c>
      <c r="AC37">
        <f>'2015_2020'!AA6</f>
        <v>-3.4299999999999997E-2</v>
      </c>
      <c r="AD37">
        <f>'2015_2020'!AB6</f>
        <v>-1.1900000000000001E-2</v>
      </c>
      <c r="AE37">
        <f>'2015_2020'!AC6</f>
        <v>-1.38E-2</v>
      </c>
      <c r="AF37">
        <f>'2015_2020'!AD6</f>
        <v>-1.8200000000000001E-2</v>
      </c>
      <c r="AG37">
        <f>'2015_2020'!AE6</f>
        <v>-2.6599999999999999E-2</v>
      </c>
      <c r="AH37">
        <f>'2015_2020'!AF6</f>
        <v>-1.7100000000000001E-2</v>
      </c>
      <c r="AI37">
        <f>'2015_2020'!AG6</f>
        <v>-2.69E-2</v>
      </c>
      <c r="AJ37">
        <f>'2015_2020'!AH6</f>
        <v>-5.11E-2</v>
      </c>
      <c r="AK37">
        <f>'2015_2020'!AI6</f>
        <v>-5.8200000000000002E-2</v>
      </c>
      <c r="AL37">
        <f>'2015_2020'!AJ6</f>
        <v>-3.6299999999999999E-2</v>
      </c>
      <c r="AM37">
        <f>'2015_2020'!AK6</f>
        <v>-3.3599999999999998E-2</v>
      </c>
      <c r="AN37">
        <f>'2015_2020'!AL6</f>
        <v>-3.1600000000000003E-2</v>
      </c>
      <c r="AO37">
        <f>'2015_2020'!AM6</f>
        <v>-4.6300000000000001E-2</v>
      </c>
      <c r="AP37">
        <f>'2015_2020'!AN6</f>
        <v>-7.1199999999999999E-2</v>
      </c>
      <c r="AQ37">
        <f>'2015_2020'!AO6</f>
        <v>-8.2299999999999998E-2</v>
      </c>
      <c r="AR37">
        <f>'2015_2020'!AP6</f>
        <v>-6.7000000000000004E-2</v>
      </c>
      <c r="AS37">
        <f>'2015_2020'!AQ6</f>
        <v>-5.5899999999999998E-2</v>
      </c>
      <c r="AT37">
        <f>'2015_2020'!AR6</f>
        <v>-4.9299999999999997E-2</v>
      </c>
      <c r="AU37">
        <f>'2015_2020'!AS6</f>
        <v>-3.9800000000000002E-2</v>
      </c>
      <c r="AV37">
        <f>'2015_2020'!AT6</f>
        <v>-3.4599999999999999E-2</v>
      </c>
      <c r="AW37">
        <f>'2015_2020'!AU6</f>
        <v>-4.48E-2</v>
      </c>
      <c r="AX37">
        <f>'2015_2020'!AV6</f>
        <v>-7.1400000000000005E-2</v>
      </c>
      <c r="AY37">
        <f>'2015_2020'!AW6</f>
        <v>-6.7000000000000004E-2</v>
      </c>
      <c r="AZ37">
        <f>'2015_2020'!AX6</f>
        <v>-7.1400000000000005E-2</v>
      </c>
      <c r="BA37">
        <f>'2015_2020'!AY6</f>
        <v>-6.2399999999999997E-2</v>
      </c>
      <c r="BB37">
        <f>'2015_2020'!AZ6</f>
        <v>-7.0099999999999996E-2</v>
      </c>
      <c r="BC37">
        <f>'2015_2020'!BA6</f>
        <v>-8.1500000000000003E-2</v>
      </c>
      <c r="BD37">
        <f>'2015_2020'!BB6</f>
        <v>-9.4600000000000004E-2</v>
      </c>
      <c r="BE37">
        <f>'2015_2020'!BC6</f>
        <v>-9.5100000000000004E-2</v>
      </c>
      <c r="BF37">
        <f>'2015_2020'!BD6</f>
        <v>-5.5800000000000002E-2</v>
      </c>
      <c r="BG37">
        <f>'2015_2020'!BE6</f>
        <v>-7.9399999999999998E-2</v>
      </c>
      <c r="BH37">
        <f>'2015_2020'!BF6</f>
        <v>-7.8E-2</v>
      </c>
      <c r="BI37">
        <f>'2015_2020'!BG6</f>
        <v>-8.6699999999999999E-2</v>
      </c>
      <c r="BJ37">
        <f>'2015_2020'!BH6</f>
        <v>-9.7199999999999995E-2</v>
      </c>
      <c r="BK37">
        <f>'2015_2020'!BI6</f>
        <v>-0.09</v>
      </c>
      <c r="BL37">
        <f>'2015_2020'!BJ6</f>
        <v>-6.1499999999999999E-2</v>
      </c>
      <c r="BM37">
        <f>'2015_2020'!BK6</f>
        <v>-7.9200000000000007E-2</v>
      </c>
      <c r="BN37">
        <f>'2015_2020'!BL6</f>
        <v>-0.10199999999999999</v>
      </c>
      <c r="BO37">
        <f>'2015_2020'!BM6</f>
        <v>-9.7600000000000006E-2</v>
      </c>
      <c r="BP37">
        <f>'2015_2020'!BN6</f>
        <v>-5.0599999999999999E-2</v>
      </c>
      <c r="BQ37">
        <f>'2015_2020'!BO6</f>
        <v>-6.1499999999999999E-2</v>
      </c>
      <c r="BR37">
        <f>'2015_2020'!BP6</f>
        <v>-7.5600000000000001E-2</v>
      </c>
      <c r="BS37">
        <f>'2015_2020'!BQ6</f>
        <v>-0.111</v>
      </c>
      <c r="BT37">
        <f>'2015_2020'!BR6</f>
        <v>-0.13100000000000001</v>
      </c>
      <c r="BU37">
        <f>'2015_2020'!BS6</f>
        <v>-0.125</v>
      </c>
      <c r="BV37">
        <f>'2015_2020'!BT6</f>
        <v>-0.108</v>
      </c>
      <c r="BW37">
        <f>'2015_2020'!BU6</f>
        <v>-0.11</v>
      </c>
      <c r="BX37">
        <f>'2015_2020'!BV6</f>
        <v>-0.124</v>
      </c>
      <c r="BY37">
        <f>'2015_2020'!BW6</f>
        <v>-0.10299999999999999</v>
      </c>
      <c r="BZ37">
        <f>'2015_2020'!BX6</f>
        <v>-0.109</v>
      </c>
      <c r="CA37">
        <f>'2015_2020'!BY6</f>
        <v>-0.13300000000000001</v>
      </c>
      <c r="CB37">
        <f>'2015_2020'!BZ6</f>
        <v>-8.6999999999999994E-2</v>
      </c>
      <c r="CC37">
        <f>'2015_2020'!CA6</f>
        <v>-8.5900000000000004E-2</v>
      </c>
      <c r="CD37">
        <f>'2015_2020'!CB6</f>
        <v>-7.0999999999999994E-2</v>
      </c>
      <c r="CE37">
        <f>'2015_2020'!CC6</f>
        <v>-9.1200000000000003E-2</v>
      </c>
      <c r="CF37">
        <f>'2015_2020'!CD6</f>
        <v>-0.13900000000000001</v>
      </c>
      <c r="CG37">
        <f>'2015_2020'!CE6</f>
        <v>-0.18</v>
      </c>
      <c r="CH37">
        <f>'2015_2020'!CF6</f>
        <v>-0.154</v>
      </c>
      <c r="CI37">
        <f>'2015_2020'!CG6</f>
        <v>-0.13800000000000001</v>
      </c>
      <c r="CJ37">
        <f>'2015_2020'!CH6</f>
        <v>-0.14000000000000001</v>
      </c>
      <c r="CK37">
        <f>'2015_2020'!CI6</f>
        <v>-0.13</v>
      </c>
      <c r="CL37">
        <f>'2015_2020'!CJ6</f>
        <v>-9.2299999999999993E-2</v>
      </c>
      <c r="CM37">
        <f>'2015_2020'!CK6</f>
        <v>-0.13800000000000001</v>
      </c>
      <c r="CN37">
        <f>'2015_2020'!CL6</f>
        <v>-0.16600000000000001</v>
      </c>
      <c r="CO37">
        <f>'2015_2020'!CM6</f>
        <v>-0.16200000000000001</v>
      </c>
      <c r="CP37">
        <f>'2015_2020'!CN6</f>
        <v>-0.155</v>
      </c>
      <c r="CQ37">
        <f>'2015_2020'!CO6</f>
        <v>-0.13900000000000001</v>
      </c>
      <c r="CR37">
        <f>'2015_2020'!CP6</f>
        <v>-0.17100000000000001</v>
      </c>
      <c r="CS37">
        <f>'2015_2020'!CQ6</f>
        <v>-0.14499999999999999</v>
      </c>
      <c r="CT37">
        <f>'2015_2020'!CR6</f>
        <v>-0.14699999999999999</v>
      </c>
      <c r="CU37">
        <f>'2015_2020'!CS6</f>
        <v>-0.17</v>
      </c>
      <c r="CV37">
        <f>'2015_2020'!CT6</f>
        <v>-0.11799999999999999</v>
      </c>
      <c r="CW37">
        <f>'2015_2020'!CU6</f>
        <v>-0.158</v>
      </c>
      <c r="CX37">
        <f>'2015_2020'!CV6</f>
        <v>-0.16700000000000001</v>
      </c>
    </row>
    <row r="38" spans="1:102" x14ac:dyDescent="0.2">
      <c r="A38" t="s">
        <v>208</v>
      </c>
      <c r="B38" t="s">
        <v>218</v>
      </c>
      <c r="C38" t="s">
        <v>221</v>
      </c>
      <c r="D38">
        <f>'2015_2020'!B7</f>
        <v>4.1700000000000001E-2</v>
      </c>
      <c r="E38">
        <f>'2015_2020'!C7</f>
        <v>5.1999999999999998E-2</v>
      </c>
      <c r="F38">
        <f>'2015_2020'!D7</f>
        <v>4.41E-2</v>
      </c>
      <c r="G38">
        <f>'2015_2020'!E7</f>
        <v>4.53E-2</v>
      </c>
      <c r="H38">
        <f>'2015_2020'!F7</f>
        <v>3.7900000000000003E-2</v>
      </c>
      <c r="I38">
        <f>'2015_2020'!G7</f>
        <v>4.4499999999999998E-2</v>
      </c>
      <c r="J38">
        <f>'2015_2020'!H7</f>
        <v>4.0099999999999997E-2</v>
      </c>
      <c r="K38">
        <f>'2015_2020'!I7</f>
        <v>3.9800000000000002E-2</v>
      </c>
      <c r="L38">
        <f>'2015_2020'!J7</f>
        <v>4.0300000000000002E-2</v>
      </c>
      <c r="M38">
        <f>'2015_2020'!K7</f>
        <v>3.3799999999999997E-2</v>
      </c>
      <c r="N38">
        <f>'2015_2020'!L7</f>
        <v>2.9399999999999999E-2</v>
      </c>
      <c r="O38">
        <f>'2015_2020'!M7</f>
        <v>2.3400000000000001E-2</v>
      </c>
      <c r="P38">
        <f>'2015_2020'!N7</f>
        <v>2.18E-2</v>
      </c>
      <c r="Q38">
        <f>'2015_2020'!O7</f>
        <v>2.1700000000000001E-2</v>
      </c>
      <c r="R38">
        <f>'2015_2020'!P7</f>
        <v>2.24E-2</v>
      </c>
      <c r="S38">
        <f>'2015_2020'!Q7</f>
        <v>2.1999999999999999E-2</v>
      </c>
      <c r="T38">
        <f>'2015_2020'!R7</f>
        <v>2.1499999999999998E-2</v>
      </c>
      <c r="U38">
        <f>'2015_2020'!S7</f>
        <v>2.18E-2</v>
      </c>
      <c r="V38">
        <f>'2015_2020'!T7</f>
        <v>2.2800000000000001E-2</v>
      </c>
      <c r="W38">
        <f>'2015_2020'!U7</f>
        <v>2.3199999999999998E-2</v>
      </c>
      <c r="X38">
        <f>'2015_2020'!V7</f>
        <v>2.3E-2</v>
      </c>
      <c r="Y38">
        <f>'2015_2020'!W7</f>
        <v>2.3099999999999999E-2</v>
      </c>
      <c r="Z38">
        <f>'2015_2020'!X7</f>
        <v>2.3E-2</v>
      </c>
      <c r="AA38">
        <f>'2015_2020'!Y7</f>
        <v>2.3599999999999999E-2</v>
      </c>
      <c r="AB38">
        <f>'2015_2020'!Z7</f>
        <v>2.53E-2</v>
      </c>
      <c r="AC38">
        <f>'2015_2020'!AA7</f>
        <v>2.6499999999999999E-2</v>
      </c>
      <c r="AD38">
        <f>'2015_2020'!AB7</f>
        <v>2.7300000000000001E-2</v>
      </c>
      <c r="AE38">
        <f>'2015_2020'!AC7</f>
        <v>2.8799999999999999E-2</v>
      </c>
      <c r="AF38">
        <f>'2015_2020'!AD7</f>
        <v>3.0200000000000001E-2</v>
      </c>
      <c r="AG38">
        <f>'2015_2020'!AE7</f>
        <v>3.1600000000000003E-2</v>
      </c>
      <c r="AH38">
        <f>'2015_2020'!AF7</f>
        <v>3.3500000000000002E-2</v>
      </c>
      <c r="AI38">
        <f>'2015_2020'!AG7</f>
        <v>3.5799999999999998E-2</v>
      </c>
      <c r="AJ38">
        <f>'2015_2020'!AH7</f>
        <v>3.9600000000000003E-2</v>
      </c>
      <c r="AK38">
        <f>'2015_2020'!AI7</f>
        <v>4.2700000000000002E-2</v>
      </c>
      <c r="AL38">
        <f>'2015_2020'!AJ7</f>
        <v>4.5100000000000001E-2</v>
      </c>
      <c r="AM38">
        <f>'2015_2020'!AK7</f>
        <v>4.65E-2</v>
      </c>
      <c r="AN38">
        <f>'2015_2020'!AL7</f>
        <v>4.8099999999999997E-2</v>
      </c>
      <c r="AO38">
        <f>'2015_2020'!AM7</f>
        <v>4.9399999999999999E-2</v>
      </c>
      <c r="AP38">
        <f>'2015_2020'!AN7</f>
        <v>4.9099999999999998E-2</v>
      </c>
      <c r="AQ38">
        <f>'2015_2020'!AO7</f>
        <v>4.87E-2</v>
      </c>
      <c r="AR38">
        <f>'2015_2020'!AP7</f>
        <v>4.9299999999999997E-2</v>
      </c>
      <c r="AS38">
        <f>'2015_2020'!AQ7</f>
        <v>4.99E-2</v>
      </c>
      <c r="AT38">
        <f>'2015_2020'!AR7</f>
        <v>5.11E-2</v>
      </c>
      <c r="AU38">
        <f>'2015_2020'!AS7</f>
        <v>5.11E-2</v>
      </c>
      <c r="AV38">
        <f>'2015_2020'!AT7</f>
        <v>5.3400000000000003E-2</v>
      </c>
      <c r="AW38">
        <f>'2015_2020'!AU7</f>
        <v>5.6599999999999998E-2</v>
      </c>
      <c r="AX38">
        <f>'2015_2020'!AV7</f>
        <v>6.0199999999999997E-2</v>
      </c>
      <c r="AY38">
        <f>'2015_2020'!AW7</f>
        <v>6.2600000000000003E-2</v>
      </c>
      <c r="AZ38">
        <f>'2015_2020'!AX7</f>
        <v>6.4899999999999999E-2</v>
      </c>
      <c r="BA38">
        <f>'2015_2020'!AY7</f>
        <v>6.7100000000000007E-2</v>
      </c>
      <c r="BB38">
        <f>'2015_2020'!AZ7</f>
        <v>6.83E-2</v>
      </c>
      <c r="BC38">
        <f>'2015_2020'!BA7</f>
        <v>6.8099999999999994E-2</v>
      </c>
      <c r="BD38">
        <f>'2015_2020'!BB7</f>
        <v>6.8599999999999994E-2</v>
      </c>
      <c r="BE38">
        <f>'2015_2020'!BC7</f>
        <v>6.8900000000000003E-2</v>
      </c>
      <c r="BF38">
        <f>'2015_2020'!BD7</f>
        <v>7.0199999999999999E-2</v>
      </c>
      <c r="BG38">
        <f>'2015_2020'!BE7</f>
        <v>7.0900000000000005E-2</v>
      </c>
      <c r="BH38">
        <f>'2015_2020'!BF7</f>
        <v>7.2300000000000003E-2</v>
      </c>
      <c r="BI38">
        <f>'2015_2020'!BG7</f>
        <v>7.4899999999999994E-2</v>
      </c>
      <c r="BJ38">
        <f>'2015_2020'!BH7</f>
        <v>7.7200000000000005E-2</v>
      </c>
      <c r="BK38">
        <f>'2015_2020'!BI7</f>
        <v>7.9299999999999995E-2</v>
      </c>
      <c r="BL38">
        <f>'2015_2020'!BJ7</f>
        <v>8.0699999999999994E-2</v>
      </c>
      <c r="BM38">
        <f>'2015_2020'!BK7</f>
        <v>8.2400000000000001E-2</v>
      </c>
      <c r="BN38">
        <f>'2015_2020'!BL7</f>
        <v>8.3500000000000005E-2</v>
      </c>
      <c r="BO38">
        <f>'2015_2020'!BM7</f>
        <v>8.3799999999999999E-2</v>
      </c>
      <c r="BP38">
        <f>'2015_2020'!BN7</f>
        <v>8.3699999999999997E-2</v>
      </c>
      <c r="BQ38">
        <f>'2015_2020'!BO7</f>
        <v>8.4099999999999994E-2</v>
      </c>
      <c r="BR38">
        <f>'2015_2020'!BP7</f>
        <v>8.4400000000000003E-2</v>
      </c>
      <c r="BS38">
        <f>'2015_2020'!BQ7</f>
        <v>8.9300000000000004E-2</v>
      </c>
      <c r="BT38">
        <f>'2015_2020'!BR7</f>
        <v>9.2799999999999994E-2</v>
      </c>
      <c r="BU38">
        <f>'2015_2020'!BS7</f>
        <v>9.8900000000000002E-2</v>
      </c>
      <c r="BV38">
        <f>'2015_2020'!BT7</f>
        <v>0.10299999999999999</v>
      </c>
      <c r="BW38">
        <f>'2015_2020'!BU7</f>
        <v>0.113</v>
      </c>
      <c r="BX38">
        <f>'2015_2020'!BV7</f>
        <v>0.115</v>
      </c>
      <c r="BY38">
        <f>'2015_2020'!BW7</f>
        <v>0.114</v>
      </c>
      <c r="BZ38">
        <f>'2015_2020'!BX7</f>
        <v>0.105</v>
      </c>
      <c r="CA38">
        <f>'2015_2020'!BY7</f>
        <v>0.10299999999999999</v>
      </c>
      <c r="CB38">
        <f>'2015_2020'!BZ7</f>
        <v>0.10199999999999999</v>
      </c>
      <c r="CC38">
        <f>'2015_2020'!CA7</f>
        <v>0.10199999999999999</v>
      </c>
      <c r="CD38">
        <f>'2015_2020'!CB7</f>
        <v>0.107</v>
      </c>
      <c r="CE38">
        <f>'2015_2020'!CC7</f>
        <v>0.13500000000000001</v>
      </c>
      <c r="CF38">
        <f>'2015_2020'!CD7</f>
        <v>0.14699999999999999</v>
      </c>
      <c r="CG38">
        <f>'2015_2020'!CE7</f>
        <v>0.14299999999999999</v>
      </c>
      <c r="CH38">
        <f>'2015_2020'!CF7</f>
        <v>0.13800000000000001</v>
      </c>
      <c r="CI38">
        <f>'2015_2020'!CG7</f>
        <v>0.13800000000000001</v>
      </c>
      <c r="CJ38">
        <f>'2015_2020'!CH7</f>
        <v>0.14399999999999999</v>
      </c>
      <c r="CK38">
        <f>'2015_2020'!CI7</f>
        <v>0.13800000000000001</v>
      </c>
      <c r="CL38">
        <f>'2015_2020'!CJ7</f>
        <v>0.13400000000000001</v>
      </c>
      <c r="CM38">
        <f>'2015_2020'!CK7</f>
        <v>0.13700000000000001</v>
      </c>
      <c r="CN38">
        <f>'2015_2020'!CL7</f>
        <v>0.16200000000000001</v>
      </c>
      <c r="CO38">
        <f>'2015_2020'!CM7</f>
        <v>0.16400000000000001</v>
      </c>
      <c r="CP38">
        <f>'2015_2020'!CN7</f>
        <v>0.13900000000000001</v>
      </c>
      <c r="CQ38">
        <f>'2015_2020'!CO7</f>
        <v>0.13</v>
      </c>
      <c r="CR38">
        <f>'2015_2020'!CP7</f>
        <v>0.16600000000000001</v>
      </c>
      <c r="CS38">
        <f>'2015_2020'!CQ7</f>
        <v>0.13700000000000001</v>
      </c>
      <c r="CT38">
        <f>'2015_2020'!CR7</f>
        <v>0.161</v>
      </c>
      <c r="CU38">
        <f>'2015_2020'!CS7</f>
        <v>0.16400000000000001</v>
      </c>
      <c r="CV38">
        <f>'2015_2020'!CT7</f>
        <v>0.153</v>
      </c>
      <c r="CW38">
        <f>'2015_2020'!CU7</f>
        <v>0.153</v>
      </c>
      <c r="CX38">
        <f>'2015_2020'!CV7</f>
        <v>0.14899999999999999</v>
      </c>
    </row>
    <row r="39" spans="1:102" x14ac:dyDescent="0.2">
      <c r="A39" t="s">
        <v>209</v>
      </c>
      <c r="B39" t="s">
        <v>218</v>
      </c>
      <c r="C39" t="s">
        <v>221</v>
      </c>
      <c r="D39">
        <f>'2015_2020'!B8</f>
        <v>2.8700000000000002E-3</v>
      </c>
      <c r="E39">
        <f>'2015_2020'!C8</f>
        <v>6.1700000000000001E-3</v>
      </c>
      <c r="F39">
        <f>'2015_2020'!D8</f>
        <v>6.11E-3</v>
      </c>
      <c r="G39">
        <f>'2015_2020'!E8</f>
        <v>6.4599999999999996E-3</v>
      </c>
      <c r="H39">
        <f>'2015_2020'!F8</f>
        <v>5.7200000000000003E-3</v>
      </c>
      <c r="I39">
        <f>'2015_2020'!G8</f>
        <v>7.1399999999999996E-3</v>
      </c>
      <c r="J39">
        <f>'2015_2020'!H8</f>
        <v>6.2599999999999999E-3</v>
      </c>
      <c r="K39">
        <f>'2015_2020'!I8</f>
        <v>6.2700000000000004E-3</v>
      </c>
      <c r="L39">
        <f>'2015_2020'!J8</f>
        <v>6.3800000000000003E-3</v>
      </c>
      <c r="M39">
        <f>'2015_2020'!K8</f>
        <v>5.1399999999999996E-3</v>
      </c>
      <c r="N39">
        <f>'2015_2020'!L8</f>
        <v>4.5599999999999998E-3</v>
      </c>
      <c r="O39">
        <f>'2015_2020'!M8</f>
        <v>3.6800000000000001E-3</v>
      </c>
      <c r="P39">
        <f>'2015_2020'!N8</f>
        <v>3.4099999999999998E-3</v>
      </c>
      <c r="Q39">
        <f>'2015_2020'!O8</f>
        <v>3.48E-3</v>
      </c>
      <c r="R39">
        <f>'2015_2020'!P8</f>
        <v>3.6600000000000001E-3</v>
      </c>
      <c r="S39">
        <f>'2015_2020'!Q8</f>
        <v>3.64E-3</v>
      </c>
      <c r="T39">
        <f>'2015_2020'!R8</f>
        <v>3.5799999999999998E-3</v>
      </c>
      <c r="U39">
        <f>'2015_2020'!S8</f>
        <v>3.6900000000000001E-3</v>
      </c>
      <c r="V39">
        <f>'2015_2020'!T8</f>
        <v>3.8800000000000002E-3</v>
      </c>
      <c r="W39">
        <f>'2015_2020'!U8</f>
        <v>3.9899999999999996E-3</v>
      </c>
      <c r="X39">
        <f>'2015_2020'!V8</f>
        <v>3.9399999999999999E-3</v>
      </c>
      <c r="Y39">
        <f>'2015_2020'!W8</f>
        <v>3.9100000000000003E-3</v>
      </c>
      <c r="Z39">
        <f>'2015_2020'!X8</f>
        <v>3.9399999999999999E-3</v>
      </c>
      <c r="AA39">
        <f>'2015_2020'!Y8</f>
        <v>3.9300000000000003E-3</v>
      </c>
      <c r="AB39">
        <f>'2015_2020'!Z8</f>
        <v>4.1200000000000004E-3</v>
      </c>
      <c r="AC39">
        <f>'2015_2020'!AA8</f>
        <v>4.3200000000000001E-3</v>
      </c>
      <c r="AD39">
        <f>'2015_2020'!AB8</f>
        <v>4.3899999999999998E-3</v>
      </c>
      <c r="AE39">
        <f>'2015_2020'!AC8</f>
        <v>4.5599999999999998E-3</v>
      </c>
      <c r="AF39">
        <f>'2015_2020'!AD8</f>
        <v>4.7400000000000003E-3</v>
      </c>
      <c r="AG39">
        <f>'2015_2020'!AE8</f>
        <v>5.0000000000000001E-3</v>
      </c>
      <c r="AH39">
        <f>'2015_2020'!AF8</f>
        <v>5.2199999999999998E-3</v>
      </c>
      <c r="AI39">
        <f>'2015_2020'!AG8</f>
        <v>5.5500000000000002E-3</v>
      </c>
      <c r="AJ39">
        <f>'2015_2020'!AH8</f>
        <v>6.0400000000000002E-3</v>
      </c>
      <c r="AK39">
        <f>'2015_2020'!AI8</f>
        <v>6.45E-3</v>
      </c>
      <c r="AL39">
        <f>'2015_2020'!AJ8</f>
        <v>6.7799999999999996E-3</v>
      </c>
      <c r="AM39">
        <f>'2015_2020'!AK8</f>
        <v>7.0600000000000003E-3</v>
      </c>
      <c r="AN39">
        <f>'2015_2020'!AL8</f>
        <v>7.2399999999999999E-3</v>
      </c>
      <c r="AO39">
        <f>'2015_2020'!AM8</f>
        <v>7.4200000000000004E-3</v>
      </c>
      <c r="AP39">
        <f>'2015_2020'!AN8</f>
        <v>7.3299999999999997E-3</v>
      </c>
      <c r="AQ39">
        <f>'2015_2020'!AO8</f>
        <v>7.28E-3</v>
      </c>
      <c r="AR39">
        <f>'2015_2020'!AP8</f>
        <v>7.3000000000000001E-3</v>
      </c>
      <c r="AS39">
        <f>'2015_2020'!AQ8</f>
        <v>7.3400000000000002E-3</v>
      </c>
      <c r="AT39">
        <f>'2015_2020'!AR8</f>
        <v>7.5700000000000003E-3</v>
      </c>
      <c r="AU39">
        <f>'2015_2020'!AS8</f>
        <v>7.5700000000000003E-3</v>
      </c>
      <c r="AV39">
        <f>'2015_2020'!AT8</f>
        <v>7.8399999999999997E-3</v>
      </c>
      <c r="AW39">
        <f>'2015_2020'!AU8</f>
        <v>8.1899999999999994E-3</v>
      </c>
      <c r="AX39">
        <f>'2015_2020'!AV8</f>
        <v>8.6999999999999994E-3</v>
      </c>
      <c r="AY39">
        <f>'2015_2020'!AW8</f>
        <v>9.0100000000000006E-3</v>
      </c>
      <c r="AZ39">
        <f>'2015_2020'!AX8</f>
        <v>9.3200000000000002E-3</v>
      </c>
      <c r="BA39">
        <f>'2015_2020'!AY8</f>
        <v>9.5999999999999992E-3</v>
      </c>
      <c r="BB39">
        <f>'2015_2020'!AZ8</f>
        <v>9.58E-3</v>
      </c>
      <c r="BC39">
        <f>'2015_2020'!BA8</f>
        <v>9.4699999999999993E-3</v>
      </c>
      <c r="BD39">
        <f>'2015_2020'!BB8</f>
        <v>9.4599999999999997E-3</v>
      </c>
      <c r="BE39">
        <f>'2015_2020'!BC8</f>
        <v>9.4999999999999998E-3</v>
      </c>
      <c r="BF39">
        <f>'2015_2020'!BD8</f>
        <v>9.6500000000000006E-3</v>
      </c>
      <c r="BG39">
        <f>'2015_2020'!BE8</f>
        <v>9.6200000000000001E-3</v>
      </c>
      <c r="BH39">
        <f>'2015_2020'!BF8</f>
        <v>9.7099999999999999E-3</v>
      </c>
      <c r="BI39">
        <f>'2015_2020'!BG8</f>
        <v>0.01</v>
      </c>
      <c r="BJ39">
        <f>'2015_2020'!BH8</f>
        <v>1.03E-2</v>
      </c>
      <c r="BK39">
        <f>'2015_2020'!BI8</f>
        <v>1.04E-2</v>
      </c>
      <c r="BL39">
        <f>'2015_2020'!BJ8</f>
        <v>1.0500000000000001E-2</v>
      </c>
      <c r="BM39">
        <f>'2015_2020'!BK8</f>
        <v>1.06E-2</v>
      </c>
      <c r="BN39">
        <f>'2015_2020'!BL8</f>
        <v>1.0699999999999999E-2</v>
      </c>
      <c r="BO39">
        <f>'2015_2020'!BM8</f>
        <v>1.06E-2</v>
      </c>
      <c r="BP39">
        <f>'2015_2020'!BN8</f>
        <v>1.0500000000000001E-2</v>
      </c>
      <c r="BQ39">
        <f>'2015_2020'!BO8</f>
        <v>1.0500000000000001E-2</v>
      </c>
      <c r="BR39">
        <f>'2015_2020'!BP8</f>
        <v>1.0500000000000001E-2</v>
      </c>
      <c r="BS39">
        <f>'2015_2020'!BQ8</f>
        <v>1.0999999999999999E-2</v>
      </c>
      <c r="BT39">
        <f>'2015_2020'!BR8</f>
        <v>1.14E-2</v>
      </c>
      <c r="BU39">
        <f>'2015_2020'!BS8</f>
        <v>1.2200000000000001E-2</v>
      </c>
      <c r="BV39">
        <f>'2015_2020'!BT8</f>
        <v>1.2500000000000001E-2</v>
      </c>
      <c r="BW39">
        <f>'2015_2020'!BU8</f>
        <v>1.3299999999999999E-2</v>
      </c>
      <c r="BX39">
        <f>'2015_2020'!BV8</f>
        <v>1.3599999999999999E-2</v>
      </c>
      <c r="BY39">
        <f>'2015_2020'!BW8</f>
        <v>1.34E-2</v>
      </c>
      <c r="BZ39">
        <f>'2015_2020'!BX8</f>
        <v>1.2200000000000001E-2</v>
      </c>
      <c r="CA39">
        <f>'2015_2020'!BY8</f>
        <v>1.1900000000000001E-2</v>
      </c>
      <c r="CB39">
        <f>'2015_2020'!BZ8</f>
        <v>1.17E-2</v>
      </c>
      <c r="CC39">
        <f>'2015_2020'!CA8</f>
        <v>1.17E-2</v>
      </c>
      <c r="CD39">
        <f>'2015_2020'!CB8</f>
        <v>1.2200000000000001E-2</v>
      </c>
      <c r="CE39">
        <f>'2015_2020'!CC8</f>
        <v>1.5299999999999999E-2</v>
      </c>
      <c r="CF39">
        <f>'2015_2020'!CD8</f>
        <v>1.6400000000000001E-2</v>
      </c>
      <c r="CG39">
        <f>'2015_2020'!CE8</f>
        <v>1.5900000000000001E-2</v>
      </c>
      <c r="CH39">
        <f>'2015_2020'!CF8</f>
        <v>1.52E-2</v>
      </c>
      <c r="CI39">
        <f>'2015_2020'!CG8</f>
        <v>1.4999999999999999E-2</v>
      </c>
      <c r="CJ39">
        <f>'2015_2020'!CH8</f>
        <v>1.55E-2</v>
      </c>
      <c r="CK39">
        <f>'2015_2020'!CI8</f>
        <v>1.4800000000000001E-2</v>
      </c>
      <c r="CL39">
        <f>'2015_2020'!CJ8</f>
        <v>1.43E-2</v>
      </c>
      <c r="CM39">
        <f>'2015_2020'!CK8</f>
        <v>1.4800000000000001E-2</v>
      </c>
      <c r="CN39">
        <f>'2015_2020'!CL8</f>
        <v>1.7399999999999999E-2</v>
      </c>
      <c r="CO39">
        <f>'2015_2020'!CM8</f>
        <v>1.7600000000000001E-2</v>
      </c>
      <c r="CP39">
        <f>'2015_2020'!CN8</f>
        <v>1.4800000000000001E-2</v>
      </c>
      <c r="CQ39">
        <f>'2015_2020'!CO8</f>
        <v>1.43E-2</v>
      </c>
      <c r="CR39">
        <f>'2015_2020'!CP8</f>
        <v>1.8100000000000002E-2</v>
      </c>
      <c r="CS39">
        <f>'2015_2020'!CQ8</f>
        <v>1.5100000000000001E-2</v>
      </c>
      <c r="CT39">
        <f>'2015_2020'!CR8</f>
        <v>1.7999999999999999E-2</v>
      </c>
      <c r="CU39">
        <f>'2015_2020'!CS8</f>
        <v>1.8499999999999999E-2</v>
      </c>
      <c r="CV39">
        <f>'2015_2020'!CT8</f>
        <v>1.7899999999999999E-2</v>
      </c>
      <c r="CW39">
        <f>'2015_2020'!CU8</f>
        <v>1.9300000000000001E-2</v>
      </c>
      <c r="CX39">
        <f>'2015_2020'!CV8</f>
        <v>2.01E-2</v>
      </c>
    </row>
    <row r="40" spans="1:102" x14ac:dyDescent="0.2">
      <c r="A40" t="s">
        <v>210</v>
      </c>
      <c r="B40" t="s">
        <v>218</v>
      </c>
      <c r="C40" t="s">
        <v>221</v>
      </c>
      <c r="D40">
        <f>'2015_2020'!B9</f>
        <v>-4.4299999999999999E-3</v>
      </c>
      <c r="E40">
        <f>'2015_2020'!C9</f>
        <v>-5.4400000000000004E-3</v>
      </c>
      <c r="F40">
        <f>'2015_2020'!D9</f>
        <v>-4.3699999999999998E-3</v>
      </c>
      <c r="G40">
        <f>'2015_2020'!E9</f>
        <v>-4.0499999999999998E-3</v>
      </c>
      <c r="H40">
        <f>'2015_2020'!F9</f>
        <v>-3.0699999999999998E-3</v>
      </c>
      <c r="I40">
        <f>'2015_2020'!G9</f>
        <v>-3.3999999999999998E-3</v>
      </c>
      <c r="J40">
        <f>'2015_2020'!H9</f>
        <v>-2.81E-3</v>
      </c>
      <c r="K40">
        <f>'2015_2020'!I9</f>
        <v>-2.5100000000000001E-3</v>
      </c>
      <c r="L40">
        <f>'2015_2020'!J9</f>
        <v>-2.4499999999999999E-3</v>
      </c>
      <c r="M40">
        <f>'2015_2020'!K9</f>
        <v>-1.91E-3</v>
      </c>
      <c r="N40">
        <f>'2015_2020'!L9</f>
        <v>-1.5499999999999999E-3</v>
      </c>
      <c r="O40">
        <f>'2015_2020'!M9</f>
        <v>-1.17E-3</v>
      </c>
      <c r="P40">
        <f>'2015_2020'!N9</f>
        <v>-1.0399999999999999E-3</v>
      </c>
      <c r="Q40">
        <f>'2015_2020'!O9</f>
        <v>-1.0499999999999999E-3</v>
      </c>
      <c r="R40">
        <f>'2015_2020'!P9</f>
        <v>-1.0300000000000001E-3</v>
      </c>
      <c r="S40">
        <f>'2015_2020'!Q9</f>
        <v>-1.0399999999999999E-3</v>
      </c>
      <c r="T40">
        <f>'2015_2020'!R9</f>
        <v>-1.01E-3</v>
      </c>
      <c r="U40">
        <f>'2015_2020'!S9</f>
        <v>-1.0200000000000001E-3</v>
      </c>
      <c r="V40">
        <f>'2015_2020'!T9</f>
        <v>-1.09E-3</v>
      </c>
      <c r="W40">
        <f>'2015_2020'!U9</f>
        <v>-1.08E-3</v>
      </c>
      <c r="X40">
        <f>'2015_2020'!V9</f>
        <v>-1.06E-3</v>
      </c>
      <c r="Y40">
        <f>'2015_2020'!W9</f>
        <v>-1.08E-3</v>
      </c>
      <c r="Z40">
        <f>'2015_2020'!X9</f>
        <v>-1.08E-3</v>
      </c>
      <c r="AA40">
        <f>'2015_2020'!Y9</f>
        <v>-1.1199999999999999E-3</v>
      </c>
      <c r="AB40">
        <f>'2015_2020'!Z9</f>
        <v>-1.23E-3</v>
      </c>
      <c r="AC40">
        <f>'2015_2020'!AA9</f>
        <v>-1.2999999999999999E-3</v>
      </c>
      <c r="AD40">
        <f>'2015_2020'!AB9</f>
        <v>-1.3699999999999999E-3</v>
      </c>
      <c r="AE40">
        <f>'2015_2020'!AC9</f>
        <v>-1.4400000000000001E-3</v>
      </c>
      <c r="AF40">
        <f>'2015_2020'!AD9</f>
        <v>-1.5499999999999999E-3</v>
      </c>
      <c r="AG40">
        <f>'2015_2020'!AE9</f>
        <v>-1.6299999999999999E-3</v>
      </c>
      <c r="AH40">
        <f>'2015_2020'!AF9</f>
        <v>-1.6999999999999999E-3</v>
      </c>
      <c r="AI40">
        <f>'2015_2020'!AG9</f>
        <v>-1.83E-3</v>
      </c>
      <c r="AJ40">
        <f>'2015_2020'!AH9</f>
        <v>-2.0300000000000001E-3</v>
      </c>
      <c r="AK40">
        <f>'2015_2020'!AI9</f>
        <v>-2.1700000000000001E-3</v>
      </c>
      <c r="AL40">
        <f>'2015_2020'!AJ9</f>
        <v>-2.31E-3</v>
      </c>
      <c r="AM40">
        <f>'2015_2020'!AK9</f>
        <v>-2.3999999999999998E-3</v>
      </c>
      <c r="AN40">
        <f>'2015_2020'!AL9</f>
        <v>-2.48E-3</v>
      </c>
      <c r="AO40">
        <f>'2015_2020'!AM9</f>
        <v>-2.5899999999999999E-3</v>
      </c>
      <c r="AP40">
        <f>'2015_2020'!AN9</f>
        <v>-2.5600000000000002E-3</v>
      </c>
      <c r="AQ40">
        <f>'2015_2020'!AO9</f>
        <v>-2.5400000000000002E-3</v>
      </c>
      <c r="AR40">
        <f>'2015_2020'!AP9</f>
        <v>-2.5300000000000001E-3</v>
      </c>
      <c r="AS40">
        <f>'2015_2020'!AQ9</f>
        <v>-2.5500000000000002E-3</v>
      </c>
      <c r="AT40">
        <f>'2015_2020'!AR9</f>
        <v>-2.5899999999999999E-3</v>
      </c>
      <c r="AU40">
        <f>'2015_2020'!AS9</f>
        <v>-2.5899999999999999E-3</v>
      </c>
      <c r="AV40">
        <f>'2015_2020'!AT9</f>
        <v>-2.7100000000000002E-3</v>
      </c>
      <c r="AW40">
        <f>'2015_2020'!AU9</f>
        <v>-2.8999999999999998E-3</v>
      </c>
      <c r="AX40">
        <f>'2015_2020'!AV9</f>
        <v>-3.0799999999999998E-3</v>
      </c>
      <c r="AY40">
        <f>'2015_2020'!AW9</f>
        <v>-3.1700000000000001E-3</v>
      </c>
      <c r="AZ40">
        <f>'2015_2020'!AX9</f>
        <v>-3.2399999999999998E-3</v>
      </c>
      <c r="BA40">
        <f>'2015_2020'!AY9</f>
        <v>-3.3300000000000001E-3</v>
      </c>
      <c r="BB40">
        <f>'2015_2020'!AZ9</f>
        <v>-3.3600000000000001E-3</v>
      </c>
      <c r="BC40">
        <f>'2015_2020'!BA9</f>
        <v>-3.2799999999999999E-3</v>
      </c>
      <c r="BD40">
        <f>'2015_2020'!BB9</f>
        <v>-3.2599999999999999E-3</v>
      </c>
      <c r="BE40">
        <f>'2015_2020'!BC9</f>
        <v>-3.2699999999999999E-3</v>
      </c>
      <c r="BF40">
        <f>'2015_2020'!BD9</f>
        <v>-3.3E-3</v>
      </c>
      <c r="BG40">
        <f>'2015_2020'!BE9</f>
        <v>-3.2699999999999999E-3</v>
      </c>
      <c r="BH40">
        <f>'2015_2020'!BF9</f>
        <v>-3.2200000000000002E-3</v>
      </c>
      <c r="BI40">
        <f>'2015_2020'!BG9</f>
        <v>-3.29E-3</v>
      </c>
      <c r="BJ40">
        <f>'2015_2020'!BH9</f>
        <v>-3.3300000000000001E-3</v>
      </c>
      <c r="BK40">
        <f>'2015_2020'!BI9</f>
        <v>-3.3899999999999998E-3</v>
      </c>
      <c r="BL40">
        <f>'2015_2020'!BJ9</f>
        <v>-3.3999999999999998E-3</v>
      </c>
      <c r="BM40">
        <f>'2015_2020'!BK9</f>
        <v>-3.4099999999999998E-3</v>
      </c>
      <c r="BN40">
        <f>'2015_2020'!BL9</f>
        <v>-3.3899999999999998E-3</v>
      </c>
      <c r="BO40">
        <f>'2015_2020'!BM9</f>
        <v>-3.3300000000000001E-3</v>
      </c>
      <c r="BP40">
        <f>'2015_2020'!BN9</f>
        <v>-3.29E-3</v>
      </c>
      <c r="BQ40">
        <f>'2015_2020'!BO9</f>
        <v>-3.29E-3</v>
      </c>
      <c r="BR40">
        <f>'2015_2020'!BP9</f>
        <v>-3.2399999999999998E-3</v>
      </c>
      <c r="BS40">
        <f>'2015_2020'!BQ9</f>
        <v>-3.3999999999999998E-3</v>
      </c>
      <c r="BT40">
        <f>'2015_2020'!BR9</f>
        <v>-3.5300000000000002E-3</v>
      </c>
      <c r="BU40">
        <f>'2015_2020'!BS9</f>
        <v>-3.7000000000000002E-3</v>
      </c>
      <c r="BV40">
        <f>'2015_2020'!BT9</f>
        <v>-3.7699999999999999E-3</v>
      </c>
      <c r="BW40">
        <f>'2015_2020'!BU9</f>
        <v>-3.98E-3</v>
      </c>
      <c r="BX40">
        <f>'2015_2020'!BV9</f>
        <v>-4.0099999999999997E-3</v>
      </c>
      <c r="BY40">
        <f>'2015_2020'!BW9</f>
        <v>-3.8899999999999998E-3</v>
      </c>
      <c r="BZ40">
        <f>'2015_2020'!BX9</f>
        <v>-3.5100000000000001E-3</v>
      </c>
      <c r="CA40">
        <f>'2015_2020'!BY9</f>
        <v>-3.4199999999999999E-3</v>
      </c>
      <c r="CB40">
        <f>'2015_2020'!BZ9</f>
        <v>-3.4099999999999998E-3</v>
      </c>
      <c r="CC40">
        <f>'2015_2020'!CA9</f>
        <v>-3.4099999999999998E-3</v>
      </c>
      <c r="CD40">
        <f>'2015_2020'!CB9</f>
        <v>-3.5300000000000002E-3</v>
      </c>
      <c r="CE40">
        <f>'2015_2020'!CC9</f>
        <v>-4.3800000000000002E-3</v>
      </c>
      <c r="CF40">
        <f>'2015_2020'!CD9</f>
        <v>-4.6299999999999996E-3</v>
      </c>
      <c r="CG40">
        <f>'2015_2020'!CE9</f>
        <v>-4.47E-3</v>
      </c>
      <c r="CH40">
        <f>'2015_2020'!CF9</f>
        <v>-4.2199999999999998E-3</v>
      </c>
      <c r="CI40">
        <f>'2015_2020'!CG9</f>
        <v>-4.2500000000000003E-3</v>
      </c>
      <c r="CJ40">
        <f>'2015_2020'!CH9</f>
        <v>-4.4099999999999999E-3</v>
      </c>
      <c r="CK40">
        <f>'2015_2020'!CI9</f>
        <v>-4.1700000000000001E-3</v>
      </c>
      <c r="CL40">
        <f>'2015_2020'!CJ9</f>
        <v>-4.0299999999999997E-3</v>
      </c>
      <c r="CM40">
        <f>'2015_2020'!CK9</f>
        <v>-4.1200000000000004E-3</v>
      </c>
      <c r="CN40">
        <f>'2015_2020'!CL9</f>
        <v>-4.8700000000000002E-3</v>
      </c>
      <c r="CO40">
        <f>'2015_2020'!CM9</f>
        <v>-4.9100000000000003E-3</v>
      </c>
      <c r="CP40">
        <f>'2015_2020'!CN9</f>
        <v>-4.13E-3</v>
      </c>
      <c r="CQ40">
        <f>'2015_2020'!CO9</f>
        <v>-4.0800000000000003E-3</v>
      </c>
      <c r="CR40">
        <f>'2015_2020'!CP9</f>
        <v>-5.2700000000000004E-3</v>
      </c>
      <c r="CS40">
        <f>'2015_2020'!CQ9</f>
        <v>-4.4900000000000001E-3</v>
      </c>
      <c r="CT40">
        <f>'2015_2020'!CR9</f>
        <v>-5.5199999999999997E-3</v>
      </c>
      <c r="CU40">
        <f>'2015_2020'!CS9</f>
        <v>-5.7200000000000003E-3</v>
      </c>
      <c r="CV40">
        <f>'2015_2020'!CT9</f>
        <v>-5.6699999999999997E-3</v>
      </c>
      <c r="CW40">
        <f>'2015_2020'!CU9</f>
        <v>-5.8100000000000001E-3</v>
      </c>
      <c r="CX40">
        <f>'2015_2020'!CV9</f>
        <v>-5.4799999999999996E-3</v>
      </c>
    </row>
    <row r="41" spans="1:102" x14ac:dyDescent="0.2">
      <c r="A41" t="s">
        <v>211</v>
      </c>
      <c r="B41" t="s">
        <v>218</v>
      </c>
      <c r="C41" t="s">
        <v>221</v>
      </c>
      <c r="D41">
        <f>'2015_2020'!B10</f>
        <v>-1.4E-3</v>
      </c>
      <c r="E41">
        <f>'2015_2020'!C10</f>
        <v>-1.8500000000000001E-3</v>
      </c>
      <c r="F41">
        <f>'2015_2020'!D10</f>
        <v>-1.2099999999999999E-3</v>
      </c>
      <c r="G41">
        <f>'2015_2020'!E10</f>
        <v>-1.3500000000000001E-3</v>
      </c>
      <c r="H41">
        <f>'2015_2020'!F10</f>
        <v>-1.0399999999999999E-3</v>
      </c>
      <c r="I41">
        <f>'2015_2020'!G10</f>
        <v>-1.2099999999999999E-3</v>
      </c>
      <c r="J41">
        <f>'2015_2020'!H10</f>
        <v>-1.2899999999999999E-3</v>
      </c>
      <c r="K41">
        <f>'2015_2020'!I10</f>
        <v>-1.24E-3</v>
      </c>
      <c r="L41">
        <f>'2015_2020'!J10</f>
        <v>-1.2899999999999999E-3</v>
      </c>
      <c r="M41">
        <f>'2015_2020'!K10</f>
        <v>-1.06E-3</v>
      </c>
      <c r="N41">
        <f>'2015_2020'!L10</f>
        <v>-8.6899999999999998E-4</v>
      </c>
      <c r="O41">
        <f>'2015_2020'!M10</f>
        <v>-6.0599999999999998E-4</v>
      </c>
      <c r="P41">
        <f>'2015_2020'!N10</f>
        <v>-6.5399999999999996E-4</v>
      </c>
      <c r="Q41">
        <f>'2015_2020'!O10</f>
        <v>-7.3700000000000002E-4</v>
      </c>
      <c r="R41">
        <f>'2015_2020'!P10</f>
        <v>-6.8000000000000005E-4</v>
      </c>
      <c r="S41">
        <f>'2015_2020'!Q10</f>
        <v>-6.0300000000000002E-4</v>
      </c>
      <c r="T41">
        <f>'2015_2020'!R10</f>
        <v>-6.5099999999999999E-4</v>
      </c>
      <c r="U41">
        <f>'2015_2020'!S10</f>
        <v>-6.5899999999999997E-4</v>
      </c>
      <c r="V41">
        <f>'2015_2020'!T10</f>
        <v>-7.2400000000000003E-4</v>
      </c>
      <c r="W41">
        <f>'2015_2020'!U10</f>
        <v>-7.2900000000000005E-4</v>
      </c>
      <c r="X41">
        <f>'2015_2020'!V10</f>
        <v>-6.6200000000000005E-4</v>
      </c>
      <c r="Y41">
        <f>'2015_2020'!W10</f>
        <v>-6.9499999999999998E-4</v>
      </c>
      <c r="Z41">
        <f>'2015_2020'!X10</f>
        <v>-6.9200000000000002E-4</v>
      </c>
      <c r="AA41">
        <f>'2015_2020'!Y10</f>
        <v>-7.5100000000000004E-4</v>
      </c>
      <c r="AB41">
        <f>'2015_2020'!Z10</f>
        <v>-9.1100000000000003E-4</v>
      </c>
      <c r="AC41">
        <f>'2015_2020'!AA10</f>
        <v>-9.7900000000000005E-4</v>
      </c>
      <c r="AD41">
        <f>'2015_2020'!AB10</f>
        <v>-9.7400000000000004E-4</v>
      </c>
      <c r="AE41">
        <f>'2015_2020'!AC10</f>
        <v>-9.7499999999999996E-4</v>
      </c>
      <c r="AF41">
        <f>'2015_2020'!AD10</f>
        <v>-9.3999999999999997E-4</v>
      </c>
      <c r="AG41">
        <f>'2015_2020'!AE10</f>
        <v>-1E-3</v>
      </c>
      <c r="AH41">
        <f>'2015_2020'!AF10</f>
        <v>-1.08E-3</v>
      </c>
      <c r="AI41">
        <f>'2015_2020'!AG10</f>
        <v>-1.16E-3</v>
      </c>
      <c r="AJ41">
        <f>'2015_2020'!AH10</f>
        <v>-1.2899999999999999E-3</v>
      </c>
      <c r="AK41">
        <f>'2015_2020'!AI10</f>
        <v>-1.4E-3</v>
      </c>
      <c r="AL41">
        <f>'2015_2020'!AJ10</f>
        <v>-1.5E-3</v>
      </c>
      <c r="AM41">
        <f>'2015_2020'!AK10</f>
        <v>-1.57E-3</v>
      </c>
      <c r="AN41">
        <f>'2015_2020'!AL10</f>
        <v>-1.5900000000000001E-3</v>
      </c>
      <c r="AO41">
        <f>'2015_2020'!AM10</f>
        <v>-1.5E-3</v>
      </c>
      <c r="AP41">
        <f>'2015_2020'!AN10</f>
        <v>-1.5100000000000001E-3</v>
      </c>
      <c r="AQ41">
        <f>'2015_2020'!AO10</f>
        <v>-1.5E-3</v>
      </c>
      <c r="AR41">
        <f>'2015_2020'!AP10</f>
        <v>-1.6299999999999999E-3</v>
      </c>
      <c r="AS41">
        <f>'2015_2020'!AQ10</f>
        <v>-1.7099999999999999E-3</v>
      </c>
      <c r="AT41">
        <f>'2015_2020'!AR10</f>
        <v>-1.72E-3</v>
      </c>
      <c r="AU41">
        <f>'2015_2020'!AS10</f>
        <v>-1.72E-3</v>
      </c>
      <c r="AV41">
        <f>'2015_2020'!AT10</f>
        <v>-1.6000000000000001E-3</v>
      </c>
      <c r="AW41">
        <f>'2015_2020'!AU10</f>
        <v>-1.6900000000000001E-3</v>
      </c>
      <c r="AX41">
        <f>'2015_2020'!AV10</f>
        <v>-1.7700000000000001E-3</v>
      </c>
      <c r="AY41">
        <f>'2015_2020'!AW10</f>
        <v>-1.8699999999999999E-3</v>
      </c>
      <c r="AZ41">
        <f>'2015_2020'!AX10</f>
        <v>-1.9E-3</v>
      </c>
      <c r="BA41">
        <f>'2015_2020'!AY10</f>
        <v>-1.89E-3</v>
      </c>
      <c r="BB41">
        <f>'2015_2020'!AZ10</f>
        <v>-1.9499999999999999E-3</v>
      </c>
      <c r="BC41">
        <f>'2015_2020'!BA10</f>
        <v>-1.97E-3</v>
      </c>
      <c r="BD41">
        <f>'2015_2020'!BB10</f>
        <v>-2.0799999999999998E-3</v>
      </c>
      <c r="BE41">
        <f>'2015_2020'!BC10</f>
        <v>-2.0799999999999998E-3</v>
      </c>
      <c r="BF41">
        <f>'2015_2020'!BD10</f>
        <v>-1.92E-3</v>
      </c>
      <c r="BG41">
        <f>'2015_2020'!BE10</f>
        <v>-2E-3</v>
      </c>
      <c r="BH41">
        <f>'2015_2020'!BF10</f>
        <v>-2E-3</v>
      </c>
      <c r="BI41">
        <f>'2015_2020'!BG10</f>
        <v>-2.1199999999999999E-3</v>
      </c>
      <c r="BJ41">
        <f>'2015_2020'!BH10</f>
        <v>-2.1800000000000001E-3</v>
      </c>
      <c r="BK41">
        <f>'2015_2020'!BI10</f>
        <v>-2.2300000000000002E-3</v>
      </c>
      <c r="BL41">
        <f>'2015_2020'!BJ10</f>
        <v>-2.2100000000000002E-3</v>
      </c>
      <c r="BM41">
        <f>'2015_2020'!BK10</f>
        <v>-2.2699999999999999E-3</v>
      </c>
      <c r="BN41">
        <f>'2015_2020'!BL10</f>
        <v>-2.2300000000000002E-3</v>
      </c>
      <c r="BO41">
        <f>'2015_2020'!BM10</f>
        <v>-2.2399999999999998E-3</v>
      </c>
      <c r="BP41">
        <f>'2015_2020'!BN10</f>
        <v>-2.4099999999999998E-3</v>
      </c>
      <c r="BQ41">
        <f>'2015_2020'!BO10</f>
        <v>-2.4199999999999998E-3</v>
      </c>
      <c r="BR41">
        <f>'2015_2020'!BP10</f>
        <v>-2.2699999999999999E-3</v>
      </c>
      <c r="BS41">
        <f>'2015_2020'!BQ10</f>
        <v>-2.4499999999999999E-3</v>
      </c>
      <c r="BT41">
        <f>'2015_2020'!BR10</f>
        <v>-2.5999999999999999E-3</v>
      </c>
      <c r="BU41">
        <f>'2015_2020'!BS10</f>
        <v>-2.6700000000000001E-3</v>
      </c>
      <c r="BV41">
        <f>'2015_2020'!BT10</f>
        <v>-2.8400000000000001E-3</v>
      </c>
      <c r="BW41">
        <f>'2015_2020'!BU10</f>
        <v>-3.0599999999999998E-3</v>
      </c>
      <c r="BX41">
        <f>'2015_2020'!BV10</f>
        <v>-3.2200000000000002E-3</v>
      </c>
      <c r="BY41">
        <f>'2015_2020'!BW10</f>
        <v>-3.2100000000000002E-3</v>
      </c>
      <c r="BZ41">
        <f>'2015_2020'!BX10</f>
        <v>-2.8999999999999998E-3</v>
      </c>
      <c r="CA41">
        <f>'2015_2020'!BY10</f>
        <v>-3.0000000000000001E-3</v>
      </c>
      <c r="CB41">
        <f>'2015_2020'!BZ10</f>
        <v>-3.0500000000000002E-3</v>
      </c>
      <c r="CC41">
        <f>'2015_2020'!CA10</f>
        <v>-3.0500000000000002E-3</v>
      </c>
      <c r="CD41">
        <f>'2015_2020'!CB10</f>
        <v>-2.8E-3</v>
      </c>
      <c r="CE41">
        <f>'2015_2020'!CC10</f>
        <v>-3.5599999999999998E-3</v>
      </c>
      <c r="CF41">
        <f>'2015_2020'!CD10</f>
        <v>-3.8500000000000001E-3</v>
      </c>
      <c r="CG41">
        <f>'2015_2020'!CE10</f>
        <v>-3.7499999999999999E-3</v>
      </c>
      <c r="CH41">
        <f>'2015_2020'!CF10</f>
        <v>-3.82E-3</v>
      </c>
      <c r="CI41">
        <f>'2015_2020'!CG10</f>
        <v>-3.79E-3</v>
      </c>
      <c r="CJ41">
        <f>'2015_2020'!CH10</f>
        <v>-3.9300000000000003E-3</v>
      </c>
      <c r="CK41">
        <f>'2015_2020'!CI10</f>
        <v>-3.79E-3</v>
      </c>
      <c r="CL41">
        <f>'2015_2020'!CJ10</f>
        <v>-4.0200000000000001E-3</v>
      </c>
      <c r="CM41">
        <f>'2015_2020'!CK10</f>
        <v>-3.9899999999999996E-3</v>
      </c>
      <c r="CN41">
        <f>'2015_2020'!CL10</f>
        <v>-4.8700000000000002E-3</v>
      </c>
      <c r="CO41">
        <f>'2015_2020'!CM10</f>
        <v>-5.0600000000000003E-3</v>
      </c>
      <c r="CP41">
        <f>'2015_2020'!CN10</f>
        <v>-4.62E-3</v>
      </c>
      <c r="CQ41">
        <f>'2015_2020'!CO10</f>
        <v>-4.2100000000000002E-3</v>
      </c>
      <c r="CR41">
        <f>'2015_2020'!CP10</f>
        <v>-5.4900000000000001E-3</v>
      </c>
      <c r="CS41">
        <f>'2015_2020'!CQ10</f>
        <v>-4.5500000000000002E-3</v>
      </c>
      <c r="CT41">
        <f>'2015_2020'!CR10</f>
        <v>-5.3800000000000002E-3</v>
      </c>
      <c r="CU41">
        <f>'2015_2020'!CS10</f>
        <v>-5.8799999999999998E-3</v>
      </c>
      <c r="CV41">
        <f>'2015_2020'!CT10</f>
        <v>-5.94E-3</v>
      </c>
      <c r="CW41">
        <f>'2015_2020'!CU10</f>
        <v>-6.0899999999999999E-3</v>
      </c>
      <c r="CX41">
        <f>'2015_2020'!CV10</f>
        <v>-5.9899999999999997E-3</v>
      </c>
    </row>
    <row r="42" spans="1:102" x14ac:dyDescent="0.2">
      <c r="A42" t="s">
        <v>212</v>
      </c>
      <c r="B42" t="s">
        <v>218</v>
      </c>
      <c r="C42" t="s">
        <v>221</v>
      </c>
      <c r="D42">
        <f>'2015_2020'!B11</f>
        <v>7.3499999999999998E-3</v>
      </c>
      <c r="E42">
        <f>'2015_2020'!C11</f>
        <v>8.7399999999999995E-3</v>
      </c>
      <c r="F42">
        <f>'2015_2020'!D11</f>
        <v>7.1999999999999998E-3</v>
      </c>
      <c r="G42">
        <f>'2015_2020'!E11</f>
        <v>7.0099999999999997E-3</v>
      </c>
      <c r="H42">
        <f>'2015_2020'!F11</f>
        <v>5.5399999999999998E-3</v>
      </c>
      <c r="I42">
        <f>'2015_2020'!G11</f>
        <v>5.7299999999999999E-3</v>
      </c>
      <c r="J42">
        <f>'2015_2020'!H11</f>
        <v>4.9899999999999996E-3</v>
      </c>
      <c r="K42">
        <f>'2015_2020'!I11</f>
        <v>4.5799999999999999E-3</v>
      </c>
      <c r="L42">
        <f>'2015_2020'!J11</f>
        <v>4.3600000000000002E-3</v>
      </c>
      <c r="M42">
        <f>'2015_2020'!K11</f>
        <v>3.3800000000000002E-3</v>
      </c>
      <c r="N42">
        <f>'2015_2020'!L11</f>
        <v>2.6800000000000001E-3</v>
      </c>
      <c r="O42">
        <f>'2015_2020'!M11</f>
        <v>2.0100000000000001E-3</v>
      </c>
      <c r="P42">
        <f>'2015_2020'!N11</f>
        <v>1.75E-3</v>
      </c>
      <c r="Q42">
        <f>'2015_2020'!O11</f>
        <v>1.6100000000000001E-3</v>
      </c>
      <c r="R42">
        <f>'2015_2020'!P11</f>
        <v>1.5200000000000001E-3</v>
      </c>
      <c r="S42">
        <f>'2015_2020'!Q11</f>
        <v>1.3799999999999999E-3</v>
      </c>
      <c r="T42">
        <f>'2015_2020'!R11</f>
        <v>1.24E-3</v>
      </c>
      <c r="U42">
        <f>'2015_2020'!S11</f>
        <v>1.1299999999999999E-3</v>
      </c>
      <c r="V42">
        <f>'2015_2020'!T11</f>
        <v>1.1100000000000001E-3</v>
      </c>
      <c r="W42">
        <f>'2015_2020'!U11</f>
        <v>1.07E-3</v>
      </c>
      <c r="X42">
        <f>'2015_2020'!V11</f>
        <v>1.0200000000000001E-3</v>
      </c>
      <c r="Y42">
        <f>'2015_2020'!W11</f>
        <v>9.7099999999999997E-4</v>
      </c>
      <c r="Z42">
        <f>'2015_2020'!X11</f>
        <v>9.2299999999999999E-4</v>
      </c>
      <c r="AA42">
        <f>'2015_2020'!Y11</f>
        <v>9.3099999999999997E-4</v>
      </c>
      <c r="AB42">
        <f>'2015_2020'!Z11</f>
        <v>9.5100000000000002E-4</v>
      </c>
      <c r="AC42">
        <f>'2015_2020'!AA11</f>
        <v>9.5E-4</v>
      </c>
      <c r="AD42">
        <f>'2015_2020'!AB11</f>
        <v>9.3999999999999997E-4</v>
      </c>
      <c r="AE42">
        <f>'2015_2020'!AC11</f>
        <v>9.3800000000000003E-4</v>
      </c>
      <c r="AF42">
        <f>'2015_2020'!AD11</f>
        <v>9.2299999999999999E-4</v>
      </c>
      <c r="AG42">
        <f>'2015_2020'!AE11</f>
        <v>9.1399999999999999E-4</v>
      </c>
      <c r="AH42">
        <f>'2015_2020'!AF11</f>
        <v>9.3199999999999999E-4</v>
      </c>
      <c r="AI42">
        <f>'2015_2020'!AG11</f>
        <v>9.4799999999999995E-4</v>
      </c>
      <c r="AJ42">
        <f>'2015_2020'!AH11</f>
        <v>1.0300000000000001E-3</v>
      </c>
      <c r="AK42">
        <f>'2015_2020'!AI11</f>
        <v>1.0399999999999999E-3</v>
      </c>
      <c r="AL42">
        <f>'2015_2020'!AJ11</f>
        <v>1.0300000000000001E-3</v>
      </c>
      <c r="AM42">
        <f>'2015_2020'!AK11</f>
        <v>1.0200000000000001E-3</v>
      </c>
      <c r="AN42">
        <f>'2015_2020'!AL11</f>
        <v>1E-3</v>
      </c>
      <c r="AO42">
        <f>'2015_2020'!AM11</f>
        <v>9.9400000000000009E-4</v>
      </c>
      <c r="AP42">
        <f>'2015_2020'!AN11</f>
        <v>9.5500000000000001E-4</v>
      </c>
      <c r="AQ42">
        <f>'2015_2020'!AO11</f>
        <v>9.7199999999999999E-4</v>
      </c>
      <c r="AR42">
        <f>'2015_2020'!AP11</f>
        <v>9.6400000000000001E-4</v>
      </c>
      <c r="AS42">
        <f>'2015_2020'!AQ11</f>
        <v>9.41E-4</v>
      </c>
      <c r="AT42">
        <f>'2015_2020'!AR11</f>
        <v>9.3499999999999996E-4</v>
      </c>
      <c r="AU42">
        <f>'2015_2020'!AS11</f>
        <v>9.3499999999999996E-4</v>
      </c>
      <c r="AV42">
        <f>'2015_2020'!AT11</f>
        <v>8.6399999999999997E-4</v>
      </c>
      <c r="AW42">
        <f>'2015_2020'!AU11</f>
        <v>8.9899999999999995E-4</v>
      </c>
      <c r="AX42">
        <f>'2015_2020'!AV11</f>
        <v>9.2199999999999997E-4</v>
      </c>
      <c r="AY42">
        <f>'2015_2020'!AW11</f>
        <v>9.2400000000000002E-4</v>
      </c>
      <c r="AZ42">
        <f>'2015_2020'!AX11</f>
        <v>9.2400000000000002E-4</v>
      </c>
      <c r="BA42">
        <f>'2015_2020'!AY11</f>
        <v>9.5299999999999996E-4</v>
      </c>
      <c r="BB42">
        <f>'2015_2020'!AZ11</f>
        <v>9.6199999999999996E-4</v>
      </c>
      <c r="BC42">
        <f>'2015_2020'!BA11</f>
        <v>9.4200000000000002E-4</v>
      </c>
      <c r="BD42">
        <f>'2015_2020'!BB11</f>
        <v>9.1600000000000004E-4</v>
      </c>
      <c r="BE42">
        <f>'2015_2020'!BC11</f>
        <v>9.0300000000000005E-4</v>
      </c>
      <c r="BF42">
        <f>'2015_2020'!BD11</f>
        <v>8.4900000000000004E-4</v>
      </c>
      <c r="BG42">
        <f>'2015_2020'!BE11</f>
        <v>8.4999999999999995E-4</v>
      </c>
      <c r="BH42">
        <f>'2015_2020'!BF11</f>
        <v>8.34E-4</v>
      </c>
      <c r="BI42">
        <f>'2015_2020'!BG11</f>
        <v>8.4199999999999998E-4</v>
      </c>
      <c r="BJ42">
        <f>'2015_2020'!BH11</f>
        <v>8.3900000000000001E-4</v>
      </c>
      <c r="BK42">
        <f>'2015_2020'!BI11</f>
        <v>8.5099999999999998E-4</v>
      </c>
      <c r="BL42">
        <f>'2015_2020'!BJ11</f>
        <v>8.1999999999999998E-4</v>
      </c>
      <c r="BM42">
        <f>'2015_2020'!BK11</f>
        <v>8.1800000000000004E-4</v>
      </c>
      <c r="BN42">
        <f>'2015_2020'!BL11</f>
        <v>7.9299999999999998E-4</v>
      </c>
      <c r="BO42">
        <f>'2015_2020'!BM11</f>
        <v>7.9500000000000003E-4</v>
      </c>
      <c r="BP42">
        <f>'2015_2020'!BN11</f>
        <v>7.6199999999999998E-4</v>
      </c>
      <c r="BQ42">
        <f>'2015_2020'!BO11</f>
        <v>7.3999999999999999E-4</v>
      </c>
      <c r="BR42">
        <f>'2015_2020'!BP11</f>
        <v>6.8499999999999995E-4</v>
      </c>
      <c r="BS42">
        <f>'2015_2020'!BQ11</f>
        <v>7.2999999999999996E-4</v>
      </c>
      <c r="BT42">
        <f>'2015_2020'!BR11</f>
        <v>7.7399999999999995E-4</v>
      </c>
      <c r="BU42">
        <f>'2015_2020'!BS11</f>
        <v>7.9600000000000005E-4</v>
      </c>
      <c r="BV42">
        <f>'2015_2020'!BT11</f>
        <v>7.94E-4</v>
      </c>
      <c r="BW42">
        <f>'2015_2020'!BU11</f>
        <v>8.6700000000000004E-4</v>
      </c>
      <c r="BX42">
        <f>'2015_2020'!BV11</f>
        <v>8.8500000000000004E-4</v>
      </c>
      <c r="BY42">
        <f>'2015_2020'!BW11</f>
        <v>8.2600000000000002E-4</v>
      </c>
      <c r="BZ42">
        <f>'2015_2020'!BX11</f>
        <v>7.8200000000000003E-4</v>
      </c>
      <c r="CA42">
        <f>'2015_2020'!BY11</f>
        <v>7.2999999999999996E-4</v>
      </c>
      <c r="CB42">
        <f>'2015_2020'!BZ11</f>
        <v>6.8800000000000003E-4</v>
      </c>
      <c r="CC42">
        <f>'2015_2020'!CA11</f>
        <v>6.8800000000000003E-4</v>
      </c>
      <c r="CD42">
        <f>'2015_2020'!CB11</f>
        <v>6.7000000000000002E-4</v>
      </c>
      <c r="CE42">
        <f>'2015_2020'!CC11</f>
        <v>8.4900000000000004E-4</v>
      </c>
      <c r="CF42">
        <f>'2015_2020'!CD11</f>
        <v>8.8500000000000004E-4</v>
      </c>
      <c r="CG42">
        <f>'2015_2020'!CE11</f>
        <v>8.52E-4</v>
      </c>
      <c r="CH42">
        <f>'2015_2020'!CF11</f>
        <v>7.7700000000000002E-4</v>
      </c>
      <c r="CI42">
        <f>'2015_2020'!CG11</f>
        <v>7.4799999999999997E-4</v>
      </c>
      <c r="CJ42">
        <f>'2015_2020'!CH11</f>
        <v>6.8499999999999995E-4</v>
      </c>
      <c r="CK42">
        <f>'2015_2020'!CI11</f>
        <v>7.1400000000000001E-4</v>
      </c>
      <c r="CL42">
        <f>'2015_2020'!CJ11</f>
        <v>6.2799999999999998E-4</v>
      </c>
      <c r="CM42">
        <f>'2015_2020'!CK11</f>
        <v>6.38E-4</v>
      </c>
      <c r="CN42">
        <f>'2015_2020'!CL11</f>
        <v>7.0299999999999996E-4</v>
      </c>
      <c r="CO42">
        <f>'2015_2020'!CM11</f>
        <v>7.4600000000000003E-4</v>
      </c>
      <c r="CP42">
        <f>'2015_2020'!CN11</f>
        <v>6.8499999999999995E-4</v>
      </c>
      <c r="CQ42">
        <f>'2015_2020'!CO11</f>
        <v>5.9900000000000003E-4</v>
      </c>
      <c r="CR42">
        <f>'2015_2020'!CP11</f>
        <v>7.6000000000000004E-4</v>
      </c>
      <c r="CS42">
        <f>'2015_2020'!CQ11</f>
        <v>5.7200000000000003E-4</v>
      </c>
      <c r="CT42">
        <f>'2015_2020'!CR11</f>
        <v>6.4899999999999995E-4</v>
      </c>
      <c r="CU42">
        <f>'2015_2020'!CS11</f>
        <v>5.6400000000000005E-4</v>
      </c>
      <c r="CV42">
        <f>'2015_2020'!CT11</f>
        <v>7.1900000000000002E-4</v>
      </c>
      <c r="CW42">
        <f>'2015_2020'!CU11</f>
        <v>7.3700000000000002E-4</v>
      </c>
      <c r="CX42">
        <f>'2015_2020'!CV11</f>
        <v>9.8499999999999998E-4</v>
      </c>
    </row>
    <row r="43" spans="1:102" x14ac:dyDescent="0.2">
      <c r="A43" t="s">
        <v>213</v>
      </c>
      <c r="B43" t="s">
        <v>218</v>
      </c>
      <c r="C43" t="s">
        <v>221</v>
      </c>
      <c r="D43">
        <f>'2015_2020'!B12</f>
        <v>-2.5899999999999999E-2</v>
      </c>
      <c r="E43">
        <f>'2015_2020'!C12</f>
        <v>-3.6700000000000003E-2</v>
      </c>
      <c r="F43">
        <f>'2015_2020'!D12</f>
        <v>-3.3399999999999999E-2</v>
      </c>
      <c r="G43">
        <f>'2015_2020'!E12</f>
        <v>-3.56E-2</v>
      </c>
      <c r="H43">
        <f>'2015_2020'!F12</f>
        <v>-3.0700000000000002E-2</v>
      </c>
      <c r="I43">
        <f>'2015_2020'!G12</f>
        <v>-3.6700000000000003E-2</v>
      </c>
      <c r="J43">
        <f>'2015_2020'!H12</f>
        <v>-3.3799999999999997E-2</v>
      </c>
      <c r="K43">
        <f>'2015_2020'!I12</f>
        <v>-3.32E-2</v>
      </c>
      <c r="L43">
        <f>'2015_2020'!J12</f>
        <v>-3.3099999999999997E-2</v>
      </c>
      <c r="M43">
        <f>'2015_2020'!K12</f>
        <v>-2.6499999999999999E-2</v>
      </c>
      <c r="N43">
        <f>'2015_2020'!L12</f>
        <v>-2.18E-2</v>
      </c>
      <c r="O43">
        <f>'2015_2020'!M12</f>
        <v>-1.6400000000000001E-2</v>
      </c>
      <c r="P43">
        <f>'2015_2020'!N12</f>
        <v>-1.37E-2</v>
      </c>
      <c r="Q43">
        <f>'2015_2020'!O12</f>
        <v>-1.2500000000000001E-2</v>
      </c>
      <c r="R43">
        <f>'2015_2020'!P12</f>
        <v>-1.14E-2</v>
      </c>
      <c r="S43">
        <f>'2015_2020'!Q12</f>
        <v>-1.0699999999999999E-2</v>
      </c>
      <c r="T43">
        <f>'2015_2020'!R12</f>
        <v>-9.7000000000000003E-3</v>
      </c>
      <c r="U43">
        <f>'2015_2020'!S12</f>
        <v>-9.11E-3</v>
      </c>
      <c r="V43">
        <f>'2015_2020'!T12</f>
        <v>-8.1399999999999997E-3</v>
      </c>
      <c r="W43">
        <f>'2015_2020'!U12</f>
        <v>-7.43E-3</v>
      </c>
      <c r="X43">
        <f>'2015_2020'!V12</f>
        <v>-6.6299999999999996E-3</v>
      </c>
      <c r="Y43">
        <f>'2015_2020'!W12</f>
        <v>-6.0400000000000002E-3</v>
      </c>
      <c r="Z43">
        <f>'2015_2020'!X12</f>
        <v>-5.5399999999999998E-3</v>
      </c>
      <c r="AA43">
        <f>'2015_2020'!Y12</f>
        <v>-5.1700000000000001E-3</v>
      </c>
      <c r="AB43">
        <f>'2015_2020'!Z12</f>
        <v>-4.8799999999999998E-3</v>
      </c>
      <c r="AC43">
        <f>'2015_2020'!AA12</f>
        <v>-4.8900000000000002E-3</v>
      </c>
      <c r="AD43">
        <f>'2015_2020'!AB12</f>
        <v>-4.9800000000000001E-3</v>
      </c>
      <c r="AE43">
        <f>'2015_2020'!AC12</f>
        <v>-4.5700000000000003E-3</v>
      </c>
      <c r="AF43">
        <f>'2015_2020'!AD12</f>
        <v>-4.7000000000000002E-3</v>
      </c>
      <c r="AG43">
        <f>'2015_2020'!AE12</f>
        <v>-4.6299999999999996E-3</v>
      </c>
      <c r="AH43">
        <f>'2015_2020'!AF12</f>
        <v>-4.4200000000000003E-3</v>
      </c>
      <c r="AI43">
        <f>'2015_2020'!AG12</f>
        <v>-4.4600000000000004E-3</v>
      </c>
      <c r="AJ43">
        <f>'2015_2020'!AH12</f>
        <v>-4.4200000000000003E-3</v>
      </c>
      <c r="AK43">
        <f>'2015_2020'!AI12</f>
        <v>-4.4400000000000004E-3</v>
      </c>
      <c r="AL43">
        <f>'2015_2020'!AJ12</f>
        <v>-4.1900000000000001E-3</v>
      </c>
      <c r="AM43">
        <f>'2015_2020'!AK12</f>
        <v>-3.9399999999999999E-3</v>
      </c>
      <c r="AN43">
        <f>'2015_2020'!AL12</f>
        <v>-3.48E-3</v>
      </c>
      <c r="AO43">
        <f>'2015_2020'!AM12</f>
        <v>-3.0400000000000002E-3</v>
      </c>
      <c r="AP43">
        <f>'2015_2020'!AN12</f>
        <v>-2.7200000000000002E-3</v>
      </c>
      <c r="AQ43">
        <f>'2015_2020'!AO12</f>
        <v>-2.4499999999999999E-3</v>
      </c>
      <c r="AR43">
        <f>'2015_2020'!AP12</f>
        <v>-2.4299999999999999E-3</v>
      </c>
      <c r="AS43">
        <f>'2015_2020'!AQ12</f>
        <v>-2.4399999999999999E-3</v>
      </c>
      <c r="AT43">
        <f>'2015_2020'!AR12</f>
        <v>-2.2200000000000002E-3</v>
      </c>
      <c r="AU43">
        <f>'2015_2020'!AS12</f>
        <v>-2.2200000000000002E-3</v>
      </c>
      <c r="AV43">
        <f>'2015_2020'!AT12</f>
        <v>-2.0600000000000002E-3</v>
      </c>
      <c r="AW43">
        <f>'2015_2020'!AU12</f>
        <v>-2.1099999999999999E-3</v>
      </c>
      <c r="AX43">
        <f>'2015_2020'!AV12</f>
        <v>-2.1800000000000001E-3</v>
      </c>
      <c r="AY43">
        <f>'2015_2020'!AW12</f>
        <v>-1.9400000000000001E-3</v>
      </c>
      <c r="AZ43">
        <f>'2015_2020'!AX12</f>
        <v>-1.5200000000000001E-3</v>
      </c>
      <c r="BA43">
        <f>'2015_2020'!AY12</f>
        <v>-1.1299999999999999E-3</v>
      </c>
      <c r="BB43">
        <f>'2015_2020'!AZ12</f>
        <v>-1.0499999999999999E-3</v>
      </c>
      <c r="BC43">
        <f>'2015_2020'!BA12</f>
        <v>-6.7900000000000002E-4</v>
      </c>
      <c r="BD43">
        <f>'2015_2020'!BB12</f>
        <v>-5.8E-4</v>
      </c>
      <c r="BE43">
        <f>'2015_2020'!BC12</f>
        <v>-3.8000000000000002E-4</v>
      </c>
      <c r="BF43">
        <f>'2015_2020'!BD12</f>
        <v>3.3699999999999999E-5</v>
      </c>
      <c r="BG43">
        <f>'2015_2020'!BE12</f>
        <v>5.3300000000000001E-5</v>
      </c>
      <c r="BH43">
        <f>'2015_2020'!BF12</f>
        <v>1.1400000000000001E-4</v>
      </c>
      <c r="BI43">
        <f>'2015_2020'!BG12</f>
        <v>3.8400000000000001E-4</v>
      </c>
      <c r="BJ43">
        <f>'2015_2020'!BH12</f>
        <v>5.8399999999999999E-4</v>
      </c>
      <c r="BK43">
        <f>'2015_2020'!BI12</f>
        <v>4.9399999999999997E-4</v>
      </c>
      <c r="BL43">
        <f>'2015_2020'!BJ12</f>
        <v>4.57E-4</v>
      </c>
      <c r="BM43">
        <f>'2015_2020'!BK12</f>
        <v>6.87E-4</v>
      </c>
      <c r="BN43">
        <f>'2015_2020'!BL12</f>
        <v>8.61E-4</v>
      </c>
      <c r="BO43">
        <f>'2015_2020'!BM12</f>
        <v>1E-3</v>
      </c>
      <c r="BP43">
        <f>'2015_2020'!BN12</f>
        <v>9.7400000000000004E-4</v>
      </c>
      <c r="BQ43">
        <f>'2015_2020'!BO12</f>
        <v>1.0200000000000001E-3</v>
      </c>
      <c r="BR43">
        <f>'2015_2020'!BP12</f>
        <v>1.07E-3</v>
      </c>
      <c r="BS43">
        <f>'2015_2020'!BQ12</f>
        <v>1.1299999999999999E-3</v>
      </c>
      <c r="BT43">
        <f>'2015_2020'!BR12</f>
        <v>9.8799999999999995E-4</v>
      </c>
      <c r="BU43">
        <f>'2015_2020'!BS12</f>
        <v>1.17E-3</v>
      </c>
      <c r="BV43">
        <f>'2015_2020'!BT12</f>
        <v>1.1199999999999999E-3</v>
      </c>
      <c r="BW43">
        <f>'2015_2020'!BU12</f>
        <v>1.2899999999999999E-3</v>
      </c>
      <c r="BX43">
        <f>'2015_2020'!BV12</f>
        <v>1.41E-3</v>
      </c>
      <c r="BY43">
        <f>'2015_2020'!BW12</f>
        <v>1.8699999999999999E-3</v>
      </c>
      <c r="BZ43">
        <f>'2015_2020'!BX12</f>
        <v>1.9499999999999999E-3</v>
      </c>
      <c r="CA43">
        <f>'2015_2020'!BY12</f>
        <v>1.6000000000000001E-3</v>
      </c>
      <c r="CB43">
        <f>'2015_2020'!BZ12</f>
        <v>1.08E-3</v>
      </c>
      <c r="CC43">
        <f>'2015_2020'!CA12</f>
        <v>1.08E-3</v>
      </c>
      <c r="CD43">
        <f>'2015_2020'!CB12</f>
        <v>6.8300000000000001E-4</v>
      </c>
      <c r="CE43">
        <f>'2015_2020'!CC12</f>
        <v>8.4400000000000002E-4</v>
      </c>
      <c r="CF43">
        <f>'2015_2020'!CD12</f>
        <v>1.0499999999999999E-3</v>
      </c>
      <c r="CG43">
        <f>'2015_2020'!CE12</f>
        <v>8.2600000000000002E-4</v>
      </c>
      <c r="CH43">
        <f>'2015_2020'!CF12</f>
        <v>5.8200000000000005E-4</v>
      </c>
      <c r="CI43">
        <f>'2015_2020'!CG12</f>
        <v>4.2900000000000002E-4</v>
      </c>
      <c r="CJ43">
        <f>'2015_2020'!CH12</f>
        <v>-6.2799999999999995E-5</v>
      </c>
      <c r="CK43">
        <f>'2015_2020'!CI12</f>
        <v>-8.3200000000000003E-5</v>
      </c>
      <c r="CL43">
        <f>'2015_2020'!CJ12</f>
        <v>-2.05E-4</v>
      </c>
      <c r="CM43">
        <f>'2015_2020'!CK12</f>
        <v>-2.8299999999999999E-4</v>
      </c>
      <c r="CN43">
        <f>'2015_2020'!CL12</f>
        <v>-6.9700000000000003E-4</v>
      </c>
      <c r="CO43">
        <f>'2015_2020'!CM12</f>
        <v>-1.16E-3</v>
      </c>
      <c r="CP43">
        <f>'2015_2020'!CN12</f>
        <v>-7.9500000000000003E-4</v>
      </c>
      <c r="CQ43">
        <f>'2015_2020'!CO12</f>
        <v>-1.3600000000000001E-3</v>
      </c>
      <c r="CR43">
        <f>'2015_2020'!CP12</f>
        <v>-1.6100000000000001E-3</v>
      </c>
      <c r="CS43">
        <f>'2015_2020'!CQ12</f>
        <v>-1.08E-3</v>
      </c>
      <c r="CT43">
        <f>'2015_2020'!CR12</f>
        <v>-2.0600000000000002E-3</v>
      </c>
      <c r="CU43">
        <f>'2015_2020'!CS12</f>
        <v>-2.47E-3</v>
      </c>
      <c r="CV43">
        <f>'2015_2020'!CT12</f>
        <v>-2.49E-3</v>
      </c>
      <c r="CW43">
        <f>'2015_2020'!CU12</f>
        <v>-2.2100000000000002E-3</v>
      </c>
      <c r="CX43">
        <f>'2015_2020'!CV12</f>
        <v>-2.2799999999999999E-3</v>
      </c>
    </row>
    <row r="44" spans="1:102" x14ac:dyDescent="0.2">
      <c r="A44" t="s">
        <v>214</v>
      </c>
      <c r="B44" t="s">
        <v>218</v>
      </c>
      <c r="C44" t="s">
        <v>221</v>
      </c>
      <c r="D44">
        <f>'2015_2020'!B13</f>
        <v>1.2200000000000001E-2</v>
      </c>
      <c r="E44">
        <f>'2015_2020'!C13</f>
        <v>1.5100000000000001E-2</v>
      </c>
      <c r="F44">
        <f>'2015_2020'!D13</f>
        <v>1.24E-2</v>
      </c>
      <c r="G44">
        <f>'2015_2020'!E13</f>
        <v>1.17E-2</v>
      </c>
      <c r="H44">
        <f>'2015_2020'!F13</f>
        <v>1.0200000000000001E-2</v>
      </c>
      <c r="I44">
        <f>'2015_2020'!G13</f>
        <v>1.1299999999999999E-2</v>
      </c>
      <c r="J44">
        <f>'2015_2020'!H13</f>
        <v>9.7699999999999992E-3</v>
      </c>
      <c r="K44">
        <f>'2015_2020'!I13</f>
        <v>8.4600000000000005E-3</v>
      </c>
      <c r="L44">
        <f>'2015_2020'!J13</f>
        <v>8.5299999999999994E-3</v>
      </c>
      <c r="M44">
        <f>'2015_2020'!K13</f>
        <v>6.5900000000000004E-3</v>
      </c>
      <c r="N44">
        <f>'2015_2020'!L13</f>
        <v>5.1599999999999997E-3</v>
      </c>
      <c r="O44">
        <f>'2015_2020'!M13</f>
        <v>4.2199999999999998E-3</v>
      </c>
      <c r="P44">
        <f>'2015_2020'!N13</f>
        <v>3.7799999999999999E-3</v>
      </c>
      <c r="Q44">
        <f>'2015_2020'!O13</f>
        <v>3.3800000000000002E-3</v>
      </c>
      <c r="R44">
        <f>'2015_2020'!P13</f>
        <v>3.4099999999999998E-3</v>
      </c>
      <c r="S44">
        <f>'2015_2020'!Q13</f>
        <v>3.2799999999999999E-3</v>
      </c>
      <c r="T44">
        <f>'2015_2020'!R13</f>
        <v>3.2200000000000002E-3</v>
      </c>
      <c r="U44">
        <f>'2015_2020'!S13</f>
        <v>3.3500000000000001E-3</v>
      </c>
      <c r="V44">
        <f>'2015_2020'!T13</f>
        <v>3.0999999999999999E-3</v>
      </c>
      <c r="W44">
        <f>'2015_2020'!U13</f>
        <v>3.15E-3</v>
      </c>
      <c r="X44">
        <f>'2015_2020'!V13</f>
        <v>3.16E-3</v>
      </c>
      <c r="Y44">
        <f>'2015_2020'!W13</f>
        <v>3.0400000000000002E-3</v>
      </c>
      <c r="Z44">
        <f>'2015_2020'!X13</f>
        <v>2.9299999999999999E-3</v>
      </c>
      <c r="AA44">
        <f>'2015_2020'!Y13</f>
        <v>3.1700000000000001E-3</v>
      </c>
      <c r="AB44">
        <f>'2015_2020'!Z13</f>
        <v>2.8600000000000001E-3</v>
      </c>
      <c r="AC44">
        <f>'2015_2020'!AA13</f>
        <v>2.82E-3</v>
      </c>
      <c r="AD44">
        <f>'2015_2020'!AB13</f>
        <v>2.64E-3</v>
      </c>
      <c r="AE44">
        <f>'2015_2020'!AC13</f>
        <v>3.0599999999999998E-3</v>
      </c>
      <c r="AF44">
        <f>'2015_2020'!AD13</f>
        <v>3.0699999999999998E-3</v>
      </c>
      <c r="AG44">
        <f>'2015_2020'!AE13</f>
        <v>3.1700000000000001E-3</v>
      </c>
      <c r="AH44">
        <f>'2015_2020'!AF13</f>
        <v>3.3899999999999998E-3</v>
      </c>
      <c r="AI44">
        <f>'2015_2020'!AG13</f>
        <v>3.5300000000000002E-3</v>
      </c>
      <c r="AJ44">
        <f>'2015_2020'!AH13</f>
        <v>3.7799999999999999E-3</v>
      </c>
      <c r="AK44">
        <f>'2015_2020'!AI13</f>
        <v>3.9399999999999999E-3</v>
      </c>
      <c r="AL44">
        <f>'2015_2020'!AJ13</f>
        <v>3.9699999999999996E-3</v>
      </c>
      <c r="AM44">
        <f>'2015_2020'!AK13</f>
        <v>3.8700000000000002E-3</v>
      </c>
      <c r="AN44">
        <f>'2015_2020'!AL13</f>
        <v>3.8999999999999998E-3</v>
      </c>
      <c r="AO44">
        <f>'2015_2020'!AM13</f>
        <v>3.8500000000000001E-3</v>
      </c>
      <c r="AP44">
        <f>'2015_2020'!AN13</f>
        <v>3.7299999999999998E-3</v>
      </c>
      <c r="AQ44">
        <f>'2015_2020'!AO13</f>
        <v>3.5300000000000002E-3</v>
      </c>
      <c r="AR44">
        <f>'2015_2020'!AP13</f>
        <v>3.5799999999999998E-3</v>
      </c>
      <c r="AS44">
        <f>'2015_2020'!AQ13</f>
        <v>3.2100000000000002E-3</v>
      </c>
      <c r="AT44">
        <f>'2015_2020'!AR13</f>
        <v>3.0899999999999999E-3</v>
      </c>
      <c r="AU44">
        <f>'2015_2020'!AS13</f>
        <v>3.0899999999999999E-3</v>
      </c>
      <c r="AV44">
        <f>'2015_2020'!AT13</f>
        <v>3.2599999999999999E-3</v>
      </c>
      <c r="AW44">
        <f>'2015_2020'!AU13</f>
        <v>3.3500000000000001E-3</v>
      </c>
      <c r="AX44">
        <f>'2015_2020'!AV13</f>
        <v>3.47E-3</v>
      </c>
      <c r="AY44">
        <f>'2015_2020'!AW13</f>
        <v>3.4299999999999999E-3</v>
      </c>
      <c r="AZ44">
        <f>'2015_2020'!AX13</f>
        <v>3.4099999999999998E-3</v>
      </c>
      <c r="BA44">
        <f>'2015_2020'!AY13</f>
        <v>3.4099999999999998E-3</v>
      </c>
      <c r="BB44">
        <f>'2015_2020'!AZ13</f>
        <v>3.3500000000000001E-3</v>
      </c>
      <c r="BC44">
        <f>'2015_2020'!BA13</f>
        <v>3.3300000000000001E-3</v>
      </c>
      <c r="BD44">
        <f>'2015_2020'!BB13</f>
        <v>3.0500000000000002E-3</v>
      </c>
      <c r="BE44">
        <f>'2015_2020'!BC13</f>
        <v>2.8999999999999998E-3</v>
      </c>
      <c r="BF44">
        <f>'2015_2020'!BD13</f>
        <v>2.8999999999999998E-3</v>
      </c>
      <c r="BG44">
        <f>'2015_2020'!BE13</f>
        <v>2.8E-3</v>
      </c>
      <c r="BH44">
        <f>'2015_2020'!BF13</f>
        <v>2.8700000000000002E-3</v>
      </c>
      <c r="BI44">
        <f>'2015_2020'!BG13</f>
        <v>2.8900000000000002E-3</v>
      </c>
      <c r="BJ44">
        <f>'2015_2020'!BH13</f>
        <v>2.8900000000000002E-3</v>
      </c>
      <c r="BK44">
        <f>'2015_2020'!BI13</f>
        <v>2.7699999999999999E-3</v>
      </c>
      <c r="BL44">
        <f>'2015_2020'!BJ13</f>
        <v>2.7499999999999998E-3</v>
      </c>
      <c r="BM44">
        <f>'2015_2020'!BK13</f>
        <v>2.7200000000000002E-3</v>
      </c>
      <c r="BN44">
        <f>'2015_2020'!BL13</f>
        <v>2.65E-3</v>
      </c>
      <c r="BO44">
        <f>'2015_2020'!BM13</f>
        <v>2.5500000000000002E-3</v>
      </c>
      <c r="BP44">
        <f>'2015_2020'!BN13</f>
        <v>2.3800000000000002E-3</v>
      </c>
      <c r="BQ44">
        <f>'2015_2020'!BO13</f>
        <v>2.2499999999999998E-3</v>
      </c>
      <c r="BR44">
        <f>'2015_2020'!BP13</f>
        <v>2.2399999999999998E-3</v>
      </c>
      <c r="BS44">
        <f>'2015_2020'!BQ13</f>
        <v>2.3500000000000001E-3</v>
      </c>
      <c r="BT44">
        <f>'2015_2020'!BR13</f>
        <v>2.3E-3</v>
      </c>
      <c r="BU44">
        <f>'2015_2020'!BS13</f>
        <v>2.48E-3</v>
      </c>
      <c r="BV44">
        <f>'2015_2020'!BT13</f>
        <v>2.3600000000000001E-3</v>
      </c>
      <c r="BW44">
        <f>'2015_2020'!BU13</f>
        <v>2.47E-3</v>
      </c>
      <c r="BX44">
        <f>'2015_2020'!BV13</f>
        <v>2.3500000000000001E-3</v>
      </c>
      <c r="BY44">
        <f>'2015_2020'!BW13</f>
        <v>2.2000000000000001E-3</v>
      </c>
      <c r="BZ44">
        <f>'2015_2020'!BX13</f>
        <v>1.98E-3</v>
      </c>
      <c r="CA44">
        <f>'2015_2020'!BY13</f>
        <v>1.97E-3</v>
      </c>
      <c r="CB44">
        <f>'2015_2020'!BZ13</f>
        <v>1.4599999999999999E-3</v>
      </c>
      <c r="CC44">
        <f>'2015_2020'!CA13</f>
        <v>1.4599999999999999E-3</v>
      </c>
      <c r="CD44">
        <f>'2015_2020'!CB13</f>
        <v>1.5900000000000001E-3</v>
      </c>
      <c r="CE44">
        <f>'2015_2020'!CC13</f>
        <v>1.9E-3</v>
      </c>
      <c r="CF44">
        <f>'2015_2020'!CD13</f>
        <v>1.89E-3</v>
      </c>
      <c r="CG44">
        <f>'2015_2020'!CE13</f>
        <v>1.73E-3</v>
      </c>
      <c r="CH44">
        <f>'2015_2020'!CF13</f>
        <v>1.47E-3</v>
      </c>
      <c r="CI44">
        <f>'2015_2020'!CG13</f>
        <v>1.41E-3</v>
      </c>
      <c r="CJ44">
        <f>'2015_2020'!CH13</f>
        <v>1.39E-3</v>
      </c>
      <c r="CK44">
        <f>'2015_2020'!CI13</f>
        <v>1.2700000000000001E-3</v>
      </c>
      <c r="CL44">
        <f>'2015_2020'!CJ13</f>
        <v>8.7699999999999996E-4</v>
      </c>
      <c r="CM44">
        <f>'2015_2020'!CK13</f>
        <v>1.1199999999999999E-3</v>
      </c>
      <c r="CN44">
        <f>'2015_2020'!CL13</f>
        <v>1.1100000000000001E-3</v>
      </c>
      <c r="CO44">
        <f>'2015_2020'!CM13</f>
        <v>1.07E-3</v>
      </c>
      <c r="CP44">
        <f>'2015_2020'!CN13</f>
        <v>9.4200000000000002E-4</v>
      </c>
      <c r="CQ44">
        <f>'2015_2020'!CO13</f>
        <v>4.3199999999999998E-4</v>
      </c>
      <c r="CR44">
        <f>'2015_2020'!CP13</f>
        <v>5.3799999999999996E-4</v>
      </c>
      <c r="CS44">
        <f>'2015_2020'!CQ13</f>
        <v>2.1800000000000001E-4</v>
      </c>
      <c r="CT44">
        <f>'2015_2020'!CR13</f>
        <v>3.6999999999999999E-4</v>
      </c>
      <c r="CU44">
        <f>'2015_2020'!CS13</f>
        <v>2.9599999999999998E-4</v>
      </c>
      <c r="CV44">
        <f>'2015_2020'!CT13</f>
        <v>-2.5199999999999999E-5</v>
      </c>
      <c r="CW44">
        <f>'2015_2020'!CU13</f>
        <v>-2.34E-4</v>
      </c>
      <c r="CX44">
        <f>'2015_2020'!CV13</f>
        <v>-7.6600000000000005E-5</v>
      </c>
    </row>
    <row r="45" spans="1:102" x14ac:dyDescent="0.2">
      <c r="A45" t="s">
        <v>215</v>
      </c>
      <c r="B45" t="s">
        <v>218</v>
      </c>
      <c r="C45" t="s">
        <v>221</v>
      </c>
      <c r="D45">
        <f>'2015_2020'!B14</f>
        <v>9.4599999999999997E-3</v>
      </c>
      <c r="E45">
        <f>'2015_2020'!C14</f>
        <v>1.17E-2</v>
      </c>
      <c r="F45">
        <f>'2015_2020'!D14</f>
        <v>8.2299999999999995E-3</v>
      </c>
      <c r="G45">
        <f>'2015_2020'!E14</f>
        <v>7.77E-3</v>
      </c>
      <c r="H45">
        <f>'2015_2020'!F14</f>
        <v>5.2599999999999999E-3</v>
      </c>
      <c r="I45">
        <f>'2015_2020'!G14</f>
        <v>5.9699999999999996E-3</v>
      </c>
      <c r="J45">
        <f>'2015_2020'!H14</f>
        <v>4.28E-3</v>
      </c>
      <c r="K45">
        <f>'2015_2020'!I14</f>
        <v>3.82E-3</v>
      </c>
      <c r="L45">
        <f>'2015_2020'!J14</f>
        <v>3.4399999999999999E-3</v>
      </c>
      <c r="M45">
        <f>'2015_2020'!K14</f>
        <v>1.74E-3</v>
      </c>
      <c r="N45">
        <f>'2015_2020'!L14</f>
        <v>1.31E-3</v>
      </c>
      <c r="O45">
        <f>'2015_2020'!M14</f>
        <v>1.01E-3</v>
      </c>
      <c r="P45">
        <f>'2015_2020'!N14</f>
        <v>6.8199999999999999E-4</v>
      </c>
      <c r="Q45">
        <f>'2015_2020'!O14</f>
        <v>4.0299999999999998E-4</v>
      </c>
      <c r="R45">
        <f>'2015_2020'!P14</f>
        <v>3.0199999999999999E-5</v>
      </c>
      <c r="S45">
        <f>'2015_2020'!Q14</f>
        <v>-1.35E-4</v>
      </c>
      <c r="T45">
        <f>'2015_2020'!R14</f>
        <v>-2.8799999999999999E-5</v>
      </c>
      <c r="U45">
        <f>'2015_2020'!S14</f>
        <v>1.7200000000000001E-4</v>
      </c>
      <c r="V45">
        <f>'2015_2020'!T14</f>
        <v>2.7399999999999999E-4</v>
      </c>
      <c r="W45">
        <f>'2015_2020'!U14</f>
        <v>4.08E-4</v>
      </c>
      <c r="X45">
        <f>'2015_2020'!V14</f>
        <v>4.4700000000000002E-4</v>
      </c>
      <c r="Y45">
        <f>'2015_2020'!W14</f>
        <v>3.0499999999999999E-4</v>
      </c>
      <c r="Z45">
        <f>'2015_2020'!X14</f>
        <v>1.16E-4</v>
      </c>
      <c r="AA45">
        <f>'2015_2020'!Y14</f>
        <v>9.8599999999999998E-5</v>
      </c>
      <c r="AB45">
        <f>'2015_2020'!Z14</f>
        <v>1.36E-4</v>
      </c>
      <c r="AC45">
        <f>'2015_2020'!AA14</f>
        <v>2.0900000000000001E-4</v>
      </c>
      <c r="AD45">
        <f>'2015_2020'!AB14</f>
        <v>2.8200000000000002E-4</v>
      </c>
      <c r="AE45">
        <f>'2015_2020'!AC14</f>
        <v>3.0899999999999998E-4</v>
      </c>
      <c r="AF45">
        <f>'2015_2020'!AD14</f>
        <v>3.9800000000000002E-4</v>
      </c>
      <c r="AG45">
        <f>'2015_2020'!AE14</f>
        <v>4.7600000000000002E-4</v>
      </c>
      <c r="AH45">
        <f>'2015_2020'!AF14</f>
        <v>3.9800000000000002E-4</v>
      </c>
      <c r="AI45">
        <f>'2015_2020'!AG14</f>
        <v>3.68E-4</v>
      </c>
      <c r="AJ45">
        <f>'2015_2020'!AH14</f>
        <v>2.8899999999999998E-4</v>
      </c>
      <c r="AK45">
        <f>'2015_2020'!AI14</f>
        <v>2.5899999999999999E-5</v>
      </c>
      <c r="AL45">
        <f>'2015_2020'!AJ14</f>
        <v>3.54E-5</v>
      </c>
      <c r="AM45">
        <f>'2015_2020'!AK14</f>
        <v>1.7899999999999999E-4</v>
      </c>
      <c r="AN45">
        <f>'2015_2020'!AL14</f>
        <v>2.1499999999999999E-4</v>
      </c>
      <c r="AO45">
        <f>'2015_2020'!AM14</f>
        <v>3.7500000000000001E-4</v>
      </c>
      <c r="AP45">
        <f>'2015_2020'!AN14</f>
        <v>2.0100000000000001E-4</v>
      </c>
      <c r="AQ45">
        <f>'2015_2020'!AO14</f>
        <v>1.0399999999999999E-4</v>
      </c>
      <c r="AR45">
        <f>'2015_2020'!AP14</f>
        <v>7.1000000000000005E-5</v>
      </c>
      <c r="AS45">
        <f>'2015_2020'!AQ14</f>
        <v>1.36E-4</v>
      </c>
      <c r="AT45">
        <f>'2015_2020'!AR14</f>
        <v>1.1E-4</v>
      </c>
      <c r="AU45">
        <f>'2015_2020'!AS14</f>
        <v>1.1E-4</v>
      </c>
      <c r="AV45">
        <f>'2015_2020'!AT14</f>
        <v>4.4299999999999998E-4</v>
      </c>
      <c r="AW45">
        <f>'2015_2020'!AU14</f>
        <v>1.8000000000000001E-4</v>
      </c>
      <c r="AX45">
        <f>'2015_2020'!AV14</f>
        <v>1.02E-4</v>
      </c>
      <c r="AY45">
        <f>'2015_2020'!AW14</f>
        <v>3.0600000000000001E-4</v>
      </c>
      <c r="AZ45">
        <f>'2015_2020'!AX14</f>
        <v>3.0699999999999998E-4</v>
      </c>
      <c r="BA45">
        <f>'2015_2020'!AY14</f>
        <v>3.5799999999999997E-4</v>
      </c>
      <c r="BB45">
        <f>'2015_2020'!AZ14</f>
        <v>7.9300000000000003E-5</v>
      </c>
      <c r="BC45">
        <f>'2015_2020'!BA14</f>
        <v>1.83E-4</v>
      </c>
      <c r="BD45">
        <f>'2015_2020'!BB14</f>
        <v>4.6799999999999999E-4</v>
      </c>
      <c r="BE45">
        <f>'2015_2020'!BC14</f>
        <v>5.8799999999999998E-4</v>
      </c>
      <c r="BF45">
        <f>'2015_2020'!BD14</f>
        <v>8.7100000000000003E-4</v>
      </c>
      <c r="BG45">
        <f>'2015_2020'!BE14</f>
        <v>7.6199999999999998E-4</v>
      </c>
      <c r="BH45">
        <f>'2015_2020'!BF14</f>
        <v>5.5599999999999996E-4</v>
      </c>
      <c r="BI45">
        <f>'2015_2020'!BG14</f>
        <v>6.87E-4</v>
      </c>
      <c r="BJ45">
        <f>'2015_2020'!BH14</f>
        <v>6.5399999999999996E-4</v>
      </c>
      <c r="BK45">
        <f>'2015_2020'!BI14</f>
        <v>3.9500000000000001E-4</v>
      </c>
      <c r="BL45">
        <f>'2015_2020'!BJ14</f>
        <v>1.93E-4</v>
      </c>
      <c r="BM45">
        <f>'2015_2020'!BK14</f>
        <v>4.1800000000000002E-4</v>
      </c>
      <c r="BN45">
        <f>'2015_2020'!BL14</f>
        <v>4.0099999999999999E-4</v>
      </c>
      <c r="BO45">
        <f>'2015_2020'!BM14</f>
        <v>3.1100000000000002E-4</v>
      </c>
      <c r="BP45">
        <f>'2015_2020'!BN14</f>
        <v>5.1400000000000003E-4</v>
      </c>
      <c r="BQ45">
        <f>'2015_2020'!BO14</f>
        <v>7.0299999999999996E-4</v>
      </c>
      <c r="BR45">
        <f>'2015_2020'!BP14</f>
        <v>1.24E-3</v>
      </c>
      <c r="BS45">
        <f>'2015_2020'!BQ14</f>
        <v>1.14E-3</v>
      </c>
      <c r="BT45">
        <f>'2015_2020'!BR14</f>
        <v>8.5099999999999998E-4</v>
      </c>
      <c r="BU45">
        <f>'2015_2020'!BS14</f>
        <v>1.01E-3</v>
      </c>
      <c r="BV45">
        <f>'2015_2020'!BT14</f>
        <v>7.1299999999999998E-4</v>
      </c>
      <c r="BW45">
        <f>'2015_2020'!BU14</f>
        <v>3.1599999999999998E-4</v>
      </c>
      <c r="BX45">
        <f>'2015_2020'!BV14</f>
        <v>5.9900000000000003E-4</v>
      </c>
      <c r="BY45">
        <f>'2015_2020'!BW14</f>
        <v>9.1399999999999999E-4</v>
      </c>
      <c r="BZ45">
        <f>'2015_2020'!BX14</f>
        <v>5.5999999999999995E-4</v>
      </c>
      <c r="CA45">
        <f>'2015_2020'!BY14</f>
        <v>6.6500000000000001E-4</v>
      </c>
      <c r="CB45">
        <f>'2015_2020'!BZ14</f>
        <v>7.9900000000000001E-4</v>
      </c>
      <c r="CC45">
        <f>'2015_2020'!CA14</f>
        <v>7.9900000000000001E-4</v>
      </c>
      <c r="CD45">
        <f>'2015_2020'!CB14</f>
        <v>9.810000000000001E-4</v>
      </c>
      <c r="CE45">
        <f>'2015_2020'!CC14</f>
        <v>8.8900000000000003E-4</v>
      </c>
      <c r="CF45">
        <f>'2015_2020'!CD14</f>
        <v>8.5599999999999999E-4</v>
      </c>
      <c r="CG45">
        <f>'2015_2020'!CE14</f>
        <v>3.2299999999999999E-4</v>
      </c>
      <c r="CH45">
        <f>'2015_2020'!CF14</f>
        <v>1.38E-5</v>
      </c>
      <c r="CI45">
        <f>'2015_2020'!CG14</f>
        <v>1.2999999999999999E-4</v>
      </c>
      <c r="CJ45">
        <f>'2015_2020'!CH14</f>
        <v>-6.3699999999999998E-4</v>
      </c>
      <c r="CK45">
        <f>'2015_2020'!CI14</f>
        <v>-1.4400000000000001E-3</v>
      </c>
      <c r="CL45">
        <f>'2015_2020'!CJ14</f>
        <v>-1.5E-3</v>
      </c>
      <c r="CM45">
        <f>'2015_2020'!CK14</f>
        <v>-1.56E-3</v>
      </c>
      <c r="CN45">
        <f>'2015_2020'!CL14</f>
        <v>-3.0000000000000001E-3</v>
      </c>
      <c r="CO45">
        <f>'2015_2020'!CM14</f>
        <v>-3.65E-3</v>
      </c>
      <c r="CP45">
        <f>'2015_2020'!CN14</f>
        <v>-3.9300000000000003E-3</v>
      </c>
      <c r="CQ45">
        <f>'2015_2020'!CO14</f>
        <v>-4.3400000000000001E-3</v>
      </c>
      <c r="CR45">
        <f>'2015_2020'!CP14</f>
        <v>-6.4999999999999997E-3</v>
      </c>
      <c r="CS45">
        <f>'2015_2020'!CQ14</f>
        <v>-5.9300000000000004E-3</v>
      </c>
      <c r="CT45">
        <f>'2015_2020'!CR14</f>
        <v>-7.1599999999999997E-3</v>
      </c>
      <c r="CU45">
        <f>'2015_2020'!CS14</f>
        <v>-9.1000000000000004E-3</v>
      </c>
      <c r="CV45">
        <f>'2015_2020'!CT14</f>
        <v>-8.6099999999999996E-3</v>
      </c>
      <c r="CW45">
        <f>'2015_2020'!CU14</f>
        <v>-7.4400000000000004E-3</v>
      </c>
      <c r="CX45">
        <f>'2015_2020'!CV14</f>
        <v>-6.7999999999999996E-3</v>
      </c>
    </row>
    <row r="46" spans="1:102" x14ac:dyDescent="0.2">
      <c r="A46" t="s">
        <v>208</v>
      </c>
      <c r="B46" t="s">
        <v>219</v>
      </c>
      <c r="C46" t="s">
        <v>221</v>
      </c>
      <c r="D46">
        <f>'2015_2020'!B15</f>
        <v>-0.41299999999999998</v>
      </c>
      <c r="E46">
        <f>'2015_2020'!C15</f>
        <v>0.24199999999999999</v>
      </c>
      <c r="F46">
        <f>'2015_2020'!D15</f>
        <v>0.77</v>
      </c>
      <c r="G46">
        <f>'2015_2020'!E15</f>
        <v>5.96E-2</v>
      </c>
      <c r="H46">
        <f>'2015_2020'!F15</f>
        <v>1.026</v>
      </c>
      <c r="I46">
        <f>'2015_2020'!G15</f>
        <v>0.35599999999999998</v>
      </c>
      <c r="J46">
        <f>'2015_2020'!H15</f>
        <v>0.65500000000000003</v>
      </c>
      <c r="K46">
        <f>'2015_2020'!I15</f>
        <v>0.51500000000000001</v>
      </c>
      <c r="L46">
        <f>'2015_2020'!J15</f>
        <v>0.374</v>
      </c>
      <c r="M46">
        <f>'2015_2020'!K15</f>
        <v>0.59399999999999997</v>
      </c>
      <c r="N46">
        <f>'2015_2020'!L15</f>
        <v>0.57499999999999996</v>
      </c>
      <c r="O46">
        <f>'2015_2020'!M15</f>
        <v>0.31</v>
      </c>
      <c r="P46">
        <f>'2015_2020'!N15</f>
        <v>0.35699999999999998</v>
      </c>
      <c r="Q46">
        <f>'2015_2020'!O15</f>
        <v>0.29899999999999999</v>
      </c>
      <c r="R46">
        <f>'2015_2020'!P15</f>
        <v>0.23699999999999999</v>
      </c>
      <c r="S46">
        <f>'2015_2020'!Q15</f>
        <v>0.20300000000000001</v>
      </c>
      <c r="T46">
        <f>'2015_2020'!R15</f>
        <v>0.14000000000000001</v>
      </c>
      <c r="U46">
        <f>'2015_2020'!S15</f>
        <v>0.112</v>
      </c>
      <c r="V46">
        <f>'2015_2020'!T15</f>
        <v>5.3999999999999999E-2</v>
      </c>
      <c r="W46">
        <f>'2015_2020'!U15</f>
        <v>4.7100000000000003E-2</v>
      </c>
      <c r="X46">
        <f>'2015_2020'!V15</f>
        <v>5.5100000000000003E-2</v>
      </c>
      <c r="Y46">
        <f>'2015_2020'!W15</f>
        <v>2.4299999999999999E-2</v>
      </c>
      <c r="Z46">
        <f>'2015_2020'!X15</f>
        <v>3.5000000000000003E-2</v>
      </c>
      <c r="AA46">
        <f>'2015_2020'!Y15</f>
        <v>4.1300000000000003E-2</v>
      </c>
      <c r="AB46">
        <f>'2015_2020'!Z15</f>
        <v>3.15E-2</v>
      </c>
      <c r="AC46">
        <f>'2015_2020'!AA15</f>
        <v>1.7899999999999999E-2</v>
      </c>
      <c r="AD46">
        <f>'2015_2020'!AB15</f>
        <v>1.6299999999999999E-2</v>
      </c>
      <c r="AE46">
        <f>'2015_2020'!AC15</f>
        <v>1.9800000000000002E-2</v>
      </c>
      <c r="AF46">
        <f>'2015_2020'!AD15</f>
        <v>1.34E-2</v>
      </c>
      <c r="AG46">
        <f>'2015_2020'!AE15</f>
        <v>9.0900000000000009E-3</v>
      </c>
      <c r="AH46">
        <f>'2015_2020'!AF15</f>
        <v>1.03E-2</v>
      </c>
      <c r="AI46">
        <f>'2015_2020'!AG15</f>
        <v>8.6800000000000002E-3</v>
      </c>
      <c r="AJ46">
        <f>'2015_2020'!AH15</f>
        <v>-5.8700000000000002E-3</v>
      </c>
      <c r="AK46">
        <f>'2015_2020'!AI15</f>
        <v>-1.18E-2</v>
      </c>
      <c r="AL46">
        <f>'2015_2020'!AJ15</f>
        <v>-2.0500000000000002E-3</v>
      </c>
      <c r="AM46">
        <f>'2015_2020'!AK15</f>
        <v>8.1600000000000006E-3</v>
      </c>
      <c r="AN46">
        <f>'2015_2020'!AL15</f>
        <v>4.0600000000000002E-3</v>
      </c>
      <c r="AO46">
        <f>'2015_2020'!AM15</f>
        <v>4.17E-4</v>
      </c>
      <c r="AP46">
        <f>'2015_2020'!AN15</f>
        <v>1.2200000000000001E-2</v>
      </c>
      <c r="AQ46">
        <f>'2015_2020'!AO15</f>
        <v>2.4500000000000001E-2</v>
      </c>
      <c r="AR46">
        <f>'2015_2020'!AP15</f>
        <v>2.9399999999999999E-2</v>
      </c>
      <c r="AS46">
        <f>'2015_2020'!AQ15</f>
        <v>2.5000000000000001E-2</v>
      </c>
      <c r="AT46">
        <f>'2015_2020'!AR15</f>
        <v>2.24E-2</v>
      </c>
      <c r="AU46">
        <f>'2015_2020'!AS15</f>
        <v>2.29E-2</v>
      </c>
      <c r="AV46">
        <f>'2015_2020'!AT15</f>
        <v>1.0200000000000001E-2</v>
      </c>
      <c r="AW46">
        <f>'2015_2020'!AU15</f>
        <v>-1.2E-2</v>
      </c>
      <c r="AX46">
        <f>'2015_2020'!AV15</f>
        <v>-2.69E-2</v>
      </c>
      <c r="AY46">
        <f>'2015_2020'!AW15</f>
        <v>-4.07E-2</v>
      </c>
      <c r="AZ46">
        <f>'2015_2020'!AX15</f>
        <v>-4.6800000000000001E-2</v>
      </c>
      <c r="BA46">
        <f>'2015_2020'!AY15</f>
        <v>-5.8099999999999999E-2</v>
      </c>
      <c r="BB46">
        <f>'2015_2020'!AZ15</f>
        <v>-4.7899999999999998E-2</v>
      </c>
      <c r="BC46">
        <f>'2015_2020'!BA15</f>
        <v>-3.5700000000000003E-2</v>
      </c>
      <c r="BD46">
        <f>'2015_2020'!BB15</f>
        <v>-3.7199999999999997E-2</v>
      </c>
      <c r="BE46">
        <f>'2015_2020'!BC15</f>
        <v>-3.6200000000000003E-2</v>
      </c>
      <c r="BF46">
        <f>'2015_2020'!BD15</f>
        <v>-9.4699999999999993E-3</v>
      </c>
      <c r="BG46">
        <f>'2015_2020'!BE15</f>
        <v>-3.3600000000000001E-3</v>
      </c>
      <c r="BH46">
        <f>'2015_2020'!BF15</f>
        <v>4.3299999999999996E-3</v>
      </c>
      <c r="BI46">
        <f>'2015_2020'!BG15</f>
        <v>-9.6900000000000003E-4</v>
      </c>
      <c r="BJ46">
        <f>'2015_2020'!BH15</f>
        <v>-9.1199999999999996E-3</v>
      </c>
      <c r="BK46">
        <f>'2015_2020'!BI15</f>
        <v>-6.3400000000000001E-3</v>
      </c>
      <c r="BL46">
        <f>'2015_2020'!BJ15</f>
        <v>-4.15E-3</v>
      </c>
      <c r="BM46">
        <f>'2015_2020'!BK15</f>
        <v>-2.07E-2</v>
      </c>
      <c r="BN46">
        <f>'2015_2020'!BL15</f>
        <v>-3.9699999999999999E-2</v>
      </c>
      <c r="BO46">
        <f>'2015_2020'!BM15</f>
        <v>-6.0499999999999998E-2</v>
      </c>
      <c r="BP46">
        <f>'2015_2020'!BN15</f>
        <v>-7.0699999999999999E-2</v>
      </c>
      <c r="BQ46">
        <f>'2015_2020'!BO15</f>
        <v>-7.9000000000000001E-2</v>
      </c>
      <c r="BR46">
        <f>'2015_2020'!BP15</f>
        <v>-7.8200000000000006E-2</v>
      </c>
      <c r="BS46">
        <f>'2015_2020'!BQ15</f>
        <v>-0.11700000000000001</v>
      </c>
      <c r="BT46">
        <f>'2015_2020'!BR15</f>
        <v>-0.14799999999999999</v>
      </c>
      <c r="BU46">
        <f>'2015_2020'!BS15</f>
        <v>-0.14000000000000001</v>
      </c>
      <c r="BV46">
        <f>'2015_2020'!BT15</f>
        <v>-4.7199999999999999E-2</v>
      </c>
      <c r="BW46">
        <f>'2015_2020'!BU15</f>
        <v>-3.0099999999999998E-2</v>
      </c>
      <c r="BX46">
        <f>'2015_2020'!BV15</f>
        <v>-4.8599999999999997E-2</v>
      </c>
      <c r="BY46">
        <f>'2015_2020'!BW15</f>
        <v>-7.2499999999999995E-2</v>
      </c>
      <c r="BZ46">
        <f>'2015_2020'!BX15</f>
        <v>-3.5700000000000003E-2</v>
      </c>
      <c r="CA46">
        <f>'2015_2020'!BY15</f>
        <v>-3.1300000000000001E-2</v>
      </c>
      <c r="CB46">
        <f>'2015_2020'!BZ15</f>
        <v>-1.23E-2</v>
      </c>
      <c r="CC46">
        <f>'2015_2020'!CA15</f>
        <v>-0.02</v>
      </c>
      <c r="CD46">
        <f>'2015_2020'!CB15</f>
        <v>-5.9200000000000003E-2</v>
      </c>
      <c r="CE46">
        <f>'2015_2020'!CC15</f>
        <v>-0.23699999999999999</v>
      </c>
      <c r="CF46">
        <f>'2015_2020'!CD15</f>
        <v>-0.31900000000000001</v>
      </c>
      <c r="CG46">
        <f>'2015_2020'!CE15</f>
        <v>-0.30299999999999999</v>
      </c>
      <c r="CH46">
        <f>'2015_2020'!CF15</f>
        <v>-0.183</v>
      </c>
      <c r="CI46">
        <f>'2015_2020'!CG15</f>
        <v>-0.106</v>
      </c>
      <c r="CJ46">
        <f>'2015_2020'!CH15</f>
        <v>-0.10199999999999999</v>
      </c>
      <c r="CK46">
        <f>'2015_2020'!CI15</f>
        <v>-0.15</v>
      </c>
      <c r="CL46">
        <f>'2015_2020'!CJ15</f>
        <v>-0.183</v>
      </c>
      <c r="CM46">
        <f>'2015_2020'!CK15</f>
        <v>-0.245</v>
      </c>
      <c r="CN46">
        <f>'2015_2020'!CL15</f>
        <v>-0.29399999999999998</v>
      </c>
      <c r="CO46">
        <f>'2015_2020'!CM15</f>
        <v>-0.309</v>
      </c>
      <c r="CP46">
        <f>'2015_2020'!CN15</f>
        <v>-0.22800000000000001</v>
      </c>
      <c r="CQ46">
        <f>'2015_2020'!CO15</f>
        <v>-0.215</v>
      </c>
      <c r="CR46">
        <f>'2015_2020'!CP15</f>
        <v>-0.24</v>
      </c>
      <c r="CS46">
        <f>'2015_2020'!CQ15</f>
        <v>-0.11600000000000001</v>
      </c>
      <c r="CT46">
        <f>'2015_2020'!CR15</f>
        <v>-0.23899999999999999</v>
      </c>
      <c r="CU46">
        <f>'2015_2020'!CS15</f>
        <v>-0.28299999999999997</v>
      </c>
      <c r="CV46">
        <f>'2015_2020'!CT15</f>
        <v>-0.31900000000000001</v>
      </c>
      <c r="CW46">
        <f>'2015_2020'!CU15</f>
        <v>-0.217</v>
      </c>
      <c r="CX46">
        <f>'2015_2020'!CV15</f>
        <v>-0.27400000000000002</v>
      </c>
    </row>
    <row r="47" spans="1:102" x14ac:dyDescent="0.2">
      <c r="A47" t="s">
        <v>209</v>
      </c>
      <c r="B47" t="s">
        <v>219</v>
      </c>
      <c r="C47" t="s">
        <v>221</v>
      </c>
      <c r="D47">
        <f>'2015_2020'!B16</f>
        <v>-0.10199999999999999</v>
      </c>
      <c r="E47">
        <f>'2015_2020'!C16</f>
        <v>-0.122</v>
      </c>
      <c r="F47">
        <f>'2015_2020'!D16</f>
        <v>3.8899999999999997E-2</v>
      </c>
      <c r="G47">
        <f>'2015_2020'!E16</f>
        <v>-0.14000000000000001</v>
      </c>
      <c r="H47">
        <f>'2015_2020'!F16</f>
        <v>0.13</v>
      </c>
      <c r="I47">
        <f>'2015_2020'!G16</f>
        <v>-6.7400000000000002E-2</v>
      </c>
      <c r="J47">
        <f>'2015_2020'!H16</f>
        <v>6.6900000000000001E-2</v>
      </c>
      <c r="K47">
        <f>'2015_2020'!I16</f>
        <v>0.08</v>
      </c>
      <c r="L47">
        <f>'2015_2020'!J16</f>
        <v>3.2099999999999997E-2</v>
      </c>
      <c r="M47">
        <f>'2015_2020'!K16</f>
        <v>0.14399999999999999</v>
      </c>
      <c r="N47">
        <f>'2015_2020'!L16</f>
        <v>0.19</v>
      </c>
      <c r="O47">
        <f>'2015_2020'!M16</f>
        <v>9.5399999999999999E-2</v>
      </c>
      <c r="P47">
        <f>'2015_2020'!N16</f>
        <v>0.14199999999999999</v>
      </c>
      <c r="Q47">
        <f>'2015_2020'!O16</f>
        <v>0.11700000000000001</v>
      </c>
      <c r="R47">
        <f>'2015_2020'!P16</f>
        <v>7.8100000000000003E-2</v>
      </c>
      <c r="S47">
        <f>'2015_2020'!Q16</f>
        <v>5.9799999999999999E-2</v>
      </c>
      <c r="T47">
        <f>'2015_2020'!R16</f>
        <v>3.1600000000000003E-2</v>
      </c>
      <c r="U47">
        <f>'2015_2020'!S16</f>
        <v>2.07E-2</v>
      </c>
      <c r="V47">
        <f>'2015_2020'!T16</f>
        <v>2.3500000000000001E-3</v>
      </c>
      <c r="W47">
        <f>'2015_2020'!U16</f>
        <v>5.5700000000000003E-3</v>
      </c>
      <c r="X47">
        <f>'2015_2020'!V16</f>
        <v>1.2500000000000001E-2</v>
      </c>
      <c r="Y47">
        <f>'2015_2020'!W16</f>
        <v>-3.62E-3</v>
      </c>
      <c r="Z47">
        <f>'2015_2020'!X16</f>
        <v>-6.2100000000000002E-4</v>
      </c>
      <c r="AA47">
        <f>'2015_2020'!Y16</f>
        <v>1.54E-2</v>
      </c>
      <c r="AB47">
        <f>'2015_2020'!Z16</f>
        <v>1.37E-2</v>
      </c>
      <c r="AC47">
        <f>'2015_2020'!AA16</f>
        <v>7.4999999999999997E-3</v>
      </c>
      <c r="AD47">
        <f>'2015_2020'!AB16</f>
        <v>1.06E-2</v>
      </c>
      <c r="AE47">
        <f>'2015_2020'!AC16</f>
        <v>1.15E-2</v>
      </c>
      <c r="AF47">
        <f>'2015_2020'!AD16</f>
        <v>3.1199999999999999E-3</v>
      </c>
      <c r="AG47">
        <f>'2015_2020'!AE16</f>
        <v>1.2600000000000001E-3</v>
      </c>
      <c r="AH47">
        <f>'2015_2020'!AF16</f>
        <v>2.07E-2</v>
      </c>
      <c r="AI47">
        <f>'2015_2020'!AG16</f>
        <v>1.9300000000000001E-2</v>
      </c>
      <c r="AJ47">
        <f>'2015_2020'!AH16</f>
        <v>1.11E-2</v>
      </c>
      <c r="AK47">
        <f>'2015_2020'!AI16</f>
        <v>1.4500000000000001E-2</v>
      </c>
      <c r="AL47">
        <f>'2015_2020'!AJ16</f>
        <v>2.7199999999999998E-2</v>
      </c>
      <c r="AM47">
        <f>'2015_2020'!AK16</f>
        <v>2.18E-2</v>
      </c>
      <c r="AN47">
        <f>'2015_2020'!AL16</f>
        <v>2.5999999999999999E-2</v>
      </c>
      <c r="AO47">
        <f>'2015_2020'!AM16</f>
        <v>2.5700000000000001E-2</v>
      </c>
      <c r="AP47">
        <f>'2015_2020'!AN16</f>
        <v>4.65E-2</v>
      </c>
      <c r="AQ47">
        <f>'2015_2020'!AO16</f>
        <v>6.0900000000000003E-2</v>
      </c>
      <c r="AR47">
        <f>'2015_2020'!AP16</f>
        <v>6.4000000000000001E-2</v>
      </c>
      <c r="AS47">
        <f>'2015_2020'!AQ16</f>
        <v>6.0699999999999997E-2</v>
      </c>
      <c r="AT47">
        <f>'2015_2020'!AR16</f>
        <v>5.6099999999999997E-2</v>
      </c>
      <c r="AU47">
        <f>'2015_2020'!AS16</f>
        <v>5.8299999999999998E-2</v>
      </c>
      <c r="AV47">
        <f>'2015_2020'!AT16</f>
        <v>4.6600000000000003E-2</v>
      </c>
      <c r="AW47">
        <f>'2015_2020'!AU16</f>
        <v>2.3599999999999999E-2</v>
      </c>
      <c r="AX47">
        <f>'2015_2020'!AV16</f>
        <v>-8.6800000000000002E-3</v>
      </c>
      <c r="AY47">
        <f>'2015_2020'!AW16</f>
        <v>-1.5699999999999999E-2</v>
      </c>
      <c r="AZ47">
        <f>'2015_2020'!AX16</f>
        <v>-1.6299999999999999E-2</v>
      </c>
      <c r="BA47">
        <f>'2015_2020'!AY16</f>
        <v>-2.23E-2</v>
      </c>
      <c r="BB47">
        <f>'2015_2020'!AZ16</f>
        <v>-1.5299999999999999E-3</v>
      </c>
      <c r="BC47">
        <f>'2015_2020'!BA16</f>
        <v>5.3600000000000002E-3</v>
      </c>
      <c r="BD47">
        <f>'2015_2020'!BB16</f>
        <v>1.3899999999999999E-2</v>
      </c>
      <c r="BE47">
        <f>'2015_2020'!BC16</f>
        <v>2.1399999999999999E-2</v>
      </c>
      <c r="BF47">
        <f>'2015_2020'!BD16</f>
        <v>3.6600000000000001E-2</v>
      </c>
      <c r="BG47">
        <f>'2015_2020'!BE16</f>
        <v>4.9399999999999999E-2</v>
      </c>
      <c r="BH47">
        <f>'2015_2020'!BF16</f>
        <v>6.0100000000000001E-2</v>
      </c>
      <c r="BI47">
        <f>'2015_2020'!BG16</f>
        <v>5.91E-2</v>
      </c>
      <c r="BJ47">
        <f>'2015_2020'!BH16</f>
        <v>5.0500000000000003E-2</v>
      </c>
      <c r="BK47">
        <f>'2015_2020'!BI16</f>
        <v>6.2199999999999998E-2</v>
      </c>
      <c r="BL47">
        <f>'2015_2020'!BJ16</f>
        <v>6.4199999999999993E-2</v>
      </c>
      <c r="BM47">
        <f>'2015_2020'!BK16</f>
        <v>6.0400000000000002E-2</v>
      </c>
      <c r="BN47">
        <f>'2015_2020'!BL16</f>
        <v>3.8699999999999998E-2</v>
      </c>
      <c r="BO47">
        <f>'2015_2020'!BM16</f>
        <v>1.6899999999999998E-2</v>
      </c>
      <c r="BP47">
        <f>'2015_2020'!BN16</f>
        <v>1.23E-2</v>
      </c>
      <c r="BQ47">
        <f>'2015_2020'!BO16</f>
        <v>1.01E-2</v>
      </c>
      <c r="BR47">
        <f>'2015_2020'!BP16</f>
        <v>7.2399999999999999E-3</v>
      </c>
      <c r="BS47">
        <f>'2015_2020'!BQ16</f>
        <v>-2.2800000000000001E-2</v>
      </c>
      <c r="BT47">
        <f>'2015_2020'!BR16</f>
        <v>-4.8599999999999997E-2</v>
      </c>
      <c r="BU47">
        <f>'2015_2020'!BS16</f>
        <v>-2.5499999999999998E-2</v>
      </c>
      <c r="BV47">
        <f>'2015_2020'!BT16</f>
        <v>9.5100000000000004E-2</v>
      </c>
      <c r="BW47">
        <f>'2015_2020'!BU16</f>
        <v>0.128</v>
      </c>
      <c r="BX47">
        <f>'2015_2020'!BV16</f>
        <v>0.108</v>
      </c>
      <c r="BY47">
        <f>'2015_2020'!BW16</f>
        <v>9.8599999999999993E-2</v>
      </c>
      <c r="BZ47">
        <f>'2015_2020'!BX16</f>
        <v>0.13</v>
      </c>
      <c r="CA47">
        <f>'2015_2020'!BY16</f>
        <v>0.125</v>
      </c>
      <c r="CB47">
        <f>'2015_2020'!BZ16</f>
        <v>0.153</v>
      </c>
      <c r="CC47">
        <f>'2015_2020'!CA16</f>
        <v>0.14899999999999999</v>
      </c>
      <c r="CD47">
        <f>'2015_2020'!CB16</f>
        <v>0.10199999999999999</v>
      </c>
      <c r="CE47">
        <f>'2015_2020'!CC16</f>
        <v>-4.4299999999999999E-2</v>
      </c>
      <c r="CF47">
        <f>'2015_2020'!CD16</f>
        <v>-9.7600000000000006E-2</v>
      </c>
      <c r="CG47">
        <f>'2015_2020'!CE16</f>
        <v>-7.7899999999999997E-2</v>
      </c>
      <c r="CH47">
        <f>'2015_2020'!CF16</f>
        <v>2.6800000000000001E-2</v>
      </c>
      <c r="CI47">
        <f>'2015_2020'!CG16</f>
        <v>0.11799999999999999</v>
      </c>
      <c r="CJ47">
        <f>'2015_2020'!CH16</f>
        <v>0.154</v>
      </c>
      <c r="CK47">
        <f>'2015_2020'!CI16</f>
        <v>0.111</v>
      </c>
      <c r="CL47">
        <f>'2015_2020'!CJ16</f>
        <v>6.2600000000000003E-2</v>
      </c>
      <c r="CM47">
        <f>'2015_2020'!CK16</f>
        <v>8.1099999999999992E-3</v>
      </c>
      <c r="CN47">
        <f>'2015_2020'!CL16</f>
        <v>1.5299999999999999E-2</v>
      </c>
      <c r="CO47">
        <f>'2015_2020'!CM16</f>
        <v>-6.8700000000000002E-3</v>
      </c>
      <c r="CP47">
        <f>'2015_2020'!CN16</f>
        <v>3.8199999999999998E-2</v>
      </c>
      <c r="CQ47">
        <f>'2015_2020'!CO16</f>
        <v>5.8799999999999998E-2</v>
      </c>
      <c r="CR47">
        <f>'2015_2020'!CP16</f>
        <v>0.129</v>
      </c>
      <c r="CS47">
        <f>'2015_2020'!CQ16</f>
        <v>0.22500000000000001</v>
      </c>
      <c r="CT47">
        <f>'2015_2020'!CR16</f>
        <v>0.14000000000000001</v>
      </c>
      <c r="CU47">
        <f>'2015_2020'!CS16</f>
        <v>3.5700000000000003E-2</v>
      </c>
      <c r="CV47">
        <f>'2015_2020'!CT16</f>
        <v>-9.4000000000000004E-3</v>
      </c>
      <c r="CW47">
        <f>'2015_2020'!CU16</f>
        <v>0.123</v>
      </c>
      <c r="CX47">
        <f>'2015_2020'!CV16</f>
        <v>-4.7699999999999999E-2</v>
      </c>
    </row>
    <row r="48" spans="1:102" x14ac:dyDescent="0.2">
      <c r="A48" t="s">
        <v>210</v>
      </c>
      <c r="B48" t="s">
        <v>219</v>
      </c>
      <c r="C48" t="s">
        <v>221</v>
      </c>
      <c r="D48">
        <f>'2015_2020'!B17</f>
        <v>8.7499999999999994E-2</v>
      </c>
      <c r="E48">
        <f>'2015_2020'!C17</f>
        <v>8.5500000000000007E-2</v>
      </c>
      <c r="F48">
        <f>'2015_2020'!D17</f>
        <v>3.04E-2</v>
      </c>
      <c r="G48">
        <f>'2015_2020'!E17</f>
        <v>6.0299999999999999E-2</v>
      </c>
      <c r="H48">
        <f>'2015_2020'!F17</f>
        <v>-3.0800000000000001E-2</v>
      </c>
      <c r="I48">
        <f>'2015_2020'!G17</f>
        <v>2.1499999999999998E-2</v>
      </c>
      <c r="J48">
        <f>'2015_2020'!H17</f>
        <v>-6.0499999999999998E-3</v>
      </c>
      <c r="K48">
        <f>'2015_2020'!I17</f>
        <v>-8.5699999999999995E-3</v>
      </c>
      <c r="L48">
        <f>'2015_2020'!J17</f>
        <v>1.6899999999999999E-4</v>
      </c>
      <c r="M48">
        <f>'2015_2020'!K17</f>
        <v>-2.2599999999999999E-2</v>
      </c>
      <c r="N48">
        <f>'2015_2020'!L17</f>
        <v>-2.6499999999999999E-2</v>
      </c>
      <c r="O48">
        <f>'2015_2020'!M17</f>
        <v>-1.0200000000000001E-2</v>
      </c>
      <c r="P48">
        <f>'2015_2020'!N17</f>
        <v>-1.54E-2</v>
      </c>
      <c r="Q48">
        <f>'2015_2020'!O17</f>
        <v>-1.06E-2</v>
      </c>
      <c r="R48">
        <f>'2015_2020'!P17</f>
        <v>-5.7099999999999998E-3</v>
      </c>
      <c r="S48">
        <f>'2015_2020'!Q17</f>
        <v>-2E-3</v>
      </c>
      <c r="T48">
        <f>'2015_2020'!R17</f>
        <v>3.3300000000000001E-3</v>
      </c>
      <c r="U48">
        <f>'2015_2020'!S17</f>
        <v>4.47E-3</v>
      </c>
      <c r="V48">
        <f>'2015_2020'!T17</f>
        <v>9.4400000000000005E-3</v>
      </c>
      <c r="W48">
        <f>'2015_2020'!U17</f>
        <v>7.6800000000000002E-3</v>
      </c>
      <c r="X48">
        <f>'2015_2020'!V17</f>
        <v>5.4200000000000003E-3</v>
      </c>
      <c r="Y48">
        <f>'2015_2020'!W17</f>
        <v>8.5800000000000008E-3</v>
      </c>
      <c r="Z48">
        <f>'2015_2020'!X17</f>
        <v>7.2899999999999996E-3</v>
      </c>
      <c r="AA48">
        <f>'2015_2020'!Y17</f>
        <v>7.2700000000000004E-3</v>
      </c>
      <c r="AB48">
        <f>'2015_2020'!Z17</f>
        <v>9.75E-3</v>
      </c>
      <c r="AC48">
        <f>'2015_2020'!AA17</f>
        <v>1.1900000000000001E-2</v>
      </c>
      <c r="AD48">
        <f>'2015_2020'!AB17</f>
        <v>1.2800000000000001E-2</v>
      </c>
      <c r="AE48">
        <f>'2015_2020'!AC17</f>
        <v>1.2699999999999999E-2</v>
      </c>
      <c r="AF48">
        <f>'2015_2020'!AD17</f>
        <v>1.47E-2</v>
      </c>
      <c r="AG48">
        <f>'2015_2020'!AE17</f>
        <v>1.43E-2</v>
      </c>
      <c r="AH48">
        <f>'2015_2020'!AF17</f>
        <v>1.34E-2</v>
      </c>
      <c r="AI48">
        <f>'2015_2020'!AG17</f>
        <v>1.5100000000000001E-2</v>
      </c>
      <c r="AJ48">
        <f>'2015_2020'!AH17</f>
        <v>1.9400000000000001E-2</v>
      </c>
      <c r="AK48">
        <f>'2015_2020'!AI17</f>
        <v>1.89E-2</v>
      </c>
      <c r="AL48">
        <f>'2015_2020'!AJ17</f>
        <v>1.8100000000000002E-2</v>
      </c>
      <c r="AM48">
        <f>'2015_2020'!AK17</f>
        <v>1.8499999999999999E-2</v>
      </c>
      <c r="AN48">
        <f>'2015_2020'!AL17</f>
        <v>2.01E-2</v>
      </c>
      <c r="AO48">
        <f>'2015_2020'!AM17</f>
        <v>2.07E-2</v>
      </c>
      <c r="AP48">
        <f>'2015_2020'!AN17</f>
        <v>1.7999999999999999E-2</v>
      </c>
      <c r="AQ48">
        <f>'2015_2020'!AO17</f>
        <v>1.46E-2</v>
      </c>
      <c r="AR48">
        <f>'2015_2020'!AP17</f>
        <v>1.46E-2</v>
      </c>
      <c r="AS48">
        <f>'2015_2020'!AQ17</f>
        <v>1.5299999999999999E-2</v>
      </c>
      <c r="AT48">
        <f>'2015_2020'!AR17</f>
        <v>1.47E-2</v>
      </c>
      <c r="AU48">
        <f>'2015_2020'!AS17</f>
        <v>1.38E-2</v>
      </c>
      <c r="AV48">
        <f>'2015_2020'!AT17</f>
        <v>1.66E-2</v>
      </c>
      <c r="AW48">
        <f>'2015_2020'!AU17</f>
        <v>2.3300000000000001E-2</v>
      </c>
      <c r="AX48">
        <f>'2015_2020'!AV17</f>
        <v>2.9000000000000001E-2</v>
      </c>
      <c r="AY48">
        <f>'2015_2020'!AW17</f>
        <v>2.9899999999999999E-2</v>
      </c>
      <c r="AZ48">
        <f>'2015_2020'!AX17</f>
        <v>2.8400000000000002E-2</v>
      </c>
      <c r="BA48">
        <f>'2015_2020'!AY17</f>
        <v>2.8299999999999999E-2</v>
      </c>
      <c r="BB48">
        <f>'2015_2020'!AZ17</f>
        <v>2.6599999999999999E-2</v>
      </c>
      <c r="BC48">
        <f>'2015_2020'!BA17</f>
        <v>2.3699999999999999E-2</v>
      </c>
      <c r="BD48">
        <f>'2015_2020'!BB17</f>
        <v>1.9300000000000001E-2</v>
      </c>
      <c r="BE48">
        <f>'2015_2020'!BC17</f>
        <v>1.8200000000000001E-2</v>
      </c>
      <c r="BF48">
        <f>'2015_2020'!BD17</f>
        <v>1.4800000000000001E-2</v>
      </c>
      <c r="BG48">
        <f>'2015_2020'!BE17</f>
        <v>1.17E-2</v>
      </c>
      <c r="BH48">
        <f>'2015_2020'!BF17</f>
        <v>7.3400000000000002E-3</v>
      </c>
      <c r="BI48">
        <f>'2015_2020'!BG17</f>
        <v>9.4900000000000002E-3</v>
      </c>
      <c r="BJ48">
        <f>'2015_2020'!BH17</f>
        <v>1.2800000000000001E-2</v>
      </c>
      <c r="BK48">
        <f>'2015_2020'!BI17</f>
        <v>1.2200000000000001E-2</v>
      </c>
      <c r="BL48">
        <f>'2015_2020'!BJ17</f>
        <v>1.03E-2</v>
      </c>
      <c r="BM48">
        <f>'2015_2020'!BK17</f>
        <v>1.3100000000000001E-2</v>
      </c>
      <c r="BN48">
        <f>'2015_2020'!BL17</f>
        <v>1.55E-2</v>
      </c>
      <c r="BO48">
        <f>'2015_2020'!BM17</f>
        <v>1.95E-2</v>
      </c>
      <c r="BP48">
        <f>'2015_2020'!BN17</f>
        <v>2.2200000000000001E-2</v>
      </c>
      <c r="BQ48">
        <f>'2015_2020'!BO17</f>
        <v>2.23E-2</v>
      </c>
      <c r="BR48">
        <f>'2015_2020'!BP17</f>
        <v>2.07E-2</v>
      </c>
      <c r="BS48">
        <f>'2015_2020'!BQ17</f>
        <v>2.6200000000000001E-2</v>
      </c>
      <c r="BT48">
        <f>'2015_2020'!BR17</f>
        <v>3.0800000000000001E-2</v>
      </c>
      <c r="BU48">
        <f>'2015_2020'!BS17</f>
        <v>2.7400000000000001E-2</v>
      </c>
      <c r="BV48">
        <f>'2015_2020'!BT17</f>
        <v>5.2500000000000003E-3</v>
      </c>
      <c r="BW48">
        <f>'2015_2020'!BU17</f>
        <v>1.81E-3</v>
      </c>
      <c r="BX48">
        <f>'2015_2020'!BV17</f>
        <v>5.9699999999999996E-3</v>
      </c>
      <c r="BY48">
        <f>'2015_2020'!BW17</f>
        <v>8.5699999999999995E-3</v>
      </c>
      <c r="BZ48">
        <f>'2015_2020'!BX17</f>
        <v>1.25E-3</v>
      </c>
      <c r="CA48">
        <f>'2015_2020'!BY17</f>
        <v>2.5799999999999998E-4</v>
      </c>
      <c r="CB48">
        <f>'2015_2020'!BZ17</f>
        <v>-5.64E-3</v>
      </c>
      <c r="CC48">
        <f>'2015_2020'!CA17</f>
        <v>-9.9699999999999997E-3</v>
      </c>
      <c r="CD48">
        <f>'2015_2020'!CB17</f>
        <v>-1.6999999999999999E-3</v>
      </c>
      <c r="CE48">
        <f>'2015_2020'!CC17</f>
        <v>3.0599999999999999E-2</v>
      </c>
      <c r="CF48">
        <f>'2015_2020'!CD17</f>
        <v>4.1599999999999998E-2</v>
      </c>
      <c r="CG48">
        <f>'2015_2020'!CE17</f>
        <v>3.6600000000000001E-2</v>
      </c>
      <c r="CH48">
        <f>'2015_2020'!CF17</f>
        <v>1.18E-2</v>
      </c>
      <c r="CI48">
        <f>'2015_2020'!CG17</f>
        <v>-2.98E-3</v>
      </c>
      <c r="CJ48">
        <f>'2015_2020'!CH17</f>
        <v>-1.15E-2</v>
      </c>
      <c r="CK48">
        <f>'2015_2020'!CI17</f>
        <v>-1.49E-3</v>
      </c>
      <c r="CL48">
        <f>'2015_2020'!CJ17</f>
        <v>7.0899999999999999E-3</v>
      </c>
      <c r="CM48">
        <f>'2015_2020'!CK17</f>
        <v>1.2200000000000001E-2</v>
      </c>
      <c r="CN48">
        <f>'2015_2020'!CL17</f>
        <v>1.1299999999999999E-2</v>
      </c>
      <c r="CO48">
        <f>'2015_2020'!CM17</f>
        <v>1.7399999999999999E-2</v>
      </c>
      <c r="CP48">
        <f>'2015_2020'!CN17</f>
        <v>-1.8699999999999999E-3</v>
      </c>
      <c r="CQ48">
        <f>'2015_2020'!CO17</f>
        <v>-9.1699999999999993E-3</v>
      </c>
      <c r="CR48">
        <f>'2015_2020'!CP17</f>
        <v>-2.4199999999999999E-2</v>
      </c>
      <c r="CS48">
        <f>'2015_2020'!CQ17</f>
        <v>-5.5399999999999998E-2</v>
      </c>
      <c r="CT48">
        <f>'2015_2020'!CR17</f>
        <v>-2.9399999999999999E-2</v>
      </c>
      <c r="CU48">
        <f>'2015_2020'!CS17</f>
        <v>-1.7399999999999999E-2</v>
      </c>
      <c r="CV48">
        <f>'2015_2020'!CT17</f>
        <v>8.0499999999999999E-3</v>
      </c>
      <c r="CW48">
        <f>'2015_2020'!CU17</f>
        <v>-4.0599999999999997E-2</v>
      </c>
      <c r="CX48">
        <f>'2015_2020'!CV17</f>
        <v>2.5399999999999999E-2</v>
      </c>
    </row>
    <row r="49" spans="1:102" x14ac:dyDescent="0.2">
      <c r="A49" t="s">
        <v>211</v>
      </c>
      <c r="B49" t="s">
        <v>219</v>
      </c>
      <c r="C49" t="s">
        <v>221</v>
      </c>
      <c r="D49">
        <f>'2015_2020'!B18</f>
        <v>4.3099999999999996E-3</v>
      </c>
      <c r="E49">
        <f>'2015_2020'!C18</f>
        <v>9.5699999999999995E-4</v>
      </c>
      <c r="F49">
        <f>'2015_2020'!D18</f>
        <v>-1.04E-2</v>
      </c>
      <c r="G49">
        <f>'2015_2020'!E18</f>
        <v>1.03E-2</v>
      </c>
      <c r="H49">
        <f>'2015_2020'!F18</f>
        <v>-1.54E-2</v>
      </c>
      <c r="I49">
        <f>'2015_2020'!G18</f>
        <v>-1.2199999999999999E-3</v>
      </c>
      <c r="J49">
        <f>'2015_2020'!H18</f>
        <v>-5.5900000000000004E-3</v>
      </c>
      <c r="K49">
        <f>'2015_2020'!I18</f>
        <v>-1.65E-3</v>
      </c>
      <c r="L49">
        <f>'2015_2020'!J18</f>
        <v>7.7400000000000004E-3</v>
      </c>
      <c r="M49">
        <f>'2015_2020'!K18</f>
        <v>-1.31E-3</v>
      </c>
      <c r="N49">
        <f>'2015_2020'!L18</f>
        <v>-5.1399999999999996E-3</v>
      </c>
      <c r="O49">
        <f>'2015_2020'!M18</f>
        <v>-3.4499999999999999E-3</v>
      </c>
      <c r="P49">
        <f>'2015_2020'!N18</f>
        <v>-3.5100000000000001E-3</v>
      </c>
      <c r="Q49">
        <f>'2015_2020'!O18</f>
        <v>7.6300000000000001E-4</v>
      </c>
      <c r="R49">
        <f>'2015_2020'!P18</f>
        <v>1.47E-3</v>
      </c>
      <c r="S49">
        <f>'2015_2020'!Q18</f>
        <v>-1.82E-3</v>
      </c>
      <c r="T49">
        <f>'2015_2020'!R18</f>
        <v>4.3399999999999998E-4</v>
      </c>
      <c r="U49">
        <f>'2015_2020'!S18</f>
        <v>1.3600000000000001E-3</v>
      </c>
      <c r="V49">
        <f>'2015_2020'!T18</f>
        <v>3.1199999999999999E-3</v>
      </c>
      <c r="W49">
        <f>'2015_2020'!U18</f>
        <v>2.5100000000000001E-3</v>
      </c>
      <c r="X49">
        <f>'2015_2020'!V18</f>
        <v>-3.9300000000000001E-4</v>
      </c>
      <c r="Y49">
        <f>'2015_2020'!W18</f>
        <v>2.5000000000000001E-3</v>
      </c>
      <c r="Z49">
        <f>'2015_2020'!X18</f>
        <v>6.5099999999999999E-4</v>
      </c>
      <c r="AA49">
        <f>'2015_2020'!Y18</f>
        <v>2.8500000000000001E-3</v>
      </c>
      <c r="AB49">
        <f>'2015_2020'!Z18</f>
        <v>7.1900000000000002E-3</v>
      </c>
      <c r="AC49">
        <f>'2015_2020'!AA18</f>
        <v>7.9699999999999997E-3</v>
      </c>
      <c r="AD49">
        <f>'2015_2020'!AB18</f>
        <v>7.5799999999999999E-3</v>
      </c>
      <c r="AE49">
        <f>'2015_2020'!AC18</f>
        <v>6.3099999999999996E-3</v>
      </c>
      <c r="AF49">
        <f>'2015_2020'!AD18</f>
        <v>4.4600000000000004E-3</v>
      </c>
      <c r="AG49">
        <f>'2015_2020'!AE18</f>
        <v>4.6899999999999997E-3</v>
      </c>
      <c r="AH49">
        <f>'2015_2020'!AF18</f>
        <v>4.4900000000000001E-3</v>
      </c>
      <c r="AI49">
        <f>'2015_2020'!AG18</f>
        <v>4.6699999999999997E-3</v>
      </c>
      <c r="AJ49">
        <f>'2015_2020'!AH18</f>
        <v>5.7800000000000004E-3</v>
      </c>
      <c r="AK49">
        <f>'2015_2020'!AI18</f>
        <v>4.6499999999999996E-3</v>
      </c>
      <c r="AL49">
        <f>'2015_2020'!AJ18</f>
        <v>3.5799999999999998E-3</v>
      </c>
      <c r="AM49">
        <f>'2015_2020'!AK18</f>
        <v>4.5900000000000003E-3</v>
      </c>
      <c r="AN49">
        <f>'2015_2020'!AL18</f>
        <v>1.8600000000000001E-3</v>
      </c>
      <c r="AO49">
        <f>'2015_2020'!AM18</f>
        <v>6.4899999999999995E-4</v>
      </c>
      <c r="AP49">
        <f>'2015_2020'!AN18</f>
        <v>2.9300000000000002E-4</v>
      </c>
      <c r="AQ49">
        <f>'2015_2020'!AO18</f>
        <v>-2.5500000000000002E-3</v>
      </c>
      <c r="AR49">
        <f>'2015_2020'!AP18</f>
        <v>1.0900000000000001E-4</v>
      </c>
      <c r="AS49">
        <f>'2015_2020'!AQ18</f>
        <v>9.7099999999999997E-4</v>
      </c>
      <c r="AT49">
        <f>'2015_2020'!AR18</f>
        <v>-4.75E-4</v>
      </c>
      <c r="AU49">
        <f>'2015_2020'!AS18</f>
        <v>-2.4599999999999999E-3</v>
      </c>
      <c r="AV49">
        <f>'2015_2020'!AT18</f>
        <v>-4.8999999999999998E-3</v>
      </c>
      <c r="AW49">
        <f>'2015_2020'!AU18</f>
        <v>-3.5000000000000001E-3</v>
      </c>
      <c r="AX49">
        <f>'2015_2020'!AV18</f>
        <v>-5.6599999999999999E-4</v>
      </c>
      <c r="AY49">
        <f>'2015_2020'!AW18</f>
        <v>-1.25E-4</v>
      </c>
      <c r="AZ49">
        <f>'2015_2020'!AX18</f>
        <v>-5.4699999999999996E-4</v>
      </c>
      <c r="BA49">
        <f>'2015_2020'!AY18</f>
        <v>-3.65E-3</v>
      </c>
      <c r="BB49">
        <f>'2015_2020'!AZ18</f>
        <v>-4.7999999999999996E-3</v>
      </c>
      <c r="BC49">
        <f>'2015_2020'!BA18</f>
        <v>-6.2199999999999998E-3</v>
      </c>
      <c r="BD49">
        <f>'2015_2020'!BB18</f>
        <v>-1.4300000000000001E-3</v>
      </c>
      <c r="BE49">
        <f>'2015_2020'!BC18</f>
        <v>-4.3499999999999997E-3</v>
      </c>
      <c r="BF49">
        <f>'2015_2020'!BD18</f>
        <v>-1.37E-2</v>
      </c>
      <c r="BG49">
        <f>'2015_2020'!BE18</f>
        <v>-1.0699999999999999E-2</v>
      </c>
      <c r="BH49">
        <f>'2015_2020'!BF18</f>
        <v>-1.54E-2</v>
      </c>
      <c r="BI49">
        <f>'2015_2020'!BG18</f>
        <v>-1.5299999999999999E-2</v>
      </c>
      <c r="BJ49">
        <f>'2015_2020'!BH18</f>
        <v>-1.3599999999999999E-2</v>
      </c>
      <c r="BK49">
        <f>'2015_2020'!BI18</f>
        <v>-1.4999999999999999E-2</v>
      </c>
      <c r="BL49">
        <f>'2015_2020'!BJ18</f>
        <v>-1.78E-2</v>
      </c>
      <c r="BM49">
        <f>'2015_2020'!BK18</f>
        <v>-1.6199999999999999E-2</v>
      </c>
      <c r="BN49">
        <f>'2015_2020'!BL18</f>
        <v>-1.43E-2</v>
      </c>
      <c r="BO49">
        <f>'2015_2020'!BM18</f>
        <v>-1.11E-2</v>
      </c>
      <c r="BP49">
        <f>'2015_2020'!BN18</f>
        <v>-3.5500000000000002E-3</v>
      </c>
      <c r="BQ49">
        <f>'2015_2020'!BO18</f>
        <v>-6.2599999999999999E-3</v>
      </c>
      <c r="BR49">
        <f>'2015_2020'!BP18</f>
        <v>-3.9899999999999996E-3</v>
      </c>
      <c r="BS49">
        <f>'2015_2020'!BQ18</f>
        <v>3.79E-3</v>
      </c>
      <c r="BT49">
        <f>'2015_2020'!BR18</f>
        <v>3.6099999999999999E-3</v>
      </c>
      <c r="BU49">
        <f>'2015_2020'!BS18</f>
        <v>-2.1900000000000001E-3</v>
      </c>
      <c r="BV49">
        <f>'2015_2020'!BT18</f>
        <v>-1.7000000000000001E-2</v>
      </c>
      <c r="BW49">
        <f>'2015_2020'!BU18</f>
        <v>-2.3099999999999999E-2</v>
      </c>
      <c r="BX49">
        <f>'2015_2020'!BV18</f>
        <v>-1.8499999999999999E-2</v>
      </c>
      <c r="BY49">
        <f>'2015_2020'!BW18</f>
        <v>-1.6E-2</v>
      </c>
      <c r="BZ49">
        <f>'2015_2020'!BX18</f>
        <v>-2.3099999999999999E-2</v>
      </c>
      <c r="CA49">
        <f>'2015_2020'!BY18</f>
        <v>-1.5900000000000001E-2</v>
      </c>
      <c r="CB49">
        <f>'2015_2020'!BZ18</f>
        <v>-2.24E-2</v>
      </c>
      <c r="CC49">
        <f>'2015_2020'!CA18</f>
        <v>-2.3199999999999998E-2</v>
      </c>
      <c r="CD49">
        <f>'2015_2020'!CB18</f>
        <v>-3.0200000000000001E-2</v>
      </c>
      <c r="CE49">
        <f>'2015_2020'!CC18</f>
        <v>-8.4700000000000001E-3</v>
      </c>
      <c r="CF49">
        <f>'2015_2020'!CD18</f>
        <v>5.1999999999999998E-3</v>
      </c>
      <c r="CG49">
        <f>'2015_2020'!CE18</f>
        <v>1.73E-3</v>
      </c>
      <c r="CH49">
        <f>'2015_2020'!CF18</f>
        <v>-9.2499999999999995E-3</v>
      </c>
      <c r="CI49">
        <f>'2015_2020'!CG18</f>
        <v>-2.2700000000000001E-2</v>
      </c>
      <c r="CJ49">
        <f>'2015_2020'!CH18</f>
        <v>-3.1300000000000001E-2</v>
      </c>
      <c r="CK49">
        <f>'2015_2020'!CI18</f>
        <v>-2.2800000000000001E-2</v>
      </c>
      <c r="CL49">
        <f>'2015_2020'!CJ18</f>
        <v>-6.8199999999999997E-3</v>
      </c>
      <c r="CM49">
        <f>'2015_2020'!CK18</f>
        <v>-2.5200000000000001E-3</v>
      </c>
      <c r="CN49">
        <f>'2015_2020'!CL18</f>
        <v>-1.15E-2</v>
      </c>
      <c r="CO49">
        <f>'2015_2020'!CM18</f>
        <v>-3.15E-3</v>
      </c>
      <c r="CP49">
        <f>'2015_2020'!CN18</f>
        <v>-7.8799999999999996E-4</v>
      </c>
      <c r="CQ49">
        <f>'2015_2020'!CO18</f>
        <v>-1.0800000000000001E-2</v>
      </c>
      <c r="CR49">
        <f>'2015_2020'!CP18</f>
        <v>-1.7600000000000001E-2</v>
      </c>
      <c r="CS49">
        <f>'2015_2020'!CQ18</f>
        <v>-4.41E-2</v>
      </c>
      <c r="CT49">
        <f>'2015_2020'!CR18</f>
        <v>-3.3599999999999998E-2</v>
      </c>
      <c r="CU49">
        <f>'2015_2020'!CS18</f>
        <v>-1.6299999999999999E-2</v>
      </c>
      <c r="CV49">
        <f>'2015_2020'!CT18</f>
        <v>2.6099999999999999E-3</v>
      </c>
      <c r="CW49">
        <f>'2015_2020'!CU18</f>
        <v>-2.92E-2</v>
      </c>
      <c r="CX49">
        <f>'2015_2020'!CV18</f>
        <v>1.4E-2</v>
      </c>
    </row>
    <row r="50" spans="1:102" x14ac:dyDescent="0.2">
      <c r="A50" t="s">
        <v>212</v>
      </c>
      <c r="B50" t="s">
        <v>219</v>
      </c>
      <c r="C50" t="s">
        <v>221</v>
      </c>
      <c r="D50">
        <f>'2015_2020'!B19</f>
        <v>3.5099999999999999E-2</v>
      </c>
      <c r="E50">
        <f>'2015_2020'!C19</f>
        <v>1.6199999999999999E-2</v>
      </c>
      <c r="F50">
        <f>'2015_2020'!D19</f>
        <v>-8.1700000000000002E-3</v>
      </c>
      <c r="G50">
        <f>'2015_2020'!E19</f>
        <v>2.2499999999999999E-2</v>
      </c>
      <c r="H50">
        <f>'2015_2020'!F19</f>
        <v>-1.72E-2</v>
      </c>
      <c r="I50">
        <f>'2015_2020'!G19</f>
        <v>3.7299999999999998E-3</v>
      </c>
      <c r="J50">
        <f>'2015_2020'!H19</f>
        <v>-6.2500000000000003E-3</v>
      </c>
      <c r="K50">
        <f>'2015_2020'!I19</f>
        <v>-6.2700000000000004E-3</v>
      </c>
      <c r="L50">
        <f>'2015_2020'!J19</f>
        <v>-1.7899999999999999E-3</v>
      </c>
      <c r="M50">
        <f>'2015_2020'!K19</f>
        <v>-1.1900000000000001E-2</v>
      </c>
      <c r="N50">
        <f>'2015_2020'!L19</f>
        <v>-1.32E-2</v>
      </c>
      <c r="O50">
        <f>'2015_2020'!M19</f>
        <v>-4.45E-3</v>
      </c>
      <c r="P50">
        <f>'2015_2020'!N19</f>
        <v>-6.4400000000000004E-3</v>
      </c>
      <c r="Q50">
        <f>'2015_2020'!O19</f>
        <v>-4.5500000000000002E-3</v>
      </c>
      <c r="R50">
        <f>'2015_2020'!P19</f>
        <v>-3.3700000000000002E-3</v>
      </c>
      <c r="S50">
        <f>'2015_2020'!Q19</f>
        <v>-2.8600000000000001E-3</v>
      </c>
      <c r="T50">
        <f>'2015_2020'!R19</f>
        <v>-1.7700000000000001E-3</v>
      </c>
      <c r="U50">
        <f>'2015_2020'!S19</f>
        <v>-1.5E-3</v>
      </c>
      <c r="V50">
        <f>'2015_2020'!T19</f>
        <v>1.3E-6</v>
      </c>
      <c r="W50">
        <f>'2015_2020'!U19</f>
        <v>-1.6899999999999999E-4</v>
      </c>
      <c r="X50">
        <f>'2015_2020'!V19</f>
        <v>2.87E-5</v>
      </c>
      <c r="Y50">
        <f>'2015_2020'!W19</f>
        <v>7.9600000000000005E-4</v>
      </c>
      <c r="Z50">
        <f>'2015_2020'!X19</f>
        <v>4.5100000000000001E-4</v>
      </c>
      <c r="AA50">
        <f>'2015_2020'!Y19</f>
        <v>6.7500000000000004E-4</v>
      </c>
      <c r="AB50">
        <f>'2015_2020'!Z19</f>
        <v>1.1199999999999999E-3</v>
      </c>
      <c r="AC50">
        <f>'2015_2020'!AA19</f>
        <v>1.0300000000000001E-3</v>
      </c>
      <c r="AD50">
        <f>'2015_2020'!AB19</f>
        <v>9.1500000000000001E-4</v>
      </c>
      <c r="AE50">
        <f>'2015_2020'!AC19</f>
        <v>6.5799999999999995E-4</v>
      </c>
      <c r="AF50">
        <f>'2015_2020'!AD19</f>
        <v>2.9599999999999998E-4</v>
      </c>
      <c r="AG50">
        <f>'2015_2020'!AE19</f>
        <v>-6.6E-4</v>
      </c>
      <c r="AH50">
        <f>'2015_2020'!AF19</f>
        <v>-8.1700000000000002E-4</v>
      </c>
      <c r="AI50">
        <f>'2015_2020'!AG19</f>
        <v>-5.31E-4</v>
      </c>
      <c r="AJ50">
        <f>'2015_2020'!AH19</f>
        <v>4.2499999999999998E-4</v>
      </c>
      <c r="AK50">
        <f>'2015_2020'!AI19</f>
        <v>4.35E-4</v>
      </c>
      <c r="AL50">
        <f>'2015_2020'!AJ19</f>
        <v>-1.02E-4</v>
      </c>
      <c r="AM50">
        <f>'2015_2020'!AK19</f>
        <v>-2.4499999999999999E-4</v>
      </c>
      <c r="AN50">
        <f>'2015_2020'!AL19</f>
        <v>-4.4299999999999998E-4</v>
      </c>
      <c r="AO50">
        <f>'2015_2020'!AM19</f>
        <v>-3.4900000000000003E-4</v>
      </c>
      <c r="AP50">
        <f>'2015_2020'!AN19</f>
        <v>-2.32E-4</v>
      </c>
      <c r="AQ50">
        <f>'2015_2020'!AO19</f>
        <v>2.34E-4</v>
      </c>
      <c r="AR50">
        <f>'2015_2020'!AP19</f>
        <v>4.26E-4</v>
      </c>
      <c r="AS50">
        <f>'2015_2020'!AQ19</f>
        <v>-1.3200000000000001E-5</v>
      </c>
      <c r="AT50">
        <f>'2015_2020'!AR19</f>
        <v>1.07E-4</v>
      </c>
      <c r="AU50">
        <f>'2015_2020'!AS19</f>
        <v>3.4200000000000002E-4</v>
      </c>
      <c r="AV50">
        <f>'2015_2020'!AT19</f>
        <v>-2.9500000000000001E-4</v>
      </c>
      <c r="AW50">
        <f>'2015_2020'!AU19</f>
        <v>8.7899999999999995E-5</v>
      </c>
      <c r="AX50">
        <f>'2015_2020'!AV19</f>
        <v>5.0000000000000001E-4</v>
      </c>
      <c r="AY50">
        <f>'2015_2020'!AW19</f>
        <v>5.1999999999999995E-4</v>
      </c>
      <c r="AZ50">
        <f>'2015_2020'!AX19</f>
        <v>3.9399999999999998E-4</v>
      </c>
      <c r="BA50">
        <f>'2015_2020'!AY19</f>
        <v>3.9300000000000001E-4</v>
      </c>
      <c r="BB50">
        <f>'2015_2020'!AZ19</f>
        <v>2.0699999999999999E-4</v>
      </c>
      <c r="BC50">
        <f>'2015_2020'!BA19</f>
        <v>4.6300000000000001E-5</v>
      </c>
      <c r="BD50">
        <f>'2015_2020'!BB19</f>
        <v>2.1699999999999999E-4</v>
      </c>
      <c r="BE50">
        <f>'2015_2020'!BC19</f>
        <v>1.01E-4</v>
      </c>
      <c r="BF50">
        <f>'2015_2020'!BD19</f>
        <v>-5.9900000000000003E-4</v>
      </c>
      <c r="BG50">
        <f>'2015_2020'!BE19</f>
        <v>-2.13E-4</v>
      </c>
      <c r="BH50">
        <f>'2015_2020'!BF19</f>
        <v>-1.85E-4</v>
      </c>
      <c r="BI50">
        <f>'2015_2020'!BG19</f>
        <v>-1.54E-4</v>
      </c>
      <c r="BJ50">
        <f>'2015_2020'!BH19</f>
        <v>-2.34E-4</v>
      </c>
      <c r="BK50">
        <f>'2015_2020'!BI19</f>
        <v>1.2400000000000001E-4</v>
      </c>
      <c r="BL50">
        <f>'2015_2020'!BJ19</f>
        <v>-1.3300000000000001E-4</v>
      </c>
      <c r="BM50">
        <f>'2015_2020'!BK19</f>
        <v>2.1100000000000001E-4</v>
      </c>
      <c r="BN50">
        <f>'2015_2020'!BL19</f>
        <v>4.3399999999999998E-4</v>
      </c>
      <c r="BO50">
        <f>'2015_2020'!BM19</f>
        <v>1.23E-3</v>
      </c>
      <c r="BP50">
        <f>'2015_2020'!BN19</f>
        <v>1.1199999999999999E-3</v>
      </c>
      <c r="BQ50">
        <f>'2015_2020'!BO19</f>
        <v>1.07E-3</v>
      </c>
      <c r="BR50">
        <f>'2015_2020'!BP19</f>
        <v>9.1500000000000001E-4</v>
      </c>
      <c r="BS50">
        <f>'2015_2020'!BQ19</f>
        <v>9.3000000000000005E-4</v>
      </c>
      <c r="BT50">
        <f>'2015_2020'!BR19</f>
        <v>1.9499999999999999E-3</v>
      </c>
      <c r="BU50">
        <f>'2015_2020'!BS19</f>
        <v>1.6999999999999999E-3</v>
      </c>
      <c r="BV50">
        <f>'2015_2020'!BT19</f>
        <v>-3.1599999999999998E-4</v>
      </c>
      <c r="BW50">
        <f>'2015_2020'!BU19</f>
        <v>2.4000000000000001E-4</v>
      </c>
      <c r="BX50">
        <f>'2015_2020'!BV19</f>
        <v>4.6299999999999998E-4</v>
      </c>
      <c r="BY50">
        <f>'2015_2020'!BW19</f>
        <v>2.5300000000000002E-4</v>
      </c>
      <c r="BZ50">
        <f>'2015_2020'!BX19</f>
        <v>3.6299999999999999E-4</v>
      </c>
      <c r="CA50">
        <f>'2015_2020'!BY19</f>
        <v>8.3500000000000002E-4</v>
      </c>
      <c r="CB50">
        <f>'2015_2020'!BZ19</f>
        <v>7.2300000000000001E-4</v>
      </c>
      <c r="CC50">
        <f>'2015_2020'!CA19</f>
        <v>5.6300000000000002E-4</v>
      </c>
      <c r="CD50">
        <f>'2015_2020'!CB19</f>
        <v>9.5199999999999997E-5</v>
      </c>
      <c r="CE50">
        <f>'2015_2020'!CC19</f>
        <v>1.89E-3</v>
      </c>
      <c r="CF50">
        <f>'2015_2020'!CD19</f>
        <v>2.4099999999999998E-3</v>
      </c>
      <c r="CG50">
        <f>'2015_2020'!CE19</f>
        <v>2.5799999999999998E-3</v>
      </c>
      <c r="CH50">
        <f>'2015_2020'!CF19</f>
        <v>1.17E-3</v>
      </c>
      <c r="CI50">
        <f>'2015_2020'!CG19</f>
        <v>-1.26E-6</v>
      </c>
      <c r="CJ50">
        <f>'2015_2020'!CH19</f>
        <v>-1.01E-3</v>
      </c>
      <c r="CK50">
        <f>'2015_2020'!CI19</f>
        <v>1.37E-4</v>
      </c>
      <c r="CL50">
        <f>'2015_2020'!CJ19</f>
        <v>-2.03E-4</v>
      </c>
      <c r="CM50">
        <f>'2015_2020'!CK19</f>
        <v>7.0299999999999996E-4</v>
      </c>
      <c r="CN50">
        <f>'2015_2020'!CL19</f>
        <v>6.4899999999999995E-4</v>
      </c>
      <c r="CO50">
        <f>'2015_2020'!CM19</f>
        <v>9.2400000000000002E-4</v>
      </c>
      <c r="CP50">
        <f>'2015_2020'!CN19</f>
        <v>-3.1900000000000003E-5</v>
      </c>
      <c r="CQ50">
        <f>'2015_2020'!CO19</f>
        <v>-3.1700000000000001E-4</v>
      </c>
      <c r="CR50">
        <f>'2015_2020'!CP19</f>
        <v>-1.07E-3</v>
      </c>
      <c r="CS50">
        <f>'2015_2020'!CQ19</f>
        <v>-3.15E-3</v>
      </c>
      <c r="CT50">
        <f>'2015_2020'!CR19</f>
        <v>-2.5300000000000001E-3</v>
      </c>
      <c r="CU50">
        <f>'2015_2020'!CS19</f>
        <v>-2.8800000000000002E-3</v>
      </c>
      <c r="CV50">
        <f>'2015_2020'!CT19</f>
        <v>-1.8799999999999999E-3</v>
      </c>
      <c r="CW50">
        <f>'2015_2020'!CU19</f>
        <v>-1.39E-3</v>
      </c>
      <c r="CX50">
        <f>'2015_2020'!CV19</f>
        <v>4.0099999999999997E-3</v>
      </c>
    </row>
    <row r="51" spans="1:102" x14ac:dyDescent="0.2">
      <c r="A51" t="s">
        <v>213</v>
      </c>
      <c r="B51" t="s">
        <v>219</v>
      </c>
      <c r="C51" t="s">
        <v>221</v>
      </c>
      <c r="D51">
        <f>'2015_2020'!B20</f>
        <v>-0.13900000000000001</v>
      </c>
      <c r="E51">
        <f>'2015_2020'!C20</f>
        <v>-0.126</v>
      </c>
      <c r="F51">
        <f>'2015_2020'!D20</f>
        <v>6.2300000000000003E-3</v>
      </c>
      <c r="G51">
        <f>'2015_2020'!E20</f>
        <v>-0.14799999999999999</v>
      </c>
      <c r="H51">
        <f>'2015_2020'!F20</f>
        <v>0.13</v>
      </c>
      <c r="I51">
        <f>'2015_2020'!G20</f>
        <v>-6.3399999999999998E-2</v>
      </c>
      <c r="J51">
        <f>'2015_2020'!H20</f>
        <v>5.21E-2</v>
      </c>
      <c r="K51">
        <f>'2015_2020'!I20</f>
        <v>4.2500000000000003E-2</v>
      </c>
      <c r="L51">
        <f>'2015_2020'!J20</f>
        <v>1.49E-2</v>
      </c>
      <c r="M51">
        <f>'2015_2020'!K20</f>
        <v>0.14099999999999999</v>
      </c>
      <c r="N51">
        <f>'2015_2020'!L20</f>
        <v>0.18099999999999999</v>
      </c>
      <c r="O51">
        <f>'2015_2020'!M20</f>
        <v>9.3200000000000005E-2</v>
      </c>
      <c r="P51">
        <f>'2015_2020'!N20</f>
        <v>0.14399999999999999</v>
      </c>
      <c r="Q51">
        <f>'2015_2020'!O20</f>
        <v>0.13800000000000001</v>
      </c>
      <c r="R51">
        <f>'2015_2020'!P20</f>
        <v>0.12</v>
      </c>
      <c r="S51">
        <f>'2015_2020'!Q20</f>
        <v>8.7800000000000003E-2</v>
      </c>
      <c r="T51">
        <f>'2015_2020'!R20</f>
        <v>6.6100000000000006E-2</v>
      </c>
      <c r="U51">
        <f>'2015_2020'!S20</f>
        <v>5.6899999999999999E-2</v>
      </c>
      <c r="V51">
        <f>'2015_2020'!T20</f>
        <v>4.3799999999999999E-2</v>
      </c>
      <c r="W51">
        <f>'2015_2020'!U20</f>
        <v>3.8600000000000002E-2</v>
      </c>
      <c r="X51">
        <f>'2015_2020'!V20</f>
        <v>3.4700000000000002E-2</v>
      </c>
      <c r="Y51">
        <f>'2015_2020'!W20</f>
        <v>2.23E-2</v>
      </c>
      <c r="Z51">
        <f>'2015_2020'!X20</f>
        <v>2.9000000000000001E-2</v>
      </c>
      <c r="AA51">
        <f>'2015_2020'!Y20</f>
        <v>3.6999999999999998E-2</v>
      </c>
      <c r="AB51">
        <f>'2015_2020'!Z20</f>
        <v>4.2999999999999997E-2</v>
      </c>
      <c r="AC51">
        <f>'2015_2020'!AA20</f>
        <v>4.4299999999999999E-2</v>
      </c>
      <c r="AD51">
        <f>'2015_2020'!AB20</f>
        <v>4.0300000000000002E-2</v>
      </c>
      <c r="AE51">
        <f>'2015_2020'!AC20</f>
        <v>4.1399999999999999E-2</v>
      </c>
      <c r="AF51">
        <f>'2015_2020'!AD20</f>
        <v>3.6700000000000003E-2</v>
      </c>
      <c r="AG51">
        <f>'2015_2020'!AE20</f>
        <v>3.1899999999999998E-2</v>
      </c>
      <c r="AH51">
        <f>'2015_2020'!AF20</f>
        <v>3.9699999999999999E-2</v>
      </c>
      <c r="AI51">
        <f>'2015_2020'!AG20</f>
        <v>3.2199999999999999E-2</v>
      </c>
      <c r="AJ51">
        <f>'2015_2020'!AH20</f>
        <v>2.5999999999999999E-2</v>
      </c>
      <c r="AK51">
        <f>'2015_2020'!AI20</f>
        <v>2.4799999999999999E-2</v>
      </c>
      <c r="AL51">
        <f>'2015_2020'!AJ20</f>
        <v>2.9000000000000001E-2</v>
      </c>
      <c r="AM51">
        <f>'2015_2020'!AK20</f>
        <v>2.4899999999999999E-2</v>
      </c>
      <c r="AN51">
        <f>'2015_2020'!AL20</f>
        <v>2.6200000000000001E-2</v>
      </c>
      <c r="AO51">
        <f>'2015_2020'!AM20</f>
        <v>3.0599999999999999E-2</v>
      </c>
      <c r="AP51">
        <f>'2015_2020'!AN20</f>
        <v>3.6400000000000002E-2</v>
      </c>
      <c r="AQ51">
        <f>'2015_2020'!AO20</f>
        <v>3.7900000000000003E-2</v>
      </c>
      <c r="AR51">
        <f>'2015_2020'!AP20</f>
        <v>3.4500000000000003E-2</v>
      </c>
      <c r="AS51">
        <f>'2015_2020'!AQ20</f>
        <v>2.7199999999999998E-2</v>
      </c>
      <c r="AT51">
        <f>'2015_2020'!AR20</f>
        <v>2.3900000000000001E-2</v>
      </c>
      <c r="AU51">
        <f>'2015_2020'!AS20</f>
        <v>2.2100000000000002E-2</v>
      </c>
      <c r="AV51">
        <f>'2015_2020'!AT20</f>
        <v>3.0599999999999999E-2</v>
      </c>
      <c r="AW51">
        <f>'2015_2020'!AU20</f>
        <v>3.0800000000000001E-2</v>
      </c>
      <c r="AX51">
        <f>'2015_2020'!AV20</f>
        <v>1.9900000000000001E-2</v>
      </c>
      <c r="AY51">
        <f>'2015_2020'!AW20</f>
        <v>0.02</v>
      </c>
      <c r="AZ51">
        <f>'2015_2020'!AX20</f>
        <v>2.23E-2</v>
      </c>
      <c r="BA51">
        <f>'2015_2020'!AY20</f>
        <v>2.52E-2</v>
      </c>
      <c r="BB51">
        <f>'2015_2020'!AZ20</f>
        <v>2.06E-2</v>
      </c>
      <c r="BC51">
        <f>'2015_2020'!BA20</f>
        <v>2.5700000000000001E-2</v>
      </c>
      <c r="BD51">
        <f>'2015_2020'!BB20</f>
        <v>2.18E-2</v>
      </c>
      <c r="BE51">
        <f>'2015_2020'!BC20</f>
        <v>2.3699999999999999E-2</v>
      </c>
      <c r="BF51">
        <f>'2015_2020'!BD20</f>
        <v>2.4E-2</v>
      </c>
      <c r="BG51">
        <f>'2015_2020'!BE20</f>
        <v>2.7199999999999998E-2</v>
      </c>
      <c r="BH51">
        <f>'2015_2020'!BF20</f>
        <v>3.0499999999999999E-2</v>
      </c>
      <c r="BI51">
        <f>'2015_2020'!BG20</f>
        <v>2.6599999999999999E-2</v>
      </c>
      <c r="BJ51">
        <f>'2015_2020'!BH20</f>
        <v>0.03</v>
      </c>
      <c r="BK51">
        <f>'2015_2020'!BI20</f>
        <v>2.46E-2</v>
      </c>
      <c r="BL51">
        <f>'2015_2020'!BJ20</f>
        <v>2.3099999999999999E-2</v>
      </c>
      <c r="BM51">
        <f>'2015_2020'!BK20</f>
        <v>2.0899999999999998E-2</v>
      </c>
      <c r="BN51">
        <f>'2015_2020'!BL20</f>
        <v>1.8100000000000002E-2</v>
      </c>
      <c r="BO51">
        <f>'2015_2020'!BM20</f>
        <v>1.5299999999999999E-2</v>
      </c>
      <c r="BP51">
        <f>'2015_2020'!BN20</f>
        <v>9.7800000000000005E-3</v>
      </c>
      <c r="BQ51">
        <f>'2015_2020'!BO20</f>
        <v>1.4E-2</v>
      </c>
      <c r="BR51">
        <f>'2015_2020'!BP20</f>
        <v>1.9900000000000001E-2</v>
      </c>
      <c r="BS51">
        <f>'2015_2020'!BQ20</f>
        <v>2.4799999999999999E-2</v>
      </c>
      <c r="BT51">
        <f>'2015_2020'!BR20</f>
        <v>2.9899999999999999E-2</v>
      </c>
      <c r="BU51">
        <f>'2015_2020'!BS20</f>
        <v>3.32E-2</v>
      </c>
      <c r="BV51">
        <f>'2015_2020'!BT20</f>
        <v>3.5299999999999998E-2</v>
      </c>
      <c r="BW51">
        <f>'2015_2020'!BU20</f>
        <v>3.6600000000000001E-2</v>
      </c>
      <c r="BX51">
        <f>'2015_2020'!BV20</f>
        <v>2.7099999999999999E-2</v>
      </c>
      <c r="BY51">
        <f>'2015_2020'!BW20</f>
        <v>3.9199999999999999E-2</v>
      </c>
      <c r="BZ51">
        <f>'2015_2020'!BX20</f>
        <v>4.0500000000000001E-2</v>
      </c>
      <c r="CA51">
        <f>'2015_2020'!BY20</f>
        <v>3.3300000000000003E-2</v>
      </c>
      <c r="CB51">
        <f>'2015_2020'!BZ20</f>
        <v>2.3599999999999999E-2</v>
      </c>
      <c r="CC51">
        <f>'2015_2020'!CA20</f>
        <v>3.49E-2</v>
      </c>
      <c r="CD51">
        <f>'2015_2020'!CB20</f>
        <v>1.9699999999999999E-2</v>
      </c>
      <c r="CE51">
        <f>'2015_2020'!CC20</f>
        <v>2.06E-2</v>
      </c>
      <c r="CF51">
        <f>'2015_2020'!CD20</f>
        <v>2.41E-2</v>
      </c>
      <c r="CG51">
        <f>'2015_2020'!CE20</f>
        <v>2.5999999999999999E-2</v>
      </c>
      <c r="CH51">
        <f>'2015_2020'!CF20</f>
        <v>2.01E-2</v>
      </c>
      <c r="CI51">
        <f>'2015_2020'!CG20</f>
        <v>2.4899999999999999E-2</v>
      </c>
      <c r="CJ51">
        <f>'2015_2020'!CH20</f>
        <v>1.4E-2</v>
      </c>
      <c r="CK51">
        <f>'2015_2020'!CI20</f>
        <v>6.1599999999999997E-3</v>
      </c>
      <c r="CL51">
        <f>'2015_2020'!CJ20</f>
        <v>2.31E-3</v>
      </c>
      <c r="CM51">
        <f>'2015_2020'!CK20</f>
        <v>1.6500000000000001E-2</v>
      </c>
      <c r="CN51">
        <f>'2015_2020'!CL20</f>
        <v>1.9699999999999999E-2</v>
      </c>
      <c r="CO51">
        <f>'2015_2020'!CM20</f>
        <v>7.6899999999999998E-3</v>
      </c>
      <c r="CP51">
        <f>'2015_2020'!CN20</f>
        <v>1.8200000000000001E-2</v>
      </c>
      <c r="CQ51">
        <f>'2015_2020'!CO20</f>
        <v>9.8200000000000006E-3</v>
      </c>
      <c r="CR51">
        <f>'2015_2020'!CP20</f>
        <v>1.38E-2</v>
      </c>
      <c r="CS51">
        <f>'2015_2020'!CQ20</f>
        <v>2.63E-2</v>
      </c>
      <c r="CT51">
        <f>'2015_2020'!CR20</f>
        <v>1.9900000000000001E-2</v>
      </c>
      <c r="CU51">
        <f>'2015_2020'!CS20</f>
        <v>1.5299999999999999E-2</v>
      </c>
      <c r="CV51">
        <f>'2015_2020'!CT20</f>
        <v>-6.6499999999999997E-3</v>
      </c>
      <c r="CW51">
        <f>'2015_2020'!CU20</f>
        <v>1.6199999999999999E-2</v>
      </c>
      <c r="CX51">
        <f>'2015_2020'!CV20</f>
        <v>1.52E-2</v>
      </c>
    </row>
    <row r="52" spans="1:102" x14ac:dyDescent="0.2">
      <c r="A52" t="s">
        <v>214</v>
      </c>
      <c r="B52" t="s">
        <v>219</v>
      </c>
      <c r="C52" t="s">
        <v>221</v>
      </c>
      <c r="D52">
        <f>'2015_2020'!B21</f>
        <v>3.6400000000000002E-2</v>
      </c>
      <c r="E52">
        <f>'2015_2020'!C21</f>
        <v>4.3700000000000003E-2</v>
      </c>
      <c r="F52">
        <f>'2015_2020'!D21</f>
        <v>2.6499999999999999E-2</v>
      </c>
      <c r="G52">
        <f>'2015_2020'!E21</f>
        <v>1.3899999999999999E-2</v>
      </c>
      <c r="H52">
        <f>'2015_2020'!F21</f>
        <v>4.0099999999999997E-2</v>
      </c>
      <c r="I52">
        <f>'2015_2020'!G21</f>
        <v>3.4099999999999998E-2</v>
      </c>
      <c r="J52">
        <f>'2015_2020'!H21</f>
        <v>2.7400000000000001E-2</v>
      </c>
      <c r="K52">
        <f>'2015_2020'!I21</f>
        <v>2.24E-2</v>
      </c>
      <c r="L52">
        <f>'2015_2020'!J21</f>
        <v>1.72E-2</v>
      </c>
      <c r="M52">
        <f>'2015_2020'!K21</f>
        <v>1.5699999999999999E-2</v>
      </c>
      <c r="N52">
        <f>'2015_2020'!L21</f>
        <v>1.2E-2</v>
      </c>
      <c r="O52">
        <f>'2015_2020'!M21</f>
        <v>1.2899999999999999E-3</v>
      </c>
      <c r="P52">
        <f>'2015_2020'!N21</f>
        <v>1.5800000000000002E-2</v>
      </c>
      <c r="Q52">
        <f>'2015_2020'!O21</f>
        <v>1.3500000000000001E-3</v>
      </c>
      <c r="R52">
        <f>'2015_2020'!P21</f>
        <v>-2.7599999999999999E-3</v>
      </c>
      <c r="S52">
        <f>'2015_2020'!Q21</f>
        <v>-1.25E-4</v>
      </c>
      <c r="T52">
        <f>'2015_2020'!R21</f>
        <v>-1.91E-3</v>
      </c>
      <c r="U52">
        <f>'2015_2020'!S21</f>
        <v>1.47E-3</v>
      </c>
      <c r="V52">
        <f>'2015_2020'!T21</f>
        <v>-2.4599999999999999E-3</v>
      </c>
      <c r="W52">
        <f>'2015_2020'!U21</f>
        <v>-3.8999999999999998E-3</v>
      </c>
      <c r="X52">
        <f>'2015_2020'!V21</f>
        <v>-3.98E-3</v>
      </c>
      <c r="Y52">
        <f>'2015_2020'!W21</f>
        <v>-5.3200000000000001E-3</v>
      </c>
      <c r="Z52">
        <f>'2015_2020'!X21</f>
        <v>-7.8300000000000002E-3</v>
      </c>
      <c r="AA52">
        <f>'2015_2020'!Y21</f>
        <v>-9.0799999999999995E-3</v>
      </c>
      <c r="AB52">
        <f>'2015_2020'!Z21</f>
        <v>2.1099999999999999E-3</v>
      </c>
      <c r="AC52">
        <f>'2015_2020'!AA21</f>
        <v>-3.4099999999999998E-3</v>
      </c>
      <c r="AD52">
        <f>'2015_2020'!AB21</f>
        <v>-3.3700000000000002E-3</v>
      </c>
      <c r="AE52">
        <f>'2015_2020'!AC21</f>
        <v>-5.7600000000000004E-3</v>
      </c>
      <c r="AF52">
        <f>'2015_2020'!AD21</f>
        <v>4.2900000000000004E-3</v>
      </c>
      <c r="AG52">
        <f>'2015_2020'!AE21</f>
        <v>-1.42E-3</v>
      </c>
      <c r="AH52">
        <f>'2015_2020'!AF21</f>
        <v>-3.1E-4</v>
      </c>
      <c r="AI52">
        <f>'2015_2020'!AG21</f>
        <v>-8.1599999999999999E-4</v>
      </c>
      <c r="AJ52">
        <f>'2015_2020'!AH21</f>
        <v>1.9799999999999999E-4</v>
      </c>
      <c r="AK52">
        <f>'2015_2020'!AI21</f>
        <v>-3.6600000000000002E-5</v>
      </c>
      <c r="AL52">
        <f>'2015_2020'!AJ21</f>
        <v>1.83E-4</v>
      </c>
      <c r="AM52">
        <f>'2015_2020'!AK21</f>
        <v>-4.0699999999999998E-3</v>
      </c>
      <c r="AN52">
        <f>'2015_2020'!AL21</f>
        <v>-2.1199999999999999E-3</v>
      </c>
      <c r="AO52">
        <f>'2015_2020'!AM21</f>
        <v>-4.47E-3</v>
      </c>
      <c r="AP52">
        <f>'2015_2020'!AN21</f>
        <v>3.7499999999999999E-3</v>
      </c>
      <c r="AQ52">
        <f>'2015_2020'!AO21</f>
        <v>4.4700000000000002E-4</v>
      </c>
      <c r="AR52">
        <f>'2015_2020'!AP21</f>
        <v>6.6800000000000002E-3</v>
      </c>
      <c r="AS52">
        <f>'2015_2020'!AQ21</f>
        <v>-3.47E-3</v>
      </c>
      <c r="AT52">
        <f>'2015_2020'!AR21</f>
        <v>-2.98E-3</v>
      </c>
      <c r="AU52">
        <f>'2015_2020'!AS21</f>
        <v>-3.7499999999999999E-3</v>
      </c>
      <c r="AV52">
        <f>'2015_2020'!AT21</f>
        <v>6.4200000000000004E-3</v>
      </c>
      <c r="AW52">
        <f>'2015_2020'!AU21</f>
        <v>6.0999999999999997E-4</v>
      </c>
      <c r="AX52">
        <f>'2015_2020'!AV21</f>
        <v>3.2399999999999998E-3</v>
      </c>
      <c r="AY52">
        <f>'2015_2020'!AW21</f>
        <v>3.86E-4</v>
      </c>
      <c r="AZ52">
        <f>'2015_2020'!AX21</f>
        <v>2.3999999999999998E-3</v>
      </c>
      <c r="BA52">
        <f>'2015_2020'!AY21</f>
        <v>1.9499999999999999E-3</v>
      </c>
      <c r="BB52">
        <f>'2015_2020'!AZ21</f>
        <v>1.49E-3</v>
      </c>
      <c r="BC52">
        <f>'2015_2020'!BA21</f>
        <v>-7.4600000000000003E-4</v>
      </c>
      <c r="BD52">
        <f>'2015_2020'!BB21</f>
        <v>5.4500000000000002E-4</v>
      </c>
      <c r="BE52">
        <f>'2015_2020'!BC21</f>
        <v>-4.1399999999999996E-3</v>
      </c>
      <c r="BF52">
        <f>'2015_2020'!BD21</f>
        <v>3.5699999999999998E-3</v>
      </c>
      <c r="BG52">
        <f>'2015_2020'!BE21</f>
        <v>5.2499999999999997E-4</v>
      </c>
      <c r="BH52">
        <f>'2015_2020'!BF21</f>
        <v>3.6700000000000001E-3</v>
      </c>
      <c r="BI52">
        <f>'2015_2020'!BG21</f>
        <v>2.3600000000000001E-3</v>
      </c>
      <c r="BJ52">
        <f>'2015_2020'!BH21</f>
        <v>6.2500000000000003E-3</v>
      </c>
      <c r="BK52">
        <f>'2015_2020'!BI21</f>
        <v>8.0000000000000004E-4</v>
      </c>
      <c r="BL52">
        <f>'2015_2020'!BJ21</f>
        <v>2.8600000000000001E-3</v>
      </c>
      <c r="BM52">
        <f>'2015_2020'!BK21</f>
        <v>9.6500000000000004E-4</v>
      </c>
      <c r="BN52">
        <f>'2015_2020'!BL21</f>
        <v>1.7700000000000001E-3</v>
      </c>
      <c r="BO52">
        <f>'2015_2020'!BM21</f>
        <v>2.4199999999999998E-3</v>
      </c>
      <c r="BP52">
        <f>'2015_2020'!BN21</f>
        <v>3.7699999999999999E-3</v>
      </c>
      <c r="BQ52">
        <f>'2015_2020'!BO21</f>
        <v>-4.0699999999999998E-3</v>
      </c>
      <c r="BR52">
        <f>'2015_2020'!BP21</f>
        <v>-9.8399999999999998E-3</v>
      </c>
      <c r="BS52">
        <f>'2015_2020'!BQ21</f>
        <v>5.1400000000000003E-4</v>
      </c>
      <c r="BT52">
        <f>'2015_2020'!BR21</f>
        <v>2.3999999999999998E-3</v>
      </c>
      <c r="BU52">
        <f>'2015_2020'!BS21</f>
        <v>6.1900000000000002E-3</v>
      </c>
      <c r="BV52">
        <f>'2015_2020'!BT21</f>
        <v>3.3999999999999998E-3</v>
      </c>
      <c r="BW52">
        <f>'2015_2020'!BU21</f>
        <v>5.0499999999999998E-3</v>
      </c>
      <c r="BX52">
        <f>'2015_2020'!BV21</f>
        <v>6.6299999999999996E-3</v>
      </c>
      <c r="BY52">
        <f>'2015_2020'!BW21</f>
        <v>6.1000000000000004E-3</v>
      </c>
      <c r="BZ52">
        <f>'2015_2020'!BX21</f>
        <v>1.3999999999999999E-4</v>
      </c>
      <c r="CA52">
        <f>'2015_2020'!BY21</f>
        <v>8.1399999999999997E-3</v>
      </c>
      <c r="CB52">
        <f>'2015_2020'!BZ21</f>
        <v>-3.0300000000000001E-3</v>
      </c>
      <c r="CC52">
        <f>'2015_2020'!CA21</f>
        <v>-5.4900000000000001E-3</v>
      </c>
      <c r="CD52">
        <f>'2015_2020'!CB21</f>
        <v>1.03E-2</v>
      </c>
      <c r="CE52">
        <f>'2015_2020'!CC21</f>
        <v>1.34E-2</v>
      </c>
      <c r="CF52">
        <f>'2015_2020'!CD21</f>
        <v>-4.8999999999999998E-4</v>
      </c>
      <c r="CG52">
        <f>'2015_2020'!CE21</f>
        <v>1.14E-2</v>
      </c>
      <c r="CH52">
        <f>'2015_2020'!CF21</f>
        <v>4.2199999999999998E-3</v>
      </c>
      <c r="CI52">
        <f>'2015_2020'!CG21</f>
        <v>1.3100000000000001E-2</v>
      </c>
      <c r="CJ52">
        <f>'2015_2020'!CH21</f>
        <v>1.01E-2</v>
      </c>
      <c r="CK52">
        <f>'2015_2020'!CI21</f>
        <v>1.1299999999999999E-2</v>
      </c>
      <c r="CL52">
        <f>'2015_2020'!CJ21</f>
        <v>2.0999999999999999E-3</v>
      </c>
      <c r="CM52">
        <f>'2015_2020'!CK21</f>
        <v>1.77E-2</v>
      </c>
      <c r="CN52">
        <f>'2015_2020'!CL21</f>
        <v>1.14E-2</v>
      </c>
      <c r="CO52">
        <f>'2015_2020'!CM21</f>
        <v>1.5900000000000001E-2</v>
      </c>
      <c r="CP52">
        <f>'2015_2020'!CN21</f>
        <v>1.03E-2</v>
      </c>
      <c r="CQ52">
        <f>'2015_2020'!CO21</f>
        <v>2.0799999999999999E-2</v>
      </c>
      <c r="CR52">
        <f>'2015_2020'!CP21</f>
        <v>1.6899999999999998E-2</v>
      </c>
      <c r="CS52">
        <f>'2015_2020'!CQ21</f>
        <v>1.2500000000000001E-2</v>
      </c>
      <c r="CT52">
        <f>'2015_2020'!CR21</f>
        <v>2.9499999999999998E-2</v>
      </c>
      <c r="CU52">
        <f>'2015_2020'!CS21</f>
        <v>3.8199999999999998E-2</v>
      </c>
      <c r="CV52">
        <f>'2015_2020'!CT21</f>
        <v>3.15E-2</v>
      </c>
      <c r="CW52">
        <f>'2015_2020'!CU21</f>
        <v>3.9199999999999999E-2</v>
      </c>
      <c r="CX52">
        <f>'2015_2020'!CV21</f>
        <v>2.9000000000000001E-2</v>
      </c>
    </row>
    <row r="53" spans="1:102" x14ac:dyDescent="0.2">
      <c r="A53" t="s">
        <v>215</v>
      </c>
      <c r="B53" t="s">
        <v>219</v>
      </c>
      <c r="C53" t="s">
        <v>221</v>
      </c>
      <c r="D53">
        <f>'2015_2020'!B22</f>
        <v>-1.24E-2</v>
      </c>
      <c r="E53">
        <f>'2015_2020'!C22</f>
        <v>-0.113</v>
      </c>
      <c r="F53">
        <f>'2015_2020'!D22</f>
        <v>-6.3700000000000007E-2</v>
      </c>
      <c r="G53">
        <f>'2015_2020'!E22</f>
        <v>-2.6100000000000002E-2</v>
      </c>
      <c r="H53">
        <f>'2015_2020'!F22</f>
        <v>3.2199999999999999E-2</v>
      </c>
      <c r="I53">
        <f>'2015_2020'!G22</f>
        <v>4.1700000000000001E-2</v>
      </c>
      <c r="J53">
        <f>'2015_2020'!H22</f>
        <v>4.07E-2</v>
      </c>
      <c r="K53">
        <f>'2015_2020'!I22</f>
        <v>1.23E-2</v>
      </c>
      <c r="L53">
        <f>'2015_2020'!J22</f>
        <v>1.3599999999999999E-2</v>
      </c>
      <c r="M53">
        <f>'2015_2020'!K22</f>
        <v>1.15E-2</v>
      </c>
      <c r="N53">
        <f>'2015_2020'!L22</f>
        <v>2.6599999999999999E-2</v>
      </c>
      <c r="O53">
        <f>'2015_2020'!M22</f>
        <v>1.5100000000000001E-2</v>
      </c>
      <c r="P53">
        <f>'2015_2020'!N22</f>
        <v>2.4E-2</v>
      </c>
      <c r="Q53">
        <f>'2015_2020'!O22</f>
        <v>2.0299999999999999E-2</v>
      </c>
      <c r="R53">
        <f>'2015_2020'!P22</f>
        <v>2.2499999999999999E-2</v>
      </c>
      <c r="S53">
        <f>'2015_2020'!Q22</f>
        <v>1.9599999999999999E-2</v>
      </c>
      <c r="T53">
        <f>'2015_2020'!R22</f>
        <v>1.9599999999999999E-2</v>
      </c>
      <c r="U53">
        <f>'2015_2020'!S22</f>
        <v>1.66E-2</v>
      </c>
      <c r="V53">
        <f>'2015_2020'!T22</f>
        <v>1.8100000000000002E-2</v>
      </c>
      <c r="W53">
        <f>'2015_2020'!U22</f>
        <v>1.7000000000000001E-2</v>
      </c>
      <c r="X53">
        <f>'2015_2020'!V22</f>
        <v>1.2500000000000001E-2</v>
      </c>
      <c r="Y53">
        <f>'2015_2020'!W22</f>
        <v>1.2699999999999999E-2</v>
      </c>
      <c r="Z53">
        <f>'2015_2020'!X22</f>
        <v>1.23E-2</v>
      </c>
      <c r="AA53">
        <f>'2015_2020'!Y22</f>
        <v>1.18E-2</v>
      </c>
      <c r="AB53">
        <f>'2015_2020'!Z22</f>
        <v>1.3299999999999999E-2</v>
      </c>
      <c r="AC53">
        <f>'2015_2020'!AA22</f>
        <v>1.2999999999999999E-2</v>
      </c>
      <c r="AD53">
        <f>'2015_2020'!AB22</f>
        <v>1.43E-2</v>
      </c>
      <c r="AE53">
        <f>'2015_2020'!AC22</f>
        <v>1.4200000000000001E-2</v>
      </c>
      <c r="AF53">
        <f>'2015_2020'!AD22</f>
        <v>1.35E-2</v>
      </c>
      <c r="AG53">
        <f>'2015_2020'!AE22</f>
        <v>1.4E-2</v>
      </c>
      <c r="AH53">
        <f>'2015_2020'!AF22</f>
        <v>1.7299999999999999E-2</v>
      </c>
      <c r="AI53">
        <f>'2015_2020'!AG22</f>
        <v>1.77E-2</v>
      </c>
      <c r="AJ53">
        <f>'2015_2020'!AH22</f>
        <v>1.23E-2</v>
      </c>
      <c r="AK53">
        <f>'2015_2020'!AI22</f>
        <v>1.64E-3</v>
      </c>
      <c r="AL53">
        <f>'2015_2020'!AJ22</f>
        <v>3.47E-3</v>
      </c>
      <c r="AM53">
        <f>'2015_2020'!AK22</f>
        <v>3.3300000000000001E-3</v>
      </c>
      <c r="AN53">
        <f>'2015_2020'!AL22</f>
        <v>2.9199999999999999E-3</v>
      </c>
      <c r="AO53">
        <f>'2015_2020'!AM22</f>
        <v>4.7600000000000003E-3</v>
      </c>
      <c r="AP53">
        <f>'2015_2020'!AN22</f>
        <v>-3.0699999999999998E-3</v>
      </c>
      <c r="AQ53">
        <f>'2015_2020'!AO22</f>
        <v>-1.6800000000000001E-3</v>
      </c>
      <c r="AR53">
        <f>'2015_2020'!AP22</f>
        <v>2.16E-3</v>
      </c>
      <c r="AS53">
        <f>'2015_2020'!AQ22</f>
        <v>2.7799999999999999E-3</v>
      </c>
      <c r="AT53">
        <f>'2015_2020'!AR22</f>
        <v>3.1099999999999999E-3</v>
      </c>
      <c r="AU53">
        <f>'2015_2020'!AS22</f>
        <v>3.6800000000000001E-3</v>
      </c>
      <c r="AV53">
        <f>'2015_2020'!AT22</f>
        <v>6.2100000000000002E-3</v>
      </c>
      <c r="AW53">
        <f>'2015_2020'!AU22</f>
        <v>6.8100000000000001E-3</v>
      </c>
      <c r="AX53">
        <f>'2015_2020'!AV22</f>
        <v>6.6E-3</v>
      </c>
      <c r="AY53">
        <f>'2015_2020'!AW22</f>
        <v>6.4999999999999997E-3</v>
      </c>
      <c r="AZ53">
        <f>'2015_2020'!AX22</f>
        <v>9.0100000000000006E-3</v>
      </c>
      <c r="BA53">
        <f>'2015_2020'!AY22</f>
        <v>1.24E-2</v>
      </c>
      <c r="BB53">
        <f>'2015_2020'!AZ22</f>
        <v>1.17E-2</v>
      </c>
      <c r="BC53">
        <f>'2015_2020'!BA22</f>
        <v>1.2699999999999999E-2</v>
      </c>
      <c r="BD53">
        <f>'2015_2020'!BB22</f>
        <v>1.6199999999999999E-2</v>
      </c>
      <c r="BE53">
        <f>'2015_2020'!BC22</f>
        <v>1.37E-2</v>
      </c>
      <c r="BF53">
        <f>'2015_2020'!BD22</f>
        <v>1.66E-2</v>
      </c>
      <c r="BG53">
        <f>'2015_2020'!BE22</f>
        <v>1.8599999999999998E-2</v>
      </c>
      <c r="BH53">
        <f>'2015_2020'!BF22</f>
        <v>2.1399999999999999E-2</v>
      </c>
      <c r="BI53">
        <f>'2015_2020'!BG22</f>
        <v>-1.0200000000000001E-2</v>
      </c>
      <c r="BJ53">
        <f>'2015_2020'!BH22</f>
        <v>-1.61E-2</v>
      </c>
      <c r="BK53">
        <f>'2015_2020'!BI22</f>
        <v>-1.5100000000000001E-2</v>
      </c>
      <c r="BL53">
        <f>'2015_2020'!BJ22</f>
        <v>-1.21E-2</v>
      </c>
      <c r="BM53">
        <f>'2015_2020'!BK22</f>
        <v>-2.1299999999999999E-2</v>
      </c>
      <c r="BN53">
        <f>'2015_2020'!BL22</f>
        <v>-2.4400000000000002E-2</v>
      </c>
      <c r="BO53">
        <f>'2015_2020'!BM22</f>
        <v>-2.4400000000000002E-2</v>
      </c>
      <c r="BP53">
        <f>'2015_2020'!BN22</f>
        <v>-2.0899999999999998E-2</v>
      </c>
      <c r="BQ53">
        <f>'2015_2020'!BO22</f>
        <v>-2.0899999999999998E-2</v>
      </c>
      <c r="BR53">
        <f>'2015_2020'!BP22</f>
        <v>-2.0500000000000001E-2</v>
      </c>
      <c r="BS53">
        <f>'2015_2020'!BQ22</f>
        <v>-1.55E-2</v>
      </c>
      <c r="BT53">
        <f>'2015_2020'!BR22</f>
        <v>-1.7299999999999999E-2</v>
      </c>
      <c r="BU53">
        <f>'2015_2020'!BS22</f>
        <v>-1.7100000000000001E-2</v>
      </c>
      <c r="BV53">
        <f>'2015_2020'!BT22</f>
        <v>-1.8499999999999999E-2</v>
      </c>
      <c r="BW53">
        <f>'2015_2020'!BU22</f>
        <v>-2.0500000000000001E-2</v>
      </c>
      <c r="BX53">
        <f>'2015_2020'!BV22</f>
        <v>-2.1899999999999999E-2</v>
      </c>
      <c r="BY53">
        <f>'2015_2020'!BW22</f>
        <v>-2.0899999999999998E-2</v>
      </c>
      <c r="BZ53">
        <f>'2015_2020'!BX22</f>
        <v>-1.7899999999999999E-2</v>
      </c>
      <c r="CA53">
        <f>'2015_2020'!BY22</f>
        <v>-3.0500000000000002E-3</v>
      </c>
      <c r="CB53">
        <f>'2015_2020'!BZ22</f>
        <v>-7.6100000000000007E-5</v>
      </c>
      <c r="CC53">
        <f>'2015_2020'!CA22</f>
        <v>1.5900000000000001E-3</v>
      </c>
      <c r="CD53">
        <f>'2015_2020'!CB22</f>
        <v>-5.9899999999999997E-3</v>
      </c>
      <c r="CE53">
        <f>'2015_2020'!CC22</f>
        <v>-4.7999999999999996E-3</v>
      </c>
      <c r="CF53">
        <f>'2015_2020'!CD22</f>
        <v>-2.7299999999999998E-3</v>
      </c>
      <c r="CG53">
        <f>'2015_2020'!CE22</f>
        <v>-2.0200000000000001E-3</v>
      </c>
      <c r="CH53">
        <f>'2015_2020'!CF22</f>
        <v>5.9100000000000005E-4</v>
      </c>
      <c r="CI53">
        <f>'2015_2020'!CG22</f>
        <v>2.98E-3</v>
      </c>
      <c r="CJ53">
        <f>'2015_2020'!CH22</f>
        <v>-1.4999999999999999E-2</v>
      </c>
      <c r="CK53">
        <f>'2015_2020'!CI22</f>
        <v>-8.0800000000000004E-3</v>
      </c>
      <c r="CL53">
        <f>'2015_2020'!CJ22</f>
        <v>-3.2499999999999999E-3</v>
      </c>
      <c r="CM53">
        <f>'2015_2020'!CK22</f>
        <v>-2.2599999999999999E-3</v>
      </c>
      <c r="CN53">
        <f>'2015_2020'!CL22</f>
        <v>-6.4900000000000005E-5</v>
      </c>
      <c r="CO53">
        <f>'2015_2020'!CM22</f>
        <v>5.3800000000000002E-3</v>
      </c>
      <c r="CP53">
        <f>'2015_2020'!CN22</f>
        <v>6.6499999999999997E-3</v>
      </c>
      <c r="CQ53">
        <f>'2015_2020'!CO22</f>
        <v>9.7400000000000004E-3</v>
      </c>
      <c r="CR53">
        <f>'2015_2020'!CP22</f>
        <v>1.78E-2</v>
      </c>
      <c r="CS53">
        <f>'2015_2020'!CQ22</f>
        <v>1.83E-2</v>
      </c>
      <c r="CT53">
        <f>'2015_2020'!CR22</f>
        <v>-7.3800000000000004E-2</v>
      </c>
      <c r="CU53">
        <f>'2015_2020'!CS22</f>
        <v>-7.9000000000000001E-2</v>
      </c>
      <c r="CV53">
        <f>'2015_2020'!CT22</f>
        <v>-6.6299999999999998E-2</v>
      </c>
      <c r="CW53">
        <f>'2015_2020'!CU22</f>
        <v>-7.6499999999999999E-2</v>
      </c>
      <c r="CX53">
        <f>'2015_2020'!CV22</f>
        <v>-7.5999999999999998E-2</v>
      </c>
    </row>
    <row r="54" spans="1:102" x14ac:dyDescent="0.2">
      <c r="A54" t="s">
        <v>216</v>
      </c>
      <c r="B54" t="s">
        <v>219</v>
      </c>
      <c r="C54" t="s">
        <v>221</v>
      </c>
      <c r="D54">
        <f>'2015_2020'!B23</f>
        <v>0.45200000000000001</v>
      </c>
      <c r="E54">
        <f>'2015_2020'!C23</f>
        <v>-0.14199999999999999</v>
      </c>
      <c r="F54">
        <f>'2015_2020'!D23</f>
        <v>-0.92800000000000005</v>
      </c>
      <c r="G54">
        <f>'2015_2020'!E23</f>
        <v>3.7900000000000003E-2</v>
      </c>
      <c r="H54">
        <f>'2015_2020'!F23</f>
        <v>-1.458</v>
      </c>
      <c r="I54">
        <f>'2015_2020'!G23</f>
        <v>-0.435</v>
      </c>
      <c r="J54">
        <f>'2015_2020'!H23</f>
        <v>-0.97</v>
      </c>
      <c r="K54">
        <f>'2015_2020'!I23</f>
        <v>-0.75600000000000001</v>
      </c>
      <c r="L54">
        <f>'2015_2020'!J23</f>
        <v>-0.53400000000000003</v>
      </c>
      <c r="M54">
        <f>'2015_2020'!K23</f>
        <v>-0.97699999999999998</v>
      </c>
      <c r="N54">
        <f>'2015_2020'!L23</f>
        <v>-1.0129999999999999</v>
      </c>
      <c r="O54">
        <f>'2015_2020'!M23</f>
        <v>-0.53200000000000003</v>
      </c>
      <c r="P54">
        <f>'2015_2020'!N23</f>
        <v>-0.71199999999999997</v>
      </c>
      <c r="Q54">
        <f>'2015_2020'!O23</f>
        <v>-0.60199999999999998</v>
      </c>
      <c r="R54">
        <f>'2015_2020'!P23</f>
        <v>-0.46600000000000003</v>
      </c>
      <c r="S54">
        <f>'2015_2020'!Q23</f>
        <v>-0.378</v>
      </c>
      <c r="T54">
        <f>'2015_2020'!R23</f>
        <v>-0.26500000000000001</v>
      </c>
      <c r="U54">
        <f>'2015_2020'!S23</f>
        <v>-0.222</v>
      </c>
      <c r="V54">
        <f>'2015_2020'!T23</f>
        <v>-0.124</v>
      </c>
      <c r="W54">
        <f>'2015_2020'!U23</f>
        <v>-0.115</v>
      </c>
      <c r="X54">
        <f>'2015_2020'!V23</f>
        <v>-0.13200000000000001</v>
      </c>
      <c r="Y54">
        <f>'2015_2020'!W23</f>
        <v>-6.0299999999999999E-2</v>
      </c>
      <c r="Z54">
        <f>'2015_2020'!X23</f>
        <v>-9.2499999999999999E-2</v>
      </c>
      <c r="AA54">
        <f>'2015_2020'!Y23</f>
        <v>-0.13700000000000001</v>
      </c>
      <c r="AB54">
        <f>'2015_2020'!Z23</f>
        <v>-0.14899999999999999</v>
      </c>
      <c r="AC54">
        <f>'2015_2020'!AA23</f>
        <v>-0.13400000000000001</v>
      </c>
      <c r="AD54">
        <f>'2015_2020'!AB23</f>
        <v>-0.111</v>
      </c>
      <c r="AE54">
        <f>'2015_2020'!AC23</f>
        <v>-0.115</v>
      </c>
      <c r="AF54">
        <f>'2015_2020'!AD23</f>
        <v>-0.109</v>
      </c>
      <c r="AG54">
        <f>'2015_2020'!AE23</f>
        <v>-9.98E-2</v>
      </c>
      <c r="AH54">
        <f>'2015_2020'!AF23</f>
        <v>-0.122</v>
      </c>
      <c r="AI54">
        <f>'2015_2020'!AG23</f>
        <v>-0.123</v>
      </c>
      <c r="AJ54">
        <f>'2015_2020'!AH23</f>
        <v>-0.12</v>
      </c>
      <c r="AK54">
        <f>'2015_2020'!AI23</f>
        <v>-0.111</v>
      </c>
      <c r="AL54">
        <f>'2015_2020'!AJ23</f>
        <v>-0.11600000000000001</v>
      </c>
      <c r="AM54">
        <f>'2015_2020'!AK23</f>
        <v>-0.111</v>
      </c>
      <c r="AN54">
        <f>'2015_2020'!AL23</f>
        <v>-0.11</v>
      </c>
      <c r="AO54">
        <f>'2015_2020'!AM23</f>
        <v>-0.124</v>
      </c>
      <c r="AP54">
        <f>'2015_2020'!AN23</f>
        <v>-0.185</v>
      </c>
      <c r="AQ54">
        <f>'2015_2020'!AO23</f>
        <v>-0.217</v>
      </c>
      <c r="AR54">
        <f>'2015_2020'!AP23</f>
        <v>-0.219</v>
      </c>
      <c r="AS54">
        <f>'2015_2020'!AQ23</f>
        <v>-0.184</v>
      </c>
      <c r="AT54">
        <f>'2015_2020'!AR23</f>
        <v>-0.16600000000000001</v>
      </c>
      <c r="AU54">
        <f>'2015_2020'!AS23</f>
        <v>-0.155</v>
      </c>
      <c r="AV54">
        <f>'2015_2020'!AT23</f>
        <v>-0.14599999999999999</v>
      </c>
      <c r="AW54">
        <f>'2015_2020'!AU23</f>
        <v>-0.114</v>
      </c>
      <c r="AX54">
        <f>'2015_2020'!AV23</f>
        <v>-9.4399999999999998E-2</v>
      </c>
      <c r="AY54">
        <f>'2015_2020'!AW23</f>
        <v>-6.7699999999999996E-2</v>
      </c>
      <c r="AZ54">
        <f>'2015_2020'!AX23</f>
        <v>-7.0400000000000004E-2</v>
      </c>
      <c r="BA54">
        <f>'2015_2020'!AY23</f>
        <v>-4.6600000000000003E-2</v>
      </c>
      <c r="BB54">
        <f>'2015_2020'!AZ23</f>
        <v>-7.6300000000000007E-2</v>
      </c>
      <c r="BC54">
        <f>'2015_2020'!BA23</f>
        <v>-0.106</v>
      </c>
      <c r="BD54">
        <f>'2015_2020'!BB23</f>
        <v>-0.128</v>
      </c>
      <c r="BE54">
        <f>'2015_2020'!BC23</f>
        <v>-0.128</v>
      </c>
      <c r="BF54">
        <f>'2015_2020'!BD23</f>
        <v>-0.128</v>
      </c>
      <c r="BG54">
        <f>'2015_2020'!BE23</f>
        <v>-0.17199999999999999</v>
      </c>
      <c r="BH54">
        <f>'2015_2020'!BF23</f>
        <v>-0.19</v>
      </c>
      <c r="BI54">
        <f>'2015_2020'!BG23</f>
        <v>-0.158</v>
      </c>
      <c r="BJ54">
        <f>'2015_2020'!BH23</f>
        <v>-0.158</v>
      </c>
      <c r="BK54">
        <f>'2015_2020'!BI23</f>
        <v>-0.153</v>
      </c>
      <c r="BL54">
        <f>'2015_2020'!BJ23</f>
        <v>-0.128</v>
      </c>
      <c r="BM54">
        <f>'2015_2020'!BK23</f>
        <v>-0.11700000000000001</v>
      </c>
      <c r="BN54">
        <f>'2015_2020'!BL23</f>
        <v>-9.7799999999999998E-2</v>
      </c>
      <c r="BO54">
        <f>'2015_2020'!BM23</f>
        <v>-5.7000000000000002E-2</v>
      </c>
      <c r="BP54">
        <f>'2015_2020'!BN23</f>
        <v>-4.7600000000000003E-3</v>
      </c>
      <c r="BQ54">
        <f>'2015_2020'!BO23</f>
        <v>1.3500000000000001E-3</v>
      </c>
      <c r="BR54">
        <f>'2015_2020'!BP23</f>
        <v>-1.17E-2</v>
      </c>
      <c r="BS54">
        <f>'2015_2020'!BQ23</f>
        <v>-1.18E-2</v>
      </c>
      <c r="BT54">
        <f>'2015_2020'!BR23</f>
        <v>1.3899999999999999E-2</v>
      </c>
      <c r="BU54">
        <f>'2015_2020'!BS23</f>
        <v>-9.0299999999999998E-3</v>
      </c>
      <c r="BV54">
        <f>'2015_2020'!BT23</f>
        <v>-0.16400000000000001</v>
      </c>
      <c r="BW54">
        <f>'2015_2020'!BU23</f>
        <v>-0.20799999999999999</v>
      </c>
      <c r="BX54">
        <f>'2015_2020'!BV23</f>
        <v>-0.183</v>
      </c>
      <c r="BY54">
        <f>'2015_2020'!BW23</f>
        <v>-0.14699999999999999</v>
      </c>
      <c r="BZ54">
        <f>'2015_2020'!BX23</f>
        <v>-0.20499999999999999</v>
      </c>
      <c r="CA54">
        <f>'2015_2020'!BY23</f>
        <v>-0.25</v>
      </c>
      <c r="CB54">
        <f>'2015_2020'!BZ23</f>
        <v>-0.221</v>
      </c>
      <c r="CC54">
        <f>'2015_2020'!CA23</f>
        <v>-0.21299999999999999</v>
      </c>
      <c r="CD54">
        <f>'2015_2020'!CB23</f>
        <v>-0.106</v>
      </c>
      <c r="CE54">
        <f>'2015_2020'!CC23</f>
        <v>0.13700000000000001</v>
      </c>
      <c r="CF54">
        <f>'2015_2020'!CD23</f>
        <v>0.20699999999999999</v>
      </c>
      <c r="CG54">
        <f>'2015_2020'!CE23</f>
        <v>0.124</v>
      </c>
      <c r="CH54">
        <f>'2015_2020'!CF23</f>
        <v>-2.63E-2</v>
      </c>
      <c r="CI54">
        <f>'2015_2020'!CG23</f>
        <v>-0.16500000000000001</v>
      </c>
      <c r="CJ54">
        <f>'2015_2020'!CH23</f>
        <v>-0.157</v>
      </c>
      <c r="CK54">
        <f>'2015_2020'!CI23</f>
        <v>-7.6499999999999999E-2</v>
      </c>
      <c r="CL54">
        <f>'2015_2020'!CJ23</f>
        <v>2.6499999999999999E-2</v>
      </c>
      <c r="CM54">
        <f>'2015_2020'!CK23</f>
        <v>5.6000000000000001E-2</v>
      </c>
      <c r="CN54">
        <f>'2015_2020'!CL23</f>
        <v>8.1500000000000003E-2</v>
      </c>
      <c r="CO54">
        <f>'2015_2020'!CM23</f>
        <v>0.11</v>
      </c>
      <c r="CP54">
        <f>'2015_2020'!CN23</f>
        <v>2.4099999999999998E-3</v>
      </c>
      <c r="CQ54">
        <f>'2015_2020'!CO23</f>
        <v>-3.1700000000000001E-3</v>
      </c>
      <c r="CR54">
        <f>'2015_2020'!CP23</f>
        <v>-6.5500000000000003E-2</v>
      </c>
      <c r="CS54">
        <f>'2015_2020'!CQ23</f>
        <v>-0.20899999999999999</v>
      </c>
      <c r="CT54">
        <f>'2015_2020'!CR23</f>
        <v>4.1000000000000002E-2</v>
      </c>
      <c r="CU54">
        <f>'2015_2020'!CS23</f>
        <v>0.14000000000000001</v>
      </c>
      <c r="CV54">
        <f>'2015_2020'!CT23</f>
        <v>0.24399999999999999</v>
      </c>
      <c r="CW54">
        <f>'2015_2020'!CU23</f>
        <v>2.87E-2</v>
      </c>
      <c r="CX54">
        <f>'2015_2020'!CV23</f>
        <v>0.14299999999999999</v>
      </c>
    </row>
    <row r="55" spans="1:102" x14ac:dyDescent="0.2">
      <c r="A55" t="s">
        <v>208</v>
      </c>
      <c r="B55" t="s">
        <v>220</v>
      </c>
      <c r="C55" t="s">
        <v>221</v>
      </c>
      <c r="D55">
        <f>D38+D46</f>
        <v>-0.37129999999999996</v>
      </c>
      <c r="E55">
        <f t="shared" ref="E55:BP55" si="8">E38+E46</f>
        <v>0.29399999999999998</v>
      </c>
      <c r="F55">
        <f t="shared" si="8"/>
        <v>0.81410000000000005</v>
      </c>
      <c r="G55">
        <f t="shared" si="8"/>
        <v>0.10489999999999999</v>
      </c>
      <c r="H55">
        <f t="shared" si="8"/>
        <v>1.0639000000000001</v>
      </c>
      <c r="I55">
        <f t="shared" si="8"/>
        <v>0.40049999999999997</v>
      </c>
      <c r="J55">
        <f t="shared" si="8"/>
        <v>0.69510000000000005</v>
      </c>
      <c r="K55">
        <f t="shared" si="8"/>
        <v>0.55479999999999996</v>
      </c>
      <c r="L55">
        <f t="shared" si="8"/>
        <v>0.4143</v>
      </c>
      <c r="M55">
        <f t="shared" si="8"/>
        <v>0.62779999999999991</v>
      </c>
      <c r="N55">
        <f t="shared" si="8"/>
        <v>0.60439999999999994</v>
      </c>
      <c r="O55">
        <f t="shared" si="8"/>
        <v>0.33339999999999997</v>
      </c>
      <c r="P55">
        <f t="shared" si="8"/>
        <v>0.37879999999999997</v>
      </c>
      <c r="Q55">
        <f t="shared" si="8"/>
        <v>0.32069999999999999</v>
      </c>
      <c r="R55">
        <f t="shared" si="8"/>
        <v>0.25939999999999996</v>
      </c>
      <c r="S55">
        <f t="shared" si="8"/>
        <v>0.22500000000000001</v>
      </c>
      <c r="T55">
        <f t="shared" si="8"/>
        <v>0.1615</v>
      </c>
      <c r="U55">
        <f t="shared" si="8"/>
        <v>0.1338</v>
      </c>
      <c r="V55">
        <f t="shared" si="8"/>
        <v>7.6800000000000007E-2</v>
      </c>
      <c r="W55">
        <f t="shared" si="8"/>
        <v>7.0300000000000001E-2</v>
      </c>
      <c r="X55">
        <f t="shared" si="8"/>
        <v>7.8100000000000003E-2</v>
      </c>
      <c r="Y55">
        <f t="shared" si="8"/>
        <v>4.7399999999999998E-2</v>
      </c>
      <c r="Z55">
        <f t="shared" si="8"/>
        <v>5.8000000000000003E-2</v>
      </c>
      <c r="AA55">
        <f t="shared" si="8"/>
        <v>6.4899999999999999E-2</v>
      </c>
      <c r="AB55">
        <f t="shared" si="8"/>
        <v>5.6800000000000003E-2</v>
      </c>
      <c r="AC55">
        <f t="shared" si="8"/>
        <v>4.4399999999999995E-2</v>
      </c>
      <c r="AD55">
        <f t="shared" si="8"/>
        <v>4.36E-2</v>
      </c>
      <c r="AE55">
        <f t="shared" si="8"/>
        <v>4.8600000000000004E-2</v>
      </c>
      <c r="AF55">
        <f t="shared" si="8"/>
        <v>4.36E-2</v>
      </c>
      <c r="AG55">
        <f t="shared" si="8"/>
        <v>4.0690000000000004E-2</v>
      </c>
      <c r="AH55">
        <f t="shared" si="8"/>
        <v>4.3800000000000006E-2</v>
      </c>
      <c r="AI55">
        <f t="shared" si="8"/>
        <v>4.4479999999999999E-2</v>
      </c>
      <c r="AJ55">
        <f t="shared" si="8"/>
        <v>3.3730000000000003E-2</v>
      </c>
      <c r="AK55">
        <f t="shared" si="8"/>
        <v>3.0900000000000004E-2</v>
      </c>
      <c r="AL55">
        <f t="shared" si="8"/>
        <v>4.3049999999999998E-2</v>
      </c>
      <c r="AM55">
        <f t="shared" si="8"/>
        <v>5.466E-2</v>
      </c>
      <c r="AN55">
        <f t="shared" si="8"/>
        <v>5.2159999999999998E-2</v>
      </c>
      <c r="AO55">
        <f t="shared" si="8"/>
        <v>4.9817E-2</v>
      </c>
      <c r="AP55">
        <f t="shared" si="8"/>
        <v>6.13E-2</v>
      </c>
      <c r="AQ55">
        <f t="shared" si="8"/>
        <v>7.3200000000000001E-2</v>
      </c>
      <c r="AR55">
        <f t="shared" si="8"/>
        <v>7.8699999999999992E-2</v>
      </c>
      <c r="AS55">
        <f t="shared" si="8"/>
        <v>7.4899999999999994E-2</v>
      </c>
      <c r="AT55">
        <f t="shared" si="8"/>
        <v>7.3499999999999996E-2</v>
      </c>
      <c r="AU55">
        <f t="shared" si="8"/>
        <v>7.3999999999999996E-2</v>
      </c>
      <c r="AV55">
        <f t="shared" si="8"/>
        <v>6.3600000000000004E-2</v>
      </c>
      <c r="AW55">
        <f t="shared" si="8"/>
        <v>4.4600000000000001E-2</v>
      </c>
      <c r="AX55">
        <f t="shared" si="8"/>
        <v>3.3299999999999996E-2</v>
      </c>
      <c r="AY55">
        <f t="shared" si="8"/>
        <v>2.1900000000000003E-2</v>
      </c>
      <c r="AZ55">
        <f t="shared" si="8"/>
        <v>1.8099999999999998E-2</v>
      </c>
      <c r="BA55">
        <f t="shared" si="8"/>
        <v>9.000000000000008E-3</v>
      </c>
      <c r="BB55">
        <f t="shared" si="8"/>
        <v>2.0400000000000001E-2</v>
      </c>
      <c r="BC55">
        <f t="shared" si="8"/>
        <v>3.2399999999999991E-2</v>
      </c>
      <c r="BD55">
        <f t="shared" si="8"/>
        <v>3.1399999999999997E-2</v>
      </c>
      <c r="BE55">
        <f t="shared" si="8"/>
        <v>3.27E-2</v>
      </c>
      <c r="BF55">
        <f t="shared" si="8"/>
        <v>6.0729999999999999E-2</v>
      </c>
      <c r="BG55">
        <f t="shared" si="8"/>
        <v>6.7540000000000003E-2</v>
      </c>
      <c r="BH55">
        <f t="shared" si="8"/>
        <v>7.6630000000000004E-2</v>
      </c>
      <c r="BI55">
        <f t="shared" si="8"/>
        <v>7.3930999999999997E-2</v>
      </c>
      <c r="BJ55">
        <f t="shared" si="8"/>
        <v>6.8080000000000002E-2</v>
      </c>
      <c r="BK55">
        <f t="shared" si="8"/>
        <v>7.2959999999999997E-2</v>
      </c>
      <c r="BL55">
        <f t="shared" si="8"/>
        <v>7.6549999999999993E-2</v>
      </c>
      <c r="BM55">
        <f t="shared" si="8"/>
        <v>6.1700000000000005E-2</v>
      </c>
      <c r="BN55">
        <f t="shared" si="8"/>
        <v>4.3800000000000006E-2</v>
      </c>
      <c r="BO55">
        <f t="shared" si="8"/>
        <v>2.3300000000000001E-2</v>
      </c>
      <c r="BP55">
        <f t="shared" si="8"/>
        <v>1.2999999999999998E-2</v>
      </c>
      <c r="BQ55">
        <f t="shared" ref="BQ55:CX55" si="9">BQ38+BQ46</f>
        <v>5.0999999999999934E-3</v>
      </c>
      <c r="BR55">
        <f t="shared" si="9"/>
        <v>6.1999999999999972E-3</v>
      </c>
      <c r="BS55">
        <f t="shared" si="9"/>
        <v>-2.7700000000000002E-2</v>
      </c>
      <c r="BT55">
        <f t="shared" si="9"/>
        <v>-5.5199999999999999E-2</v>
      </c>
      <c r="BU55">
        <f t="shared" si="9"/>
        <v>-4.1100000000000012E-2</v>
      </c>
      <c r="BV55">
        <f t="shared" si="9"/>
        <v>5.5799999999999995E-2</v>
      </c>
      <c r="BW55">
        <f t="shared" si="9"/>
        <v>8.2900000000000001E-2</v>
      </c>
      <c r="BX55">
        <f t="shared" si="9"/>
        <v>6.6400000000000015E-2</v>
      </c>
      <c r="BY55">
        <f t="shared" si="9"/>
        <v>4.1500000000000009E-2</v>
      </c>
      <c r="BZ55">
        <f t="shared" si="9"/>
        <v>6.93E-2</v>
      </c>
      <c r="CA55">
        <f t="shared" si="9"/>
        <v>7.1699999999999986E-2</v>
      </c>
      <c r="CB55">
        <f t="shared" si="9"/>
        <v>8.9699999999999988E-2</v>
      </c>
      <c r="CC55">
        <f t="shared" si="9"/>
        <v>8.199999999999999E-2</v>
      </c>
      <c r="CD55">
        <f t="shared" si="9"/>
        <v>4.7799999999999995E-2</v>
      </c>
      <c r="CE55">
        <f t="shared" si="9"/>
        <v>-0.10199999999999998</v>
      </c>
      <c r="CF55">
        <f t="shared" si="9"/>
        <v>-0.17200000000000001</v>
      </c>
      <c r="CG55">
        <f t="shared" si="9"/>
        <v>-0.16</v>
      </c>
      <c r="CH55">
        <f t="shared" si="9"/>
        <v>-4.4999999999999984E-2</v>
      </c>
      <c r="CI55">
        <f t="shared" si="9"/>
        <v>3.2000000000000015E-2</v>
      </c>
      <c r="CJ55">
        <f t="shared" si="9"/>
        <v>4.1999999999999996E-2</v>
      </c>
      <c r="CK55">
        <f t="shared" si="9"/>
        <v>-1.1999999999999983E-2</v>
      </c>
      <c r="CL55">
        <f t="shared" si="9"/>
        <v>-4.8999999999999988E-2</v>
      </c>
      <c r="CM55">
        <f t="shared" si="9"/>
        <v>-0.10799999999999998</v>
      </c>
      <c r="CN55">
        <f t="shared" si="9"/>
        <v>-0.13199999999999998</v>
      </c>
      <c r="CO55">
        <f t="shared" si="9"/>
        <v>-0.14499999999999999</v>
      </c>
      <c r="CP55">
        <f t="shared" si="9"/>
        <v>-8.8999999999999996E-2</v>
      </c>
      <c r="CQ55">
        <f t="shared" si="9"/>
        <v>-8.4999999999999992E-2</v>
      </c>
      <c r="CR55">
        <f t="shared" si="9"/>
        <v>-7.3999999999999982E-2</v>
      </c>
      <c r="CS55">
        <f t="shared" si="9"/>
        <v>2.1000000000000005E-2</v>
      </c>
      <c r="CT55">
        <f t="shared" si="9"/>
        <v>-7.7999999999999986E-2</v>
      </c>
      <c r="CU55">
        <f t="shared" si="9"/>
        <v>-0.11899999999999997</v>
      </c>
      <c r="CV55">
        <f t="shared" si="9"/>
        <v>-0.16600000000000001</v>
      </c>
      <c r="CW55">
        <f t="shared" si="9"/>
        <v>-6.4000000000000001E-2</v>
      </c>
      <c r="CX55">
        <f t="shared" si="9"/>
        <v>-0.12500000000000003</v>
      </c>
    </row>
    <row r="56" spans="1:102" x14ac:dyDescent="0.2">
      <c r="A56" t="s">
        <v>209</v>
      </c>
      <c r="B56" t="s">
        <v>220</v>
      </c>
      <c r="C56" t="s">
        <v>221</v>
      </c>
      <c r="D56">
        <f t="shared" ref="D56:BO60" si="10">D39+D47</f>
        <v>-9.9129999999999996E-2</v>
      </c>
      <c r="E56">
        <f t="shared" si="10"/>
        <v>-0.11583</v>
      </c>
      <c r="F56">
        <f t="shared" si="10"/>
        <v>4.5009999999999994E-2</v>
      </c>
      <c r="G56">
        <f t="shared" si="10"/>
        <v>-0.13354000000000002</v>
      </c>
      <c r="H56">
        <f t="shared" si="10"/>
        <v>0.13572000000000001</v>
      </c>
      <c r="I56">
        <f t="shared" si="10"/>
        <v>-6.0260000000000001E-2</v>
      </c>
      <c r="J56">
        <f t="shared" si="10"/>
        <v>7.3160000000000003E-2</v>
      </c>
      <c r="K56">
        <f t="shared" si="10"/>
        <v>8.6269999999999999E-2</v>
      </c>
      <c r="L56">
        <f t="shared" si="10"/>
        <v>3.848E-2</v>
      </c>
      <c r="M56">
        <f t="shared" si="10"/>
        <v>0.14913999999999999</v>
      </c>
      <c r="N56">
        <f t="shared" si="10"/>
        <v>0.19456000000000001</v>
      </c>
      <c r="O56">
        <f t="shared" si="10"/>
        <v>9.9080000000000001E-2</v>
      </c>
      <c r="P56">
        <f t="shared" si="10"/>
        <v>0.14540999999999998</v>
      </c>
      <c r="Q56">
        <f t="shared" si="10"/>
        <v>0.12048</v>
      </c>
      <c r="R56">
        <f t="shared" si="10"/>
        <v>8.1759999999999999E-2</v>
      </c>
      <c r="S56">
        <f t="shared" si="10"/>
        <v>6.3439999999999996E-2</v>
      </c>
      <c r="T56">
        <f t="shared" si="10"/>
        <v>3.5180000000000003E-2</v>
      </c>
      <c r="U56">
        <f t="shared" si="10"/>
        <v>2.4389999999999998E-2</v>
      </c>
      <c r="V56">
        <f t="shared" si="10"/>
        <v>6.2300000000000003E-3</v>
      </c>
      <c r="W56">
        <f t="shared" si="10"/>
        <v>9.5599999999999991E-3</v>
      </c>
      <c r="X56">
        <f t="shared" si="10"/>
        <v>1.644E-2</v>
      </c>
      <c r="Y56">
        <f t="shared" si="10"/>
        <v>2.9000000000000033E-4</v>
      </c>
      <c r="Z56">
        <f t="shared" si="10"/>
        <v>3.3189999999999999E-3</v>
      </c>
      <c r="AA56">
        <f t="shared" si="10"/>
        <v>1.933E-2</v>
      </c>
      <c r="AB56">
        <f t="shared" si="10"/>
        <v>1.7820000000000003E-2</v>
      </c>
      <c r="AC56">
        <f t="shared" si="10"/>
        <v>1.1820000000000001E-2</v>
      </c>
      <c r="AD56">
        <f t="shared" si="10"/>
        <v>1.499E-2</v>
      </c>
      <c r="AE56">
        <f t="shared" si="10"/>
        <v>1.6059999999999998E-2</v>
      </c>
      <c r="AF56">
        <f t="shared" si="10"/>
        <v>7.8600000000000007E-3</v>
      </c>
      <c r="AG56">
        <f t="shared" si="10"/>
        <v>6.2599999999999999E-3</v>
      </c>
      <c r="AH56">
        <f t="shared" si="10"/>
        <v>2.5919999999999999E-2</v>
      </c>
      <c r="AI56">
        <f t="shared" si="10"/>
        <v>2.4850000000000001E-2</v>
      </c>
      <c r="AJ56">
        <f t="shared" si="10"/>
        <v>1.7140000000000002E-2</v>
      </c>
      <c r="AK56">
        <f t="shared" si="10"/>
        <v>2.095E-2</v>
      </c>
      <c r="AL56">
        <f t="shared" si="10"/>
        <v>3.3979999999999996E-2</v>
      </c>
      <c r="AM56">
        <f t="shared" si="10"/>
        <v>2.886E-2</v>
      </c>
      <c r="AN56">
        <f t="shared" si="10"/>
        <v>3.3239999999999999E-2</v>
      </c>
      <c r="AO56">
        <f t="shared" si="10"/>
        <v>3.3120000000000004E-2</v>
      </c>
      <c r="AP56">
        <f t="shared" si="10"/>
        <v>5.3830000000000003E-2</v>
      </c>
      <c r="AQ56">
        <f t="shared" si="10"/>
        <v>6.8180000000000004E-2</v>
      </c>
      <c r="AR56">
        <f t="shared" si="10"/>
        <v>7.1300000000000002E-2</v>
      </c>
      <c r="AS56">
        <f t="shared" si="10"/>
        <v>6.8040000000000003E-2</v>
      </c>
      <c r="AT56">
        <f t="shared" si="10"/>
        <v>6.3670000000000004E-2</v>
      </c>
      <c r="AU56">
        <f t="shared" si="10"/>
        <v>6.5869999999999998E-2</v>
      </c>
      <c r="AV56">
        <f t="shared" si="10"/>
        <v>5.4440000000000002E-2</v>
      </c>
      <c r="AW56">
        <f t="shared" si="10"/>
        <v>3.1789999999999999E-2</v>
      </c>
      <c r="AX56">
        <f t="shared" si="10"/>
        <v>1.9999999999999185E-5</v>
      </c>
      <c r="AY56">
        <f t="shared" si="10"/>
        <v>-6.689999999999998E-3</v>
      </c>
      <c r="AZ56">
        <f t="shared" si="10"/>
        <v>-6.9799999999999984E-3</v>
      </c>
      <c r="BA56">
        <f t="shared" si="10"/>
        <v>-1.2700000000000001E-2</v>
      </c>
      <c r="BB56">
        <f t="shared" si="10"/>
        <v>8.0499999999999999E-3</v>
      </c>
      <c r="BC56">
        <f t="shared" si="10"/>
        <v>1.4829999999999999E-2</v>
      </c>
      <c r="BD56">
        <f t="shared" si="10"/>
        <v>2.3359999999999999E-2</v>
      </c>
      <c r="BE56">
        <f t="shared" si="10"/>
        <v>3.0899999999999997E-2</v>
      </c>
      <c r="BF56">
        <f t="shared" si="10"/>
        <v>4.6249999999999999E-2</v>
      </c>
      <c r="BG56">
        <f t="shared" si="10"/>
        <v>5.9020000000000003E-2</v>
      </c>
      <c r="BH56">
        <f t="shared" si="10"/>
        <v>6.9809999999999997E-2</v>
      </c>
      <c r="BI56">
        <f t="shared" si="10"/>
        <v>6.9099999999999995E-2</v>
      </c>
      <c r="BJ56">
        <f t="shared" si="10"/>
        <v>6.0800000000000007E-2</v>
      </c>
      <c r="BK56">
        <f t="shared" si="10"/>
        <v>7.2599999999999998E-2</v>
      </c>
      <c r="BL56">
        <f t="shared" si="10"/>
        <v>7.4699999999999989E-2</v>
      </c>
      <c r="BM56">
        <f t="shared" si="10"/>
        <v>7.1000000000000008E-2</v>
      </c>
      <c r="BN56">
        <f t="shared" si="10"/>
        <v>4.9399999999999999E-2</v>
      </c>
      <c r="BO56">
        <f t="shared" si="10"/>
        <v>2.7499999999999997E-2</v>
      </c>
      <c r="BP56">
        <f t="shared" ref="BP56:CX59" si="11">BP39+BP47</f>
        <v>2.2800000000000001E-2</v>
      </c>
      <c r="BQ56">
        <f t="shared" si="11"/>
        <v>2.06E-2</v>
      </c>
      <c r="BR56">
        <f t="shared" si="11"/>
        <v>1.7739999999999999E-2</v>
      </c>
      <c r="BS56">
        <f t="shared" si="11"/>
        <v>-1.1800000000000001E-2</v>
      </c>
      <c r="BT56">
        <f t="shared" si="11"/>
        <v>-3.7199999999999997E-2</v>
      </c>
      <c r="BU56">
        <f t="shared" si="11"/>
        <v>-1.3299999999999998E-2</v>
      </c>
      <c r="BV56">
        <f t="shared" si="11"/>
        <v>0.1076</v>
      </c>
      <c r="BW56">
        <f t="shared" si="11"/>
        <v>0.14130000000000001</v>
      </c>
      <c r="BX56">
        <f t="shared" si="11"/>
        <v>0.1216</v>
      </c>
      <c r="BY56">
        <f t="shared" si="11"/>
        <v>0.11199999999999999</v>
      </c>
      <c r="BZ56">
        <f t="shared" si="11"/>
        <v>0.14219999999999999</v>
      </c>
      <c r="CA56">
        <f t="shared" si="11"/>
        <v>0.13689999999999999</v>
      </c>
      <c r="CB56">
        <f t="shared" si="11"/>
        <v>0.16469999999999999</v>
      </c>
      <c r="CC56">
        <f t="shared" si="11"/>
        <v>0.16069999999999998</v>
      </c>
      <c r="CD56">
        <f t="shared" si="11"/>
        <v>0.1142</v>
      </c>
      <c r="CE56">
        <f t="shared" si="11"/>
        <v>-2.8999999999999998E-2</v>
      </c>
      <c r="CF56">
        <f t="shared" si="11"/>
        <v>-8.1200000000000008E-2</v>
      </c>
      <c r="CG56">
        <f t="shared" si="11"/>
        <v>-6.2E-2</v>
      </c>
      <c r="CH56">
        <f t="shared" si="11"/>
        <v>4.2000000000000003E-2</v>
      </c>
      <c r="CI56">
        <f t="shared" si="11"/>
        <v>0.13300000000000001</v>
      </c>
      <c r="CJ56">
        <f t="shared" si="11"/>
        <v>0.16949999999999998</v>
      </c>
      <c r="CK56">
        <f t="shared" si="11"/>
        <v>0.1258</v>
      </c>
      <c r="CL56">
        <f t="shared" si="11"/>
        <v>7.6899999999999996E-2</v>
      </c>
      <c r="CM56">
        <f t="shared" si="11"/>
        <v>2.291E-2</v>
      </c>
      <c r="CN56">
        <f t="shared" si="11"/>
        <v>3.27E-2</v>
      </c>
      <c r="CO56">
        <f t="shared" si="11"/>
        <v>1.073E-2</v>
      </c>
      <c r="CP56">
        <f t="shared" si="11"/>
        <v>5.2999999999999999E-2</v>
      </c>
      <c r="CQ56">
        <f t="shared" si="11"/>
        <v>7.3099999999999998E-2</v>
      </c>
      <c r="CR56">
        <f t="shared" si="11"/>
        <v>0.14710000000000001</v>
      </c>
      <c r="CS56">
        <f t="shared" si="11"/>
        <v>0.24010000000000001</v>
      </c>
      <c r="CT56">
        <f t="shared" si="11"/>
        <v>0.158</v>
      </c>
      <c r="CU56">
        <f t="shared" si="11"/>
        <v>5.4199999999999998E-2</v>
      </c>
      <c r="CV56">
        <f t="shared" si="11"/>
        <v>8.4999999999999989E-3</v>
      </c>
      <c r="CW56">
        <f t="shared" si="11"/>
        <v>0.14230000000000001</v>
      </c>
      <c r="CX56">
        <f t="shared" si="11"/>
        <v>-2.76E-2</v>
      </c>
    </row>
    <row r="57" spans="1:102" x14ac:dyDescent="0.2">
      <c r="A57" t="s">
        <v>210</v>
      </c>
      <c r="B57" t="s">
        <v>220</v>
      </c>
      <c r="C57" t="s">
        <v>221</v>
      </c>
      <c r="D57">
        <f t="shared" ref="D57" si="12">D40+D48</f>
        <v>8.3069999999999991E-2</v>
      </c>
      <c r="E57">
        <f t="shared" si="10"/>
        <v>8.0060000000000006E-2</v>
      </c>
      <c r="F57">
        <f t="shared" si="10"/>
        <v>2.6030000000000001E-2</v>
      </c>
      <c r="G57">
        <f t="shared" si="10"/>
        <v>5.6250000000000001E-2</v>
      </c>
      <c r="H57">
        <f t="shared" si="10"/>
        <v>-3.3869999999999997E-2</v>
      </c>
      <c r="I57">
        <f t="shared" si="10"/>
        <v>1.8099999999999998E-2</v>
      </c>
      <c r="J57">
        <f t="shared" si="10"/>
        <v>-8.8599999999999998E-3</v>
      </c>
      <c r="K57">
        <f t="shared" si="10"/>
        <v>-1.108E-2</v>
      </c>
      <c r="L57">
        <f t="shared" si="10"/>
        <v>-2.281E-3</v>
      </c>
      <c r="M57">
        <f t="shared" si="10"/>
        <v>-2.4509999999999997E-2</v>
      </c>
      <c r="N57">
        <f t="shared" si="10"/>
        <v>-2.8049999999999999E-2</v>
      </c>
      <c r="O57">
        <f t="shared" si="10"/>
        <v>-1.1370000000000002E-2</v>
      </c>
      <c r="P57">
        <f t="shared" si="10"/>
        <v>-1.644E-2</v>
      </c>
      <c r="Q57">
        <f t="shared" si="10"/>
        <v>-1.1650000000000001E-2</v>
      </c>
      <c r="R57">
        <f t="shared" si="10"/>
        <v>-6.7399999999999995E-3</v>
      </c>
      <c r="S57">
        <f t="shared" si="10"/>
        <v>-3.0400000000000002E-3</v>
      </c>
      <c r="T57">
        <f t="shared" si="10"/>
        <v>2.32E-3</v>
      </c>
      <c r="U57">
        <f t="shared" si="10"/>
        <v>3.4499999999999999E-3</v>
      </c>
      <c r="V57">
        <f t="shared" si="10"/>
        <v>8.3499999999999998E-3</v>
      </c>
      <c r="W57">
        <f t="shared" si="10"/>
        <v>6.6E-3</v>
      </c>
      <c r="X57">
        <f t="shared" si="10"/>
        <v>4.3600000000000002E-3</v>
      </c>
      <c r="Y57">
        <f t="shared" si="10"/>
        <v>7.5000000000000006E-3</v>
      </c>
      <c r="Z57">
        <f t="shared" si="10"/>
        <v>6.2099999999999994E-3</v>
      </c>
      <c r="AA57">
        <f t="shared" si="10"/>
        <v>6.150000000000001E-3</v>
      </c>
      <c r="AB57">
        <f t="shared" si="10"/>
        <v>8.5199999999999998E-3</v>
      </c>
      <c r="AC57">
        <f t="shared" si="10"/>
        <v>1.0600000000000002E-2</v>
      </c>
      <c r="AD57">
        <f t="shared" si="10"/>
        <v>1.1430000000000001E-2</v>
      </c>
      <c r="AE57">
        <f t="shared" si="10"/>
        <v>1.1259999999999999E-2</v>
      </c>
      <c r="AF57">
        <f t="shared" si="10"/>
        <v>1.315E-2</v>
      </c>
      <c r="AG57">
        <f t="shared" si="10"/>
        <v>1.2670000000000001E-2</v>
      </c>
      <c r="AH57">
        <f t="shared" si="10"/>
        <v>1.17E-2</v>
      </c>
      <c r="AI57">
        <f t="shared" si="10"/>
        <v>1.3270000000000001E-2</v>
      </c>
      <c r="AJ57">
        <f t="shared" si="10"/>
        <v>1.737E-2</v>
      </c>
      <c r="AK57">
        <f t="shared" si="10"/>
        <v>1.6730000000000002E-2</v>
      </c>
      <c r="AL57">
        <f t="shared" si="10"/>
        <v>1.5790000000000002E-2</v>
      </c>
      <c r="AM57">
        <f t="shared" si="10"/>
        <v>1.61E-2</v>
      </c>
      <c r="AN57">
        <f t="shared" si="10"/>
        <v>1.762E-2</v>
      </c>
      <c r="AO57">
        <f t="shared" si="10"/>
        <v>1.8110000000000001E-2</v>
      </c>
      <c r="AP57">
        <f t="shared" si="10"/>
        <v>1.5439999999999999E-2</v>
      </c>
      <c r="AQ57">
        <f t="shared" si="10"/>
        <v>1.206E-2</v>
      </c>
      <c r="AR57">
        <f t="shared" si="10"/>
        <v>1.2070000000000001E-2</v>
      </c>
      <c r="AS57">
        <f t="shared" si="10"/>
        <v>1.2749999999999999E-2</v>
      </c>
      <c r="AT57">
        <f t="shared" si="10"/>
        <v>1.2109999999999999E-2</v>
      </c>
      <c r="AU57">
        <f t="shared" si="10"/>
        <v>1.1209999999999999E-2</v>
      </c>
      <c r="AV57">
        <f t="shared" si="10"/>
        <v>1.389E-2</v>
      </c>
      <c r="AW57">
        <f t="shared" si="10"/>
        <v>2.0400000000000001E-2</v>
      </c>
      <c r="AX57">
        <f t="shared" si="10"/>
        <v>2.5920000000000002E-2</v>
      </c>
      <c r="AY57">
        <f t="shared" si="10"/>
        <v>2.673E-2</v>
      </c>
      <c r="AZ57">
        <f t="shared" si="10"/>
        <v>2.5160000000000002E-2</v>
      </c>
      <c r="BA57">
        <f t="shared" si="10"/>
        <v>2.4969999999999999E-2</v>
      </c>
      <c r="BB57">
        <f t="shared" si="10"/>
        <v>2.3239999999999997E-2</v>
      </c>
      <c r="BC57">
        <f t="shared" si="10"/>
        <v>2.0420000000000001E-2</v>
      </c>
      <c r="BD57">
        <f t="shared" si="10"/>
        <v>1.6040000000000002E-2</v>
      </c>
      <c r="BE57">
        <f t="shared" si="10"/>
        <v>1.4930000000000001E-2</v>
      </c>
      <c r="BF57">
        <f t="shared" si="10"/>
        <v>1.15E-2</v>
      </c>
      <c r="BG57">
        <f t="shared" si="10"/>
        <v>8.43E-3</v>
      </c>
      <c r="BH57">
        <f t="shared" si="10"/>
        <v>4.1200000000000004E-3</v>
      </c>
      <c r="BI57">
        <f t="shared" si="10"/>
        <v>6.2000000000000006E-3</v>
      </c>
      <c r="BJ57">
        <f t="shared" si="10"/>
        <v>9.470000000000001E-3</v>
      </c>
      <c r="BK57">
        <f t="shared" si="10"/>
        <v>8.8100000000000019E-3</v>
      </c>
      <c r="BL57">
        <f t="shared" si="10"/>
        <v>6.8999999999999999E-3</v>
      </c>
      <c r="BM57">
        <f t="shared" si="10"/>
        <v>9.6900000000000007E-3</v>
      </c>
      <c r="BN57">
        <f t="shared" si="10"/>
        <v>1.2109999999999999E-2</v>
      </c>
      <c r="BO57">
        <f t="shared" si="10"/>
        <v>1.617E-2</v>
      </c>
      <c r="BP57">
        <f t="shared" si="11"/>
        <v>1.891E-2</v>
      </c>
      <c r="BQ57">
        <f t="shared" si="11"/>
        <v>1.9009999999999999E-2</v>
      </c>
      <c r="BR57">
        <f t="shared" si="11"/>
        <v>1.746E-2</v>
      </c>
      <c r="BS57">
        <f t="shared" si="11"/>
        <v>2.2800000000000001E-2</v>
      </c>
      <c r="BT57">
        <f t="shared" si="11"/>
        <v>2.7270000000000003E-2</v>
      </c>
      <c r="BU57">
        <f t="shared" si="11"/>
        <v>2.3699999999999999E-2</v>
      </c>
      <c r="BV57">
        <f t="shared" si="11"/>
        <v>1.4800000000000004E-3</v>
      </c>
      <c r="BW57">
        <f t="shared" si="11"/>
        <v>-2.1700000000000001E-3</v>
      </c>
      <c r="BX57">
        <f t="shared" si="11"/>
        <v>1.9599999999999999E-3</v>
      </c>
      <c r="BY57">
        <f t="shared" si="11"/>
        <v>4.6800000000000001E-3</v>
      </c>
      <c r="BZ57">
        <f t="shared" si="11"/>
        <v>-2.2599999999999999E-3</v>
      </c>
      <c r="CA57">
        <f t="shared" si="11"/>
        <v>-3.1619999999999999E-3</v>
      </c>
      <c r="CB57">
        <f t="shared" si="11"/>
        <v>-9.049999999999999E-3</v>
      </c>
      <c r="CC57">
        <f t="shared" si="11"/>
        <v>-1.338E-2</v>
      </c>
      <c r="CD57">
        <f t="shared" si="11"/>
        <v>-5.2300000000000003E-3</v>
      </c>
      <c r="CE57">
        <f t="shared" si="11"/>
        <v>2.622E-2</v>
      </c>
      <c r="CF57">
        <f t="shared" si="11"/>
        <v>3.6969999999999996E-2</v>
      </c>
      <c r="CG57">
        <f t="shared" si="11"/>
        <v>3.2129999999999999E-2</v>
      </c>
      <c r="CH57">
        <f t="shared" si="11"/>
        <v>7.5799999999999999E-3</v>
      </c>
      <c r="CI57">
        <f t="shared" si="11"/>
        <v>-7.2300000000000003E-3</v>
      </c>
      <c r="CJ57">
        <f t="shared" si="11"/>
        <v>-1.5910000000000001E-2</v>
      </c>
      <c r="CK57">
        <f t="shared" si="11"/>
        <v>-5.6600000000000001E-3</v>
      </c>
      <c r="CL57">
        <f t="shared" si="11"/>
        <v>3.0600000000000002E-3</v>
      </c>
      <c r="CM57">
        <f t="shared" si="11"/>
        <v>8.0800000000000004E-3</v>
      </c>
      <c r="CN57">
        <f t="shared" si="11"/>
        <v>6.4299999999999991E-3</v>
      </c>
      <c r="CO57">
        <f t="shared" si="11"/>
        <v>1.2489999999999998E-2</v>
      </c>
      <c r="CP57">
        <f t="shared" si="11"/>
        <v>-6.0000000000000001E-3</v>
      </c>
      <c r="CQ57">
        <f t="shared" si="11"/>
        <v>-1.325E-2</v>
      </c>
      <c r="CR57">
        <f t="shared" si="11"/>
        <v>-2.947E-2</v>
      </c>
      <c r="CS57">
        <f t="shared" si="11"/>
        <v>-5.9889999999999999E-2</v>
      </c>
      <c r="CT57">
        <f t="shared" si="11"/>
        <v>-3.492E-2</v>
      </c>
      <c r="CU57">
        <f t="shared" si="11"/>
        <v>-2.3119999999999998E-2</v>
      </c>
      <c r="CV57">
        <f t="shared" si="11"/>
        <v>2.3800000000000002E-3</v>
      </c>
      <c r="CW57">
        <f t="shared" si="11"/>
        <v>-4.641E-2</v>
      </c>
      <c r="CX57">
        <f t="shared" si="11"/>
        <v>1.992E-2</v>
      </c>
    </row>
    <row r="58" spans="1:102" x14ac:dyDescent="0.2">
      <c r="A58" t="s">
        <v>211</v>
      </c>
      <c r="B58" t="s">
        <v>220</v>
      </c>
      <c r="C58" t="s">
        <v>221</v>
      </c>
      <c r="D58">
        <f t="shared" ref="D58" si="13">D41+D49</f>
        <v>2.9099999999999994E-3</v>
      </c>
      <c r="E58">
        <f t="shared" si="10"/>
        <v>-8.9300000000000013E-4</v>
      </c>
      <c r="F58">
        <f t="shared" si="10"/>
        <v>-1.1609999999999999E-2</v>
      </c>
      <c r="G58">
        <f t="shared" si="10"/>
        <v>8.9499999999999996E-3</v>
      </c>
      <c r="H58">
        <f t="shared" si="10"/>
        <v>-1.644E-2</v>
      </c>
      <c r="I58">
        <f t="shared" si="10"/>
        <v>-2.4299999999999999E-3</v>
      </c>
      <c r="J58">
        <f t="shared" si="10"/>
        <v>-6.8800000000000007E-3</v>
      </c>
      <c r="K58">
        <f t="shared" si="10"/>
        <v>-2.8900000000000002E-3</v>
      </c>
      <c r="L58">
        <f t="shared" si="10"/>
        <v>6.4500000000000009E-3</v>
      </c>
      <c r="M58">
        <f t="shared" si="10"/>
        <v>-2.3699999999999997E-3</v>
      </c>
      <c r="N58">
        <f t="shared" si="10"/>
        <v>-6.0089999999999996E-3</v>
      </c>
      <c r="O58">
        <f t="shared" si="10"/>
        <v>-4.0559999999999997E-3</v>
      </c>
      <c r="P58">
        <f t="shared" si="10"/>
        <v>-4.1640000000000002E-3</v>
      </c>
      <c r="Q58">
        <f t="shared" si="10"/>
        <v>2.5999999999999981E-5</v>
      </c>
      <c r="R58">
        <f t="shared" si="10"/>
        <v>7.899999999999999E-4</v>
      </c>
      <c r="S58">
        <f t="shared" si="10"/>
        <v>-2.4229999999999998E-3</v>
      </c>
      <c r="T58">
        <f t="shared" si="10"/>
        <v>-2.1700000000000002E-4</v>
      </c>
      <c r="U58">
        <f t="shared" si="10"/>
        <v>7.0100000000000013E-4</v>
      </c>
      <c r="V58">
        <f t="shared" si="10"/>
        <v>2.3959999999999997E-3</v>
      </c>
      <c r="W58">
        <f t="shared" si="10"/>
        <v>1.781E-3</v>
      </c>
      <c r="X58">
        <f t="shared" si="10"/>
        <v>-1.0549999999999999E-3</v>
      </c>
      <c r="Y58">
        <f t="shared" si="10"/>
        <v>1.8050000000000002E-3</v>
      </c>
      <c r="Z58">
        <f t="shared" si="10"/>
        <v>-4.1000000000000021E-5</v>
      </c>
      <c r="AA58">
        <f t="shared" si="10"/>
        <v>2.0990000000000002E-3</v>
      </c>
      <c r="AB58">
        <f t="shared" si="10"/>
        <v>6.2789999999999999E-3</v>
      </c>
      <c r="AC58">
        <f t="shared" si="10"/>
        <v>6.9909999999999998E-3</v>
      </c>
      <c r="AD58">
        <f t="shared" si="10"/>
        <v>6.6059999999999999E-3</v>
      </c>
      <c r="AE58">
        <f t="shared" si="10"/>
        <v>5.3349999999999995E-3</v>
      </c>
      <c r="AF58">
        <f t="shared" si="10"/>
        <v>3.5200000000000006E-3</v>
      </c>
      <c r="AG58">
        <f t="shared" si="10"/>
        <v>3.6899999999999997E-3</v>
      </c>
      <c r="AH58">
        <f t="shared" si="10"/>
        <v>3.4099999999999998E-3</v>
      </c>
      <c r="AI58">
        <f t="shared" si="10"/>
        <v>3.5099999999999997E-3</v>
      </c>
      <c r="AJ58">
        <f t="shared" si="10"/>
        <v>4.4900000000000009E-3</v>
      </c>
      <c r="AK58">
        <f t="shared" si="10"/>
        <v>3.2499999999999994E-3</v>
      </c>
      <c r="AL58">
        <f t="shared" si="10"/>
        <v>2.0799999999999998E-3</v>
      </c>
      <c r="AM58">
        <f t="shared" si="10"/>
        <v>3.0200000000000001E-3</v>
      </c>
      <c r="AN58">
        <f t="shared" si="10"/>
        <v>2.7000000000000006E-4</v>
      </c>
      <c r="AO58">
        <f t="shared" si="10"/>
        <v>-8.5100000000000009E-4</v>
      </c>
      <c r="AP58">
        <f t="shared" si="10"/>
        <v>-1.217E-3</v>
      </c>
      <c r="AQ58">
        <f t="shared" si="10"/>
        <v>-4.0499999999999998E-3</v>
      </c>
      <c r="AR58">
        <f t="shared" si="10"/>
        <v>-1.521E-3</v>
      </c>
      <c r="AS58">
        <f t="shared" si="10"/>
        <v>-7.3899999999999997E-4</v>
      </c>
      <c r="AT58">
        <f t="shared" si="10"/>
        <v>-2.1949999999999999E-3</v>
      </c>
      <c r="AU58">
        <f t="shared" si="10"/>
        <v>-4.1799999999999997E-3</v>
      </c>
      <c r="AV58">
        <f t="shared" si="10"/>
        <v>-6.4999999999999997E-3</v>
      </c>
      <c r="AW58">
        <f t="shared" si="10"/>
        <v>-5.1900000000000002E-3</v>
      </c>
      <c r="AX58">
        <f t="shared" si="10"/>
        <v>-2.336E-3</v>
      </c>
      <c r="AY58">
        <f t="shared" si="10"/>
        <v>-1.9949999999999998E-3</v>
      </c>
      <c r="AZ58">
        <f t="shared" si="10"/>
        <v>-2.447E-3</v>
      </c>
      <c r="BA58">
        <f t="shared" si="10"/>
        <v>-5.5399999999999998E-3</v>
      </c>
      <c r="BB58">
        <f t="shared" si="10"/>
        <v>-6.7499999999999991E-3</v>
      </c>
      <c r="BC58">
        <f t="shared" si="10"/>
        <v>-8.1899999999999994E-3</v>
      </c>
      <c r="BD58">
        <f t="shared" si="10"/>
        <v>-3.5100000000000001E-3</v>
      </c>
      <c r="BE58">
        <f t="shared" si="10"/>
        <v>-6.43E-3</v>
      </c>
      <c r="BF58">
        <f t="shared" si="10"/>
        <v>-1.562E-2</v>
      </c>
      <c r="BG58">
        <f t="shared" si="10"/>
        <v>-1.2699999999999999E-2</v>
      </c>
      <c r="BH58">
        <f t="shared" si="10"/>
        <v>-1.7399999999999999E-2</v>
      </c>
      <c r="BI58">
        <f t="shared" si="10"/>
        <v>-1.7419999999999998E-2</v>
      </c>
      <c r="BJ58">
        <f t="shared" si="10"/>
        <v>-1.5779999999999999E-2</v>
      </c>
      <c r="BK58">
        <f t="shared" si="10"/>
        <v>-1.7229999999999999E-2</v>
      </c>
      <c r="BL58">
        <f t="shared" si="10"/>
        <v>-2.001E-2</v>
      </c>
      <c r="BM58">
        <f t="shared" si="10"/>
        <v>-1.847E-2</v>
      </c>
      <c r="BN58">
        <f t="shared" si="10"/>
        <v>-1.653E-2</v>
      </c>
      <c r="BO58">
        <f t="shared" si="10"/>
        <v>-1.3340000000000001E-2</v>
      </c>
      <c r="BP58">
        <f t="shared" si="11"/>
        <v>-5.96E-3</v>
      </c>
      <c r="BQ58">
        <f t="shared" si="11"/>
        <v>-8.6800000000000002E-3</v>
      </c>
      <c r="BR58">
        <f t="shared" si="11"/>
        <v>-6.2599999999999999E-3</v>
      </c>
      <c r="BS58">
        <f t="shared" si="11"/>
        <v>1.34E-3</v>
      </c>
      <c r="BT58">
        <f t="shared" si="11"/>
        <v>1.01E-3</v>
      </c>
      <c r="BU58">
        <f t="shared" si="11"/>
        <v>-4.8599999999999997E-3</v>
      </c>
      <c r="BV58">
        <f t="shared" si="11"/>
        <v>-1.984E-2</v>
      </c>
      <c r="BW58">
        <f t="shared" si="11"/>
        <v>-2.6159999999999999E-2</v>
      </c>
      <c r="BX58">
        <f t="shared" si="11"/>
        <v>-2.172E-2</v>
      </c>
      <c r="BY58">
        <f t="shared" si="11"/>
        <v>-1.9210000000000001E-2</v>
      </c>
      <c r="BZ58">
        <f t="shared" si="11"/>
        <v>-2.5999999999999999E-2</v>
      </c>
      <c r="CA58">
        <f t="shared" si="11"/>
        <v>-1.89E-2</v>
      </c>
      <c r="CB58">
        <f t="shared" si="11"/>
        <v>-2.545E-2</v>
      </c>
      <c r="CC58">
        <f t="shared" si="11"/>
        <v>-2.6249999999999999E-2</v>
      </c>
      <c r="CD58">
        <f t="shared" si="11"/>
        <v>-3.3000000000000002E-2</v>
      </c>
      <c r="CE58">
        <f t="shared" si="11"/>
        <v>-1.2029999999999999E-2</v>
      </c>
      <c r="CF58">
        <f t="shared" si="11"/>
        <v>1.3499999999999996E-3</v>
      </c>
      <c r="CG58">
        <f t="shared" si="11"/>
        <v>-2.0200000000000001E-3</v>
      </c>
      <c r="CH58">
        <f t="shared" si="11"/>
        <v>-1.307E-2</v>
      </c>
      <c r="CI58">
        <f t="shared" si="11"/>
        <v>-2.649E-2</v>
      </c>
      <c r="CJ58">
        <f t="shared" si="11"/>
        <v>-3.5230000000000004E-2</v>
      </c>
      <c r="CK58">
        <f t="shared" si="11"/>
        <v>-2.6590000000000003E-2</v>
      </c>
      <c r="CL58">
        <f t="shared" si="11"/>
        <v>-1.0839999999999999E-2</v>
      </c>
      <c r="CM58">
        <f t="shared" si="11"/>
        <v>-6.5100000000000002E-3</v>
      </c>
      <c r="CN58">
        <f t="shared" si="11"/>
        <v>-1.6369999999999999E-2</v>
      </c>
      <c r="CO58">
        <f t="shared" si="11"/>
        <v>-8.2100000000000003E-3</v>
      </c>
      <c r="CP58">
        <f t="shared" si="11"/>
        <v>-5.4079999999999996E-3</v>
      </c>
      <c r="CQ58">
        <f t="shared" si="11"/>
        <v>-1.5010000000000001E-2</v>
      </c>
      <c r="CR58">
        <f t="shared" si="11"/>
        <v>-2.3089999999999999E-2</v>
      </c>
      <c r="CS58">
        <f t="shared" si="11"/>
        <v>-4.8649999999999999E-2</v>
      </c>
      <c r="CT58">
        <f t="shared" si="11"/>
        <v>-3.8980000000000001E-2</v>
      </c>
      <c r="CU58">
        <f t="shared" si="11"/>
        <v>-2.2179999999999998E-2</v>
      </c>
      <c r="CV58">
        <f t="shared" si="11"/>
        <v>-3.3300000000000001E-3</v>
      </c>
      <c r="CW58">
        <f t="shared" si="11"/>
        <v>-3.5290000000000002E-2</v>
      </c>
      <c r="CX58">
        <f t="shared" si="11"/>
        <v>8.0099999999999998E-3</v>
      </c>
    </row>
    <row r="59" spans="1:102" x14ac:dyDescent="0.2">
      <c r="A59" t="s">
        <v>212</v>
      </c>
      <c r="B59" t="s">
        <v>220</v>
      </c>
      <c r="C59" t="s">
        <v>221</v>
      </c>
      <c r="D59">
        <f t="shared" ref="D59" si="14">D42+D50</f>
        <v>4.2450000000000002E-2</v>
      </c>
      <c r="E59">
        <f t="shared" si="10"/>
        <v>2.4939999999999997E-2</v>
      </c>
      <c r="F59">
        <f t="shared" si="10"/>
        <v>-9.7000000000000038E-4</v>
      </c>
      <c r="G59">
        <f t="shared" si="10"/>
        <v>2.9509999999999998E-2</v>
      </c>
      <c r="H59">
        <f t="shared" si="10"/>
        <v>-1.166E-2</v>
      </c>
      <c r="I59">
        <f t="shared" si="10"/>
        <v>9.4599999999999997E-3</v>
      </c>
      <c r="J59">
        <f t="shared" si="10"/>
        <v>-1.2600000000000007E-3</v>
      </c>
      <c r="K59">
        <f t="shared" si="10"/>
        <v>-1.6900000000000005E-3</v>
      </c>
      <c r="L59">
        <f t="shared" si="10"/>
        <v>2.5700000000000002E-3</v>
      </c>
      <c r="M59">
        <f t="shared" si="10"/>
        <v>-8.5199999999999998E-3</v>
      </c>
      <c r="N59">
        <f t="shared" si="10"/>
        <v>-1.052E-2</v>
      </c>
      <c r="O59">
        <f t="shared" si="10"/>
        <v>-2.4399999999999999E-3</v>
      </c>
      <c r="P59">
        <f t="shared" si="10"/>
        <v>-4.6900000000000006E-3</v>
      </c>
      <c r="Q59">
        <f t="shared" si="10"/>
        <v>-2.9399999999999999E-3</v>
      </c>
      <c r="R59">
        <f t="shared" si="10"/>
        <v>-1.8500000000000001E-3</v>
      </c>
      <c r="S59">
        <f t="shared" si="10"/>
        <v>-1.4800000000000002E-3</v>
      </c>
      <c r="T59">
        <f t="shared" si="10"/>
        <v>-5.3000000000000009E-4</v>
      </c>
      <c r="U59">
        <f t="shared" si="10"/>
        <v>-3.700000000000001E-4</v>
      </c>
      <c r="V59">
        <f t="shared" si="10"/>
        <v>1.1113000000000002E-3</v>
      </c>
      <c r="W59">
        <f t="shared" si="10"/>
        <v>9.01E-4</v>
      </c>
      <c r="X59">
        <f t="shared" si="10"/>
        <v>1.0487000000000001E-3</v>
      </c>
      <c r="Y59">
        <f t="shared" si="10"/>
        <v>1.7669999999999999E-3</v>
      </c>
      <c r="Z59">
        <f t="shared" si="10"/>
        <v>1.374E-3</v>
      </c>
      <c r="AA59">
        <f t="shared" si="10"/>
        <v>1.606E-3</v>
      </c>
      <c r="AB59">
        <f t="shared" si="10"/>
        <v>2.0709999999999999E-3</v>
      </c>
      <c r="AC59">
        <f t="shared" si="10"/>
        <v>1.98E-3</v>
      </c>
      <c r="AD59">
        <f t="shared" si="10"/>
        <v>1.8549999999999999E-3</v>
      </c>
      <c r="AE59">
        <f t="shared" si="10"/>
        <v>1.596E-3</v>
      </c>
      <c r="AF59">
        <f t="shared" si="10"/>
        <v>1.219E-3</v>
      </c>
      <c r="AG59">
        <f t="shared" si="10"/>
        <v>2.5399999999999999E-4</v>
      </c>
      <c r="AH59">
        <f t="shared" si="10"/>
        <v>1.1499999999999998E-4</v>
      </c>
      <c r="AI59">
        <f t="shared" si="10"/>
        <v>4.1699999999999994E-4</v>
      </c>
      <c r="AJ59">
        <f t="shared" si="10"/>
        <v>1.4550000000000001E-3</v>
      </c>
      <c r="AK59">
        <f t="shared" si="10"/>
        <v>1.475E-3</v>
      </c>
      <c r="AL59">
        <f t="shared" si="10"/>
        <v>9.2800000000000011E-4</v>
      </c>
      <c r="AM59">
        <f t="shared" si="10"/>
        <v>7.7500000000000008E-4</v>
      </c>
      <c r="AN59">
        <f t="shared" si="10"/>
        <v>5.5699999999999999E-4</v>
      </c>
      <c r="AO59">
        <f t="shared" si="10"/>
        <v>6.4500000000000007E-4</v>
      </c>
      <c r="AP59">
        <f t="shared" si="10"/>
        <v>7.2300000000000001E-4</v>
      </c>
      <c r="AQ59">
        <f t="shared" si="10"/>
        <v>1.206E-3</v>
      </c>
      <c r="AR59">
        <f t="shared" si="10"/>
        <v>1.39E-3</v>
      </c>
      <c r="AS59">
        <f t="shared" si="10"/>
        <v>9.278E-4</v>
      </c>
      <c r="AT59">
        <f t="shared" si="10"/>
        <v>1.042E-3</v>
      </c>
      <c r="AU59">
        <f t="shared" si="10"/>
        <v>1.2769999999999999E-3</v>
      </c>
      <c r="AV59">
        <f t="shared" si="10"/>
        <v>5.6899999999999995E-4</v>
      </c>
      <c r="AW59">
        <f t="shared" si="10"/>
        <v>9.8689999999999997E-4</v>
      </c>
      <c r="AX59">
        <f t="shared" si="10"/>
        <v>1.4220000000000001E-3</v>
      </c>
      <c r="AY59">
        <f t="shared" si="10"/>
        <v>1.444E-3</v>
      </c>
      <c r="AZ59">
        <f t="shared" si="10"/>
        <v>1.3179999999999999E-3</v>
      </c>
      <c r="BA59">
        <f t="shared" si="10"/>
        <v>1.346E-3</v>
      </c>
      <c r="BB59">
        <f t="shared" si="10"/>
        <v>1.1689999999999999E-3</v>
      </c>
      <c r="BC59">
        <f t="shared" si="10"/>
        <v>9.8830000000000012E-4</v>
      </c>
      <c r="BD59">
        <f t="shared" si="10"/>
        <v>1.1330000000000001E-3</v>
      </c>
      <c r="BE59">
        <f t="shared" si="10"/>
        <v>1.0040000000000001E-3</v>
      </c>
      <c r="BF59">
        <f t="shared" si="10"/>
        <v>2.5000000000000001E-4</v>
      </c>
      <c r="BG59">
        <f t="shared" si="10"/>
        <v>6.3699999999999998E-4</v>
      </c>
      <c r="BH59">
        <f t="shared" si="10"/>
        <v>6.4900000000000005E-4</v>
      </c>
      <c r="BI59">
        <f t="shared" si="10"/>
        <v>6.8800000000000003E-4</v>
      </c>
      <c r="BJ59">
        <f t="shared" si="10"/>
        <v>6.0500000000000007E-4</v>
      </c>
      <c r="BK59">
        <f t="shared" si="10"/>
        <v>9.7499999999999996E-4</v>
      </c>
      <c r="BL59">
        <f t="shared" si="10"/>
        <v>6.87E-4</v>
      </c>
      <c r="BM59">
        <f t="shared" si="10"/>
        <v>1.029E-3</v>
      </c>
      <c r="BN59">
        <f t="shared" si="10"/>
        <v>1.227E-3</v>
      </c>
      <c r="BO59">
        <f t="shared" si="10"/>
        <v>2.0249999999999999E-3</v>
      </c>
      <c r="BP59">
        <f t="shared" si="11"/>
        <v>1.882E-3</v>
      </c>
      <c r="BQ59">
        <f t="shared" si="11"/>
        <v>1.81E-3</v>
      </c>
      <c r="BR59">
        <f t="shared" si="11"/>
        <v>1.5999999999999999E-3</v>
      </c>
      <c r="BS59">
        <f t="shared" si="11"/>
        <v>1.66E-3</v>
      </c>
      <c r="BT59">
        <f t="shared" si="11"/>
        <v>2.7239999999999999E-3</v>
      </c>
      <c r="BU59">
        <f t="shared" si="11"/>
        <v>2.496E-3</v>
      </c>
      <c r="BV59">
        <f t="shared" si="11"/>
        <v>4.7800000000000002E-4</v>
      </c>
      <c r="BW59">
        <f t="shared" si="11"/>
        <v>1.1070000000000001E-3</v>
      </c>
      <c r="BX59">
        <f t="shared" si="11"/>
        <v>1.348E-3</v>
      </c>
      <c r="BY59">
        <f t="shared" si="11"/>
        <v>1.0790000000000001E-3</v>
      </c>
      <c r="BZ59">
        <f t="shared" si="11"/>
        <v>1.145E-3</v>
      </c>
      <c r="CA59">
        <f t="shared" si="11"/>
        <v>1.565E-3</v>
      </c>
      <c r="CB59">
        <f t="shared" si="11"/>
        <v>1.4109999999999999E-3</v>
      </c>
      <c r="CC59">
        <f t="shared" si="11"/>
        <v>1.2509999999999999E-3</v>
      </c>
      <c r="CD59">
        <f t="shared" si="11"/>
        <v>7.6520000000000006E-4</v>
      </c>
      <c r="CE59">
        <f t="shared" si="11"/>
        <v>2.7390000000000001E-3</v>
      </c>
      <c r="CF59">
        <f t="shared" si="11"/>
        <v>3.2949999999999998E-3</v>
      </c>
      <c r="CG59">
        <f t="shared" si="11"/>
        <v>3.4319999999999997E-3</v>
      </c>
      <c r="CH59">
        <f t="shared" si="11"/>
        <v>1.9469999999999999E-3</v>
      </c>
      <c r="CI59">
        <f t="shared" si="11"/>
        <v>7.4673999999999997E-4</v>
      </c>
      <c r="CJ59">
        <f t="shared" si="11"/>
        <v>-3.2500000000000009E-4</v>
      </c>
      <c r="CK59">
        <f t="shared" si="11"/>
        <v>8.5099999999999998E-4</v>
      </c>
      <c r="CL59">
        <f t="shared" si="11"/>
        <v>4.2499999999999998E-4</v>
      </c>
      <c r="CM59">
        <f t="shared" si="11"/>
        <v>1.341E-3</v>
      </c>
      <c r="CN59">
        <f t="shared" si="11"/>
        <v>1.3519999999999999E-3</v>
      </c>
      <c r="CO59">
        <f t="shared" si="11"/>
        <v>1.67E-3</v>
      </c>
      <c r="CP59">
        <f t="shared" si="11"/>
        <v>6.5309999999999999E-4</v>
      </c>
      <c r="CQ59">
        <f t="shared" si="11"/>
        <v>2.8200000000000002E-4</v>
      </c>
      <c r="CR59">
        <f t="shared" si="11"/>
        <v>-3.0999999999999995E-4</v>
      </c>
      <c r="CS59">
        <f t="shared" si="11"/>
        <v>-2.578E-3</v>
      </c>
      <c r="CT59">
        <f t="shared" si="11"/>
        <v>-1.8810000000000003E-3</v>
      </c>
      <c r="CU59">
        <f t="shared" si="11"/>
        <v>-2.3160000000000004E-3</v>
      </c>
      <c r="CV59">
        <f t="shared" si="11"/>
        <v>-1.1609999999999999E-3</v>
      </c>
      <c r="CW59">
        <f t="shared" si="11"/>
        <v>-6.5299999999999993E-4</v>
      </c>
      <c r="CX59">
        <f t="shared" si="11"/>
        <v>4.9949999999999994E-3</v>
      </c>
    </row>
    <row r="60" spans="1:102" x14ac:dyDescent="0.2">
      <c r="A60" t="s">
        <v>213</v>
      </c>
      <c r="B60" t="s">
        <v>220</v>
      </c>
      <c r="C60" t="s">
        <v>221</v>
      </c>
      <c r="D60">
        <f t="shared" ref="D60" si="15">D43+D51</f>
        <v>-0.16490000000000002</v>
      </c>
      <c r="E60">
        <f t="shared" si="10"/>
        <v>-0.16270000000000001</v>
      </c>
      <c r="F60">
        <f t="shared" si="10"/>
        <v>-2.717E-2</v>
      </c>
      <c r="G60">
        <f t="shared" ref="G60:BR60" si="16">G43+G51</f>
        <v>-0.18359999999999999</v>
      </c>
      <c r="H60">
        <f t="shared" si="16"/>
        <v>9.9299999999999999E-2</v>
      </c>
      <c r="I60">
        <f t="shared" si="16"/>
        <v>-0.10009999999999999</v>
      </c>
      <c r="J60">
        <f t="shared" si="16"/>
        <v>1.8300000000000004E-2</v>
      </c>
      <c r="K60">
        <f t="shared" si="16"/>
        <v>9.3000000000000027E-3</v>
      </c>
      <c r="L60">
        <f t="shared" si="16"/>
        <v>-1.8199999999999997E-2</v>
      </c>
      <c r="M60">
        <f t="shared" si="16"/>
        <v>0.11449999999999999</v>
      </c>
      <c r="N60">
        <f t="shared" si="16"/>
        <v>0.15920000000000001</v>
      </c>
      <c r="O60">
        <f t="shared" si="16"/>
        <v>7.6800000000000007E-2</v>
      </c>
      <c r="P60">
        <f t="shared" si="16"/>
        <v>0.1303</v>
      </c>
      <c r="Q60">
        <f t="shared" si="16"/>
        <v>0.1255</v>
      </c>
      <c r="R60">
        <f t="shared" si="16"/>
        <v>0.1086</v>
      </c>
      <c r="S60">
        <f t="shared" si="16"/>
        <v>7.7100000000000002E-2</v>
      </c>
      <c r="T60">
        <f t="shared" si="16"/>
        <v>5.6400000000000006E-2</v>
      </c>
      <c r="U60">
        <f t="shared" si="16"/>
        <v>4.7789999999999999E-2</v>
      </c>
      <c r="V60">
        <f t="shared" si="16"/>
        <v>3.5659999999999997E-2</v>
      </c>
      <c r="W60">
        <f t="shared" si="16"/>
        <v>3.1170000000000003E-2</v>
      </c>
      <c r="X60">
        <f t="shared" si="16"/>
        <v>2.8070000000000001E-2</v>
      </c>
      <c r="Y60">
        <f t="shared" si="16"/>
        <v>1.626E-2</v>
      </c>
      <c r="Z60">
        <f t="shared" si="16"/>
        <v>2.3460000000000002E-2</v>
      </c>
      <c r="AA60">
        <f t="shared" si="16"/>
        <v>3.1829999999999997E-2</v>
      </c>
      <c r="AB60">
        <f t="shared" si="16"/>
        <v>3.8119999999999994E-2</v>
      </c>
      <c r="AC60">
        <f t="shared" si="16"/>
        <v>3.9410000000000001E-2</v>
      </c>
      <c r="AD60">
        <f t="shared" si="16"/>
        <v>3.5320000000000004E-2</v>
      </c>
      <c r="AE60">
        <f t="shared" si="16"/>
        <v>3.6830000000000002E-2</v>
      </c>
      <c r="AF60">
        <f t="shared" si="16"/>
        <v>3.2000000000000001E-2</v>
      </c>
      <c r="AG60">
        <f t="shared" si="16"/>
        <v>2.7269999999999999E-2</v>
      </c>
      <c r="AH60">
        <f t="shared" si="16"/>
        <v>3.5279999999999999E-2</v>
      </c>
      <c r="AI60">
        <f t="shared" si="16"/>
        <v>2.7740000000000001E-2</v>
      </c>
      <c r="AJ60">
        <f t="shared" si="16"/>
        <v>2.1579999999999998E-2</v>
      </c>
      <c r="AK60">
        <f t="shared" si="16"/>
        <v>2.036E-2</v>
      </c>
      <c r="AL60">
        <f t="shared" si="16"/>
        <v>2.4810000000000002E-2</v>
      </c>
      <c r="AM60">
        <f t="shared" si="16"/>
        <v>2.0959999999999999E-2</v>
      </c>
      <c r="AN60">
        <f t="shared" si="16"/>
        <v>2.2720000000000001E-2</v>
      </c>
      <c r="AO60">
        <f t="shared" si="16"/>
        <v>2.7559999999999998E-2</v>
      </c>
      <c r="AP60">
        <f t="shared" si="16"/>
        <v>3.3680000000000002E-2</v>
      </c>
      <c r="AQ60">
        <f t="shared" si="16"/>
        <v>3.5450000000000002E-2</v>
      </c>
      <c r="AR60">
        <f t="shared" si="16"/>
        <v>3.2070000000000001E-2</v>
      </c>
      <c r="AS60">
        <f t="shared" si="16"/>
        <v>2.4759999999999997E-2</v>
      </c>
      <c r="AT60">
        <f t="shared" si="16"/>
        <v>2.1680000000000001E-2</v>
      </c>
      <c r="AU60">
        <f t="shared" si="16"/>
        <v>1.9880000000000002E-2</v>
      </c>
      <c r="AV60">
        <f t="shared" si="16"/>
        <v>2.8539999999999999E-2</v>
      </c>
      <c r="AW60">
        <f t="shared" si="16"/>
        <v>2.869E-2</v>
      </c>
      <c r="AX60">
        <f t="shared" si="16"/>
        <v>1.772E-2</v>
      </c>
      <c r="AY60">
        <f t="shared" si="16"/>
        <v>1.806E-2</v>
      </c>
      <c r="AZ60">
        <f t="shared" si="16"/>
        <v>2.078E-2</v>
      </c>
      <c r="BA60">
        <f t="shared" si="16"/>
        <v>2.4070000000000001E-2</v>
      </c>
      <c r="BB60">
        <f t="shared" si="16"/>
        <v>1.9550000000000001E-2</v>
      </c>
      <c r="BC60">
        <f t="shared" si="16"/>
        <v>2.5021000000000002E-2</v>
      </c>
      <c r="BD60">
        <f t="shared" si="16"/>
        <v>2.1219999999999999E-2</v>
      </c>
      <c r="BE60">
        <f t="shared" si="16"/>
        <v>2.332E-2</v>
      </c>
      <c r="BF60">
        <f t="shared" si="16"/>
        <v>2.4033700000000002E-2</v>
      </c>
      <c r="BG60">
        <f t="shared" si="16"/>
        <v>2.7253299999999998E-2</v>
      </c>
      <c r="BH60">
        <f t="shared" si="16"/>
        <v>3.0613999999999999E-2</v>
      </c>
      <c r="BI60">
        <f t="shared" si="16"/>
        <v>2.6983999999999998E-2</v>
      </c>
      <c r="BJ60">
        <f t="shared" si="16"/>
        <v>3.0584E-2</v>
      </c>
      <c r="BK60">
        <f t="shared" si="16"/>
        <v>2.5094000000000002E-2</v>
      </c>
      <c r="BL60">
        <f t="shared" si="16"/>
        <v>2.3556999999999998E-2</v>
      </c>
      <c r="BM60">
        <f t="shared" si="16"/>
        <v>2.1586999999999999E-2</v>
      </c>
      <c r="BN60">
        <f t="shared" si="16"/>
        <v>1.8961000000000002E-2</v>
      </c>
      <c r="BO60">
        <f t="shared" si="16"/>
        <v>1.6299999999999999E-2</v>
      </c>
      <c r="BP60">
        <f t="shared" si="16"/>
        <v>1.0754E-2</v>
      </c>
      <c r="BQ60">
        <f t="shared" si="16"/>
        <v>1.502E-2</v>
      </c>
      <c r="BR60">
        <f t="shared" si="16"/>
        <v>2.0970000000000003E-2</v>
      </c>
      <c r="BS60">
        <f t="shared" ref="BS60:CX60" si="17">BS43+BS51</f>
        <v>2.5929999999999998E-2</v>
      </c>
      <c r="BT60">
        <f t="shared" si="17"/>
        <v>3.0887999999999999E-2</v>
      </c>
      <c r="BU60">
        <f t="shared" si="17"/>
        <v>3.4369999999999998E-2</v>
      </c>
      <c r="BV60">
        <f t="shared" si="17"/>
        <v>3.6420000000000001E-2</v>
      </c>
      <c r="BW60">
        <f t="shared" si="17"/>
        <v>3.789E-2</v>
      </c>
      <c r="BX60">
        <f t="shared" si="17"/>
        <v>2.8510000000000001E-2</v>
      </c>
      <c r="BY60">
        <f t="shared" si="17"/>
        <v>4.1069999999999995E-2</v>
      </c>
      <c r="BZ60">
        <f t="shared" si="17"/>
        <v>4.2450000000000002E-2</v>
      </c>
      <c r="CA60">
        <f t="shared" si="17"/>
        <v>3.49E-2</v>
      </c>
      <c r="CB60">
        <f t="shared" si="17"/>
        <v>2.4680000000000001E-2</v>
      </c>
      <c r="CC60">
        <f t="shared" si="17"/>
        <v>3.5979999999999998E-2</v>
      </c>
      <c r="CD60">
        <f t="shared" si="17"/>
        <v>2.0382999999999998E-2</v>
      </c>
      <c r="CE60">
        <f t="shared" si="17"/>
        <v>2.1444000000000001E-2</v>
      </c>
      <c r="CF60">
        <f t="shared" si="17"/>
        <v>2.5149999999999999E-2</v>
      </c>
      <c r="CG60">
        <f t="shared" si="17"/>
        <v>2.6825999999999999E-2</v>
      </c>
      <c r="CH60">
        <f t="shared" si="17"/>
        <v>2.0681999999999999E-2</v>
      </c>
      <c r="CI60">
        <f t="shared" si="17"/>
        <v>2.5328999999999997E-2</v>
      </c>
      <c r="CJ60">
        <f t="shared" si="17"/>
        <v>1.39372E-2</v>
      </c>
      <c r="CK60">
        <f t="shared" si="17"/>
        <v>6.0767999999999994E-3</v>
      </c>
      <c r="CL60">
        <f t="shared" si="17"/>
        <v>2.1050000000000001E-3</v>
      </c>
      <c r="CM60">
        <f t="shared" si="17"/>
        <v>1.6217000000000002E-2</v>
      </c>
      <c r="CN60">
        <f t="shared" si="17"/>
        <v>1.9002999999999999E-2</v>
      </c>
      <c r="CO60">
        <f t="shared" si="17"/>
        <v>6.5299999999999993E-3</v>
      </c>
      <c r="CP60">
        <f t="shared" si="17"/>
        <v>1.7405E-2</v>
      </c>
      <c r="CQ60">
        <f t="shared" si="17"/>
        <v>8.4600000000000005E-3</v>
      </c>
      <c r="CR60">
        <f t="shared" si="17"/>
        <v>1.2189999999999999E-2</v>
      </c>
      <c r="CS60">
        <f t="shared" si="17"/>
        <v>2.5219999999999999E-2</v>
      </c>
      <c r="CT60">
        <f t="shared" si="17"/>
        <v>1.7840000000000002E-2</v>
      </c>
      <c r="CU60">
        <f t="shared" si="17"/>
        <v>1.2829999999999999E-2</v>
      </c>
      <c r="CV60">
        <f t="shared" si="17"/>
        <v>-9.1399999999999988E-3</v>
      </c>
      <c r="CW60">
        <f t="shared" si="17"/>
        <v>1.3989999999999999E-2</v>
      </c>
      <c r="CX60">
        <f t="shared" si="17"/>
        <v>1.2920000000000001E-2</v>
      </c>
    </row>
    <row r="61" spans="1:102" x14ac:dyDescent="0.2">
      <c r="A61" t="s">
        <v>214</v>
      </c>
      <c r="B61" t="s">
        <v>220</v>
      </c>
      <c r="C61" t="s">
        <v>221</v>
      </c>
      <c r="D61">
        <f t="shared" ref="D61:BO61" si="18">D44+D52</f>
        <v>4.8600000000000004E-2</v>
      </c>
      <c r="E61">
        <f t="shared" si="18"/>
        <v>5.8800000000000005E-2</v>
      </c>
      <c r="F61">
        <f t="shared" si="18"/>
        <v>3.8899999999999997E-2</v>
      </c>
      <c r="G61">
        <f t="shared" si="18"/>
        <v>2.5599999999999998E-2</v>
      </c>
      <c r="H61">
        <f t="shared" si="18"/>
        <v>5.0299999999999997E-2</v>
      </c>
      <c r="I61">
        <f t="shared" si="18"/>
        <v>4.5399999999999996E-2</v>
      </c>
      <c r="J61">
        <f t="shared" si="18"/>
        <v>3.7170000000000002E-2</v>
      </c>
      <c r="K61">
        <f t="shared" si="18"/>
        <v>3.0859999999999999E-2</v>
      </c>
      <c r="L61">
        <f t="shared" si="18"/>
        <v>2.5729999999999999E-2</v>
      </c>
      <c r="M61">
        <f t="shared" si="18"/>
        <v>2.2289999999999997E-2</v>
      </c>
      <c r="N61">
        <f t="shared" si="18"/>
        <v>1.7160000000000002E-2</v>
      </c>
      <c r="O61">
        <f t="shared" si="18"/>
        <v>5.5099999999999993E-3</v>
      </c>
      <c r="P61">
        <f t="shared" si="18"/>
        <v>1.958E-2</v>
      </c>
      <c r="Q61">
        <f t="shared" si="18"/>
        <v>4.7299999999999998E-3</v>
      </c>
      <c r="R61">
        <f t="shared" si="18"/>
        <v>6.4999999999999997E-4</v>
      </c>
      <c r="S61">
        <f t="shared" si="18"/>
        <v>3.1549999999999998E-3</v>
      </c>
      <c r="T61">
        <f t="shared" si="18"/>
        <v>1.3100000000000002E-3</v>
      </c>
      <c r="U61">
        <f t="shared" si="18"/>
        <v>4.8199999999999996E-3</v>
      </c>
      <c r="V61">
        <f t="shared" si="18"/>
        <v>6.3999999999999994E-4</v>
      </c>
      <c r="W61">
        <f t="shared" si="18"/>
        <v>-7.499999999999998E-4</v>
      </c>
      <c r="X61">
        <f t="shared" si="18"/>
        <v>-8.1999999999999998E-4</v>
      </c>
      <c r="Y61">
        <f t="shared" si="18"/>
        <v>-2.2799999999999999E-3</v>
      </c>
      <c r="Z61">
        <f t="shared" si="18"/>
        <v>-4.8999999999999998E-3</v>
      </c>
      <c r="AA61">
        <f t="shared" si="18"/>
        <v>-5.9099999999999995E-3</v>
      </c>
      <c r="AB61">
        <f t="shared" si="18"/>
        <v>4.9700000000000005E-3</v>
      </c>
      <c r="AC61">
        <f t="shared" si="18"/>
        <v>-5.8999999999999981E-4</v>
      </c>
      <c r="AD61">
        <f t="shared" si="18"/>
        <v>-7.3000000000000018E-4</v>
      </c>
      <c r="AE61">
        <f t="shared" si="18"/>
        <v>-2.7000000000000006E-3</v>
      </c>
      <c r="AF61">
        <f t="shared" si="18"/>
        <v>7.3600000000000002E-3</v>
      </c>
      <c r="AG61">
        <f t="shared" si="18"/>
        <v>1.75E-3</v>
      </c>
      <c r="AH61">
        <f t="shared" si="18"/>
        <v>3.0799999999999998E-3</v>
      </c>
      <c r="AI61">
        <f t="shared" si="18"/>
        <v>2.7140000000000003E-3</v>
      </c>
      <c r="AJ61">
        <f t="shared" si="18"/>
        <v>3.9779999999999998E-3</v>
      </c>
      <c r="AK61">
        <f t="shared" si="18"/>
        <v>3.9034E-3</v>
      </c>
      <c r="AL61">
        <f t="shared" si="18"/>
        <v>4.1529999999999996E-3</v>
      </c>
      <c r="AM61">
        <f t="shared" si="18"/>
        <v>-1.9999999999999966E-4</v>
      </c>
      <c r="AN61">
        <f t="shared" si="18"/>
        <v>1.7799999999999999E-3</v>
      </c>
      <c r="AO61">
        <f t="shared" si="18"/>
        <v>-6.1999999999999989E-4</v>
      </c>
      <c r="AP61">
        <f t="shared" si="18"/>
        <v>7.4799999999999997E-3</v>
      </c>
      <c r="AQ61">
        <f t="shared" si="18"/>
        <v>3.9770000000000005E-3</v>
      </c>
      <c r="AR61">
        <f t="shared" si="18"/>
        <v>1.026E-2</v>
      </c>
      <c r="AS61">
        <f t="shared" si="18"/>
        <v>-2.5999999999999981E-4</v>
      </c>
      <c r="AT61">
        <f t="shared" si="18"/>
        <v>1.0999999999999985E-4</v>
      </c>
      <c r="AU61">
        <f t="shared" si="18"/>
        <v>-6.6E-4</v>
      </c>
      <c r="AV61">
        <f t="shared" si="18"/>
        <v>9.6800000000000011E-3</v>
      </c>
      <c r="AW61">
        <f t="shared" si="18"/>
        <v>3.96E-3</v>
      </c>
      <c r="AX61">
        <f t="shared" si="18"/>
        <v>6.7099999999999998E-3</v>
      </c>
      <c r="AY61">
        <f t="shared" si="18"/>
        <v>3.8159999999999999E-3</v>
      </c>
      <c r="AZ61">
        <f t="shared" si="18"/>
        <v>5.8099999999999992E-3</v>
      </c>
      <c r="BA61">
        <f t="shared" si="18"/>
        <v>5.3600000000000002E-3</v>
      </c>
      <c r="BB61">
        <f t="shared" si="18"/>
        <v>4.8400000000000006E-3</v>
      </c>
      <c r="BC61">
        <f t="shared" si="18"/>
        <v>2.5839999999999999E-3</v>
      </c>
      <c r="BD61">
        <f t="shared" si="18"/>
        <v>3.5950000000000001E-3</v>
      </c>
      <c r="BE61">
        <f t="shared" si="18"/>
        <v>-1.2399999999999998E-3</v>
      </c>
      <c r="BF61">
        <f t="shared" si="18"/>
        <v>6.4700000000000001E-3</v>
      </c>
      <c r="BG61">
        <f t="shared" si="18"/>
        <v>3.3249999999999998E-3</v>
      </c>
      <c r="BH61">
        <f t="shared" si="18"/>
        <v>6.5400000000000007E-3</v>
      </c>
      <c r="BI61">
        <f t="shared" si="18"/>
        <v>5.2500000000000003E-3</v>
      </c>
      <c r="BJ61">
        <f t="shared" si="18"/>
        <v>9.1400000000000006E-3</v>
      </c>
      <c r="BK61">
        <f t="shared" si="18"/>
        <v>3.5699999999999998E-3</v>
      </c>
      <c r="BL61">
        <f t="shared" si="18"/>
        <v>5.6100000000000004E-3</v>
      </c>
      <c r="BM61">
        <f t="shared" si="18"/>
        <v>3.6850000000000003E-3</v>
      </c>
      <c r="BN61">
        <f t="shared" si="18"/>
        <v>4.4200000000000003E-3</v>
      </c>
      <c r="BO61">
        <f t="shared" si="18"/>
        <v>4.9700000000000005E-3</v>
      </c>
      <c r="BP61">
        <f t="shared" ref="BP61:CX61" si="19">BP44+BP52</f>
        <v>6.1500000000000001E-3</v>
      </c>
      <c r="BQ61">
        <f t="shared" si="19"/>
        <v>-1.82E-3</v>
      </c>
      <c r="BR61">
        <f t="shared" si="19"/>
        <v>-7.6E-3</v>
      </c>
      <c r="BS61">
        <f t="shared" si="19"/>
        <v>2.8640000000000002E-3</v>
      </c>
      <c r="BT61">
        <f t="shared" si="19"/>
        <v>4.6999999999999993E-3</v>
      </c>
      <c r="BU61">
        <f t="shared" si="19"/>
        <v>8.6700000000000006E-3</v>
      </c>
      <c r="BV61">
        <f t="shared" si="19"/>
        <v>5.7599999999999995E-3</v>
      </c>
      <c r="BW61">
        <f t="shared" si="19"/>
        <v>7.5199999999999998E-3</v>
      </c>
      <c r="BX61">
        <f t="shared" si="19"/>
        <v>8.9800000000000001E-3</v>
      </c>
      <c r="BY61">
        <f t="shared" si="19"/>
        <v>8.3000000000000001E-3</v>
      </c>
      <c r="BZ61">
        <f t="shared" si="19"/>
        <v>2.1199999999999999E-3</v>
      </c>
      <c r="CA61">
        <f t="shared" si="19"/>
        <v>1.0109999999999999E-2</v>
      </c>
      <c r="CB61">
        <f t="shared" si="19"/>
        <v>-1.5700000000000002E-3</v>
      </c>
      <c r="CC61">
        <f t="shared" si="19"/>
        <v>-4.0300000000000006E-3</v>
      </c>
      <c r="CD61">
        <f t="shared" si="19"/>
        <v>1.189E-2</v>
      </c>
      <c r="CE61">
        <f t="shared" si="19"/>
        <v>1.5300000000000001E-2</v>
      </c>
      <c r="CF61">
        <f t="shared" si="19"/>
        <v>1.4E-3</v>
      </c>
      <c r="CG61">
        <f t="shared" si="19"/>
        <v>1.3130000000000001E-2</v>
      </c>
      <c r="CH61">
        <f t="shared" si="19"/>
        <v>5.6899999999999997E-3</v>
      </c>
      <c r="CI61">
        <f t="shared" si="19"/>
        <v>1.451E-2</v>
      </c>
      <c r="CJ61">
        <f t="shared" si="19"/>
        <v>1.149E-2</v>
      </c>
      <c r="CK61">
        <f t="shared" si="19"/>
        <v>1.257E-2</v>
      </c>
      <c r="CL61">
        <f t="shared" si="19"/>
        <v>2.9769999999999996E-3</v>
      </c>
      <c r="CM61">
        <f t="shared" si="19"/>
        <v>1.882E-2</v>
      </c>
      <c r="CN61">
        <f t="shared" si="19"/>
        <v>1.251E-2</v>
      </c>
      <c r="CO61">
        <f t="shared" si="19"/>
        <v>1.6970000000000002E-2</v>
      </c>
      <c r="CP61">
        <f t="shared" si="19"/>
        <v>1.1242E-2</v>
      </c>
      <c r="CQ61">
        <f t="shared" si="19"/>
        <v>2.1231999999999997E-2</v>
      </c>
      <c r="CR61">
        <f t="shared" si="19"/>
        <v>1.7437999999999999E-2</v>
      </c>
      <c r="CS61">
        <f t="shared" si="19"/>
        <v>1.2718E-2</v>
      </c>
      <c r="CT61">
        <f t="shared" si="19"/>
        <v>2.9869999999999997E-2</v>
      </c>
      <c r="CU61">
        <f t="shared" si="19"/>
        <v>3.8495999999999996E-2</v>
      </c>
      <c r="CV61">
        <f t="shared" si="19"/>
        <v>3.1474799999999997E-2</v>
      </c>
      <c r="CW61">
        <f t="shared" si="19"/>
        <v>3.8966000000000001E-2</v>
      </c>
      <c r="CX61">
        <f t="shared" si="19"/>
        <v>2.8923400000000002E-2</v>
      </c>
    </row>
    <row r="62" spans="1:102" x14ac:dyDescent="0.2">
      <c r="A62" t="s">
        <v>215</v>
      </c>
      <c r="B62" t="s">
        <v>220</v>
      </c>
      <c r="C62" t="s">
        <v>221</v>
      </c>
      <c r="D62">
        <f t="shared" ref="D62:BO62" si="20">D45+D53</f>
        <v>-2.9399999999999999E-3</v>
      </c>
      <c r="E62">
        <f t="shared" si="20"/>
        <v>-0.1013</v>
      </c>
      <c r="F62">
        <f t="shared" si="20"/>
        <v>-5.5470000000000005E-2</v>
      </c>
      <c r="G62">
        <f t="shared" si="20"/>
        <v>-1.8330000000000003E-2</v>
      </c>
      <c r="H62">
        <f t="shared" si="20"/>
        <v>3.746E-2</v>
      </c>
      <c r="I62">
        <f t="shared" si="20"/>
        <v>4.7670000000000004E-2</v>
      </c>
      <c r="J62">
        <f t="shared" si="20"/>
        <v>4.4979999999999999E-2</v>
      </c>
      <c r="K62">
        <f t="shared" si="20"/>
        <v>1.6119999999999999E-2</v>
      </c>
      <c r="L62">
        <f t="shared" si="20"/>
        <v>1.704E-2</v>
      </c>
      <c r="M62">
        <f t="shared" si="20"/>
        <v>1.324E-2</v>
      </c>
      <c r="N62">
        <f t="shared" si="20"/>
        <v>2.7909999999999997E-2</v>
      </c>
      <c r="O62">
        <f t="shared" si="20"/>
        <v>1.6109999999999999E-2</v>
      </c>
      <c r="P62">
        <f t="shared" si="20"/>
        <v>2.4681999999999999E-2</v>
      </c>
      <c r="Q62">
        <f t="shared" si="20"/>
        <v>2.0702999999999999E-2</v>
      </c>
      <c r="R62">
        <f t="shared" si="20"/>
        <v>2.25302E-2</v>
      </c>
      <c r="S62">
        <f t="shared" si="20"/>
        <v>1.9465E-2</v>
      </c>
      <c r="T62">
        <f t="shared" si="20"/>
        <v>1.95712E-2</v>
      </c>
      <c r="U62">
        <f t="shared" si="20"/>
        <v>1.6771999999999999E-2</v>
      </c>
      <c r="V62">
        <f t="shared" si="20"/>
        <v>1.8374000000000001E-2</v>
      </c>
      <c r="W62">
        <f t="shared" si="20"/>
        <v>1.7408E-2</v>
      </c>
      <c r="X62">
        <f t="shared" si="20"/>
        <v>1.2947E-2</v>
      </c>
      <c r="Y62">
        <f t="shared" si="20"/>
        <v>1.3004999999999999E-2</v>
      </c>
      <c r="Z62">
        <f t="shared" si="20"/>
        <v>1.2416E-2</v>
      </c>
      <c r="AA62">
        <f t="shared" si="20"/>
        <v>1.18986E-2</v>
      </c>
      <c r="AB62">
        <f t="shared" si="20"/>
        <v>1.3436E-2</v>
      </c>
      <c r="AC62">
        <f t="shared" si="20"/>
        <v>1.3209E-2</v>
      </c>
      <c r="AD62">
        <f t="shared" si="20"/>
        <v>1.4581999999999999E-2</v>
      </c>
      <c r="AE62">
        <f t="shared" si="20"/>
        <v>1.4509000000000001E-2</v>
      </c>
      <c r="AF62">
        <f t="shared" si="20"/>
        <v>1.3898000000000001E-2</v>
      </c>
      <c r="AG62">
        <f t="shared" si="20"/>
        <v>1.4476000000000001E-2</v>
      </c>
      <c r="AH62">
        <f t="shared" si="20"/>
        <v>1.7697999999999998E-2</v>
      </c>
      <c r="AI62">
        <f t="shared" si="20"/>
        <v>1.8068000000000001E-2</v>
      </c>
      <c r="AJ62">
        <f t="shared" si="20"/>
        <v>1.2588999999999999E-2</v>
      </c>
      <c r="AK62">
        <f t="shared" si="20"/>
        <v>1.6658999999999999E-3</v>
      </c>
      <c r="AL62">
        <f t="shared" si="20"/>
        <v>3.5054000000000001E-3</v>
      </c>
      <c r="AM62">
        <f t="shared" si="20"/>
        <v>3.509E-3</v>
      </c>
      <c r="AN62">
        <f t="shared" si="20"/>
        <v>3.1349999999999998E-3</v>
      </c>
      <c r="AO62">
        <f t="shared" si="20"/>
        <v>5.1350000000000007E-3</v>
      </c>
      <c r="AP62">
        <f t="shared" si="20"/>
        <v>-2.869E-3</v>
      </c>
      <c r="AQ62">
        <f t="shared" si="20"/>
        <v>-1.5760000000000001E-3</v>
      </c>
      <c r="AR62">
        <f t="shared" si="20"/>
        <v>2.2309999999999999E-3</v>
      </c>
      <c r="AS62">
        <f t="shared" si="20"/>
        <v>2.9159999999999998E-3</v>
      </c>
      <c r="AT62">
        <f t="shared" si="20"/>
        <v>3.2199999999999998E-3</v>
      </c>
      <c r="AU62">
        <f t="shared" si="20"/>
        <v>3.79E-3</v>
      </c>
      <c r="AV62">
        <f t="shared" si="20"/>
        <v>6.6530000000000001E-3</v>
      </c>
      <c r="AW62">
        <f t="shared" si="20"/>
        <v>6.9899999999999997E-3</v>
      </c>
      <c r="AX62">
        <f t="shared" si="20"/>
        <v>6.7019999999999996E-3</v>
      </c>
      <c r="AY62">
        <f t="shared" si="20"/>
        <v>6.8059999999999996E-3</v>
      </c>
      <c r="AZ62">
        <f t="shared" si="20"/>
        <v>9.3170000000000006E-3</v>
      </c>
      <c r="BA62">
        <f t="shared" si="20"/>
        <v>1.2758E-2</v>
      </c>
      <c r="BB62">
        <f t="shared" si="20"/>
        <v>1.1779299999999999E-2</v>
      </c>
      <c r="BC62">
        <f t="shared" si="20"/>
        <v>1.2882999999999999E-2</v>
      </c>
      <c r="BD62">
        <f t="shared" si="20"/>
        <v>1.6667999999999999E-2</v>
      </c>
      <c r="BE62">
        <f t="shared" si="20"/>
        <v>1.4288E-2</v>
      </c>
      <c r="BF62">
        <f t="shared" si="20"/>
        <v>1.7471E-2</v>
      </c>
      <c r="BG62">
        <f t="shared" si="20"/>
        <v>1.9361999999999997E-2</v>
      </c>
      <c r="BH62">
        <f t="shared" si="20"/>
        <v>2.1956E-2</v>
      </c>
      <c r="BI62">
        <f t="shared" si="20"/>
        <v>-9.5130000000000006E-3</v>
      </c>
      <c r="BJ62">
        <f t="shared" si="20"/>
        <v>-1.5446E-2</v>
      </c>
      <c r="BK62">
        <f t="shared" si="20"/>
        <v>-1.4705000000000001E-2</v>
      </c>
      <c r="BL62">
        <f t="shared" si="20"/>
        <v>-1.1906999999999999E-2</v>
      </c>
      <c r="BM62">
        <f t="shared" si="20"/>
        <v>-2.0881999999999998E-2</v>
      </c>
      <c r="BN62">
        <f t="shared" si="20"/>
        <v>-2.3999000000000003E-2</v>
      </c>
      <c r="BO62">
        <f t="shared" si="20"/>
        <v>-2.4089000000000003E-2</v>
      </c>
      <c r="BP62">
        <f t="shared" ref="BP62:CX62" si="21">BP45+BP53</f>
        <v>-2.0385999999999998E-2</v>
      </c>
      <c r="BQ62">
        <f t="shared" si="21"/>
        <v>-2.0197E-2</v>
      </c>
      <c r="BR62">
        <f t="shared" si="21"/>
        <v>-1.9259999999999999E-2</v>
      </c>
      <c r="BS62">
        <f t="shared" si="21"/>
        <v>-1.436E-2</v>
      </c>
      <c r="BT62">
        <f t="shared" si="21"/>
        <v>-1.6448999999999998E-2</v>
      </c>
      <c r="BU62">
        <f t="shared" si="21"/>
        <v>-1.609E-2</v>
      </c>
      <c r="BV62">
        <f t="shared" si="21"/>
        <v>-1.7787000000000001E-2</v>
      </c>
      <c r="BW62">
        <f t="shared" si="21"/>
        <v>-2.0184000000000001E-2</v>
      </c>
      <c r="BX62">
        <f t="shared" si="21"/>
        <v>-2.1301E-2</v>
      </c>
      <c r="BY62">
        <f t="shared" si="21"/>
        <v>-1.9985999999999997E-2</v>
      </c>
      <c r="BZ62">
        <f t="shared" si="21"/>
        <v>-1.7339999999999998E-2</v>
      </c>
      <c r="CA62">
        <f t="shared" si="21"/>
        <v>-2.385E-3</v>
      </c>
      <c r="CB62">
        <f t="shared" si="21"/>
        <v>7.2290000000000006E-4</v>
      </c>
      <c r="CC62">
        <f t="shared" si="21"/>
        <v>2.3890000000000001E-3</v>
      </c>
      <c r="CD62">
        <f t="shared" si="21"/>
        <v>-5.0089999999999996E-3</v>
      </c>
      <c r="CE62">
        <f t="shared" si="21"/>
        <v>-3.9109999999999995E-3</v>
      </c>
      <c r="CF62">
        <f t="shared" si="21"/>
        <v>-1.8739999999999998E-3</v>
      </c>
      <c r="CG62">
        <f t="shared" si="21"/>
        <v>-1.6970000000000002E-3</v>
      </c>
      <c r="CH62">
        <f t="shared" si="21"/>
        <v>6.0480000000000006E-4</v>
      </c>
      <c r="CI62">
        <f t="shared" si="21"/>
        <v>3.1099999999999999E-3</v>
      </c>
      <c r="CJ62">
        <f t="shared" si="21"/>
        <v>-1.5636999999999998E-2</v>
      </c>
      <c r="CK62">
        <f t="shared" si="21"/>
        <v>-9.5200000000000007E-3</v>
      </c>
      <c r="CL62">
        <f t="shared" si="21"/>
        <v>-4.7499999999999999E-3</v>
      </c>
      <c r="CM62">
        <f t="shared" si="21"/>
        <v>-3.8199999999999996E-3</v>
      </c>
      <c r="CN62">
        <f t="shared" si="21"/>
        <v>-3.0649000000000002E-3</v>
      </c>
      <c r="CO62">
        <f t="shared" si="21"/>
        <v>1.7300000000000002E-3</v>
      </c>
      <c r="CP62">
        <f t="shared" si="21"/>
        <v>2.7199999999999993E-3</v>
      </c>
      <c r="CQ62">
        <f t="shared" si="21"/>
        <v>5.4000000000000003E-3</v>
      </c>
      <c r="CR62">
        <f t="shared" si="21"/>
        <v>1.1300000000000001E-2</v>
      </c>
      <c r="CS62">
        <f t="shared" si="21"/>
        <v>1.2369999999999999E-2</v>
      </c>
      <c r="CT62">
        <f t="shared" si="21"/>
        <v>-8.0960000000000004E-2</v>
      </c>
      <c r="CU62">
        <f t="shared" si="21"/>
        <v>-8.8099999999999998E-2</v>
      </c>
      <c r="CV62">
        <f t="shared" si="21"/>
        <v>-7.4910000000000004E-2</v>
      </c>
      <c r="CW62">
        <f t="shared" si="21"/>
        <v>-8.3940000000000001E-2</v>
      </c>
      <c r="CX62">
        <f t="shared" si="21"/>
        <v>-8.2799999999999999E-2</v>
      </c>
    </row>
    <row r="63" spans="1:102" x14ac:dyDescent="0.2">
      <c r="A63" t="s">
        <v>216</v>
      </c>
      <c r="B63" t="s">
        <v>220</v>
      </c>
      <c r="C63" t="s">
        <v>221</v>
      </c>
      <c r="D63">
        <f>D54</f>
        <v>0.45200000000000001</v>
      </c>
      <c r="E63">
        <f t="shared" ref="E63:BP63" si="22">E54</f>
        <v>-0.14199999999999999</v>
      </c>
      <c r="F63">
        <f t="shared" si="22"/>
        <v>-0.92800000000000005</v>
      </c>
      <c r="G63">
        <f t="shared" si="22"/>
        <v>3.7900000000000003E-2</v>
      </c>
      <c r="H63">
        <f t="shared" si="22"/>
        <v>-1.458</v>
      </c>
      <c r="I63">
        <f t="shared" si="22"/>
        <v>-0.435</v>
      </c>
      <c r="J63">
        <f t="shared" si="22"/>
        <v>-0.97</v>
      </c>
      <c r="K63">
        <f t="shared" si="22"/>
        <v>-0.75600000000000001</v>
      </c>
      <c r="L63">
        <f t="shared" si="22"/>
        <v>-0.53400000000000003</v>
      </c>
      <c r="M63">
        <f t="shared" si="22"/>
        <v>-0.97699999999999998</v>
      </c>
      <c r="N63">
        <f t="shared" si="22"/>
        <v>-1.0129999999999999</v>
      </c>
      <c r="O63">
        <f t="shared" si="22"/>
        <v>-0.53200000000000003</v>
      </c>
      <c r="P63">
        <f t="shared" si="22"/>
        <v>-0.71199999999999997</v>
      </c>
      <c r="Q63">
        <f t="shared" si="22"/>
        <v>-0.60199999999999998</v>
      </c>
      <c r="R63">
        <f t="shared" si="22"/>
        <v>-0.46600000000000003</v>
      </c>
      <c r="S63">
        <f t="shared" si="22"/>
        <v>-0.378</v>
      </c>
      <c r="T63">
        <f t="shared" si="22"/>
        <v>-0.26500000000000001</v>
      </c>
      <c r="U63">
        <f t="shared" si="22"/>
        <v>-0.222</v>
      </c>
      <c r="V63">
        <f t="shared" si="22"/>
        <v>-0.124</v>
      </c>
      <c r="W63">
        <f t="shared" si="22"/>
        <v>-0.115</v>
      </c>
      <c r="X63">
        <f t="shared" si="22"/>
        <v>-0.13200000000000001</v>
      </c>
      <c r="Y63">
        <f t="shared" si="22"/>
        <v>-6.0299999999999999E-2</v>
      </c>
      <c r="Z63">
        <f t="shared" si="22"/>
        <v>-9.2499999999999999E-2</v>
      </c>
      <c r="AA63">
        <f t="shared" si="22"/>
        <v>-0.13700000000000001</v>
      </c>
      <c r="AB63">
        <f t="shared" si="22"/>
        <v>-0.14899999999999999</v>
      </c>
      <c r="AC63">
        <f t="shared" si="22"/>
        <v>-0.13400000000000001</v>
      </c>
      <c r="AD63">
        <f t="shared" si="22"/>
        <v>-0.111</v>
      </c>
      <c r="AE63">
        <f t="shared" si="22"/>
        <v>-0.115</v>
      </c>
      <c r="AF63">
        <f t="shared" si="22"/>
        <v>-0.109</v>
      </c>
      <c r="AG63">
        <f t="shared" si="22"/>
        <v>-9.98E-2</v>
      </c>
      <c r="AH63">
        <f t="shared" si="22"/>
        <v>-0.122</v>
      </c>
      <c r="AI63">
        <f t="shared" si="22"/>
        <v>-0.123</v>
      </c>
      <c r="AJ63">
        <f t="shared" si="22"/>
        <v>-0.12</v>
      </c>
      <c r="AK63">
        <f t="shared" si="22"/>
        <v>-0.111</v>
      </c>
      <c r="AL63">
        <f t="shared" si="22"/>
        <v>-0.11600000000000001</v>
      </c>
      <c r="AM63">
        <f t="shared" si="22"/>
        <v>-0.111</v>
      </c>
      <c r="AN63">
        <f t="shared" si="22"/>
        <v>-0.11</v>
      </c>
      <c r="AO63">
        <f t="shared" si="22"/>
        <v>-0.124</v>
      </c>
      <c r="AP63">
        <f t="shared" si="22"/>
        <v>-0.185</v>
      </c>
      <c r="AQ63">
        <f t="shared" si="22"/>
        <v>-0.217</v>
      </c>
      <c r="AR63">
        <f t="shared" si="22"/>
        <v>-0.219</v>
      </c>
      <c r="AS63">
        <f t="shared" si="22"/>
        <v>-0.184</v>
      </c>
      <c r="AT63">
        <f t="shared" si="22"/>
        <v>-0.16600000000000001</v>
      </c>
      <c r="AU63">
        <f t="shared" si="22"/>
        <v>-0.155</v>
      </c>
      <c r="AV63">
        <f t="shared" si="22"/>
        <v>-0.14599999999999999</v>
      </c>
      <c r="AW63">
        <f t="shared" si="22"/>
        <v>-0.114</v>
      </c>
      <c r="AX63">
        <f t="shared" si="22"/>
        <v>-9.4399999999999998E-2</v>
      </c>
      <c r="AY63">
        <f t="shared" si="22"/>
        <v>-6.7699999999999996E-2</v>
      </c>
      <c r="AZ63">
        <f t="shared" si="22"/>
        <v>-7.0400000000000004E-2</v>
      </c>
      <c r="BA63">
        <f t="shared" si="22"/>
        <v>-4.6600000000000003E-2</v>
      </c>
      <c r="BB63">
        <f t="shared" si="22"/>
        <v>-7.6300000000000007E-2</v>
      </c>
      <c r="BC63">
        <f t="shared" si="22"/>
        <v>-0.106</v>
      </c>
      <c r="BD63">
        <f t="shared" si="22"/>
        <v>-0.128</v>
      </c>
      <c r="BE63">
        <f t="shared" si="22"/>
        <v>-0.128</v>
      </c>
      <c r="BF63">
        <f t="shared" si="22"/>
        <v>-0.128</v>
      </c>
      <c r="BG63">
        <f t="shared" si="22"/>
        <v>-0.17199999999999999</v>
      </c>
      <c r="BH63">
        <f t="shared" si="22"/>
        <v>-0.19</v>
      </c>
      <c r="BI63">
        <f t="shared" si="22"/>
        <v>-0.158</v>
      </c>
      <c r="BJ63">
        <f t="shared" si="22"/>
        <v>-0.158</v>
      </c>
      <c r="BK63">
        <f t="shared" si="22"/>
        <v>-0.153</v>
      </c>
      <c r="BL63">
        <f t="shared" si="22"/>
        <v>-0.128</v>
      </c>
      <c r="BM63">
        <f t="shared" si="22"/>
        <v>-0.11700000000000001</v>
      </c>
      <c r="BN63">
        <f t="shared" si="22"/>
        <v>-9.7799999999999998E-2</v>
      </c>
      <c r="BO63">
        <f t="shared" si="22"/>
        <v>-5.7000000000000002E-2</v>
      </c>
      <c r="BP63">
        <f t="shared" si="22"/>
        <v>-4.7600000000000003E-3</v>
      </c>
      <c r="BQ63">
        <f t="shared" ref="BQ63:CX63" si="23">BQ54</f>
        <v>1.3500000000000001E-3</v>
      </c>
      <c r="BR63">
        <f t="shared" si="23"/>
        <v>-1.17E-2</v>
      </c>
      <c r="BS63">
        <f t="shared" si="23"/>
        <v>-1.18E-2</v>
      </c>
      <c r="BT63">
        <f t="shared" si="23"/>
        <v>1.3899999999999999E-2</v>
      </c>
      <c r="BU63">
        <f t="shared" si="23"/>
        <v>-9.0299999999999998E-3</v>
      </c>
      <c r="BV63">
        <f t="shared" si="23"/>
        <v>-0.16400000000000001</v>
      </c>
      <c r="BW63">
        <f t="shared" si="23"/>
        <v>-0.20799999999999999</v>
      </c>
      <c r="BX63">
        <f t="shared" si="23"/>
        <v>-0.183</v>
      </c>
      <c r="BY63">
        <f t="shared" si="23"/>
        <v>-0.14699999999999999</v>
      </c>
      <c r="BZ63">
        <f t="shared" si="23"/>
        <v>-0.20499999999999999</v>
      </c>
      <c r="CA63">
        <f t="shared" si="23"/>
        <v>-0.25</v>
      </c>
      <c r="CB63">
        <f t="shared" si="23"/>
        <v>-0.221</v>
      </c>
      <c r="CC63">
        <f t="shared" si="23"/>
        <v>-0.21299999999999999</v>
      </c>
      <c r="CD63">
        <f t="shared" si="23"/>
        <v>-0.106</v>
      </c>
      <c r="CE63">
        <f t="shared" si="23"/>
        <v>0.13700000000000001</v>
      </c>
      <c r="CF63">
        <f t="shared" si="23"/>
        <v>0.20699999999999999</v>
      </c>
      <c r="CG63">
        <f t="shared" si="23"/>
        <v>0.124</v>
      </c>
      <c r="CH63">
        <f t="shared" si="23"/>
        <v>-2.63E-2</v>
      </c>
      <c r="CI63">
        <f t="shared" si="23"/>
        <v>-0.16500000000000001</v>
      </c>
      <c r="CJ63">
        <f t="shared" si="23"/>
        <v>-0.157</v>
      </c>
      <c r="CK63">
        <f t="shared" si="23"/>
        <v>-7.6499999999999999E-2</v>
      </c>
      <c r="CL63">
        <f t="shared" si="23"/>
        <v>2.6499999999999999E-2</v>
      </c>
      <c r="CM63">
        <f t="shared" si="23"/>
        <v>5.6000000000000001E-2</v>
      </c>
      <c r="CN63">
        <f t="shared" si="23"/>
        <v>8.1500000000000003E-2</v>
      </c>
      <c r="CO63">
        <f t="shared" si="23"/>
        <v>0.11</v>
      </c>
      <c r="CP63">
        <f t="shared" si="23"/>
        <v>2.4099999999999998E-3</v>
      </c>
      <c r="CQ63">
        <f t="shared" si="23"/>
        <v>-3.1700000000000001E-3</v>
      </c>
      <c r="CR63">
        <f t="shared" si="23"/>
        <v>-6.5500000000000003E-2</v>
      </c>
      <c r="CS63">
        <f t="shared" si="23"/>
        <v>-0.20899999999999999</v>
      </c>
      <c r="CT63">
        <f t="shared" si="23"/>
        <v>4.1000000000000002E-2</v>
      </c>
      <c r="CU63">
        <f t="shared" si="23"/>
        <v>0.14000000000000001</v>
      </c>
      <c r="CV63">
        <f t="shared" si="23"/>
        <v>0.24399999999999999</v>
      </c>
      <c r="CW63">
        <f t="shared" si="23"/>
        <v>2.87E-2</v>
      </c>
      <c r="CX63">
        <f t="shared" si="23"/>
        <v>0.14299999999999999</v>
      </c>
    </row>
    <row r="64" spans="1:102" x14ac:dyDescent="0.2">
      <c r="A64" t="s">
        <v>203</v>
      </c>
      <c r="B64" t="s">
        <v>217</v>
      </c>
      <c r="C64" t="s">
        <v>222</v>
      </c>
      <c r="D64">
        <f>'2012_2020'!B2</f>
        <v>0.19</v>
      </c>
      <c r="E64">
        <f>'2012_2020'!C2</f>
        <v>0.48399999999999999</v>
      </c>
      <c r="F64">
        <f>'2012_2020'!D2</f>
        <v>0.70499999999999996</v>
      </c>
      <c r="G64">
        <f>'2012_2020'!E2</f>
        <v>0.88800000000000001</v>
      </c>
      <c r="H64">
        <f>'2012_2020'!F2</f>
        <v>0.997</v>
      </c>
      <c r="I64">
        <f>'2012_2020'!G2</f>
        <v>1.111</v>
      </c>
      <c r="J64">
        <f>'2012_2020'!H2</f>
        <v>1.1970000000000001</v>
      </c>
      <c r="K64">
        <f>'2012_2020'!I2</f>
        <v>1.292</v>
      </c>
      <c r="L64">
        <f>'2012_2020'!J2</f>
        <v>1.3879999999999999</v>
      </c>
      <c r="M64">
        <f>'2012_2020'!K2</f>
        <v>1.4219999999999999</v>
      </c>
      <c r="N64">
        <f>'2012_2020'!L2</f>
        <v>1.492</v>
      </c>
      <c r="O64">
        <f>'2012_2020'!M2</f>
        <v>1.575</v>
      </c>
      <c r="P64">
        <f>'2012_2020'!N2</f>
        <v>1.583</v>
      </c>
      <c r="Q64">
        <f>'2012_2020'!O2</f>
        <v>1.613</v>
      </c>
      <c r="R64">
        <f>'2012_2020'!P2</f>
        <v>1.647</v>
      </c>
      <c r="S64">
        <f>'2012_2020'!Q2</f>
        <v>1.6719999999999999</v>
      </c>
      <c r="T64">
        <f>'2012_2020'!R2</f>
        <v>1.704</v>
      </c>
      <c r="U64">
        <f>'2012_2020'!S2</f>
        <v>1.718</v>
      </c>
      <c r="V64">
        <f>'2012_2020'!T2</f>
        <v>1.744</v>
      </c>
      <c r="W64">
        <f>'2012_2020'!U2</f>
        <v>1.7509999999999999</v>
      </c>
      <c r="X64">
        <f>'2012_2020'!V2</f>
        <v>1.758</v>
      </c>
      <c r="Y64">
        <f>'2012_2020'!W2</f>
        <v>1.7949999999999999</v>
      </c>
      <c r="Z64">
        <f>'2012_2020'!X2</f>
        <v>1.802</v>
      </c>
      <c r="AA64">
        <f>'2012_2020'!Y2</f>
        <v>1.8009999999999999</v>
      </c>
      <c r="AB64">
        <f>'2012_2020'!Z2</f>
        <v>1.806</v>
      </c>
      <c r="AC64">
        <f>'2012_2020'!AA2</f>
        <v>1.8109999999999999</v>
      </c>
      <c r="AD64">
        <f>'2012_2020'!AB2</f>
        <v>1.839</v>
      </c>
      <c r="AE64">
        <f>'2012_2020'!AC2</f>
        <v>1.8440000000000001</v>
      </c>
      <c r="AF64">
        <f>'2012_2020'!AD2</f>
        <v>1.8520000000000001</v>
      </c>
      <c r="AG64">
        <f>'2012_2020'!AE2</f>
        <v>1.86</v>
      </c>
      <c r="AH64">
        <f>'2012_2020'!AF2</f>
        <v>1.881</v>
      </c>
      <c r="AI64">
        <f>'2012_2020'!AG2</f>
        <v>1.889</v>
      </c>
      <c r="AJ64">
        <f>'2012_2020'!AH2</f>
        <v>1.895</v>
      </c>
      <c r="AK64">
        <f>'2012_2020'!AI2</f>
        <v>1.9119999999999999</v>
      </c>
      <c r="AL64">
        <f>'2012_2020'!AJ2</f>
        <v>1.95</v>
      </c>
      <c r="AM64">
        <f>'2012_2020'!AK2</f>
        <v>1.9690000000000001</v>
      </c>
      <c r="AN64">
        <f>'2012_2020'!AL2</f>
        <v>1.9810000000000001</v>
      </c>
      <c r="AO64">
        <f>'2012_2020'!AM2</f>
        <v>1.9830000000000001</v>
      </c>
      <c r="AP64">
        <f>'2012_2020'!AN2</f>
        <v>1.9890000000000001</v>
      </c>
      <c r="AQ64">
        <f>'2012_2020'!AO2</f>
        <v>2.008</v>
      </c>
      <c r="AR64">
        <f>'2012_2020'!AP2</f>
        <v>2.028</v>
      </c>
      <c r="AS64">
        <f>'2012_2020'!AQ2</f>
        <v>2.0470000000000002</v>
      </c>
      <c r="AT64">
        <f>'2012_2020'!AR2</f>
        <v>2.0649999999999999</v>
      </c>
      <c r="AU64">
        <f>'2012_2020'!AS2</f>
        <v>2.089</v>
      </c>
      <c r="AV64">
        <f>'2012_2020'!AT2</f>
        <v>2.0950000000000002</v>
      </c>
      <c r="AW64">
        <f>'2012_2020'!AU2</f>
        <v>2.1139999999999999</v>
      </c>
      <c r="AX64">
        <f>'2012_2020'!AV2</f>
        <v>2.1160000000000001</v>
      </c>
      <c r="AY64">
        <f>'2012_2020'!AW2</f>
        <v>2.137</v>
      </c>
      <c r="AZ64">
        <f>'2012_2020'!AX2</f>
        <v>2.1469999999999998</v>
      </c>
      <c r="BA64">
        <f>'2012_2020'!AY2</f>
        <v>2.1760000000000002</v>
      </c>
      <c r="BB64">
        <f>'2012_2020'!AZ2</f>
        <v>2.2029999999999998</v>
      </c>
      <c r="BC64">
        <f>'2012_2020'!BA2</f>
        <v>2.2170000000000001</v>
      </c>
      <c r="BD64">
        <f>'2012_2020'!BB2</f>
        <v>2.2090000000000001</v>
      </c>
      <c r="BE64">
        <f>'2012_2020'!BC2</f>
        <v>2.2290000000000001</v>
      </c>
      <c r="BF64">
        <f>'2012_2020'!BD2</f>
        <v>2.2679999999999998</v>
      </c>
      <c r="BG64">
        <f>'2012_2020'!BE2</f>
        <v>2.2719999999999998</v>
      </c>
      <c r="BH64">
        <f>'2012_2020'!BF2</f>
        <v>2.2919999999999998</v>
      </c>
      <c r="BI64">
        <f>'2012_2020'!BG2</f>
        <v>2.3109999999999999</v>
      </c>
      <c r="BJ64">
        <f>'2012_2020'!BH2</f>
        <v>2.3180000000000001</v>
      </c>
      <c r="BK64">
        <f>'2012_2020'!BI2</f>
        <v>2.3490000000000002</v>
      </c>
      <c r="BL64">
        <f>'2012_2020'!BJ2</f>
        <v>2.39</v>
      </c>
      <c r="BM64">
        <f>'2012_2020'!BK2</f>
        <v>2.4</v>
      </c>
      <c r="BN64">
        <f>'2012_2020'!BL2</f>
        <v>2.4020000000000001</v>
      </c>
      <c r="BO64">
        <f>'2012_2020'!BM2</f>
        <v>2.4359999999999999</v>
      </c>
      <c r="BP64">
        <f>'2012_2020'!BN2</f>
        <v>2.4929999999999999</v>
      </c>
      <c r="BQ64">
        <f>'2012_2020'!BO2</f>
        <v>2.504</v>
      </c>
      <c r="BR64">
        <f>'2012_2020'!BP2</f>
        <v>2.496</v>
      </c>
      <c r="BS64">
        <f>'2012_2020'!BQ2</f>
        <v>2.5</v>
      </c>
      <c r="BT64">
        <f>'2012_2020'!BR2</f>
        <v>2.5030000000000001</v>
      </c>
      <c r="BU64">
        <f>'2012_2020'!BS2</f>
        <v>2.5379999999999998</v>
      </c>
      <c r="BV64">
        <f>'2012_2020'!BT2</f>
        <v>2.5840000000000001</v>
      </c>
      <c r="BW64">
        <f>'2012_2020'!BU2</f>
        <v>2.621</v>
      </c>
      <c r="BX64">
        <f>'2012_2020'!BV2</f>
        <v>2.6389999999999998</v>
      </c>
      <c r="BY64">
        <f>'2012_2020'!BW2</f>
        <v>2.6789999999999998</v>
      </c>
      <c r="BZ64">
        <f>'2012_2020'!BX2</f>
        <v>2.7170000000000001</v>
      </c>
      <c r="CA64">
        <f>'2012_2020'!BY2</f>
        <v>2.7210000000000001</v>
      </c>
      <c r="CB64">
        <f>'2012_2020'!BZ2</f>
        <v>2.7759999999999998</v>
      </c>
      <c r="CC64">
        <f>'2012_2020'!CA2</f>
        <v>2.8039999999999998</v>
      </c>
      <c r="CD64">
        <f>'2012_2020'!CB2</f>
        <v>2.8290000000000002</v>
      </c>
      <c r="CE64">
        <f>'2012_2020'!CC2</f>
        <v>2.8959999999999999</v>
      </c>
      <c r="CF64">
        <f>'2012_2020'!CD2</f>
        <v>2.899</v>
      </c>
      <c r="CG64">
        <f>'2012_2020'!CE2</f>
        <v>2.91</v>
      </c>
      <c r="CH64">
        <f>'2012_2020'!CF2</f>
        <v>2.9649999999999999</v>
      </c>
      <c r="CI64">
        <f>'2012_2020'!CG2</f>
        <v>3.012</v>
      </c>
      <c r="CJ64">
        <f>'2012_2020'!CH2</f>
        <v>3.0640000000000001</v>
      </c>
      <c r="CK64">
        <f>'2012_2020'!CI2</f>
        <v>3.1339999999999999</v>
      </c>
      <c r="CL64">
        <f>'2012_2020'!CJ2</f>
        <v>3.2040000000000002</v>
      </c>
      <c r="CM64">
        <f>'2012_2020'!CK2</f>
        <v>3.198</v>
      </c>
      <c r="CN64">
        <f>'2012_2020'!CL2</f>
        <v>3.2719999999999998</v>
      </c>
      <c r="CO64">
        <f>'2012_2020'!CM2</f>
        <v>3.335</v>
      </c>
      <c r="CP64">
        <f>'2012_2020'!CN2</f>
        <v>3.4140000000000001</v>
      </c>
      <c r="CQ64">
        <f>'2012_2020'!CO2</f>
        <v>3.44</v>
      </c>
      <c r="CR64">
        <f>'2012_2020'!CP2</f>
        <v>3.5590000000000002</v>
      </c>
      <c r="CS64">
        <f>'2012_2020'!CQ2</f>
        <v>3.6520000000000001</v>
      </c>
      <c r="CT64">
        <f>'2012_2020'!CR2</f>
        <v>3.76</v>
      </c>
      <c r="CU64">
        <f>'2012_2020'!CS2</f>
        <v>3.887</v>
      </c>
      <c r="CV64">
        <f>'2012_2020'!CT2</f>
        <v>4.1040000000000001</v>
      </c>
      <c r="CW64">
        <f>'2012_2020'!CU2</f>
        <v>4.2880000000000003</v>
      </c>
      <c r="CX64">
        <f>'2012_2020'!CV2</f>
        <v>4.609</v>
      </c>
    </row>
    <row r="65" spans="1:102" x14ac:dyDescent="0.2">
      <c r="A65" t="s">
        <v>204</v>
      </c>
      <c r="B65" t="s">
        <v>217</v>
      </c>
      <c r="C65" t="s">
        <v>222</v>
      </c>
      <c r="D65">
        <f>'2012_2020'!B3</f>
        <v>-7.6999999999999999E-2</v>
      </c>
      <c r="E65">
        <f>'2012_2020'!C3</f>
        <v>0.30599999999999999</v>
      </c>
      <c r="F65">
        <f>'2012_2020'!D3</f>
        <v>0.53600000000000003</v>
      </c>
      <c r="G65">
        <f>'2012_2020'!E3</f>
        <v>0.69099999999999995</v>
      </c>
      <c r="H65">
        <f>'2012_2020'!F3</f>
        <v>0.85599999999999998</v>
      </c>
      <c r="I65">
        <f>'2012_2020'!G3</f>
        <v>0.96299999999999997</v>
      </c>
      <c r="J65">
        <f>'2012_2020'!H3</f>
        <v>1.0529999999999999</v>
      </c>
      <c r="K65">
        <f>'2012_2020'!I3</f>
        <v>1.149</v>
      </c>
      <c r="L65">
        <f>'2012_2020'!J3</f>
        <v>1.22</v>
      </c>
      <c r="M65">
        <f>'2012_2020'!K3</f>
        <v>1.3089999999999999</v>
      </c>
      <c r="N65">
        <f>'2012_2020'!L3</f>
        <v>1.34</v>
      </c>
      <c r="O65">
        <f>'2012_2020'!M3</f>
        <v>1.389</v>
      </c>
      <c r="P65">
        <f>'2012_2020'!N3</f>
        <v>1.4359999999999999</v>
      </c>
      <c r="Q65">
        <f>'2012_2020'!O3</f>
        <v>1.468</v>
      </c>
      <c r="R65">
        <f>'2012_2020'!P3</f>
        <v>1.5089999999999999</v>
      </c>
      <c r="S65">
        <f>'2012_2020'!Q3</f>
        <v>1.536</v>
      </c>
      <c r="T65">
        <f>'2012_2020'!R3</f>
        <v>1.5549999999999999</v>
      </c>
      <c r="U65">
        <f>'2012_2020'!S3</f>
        <v>1.5680000000000001</v>
      </c>
      <c r="V65">
        <f>'2012_2020'!T3</f>
        <v>1.59</v>
      </c>
      <c r="W65">
        <f>'2012_2020'!U3</f>
        <v>1.6060000000000001</v>
      </c>
      <c r="X65">
        <f>'2012_2020'!V3</f>
        <v>1.627</v>
      </c>
      <c r="Y65">
        <f>'2012_2020'!W3</f>
        <v>1.641</v>
      </c>
      <c r="Z65">
        <f>'2012_2020'!X3</f>
        <v>1.653</v>
      </c>
      <c r="AA65">
        <f>'2012_2020'!Y3</f>
        <v>1.671</v>
      </c>
      <c r="AB65">
        <f>'2012_2020'!Z3</f>
        <v>1.6850000000000001</v>
      </c>
      <c r="AC65">
        <f>'2012_2020'!AA3</f>
        <v>1.7050000000000001</v>
      </c>
      <c r="AD65">
        <f>'2012_2020'!AB3</f>
        <v>1.7210000000000001</v>
      </c>
      <c r="AE65">
        <f>'2012_2020'!AC3</f>
        <v>1.736</v>
      </c>
      <c r="AF65">
        <f>'2012_2020'!AD3</f>
        <v>1.7470000000000001</v>
      </c>
      <c r="AG65">
        <f>'2012_2020'!AE3</f>
        <v>1.756</v>
      </c>
      <c r="AH65">
        <f>'2012_2020'!AF3</f>
        <v>1.7669999999999999</v>
      </c>
      <c r="AI65">
        <f>'2012_2020'!AG3</f>
        <v>1.7769999999999999</v>
      </c>
      <c r="AJ65">
        <f>'2012_2020'!AH3</f>
        <v>1.7869999999999999</v>
      </c>
      <c r="AK65">
        <f>'2012_2020'!AI3</f>
        <v>1.81</v>
      </c>
      <c r="AL65">
        <f>'2012_2020'!AJ3</f>
        <v>1.825</v>
      </c>
      <c r="AM65">
        <f>'2012_2020'!AK3</f>
        <v>1.8380000000000001</v>
      </c>
      <c r="AN65">
        <f>'2012_2020'!AL3</f>
        <v>1.8540000000000001</v>
      </c>
      <c r="AO65">
        <f>'2012_2020'!AM3</f>
        <v>1.87</v>
      </c>
      <c r="AP65">
        <f>'2012_2020'!AN3</f>
        <v>1.8879999999999999</v>
      </c>
      <c r="AQ65">
        <f>'2012_2020'!AO3</f>
        <v>1.899</v>
      </c>
      <c r="AR65">
        <f>'2012_2020'!AP3</f>
        <v>1.9139999999999999</v>
      </c>
      <c r="AS65">
        <f>'2012_2020'!AQ3</f>
        <v>1.93</v>
      </c>
      <c r="AT65">
        <f>'2012_2020'!AR3</f>
        <v>1.952</v>
      </c>
      <c r="AU65">
        <f>'2012_2020'!AS3</f>
        <v>1.9690000000000001</v>
      </c>
      <c r="AV65">
        <f>'2012_2020'!AT3</f>
        <v>1.9930000000000001</v>
      </c>
      <c r="AW65">
        <f>'2012_2020'!AU3</f>
        <v>2.0099999999999998</v>
      </c>
      <c r="AX65">
        <f>'2012_2020'!AV3</f>
        <v>2.028</v>
      </c>
      <c r="AY65">
        <f>'2012_2020'!AW3</f>
        <v>2.0299999999999998</v>
      </c>
      <c r="AZ65">
        <f>'2012_2020'!AX3</f>
        <v>2.0390000000000001</v>
      </c>
      <c r="BA65">
        <f>'2012_2020'!AY3</f>
        <v>2.0579999999999998</v>
      </c>
      <c r="BB65">
        <f>'2012_2020'!AZ3</f>
        <v>2.0699999999999998</v>
      </c>
      <c r="BC65">
        <f>'2012_2020'!BA3</f>
        <v>2.093</v>
      </c>
      <c r="BD65">
        <f>'2012_2020'!BB3</f>
        <v>2.1179999999999999</v>
      </c>
      <c r="BE65">
        <f>'2012_2020'!BC3</f>
        <v>2.1379999999999999</v>
      </c>
      <c r="BF65">
        <f>'2012_2020'!BD3</f>
        <v>2.15</v>
      </c>
      <c r="BG65">
        <f>'2012_2020'!BE3</f>
        <v>2.17</v>
      </c>
      <c r="BH65">
        <f>'2012_2020'!BF3</f>
        <v>2.2010000000000001</v>
      </c>
      <c r="BI65">
        <f>'2012_2020'!BG3</f>
        <v>2.2240000000000002</v>
      </c>
      <c r="BJ65">
        <f>'2012_2020'!BH3</f>
        <v>2.2450000000000001</v>
      </c>
      <c r="BK65">
        <f>'2012_2020'!BI3</f>
        <v>2.246</v>
      </c>
      <c r="BL65">
        <f>'2012_2020'!BJ3</f>
        <v>2.2589999999999999</v>
      </c>
      <c r="BM65">
        <f>'2012_2020'!BK3</f>
        <v>2.2850000000000001</v>
      </c>
      <c r="BN65">
        <f>'2012_2020'!BL3</f>
        <v>2.3109999999999999</v>
      </c>
      <c r="BO65">
        <f>'2012_2020'!BM3</f>
        <v>2.3290000000000002</v>
      </c>
      <c r="BP65">
        <f>'2012_2020'!BN3</f>
        <v>2.3479999999999999</v>
      </c>
      <c r="BQ65">
        <f>'2012_2020'!BO3</f>
        <v>2.3860000000000001</v>
      </c>
      <c r="BR65">
        <f>'2012_2020'!BP3</f>
        <v>2.4140000000000001</v>
      </c>
      <c r="BS65">
        <f>'2012_2020'!BQ3</f>
        <v>2.4369999999999998</v>
      </c>
      <c r="BT65">
        <f>'2012_2020'!BR3</f>
        <v>2.4409999999999998</v>
      </c>
      <c r="BU65">
        <f>'2012_2020'!BS3</f>
        <v>2.468</v>
      </c>
      <c r="BV65">
        <f>'2012_2020'!BT3</f>
        <v>2.5030000000000001</v>
      </c>
      <c r="BW65">
        <f>'2012_2020'!BU3</f>
        <v>2.5310000000000001</v>
      </c>
      <c r="BX65">
        <f>'2012_2020'!BV3</f>
        <v>2.5499999999999998</v>
      </c>
      <c r="BY65">
        <f>'2012_2020'!BW3</f>
        <v>2.5859999999999999</v>
      </c>
      <c r="BZ65">
        <f>'2012_2020'!BX3</f>
        <v>2.6269999999999998</v>
      </c>
      <c r="CA65">
        <f>'2012_2020'!BY3</f>
        <v>2.66</v>
      </c>
      <c r="CB65">
        <f>'2012_2020'!BZ3</f>
        <v>2.6669999999999998</v>
      </c>
      <c r="CC65">
        <f>'2012_2020'!CA3</f>
        <v>2.7189999999999999</v>
      </c>
      <c r="CD65">
        <f>'2012_2020'!CB3</f>
        <v>2.7490000000000001</v>
      </c>
      <c r="CE65">
        <f>'2012_2020'!CC3</f>
        <v>2.7810000000000001</v>
      </c>
      <c r="CF65">
        <f>'2012_2020'!CD3</f>
        <v>2.8330000000000002</v>
      </c>
      <c r="CG65">
        <f>'2012_2020'!CE3</f>
        <v>2.8690000000000002</v>
      </c>
      <c r="CH65">
        <f>'2012_2020'!CF3</f>
        <v>2.9329999999999998</v>
      </c>
      <c r="CI65">
        <f>'2012_2020'!CG3</f>
        <v>2.9420000000000002</v>
      </c>
      <c r="CJ65">
        <f>'2012_2020'!CH3</f>
        <v>2.9780000000000002</v>
      </c>
      <c r="CK65">
        <f>'2012_2020'!CI3</f>
        <v>3.0419999999999998</v>
      </c>
      <c r="CL65">
        <f>'2012_2020'!CJ3</f>
        <v>3.117</v>
      </c>
      <c r="CM65">
        <f>'2012_2020'!CK3</f>
        <v>3.1720000000000002</v>
      </c>
      <c r="CN65">
        <f>'2012_2020'!CL3</f>
        <v>3.222</v>
      </c>
      <c r="CO65">
        <f>'2012_2020'!CM3</f>
        <v>3.2970000000000002</v>
      </c>
      <c r="CP65">
        <f>'2012_2020'!CN3</f>
        <v>3.3460000000000001</v>
      </c>
      <c r="CQ65">
        <f>'2012_2020'!CO3</f>
        <v>3.4289999999999998</v>
      </c>
      <c r="CR65">
        <f>'2012_2020'!CP3</f>
        <v>3.5230000000000001</v>
      </c>
      <c r="CS65">
        <f>'2012_2020'!CQ3</f>
        <v>3.6509999999999998</v>
      </c>
      <c r="CT65">
        <f>'2012_2020'!CR3</f>
        <v>3.7469999999999999</v>
      </c>
      <c r="CU65">
        <f>'2012_2020'!CS3</f>
        <v>3.8639999999999999</v>
      </c>
      <c r="CV65">
        <f>'2012_2020'!CT3</f>
        <v>4.0410000000000004</v>
      </c>
      <c r="CW65">
        <f>'2012_2020'!CU3</f>
        <v>4.2939999999999996</v>
      </c>
      <c r="CX65">
        <f>'2012_2020'!CV3</f>
        <v>4.609</v>
      </c>
    </row>
    <row r="66" spans="1:102" x14ac:dyDescent="0.2">
      <c r="A66" t="s">
        <v>205</v>
      </c>
      <c r="B66" t="s">
        <v>217</v>
      </c>
      <c r="C66" t="s">
        <v>222</v>
      </c>
      <c r="D66">
        <f>'2012_2020'!B4</f>
        <v>0.26700000000000002</v>
      </c>
      <c r="E66">
        <f>'2012_2020'!C4</f>
        <v>0.17799999999999999</v>
      </c>
      <c r="F66">
        <f>'2012_2020'!D4</f>
        <v>0.16900000000000001</v>
      </c>
      <c r="G66">
        <f>'2012_2020'!E4</f>
        <v>0.19700000000000001</v>
      </c>
      <c r="H66">
        <f>'2012_2020'!F4</f>
        <v>0.14099999999999999</v>
      </c>
      <c r="I66">
        <f>'2012_2020'!G4</f>
        <v>0.14899999999999999</v>
      </c>
      <c r="J66">
        <f>'2012_2020'!H4</f>
        <v>0.14499999999999999</v>
      </c>
      <c r="K66">
        <f>'2012_2020'!I4</f>
        <v>0.14299999999999999</v>
      </c>
      <c r="L66">
        <f>'2012_2020'!J4</f>
        <v>0.16700000000000001</v>
      </c>
      <c r="M66">
        <f>'2012_2020'!K4</f>
        <v>0.113</v>
      </c>
      <c r="N66">
        <f>'2012_2020'!L4</f>
        <v>0.152</v>
      </c>
      <c r="O66">
        <f>'2012_2020'!M4</f>
        <v>0.186</v>
      </c>
      <c r="P66">
        <f>'2012_2020'!N4</f>
        <v>0.14799999999999999</v>
      </c>
      <c r="Q66">
        <f>'2012_2020'!O4</f>
        <v>0.14599999999999999</v>
      </c>
      <c r="R66">
        <f>'2012_2020'!P4</f>
        <v>0.13700000000000001</v>
      </c>
      <c r="S66">
        <f>'2012_2020'!Q4</f>
        <v>0.13600000000000001</v>
      </c>
      <c r="T66">
        <f>'2012_2020'!R4</f>
        <v>0.15</v>
      </c>
      <c r="U66">
        <f>'2012_2020'!S4</f>
        <v>0.15</v>
      </c>
      <c r="V66">
        <f>'2012_2020'!T4</f>
        <v>0.154</v>
      </c>
      <c r="W66">
        <f>'2012_2020'!U4</f>
        <v>0.14599999999999999</v>
      </c>
      <c r="X66">
        <f>'2012_2020'!V4</f>
        <v>0.13100000000000001</v>
      </c>
      <c r="Y66">
        <f>'2012_2020'!W4</f>
        <v>0.154</v>
      </c>
      <c r="Z66">
        <f>'2012_2020'!X4</f>
        <v>0.14899999999999999</v>
      </c>
      <c r="AA66">
        <f>'2012_2020'!Y4</f>
        <v>0.13100000000000001</v>
      </c>
      <c r="AB66">
        <f>'2012_2020'!Z4</f>
        <v>0.121</v>
      </c>
      <c r="AC66">
        <f>'2012_2020'!AA4</f>
        <v>0.105</v>
      </c>
      <c r="AD66">
        <f>'2012_2020'!AB4</f>
        <v>0.11799999999999999</v>
      </c>
      <c r="AE66">
        <f>'2012_2020'!AC4</f>
        <v>0.108</v>
      </c>
      <c r="AF66">
        <f>'2012_2020'!AD4</f>
        <v>0.105</v>
      </c>
      <c r="AG66">
        <f>'2012_2020'!AE4</f>
        <v>0.104</v>
      </c>
      <c r="AH66">
        <f>'2012_2020'!AF4</f>
        <v>0.114</v>
      </c>
      <c r="AI66">
        <f>'2012_2020'!AG4</f>
        <v>0.112</v>
      </c>
      <c r="AJ66">
        <f>'2012_2020'!AH4</f>
        <v>0.108</v>
      </c>
      <c r="AK66">
        <f>'2012_2020'!AI4</f>
        <v>0.10199999999999999</v>
      </c>
      <c r="AL66">
        <f>'2012_2020'!AJ4</f>
        <v>0.125</v>
      </c>
      <c r="AM66">
        <f>'2012_2020'!AK4</f>
        <v>0.13100000000000001</v>
      </c>
      <c r="AN66">
        <f>'2012_2020'!AL4</f>
        <v>0.127</v>
      </c>
      <c r="AO66">
        <f>'2012_2020'!AM4</f>
        <v>0.113</v>
      </c>
      <c r="AP66">
        <f>'2012_2020'!AN4</f>
        <v>0.10100000000000001</v>
      </c>
      <c r="AQ66">
        <f>'2012_2020'!AO4</f>
        <v>0.11</v>
      </c>
      <c r="AR66">
        <f>'2012_2020'!AP4</f>
        <v>0.115</v>
      </c>
      <c r="AS66">
        <f>'2012_2020'!AQ4</f>
        <v>0.11700000000000001</v>
      </c>
      <c r="AT66">
        <f>'2012_2020'!AR4</f>
        <v>0.113</v>
      </c>
      <c r="AU66">
        <f>'2012_2020'!AS4</f>
        <v>0.12</v>
      </c>
      <c r="AV66">
        <f>'2012_2020'!AT4</f>
        <v>0.10199999999999999</v>
      </c>
      <c r="AW66">
        <f>'2012_2020'!AU4</f>
        <v>0.104</v>
      </c>
      <c r="AX66">
        <f>'2012_2020'!AV4</f>
        <v>8.8200000000000001E-2</v>
      </c>
      <c r="AY66">
        <f>'2012_2020'!AW4</f>
        <v>0.107</v>
      </c>
      <c r="AZ66">
        <f>'2012_2020'!AX4</f>
        <v>0.108</v>
      </c>
      <c r="BA66">
        <f>'2012_2020'!AY4</f>
        <v>0.11700000000000001</v>
      </c>
      <c r="BB66">
        <f>'2012_2020'!AZ4</f>
        <v>0.13300000000000001</v>
      </c>
      <c r="BC66">
        <f>'2012_2020'!BA4</f>
        <v>0.124</v>
      </c>
      <c r="BD66">
        <f>'2012_2020'!BB4</f>
        <v>9.11E-2</v>
      </c>
      <c r="BE66">
        <f>'2012_2020'!BC4</f>
        <v>9.1600000000000001E-2</v>
      </c>
      <c r="BF66">
        <f>'2012_2020'!BD4</f>
        <v>0.11799999999999999</v>
      </c>
      <c r="BG66">
        <f>'2012_2020'!BE4</f>
        <v>0.10199999999999999</v>
      </c>
      <c r="BH66">
        <f>'2012_2020'!BF4</f>
        <v>9.0700000000000003E-2</v>
      </c>
      <c r="BI66">
        <f>'2012_2020'!BG4</f>
        <v>8.6599999999999996E-2</v>
      </c>
      <c r="BJ66">
        <f>'2012_2020'!BH4</f>
        <v>7.3599999999999999E-2</v>
      </c>
      <c r="BK66">
        <f>'2012_2020'!BI4</f>
        <v>0.10299999999999999</v>
      </c>
      <c r="BL66">
        <f>'2012_2020'!BJ4</f>
        <v>0.13</v>
      </c>
      <c r="BM66">
        <f>'2012_2020'!BK4</f>
        <v>0.115</v>
      </c>
      <c r="BN66">
        <f>'2012_2020'!BL4</f>
        <v>9.0999999999999998E-2</v>
      </c>
      <c r="BO66">
        <f>'2012_2020'!BM4</f>
        <v>0.108</v>
      </c>
      <c r="BP66">
        <f>'2012_2020'!BN4</f>
        <v>0.14399999999999999</v>
      </c>
      <c r="BQ66">
        <f>'2012_2020'!BO4</f>
        <v>0.11799999999999999</v>
      </c>
      <c r="BR66">
        <f>'2012_2020'!BP4</f>
        <v>8.1199999999999994E-2</v>
      </c>
      <c r="BS66">
        <f>'2012_2020'!BQ4</f>
        <v>6.2700000000000006E-2</v>
      </c>
      <c r="BT66">
        <f>'2012_2020'!BR4</f>
        <v>6.1400000000000003E-2</v>
      </c>
      <c r="BU66">
        <f>'2012_2020'!BS4</f>
        <v>6.9800000000000001E-2</v>
      </c>
      <c r="BV66">
        <f>'2012_2020'!BT4</f>
        <v>8.0199999999999994E-2</v>
      </c>
      <c r="BW66">
        <f>'2012_2020'!BU4</f>
        <v>9.0399999999999994E-2</v>
      </c>
      <c r="BX66">
        <f>'2012_2020'!BV4</f>
        <v>8.9499999999999996E-2</v>
      </c>
      <c r="BY66">
        <f>'2012_2020'!BW4</f>
        <v>9.3299999999999994E-2</v>
      </c>
      <c r="BZ66">
        <f>'2012_2020'!BX4</f>
        <v>9.0300000000000005E-2</v>
      </c>
      <c r="CA66">
        <f>'2012_2020'!BY4</f>
        <v>6.0999999999999999E-2</v>
      </c>
      <c r="CB66">
        <f>'2012_2020'!BZ4</f>
        <v>0.109</v>
      </c>
      <c r="CC66">
        <f>'2012_2020'!CA4</f>
        <v>8.5699999999999998E-2</v>
      </c>
      <c r="CD66">
        <f>'2012_2020'!CB4</f>
        <v>8.0299999999999996E-2</v>
      </c>
      <c r="CE66">
        <f>'2012_2020'!CC4</f>
        <v>0.114</v>
      </c>
      <c r="CF66">
        <f>'2012_2020'!CD4</f>
        <v>6.6900000000000001E-2</v>
      </c>
      <c r="CG66">
        <f>'2012_2020'!CE4</f>
        <v>4.1399999999999999E-2</v>
      </c>
      <c r="CH66">
        <f>'2012_2020'!CF4</f>
        <v>3.1399999999999997E-2</v>
      </c>
      <c r="CI66">
        <f>'2012_2020'!CG4</f>
        <v>7.0499999999999993E-2</v>
      </c>
      <c r="CJ66">
        <f>'2012_2020'!CH4</f>
        <v>8.6099999999999996E-2</v>
      </c>
      <c r="CK66">
        <f>'2012_2020'!CI4</f>
        <v>9.1800000000000007E-2</v>
      </c>
      <c r="CL66">
        <f>'2012_2020'!CJ4</f>
        <v>8.6800000000000002E-2</v>
      </c>
      <c r="CM66">
        <f>'2012_2020'!CK4</f>
        <v>2.64E-2</v>
      </c>
      <c r="CN66">
        <f>'2012_2020'!CL4</f>
        <v>4.9099999999999998E-2</v>
      </c>
      <c r="CO66">
        <f>'2012_2020'!CM4</f>
        <v>3.8399999999999997E-2</v>
      </c>
      <c r="CP66">
        <f>'2012_2020'!CN4</f>
        <v>6.8099999999999994E-2</v>
      </c>
      <c r="CQ66">
        <f>'2012_2020'!CO4</f>
        <v>1.12E-2</v>
      </c>
      <c r="CR66">
        <f>'2012_2020'!CP4</f>
        <v>3.5900000000000001E-2</v>
      </c>
      <c r="CS66">
        <f>'2012_2020'!CQ4</f>
        <v>1.3699999999999999E-3</v>
      </c>
      <c r="CT66">
        <f>'2012_2020'!CR4</f>
        <v>1.3100000000000001E-2</v>
      </c>
      <c r="CU66">
        <f>'2012_2020'!CS4</f>
        <v>2.2499999999999999E-2</v>
      </c>
      <c r="CV66">
        <f>'2012_2020'!CT4</f>
        <v>6.3299999999999995E-2</v>
      </c>
      <c r="CW66">
        <f>'2012_2020'!CU4</f>
        <v>-5.1200000000000004E-3</v>
      </c>
      <c r="CX66">
        <f>'2012_2020'!CV4</f>
        <v>-2.2900000000000001E-4</v>
      </c>
    </row>
    <row r="67" spans="1:102" x14ac:dyDescent="0.2">
      <c r="A67" t="s">
        <v>206</v>
      </c>
      <c r="B67" t="s">
        <v>217</v>
      </c>
      <c r="C67" t="s">
        <v>222</v>
      </c>
      <c r="D67">
        <f>'2012_2020'!B5</f>
        <v>8.0299999999999996E-2</v>
      </c>
      <c r="E67">
        <f>'2012_2020'!C5</f>
        <v>0.109</v>
      </c>
      <c r="F67">
        <f>'2012_2020'!D5</f>
        <v>0.106</v>
      </c>
      <c r="G67">
        <f>'2012_2020'!E5</f>
        <v>0.105</v>
      </c>
      <c r="H67">
        <f>'2012_2020'!F5</f>
        <v>9.7500000000000003E-2</v>
      </c>
      <c r="I67">
        <f>'2012_2020'!G5</f>
        <v>0.10299999999999999</v>
      </c>
      <c r="J67">
        <f>'2012_2020'!H5</f>
        <v>9.9299999999999999E-2</v>
      </c>
      <c r="K67">
        <f>'2012_2020'!I5</f>
        <v>9.1700000000000004E-2</v>
      </c>
      <c r="L67">
        <f>'2012_2020'!J5</f>
        <v>9.3799999999999994E-2</v>
      </c>
      <c r="M67">
        <f>'2012_2020'!K5</f>
        <v>7.6200000000000004E-2</v>
      </c>
      <c r="N67">
        <f>'2012_2020'!L5</f>
        <v>7.4200000000000002E-2</v>
      </c>
      <c r="O67">
        <f>'2012_2020'!M5</f>
        <v>7.0300000000000001E-2</v>
      </c>
      <c r="P67">
        <f>'2012_2020'!N5</f>
        <v>6.4899999999999999E-2</v>
      </c>
      <c r="Q67">
        <f>'2012_2020'!O5</f>
        <v>6.0499999999999998E-2</v>
      </c>
      <c r="R67">
        <f>'2012_2020'!P5</f>
        <v>5.2200000000000003E-2</v>
      </c>
      <c r="S67">
        <f>'2012_2020'!Q5</f>
        <v>4.87E-2</v>
      </c>
      <c r="T67">
        <f>'2012_2020'!R5</f>
        <v>4.7199999999999999E-2</v>
      </c>
      <c r="U67">
        <f>'2012_2020'!S5</f>
        <v>4.7399999999999998E-2</v>
      </c>
      <c r="V67">
        <f>'2012_2020'!T5</f>
        <v>4.6800000000000001E-2</v>
      </c>
      <c r="W67">
        <f>'2012_2020'!U5</f>
        <v>4.7500000000000001E-2</v>
      </c>
      <c r="X67">
        <f>'2012_2020'!V5</f>
        <v>4.7600000000000003E-2</v>
      </c>
      <c r="Y67">
        <f>'2012_2020'!W5</f>
        <v>4.8800000000000003E-2</v>
      </c>
      <c r="Z67">
        <f>'2012_2020'!X5</f>
        <v>5.0200000000000002E-2</v>
      </c>
      <c r="AA67">
        <f>'2012_2020'!Y5</f>
        <v>5.16E-2</v>
      </c>
      <c r="AB67">
        <f>'2012_2020'!Z5</f>
        <v>5.2999999999999999E-2</v>
      </c>
      <c r="AC67">
        <f>'2012_2020'!AA5</f>
        <v>5.3400000000000003E-2</v>
      </c>
      <c r="AD67">
        <f>'2012_2020'!AB5</f>
        <v>5.3999999999999999E-2</v>
      </c>
      <c r="AE67">
        <f>'2012_2020'!AC5</f>
        <v>5.4899999999999997E-2</v>
      </c>
      <c r="AF67">
        <f>'2012_2020'!AD5</f>
        <v>5.67E-2</v>
      </c>
      <c r="AG67">
        <f>'2012_2020'!AE5</f>
        <v>5.8799999999999998E-2</v>
      </c>
      <c r="AH67">
        <f>'2012_2020'!AF5</f>
        <v>6.0999999999999999E-2</v>
      </c>
      <c r="AI67">
        <f>'2012_2020'!AG5</f>
        <v>6.3700000000000007E-2</v>
      </c>
      <c r="AJ67">
        <f>'2012_2020'!AH5</f>
        <v>6.6199999999999995E-2</v>
      </c>
      <c r="AK67">
        <f>'2012_2020'!AI5</f>
        <v>6.9699999999999998E-2</v>
      </c>
      <c r="AL67">
        <f>'2012_2020'!AJ5</f>
        <v>7.2800000000000004E-2</v>
      </c>
      <c r="AM67">
        <f>'2012_2020'!AK5</f>
        <v>7.5200000000000003E-2</v>
      </c>
      <c r="AN67">
        <f>'2012_2020'!AL5</f>
        <v>7.7899999999999997E-2</v>
      </c>
      <c r="AO67">
        <f>'2012_2020'!AM5</f>
        <v>8.2000000000000003E-2</v>
      </c>
      <c r="AP67">
        <f>'2012_2020'!AN5</f>
        <v>8.5099999999999995E-2</v>
      </c>
      <c r="AQ67">
        <f>'2012_2020'!AO5</f>
        <v>8.8900000000000007E-2</v>
      </c>
      <c r="AR67">
        <f>'2012_2020'!AP5</f>
        <v>9.1499999999999998E-2</v>
      </c>
      <c r="AS67">
        <f>'2012_2020'!AQ5</f>
        <v>9.4600000000000004E-2</v>
      </c>
      <c r="AT67">
        <f>'2012_2020'!AR5</f>
        <v>9.7100000000000006E-2</v>
      </c>
      <c r="AU67">
        <f>'2012_2020'!AS5</f>
        <v>9.8400000000000001E-2</v>
      </c>
      <c r="AV67">
        <f>'2012_2020'!AT5</f>
        <v>9.9299999999999999E-2</v>
      </c>
      <c r="AW67">
        <f>'2012_2020'!AU5</f>
        <v>9.9900000000000003E-2</v>
      </c>
      <c r="AX67">
        <f>'2012_2020'!AV5</f>
        <v>0.10100000000000001</v>
      </c>
      <c r="AY67">
        <f>'2012_2020'!AW5</f>
        <v>0.104</v>
      </c>
      <c r="AZ67">
        <f>'2012_2020'!AX5</f>
        <v>0.105</v>
      </c>
      <c r="BA67">
        <f>'2012_2020'!AY5</f>
        <v>0.109</v>
      </c>
      <c r="BB67">
        <f>'2012_2020'!AZ5</f>
        <v>0.112</v>
      </c>
      <c r="BC67">
        <f>'2012_2020'!BA5</f>
        <v>0.11899999999999999</v>
      </c>
      <c r="BD67">
        <f>'2012_2020'!BB5</f>
        <v>0.126</v>
      </c>
      <c r="BE67">
        <f>'2012_2020'!BC5</f>
        <v>0.13200000000000001</v>
      </c>
      <c r="BF67">
        <f>'2012_2020'!BD5</f>
        <v>0.13500000000000001</v>
      </c>
      <c r="BG67">
        <f>'2012_2020'!BE5</f>
        <v>0.13800000000000001</v>
      </c>
      <c r="BH67">
        <f>'2012_2020'!BF5</f>
        <v>0.13700000000000001</v>
      </c>
      <c r="BI67">
        <f>'2012_2020'!BG5</f>
        <v>0.13600000000000001</v>
      </c>
      <c r="BJ67">
        <f>'2012_2020'!BH5</f>
        <v>0.13700000000000001</v>
      </c>
      <c r="BK67">
        <f>'2012_2020'!BI5</f>
        <v>0.13700000000000001</v>
      </c>
      <c r="BL67">
        <f>'2012_2020'!BJ5</f>
        <v>0.13900000000000001</v>
      </c>
      <c r="BM67">
        <f>'2012_2020'!BK5</f>
        <v>0.14399999999999999</v>
      </c>
      <c r="BN67">
        <f>'2012_2020'!BL5</f>
        <v>0.151</v>
      </c>
      <c r="BO67">
        <f>'2012_2020'!BM5</f>
        <v>0.156</v>
      </c>
      <c r="BP67">
        <f>'2012_2020'!BN5</f>
        <v>0.161</v>
      </c>
      <c r="BQ67">
        <f>'2012_2020'!BO5</f>
        <v>0.16500000000000001</v>
      </c>
      <c r="BR67">
        <f>'2012_2020'!BP5</f>
        <v>0.16500000000000001</v>
      </c>
      <c r="BS67">
        <f>'2012_2020'!BQ5</f>
        <v>0.16500000000000001</v>
      </c>
      <c r="BT67">
        <f>'2012_2020'!BR5</f>
        <v>0.16700000000000001</v>
      </c>
      <c r="BU67">
        <f>'2012_2020'!BS5</f>
        <v>0.17100000000000001</v>
      </c>
      <c r="BV67">
        <f>'2012_2020'!BT5</f>
        <v>0.182</v>
      </c>
      <c r="BW67">
        <f>'2012_2020'!BU5</f>
        <v>0.191</v>
      </c>
      <c r="BX67">
        <f>'2012_2020'!BV5</f>
        <v>0.19600000000000001</v>
      </c>
      <c r="BY67">
        <f>'2012_2020'!BW5</f>
        <v>0.20300000000000001</v>
      </c>
      <c r="BZ67">
        <f>'2012_2020'!BX5</f>
        <v>0.20200000000000001</v>
      </c>
      <c r="CA67">
        <f>'2012_2020'!BY5</f>
        <v>0.20100000000000001</v>
      </c>
      <c r="CB67">
        <f>'2012_2020'!BZ5</f>
        <v>0.2</v>
      </c>
      <c r="CC67">
        <f>'2012_2020'!CA5</f>
        <v>0.21</v>
      </c>
      <c r="CD67">
        <f>'2012_2020'!CB5</f>
        <v>0.222</v>
      </c>
      <c r="CE67">
        <f>'2012_2020'!CC5</f>
        <v>0.23100000000000001</v>
      </c>
      <c r="CF67">
        <f>'2012_2020'!CD5</f>
        <v>0.24</v>
      </c>
      <c r="CG67">
        <f>'2012_2020'!CE5</f>
        <v>0.23</v>
      </c>
      <c r="CH67">
        <f>'2012_2020'!CF5</f>
        <v>0.216</v>
      </c>
      <c r="CI67">
        <f>'2012_2020'!CG5</f>
        <v>0.21099999999999999</v>
      </c>
      <c r="CJ67">
        <f>'2012_2020'!CH5</f>
        <v>0.221</v>
      </c>
      <c r="CK67">
        <f>'2012_2020'!CI5</f>
        <v>0.27100000000000002</v>
      </c>
      <c r="CL67">
        <f>'2012_2020'!CJ5</f>
        <v>0.26600000000000001</v>
      </c>
      <c r="CM67">
        <f>'2012_2020'!CK5</f>
        <v>0.252</v>
      </c>
      <c r="CN67">
        <f>'2012_2020'!CL5</f>
        <v>0.25900000000000001</v>
      </c>
      <c r="CO67">
        <f>'2012_2020'!CM5</f>
        <v>0.25700000000000001</v>
      </c>
      <c r="CP67">
        <f>'2012_2020'!CN5</f>
        <v>0.23799999999999999</v>
      </c>
      <c r="CQ67">
        <f>'2012_2020'!CO5</f>
        <v>0.27</v>
      </c>
      <c r="CR67">
        <f>'2012_2020'!CP5</f>
        <v>0.29599999999999999</v>
      </c>
      <c r="CS67">
        <f>'2012_2020'!CQ5</f>
        <v>0.25700000000000001</v>
      </c>
      <c r="CT67">
        <f>'2012_2020'!CR5</f>
        <v>0.28999999999999998</v>
      </c>
      <c r="CU67">
        <f>'2012_2020'!CS5</f>
        <v>0.22700000000000001</v>
      </c>
      <c r="CV67">
        <f>'2012_2020'!CT5</f>
        <v>0.26100000000000001</v>
      </c>
      <c r="CW67">
        <f>'2012_2020'!CU5</f>
        <v>0.25</v>
      </c>
      <c r="CX67">
        <f>'2012_2020'!CV5</f>
        <v>0.22</v>
      </c>
    </row>
    <row r="68" spans="1:102" x14ac:dyDescent="0.2">
      <c r="A68" t="s">
        <v>207</v>
      </c>
      <c r="B68" t="s">
        <v>217</v>
      </c>
      <c r="C68" t="s">
        <v>222</v>
      </c>
      <c r="D68">
        <f>'2012_2020'!B6</f>
        <v>0.187</v>
      </c>
      <c r="E68">
        <f>'2012_2020'!C6</f>
        <v>6.9400000000000003E-2</v>
      </c>
      <c r="F68">
        <f>'2012_2020'!D6</f>
        <v>6.2300000000000001E-2</v>
      </c>
      <c r="G68">
        <f>'2012_2020'!E6</f>
        <v>9.2299999999999993E-2</v>
      </c>
      <c r="H68">
        <f>'2012_2020'!F6</f>
        <v>4.3200000000000002E-2</v>
      </c>
      <c r="I68">
        <f>'2012_2020'!G6</f>
        <v>4.5699999999999998E-2</v>
      </c>
      <c r="J68">
        <f>'2012_2020'!H6</f>
        <v>4.53E-2</v>
      </c>
      <c r="K68">
        <f>'2012_2020'!I6</f>
        <v>5.1700000000000003E-2</v>
      </c>
      <c r="L68">
        <f>'2012_2020'!J6</f>
        <v>7.3300000000000004E-2</v>
      </c>
      <c r="M68">
        <f>'2012_2020'!K6</f>
        <v>3.6900000000000002E-2</v>
      </c>
      <c r="N68">
        <f>'2012_2020'!L6</f>
        <v>7.8E-2</v>
      </c>
      <c r="O68">
        <f>'2012_2020'!M6</f>
        <v>0.11600000000000001</v>
      </c>
      <c r="P68">
        <f>'2012_2020'!N6</f>
        <v>8.2900000000000001E-2</v>
      </c>
      <c r="Q68">
        <f>'2012_2020'!O6</f>
        <v>8.5199999999999998E-2</v>
      </c>
      <c r="R68">
        <f>'2012_2020'!P6</f>
        <v>8.5099999999999995E-2</v>
      </c>
      <c r="S68">
        <f>'2012_2020'!Q6</f>
        <v>8.7300000000000003E-2</v>
      </c>
      <c r="T68">
        <f>'2012_2020'!R6</f>
        <v>0.10199999999999999</v>
      </c>
      <c r="U68">
        <f>'2012_2020'!S6</f>
        <v>0.10199999999999999</v>
      </c>
      <c r="V68">
        <f>'2012_2020'!T6</f>
        <v>0.107</v>
      </c>
      <c r="W68">
        <f>'2012_2020'!U6</f>
        <v>9.8299999999999998E-2</v>
      </c>
      <c r="X68">
        <f>'2012_2020'!V6</f>
        <v>8.3699999999999997E-2</v>
      </c>
      <c r="Y68">
        <f>'2012_2020'!W6</f>
        <v>0.106</v>
      </c>
      <c r="Z68">
        <f>'2012_2020'!X6</f>
        <v>9.8500000000000004E-2</v>
      </c>
      <c r="AA68">
        <f>'2012_2020'!Y6</f>
        <v>7.8899999999999998E-2</v>
      </c>
      <c r="AB68">
        <f>'2012_2020'!Z6</f>
        <v>6.7900000000000002E-2</v>
      </c>
      <c r="AC68">
        <f>'2012_2020'!AA6</f>
        <v>5.21E-2</v>
      </c>
      <c r="AD68">
        <f>'2012_2020'!AB6</f>
        <v>6.3899999999999998E-2</v>
      </c>
      <c r="AE68">
        <f>'2012_2020'!AC6</f>
        <v>5.2600000000000001E-2</v>
      </c>
      <c r="AF68">
        <f>'2012_2020'!AD6</f>
        <v>4.82E-2</v>
      </c>
      <c r="AG68">
        <f>'2012_2020'!AE6</f>
        <v>4.4999999999999998E-2</v>
      </c>
      <c r="AH68">
        <f>'2012_2020'!AF6</f>
        <v>5.2499999999999998E-2</v>
      </c>
      <c r="AI68">
        <f>'2012_2020'!AG6</f>
        <v>4.8000000000000001E-2</v>
      </c>
      <c r="AJ68">
        <f>'2012_2020'!AH6</f>
        <v>4.1399999999999999E-2</v>
      </c>
      <c r="AK68">
        <f>'2012_2020'!AI6</f>
        <v>3.2199999999999999E-2</v>
      </c>
      <c r="AL68">
        <f>'2012_2020'!AJ6</f>
        <v>5.2200000000000003E-2</v>
      </c>
      <c r="AM68">
        <f>'2012_2020'!AK6</f>
        <v>5.57E-2</v>
      </c>
      <c r="AN68">
        <f>'2012_2020'!AL6</f>
        <v>4.9099999999999998E-2</v>
      </c>
      <c r="AO68">
        <f>'2012_2020'!AM6</f>
        <v>3.09E-2</v>
      </c>
      <c r="AP68">
        <f>'2012_2020'!AN6</f>
        <v>1.6299999999999999E-2</v>
      </c>
      <c r="AQ68">
        <f>'2012_2020'!AO6</f>
        <v>2.1000000000000001E-2</v>
      </c>
      <c r="AR68">
        <f>'2012_2020'!AP6</f>
        <v>2.3199999999999998E-2</v>
      </c>
      <c r="AS68">
        <f>'2012_2020'!AQ6</f>
        <v>2.1899999999999999E-2</v>
      </c>
      <c r="AT68">
        <f>'2012_2020'!AR6</f>
        <v>1.5699999999999999E-2</v>
      </c>
      <c r="AU68">
        <f>'2012_2020'!AS6</f>
        <v>2.1499999999999998E-2</v>
      </c>
      <c r="AV68">
        <f>'2012_2020'!AT6</f>
        <v>2.2599999999999999E-3</v>
      </c>
      <c r="AW68">
        <f>'2012_2020'!AU6</f>
        <v>4.0000000000000001E-3</v>
      </c>
      <c r="AX68">
        <f>'2012_2020'!AV6</f>
        <v>-1.2500000000000001E-2</v>
      </c>
      <c r="AY68">
        <f>'2012_2020'!AW6</f>
        <v>2.7200000000000002E-3</v>
      </c>
      <c r="AZ68">
        <f>'2012_2020'!AX6</f>
        <v>3.2100000000000002E-3</v>
      </c>
      <c r="BA68">
        <f>'2012_2020'!AY6</f>
        <v>7.8799999999999999E-3</v>
      </c>
      <c r="BB68">
        <f>'2012_2020'!AZ6</f>
        <v>2.0799999999999999E-2</v>
      </c>
      <c r="BC68">
        <f>'2012_2020'!BA6</f>
        <v>4.7099999999999998E-3</v>
      </c>
      <c r="BD68">
        <f>'2012_2020'!BB6</f>
        <v>-3.5400000000000001E-2</v>
      </c>
      <c r="BE68">
        <f>'2012_2020'!BC6</f>
        <v>-0.04</v>
      </c>
      <c r="BF68">
        <f>'2012_2020'!BD6</f>
        <v>-1.7100000000000001E-2</v>
      </c>
      <c r="BG68">
        <f>'2012_2020'!BE6</f>
        <v>-3.5499999999999997E-2</v>
      </c>
      <c r="BH68">
        <f>'2012_2020'!BF6</f>
        <v>-4.65E-2</v>
      </c>
      <c r="BI68">
        <f>'2012_2020'!BG6</f>
        <v>-4.9700000000000001E-2</v>
      </c>
      <c r="BJ68">
        <f>'2012_2020'!BH6</f>
        <v>-6.2899999999999998E-2</v>
      </c>
      <c r="BK68">
        <f>'2012_2020'!BI6</f>
        <v>-3.4500000000000003E-2</v>
      </c>
      <c r="BL68">
        <f>'2012_2020'!BJ6</f>
        <v>-8.5400000000000007E-3</v>
      </c>
      <c r="BM68">
        <f>'2012_2020'!BK6</f>
        <v>-2.86E-2</v>
      </c>
      <c r="BN68">
        <f>'2012_2020'!BL6</f>
        <v>-5.9700000000000003E-2</v>
      </c>
      <c r="BO68">
        <f>'2012_2020'!BM6</f>
        <v>-4.87E-2</v>
      </c>
      <c r="BP68">
        <f>'2012_2020'!BN6</f>
        <v>-1.6899999999999998E-2</v>
      </c>
      <c r="BQ68">
        <f>'2012_2020'!BO6</f>
        <v>-4.7100000000000003E-2</v>
      </c>
      <c r="BR68">
        <f>'2012_2020'!BP6</f>
        <v>-8.3699999999999997E-2</v>
      </c>
      <c r="BS68">
        <f>'2012_2020'!BQ6</f>
        <v>-0.10299999999999999</v>
      </c>
      <c r="BT68">
        <f>'2012_2020'!BR6</f>
        <v>-0.105</v>
      </c>
      <c r="BU68">
        <f>'2012_2020'!BS6</f>
        <v>-0.10100000000000001</v>
      </c>
      <c r="BV68">
        <f>'2012_2020'!BT6</f>
        <v>-0.10100000000000001</v>
      </c>
      <c r="BW68">
        <f>'2012_2020'!BU6</f>
        <v>-0.10100000000000001</v>
      </c>
      <c r="BX68">
        <f>'2012_2020'!BV6</f>
        <v>-0.106</v>
      </c>
      <c r="BY68">
        <f>'2012_2020'!BW6</f>
        <v>-0.11</v>
      </c>
      <c r="BZ68">
        <f>'2012_2020'!BX6</f>
        <v>-0.112</v>
      </c>
      <c r="CA68">
        <f>'2012_2020'!BY6</f>
        <v>-0.14000000000000001</v>
      </c>
      <c r="CB68">
        <f>'2012_2020'!BZ6</f>
        <v>-9.0999999999999998E-2</v>
      </c>
      <c r="CC68">
        <f>'2012_2020'!CA6</f>
        <v>-0.124</v>
      </c>
      <c r="CD68">
        <f>'2012_2020'!CB6</f>
        <v>-0.14099999999999999</v>
      </c>
      <c r="CE68">
        <f>'2012_2020'!CC6</f>
        <v>-0.11700000000000001</v>
      </c>
      <c r="CF68">
        <f>'2012_2020'!CD6</f>
        <v>-0.17299999999999999</v>
      </c>
      <c r="CG68">
        <f>'2012_2020'!CE6</f>
        <v>-0.189</v>
      </c>
      <c r="CH68">
        <f>'2012_2020'!CF6</f>
        <v>-0.184</v>
      </c>
      <c r="CI68">
        <f>'2012_2020'!CG6</f>
        <v>-0.14000000000000001</v>
      </c>
      <c r="CJ68">
        <f>'2012_2020'!CH6</f>
        <v>-0.13500000000000001</v>
      </c>
      <c r="CK68">
        <f>'2012_2020'!CI6</f>
        <v>-0.17899999999999999</v>
      </c>
      <c r="CL68">
        <f>'2012_2020'!CJ6</f>
        <v>-0.17899999999999999</v>
      </c>
      <c r="CM68">
        <f>'2012_2020'!CK6</f>
        <v>-0.22600000000000001</v>
      </c>
      <c r="CN68">
        <f>'2012_2020'!CL6</f>
        <v>-0.21</v>
      </c>
      <c r="CO68">
        <f>'2012_2020'!CM6</f>
        <v>-0.218</v>
      </c>
      <c r="CP68">
        <f>'2012_2020'!CN6</f>
        <v>-0.17</v>
      </c>
      <c r="CQ68">
        <f>'2012_2020'!CO6</f>
        <v>-0.25900000000000001</v>
      </c>
      <c r="CR68">
        <f>'2012_2020'!CP6</f>
        <v>-0.26</v>
      </c>
      <c r="CS68">
        <f>'2012_2020'!CQ6</f>
        <v>-0.25600000000000001</v>
      </c>
      <c r="CT68">
        <f>'2012_2020'!CR6</f>
        <v>-0.27700000000000002</v>
      </c>
      <c r="CU68">
        <f>'2012_2020'!CS6</f>
        <v>-0.20399999999999999</v>
      </c>
      <c r="CV68">
        <f>'2012_2020'!CT6</f>
        <v>-0.19800000000000001</v>
      </c>
      <c r="CW68">
        <f>'2012_2020'!CU6</f>
        <v>-0.255</v>
      </c>
      <c r="CX68">
        <f>'2012_2020'!CV6</f>
        <v>-0.22</v>
      </c>
    </row>
    <row r="69" spans="1:102" x14ac:dyDescent="0.2">
      <c r="A69" t="s">
        <v>208</v>
      </c>
      <c r="B69" t="s">
        <v>218</v>
      </c>
      <c r="C69" t="s">
        <v>222</v>
      </c>
      <c r="D69">
        <f>'2012_2020'!B7</f>
        <v>5.1700000000000003E-2</v>
      </c>
      <c r="E69">
        <f>'2012_2020'!C7</f>
        <v>7.2599999999999998E-2</v>
      </c>
      <c r="F69">
        <f>'2012_2020'!D7</f>
        <v>7.0300000000000001E-2</v>
      </c>
      <c r="G69">
        <f>'2012_2020'!E7</f>
        <v>6.9000000000000006E-2</v>
      </c>
      <c r="H69">
        <f>'2012_2020'!F7</f>
        <v>6.6500000000000004E-2</v>
      </c>
      <c r="I69">
        <f>'2012_2020'!G7</f>
        <v>7.1900000000000006E-2</v>
      </c>
      <c r="J69">
        <f>'2012_2020'!H7</f>
        <v>7.1300000000000002E-2</v>
      </c>
      <c r="K69">
        <f>'2012_2020'!I7</f>
        <v>6.7699999999999996E-2</v>
      </c>
      <c r="L69">
        <f>'2012_2020'!J7</f>
        <v>7.0199999999999999E-2</v>
      </c>
      <c r="M69">
        <f>'2012_2020'!K7</f>
        <v>5.79E-2</v>
      </c>
      <c r="N69">
        <f>'2012_2020'!L7</f>
        <v>5.7299999999999997E-2</v>
      </c>
      <c r="O69">
        <f>'2012_2020'!M7</f>
        <v>5.4699999999999999E-2</v>
      </c>
      <c r="P69">
        <f>'2012_2020'!N7</f>
        <v>5.0700000000000002E-2</v>
      </c>
      <c r="Q69">
        <f>'2012_2020'!O7</f>
        <v>4.7800000000000002E-2</v>
      </c>
      <c r="R69">
        <f>'2012_2020'!P7</f>
        <v>4.1500000000000002E-2</v>
      </c>
      <c r="S69">
        <f>'2012_2020'!Q7</f>
        <v>3.8399999999999997E-2</v>
      </c>
      <c r="T69">
        <f>'2012_2020'!R7</f>
        <v>3.78E-2</v>
      </c>
      <c r="U69">
        <f>'2012_2020'!S7</f>
        <v>3.7999999999999999E-2</v>
      </c>
      <c r="V69">
        <f>'2012_2020'!T7</f>
        <v>3.78E-2</v>
      </c>
      <c r="W69">
        <f>'2012_2020'!U7</f>
        <v>3.8199999999999998E-2</v>
      </c>
      <c r="X69">
        <f>'2012_2020'!V7</f>
        <v>3.8600000000000002E-2</v>
      </c>
      <c r="Y69">
        <f>'2012_2020'!W7</f>
        <v>3.9800000000000002E-2</v>
      </c>
      <c r="Z69">
        <f>'2012_2020'!X7</f>
        <v>4.0599999999999997E-2</v>
      </c>
      <c r="AA69">
        <f>'2012_2020'!Y7</f>
        <v>4.1799999999999997E-2</v>
      </c>
      <c r="AB69">
        <f>'2012_2020'!Z7</f>
        <v>4.2599999999999999E-2</v>
      </c>
      <c r="AC69">
        <f>'2012_2020'!AA7</f>
        <v>4.2999999999999997E-2</v>
      </c>
      <c r="AD69">
        <f>'2012_2020'!AB7</f>
        <v>4.3499999999999997E-2</v>
      </c>
      <c r="AE69">
        <f>'2012_2020'!AC7</f>
        <v>4.4400000000000002E-2</v>
      </c>
      <c r="AF69">
        <f>'2012_2020'!AD7</f>
        <v>4.58E-2</v>
      </c>
      <c r="AG69">
        <f>'2012_2020'!AE7</f>
        <v>4.7800000000000002E-2</v>
      </c>
      <c r="AH69">
        <f>'2012_2020'!AF7</f>
        <v>0.05</v>
      </c>
      <c r="AI69">
        <f>'2012_2020'!AG7</f>
        <v>5.2299999999999999E-2</v>
      </c>
      <c r="AJ69">
        <f>'2012_2020'!AH7</f>
        <v>5.45E-2</v>
      </c>
      <c r="AK69">
        <f>'2012_2020'!AI7</f>
        <v>5.7299999999999997E-2</v>
      </c>
      <c r="AL69">
        <f>'2012_2020'!AJ7</f>
        <v>5.9900000000000002E-2</v>
      </c>
      <c r="AM69">
        <f>'2012_2020'!AK7</f>
        <v>6.2300000000000001E-2</v>
      </c>
      <c r="AN69">
        <f>'2012_2020'!AL7</f>
        <v>6.4799999999999996E-2</v>
      </c>
      <c r="AO69">
        <f>'2012_2020'!AM7</f>
        <v>6.8699999999999997E-2</v>
      </c>
      <c r="AP69">
        <f>'2012_2020'!AN7</f>
        <v>7.1400000000000005E-2</v>
      </c>
      <c r="AQ69">
        <f>'2012_2020'!AO7</f>
        <v>7.4499999999999997E-2</v>
      </c>
      <c r="AR69">
        <f>'2012_2020'!AP7</f>
        <v>7.6799999999999993E-2</v>
      </c>
      <c r="AS69">
        <f>'2012_2020'!AQ7</f>
        <v>7.9500000000000001E-2</v>
      </c>
      <c r="AT69">
        <f>'2012_2020'!AR7</f>
        <v>8.1500000000000003E-2</v>
      </c>
      <c r="AU69">
        <f>'2012_2020'!AS7</f>
        <v>8.2600000000000007E-2</v>
      </c>
      <c r="AV69">
        <f>'2012_2020'!AT7</f>
        <v>8.3799999999999999E-2</v>
      </c>
      <c r="AW69">
        <f>'2012_2020'!AU7</f>
        <v>8.4400000000000003E-2</v>
      </c>
      <c r="AX69">
        <f>'2012_2020'!AV7</f>
        <v>8.5099999999999995E-2</v>
      </c>
      <c r="AY69">
        <f>'2012_2020'!AW7</f>
        <v>8.7800000000000003E-2</v>
      </c>
      <c r="AZ69">
        <f>'2012_2020'!AX7</f>
        <v>8.9399999999999993E-2</v>
      </c>
      <c r="BA69">
        <f>'2012_2020'!AY7</f>
        <v>9.2899999999999996E-2</v>
      </c>
      <c r="BB69">
        <f>'2012_2020'!AZ7</f>
        <v>9.5799999999999996E-2</v>
      </c>
      <c r="BC69">
        <f>'2012_2020'!BA7</f>
        <v>0.10199999999999999</v>
      </c>
      <c r="BD69">
        <f>'2012_2020'!BB7</f>
        <v>0.108</v>
      </c>
      <c r="BE69">
        <f>'2012_2020'!BC7</f>
        <v>0.113</v>
      </c>
      <c r="BF69">
        <f>'2012_2020'!BD7</f>
        <v>0.115</v>
      </c>
      <c r="BG69">
        <f>'2012_2020'!BE7</f>
        <v>0.11799999999999999</v>
      </c>
      <c r="BH69">
        <f>'2012_2020'!BF7</f>
        <v>0.11700000000000001</v>
      </c>
      <c r="BI69">
        <f>'2012_2020'!BG7</f>
        <v>0.11700000000000001</v>
      </c>
      <c r="BJ69">
        <f>'2012_2020'!BH7</f>
        <v>0.11799999999999999</v>
      </c>
      <c r="BK69">
        <f>'2012_2020'!BI7</f>
        <v>0.11799999999999999</v>
      </c>
      <c r="BL69">
        <f>'2012_2020'!BJ7</f>
        <v>0.12</v>
      </c>
      <c r="BM69">
        <f>'2012_2020'!BK7</f>
        <v>0.125</v>
      </c>
      <c r="BN69">
        <f>'2012_2020'!BL7</f>
        <v>0.13100000000000001</v>
      </c>
      <c r="BO69">
        <f>'2012_2020'!BM7</f>
        <v>0.13600000000000001</v>
      </c>
      <c r="BP69">
        <f>'2012_2020'!BN7</f>
        <v>0.14000000000000001</v>
      </c>
      <c r="BQ69">
        <f>'2012_2020'!BO7</f>
        <v>0.14399999999999999</v>
      </c>
      <c r="BR69">
        <f>'2012_2020'!BP7</f>
        <v>0.14499999999999999</v>
      </c>
      <c r="BS69">
        <f>'2012_2020'!BQ7</f>
        <v>0.14499999999999999</v>
      </c>
      <c r="BT69">
        <f>'2012_2020'!BR7</f>
        <v>0.14599999999999999</v>
      </c>
      <c r="BU69">
        <f>'2012_2020'!BS7</f>
        <v>0.151</v>
      </c>
      <c r="BV69">
        <f>'2012_2020'!BT7</f>
        <v>0.161</v>
      </c>
      <c r="BW69">
        <f>'2012_2020'!BU7</f>
        <v>0.16900000000000001</v>
      </c>
      <c r="BX69">
        <f>'2012_2020'!BV7</f>
        <v>0.17399999999999999</v>
      </c>
      <c r="BY69">
        <f>'2012_2020'!BW7</f>
        <v>0.18099999999999999</v>
      </c>
      <c r="BZ69">
        <f>'2012_2020'!BX7</f>
        <v>0.18099999999999999</v>
      </c>
      <c r="CA69">
        <f>'2012_2020'!BY7</f>
        <v>0.18</v>
      </c>
      <c r="CB69">
        <f>'2012_2020'!BZ7</f>
        <v>0.17799999999999999</v>
      </c>
      <c r="CC69">
        <f>'2012_2020'!CA7</f>
        <v>0.188</v>
      </c>
      <c r="CD69">
        <f>'2012_2020'!CB7</f>
        <v>0.2</v>
      </c>
      <c r="CE69">
        <f>'2012_2020'!CC7</f>
        <v>0.21</v>
      </c>
      <c r="CF69">
        <f>'2012_2020'!CD7</f>
        <v>0.218</v>
      </c>
      <c r="CG69">
        <f>'2012_2020'!CE7</f>
        <v>0.20899999999999999</v>
      </c>
      <c r="CH69">
        <f>'2012_2020'!CF7</f>
        <v>0.19700000000000001</v>
      </c>
      <c r="CI69">
        <f>'2012_2020'!CG7</f>
        <v>0.192</v>
      </c>
      <c r="CJ69">
        <f>'2012_2020'!CH7</f>
        <v>0.20300000000000001</v>
      </c>
      <c r="CK69">
        <f>'2012_2020'!CI7</f>
        <v>0.249</v>
      </c>
      <c r="CL69">
        <f>'2012_2020'!CJ7</f>
        <v>0.246</v>
      </c>
      <c r="CM69">
        <f>'2012_2020'!CK7</f>
        <v>0.23499999999999999</v>
      </c>
      <c r="CN69">
        <f>'2012_2020'!CL7</f>
        <v>0.24199999999999999</v>
      </c>
      <c r="CO69">
        <f>'2012_2020'!CM7</f>
        <v>0.24099999999999999</v>
      </c>
      <c r="CP69">
        <f>'2012_2020'!CN7</f>
        <v>0.224</v>
      </c>
      <c r="CQ69">
        <f>'2012_2020'!CO7</f>
        <v>0.254</v>
      </c>
      <c r="CR69">
        <f>'2012_2020'!CP7</f>
        <v>0.28000000000000003</v>
      </c>
      <c r="CS69">
        <f>'2012_2020'!CQ7</f>
        <v>0.245</v>
      </c>
      <c r="CT69">
        <f>'2012_2020'!CR7</f>
        <v>0.27600000000000002</v>
      </c>
      <c r="CU69">
        <f>'2012_2020'!CS7</f>
        <v>0.218</v>
      </c>
      <c r="CV69">
        <f>'2012_2020'!CT7</f>
        <v>0.251</v>
      </c>
      <c r="CW69">
        <f>'2012_2020'!CU7</f>
        <v>0.24099999999999999</v>
      </c>
      <c r="CX69">
        <f>'2012_2020'!CV7</f>
        <v>0.21299999999999999</v>
      </c>
    </row>
    <row r="70" spans="1:102" x14ac:dyDescent="0.2">
      <c r="A70" t="s">
        <v>209</v>
      </c>
      <c r="B70" t="s">
        <v>218</v>
      </c>
      <c r="C70" t="s">
        <v>222</v>
      </c>
      <c r="D70">
        <f>'2012_2020'!B8</f>
        <v>5.4999999999999997E-3</v>
      </c>
      <c r="E70">
        <f>'2012_2020'!C8</f>
        <v>1.14E-2</v>
      </c>
      <c r="F70">
        <f>'2012_2020'!D8</f>
        <v>1.43E-2</v>
      </c>
      <c r="G70">
        <f>'2012_2020'!E8</f>
        <v>1.4999999999999999E-2</v>
      </c>
      <c r="H70">
        <f>'2012_2020'!F8</f>
        <v>1.5100000000000001E-2</v>
      </c>
      <c r="I70">
        <f>'2012_2020'!G8</f>
        <v>1.6899999999999998E-2</v>
      </c>
      <c r="J70">
        <f>'2012_2020'!H8</f>
        <v>1.6500000000000001E-2</v>
      </c>
      <c r="K70">
        <f>'2012_2020'!I8</f>
        <v>1.5699999999999999E-2</v>
      </c>
      <c r="L70">
        <f>'2012_2020'!J8</f>
        <v>1.6E-2</v>
      </c>
      <c r="M70">
        <f>'2012_2020'!K8</f>
        <v>1.34E-2</v>
      </c>
      <c r="N70">
        <f>'2012_2020'!L8</f>
        <v>1.3100000000000001E-2</v>
      </c>
      <c r="O70">
        <f>'2012_2020'!M8</f>
        <v>1.2500000000000001E-2</v>
      </c>
      <c r="P70">
        <f>'2012_2020'!N8</f>
        <v>1.17E-2</v>
      </c>
      <c r="Q70">
        <f>'2012_2020'!O8</f>
        <v>1.09E-2</v>
      </c>
      <c r="R70">
        <f>'2012_2020'!P8</f>
        <v>9.4900000000000002E-3</v>
      </c>
      <c r="S70">
        <f>'2012_2020'!Q8</f>
        <v>9.0100000000000006E-3</v>
      </c>
      <c r="T70">
        <f>'2012_2020'!R8</f>
        <v>8.8699999999999994E-3</v>
      </c>
      <c r="U70">
        <f>'2012_2020'!S8</f>
        <v>8.8400000000000006E-3</v>
      </c>
      <c r="V70">
        <f>'2012_2020'!T8</f>
        <v>8.7299999999999999E-3</v>
      </c>
      <c r="W70">
        <f>'2012_2020'!U8</f>
        <v>8.7600000000000004E-3</v>
      </c>
      <c r="X70">
        <f>'2012_2020'!V8</f>
        <v>8.6800000000000002E-3</v>
      </c>
      <c r="Y70">
        <f>'2012_2020'!W8</f>
        <v>8.8900000000000003E-3</v>
      </c>
      <c r="Z70">
        <f>'2012_2020'!X8</f>
        <v>8.9999999999999993E-3</v>
      </c>
      <c r="AA70">
        <f>'2012_2020'!Y8</f>
        <v>9.1800000000000007E-3</v>
      </c>
      <c r="AB70">
        <f>'2012_2020'!Z8</f>
        <v>9.4299999999999991E-3</v>
      </c>
      <c r="AC70">
        <f>'2012_2020'!AA8</f>
        <v>9.4800000000000006E-3</v>
      </c>
      <c r="AD70">
        <f>'2012_2020'!AB8</f>
        <v>9.6799999999999994E-3</v>
      </c>
      <c r="AE70">
        <f>'2012_2020'!AC8</f>
        <v>9.8300000000000002E-3</v>
      </c>
      <c r="AF70">
        <f>'2012_2020'!AD8</f>
        <v>0.01</v>
      </c>
      <c r="AG70">
        <f>'2012_2020'!AE8</f>
        <v>1.03E-2</v>
      </c>
      <c r="AH70">
        <f>'2012_2020'!AF8</f>
        <v>1.06E-2</v>
      </c>
      <c r="AI70">
        <f>'2012_2020'!AG8</f>
        <v>1.0999999999999999E-2</v>
      </c>
      <c r="AJ70">
        <f>'2012_2020'!AH8</f>
        <v>1.1299999999999999E-2</v>
      </c>
      <c r="AK70">
        <f>'2012_2020'!AI8</f>
        <v>1.1900000000000001E-2</v>
      </c>
      <c r="AL70">
        <f>'2012_2020'!AJ8</f>
        <v>1.24E-2</v>
      </c>
      <c r="AM70">
        <f>'2012_2020'!AK8</f>
        <v>1.2699999999999999E-2</v>
      </c>
      <c r="AN70">
        <f>'2012_2020'!AL8</f>
        <v>1.32E-2</v>
      </c>
      <c r="AO70">
        <f>'2012_2020'!AM8</f>
        <v>1.3899999999999999E-2</v>
      </c>
      <c r="AP70">
        <f>'2012_2020'!AN8</f>
        <v>1.44E-2</v>
      </c>
      <c r="AQ70">
        <f>'2012_2020'!AO8</f>
        <v>1.4999999999999999E-2</v>
      </c>
      <c r="AR70">
        <f>'2012_2020'!AP8</f>
        <v>1.54E-2</v>
      </c>
      <c r="AS70">
        <f>'2012_2020'!AQ8</f>
        <v>1.6E-2</v>
      </c>
      <c r="AT70">
        <f>'2012_2020'!AR8</f>
        <v>1.6400000000000001E-2</v>
      </c>
      <c r="AU70">
        <f>'2012_2020'!AS8</f>
        <v>1.6500000000000001E-2</v>
      </c>
      <c r="AV70">
        <f>'2012_2020'!AT8</f>
        <v>1.66E-2</v>
      </c>
      <c r="AW70">
        <f>'2012_2020'!AU8</f>
        <v>1.66E-2</v>
      </c>
      <c r="AX70">
        <f>'2012_2020'!AV8</f>
        <v>1.67E-2</v>
      </c>
      <c r="AY70">
        <f>'2012_2020'!AW8</f>
        <v>1.72E-2</v>
      </c>
      <c r="AZ70">
        <f>'2012_2020'!AX8</f>
        <v>1.7399999999999999E-2</v>
      </c>
      <c r="BA70">
        <f>'2012_2020'!AY8</f>
        <v>1.7999999999999999E-2</v>
      </c>
      <c r="BB70">
        <f>'2012_2020'!AZ8</f>
        <v>1.83E-2</v>
      </c>
      <c r="BC70">
        <f>'2012_2020'!BA8</f>
        <v>1.9300000000000001E-2</v>
      </c>
      <c r="BD70">
        <f>'2012_2020'!BB8</f>
        <v>2.0400000000000001E-2</v>
      </c>
      <c r="BE70">
        <f>'2012_2020'!BC8</f>
        <v>2.1100000000000001E-2</v>
      </c>
      <c r="BF70">
        <f>'2012_2020'!BD8</f>
        <v>2.1600000000000001E-2</v>
      </c>
      <c r="BG70">
        <f>'2012_2020'!BE8</f>
        <v>2.18E-2</v>
      </c>
      <c r="BH70">
        <f>'2012_2020'!BF8</f>
        <v>2.1700000000000001E-2</v>
      </c>
      <c r="BI70">
        <f>'2012_2020'!BG8</f>
        <v>2.1399999999999999E-2</v>
      </c>
      <c r="BJ70">
        <f>'2012_2020'!BH8</f>
        <v>2.1499999999999998E-2</v>
      </c>
      <c r="BK70">
        <f>'2012_2020'!BI8</f>
        <v>2.1399999999999999E-2</v>
      </c>
      <c r="BL70">
        <f>'2012_2020'!BJ8</f>
        <v>2.1499999999999998E-2</v>
      </c>
      <c r="BM70">
        <f>'2012_2020'!BK8</f>
        <v>2.1999999999999999E-2</v>
      </c>
      <c r="BN70">
        <f>'2012_2020'!BL8</f>
        <v>2.29E-2</v>
      </c>
      <c r="BO70">
        <f>'2012_2020'!BM8</f>
        <v>2.3699999999999999E-2</v>
      </c>
      <c r="BP70">
        <f>'2012_2020'!BN8</f>
        <v>2.4199999999999999E-2</v>
      </c>
      <c r="BQ70">
        <f>'2012_2020'!BO8</f>
        <v>2.4500000000000001E-2</v>
      </c>
      <c r="BR70">
        <f>'2012_2020'!BP8</f>
        <v>2.4299999999999999E-2</v>
      </c>
      <c r="BS70">
        <f>'2012_2020'!BQ8</f>
        <v>2.4400000000000002E-2</v>
      </c>
      <c r="BT70">
        <f>'2012_2020'!BR8</f>
        <v>2.4400000000000002E-2</v>
      </c>
      <c r="BU70">
        <f>'2012_2020'!BS8</f>
        <v>2.4799999999999999E-2</v>
      </c>
      <c r="BV70">
        <f>'2012_2020'!BT8</f>
        <v>2.6200000000000001E-2</v>
      </c>
      <c r="BW70">
        <f>'2012_2020'!BU8</f>
        <v>2.7400000000000001E-2</v>
      </c>
      <c r="BX70">
        <f>'2012_2020'!BV8</f>
        <v>2.81E-2</v>
      </c>
      <c r="BY70">
        <f>'2012_2020'!BW8</f>
        <v>2.8799999999999999E-2</v>
      </c>
      <c r="BZ70">
        <f>'2012_2020'!BX8</f>
        <v>2.8500000000000001E-2</v>
      </c>
      <c r="CA70">
        <f>'2012_2020'!BY8</f>
        <v>2.8400000000000002E-2</v>
      </c>
      <c r="CB70">
        <f>'2012_2020'!BZ8</f>
        <v>2.7799999999999998E-2</v>
      </c>
      <c r="CC70">
        <f>'2012_2020'!CA8</f>
        <v>2.9000000000000001E-2</v>
      </c>
      <c r="CD70">
        <f>'2012_2020'!CB8</f>
        <v>3.0599999999999999E-2</v>
      </c>
      <c r="CE70">
        <f>'2012_2020'!CC8</f>
        <v>3.15E-2</v>
      </c>
      <c r="CF70">
        <f>'2012_2020'!CD8</f>
        <v>3.27E-2</v>
      </c>
      <c r="CG70">
        <f>'2012_2020'!CE8</f>
        <v>3.1199999999999999E-2</v>
      </c>
      <c r="CH70">
        <f>'2012_2020'!CF8</f>
        <v>2.93E-2</v>
      </c>
      <c r="CI70">
        <f>'2012_2020'!CG8</f>
        <v>2.8899999999999999E-2</v>
      </c>
      <c r="CJ70">
        <f>'2012_2020'!CH8</f>
        <v>3.0300000000000001E-2</v>
      </c>
      <c r="CK70">
        <f>'2012_2020'!CI8</f>
        <v>3.7199999999999997E-2</v>
      </c>
      <c r="CL70">
        <f>'2012_2020'!CJ8</f>
        <v>3.6600000000000001E-2</v>
      </c>
      <c r="CM70">
        <f>'2012_2020'!CK8</f>
        <v>3.4799999999999998E-2</v>
      </c>
      <c r="CN70">
        <f>'2012_2020'!CL8</f>
        <v>3.5900000000000001E-2</v>
      </c>
      <c r="CO70">
        <f>'2012_2020'!CM8</f>
        <v>3.5400000000000001E-2</v>
      </c>
      <c r="CP70">
        <f>'2012_2020'!CN8</f>
        <v>3.3599999999999998E-2</v>
      </c>
      <c r="CQ70">
        <f>'2012_2020'!CO8</f>
        <v>3.8399999999999997E-2</v>
      </c>
      <c r="CR70">
        <f>'2012_2020'!CP8</f>
        <v>4.24E-2</v>
      </c>
      <c r="CS70">
        <f>'2012_2020'!CQ8</f>
        <v>3.6999999999999998E-2</v>
      </c>
      <c r="CT70">
        <f>'2012_2020'!CR8</f>
        <v>4.2599999999999999E-2</v>
      </c>
      <c r="CU70">
        <f>'2012_2020'!CS8</f>
        <v>3.3700000000000001E-2</v>
      </c>
      <c r="CV70">
        <f>'2012_2020'!CT8</f>
        <v>4.0099999999999997E-2</v>
      </c>
      <c r="CW70">
        <f>'2012_2020'!CU8</f>
        <v>4.0500000000000001E-2</v>
      </c>
      <c r="CX70">
        <f>'2012_2020'!CV8</f>
        <v>3.78E-2</v>
      </c>
    </row>
    <row r="71" spans="1:102" x14ac:dyDescent="0.2">
      <c r="A71" t="s">
        <v>210</v>
      </c>
      <c r="B71" t="s">
        <v>218</v>
      </c>
      <c r="C71" t="s">
        <v>222</v>
      </c>
      <c r="D71">
        <f>'2012_2020'!B9</f>
        <v>-6.6899999999999998E-3</v>
      </c>
      <c r="E71">
        <f>'2012_2020'!C9</f>
        <v>-7.92E-3</v>
      </c>
      <c r="F71">
        <f>'2012_2020'!D9</f>
        <v>-7.2700000000000004E-3</v>
      </c>
      <c r="G71">
        <f>'2012_2020'!E9</f>
        <v>-6.4700000000000001E-3</v>
      </c>
      <c r="H71">
        <f>'2012_2020'!F9</f>
        <v>-5.8599999999999998E-3</v>
      </c>
      <c r="I71">
        <f>'2012_2020'!G9</f>
        <v>-5.8700000000000002E-3</v>
      </c>
      <c r="J71">
        <f>'2012_2020'!H9</f>
        <v>-5.1700000000000001E-3</v>
      </c>
      <c r="K71">
        <f>'2012_2020'!I9</f>
        <v>-4.5700000000000003E-3</v>
      </c>
      <c r="L71">
        <f>'2012_2020'!J9</f>
        <v>-4.3400000000000001E-3</v>
      </c>
      <c r="M71">
        <f>'2012_2020'!K9</f>
        <v>-3.31E-3</v>
      </c>
      <c r="N71">
        <f>'2012_2020'!L9</f>
        <v>-3.0500000000000002E-3</v>
      </c>
      <c r="O71">
        <f>'2012_2020'!M9</f>
        <v>-2.6900000000000001E-3</v>
      </c>
      <c r="P71">
        <f>'2012_2020'!N9</f>
        <v>-2.3600000000000001E-3</v>
      </c>
      <c r="Q71">
        <f>'2012_2020'!O9</f>
        <v>-2.0500000000000002E-3</v>
      </c>
      <c r="R71">
        <f>'2012_2020'!P9</f>
        <v>-1.6999999999999999E-3</v>
      </c>
      <c r="S71">
        <f>'2012_2020'!Q9</f>
        <v>-1.58E-3</v>
      </c>
      <c r="T71">
        <f>'2012_2020'!R9</f>
        <v>-1.5499999999999999E-3</v>
      </c>
      <c r="U71">
        <f>'2012_2020'!S9</f>
        <v>-1.5200000000000001E-3</v>
      </c>
      <c r="V71">
        <f>'2012_2020'!T9</f>
        <v>-1.5299999999999999E-3</v>
      </c>
      <c r="W71">
        <f>'2012_2020'!U9</f>
        <v>-1.5299999999999999E-3</v>
      </c>
      <c r="X71">
        <f>'2012_2020'!V9</f>
        <v>-1.6299999999999999E-3</v>
      </c>
      <c r="Y71">
        <f>'2012_2020'!W9</f>
        <v>-1.7099999999999999E-3</v>
      </c>
      <c r="Z71">
        <f>'2012_2020'!X9</f>
        <v>-1.7600000000000001E-3</v>
      </c>
      <c r="AA71">
        <f>'2012_2020'!Y9</f>
        <v>-1.8400000000000001E-3</v>
      </c>
      <c r="AB71">
        <f>'2012_2020'!Z9</f>
        <v>-1.8699999999999999E-3</v>
      </c>
      <c r="AC71">
        <f>'2012_2020'!AA9</f>
        <v>-1.9300000000000001E-3</v>
      </c>
      <c r="AD71">
        <f>'2012_2020'!AB9</f>
        <v>-2E-3</v>
      </c>
      <c r="AE71">
        <f>'2012_2020'!AC9</f>
        <v>-2.0999999999999999E-3</v>
      </c>
      <c r="AF71">
        <f>'2012_2020'!AD9</f>
        <v>-2.1800000000000001E-3</v>
      </c>
      <c r="AG71">
        <f>'2012_2020'!AE9</f>
        <v>-2.3E-3</v>
      </c>
      <c r="AH71">
        <f>'2012_2020'!AF9</f>
        <v>-2.4599999999999999E-3</v>
      </c>
      <c r="AI71">
        <f>'2012_2020'!AG9</f>
        <v>-2.5799999999999998E-3</v>
      </c>
      <c r="AJ71">
        <f>'2012_2020'!AH9</f>
        <v>-2.6800000000000001E-3</v>
      </c>
      <c r="AK71">
        <f>'2012_2020'!AI9</f>
        <v>-2.8400000000000001E-3</v>
      </c>
      <c r="AL71">
        <f>'2012_2020'!AJ9</f>
        <v>-2.98E-3</v>
      </c>
      <c r="AM71">
        <f>'2012_2020'!AK9</f>
        <v>-3.13E-3</v>
      </c>
      <c r="AN71">
        <f>'2012_2020'!AL9</f>
        <v>-3.2200000000000002E-3</v>
      </c>
      <c r="AO71">
        <f>'2012_2020'!AM9</f>
        <v>-3.4399999999999999E-3</v>
      </c>
      <c r="AP71">
        <f>'2012_2020'!AN9</f>
        <v>-3.5899999999999999E-3</v>
      </c>
      <c r="AQ71">
        <f>'2012_2020'!AO9</f>
        <v>-3.8400000000000001E-3</v>
      </c>
      <c r="AR71">
        <f>'2012_2020'!AP9</f>
        <v>-3.9500000000000004E-3</v>
      </c>
      <c r="AS71">
        <f>'2012_2020'!AQ9</f>
        <v>-4.0699999999999998E-3</v>
      </c>
      <c r="AT71">
        <f>'2012_2020'!AR9</f>
        <v>-4.1399999999999996E-3</v>
      </c>
      <c r="AU71">
        <f>'2012_2020'!AS9</f>
        <v>-4.1700000000000001E-3</v>
      </c>
      <c r="AV71">
        <f>'2012_2020'!AT9</f>
        <v>-4.1599999999999996E-3</v>
      </c>
      <c r="AW71">
        <f>'2012_2020'!AU9</f>
        <v>-4.1799999999999997E-3</v>
      </c>
      <c r="AX71">
        <f>'2012_2020'!AV9</f>
        <v>-4.1999999999999997E-3</v>
      </c>
      <c r="AY71">
        <f>'2012_2020'!AW9</f>
        <v>-4.3200000000000001E-3</v>
      </c>
      <c r="AZ71">
        <f>'2012_2020'!AX9</f>
        <v>-4.4000000000000003E-3</v>
      </c>
      <c r="BA71">
        <f>'2012_2020'!AY9</f>
        <v>-4.5599999999999998E-3</v>
      </c>
      <c r="BB71">
        <f>'2012_2020'!AZ9</f>
        <v>-4.6499999999999996E-3</v>
      </c>
      <c r="BC71">
        <f>'2012_2020'!BA9</f>
        <v>-4.8999999999999998E-3</v>
      </c>
      <c r="BD71">
        <f>'2012_2020'!BB9</f>
        <v>-5.13E-3</v>
      </c>
      <c r="BE71">
        <f>'2012_2020'!BC9</f>
        <v>-5.2399999999999999E-3</v>
      </c>
      <c r="BF71">
        <f>'2012_2020'!BD9</f>
        <v>-5.2900000000000004E-3</v>
      </c>
      <c r="BG71">
        <f>'2012_2020'!BE9</f>
        <v>-5.3200000000000001E-3</v>
      </c>
      <c r="BH71">
        <f>'2012_2020'!BF9</f>
        <v>-5.28E-3</v>
      </c>
      <c r="BI71">
        <f>'2012_2020'!BG9</f>
        <v>-5.1799999999999997E-3</v>
      </c>
      <c r="BJ71">
        <f>'2012_2020'!BH9</f>
        <v>-5.1700000000000001E-3</v>
      </c>
      <c r="BK71">
        <f>'2012_2020'!BI9</f>
        <v>-5.13E-3</v>
      </c>
      <c r="BL71">
        <f>'2012_2020'!BJ9</f>
        <v>-5.1500000000000001E-3</v>
      </c>
      <c r="BM71">
        <f>'2012_2020'!BK9</f>
        <v>-5.2500000000000003E-3</v>
      </c>
      <c r="BN71">
        <f>'2012_2020'!BL9</f>
        <v>-5.5100000000000001E-3</v>
      </c>
      <c r="BO71">
        <f>'2012_2020'!BM9</f>
        <v>-5.5199999999999997E-3</v>
      </c>
      <c r="BP71">
        <f>'2012_2020'!BN9</f>
        <v>-5.64E-3</v>
      </c>
      <c r="BQ71">
        <f>'2012_2020'!BO9</f>
        <v>-5.6600000000000001E-3</v>
      </c>
      <c r="BR71">
        <f>'2012_2020'!BP9</f>
        <v>-5.6100000000000004E-3</v>
      </c>
      <c r="BS71">
        <f>'2012_2020'!BQ9</f>
        <v>-5.5900000000000004E-3</v>
      </c>
      <c r="BT71">
        <f>'2012_2020'!BR9</f>
        <v>-5.5300000000000002E-3</v>
      </c>
      <c r="BU71">
        <f>'2012_2020'!BS9</f>
        <v>-5.5599999999999998E-3</v>
      </c>
      <c r="BV71">
        <f>'2012_2020'!BT9</f>
        <v>-5.8799999999999998E-3</v>
      </c>
      <c r="BW71">
        <f>'2012_2020'!BU9</f>
        <v>-6.1000000000000004E-3</v>
      </c>
      <c r="BX71">
        <f>'2012_2020'!BV9</f>
        <v>-6.1700000000000001E-3</v>
      </c>
      <c r="BY71">
        <f>'2012_2020'!BW9</f>
        <v>-6.3600000000000002E-3</v>
      </c>
      <c r="BZ71">
        <f>'2012_2020'!BX9</f>
        <v>-6.3099999999999996E-3</v>
      </c>
      <c r="CA71">
        <f>'2012_2020'!BY9</f>
        <v>-6.2500000000000003E-3</v>
      </c>
      <c r="CB71">
        <f>'2012_2020'!BZ9</f>
        <v>-6.0099999999999997E-3</v>
      </c>
      <c r="CC71">
        <f>'2012_2020'!CA9</f>
        <v>-6.3499999999999997E-3</v>
      </c>
      <c r="CD71">
        <f>'2012_2020'!CB9</f>
        <v>-6.6800000000000002E-3</v>
      </c>
      <c r="CE71">
        <f>'2012_2020'!CC9</f>
        <v>-6.7299999999999999E-3</v>
      </c>
      <c r="CF71">
        <f>'2012_2020'!CD9</f>
        <v>-6.9800000000000001E-3</v>
      </c>
      <c r="CG71">
        <f>'2012_2020'!CE9</f>
        <v>-6.6299999999999996E-3</v>
      </c>
      <c r="CH71">
        <f>'2012_2020'!CF9</f>
        <v>-6.3E-3</v>
      </c>
      <c r="CI71">
        <f>'2012_2020'!CG9</f>
        <v>-6.1199999999999996E-3</v>
      </c>
      <c r="CJ71">
        <f>'2012_2020'!CH9</f>
        <v>-6.45E-3</v>
      </c>
      <c r="CK71">
        <f>'2012_2020'!CI9</f>
        <v>-7.7099999999999998E-3</v>
      </c>
      <c r="CL71">
        <f>'2012_2020'!CJ9</f>
        <v>-7.5900000000000004E-3</v>
      </c>
      <c r="CM71">
        <f>'2012_2020'!CK9</f>
        <v>-7.4700000000000001E-3</v>
      </c>
      <c r="CN71">
        <f>'2012_2020'!CL9</f>
        <v>-7.7000000000000002E-3</v>
      </c>
      <c r="CO71">
        <f>'2012_2020'!CM9</f>
        <v>-7.7000000000000002E-3</v>
      </c>
      <c r="CP71">
        <f>'2012_2020'!CN9</f>
        <v>-7.4599999999999996E-3</v>
      </c>
      <c r="CQ71">
        <f>'2012_2020'!CO9</f>
        <v>-8.6999999999999994E-3</v>
      </c>
      <c r="CR71">
        <f>'2012_2020'!CP9</f>
        <v>-9.5200000000000007E-3</v>
      </c>
      <c r="CS71">
        <f>'2012_2020'!CQ9</f>
        <v>-8.3499999999999998E-3</v>
      </c>
      <c r="CT71">
        <f>'2012_2020'!CR9</f>
        <v>-1.0200000000000001E-2</v>
      </c>
      <c r="CU71">
        <f>'2012_2020'!CS9</f>
        <v>-8.2900000000000005E-3</v>
      </c>
      <c r="CV71">
        <f>'2012_2020'!CT9</f>
        <v>-9.3900000000000008E-3</v>
      </c>
      <c r="CW71">
        <f>'2012_2020'!CU9</f>
        <v>-9.7900000000000001E-3</v>
      </c>
      <c r="CX71">
        <f>'2012_2020'!CV9</f>
        <v>-9.4500000000000001E-3</v>
      </c>
    </row>
    <row r="72" spans="1:102" x14ac:dyDescent="0.2">
      <c r="A72" t="s">
        <v>211</v>
      </c>
      <c r="B72" t="s">
        <v>218</v>
      </c>
      <c r="C72" t="s">
        <v>222</v>
      </c>
      <c r="D72">
        <f>'2012_2020'!B10</f>
        <v>-4.1999999999999997E-3</v>
      </c>
      <c r="E72">
        <f>'2012_2020'!C10</f>
        <v>-4.7400000000000003E-3</v>
      </c>
      <c r="F72">
        <f>'2012_2020'!D10</f>
        <v>-4.4000000000000003E-3</v>
      </c>
      <c r="G72">
        <f>'2012_2020'!E10</f>
        <v>-4.15E-3</v>
      </c>
      <c r="H72">
        <f>'2012_2020'!F10</f>
        <v>-3.7299999999999998E-3</v>
      </c>
      <c r="I72">
        <f>'2012_2020'!G10</f>
        <v>-3.7200000000000002E-3</v>
      </c>
      <c r="J72">
        <f>'2012_2020'!H10</f>
        <v>-3.5699999999999998E-3</v>
      </c>
      <c r="K72">
        <f>'2012_2020'!I10</f>
        <v>-3.64E-3</v>
      </c>
      <c r="L72">
        <f>'2012_2020'!J10</f>
        <v>-3.3700000000000002E-3</v>
      </c>
      <c r="M72">
        <f>'2012_2020'!K10</f>
        <v>-2.8500000000000001E-3</v>
      </c>
      <c r="N72">
        <f>'2012_2020'!L10</f>
        <v>-2.9399999999999999E-3</v>
      </c>
      <c r="O72">
        <f>'2012_2020'!M10</f>
        <v>-2.8800000000000002E-3</v>
      </c>
      <c r="P72">
        <f>'2012_2020'!N10</f>
        <v>-2.7100000000000002E-3</v>
      </c>
      <c r="Q72">
        <f>'2012_2020'!O10</f>
        <v>-2.6099999999999999E-3</v>
      </c>
      <c r="R72">
        <f>'2012_2020'!P10</f>
        <v>-2.2100000000000002E-3</v>
      </c>
      <c r="S72">
        <f>'2012_2020'!Q10</f>
        <v>-2.1700000000000001E-3</v>
      </c>
      <c r="T72">
        <f>'2012_2020'!R10</f>
        <v>-1.99E-3</v>
      </c>
      <c r="U72">
        <f>'2012_2020'!S10</f>
        <v>-2.0899999999999998E-3</v>
      </c>
      <c r="V72">
        <f>'2012_2020'!T10</f>
        <v>-2.0300000000000001E-3</v>
      </c>
      <c r="W72">
        <f>'2012_2020'!U10</f>
        <v>-2.0200000000000001E-3</v>
      </c>
      <c r="X72">
        <f>'2012_2020'!V10</f>
        <v>-2.0400000000000001E-3</v>
      </c>
      <c r="Y72">
        <f>'2012_2020'!W10</f>
        <v>-2.1199999999999999E-3</v>
      </c>
      <c r="Z72">
        <f>'2012_2020'!X10</f>
        <v>-2.1099999999999999E-3</v>
      </c>
      <c r="AA72">
        <f>'2012_2020'!Y10</f>
        <v>-2.1900000000000001E-3</v>
      </c>
      <c r="AB72">
        <f>'2012_2020'!Z10</f>
        <v>-2.1199999999999999E-3</v>
      </c>
      <c r="AC72">
        <f>'2012_2020'!AA10</f>
        <v>-2.1199999999999999E-3</v>
      </c>
      <c r="AD72">
        <f>'2012_2020'!AB10</f>
        <v>-2.2000000000000001E-3</v>
      </c>
      <c r="AE72">
        <f>'2012_2020'!AC10</f>
        <v>-2.1800000000000001E-3</v>
      </c>
      <c r="AF72">
        <f>'2012_2020'!AD10</f>
        <v>-2.2499999999999998E-3</v>
      </c>
      <c r="AG72">
        <f>'2012_2020'!AE10</f>
        <v>-2.5200000000000001E-3</v>
      </c>
      <c r="AH72">
        <f>'2012_2020'!AF10</f>
        <v>-2.5500000000000002E-3</v>
      </c>
      <c r="AI72">
        <f>'2012_2020'!AG10</f>
        <v>-2.65E-3</v>
      </c>
      <c r="AJ72">
        <f>'2012_2020'!AH10</f>
        <v>-2.8E-3</v>
      </c>
      <c r="AK72">
        <f>'2012_2020'!AI10</f>
        <v>-2.8700000000000002E-3</v>
      </c>
      <c r="AL72">
        <f>'2012_2020'!AJ10</f>
        <v>-3.0100000000000001E-3</v>
      </c>
      <c r="AM72">
        <f>'2012_2020'!AK10</f>
        <v>-3.0799999999999998E-3</v>
      </c>
      <c r="AN72">
        <f>'2012_2020'!AL10</f>
        <v>-3.1099999999999999E-3</v>
      </c>
      <c r="AO72">
        <f>'2012_2020'!AM10</f>
        <v>-3.3800000000000002E-3</v>
      </c>
      <c r="AP72">
        <f>'2012_2020'!AN10</f>
        <v>-3.5300000000000002E-3</v>
      </c>
      <c r="AQ72">
        <f>'2012_2020'!AO10</f>
        <v>-3.5699999999999998E-3</v>
      </c>
      <c r="AR72">
        <f>'2012_2020'!AP10</f>
        <v>-3.7200000000000002E-3</v>
      </c>
      <c r="AS72">
        <f>'2012_2020'!AQ10</f>
        <v>-3.7499999999999999E-3</v>
      </c>
      <c r="AT72">
        <f>'2012_2020'!AR10</f>
        <v>-3.8E-3</v>
      </c>
      <c r="AU72">
        <f>'2012_2020'!AS10</f>
        <v>-3.8E-3</v>
      </c>
      <c r="AV72">
        <f>'2012_2020'!AT10</f>
        <v>-3.79E-3</v>
      </c>
      <c r="AW72">
        <f>'2012_2020'!AU10</f>
        <v>-3.8999999999999998E-3</v>
      </c>
      <c r="AX72">
        <f>'2012_2020'!AV10</f>
        <v>-3.9699999999999996E-3</v>
      </c>
      <c r="AY72">
        <f>'2012_2020'!AW10</f>
        <v>-3.9199999999999999E-3</v>
      </c>
      <c r="AZ72">
        <f>'2012_2020'!AX10</f>
        <v>-4.0499999999999998E-3</v>
      </c>
      <c r="BA72">
        <f>'2012_2020'!AY10</f>
        <v>-4.1399999999999996E-3</v>
      </c>
      <c r="BB72">
        <f>'2012_2020'!AZ10</f>
        <v>-4.1999999999999997E-3</v>
      </c>
      <c r="BC72">
        <f>'2012_2020'!BA10</f>
        <v>-4.3800000000000002E-3</v>
      </c>
      <c r="BD72">
        <f>'2012_2020'!BB10</f>
        <v>-4.62E-3</v>
      </c>
      <c r="BE72">
        <f>'2012_2020'!BC10</f>
        <v>-4.9100000000000003E-3</v>
      </c>
      <c r="BF72">
        <f>'2012_2020'!BD10</f>
        <v>-4.9199999999999999E-3</v>
      </c>
      <c r="BG72">
        <f>'2012_2020'!BE10</f>
        <v>-4.9800000000000001E-3</v>
      </c>
      <c r="BH72">
        <f>'2012_2020'!BF10</f>
        <v>-5.0099999999999997E-3</v>
      </c>
      <c r="BI72">
        <f>'2012_2020'!BG10</f>
        <v>-5.0499999999999998E-3</v>
      </c>
      <c r="BJ72">
        <f>'2012_2020'!BH10</f>
        <v>-5.1999999999999998E-3</v>
      </c>
      <c r="BK72">
        <f>'2012_2020'!BI10</f>
        <v>-5.0400000000000002E-3</v>
      </c>
      <c r="BL72">
        <f>'2012_2020'!BJ10</f>
        <v>-4.9800000000000001E-3</v>
      </c>
      <c r="BM72">
        <f>'2012_2020'!BK10</f>
        <v>-5.2700000000000004E-3</v>
      </c>
      <c r="BN72">
        <f>'2012_2020'!BL10</f>
        <v>-5.5999999999999999E-3</v>
      </c>
      <c r="BO72">
        <f>'2012_2020'!BM10</f>
        <v>-5.79E-3</v>
      </c>
      <c r="BP72">
        <f>'2012_2020'!BN10</f>
        <v>-5.94E-3</v>
      </c>
      <c r="BQ72">
        <f>'2012_2020'!BO10</f>
        <v>-6.0099999999999997E-3</v>
      </c>
      <c r="BR72">
        <f>'2012_2020'!BP10</f>
        <v>-6.2599999999999999E-3</v>
      </c>
      <c r="BS72">
        <f>'2012_2020'!BQ10</f>
        <v>-6.2700000000000004E-3</v>
      </c>
      <c r="BT72">
        <f>'2012_2020'!BR10</f>
        <v>-6.13E-3</v>
      </c>
      <c r="BU72">
        <f>'2012_2020'!BS10</f>
        <v>-6.2100000000000002E-3</v>
      </c>
      <c r="BV72">
        <f>'2012_2020'!BT10</f>
        <v>-6.7400000000000003E-3</v>
      </c>
      <c r="BW72">
        <f>'2012_2020'!BU10</f>
        <v>-7.0299999999999998E-3</v>
      </c>
      <c r="BX72">
        <f>'2012_2020'!BV10</f>
        <v>-7.11E-3</v>
      </c>
      <c r="BY72">
        <f>'2012_2020'!BW10</f>
        <v>-7.2399999999999999E-3</v>
      </c>
      <c r="BZ72">
        <f>'2012_2020'!BX10</f>
        <v>-7.26E-3</v>
      </c>
      <c r="CA72">
        <f>'2012_2020'!BY10</f>
        <v>-7.4099999999999999E-3</v>
      </c>
      <c r="CB72">
        <f>'2012_2020'!BZ10</f>
        <v>-7.0099999999999997E-3</v>
      </c>
      <c r="CC72">
        <f>'2012_2020'!CA10</f>
        <v>-7.3600000000000002E-3</v>
      </c>
      <c r="CD72">
        <f>'2012_2020'!CB10</f>
        <v>-7.6299999999999996E-3</v>
      </c>
      <c r="CE72">
        <f>'2012_2020'!CC10</f>
        <v>-7.9100000000000004E-3</v>
      </c>
      <c r="CF72">
        <f>'2012_2020'!CD10</f>
        <v>-8.2000000000000007E-3</v>
      </c>
      <c r="CG72">
        <f>'2012_2020'!CE10</f>
        <v>-7.9000000000000008E-3</v>
      </c>
      <c r="CH72">
        <f>'2012_2020'!CF10</f>
        <v>-7.6099999999999996E-3</v>
      </c>
      <c r="CI72">
        <f>'2012_2020'!CG10</f>
        <v>-7.0099999999999997E-3</v>
      </c>
      <c r="CJ72">
        <f>'2012_2020'!CH10</f>
        <v>-7.3499999999999998E-3</v>
      </c>
      <c r="CK72">
        <f>'2012_2020'!CI10</f>
        <v>-9.0200000000000002E-3</v>
      </c>
      <c r="CL72">
        <f>'2012_2020'!CJ10</f>
        <v>-8.8299999999999993E-3</v>
      </c>
      <c r="CM72">
        <f>'2012_2020'!CK10</f>
        <v>-8.7100000000000007E-3</v>
      </c>
      <c r="CN72">
        <f>'2012_2020'!CL10</f>
        <v>-8.7899999999999992E-3</v>
      </c>
      <c r="CO72">
        <f>'2012_2020'!CM10</f>
        <v>-8.4799999999999997E-3</v>
      </c>
      <c r="CP72">
        <f>'2012_2020'!CN10</f>
        <v>-8.1399999999999997E-3</v>
      </c>
      <c r="CQ72">
        <f>'2012_2020'!CO10</f>
        <v>-9.41E-3</v>
      </c>
      <c r="CR72">
        <f>'2012_2020'!CP10</f>
        <v>-1.0699999999999999E-2</v>
      </c>
      <c r="CS72">
        <f>'2012_2020'!CQ10</f>
        <v>-9.6799999999999994E-3</v>
      </c>
      <c r="CT72">
        <f>'2012_2020'!CR10</f>
        <v>-1.0800000000000001E-2</v>
      </c>
      <c r="CU72">
        <f>'2012_2020'!CS10</f>
        <v>-8.8100000000000001E-3</v>
      </c>
      <c r="CV72">
        <f>'2012_2020'!CT10</f>
        <v>-1.09E-2</v>
      </c>
      <c r="CW72">
        <f>'2012_2020'!CU10</f>
        <v>-1.03E-2</v>
      </c>
      <c r="CX72">
        <f>'2012_2020'!CV10</f>
        <v>-8.7299999999999999E-3</v>
      </c>
    </row>
    <row r="73" spans="1:102" x14ac:dyDescent="0.2">
      <c r="A73" t="s">
        <v>212</v>
      </c>
      <c r="B73" t="s">
        <v>218</v>
      </c>
      <c r="C73" t="s">
        <v>222</v>
      </c>
      <c r="D73">
        <f>'2012_2020'!B11</f>
        <v>9.1500000000000001E-3</v>
      </c>
      <c r="E73">
        <f>'2012_2020'!C11</f>
        <v>1.06E-2</v>
      </c>
      <c r="F73">
        <f>'2012_2020'!D11</f>
        <v>9.6500000000000006E-3</v>
      </c>
      <c r="G73">
        <f>'2012_2020'!E11</f>
        <v>8.6700000000000006E-3</v>
      </c>
      <c r="H73">
        <f>'2012_2020'!F11</f>
        <v>7.7200000000000003E-3</v>
      </c>
      <c r="I73">
        <f>'2012_2020'!G11</f>
        <v>7.3699999999999998E-3</v>
      </c>
      <c r="J73">
        <f>'2012_2020'!H11</f>
        <v>6.94E-3</v>
      </c>
      <c r="K73">
        <f>'2012_2020'!I11</f>
        <v>6.4599999999999996E-3</v>
      </c>
      <c r="L73">
        <f>'2012_2020'!J11</f>
        <v>6.0499999999999998E-3</v>
      </c>
      <c r="M73">
        <f>'2012_2020'!K11</f>
        <v>4.79E-3</v>
      </c>
      <c r="N73">
        <f>'2012_2020'!L11</f>
        <v>4.3699999999999998E-3</v>
      </c>
      <c r="O73">
        <f>'2012_2020'!M11</f>
        <v>3.82E-3</v>
      </c>
      <c r="P73">
        <f>'2012_2020'!N11</f>
        <v>3.4099999999999998E-3</v>
      </c>
      <c r="Q73">
        <f>'2012_2020'!O11</f>
        <v>2.8999999999999998E-3</v>
      </c>
      <c r="R73">
        <f>'2012_2020'!P11</f>
        <v>2.31E-3</v>
      </c>
      <c r="S73">
        <f>'2012_2020'!Q11</f>
        <v>2.0699999999999998E-3</v>
      </c>
      <c r="T73">
        <f>'2012_2020'!R11</f>
        <v>1.9E-3</v>
      </c>
      <c r="U73">
        <f>'2012_2020'!S11</f>
        <v>1.8E-3</v>
      </c>
      <c r="V73">
        <f>'2012_2020'!T11</f>
        <v>1.66E-3</v>
      </c>
      <c r="W73">
        <f>'2012_2020'!U11</f>
        <v>1.57E-3</v>
      </c>
      <c r="X73">
        <f>'2012_2020'!V11</f>
        <v>1.5299999999999999E-3</v>
      </c>
      <c r="Y73">
        <f>'2012_2020'!W11</f>
        <v>1.4599999999999999E-3</v>
      </c>
      <c r="Z73">
        <f>'2012_2020'!X11</f>
        <v>1.42E-3</v>
      </c>
      <c r="AA73">
        <f>'2012_2020'!Y11</f>
        <v>1.39E-3</v>
      </c>
      <c r="AB73">
        <f>'2012_2020'!Z11</f>
        <v>1.34E-3</v>
      </c>
      <c r="AC73">
        <f>'2012_2020'!AA11</f>
        <v>1.33E-3</v>
      </c>
      <c r="AD73">
        <f>'2012_2020'!AB11</f>
        <v>1.2700000000000001E-3</v>
      </c>
      <c r="AE73">
        <f>'2012_2020'!AC11</f>
        <v>1.23E-3</v>
      </c>
      <c r="AF73">
        <f>'2012_2020'!AD11</f>
        <v>1.23E-3</v>
      </c>
      <c r="AG73">
        <f>'2012_2020'!AE11</f>
        <v>1.1999999999999999E-3</v>
      </c>
      <c r="AH73">
        <f>'2012_2020'!AF11</f>
        <v>1.1900000000000001E-3</v>
      </c>
      <c r="AI73">
        <f>'2012_2020'!AG11</f>
        <v>1.17E-3</v>
      </c>
      <c r="AJ73">
        <f>'2012_2020'!AH11</f>
        <v>1.1999999999999999E-3</v>
      </c>
      <c r="AK73">
        <f>'2012_2020'!AI11</f>
        <v>1.2199999999999999E-3</v>
      </c>
      <c r="AL73">
        <f>'2012_2020'!AJ11</f>
        <v>1.2700000000000001E-3</v>
      </c>
      <c r="AM73">
        <f>'2012_2020'!AK11</f>
        <v>1.2600000000000001E-3</v>
      </c>
      <c r="AN73">
        <f>'2012_2020'!AL11</f>
        <v>1.25E-3</v>
      </c>
      <c r="AO73">
        <f>'2012_2020'!AM11</f>
        <v>1.2800000000000001E-3</v>
      </c>
      <c r="AP73">
        <f>'2012_2020'!AN11</f>
        <v>1.2700000000000001E-3</v>
      </c>
      <c r="AQ73">
        <f>'2012_2020'!AO11</f>
        <v>1.2800000000000001E-3</v>
      </c>
      <c r="AR73">
        <f>'2012_2020'!AP11</f>
        <v>1.2899999999999999E-3</v>
      </c>
      <c r="AS73">
        <f>'2012_2020'!AQ11</f>
        <v>1.2999999999999999E-3</v>
      </c>
      <c r="AT73">
        <f>'2012_2020'!AR11</f>
        <v>1.2800000000000001E-3</v>
      </c>
      <c r="AU73">
        <f>'2012_2020'!AS11</f>
        <v>1.25E-3</v>
      </c>
      <c r="AV73">
        <f>'2012_2020'!AT11</f>
        <v>1.2199999999999999E-3</v>
      </c>
      <c r="AW73">
        <f>'2012_2020'!AU11</f>
        <v>1.24E-3</v>
      </c>
      <c r="AX73">
        <f>'2012_2020'!AV11</f>
        <v>1.2199999999999999E-3</v>
      </c>
      <c r="AY73">
        <f>'2012_2020'!AW11</f>
        <v>1.16E-3</v>
      </c>
      <c r="AZ73">
        <f>'2012_2020'!AX11</f>
        <v>1.14E-3</v>
      </c>
      <c r="BA73">
        <f>'2012_2020'!AY11</f>
        <v>1.1199999999999999E-3</v>
      </c>
      <c r="BB73">
        <f>'2012_2020'!AZ11</f>
        <v>1.1199999999999999E-3</v>
      </c>
      <c r="BC73">
        <f>'2012_2020'!BA11</f>
        <v>1.17E-3</v>
      </c>
      <c r="BD73">
        <f>'2012_2020'!BB11</f>
        <v>1.2099999999999999E-3</v>
      </c>
      <c r="BE73">
        <f>'2012_2020'!BC11</f>
        <v>1.2099999999999999E-3</v>
      </c>
      <c r="BF73">
        <f>'2012_2020'!BD11</f>
        <v>1.2099999999999999E-3</v>
      </c>
      <c r="BG73">
        <f>'2012_2020'!BE11</f>
        <v>1.1900000000000001E-3</v>
      </c>
      <c r="BH73">
        <f>'2012_2020'!BF11</f>
        <v>1.1299999999999999E-3</v>
      </c>
      <c r="BI73">
        <f>'2012_2020'!BG11</f>
        <v>1.1100000000000001E-3</v>
      </c>
      <c r="BJ73">
        <f>'2012_2020'!BH11</f>
        <v>1.14E-3</v>
      </c>
      <c r="BK73">
        <f>'2012_2020'!BI11</f>
        <v>1.09E-3</v>
      </c>
      <c r="BL73">
        <f>'2012_2020'!BJ11</f>
        <v>1.09E-3</v>
      </c>
      <c r="BM73">
        <f>'2012_2020'!BK11</f>
        <v>1.09E-3</v>
      </c>
      <c r="BN73">
        <f>'2012_2020'!BL11</f>
        <v>1.09E-3</v>
      </c>
      <c r="BO73">
        <f>'2012_2020'!BM11</f>
        <v>1.08E-3</v>
      </c>
      <c r="BP73">
        <f>'2012_2020'!BN11</f>
        <v>1.1199999999999999E-3</v>
      </c>
      <c r="BQ73">
        <f>'2012_2020'!BO11</f>
        <v>1.16E-3</v>
      </c>
      <c r="BR73">
        <f>'2012_2020'!BP11</f>
        <v>1.1199999999999999E-3</v>
      </c>
      <c r="BS73">
        <f>'2012_2020'!BQ11</f>
        <v>1.09E-3</v>
      </c>
      <c r="BT73">
        <f>'2012_2020'!BR11</f>
        <v>1.1000000000000001E-3</v>
      </c>
      <c r="BU73">
        <f>'2012_2020'!BS11</f>
        <v>1.14E-3</v>
      </c>
      <c r="BV73">
        <f>'2012_2020'!BT11</f>
        <v>1.2600000000000001E-3</v>
      </c>
      <c r="BW73">
        <f>'2012_2020'!BU11</f>
        <v>1.32E-3</v>
      </c>
      <c r="BX73">
        <f>'2012_2020'!BV11</f>
        <v>1.25E-3</v>
      </c>
      <c r="BY73">
        <f>'2012_2020'!BW11</f>
        <v>1.2899999999999999E-3</v>
      </c>
      <c r="BZ73">
        <f>'2012_2020'!BX11</f>
        <v>1.2899999999999999E-3</v>
      </c>
      <c r="CA73">
        <f>'2012_2020'!BY11</f>
        <v>1.2800000000000001E-3</v>
      </c>
      <c r="CB73">
        <f>'2012_2020'!BZ11</f>
        <v>1.2099999999999999E-3</v>
      </c>
      <c r="CC73">
        <f>'2012_2020'!CA11</f>
        <v>1.24E-3</v>
      </c>
      <c r="CD73">
        <f>'2012_2020'!CB11</f>
        <v>1.1800000000000001E-3</v>
      </c>
      <c r="CE73">
        <f>'2012_2020'!CC11</f>
        <v>1.15E-3</v>
      </c>
      <c r="CF73">
        <f>'2012_2020'!CD11</f>
        <v>1.1100000000000001E-3</v>
      </c>
      <c r="CG73">
        <f>'2012_2020'!CE11</f>
        <v>1.06E-3</v>
      </c>
      <c r="CH73">
        <f>'2012_2020'!CF11</f>
        <v>9.6299999999999999E-4</v>
      </c>
      <c r="CI73">
        <f>'2012_2020'!CG11</f>
        <v>8.92E-4</v>
      </c>
      <c r="CJ73">
        <f>'2012_2020'!CH11</f>
        <v>7.7899999999999996E-4</v>
      </c>
      <c r="CK73">
        <f>'2012_2020'!CI11</f>
        <v>9.3000000000000005E-4</v>
      </c>
      <c r="CL73">
        <f>'2012_2020'!CJ11</f>
        <v>9.3999999999999997E-4</v>
      </c>
      <c r="CM73">
        <f>'2012_2020'!CK11</f>
        <v>8.8000000000000003E-4</v>
      </c>
      <c r="CN73">
        <f>'2012_2020'!CL11</f>
        <v>9.0799999999999995E-4</v>
      </c>
      <c r="CO73">
        <f>'2012_2020'!CM11</f>
        <v>8.2600000000000002E-4</v>
      </c>
      <c r="CP73">
        <f>'2012_2020'!CN11</f>
        <v>7.7999999999999999E-4</v>
      </c>
      <c r="CQ73">
        <f>'2012_2020'!CO11</f>
        <v>8.1700000000000002E-4</v>
      </c>
      <c r="CR73">
        <f>'2012_2020'!CP11</f>
        <v>8.7699999999999996E-4</v>
      </c>
      <c r="CS73">
        <f>'2012_2020'!CQ11</f>
        <v>7.3300000000000004E-4</v>
      </c>
      <c r="CT73">
        <f>'2012_2020'!CR11</f>
        <v>7.45E-4</v>
      </c>
      <c r="CU73">
        <f>'2012_2020'!CS11</f>
        <v>5.5800000000000001E-4</v>
      </c>
      <c r="CV73">
        <f>'2012_2020'!CT11</f>
        <v>7.3999999999999999E-4</v>
      </c>
      <c r="CW73">
        <f>'2012_2020'!CU11</f>
        <v>5.13E-4</v>
      </c>
      <c r="CX73">
        <f>'2012_2020'!CV11</f>
        <v>6.9200000000000002E-4</v>
      </c>
    </row>
    <row r="74" spans="1:102" x14ac:dyDescent="0.2">
      <c r="A74" t="s">
        <v>213</v>
      </c>
      <c r="B74" t="s">
        <v>218</v>
      </c>
      <c r="C74" t="s">
        <v>222</v>
      </c>
      <c r="D74">
        <f>'2012_2020'!B12</f>
        <v>-1.29E-2</v>
      </c>
      <c r="E74">
        <f>'2012_2020'!C12</f>
        <v>-1.83E-2</v>
      </c>
      <c r="F74">
        <f>'2012_2020'!D12</f>
        <v>-1.9300000000000001E-2</v>
      </c>
      <c r="G74">
        <f>'2012_2020'!E12</f>
        <v>-2.01E-2</v>
      </c>
      <c r="H74">
        <f>'2012_2020'!F12</f>
        <v>-2.01E-2</v>
      </c>
      <c r="I74">
        <f>'2012_2020'!G12</f>
        <v>-2.1999999999999999E-2</v>
      </c>
      <c r="J74">
        <f>'2012_2020'!H12</f>
        <v>-2.1999999999999999E-2</v>
      </c>
      <c r="K74">
        <f>'2012_2020'!I12</f>
        <v>-2.1299999999999999E-2</v>
      </c>
      <c r="L74">
        <f>'2012_2020'!J12</f>
        <v>-2.1600000000000001E-2</v>
      </c>
      <c r="M74">
        <f>'2012_2020'!K12</f>
        <v>-1.7500000000000002E-2</v>
      </c>
      <c r="N74">
        <f>'2012_2020'!L12</f>
        <v>-1.7000000000000001E-2</v>
      </c>
      <c r="O74">
        <f>'2012_2020'!M12</f>
        <v>-1.5900000000000001E-2</v>
      </c>
      <c r="P74">
        <f>'2012_2020'!N12</f>
        <v>-1.43E-2</v>
      </c>
      <c r="Q74">
        <f>'2012_2020'!O12</f>
        <v>-1.24E-2</v>
      </c>
      <c r="R74">
        <f>'2012_2020'!P12</f>
        <v>-0.01</v>
      </c>
      <c r="S74">
        <f>'2012_2020'!Q12</f>
        <v>-8.9099999999999995E-3</v>
      </c>
      <c r="T74">
        <f>'2012_2020'!R12</f>
        <v>-8.3499999999999998E-3</v>
      </c>
      <c r="U74">
        <f>'2012_2020'!S12</f>
        <v>-8.0499999999999999E-3</v>
      </c>
      <c r="V74">
        <f>'2012_2020'!T12</f>
        <v>-7.0600000000000003E-3</v>
      </c>
      <c r="W74">
        <f>'2012_2020'!U12</f>
        <v>-6.5100000000000002E-3</v>
      </c>
      <c r="X74">
        <f>'2012_2020'!V12</f>
        <v>-6.1599999999999997E-3</v>
      </c>
      <c r="Y74">
        <f>'2012_2020'!W12</f>
        <v>-5.8799999999999998E-3</v>
      </c>
      <c r="Z74">
        <f>'2012_2020'!X12</f>
        <v>-5.5399999999999998E-3</v>
      </c>
      <c r="AA74">
        <f>'2012_2020'!Y12</f>
        <v>-5.11E-3</v>
      </c>
      <c r="AB74">
        <f>'2012_2020'!Z12</f>
        <v>-4.7299999999999998E-3</v>
      </c>
      <c r="AC74">
        <f>'2012_2020'!AA12</f>
        <v>-4.4000000000000003E-3</v>
      </c>
      <c r="AD74">
        <f>'2012_2020'!AB12</f>
        <v>-4.1799999999999997E-3</v>
      </c>
      <c r="AE74">
        <f>'2012_2020'!AC12</f>
        <v>-4.0600000000000002E-3</v>
      </c>
      <c r="AF74">
        <f>'2012_2020'!AD12</f>
        <v>-3.9100000000000003E-3</v>
      </c>
      <c r="AG74">
        <f>'2012_2020'!AE12</f>
        <v>-3.8400000000000001E-3</v>
      </c>
      <c r="AH74">
        <f>'2012_2020'!AF12</f>
        <v>-3.6800000000000001E-3</v>
      </c>
      <c r="AI74">
        <f>'2012_2020'!AG12</f>
        <v>-3.4499999999999999E-3</v>
      </c>
      <c r="AJ74">
        <f>'2012_2020'!AH12</f>
        <v>-3.3E-3</v>
      </c>
      <c r="AK74">
        <f>'2012_2020'!AI12</f>
        <v>-3.1700000000000001E-3</v>
      </c>
      <c r="AL74">
        <f>'2012_2020'!AJ12</f>
        <v>-3.0699999999999998E-3</v>
      </c>
      <c r="AM74">
        <f>'2012_2020'!AK12</f>
        <v>-3.0200000000000001E-3</v>
      </c>
      <c r="AN74">
        <f>'2012_2020'!AL12</f>
        <v>-3.0200000000000001E-3</v>
      </c>
      <c r="AO74">
        <f>'2012_2020'!AM12</f>
        <v>-2.9499999999999999E-3</v>
      </c>
      <c r="AP74">
        <f>'2012_2020'!AN12</f>
        <v>-2.82E-3</v>
      </c>
      <c r="AQ74">
        <f>'2012_2020'!AO12</f>
        <v>-2.6199999999999999E-3</v>
      </c>
      <c r="AR74">
        <f>'2012_2020'!AP12</f>
        <v>-2.5000000000000001E-3</v>
      </c>
      <c r="AS74">
        <f>'2012_2020'!AQ12</f>
        <v>-2.2799999999999999E-3</v>
      </c>
      <c r="AT74">
        <f>'2012_2020'!AR12</f>
        <v>-2.0300000000000001E-3</v>
      </c>
      <c r="AU74">
        <f>'2012_2020'!AS12</f>
        <v>-1.7899999999999999E-3</v>
      </c>
      <c r="AV74">
        <f>'2012_2020'!AT12</f>
        <v>-1.5299999999999999E-3</v>
      </c>
      <c r="AW74">
        <f>'2012_2020'!AU12</f>
        <v>-1.4400000000000001E-3</v>
      </c>
      <c r="AX74">
        <f>'2012_2020'!AV12</f>
        <v>-1.4300000000000001E-3</v>
      </c>
      <c r="AY74">
        <f>'2012_2020'!AW12</f>
        <v>-1.3699999999999999E-3</v>
      </c>
      <c r="AZ74">
        <f>'2012_2020'!AX12</f>
        <v>-1.3699999999999999E-3</v>
      </c>
      <c r="BA74">
        <f>'2012_2020'!AY12</f>
        <v>-1.1999999999999999E-3</v>
      </c>
      <c r="BB74">
        <f>'2012_2020'!AZ12</f>
        <v>-1.1299999999999999E-3</v>
      </c>
      <c r="BC74">
        <f>'2012_2020'!BA12</f>
        <v>-9.8999999999999999E-4</v>
      </c>
      <c r="BD74">
        <f>'2012_2020'!BB12</f>
        <v>-9.0399999999999996E-4</v>
      </c>
      <c r="BE74">
        <f>'2012_2020'!BC12</f>
        <v>-7.7700000000000002E-4</v>
      </c>
      <c r="BF74">
        <f>'2012_2020'!BD12</f>
        <v>-5.1099999999999995E-4</v>
      </c>
      <c r="BG74">
        <f>'2012_2020'!BE12</f>
        <v>-2.8800000000000001E-4</v>
      </c>
      <c r="BH74">
        <f>'2012_2020'!BF12</f>
        <v>-1.8000000000000001E-4</v>
      </c>
      <c r="BI74">
        <f>'2012_2020'!BG12</f>
        <v>-1.3200000000000001E-4</v>
      </c>
      <c r="BJ74">
        <f>'2012_2020'!BH12</f>
        <v>-1.83E-4</v>
      </c>
      <c r="BK74">
        <f>'2012_2020'!BI12</f>
        <v>-1.05E-4</v>
      </c>
      <c r="BL74">
        <f>'2012_2020'!BJ12</f>
        <v>-1.11E-4</v>
      </c>
      <c r="BM74">
        <f>'2012_2020'!BK12</f>
        <v>-1.27E-4</v>
      </c>
      <c r="BN74">
        <f>'2012_2020'!BL12</f>
        <v>-1.0900000000000001E-4</v>
      </c>
      <c r="BO74">
        <f>'2012_2020'!BM12</f>
        <v>9.5600000000000004E-7</v>
      </c>
      <c r="BP74">
        <f>'2012_2020'!BN12</f>
        <v>2.2900000000000001E-4</v>
      </c>
      <c r="BQ74">
        <f>'2012_2020'!BO12</f>
        <v>3.2499999999999999E-4</v>
      </c>
      <c r="BR74">
        <f>'2012_2020'!BP12</f>
        <v>3.6400000000000001E-4</v>
      </c>
      <c r="BS74">
        <f>'2012_2020'!BQ12</f>
        <v>4.1399999999999998E-4</v>
      </c>
      <c r="BT74">
        <f>'2012_2020'!BR12</f>
        <v>5.6700000000000001E-4</v>
      </c>
      <c r="BU74">
        <f>'2012_2020'!BS12</f>
        <v>6.5899999999999997E-4</v>
      </c>
      <c r="BV74">
        <f>'2012_2020'!BT12</f>
        <v>7.4600000000000003E-4</v>
      </c>
      <c r="BW74">
        <f>'2012_2020'!BU12</f>
        <v>8.9800000000000004E-4</v>
      </c>
      <c r="BX74">
        <f>'2012_2020'!BV12</f>
        <v>7.1699999999999997E-4</v>
      </c>
      <c r="BY74">
        <f>'2012_2020'!BW12</f>
        <v>9.2500000000000004E-4</v>
      </c>
      <c r="BZ74">
        <f>'2012_2020'!BX12</f>
        <v>9.4300000000000004E-4</v>
      </c>
      <c r="CA74">
        <f>'2012_2020'!BY12</f>
        <v>9.5E-4</v>
      </c>
      <c r="CB74">
        <f>'2012_2020'!BZ12</f>
        <v>1.1100000000000001E-3</v>
      </c>
      <c r="CC74">
        <f>'2012_2020'!CA12</f>
        <v>1.1199999999999999E-3</v>
      </c>
      <c r="CD74">
        <f>'2012_2020'!CB12</f>
        <v>1.06E-3</v>
      </c>
      <c r="CE74">
        <f>'2012_2020'!CC12</f>
        <v>9.9400000000000009E-4</v>
      </c>
      <c r="CF74">
        <f>'2012_2020'!CD12</f>
        <v>9.7900000000000005E-4</v>
      </c>
      <c r="CG74">
        <f>'2012_2020'!CE12</f>
        <v>1.2099999999999999E-3</v>
      </c>
      <c r="CH74">
        <f>'2012_2020'!CF12</f>
        <v>1.14E-3</v>
      </c>
      <c r="CI74">
        <f>'2012_2020'!CG12</f>
        <v>9.2500000000000004E-4</v>
      </c>
      <c r="CJ74">
        <f>'2012_2020'!CH12</f>
        <v>7.9500000000000003E-4</v>
      </c>
      <c r="CK74">
        <f>'2012_2020'!CI12</f>
        <v>1.0200000000000001E-3</v>
      </c>
      <c r="CL74">
        <f>'2012_2020'!CJ12</f>
        <v>9.1299999999999997E-4</v>
      </c>
      <c r="CM74">
        <f>'2012_2020'!CK12</f>
        <v>7.6999999999999996E-4</v>
      </c>
      <c r="CN74">
        <f>'2012_2020'!CL12</f>
        <v>1.1199999999999999E-3</v>
      </c>
      <c r="CO74">
        <f>'2012_2020'!CM12</f>
        <v>1.07E-3</v>
      </c>
      <c r="CP74">
        <f>'2012_2020'!CN12</f>
        <v>8.1099999999999998E-4</v>
      </c>
      <c r="CQ74">
        <f>'2012_2020'!CO12</f>
        <v>1.0499999999999999E-3</v>
      </c>
      <c r="CR74">
        <f>'2012_2020'!CP12</f>
        <v>1.23E-3</v>
      </c>
      <c r="CS74">
        <f>'2012_2020'!CQ12</f>
        <v>9.3000000000000005E-4</v>
      </c>
      <c r="CT74">
        <f>'2012_2020'!CR12</f>
        <v>7.3999999999999999E-4</v>
      </c>
      <c r="CU74">
        <f>'2012_2020'!CS12</f>
        <v>3.6299999999999999E-4</v>
      </c>
      <c r="CV74">
        <f>'2012_2020'!CT12</f>
        <v>5.1400000000000003E-4</v>
      </c>
      <c r="CW74">
        <f>'2012_2020'!CU12</f>
        <v>9.2699999999999998E-4</v>
      </c>
      <c r="CX74">
        <f>'2012_2020'!CV12</f>
        <v>9.3700000000000001E-4</v>
      </c>
    </row>
    <row r="75" spans="1:102" x14ac:dyDescent="0.2">
      <c r="A75" t="s">
        <v>214</v>
      </c>
      <c r="B75" t="s">
        <v>218</v>
      </c>
      <c r="C75" t="s">
        <v>222</v>
      </c>
      <c r="D75">
        <f>'2012_2020'!B13</f>
        <v>1.2200000000000001E-2</v>
      </c>
      <c r="E75">
        <f>'2012_2020'!C13</f>
        <v>1.37E-2</v>
      </c>
      <c r="F75">
        <f>'2012_2020'!D13</f>
        <v>1.34E-2</v>
      </c>
      <c r="G75">
        <f>'2012_2020'!E13</f>
        <v>1.2800000000000001E-2</v>
      </c>
      <c r="H75">
        <f>'2012_2020'!F13</f>
        <v>1.14E-2</v>
      </c>
      <c r="I75">
        <f>'2012_2020'!G13</f>
        <v>1.17E-2</v>
      </c>
      <c r="J75">
        <f>'2012_2020'!H13</f>
        <v>1.0999999999999999E-2</v>
      </c>
      <c r="K75">
        <f>'2012_2020'!I13</f>
        <v>9.6900000000000007E-3</v>
      </c>
      <c r="L75">
        <f>'2012_2020'!J13</f>
        <v>1.01E-2</v>
      </c>
      <c r="M75">
        <f>'2012_2020'!K13</f>
        <v>7.9399999999999991E-3</v>
      </c>
      <c r="N75">
        <f>'2012_2020'!L13</f>
        <v>7.4400000000000004E-3</v>
      </c>
      <c r="O75">
        <f>'2012_2020'!M13</f>
        <v>6.96E-3</v>
      </c>
      <c r="P75">
        <f>'2012_2020'!N13</f>
        <v>6.2899999999999996E-3</v>
      </c>
      <c r="Q75">
        <f>'2012_2020'!O13</f>
        <v>5.4200000000000003E-3</v>
      </c>
      <c r="R75">
        <f>'2012_2020'!P13</f>
        <v>4.5700000000000003E-3</v>
      </c>
      <c r="S75">
        <f>'2012_2020'!Q13</f>
        <v>4.2100000000000002E-3</v>
      </c>
      <c r="T75">
        <f>'2012_2020'!R13</f>
        <v>3.5599999999999998E-3</v>
      </c>
      <c r="U75">
        <f>'2012_2020'!S13</f>
        <v>3.81E-3</v>
      </c>
      <c r="V75">
        <f>'2012_2020'!T13</f>
        <v>3.3999999999999998E-3</v>
      </c>
      <c r="W75">
        <f>'2012_2020'!U13</f>
        <v>3.5300000000000002E-3</v>
      </c>
      <c r="X75">
        <f>'2012_2020'!V13</f>
        <v>3.3999999999999998E-3</v>
      </c>
      <c r="Y75">
        <f>'2012_2020'!W13</f>
        <v>3.2699999999999999E-3</v>
      </c>
      <c r="Z75">
        <f>'2012_2020'!X13</f>
        <v>3.4299999999999999E-3</v>
      </c>
      <c r="AA75">
        <f>'2012_2020'!Y13</f>
        <v>3.2499999999999999E-3</v>
      </c>
      <c r="AB75">
        <f>'2012_2020'!Z13</f>
        <v>3.3E-3</v>
      </c>
      <c r="AC75">
        <f>'2012_2020'!AA13</f>
        <v>3.1800000000000001E-3</v>
      </c>
      <c r="AD75">
        <f>'2012_2020'!AB13</f>
        <v>3.1199999999999999E-3</v>
      </c>
      <c r="AE75">
        <f>'2012_2020'!AC13</f>
        <v>3.0100000000000001E-3</v>
      </c>
      <c r="AF75">
        <f>'2012_2020'!AD13</f>
        <v>3.2399999999999998E-3</v>
      </c>
      <c r="AG75">
        <f>'2012_2020'!AE13</f>
        <v>3.2299999999999998E-3</v>
      </c>
      <c r="AH75">
        <f>'2012_2020'!AF13</f>
        <v>3.0899999999999999E-3</v>
      </c>
      <c r="AI75">
        <f>'2012_2020'!AG13</f>
        <v>3.1199999999999999E-3</v>
      </c>
      <c r="AJ75">
        <f>'2012_2020'!AH13</f>
        <v>3.2399999999999998E-3</v>
      </c>
      <c r="AK75">
        <f>'2012_2020'!AI13</f>
        <v>3.2000000000000002E-3</v>
      </c>
      <c r="AL75">
        <f>'2012_2020'!AJ13</f>
        <v>3.4299999999999999E-3</v>
      </c>
      <c r="AM75">
        <f>'2012_2020'!AK13</f>
        <v>3.3500000000000001E-3</v>
      </c>
      <c r="AN75">
        <f>'2012_2020'!AL13</f>
        <v>3.3899999999999998E-3</v>
      </c>
      <c r="AO75">
        <f>'2012_2020'!AM13</f>
        <v>3.4499999999999999E-3</v>
      </c>
      <c r="AP75">
        <f>'2012_2020'!AN13</f>
        <v>3.4099999999999998E-3</v>
      </c>
      <c r="AQ75">
        <f>'2012_2020'!AO13</f>
        <v>3.47E-3</v>
      </c>
      <c r="AR75">
        <f>'2012_2020'!AP13</f>
        <v>3.48E-3</v>
      </c>
      <c r="AS75">
        <f>'2012_2020'!AQ13</f>
        <v>3.3400000000000001E-3</v>
      </c>
      <c r="AT75">
        <f>'2012_2020'!AR13</f>
        <v>3.3899999999999998E-3</v>
      </c>
      <c r="AU75">
        <f>'2012_2020'!AS13</f>
        <v>3.2799999999999999E-3</v>
      </c>
      <c r="AV75">
        <f>'2012_2020'!AT13</f>
        <v>3.16E-3</v>
      </c>
      <c r="AW75">
        <f>'2012_2020'!AU13</f>
        <v>3.2100000000000002E-3</v>
      </c>
      <c r="AX75">
        <f>'2012_2020'!AV13</f>
        <v>3.0400000000000002E-3</v>
      </c>
      <c r="AY75">
        <f>'2012_2020'!AW13</f>
        <v>2.8900000000000002E-3</v>
      </c>
      <c r="AZ75">
        <f>'2012_2020'!AX13</f>
        <v>2.9099999999999998E-3</v>
      </c>
      <c r="BA75">
        <f>'2012_2020'!AY13</f>
        <v>2.9099999999999998E-3</v>
      </c>
      <c r="BB75">
        <f>'2012_2020'!AZ13</f>
        <v>2.9499999999999999E-3</v>
      </c>
      <c r="BC75">
        <f>'2012_2020'!BA13</f>
        <v>3.0599999999999998E-3</v>
      </c>
      <c r="BD75">
        <f>'2012_2020'!BB13</f>
        <v>3.2100000000000002E-3</v>
      </c>
      <c r="BE75">
        <f>'2012_2020'!BC13</f>
        <v>3.1800000000000001E-3</v>
      </c>
      <c r="BF75">
        <f>'2012_2020'!BD13</f>
        <v>3.0799999999999998E-3</v>
      </c>
      <c r="BG75">
        <f>'2012_2020'!BE13</f>
        <v>3.0400000000000002E-3</v>
      </c>
      <c r="BH75">
        <f>'2012_2020'!BF13</f>
        <v>2.96E-3</v>
      </c>
      <c r="BI75">
        <f>'2012_2020'!BG13</f>
        <v>2.99E-3</v>
      </c>
      <c r="BJ75">
        <f>'2012_2020'!BH13</f>
        <v>2.66E-3</v>
      </c>
      <c r="BK75">
        <f>'2012_2020'!BI13</f>
        <v>2.6099999999999999E-3</v>
      </c>
      <c r="BL75">
        <f>'2012_2020'!BJ13</f>
        <v>2.5500000000000002E-3</v>
      </c>
      <c r="BM75">
        <f>'2012_2020'!BK13</f>
        <v>2.5799999999999998E-3</v>
      </c>
      <c r="BN75">
        <f>'2012_2020'!BL13</f>
        <v>2.7799999999999999E-3</v>
      </c>
      <c r="BO75">
        <f>'2012_2020'!BM13</f>
        <v>2.7000000000000001E-3</v>
      </c>
      <c r="BP75">
        <f>'2012_2020'!BN13</f>
        <v>2.66E-3</v>
      </c>
      <c r="BQ75">
        <f>'2012_2020'!BO13</f>
        <v>2.64E-3</v>
      </c>
      <c r="BR75">
        <f>'2012_2020'!BP13</f>
        <v>2.63E-3</v>
      </c>
      <c r="BS75">
        <f>'2012_2020'!BQ13</f>
        <v>2.4399999999999999E-3</v>
      </c>
      <c r="BT75">
        <f>'2012_2020'!BR13</f>
        <v>2.33E-3</v>
      </c>
      <c r="BU75">
        <f>'2012_2020'!BS13</f>
        <v>2.2599999999999999E-3</v>
      </c>
      <c r="BV75">
        <f>'2012_2020'!BT13</f>
        <v>2.4199999999999998E-3</v>
      </c>
      <c r="BW75">
        <f>'2012_2020'!BU13</f>
        <v>2.48E-3</v>
      </c>
      <c r="BX75">
        <f>'2012_2020'!BV13</f>
        <v>2.4599999999999999E-3</v>
      </c>
      <c r="BY75">
        <f>'2012_2020'!BW13</f>
        <v>2.3800000000000002E-3</v>
      </c>
      <c r="BZ75">
        <f>'2012_2020'!BX13</f>
        <v>2.3800000000000002E-3</v>
      </c>
      <c r="CA75">
        <f>'2012_2020'!BY13</f>
        <v>2.1800000000000001E-3</v>
      </c>
      <c r="CB75">
        <f>'2012_2020'!BZ13</f>
        <v>2.1199999999999999E-3</v>
      </c>
      <c r="CC75">
        <f>'2012_2020'!CA13</f>
        <v>2.2100000000000002E-3</v>
      </c>
      <c r="CD75">
        <f>'2012_2020'!CB13</f>
        <v>2.2499999999999998E-3</v>
      </c>
      <c r="CE75">
        <f>'2012_2020'!CC13</f>
        <v>2.2300000000000002E-3</v>
      </c>
      <c r="CF75">
        <f>'2012_2020'!CD13</f>
        <v>2.2200000000000002E-3</v>
      </c>
      <c r="CG75">
        <f>'2012_2020'!CE13</f>
        <v>2.0400000000000001E-3</v>
      </c>
      <c r="CH75">
        <f>'2012_2020'!CF13</f>
        <v>1.9599999999999999E-3</v>
      </c>
      <c r="CI75">
        <f>'2012_2020'!CG13</f>
        <v>1.6199999999999999E-3</v>
      </c>
      <c r="CJ75">
        <f>'2012_2020'!CH13</f>
        <v>1.74E-3</v>
      </c>
      <c r="CK75">
        <f>'2012_2020'!CI13</f>
        <v>2.15E-3</v>
      </c>
      <c r="CL75">
        <f>'2012_2020'!CJ13</f>
        <v>1.9499999999999999E-3</v>
      </c>
      <c r="CM75">
        <f>'2012_2020'!CK13</f>
        <v>1.6999999999999999E-3</v>
      </c>
      <c r="CN75">
        <f>'2012_2020'!CL13</f>
        <v>1.8500000000000001E-3</v>
      </c>
      <c r="CO75">
        <f>'2012_2020'!CM13</f>
        <v>1.74E-3</v>
      </c>
      <c r="CP75">
        <f>'2012_2020'!CN13</f>
        <v>1.33E-3</v>
      </c>
      <c r="CQ75">
        <f>'2012_2020'!CO13</f>
        <v>1.7799999999999999E-3</v>
      </c>
      <c r="CR75">
        <f>'2012_2020'!CP13</f>
        <v>1.73E-3</v>
      </c>
      <c r="CS75">
        <f>'2012_2020'!CQ13</f>
        <v>1.24E-3</v>
      </c>
      <c r="CT75">
        <f>'2012_2020'!CR13</f>
        <v>1.56E-3</v>
      </c>
      <c r="CU75">
        <f>'2012_2020'!CS13</f>
        <v>9.0600000000000001E-4</v>
      </c>
      <c r="CV75">
        <f>'2012_2020'!CT13</f>
        <v>8.3299999999999997E-4</v>
      </c>
      <c r="CW75">
        <f>'2012_2020'!CU13</f>
        <v>7.85E-4</v>
      </c>
      <c r="CX75">
        <f>'2012_2020'!CV13</f>
        <v>9.4700000000000003E-4</v>
      </c>
    </row>
    <row r="76" spans="1:102" x14ac:dyDescent="0.2">
      <c r="A76" t="s">
        <v>215</v>
      </c>
      <c r="B76" t="s">
        <v>218</v>
      </c>
      <c r="C76" t="s">
        <v>222</v>
      </c>
      <c r="D76">
        <f>'2012_2020'!B14</f>
        <v>2.5499999999999998E-2</v>
      </c>
      <c r="E76">
        <f>'2012_2020'!C14</f>
        <v>3.1300000000000001E-2</v>
      </c>
      <c r="F76">
        <f>'2012_2020'!D14</f>
        <v>2.9700000000000001E-2</v>
      </c>
      <c r="G76">
        <f>'2012_2020'!E14</f>
        <v>0.03</v>
      </c>
      <c r="H76">
        <f>'2012_2020'!F14</f>
        <v>2.6499999999999999E-2</v>
      </c>
      <c r="I76">
        <f>'2012_2020'!G14</f>
        <v>2.6700000000000002E-2</v>
      </c>
      <c r="J76">
        <f>'2012_2020'!H14</f>
        <v>2.4199999999999999E-2</v>
      </c>
      <c r="K76">
        <f>'2012_2020'!I14</f>
        <v>2.1700000000000001E-2</v>
      </c>
      <c r="L76">
        <f>'2012_2020'!J14</f>
        <v>2.07E-2</v>
      </c>
      <c r="M76">
        <f>'2012_2020'!K14</f>
        <v>1.5800000000000002E-2</v>
      </c>
      <c r="N76">
        <f>'2012_2020'!L14</f>
        <v>1.49E-2</v>
      </c>
      <c r="O76">
        <f>'2012_2020'!M14</f>
        <v>1.38E-2</v>
      </c>
      <c r="P76">
        <f>'2012_2020'!N14</f>
        <v>1.2200000000000001E-2</v>
      </c>
      <c r="Q76">
        <f>'2012_2020'!O14</f>
        <v>1.0500000000000001E-2</v>
      </c>
      <c r="R76">
        <f>'2012_2020'!P14</f>
        <v>8.2100000000000003E-3</v>
      </c>
      <c r="S76">
        <f>'2012_2020'!Q14</f>
        <v>7.62E-3</v>
      </c>
      <c r="T76">
        <f>'2012_2020'!R14</f>
        <v>6.8900000000000003E-3</v>
      </c>
      <c r="U76">
        <f>'2012_2020'!S14</f>
        <v>6.6100000000000004E-3</v>
      </c>
      <c r="V76">
        <f>'2012_2020'!T14</f>
        <v>5.8100000000000001E-3</v>
      </c>
      <c r="W76">
        <f>'2012_2020'!U14</f>
        <v>5.4099999999999999E-3</v>
      </c>
      <c r="X76">
        <f>'2012_2020'!V14</f>
        <v>5.2500000000000003E-3</v>
      </c>
      <c r="Y76">
        <f>'2012_2020'!W14</f>
        <v>5.1799999999999997E-3</v>
      </c>
      <c r="Z76">
        <f>'2012_2020'!X14</f>
        <v>5.2199999999999998E-3</v>
      </c>
      <c r="AA76">
        <f>'2012_2020'!Y14</f>
        <v>5.13E-3</v>
      </c>
      <c r="AB76">
        <f>'2012_2020'!Z14</f>
        <v>5.0899999999999999E-3</v>
      </c>
      <c r="AC76">
        <f>'2012_2020'!AA14</f>
        <v>4.9300000000000004E-3</v>
      </c>
      <c r="AD76">
        <f>'2012_2020'!AB14</f>
        <v>4.8700000000000002E-3</v>
      </c>
      <c r="AE76">
        <f>'2012_2020'!AC14</f>
        <v>4.8300000000000001E-3</v>
      </c>
      <c r="AF76">
        <f>'2012_2020'!AD14</f>
        <v>4.8199999999999996E-3</v>
      </c>
      <c r="AG76">
        <f>'2012_2020'!AE14</f>
        <v>4.8999999999999998E-3</v>
      </c>
      <c r="AH76">
        <f>'2012_2020'!AF14</f>
        <v>4.8399999999999997E-3</v>
      </c>
      <c r="AI76">
        <f>'2012_2020'!AG14</f>
        <v>4.81E-3</v>
      </c>
      <c r="AJ76">
        <f>'2012_2020'!AH14</f>
        <v>4.7600000000000003E-3</v>
      </c>
      <c r="AK76">
        <f>'2012_2020'!AI14</f>
        <v>4.9899999999999996E-3</v>
      </c>
      <c r="AL76">
        <f>'2012_2020'!AJ14</f>
        <v>4.9300000000000004E-3</v>
      </c>
      <c r="AM76">
        <f>'2012_2020'!AK14</f>
        <v>4.7499999999999999E-3</v>
      </c>
      <c r="AN76">
        <f>'2012_2020'!AL14</f>
        <v>4.62E-3</v>
      </c>
      <c r="AO76">
        <f>'2012_2020'!AM14</f>
        <v>4.4799999999999996E-3</v>
      </c>
      <c r="AP76">
        <f>'2012_2020'!AN14</f>
        <v>4.5300000000000002E-3</v>
      </c>
      <c r="AQ76">
        <f>'2012_2020'!AO14</f>
        <v>4.6299999999999996E-3</v>
      </c>
      <c r="AR76">
        <f>'2012_2020'!AP14</f>
        <v>4.7000000000000002E-3</v>
      </c>
      <c r="AS76">
        <f>'2012_2020'!AQ14</f>
        <v>4.5700000000000003E-3</v>
      </c>
      <c r="AT76">
        <f>'2012_2020'!AR14</f>
        <v>4.5900000000000003E-3</v>
      </c>
      <c r="AU76">
        <f>'2012_2020'!AS14</f>
        <v>4.45E-3</v>
      </c>
      <c r="AV76">
        <f>'2012_2020'!AT14</f>
        <v>4.0699999999999998E-3</v>
      </c>
      <c r="AW76">
        <f>'2012_2020'!AU14</f>
        <v>4.0400000000000002E-3</v>
      </c>
      <c r="AX76">
        <f>'2012_2020'!AV14</f>
        <v>4.1399999999999996E-3</v>
      </c>
      <c r="AY76">
        <f>'2012_2020'!AW14</f>
        <v>4.4099999999999999E-3</v>
      </c>
      <c r="AZ76">
        <f>'2012_2020'!AX14</f>
        <v>4.13E-3</v>
      </c>
      <c r="BA76">
        <f>'2012_2020'!AY14</f>
        <v>4.2399999999999998E-3</v>
      </c>
      <c r="BB76">
        <f>'2012_2020'!AZ14</f>
        <v>4.1399999999999996E-3</v>
      </c>
      <c r="BC76">
        <f>'2012_2020'!BA14</f>
        <v>4.2399999999999998E-3</v>
      </c>
      <c r="BD76">
        <f>'2012_2020'!BB14</f>
        <v>4.3899999999999998E-3</v>
      </c>
      <c r="BE76">
        <f>'2012_2020'!BC14</f>
        <v>4.4999999999999997E-3</v>
      </c>
      <c r="BF76">
        <f>'2012_2020'!BD14</f>
        <v>4.7400000000000003E-3</v>
      </c>
      <c r="BG76">
        <f>'2012_2020'!BE14</f>
        <v>4.7600000000000003E-3</v>
      </c>
      <c r="BH76">
        <f>'2012_2020'!BF14</f>
        <v>4.4400000000000004E-3</v>
      </c>
      <c r="BI76">
        <f>'2012_2020'!BG14</f>
        <v>4.13E-3</v>
      </c>
      <c r="BJ76">
        <f>'2012_2020'!BH14</f>
        <v>4.2199999999999998E-3</v>
      </c>
      <c r="BK76">
        <f>'2012_2020'!BI14</f>
        <v>4.3400000000000001E-3</v>
      </c>
      <c r="BL76">
        <f>'2012_2020'!BJ14</f>
        <v>4.2599999999999999E-3</v>
      </c>
      <c r="BM76">
        <f>'2012_2020'!BK14</f>
        <v>4.1599999999999996E-3</v>
      </c>
      <c r="BN76">
        <f>'2012_2020'!BL14</f>
        <v>4.3899999999999998E-3</v>
      </c>
      <c r="BO76">
        <f>'2012_2020'!BM14</f>
        <v>4.3E-3</v>
      </c>
      <c r="BP76">
        <f>'2012_2020'!BN14</f>
        <v>4.1700000000000001E-3</v>
      </c>
      <c r="BQ76">
        <f>'2012_2020'!BO14</f>
        <v>3.7599999999999999E-3</v>
      </c>
      <c r="BR76">
        <f>'2012_2020'!BP14</f>
        <v>3.7499999999999999E-3</v>
      </c>
      <c r="BS76">
        <f>'2012_2020'!BQ14</f>
        <v>3.7499999999999999E-3</v>
      </c>
      <c r="BT76">
        <f>'2012_2020'!BR14</f>
        <v>3.7799999999999999E-3</v>
      </c>
      <c r="BU76">
        <f>'2012_2020'!BS14</f>
        <v>3.3400000000000001E-3</v>
      </c>
      <c r="BV76">
        <f>'2012_2020'!BT14</f>
        <v>2.9399999999999999E-3</v>
      </c>
      <c r="BW76">
        <f>'2012_2020'!BU14</f>
        <v>2.7299999999999998E-3</v>
      </c>
      <c r="BX76">
        <f>'2012_2020'!BV14</f>
        <v>2.2899999999999999E-3</v>
      </c>
      <c r="BY76">
        <f>'2012_2020'!BW14</f>
        <v>2.5300000000000001E-3</v>
      </c>
      <c r="BZ76">
        <f>'2012_2020'!BX14</f>
        <v>1.89E-3</v>
      </c>
      <c r="CA76">
        <f>'2012_2020'!BY14</f>
        <v>1.89E-3</v>
      </c>
      <c r="CB76">
        <f>'2012_2020'!BZ14</f>
        <v>2.1199999999999999E-3</v>
      </c>
      <c r="CC76">
        <f>'2012_2020'!CA14</f>
        <v>1.66E-3</v>
      </c>
      <c r="CD76">
        <f>'2012_2020'!CB14</f>
        <v>1.2899999999999999E-3</v>
      </c>
      <c r="CE76">
        <f>'2012_2020'!CC14</f>
        <v>-8.1500000000000002E-5</v>
      </c>
      <c r="CF76">
        <f>'2012_2020'!CD14</f>
        <v>-4.8999999999999998E-4</v>
      </c>
      <c r="CG76">
        <f>'2012_2020'!CE14</f>
        <v>-3.4499999999999998E-4</v>
      </c>
      <c r="CH76">
        <f>'2012_2020'!CF14</f>
        <v>-8.0400000000000003E-4</v>
      </c>
      <c r="CI76">
        <f>'2012_2020'!CG14</f>
        <v>-4.8899999999999996E-4</v>
      </c>
      <c r="CJ76">
        <f>'2012_2020'!CH14</f>
        <v>-1.1100000000000001E-3</v>
      </c>
      <c r="CK76">
        <f>'2012_2020'!CI14</f>
        <v>-2.8600000000000001E-3</v>
      </c>
      <c r="CL76">
        <f>'2012_2020'!CJ14</f>
        <v>-4.1999999999999997E-3</v>
      </c>
      <c r="CM76">
        <f>'2012_2020'!CK14</f>
        <v>-4.7800000000000004E-3</v>
      </c>
      <c r="CN76">
        <f>'2012_2020'!CL14</f>
        <v>-6.1999999999999998E-3</v>
      </c>
      <c r="CO76">
        <f>'2012_2020'!CM14</f>
        <v>-6.6299999999999996E-3</v>
      </c>
      <c r="CP76">
        <f>'2012_2020'!CN14</f>
        <v>-6.3600000000000002E-3</v>
      </c>
      <c r="CQ76">
        <f>'2012_2020'!CO14</f>
        <v>-8.0000000000000002E-3</v>
      </c>
      <c r="CR76">
        <f>'2012_2020'!CP14</f>
        <v>-9.7999999999999997E-3</v>
      </c>
      <c r="CS76">
        <f>'2012_2020'!CQ14</f>
        <v>-9.0299999999999998E-3</v>
      </c>
      <c r="CT76">
        <f>'2012_2020'!CR14</f>
        <v>-1.0800000000000001E-2</v>
      </c>
      <c r="CU76">
        <f>'2012_2020'!CS14</f>
        <v>-9.4800000000000006E-3</v>
      </c>
      <c r="CV76">
        <f>'2012_2020'!CT14</f>
        <v>-1.17E-2</v>
      </c>
      <c r="CW76">
        <f>'2012_2020'!CU14</f>
        <v>-1.44E-2</v>
      </c>
      <c r="CX76">
        <f>'2012_2020'!CV14</f>
        <v>-1.52E-2</v>
      </c>
    </row>
    <row r="77" spans="1:102" x14ac:dyDescent="0.2">
      <c r="A77" t="s">
        <v>208</v>
      </c>
      <c r="B77" t="s">
        <v>219</v>
      </c>
      <c r="C77" t="s">
        <v>222</v>
      </c>
      <c r="D77">
        <f>'2012_2020'!B15</f>
        <v>2.29E-2</v>
      </c>
      <c r="E77">
        <f>'2012_2020'!C15</f>
        <v>0.435</v>
      </c>
      <c r="F77">
        <f>'2012_2020'!D15</f>
        <v>0.749</v>
      </c>
      <c r="G77">
        <f>'2012_2020'!E15</f>
        <v>2.9700000000000001E-2</v>
      </c>
      <c r="H77">
        <f>'2012_2020'!F15</f>
        <v>0.86</v>
      </c>
      <c r="I77">
        <f>'2012_2020'!G15</f>
        <v>0.27300000000000002</v>
      </c>
      <c r="J77">
        <f>'2012_2020'!H15</f>
        <v>0.46500000000000002</v>
      </c>
      <c r="K77">
        <f>'2012_2020'!I15</f>
        <v>0.35599999999999998</v>
      </c>
      <c r="L77">
        <f>'2012_2020'!J15</f>
        <v>0.19400000000000001</v>
      </c>
      <c r="M77">
        <f>'2012_2020'!K15</f>
        <v>0.45</v>
      </c>
      <c r="N77">
        <f>'2012_2020'!L15</f>
        <v>0.36099999999999999</v>
      </c>
      <c r="O77">
        <f>'2012_2020'!M15</f>
        <v>2.0899999999999998E-2</v>
      </c>
      <c r="P77">
        <f>'2012_2020'!N15</f>
        <v>8.8900000000000007E-2</v>
      </c>
      <c r="Q77">
        <f>'2012_2020'!O15</f>
        <v>8.4000000000000005E-2</v>
      </c>
      <c r="R77">
        <f>'2012_2020'!P15</f>
        <v>0.114</v>
      </c>
      <c r="S77">
        <f>'2012_2020'!Q15</f>
        <v>0.108</v>
      </c>
      <c r="T77">
        <f>'2012_2020'!R15</f>
        <v>4.48E-2</v>
      </c>
      <c r="U77">
        <f>'2012_2020'!S15</f>
        <v>1.6400000000000001E-2</v>
      </c>
      <c r="V77">
        <f>'2012_2020'!T15</f>
        <v>-1.6E-2</v>
      </c>
      <c r="W77">
        <f>'2012_2020'!U15</f>
        <v>-1.77E-2</v>
      </c>
      <c r="X77">
        <f>'2012_2020'!V15</f>
        <v>-1.11E-2</v>
      </c>
      <c r="Y77">
        <f>'2012_2020'!W15</f>
        <v>-5.1299999999999998E-2</v>
      </c>
      <c r="Z77">
        <f>'2012_2020'!X15</f>
        <v>-4.5400000000000003E-2</v>
      </c>
      <c r="AA77">
        <f>'2012_2020'!Y15</f>
        <v>-3.9899999999999998E-2</v>
      </c>
      <c r="AB77">
        <f>'2012_2020'!Z15</f>
        <v>-3.5499999999999997E-2</v>
      </c>
      <c r="AC77">
        <f>'2012_2020'!AA15</f>
        <v>-3.3700000000000001E-2</v>
      </c>
      <c r="AD77">
        <f>'2012_2020'!AB15</f>
        <v>-2.5600000000000001E-2</v>
      </c>
      <c r="AE77">
        <f>'2012_2020'!AC15</f>
        <v>-1.84E-2</v>
      </c>
      <c r="AF77">
        <f>'2012_2020'!AD15</f>
        <v>-1.8700000000000001E-2</v>
      </c>
      <c r="AG77">
        <f>'2012_2020'!AE15</f>
        <v>-1.9800000000000002E-2</v>
      </c>
      <c r="AH77">
        <f>'2012_2020'!AF15</f>
        <v>-1.7999999999999999E-2</v>
      </c>
      <c r="AI77">
        <f>'2012_2020'!AG15</f>
        <v>-1.29E-2</v>
      </c>
      <c r="AJ77">
        <f>'2012_2020'!AH15</f>
        <v>-8.9499999999999996E-3</v>
      </c>
      <c r="AK77">
        <f>'2012_2020'!AI15</f>
        <v>-6.3899999999999998E-3</v>
      </c>
      <c r="AL77">
        <f>'2012_2020'!AJ15</f>
        <v>1.2999999999999999E-2</v>
      </c>
      <c r="AM77">
        <f>'2012_2020'!AK15</f>
        <v>2.0400000000000001E-2</v>
      </c>
      <c r="AN77">
        <f>'2012_2020'!AL15</f>
        <v>1.2200000000000001E-2</v>
      </c>
      <c r="AO77">
        <f>'2012_2020'!AM15</f>
        <v>-4.9399999999999999E-3</v>
      </c>
      <c r="AP77">
        <f>'2012_2020'!AN15</f>
        <v>-1.78E-2</v>
      </c>
      <c r="AQ77">
        <f>'2012_2020'!AO15</f>
        <v>-3.1099999999999999E-2</v>
      </c>
      <c r="AR77">
        <f>'2012_2020'!AP15</f>
        <v>-3.5499999999999997E-2</v>
      </c>
      <c r="AS77">
        <f>'2012_2020'!AQ15</f>
        <v>-5.0200000000000002E-2</v>
      </c>
      <c r="AT77">
        <f>'2012_2020'!AR15</f>
        <v>-5.3499999999999999E-2</v>
      </c>
      <c r="AU77">
        <f>'2012_2020'!AS15</f>
        <v>-5.4100000000000002E-2</v>
      </c>
      <c r="AV77">
        <f>'2012_2020'!AT15</f>
        <v>-5.5199999999999999E-2</v>
      </c>
      <c r="AW77">
        <f>'2012_2020'!AU15</f>
        <v>-4.9599999999999998E-2</v>
      </c>
      <c r="AX77">
        <f>'2012_2020'!AV15</f>
        <v>-4.6800000000000001E-2</v>
      </c>
      <c r="AY77">
        <f>'2012_2020'!AW15</f>
        <v>-5.8299999999999998E-2</v>
      </c>
      <c r="AZ77">
        <f>'2012_2020'!AX15</f>
        <v>-5.6000000000000001E-2</v>
      </c>
      <c r="BA77">
        <f>'2012_2020'!AY15</f>
        <v>-6.8000000000000005E-2</v>
      </c>
      <c r="BB77">
        <f>'2012_2020'!AZ15</f>
        <v>-7.0000000000000007E-2</v>
      </c>
      <c r="BC77">
        <f>'2012_2020'!BA15</f>
        <v>-9.8199999999999996E-2</v>
      </c>
      <c r="BD77">
        <f>'2012_2020'!BB15</f>
        <v>-0.129</v>
      </c>
      <c r="BE77">
        <f>'2012_2020'!BC15</f>
        <v>-0.14899999999999999</v>
      </c>
      <c r="BF77">
        <f>'2012_2020'!BD15</f>
        <v>-0.128</v>
      </c>
      <c r="BG77">
        <f>'2012_2020'!BE15</f>
        <v>-0.13200000000000001</v>
      </c>
      <c r="BH77">
        <f>'2012_2020'!BF15</f>
        <v>-0.115</v>
      </c>
      <c r="BI77">
        <f>'2012_2020'!BG15</f>
        <v>-9.1200000000000003E-2</v>
      </c>
      <c r="BJ77">
        <f>'2012_2020'!BH15</f>
        <v>-8.09E-2</v>
      </c>
      <c r="BK77">
        <f>'2012_2020'!BI15</f>
        <v>-5.91E-2</v>
      </c>
      <c r="BL77">
        <f>'2012_2020'!BJ15</f>
        <v>-5.3800000000000001E-2</v>
      </c>
      <c r="BM77">
        <f>'2012_2020'!BK15</f>
        <v>-8.2799999999999999E-2</v>
      </c>
      <c r="BN77">
        <f>'2012_2020'!BL15</f>
        <v>-0.11899999999999999</v>
      </c>
      <c r="BO77">
        <f>'2012_2020'!BM15</f>
        <v>-0.16600000000000001</v>
      </c>
      <c r="BP77">
        <f>'2012_2020'!BN15</f>
        <v>-0.20100000000000001</v>
      </c>
      <c r="BQ77">
        <f>'2012_2020'!BO15</f>
        <v>-0.216</v>
      </c>
      <c r="BR77">
        <f>'2012_2020'!BP15</f>
        <v>-0.214</v>
      </c>
      <c r="BS77">
        <f>'2012_2020'!BQ15</f>
        <v>-0.22500000000000001</v>
      </c>
      <c r="BT77">
        <f>'2012_2020'!BR15</f>
        <v>-0.23300000000000001</v>
      </c>
      <c r="BU77">
        <f>'2012_2020'!BS15</f>
        <v>-0.19600000000000001</v>
      </c>
      <c r="BV77">
        <f>'2012_2020'!BT15</f>
        <v>-0.11600000000000001</v>
      </c>
      <c r="BW77">
        <f>'2012_2020'!BU15</f>
        <v>-8.7900000000000006E-2</v>
      </c>
      <c r="BX77">
        <f>'2012_2020'!BV15</f>
        <v>-0.11700000000000001</v>
      </c>
      <c r="BY77">
        <f>'2012_2020'!BW15</f>
        <v>-0.17699999999999999</v>
      </c>
      <c r="BZ77">
        <f>'2012_2020'!BX15</f>
        <v>-0.19600000000000001</v>
      </c>
      <c r="CA77">
        <f>'2012_2020'!BY15</f>
        <v>-0.21199999999999999</v>
      </c>
      <c r="CB77">
        <f>'2012_2020'!BZ15</f>
        <v>-0.186</v>
      </c>
      <c r="CC77">
        <f>'2012_2020'!CA15</f>
        <v>-0.22900000000000001</v>
      </c>
      <c r="CD77">
        <f>'2012_2020'!CB15</f>
        <v>-0.28599999999999998</v>
      </c>
      <c r="CE77">
        <f>'2012_2020'!CC15</f>
        <v>-0.33400000000000002</v>
      </c>
      <c r="CF77">
        <f>'2012_2020'!CD15</f>
        <v>-0.379</v>
      </c>
      <c r="CG77">
        <f>'2012_2020'!CE15</f>
        <v>-0.34699999999999998</v>
      </c>
      <c r="CH77">
        <f>'2012_2020'!CF15</f>
        <v>-0.21299999999999999</v>
      </c>
      <c r="CI77">
        <f>'2012_2020'!CG15</f>
        <v>-0.124</v>
      </c>
      <c r="CJ77">
        <f>'2012_2020'!CH15</f>
        <v>-0.13600000000000001</v>
      </c>
      <c r="CK77">
        <f>'2012_2020'!CI15</f>
        <v>-0.4</v>
      </c>
      <c r="CL77">
        <f>'2012_2020'!CJ15</f>
        <v>-0.42499999999999999</v>
      </c>
      <c r="CM77">
        <f>'2012_2020'!CK15</f>
        <v>-0.41499999999999998</v>
      </c>
      <c r="CN77">
        <f>'2012_2020'!CL15</f>
        <v>-0.35899999999999999</v>
      </c>
      <c r="CO77">
        <f>'2012_2020'!CM15</f>
        <v>-0.36299999999999999</v>
      </c>
      <c r="CP77">
        <f>'2012_2020'!CN15</f>
        <v>-0.36399999999999999</v>
      </c>
      <c r="CQ77">
        <f>'2012_2020'!CO15</f>
        <v>-0.503</v>
      </c>
      <c r="CR77">
        <f>'2012_2020'!CP15</f>
        <v>-0.43</v>
      </c>
      <c r="CS77">
        <f>'2012_2020'!CQ15</f>
        <v>-0.32300000000000001</v>
      </c>
      <c r="CT77">
        <f>'2012_2020'!CR15</f>
        <v>-0.41299999999999998</v>
      </c>
      <c r="CU77">
        <f>'2012_2020'!CS15</f>
        <v>-0.24399999999999999</v>
      </c>
      <c r="CV77">
        <f>'2012_2020'!CT15</f>
        <v>-0.45100000000000001</v>
      </c>
      <c r="CW77">
        <f>'2012_2020'!CU15</f>
        <v>-0.27900000000000003</v>
      </c>
      <c r="CX77">
        <f>'2012_2020'!CV15</f>
        <v>-0.30199999999999999</v>
      </c>
    </row>
    <row r="78" spans="1:102" x14ac:dyDescent="0.2">
      <c r="A78" t="s">
        <v>209</v>
      </c>
      <c r="B78" t="s">
        <v>219</v>
      </c>
      <c r="C78" t="s">
        <v>222</v>
      </c>
      <c r="D78">
        <f>'2012_2020'!B16</f>
        <v>-0.115</v>
      </c>
      <c r="E78">
        <f>'2012_2020'!C16</f>
        <v>-0.08</v>
      </c>
      <c r="F78">
        <f>'2012_2020'!D16</f>
        <v>-7.0499999999999993E-2</v>
      </c>
      <c r="G78">
        <f>'2012_2020'!E16</f>
        <v>-0.23699999999999999</v>
      </c>
      <c r="H78">
        <f>'2012_2020'!F16</f>
        <v>2.0300000000000001E-3</v>
      </c>
      <c r="I78">
        <f>'2012_2020'!G16</f>
        <v>-0.17</v>
      </c>
      <c r="J78">
        <f>'2012_2020'!H16</f>
        <v>-6.7500000000000004E-2</v>
      </c>
      <c r="K78">
        <f>'2012_2020'!I16</f>
        <v>-4.7899999999999998E-2</v>
      </c>
      <c r="L78">
        <f>'2012_2020'!J16</f>
        <v>-8.72E-2</v>
      </c>
      <c r="M78">
        <f>'2012_2020'!K16</f>
        <v>3.5999999999999997E-2</v>
      </c>
      <c r="N78">
        <f>'2012_2020'!L16</f>
        <v>6.0699999999999997E-2</v>
      </c>
      <c r="O78">
        <f>'2012_2020'!M16</f>
        <v>-6.5199999999999994E-2</v>
      </c>
      <c r="P78">
        <f>'2012_2020'!N16</f>
        <v>-3.32E-3</v>
      </c>
      <c r="Q78">
        <f>'2012_2020'!O16</f>
        <v>2.48E-3</v>
      </c>
      <c r="R78">
        <f>'2012_2020'!P16</f>
        <v>1.5299999999999999E-2</v>
      </c>
      <c r="S78">
        <f>'2012_2020'!Q16</f>
        <v>1.47E-2</v>
      </c>
      <c r="T78">
        <f>'2012_2020'!R16</f>
        <v>-1.6E-2</v>
      </c>
      <c r="U78">
        <f>'2012_2020'!S16</f>
        <v>-2.0199999999999999E-2</v>
      </c>
      <c r="V78">
        <f>'2012_2020'!T16</f>
        <v>-2.6499999999999999E-2</v>
      </c>
      <c r="W78">
        <f>'2012_2020'!U16</f>
        <v>-1.3299999999999999E-2</v>
      </c>
      <c r="X78">
        <f>'2012_2020'!V16</f>
        <v>-7.43E-3</v>
      </c>
      <c r="Y78">
        <f>'2012_2020'!W16</f>
        <v>-3.4099999999999998E-2</v>
      </c>
      <c r="Z78">
        <f>'2012_2020'!X16</f>
        <v>-3.5400000000000001E-2</v>
      </c>
      <c r="AA78">
        <f>'2012_2020'!Y16</f>
        <v>-2.3099999999999999E-2</v>
      </c>
      <c r="AB78">
        <f>'2012_2020'!Z16</f>
        <v>-1.4500000000000001E-2</v>
      </c>
      <c r="AC78">
        <f>'2012_2020'!AA16</f>
        <v>-8.1099999999999992E-3</v>
      </c>
      <c r="AD78">
        <f>'2012_2020'!AB16</f>
        <v>-2.1700000000000001E-3</v>
      </c>
      <c r="AE78">
        <f>'2012_2020'!AC16</f>
        <v>2.5999999999999999E-3</v>
      </c>
      <c r="AF78">
        <f>'2012_2020'!AD16</f>
        <v>6.2300000000000003E-3</v>
      </c>
      <c r="AG78">
        <f>'2012_2020'!AE16</f>
        <v>1.24E-2</v>
      </c>
      <c r="AH78">
        <f>'2012_2020'!AF16</f>
        <v>2.7799999999999998E-2</v>
      </c>
      <c r="AI78">
        <f>'2012_2020'!AG16</f>
        <v>3.4000000000000002E-2</v>
      </c>
      <c r="AJ78">
        <f>'2012_2020'!AH16</f>
        <v>4.4400000000000002E-2</v>
      </c>
      <c r="AK78">
        <f>'2012_2020'!AI16</f>
        <v>5.4100000000000002E-2</v>
      </c>
      <c r="AL78">
        <f>'2012_2020'!AJ16</f>
        <v>6.9500000000000006E-2</v>
      </c>
      <c r="AM78">
        <f>'2012_2020'!AK16</f>
        <v>6.9699999999999998E-2</v>
      </c>
      <c r="AN78">
        <f>'2012_2020'!AL16</f>
        <v>7.22E-2</v>
      </c>
      <c r="AO78">
        <f>'2012_2020'!AM16</f>
        <v>6.5000000000000002E-2</v>
      </c>
      <c r="AP78">
        <f>'2012_2020'!AN16</f>
        <v>6.5600000000000006E-2</v>
      </c>
      <c r="AQ78">
        <f>'2012_2020'!AO16</f>
        <v>6.3899999999999998E-2</v>
      </c>
      <c r="AR78">
        <f>'2012_2020'!AP16</f>
        <v>6.3799999999999996E-2</v>
      </c>
      <c r="AS78">
        <f>'2012_2020'!AQ16</f>
        <v>4.65E-2</v>
      </c>
      <c r="AT78">
        <f>'2012_2020'!AR16</f>
        <v>4.6899999999999997E-2</v>
      </c>
      <c r="AU78">
        <f>'2012_2020'!AS16</f>
        <v>4.6100000000000002E-2</v>
      </c>
      <c r="AV78">
        <f>'2012_2020'!AT16</f>
        <v>5.1900000000000002E-2</v>
      </c>
      <c r="AW78">
        <f>'2012_2020'!AU16</f>
        <v>0.05</v>
      </c>
      <c r="AX78">
        <f>'2012_2020'!AV16</f>
        <v>4.6600000000000003E-2</v>
      </c>
      <c r="AY78">
        <f>'2012_2020'!AW16</f>
        <v>3.6700000000000003E-2</v>
      </c>
      <c r="AZ78">
        <f>'2012_2020'!AX16</f>
        <v>4.2500000000000003E-2</v>
      </c>
      <c r="BA78">
        <f>'2012_2020'!AY16</f>
        <v>3.5299999999999998E-2</v>
      </c>
      <c r="BB78">
        <f>'2012_2020'!AZ16</f>
        <v>4.5100000000000001E-2</v>
      </c>
      <c r="BC78">
        <f>'2012_2020'!BA16</f>
        <v>2.0400000000000001E-2</v>
      </c>
      <c r="BD78">
        <f>'2012_2020'!BB16</f>
        <v>1.4799999999999999E-4</v>
      </c>
      <c r="BE78">
        <f>'2012_2020'!BC16</f>
        <v>-6.8599999999999998E-4</v>
      </c>
      <c r="BF78">
        <f>'2012_2020'!BD16</f>
        <v>1.26E-2</v>
      </c>
      <c r="BG78">
        <f>'2012_2020'!BE16</f>
        <v>2.1600000000000001E-2</v>
      </c>
      <c r="BH78">
        <f>'2012_2020'!BF16</f>
        <v>3.8199999999999998E-2</v>
      </c>
      <c r="BI78">
        <f>'2012_2020'!BG16</f>
        <v>6.0999999999999999E-2</v>
      </c>
      <c r="BJ78">
        <f>'2012_2020'!BH16</f>
        <v>6.1800000000000001E-2</v>
      </c>
      <c r="BK78">
        <f>'2012_2020'!BI16</f>
        <v>7.5800000000000006E-2</v>
      </c>
      <c r="BL78">
        <f>'2012_2020'!BJ16</f>
        <v>8.2600000000000007E-2</v>
      </c>
      <c r="BM78">
        <f>'2012_2020'!BK16</f>
        <v>7.3700000000000002E-2</v>
      </c>
      <c r="BN78">
        <f>'2012_2020'!BL16</f>
        <v>2.9000000000000001E-2</v>
      </c>
      <c r="BO78">
        <f>'2012_2020'!BM16</f>
        <v>-1.37E-2</v>
      </c>
      <c r="BP78">
        <f>'2012_2020'!BN16</f>
        <v>-4.1000000000000002E-2</v>
      </c>
      <c r="BQ78">
        <f>'2012_2020'!BO16</f>
        <v>-5.0200000000000002E-2</v>
      </c>
      <c r="BR78">
        <f>'2012_2020'!BP16</f>
        <v>-5.0200000000000002E-2</v>
      </c>
      <c r="BS78">
        <f>'2012_2020'!BQ16</f>
        <v>-5.7299999999999997E-2</v>
      </c>
      <c r="BT78">
        <f>'2012_2020'!BR16</f>
        <v>-6.4600000000000005E-2</v>
      </c>
      <c r="BU78">
        <f>'2012_2020'!BS16</f>
        <v>-1.4800000000000001E-2</v>
      </c>
      <c r="BV78">
        <f>'2012_2020'!BT16</f>
        <v>9.0200000000000002E-2</v>
      </c>
      <c r="BW78">
        <f>'2012_2020'!BU16</f>
        <v>0.128</v>
      </c>
      <c r="BX78">
        <f>'2012_2020'!BV16</f>
        <v>0.10199999999999999</v>
      </c>
      <c r="BY78">
        <f>'2012_2020'!BW16</f>
        <v>6.3E-2</v>
      </c>
      <c r="BZ78">
        <f>'2012_2020'!BX16</f>
        <v>4.0800000000000003E-2</v>
      </c>
      <c r="CA78">
        <f>'2012_2020'!BY16</f>
        <v>2.0899999999999998E-2</v>
      </c>
      <c r="CB78">
        <f>'2012_2020'!BZ16</f>
        <v>5.45E-2</v>
      </c>
      <c r="CC78">
        <f>'2012_2020'!CA16</f>
        <v>2.4899999999999999E-2</v>
      </c>
      <c r="CD78">
        <f>'2012_2020'!CB16</f>
        <v>-2.9399999999999999E-2</v>
      </c>
      <c r="CE78">
        <f>'2012_2020'!CC16</f>
        <v>-5.0500000000000003E-2</v>
      </c>
      <c r="CF78">
        <f>'2012_2020'!CD16</f>
        <v>-8.5900000000000004E-2</v>
      </c>
      <c r="CG78">
        <f>'2012_2020'!CE16</f>
        <v>-6.0900000000000003E-2</v>
      </c>
      <c r="CH78">
        <f>'2012_2020'!CF16</f>
        <v>6.13E-2</v>
      </c>
      <c r="CI78">
        <f>'2012_2020'!CG16</f>
        <v>0.14399999999999999</v>
      </c>
      <c r="CJ78">
        <f>'2012_2020'!CH16</f>
        <v>0.17100000000000001</v>
      </c>
      <c r="CK78">
        <f>'2012_2020'!CI16</f>
        <v>-6.13E-2</v>
      </c>
      <c r="CL78">
        <f>'2012_2020'!CJ16</f>
        <v>-0.105</v>
      </c>
      <c r="CM78">
        <f>'2012_2020'!CK16</f>
        <v>-0.11</v>
      </c>
      <c r="CN78">
        <f>'2012_2020'!CL16</f>
        <v>-1.3899999999999999E-2</v>
      </c>
      <c r="CO78">
        <f>'2012_2020'!CM16</f>
        <v>-1.4999999999999999E-2</v>
      </c>
      <c r="CP78">
        <f>'2012_2020'!CN16</f>
        <v>-4.4200000000000003E-2</v>
      </c>
      <c r="CQ78">
        <f>'2012_2020'!CO16</f>
        <v>-0.158</v>
      </c>
      <c r="CR78">
        <f>'2012_2020'!CP16</f>
        <v>-2.3900000000000001E-2</v>
      </c>
      <c r="CS78">
        <f>'2012_2020'!CQ16</f>
        <v>6.1499999999999999E-2</v>
      </c>
      <c r="CT78">
        <f>'2012_2020'!CR16</f>
        <v>-1.47E-2</v>
      </c>
      <c r="CU78">
        <f>'2012_2020'!CS16</f>
        <v>6.6400000000000001E-2</v>
      </c>
      <c r="CV78">
        <f>'2012_2020'!CT16</f>
        <v>-0.16300000000000001</v>
      </c>
      <c r="CW78">
        <f>'2012_2020'!CU16</f>
        <v>2.52E-2</v>
      </c>
      <c r="CX78">
        <f>'2012_2020'!CV16</f>
        <v>-6.08E-2</v>
      </c>
    </row>
    <row r="79" spans="1:102" x14ac:dyDescent="0.2">
      <c r="A79" t="s">
        <v>210</v>
      </c>
      <c r="B79" t="s">
        <v>219</v>
      </c>
      <c r="C79" t="s">
        <v>222</v>
      </c>
      <c r="D79">
        <f>'2012_2020'!B17</f>
        <v>7.9500000000000001E-2</v>
      </c>
      <c r="E79">
        <f>'2012_2020'!C17</f>
        <v>6.8500000000000005E-2</v>
      </c>
      <c r="F79">
        <f>'2012_2020'!D17</f>
        <v>3.7600000000000001E-2</v>
      </c>
      <c r="G79">
        <f>'2012_2020'!E17</f>
        <v>6.0999999999999999E-2</v>
      </c>
      <c r="H79">
        <f>'2012_2020'!F17</f>
        <v>-8.5500000000000003E-3</v>
      </c>
      <c r="I79">
        <f>'2012_2020'!G17</f>
        <v>3.1899999999999998E-2</v>
      </c>
      <c r="J79">
        <f>'2012_2020'!H17</f>
        <v>9.9500000000000005E-3</v>
      </c>
      <c r="K79">
        <f>'2012_2020'!I17</f>
        <v>4.47E-3</v>
      </c>
      <c r="L79">
        <f>'2012_2020'!J17</f>
        <v>1.03E-2</v>
      </c>
      <c r="M79">
        <f>'2012_2020'!K17</f>
        <v>-1.6199999999999999E-2</v>
      </c>
      <c r="N79">
        <f>'2012_2020'!L17</f>
        <v>-1.3100000000000001E-2</v>
      </c>
      <c r="O79">
        <f>'2012_2020'!M17</f>
        <v>8.8999999999999999E-3</v>
      </c>
      <c r="P79">
        <f>'2012_2020'!N17</f>
        <v>6.4700000000000001E-4</v>
      </c>
      <c r="Q79">
        <f>'2012_2020'!O17</f>
        <v>-1.7799999999999999E-3</v>
      </c>
      <c r="R79">
        <f>'2012_2020'!P17</f>
        <v>-4.3400000000000001E-3</v>
      </c>
      <c r="S79">
        <f>'2012_2020'!Q17</f>
        <v>-3.8700000000000002E-3</v>
      </c>
      <c r="T79">
        <f>'2012_2020'!R17</f>
        <v>1.7799999999999999E-3</v>
      </c>
      <c r="U79">
        <f>'2012_2020'!S17</f>
        <v>2.1099999999999999E-3</v>
      </c>
      <c r="V79">
        <f>'2012_2020'!T17</f>
        <v>4.8399999999999997E-3</v>
      </c>
      <c r="W79">
        <f>'2012_2020'!U17</f>
        <v>3.4399999999999999E-3</v>
      </c>
      <c r="X79">
        <f>'2012_2020'!V17</f>
        <v>4.0600000000000002E-3</v>
      </c>
      <c r="Y79">
        <f>'2012_2020'!W17</f>
        <v>8.5299999999999994E-3</v>
      </c>
      <c r="Z79">
        <f>'2012_2020'!X17</f>
        <v>8.1499999999999993E-3</v>
      </c>
      <c r="AA79">
        <f>'2012_2020'!Y17</f>
        <v>8.5699999999999995E-3</v>
      </c>
      <c r="AB79">
        <f>'2012_2020'!Z17</f>
        <v>7.9000000000000008E-3</v>
      </c>
      <c r="AC79">
        <f>'2012_2020'!AA17</f>
        <v>8.5199999999999998E-3</v>
      </c>
      <c r="AD79">
        <f>'2012_2020'!AB17</f>
        <v>8.8000000000000005E-3</v>
      </c>
      <c r="AE79">
        <f>'2012_2020'!AC17</f>
        <v>8.3300000000000006E-3</v>
      </c>
      <c r="AF79">
        <f>'2012_2020'!AD17</f>
        <v>8.0800000000000004E-3</v>
      </c>
      <c r="AG79">
        <f>'2012_2020'!AE17</f>
        <v>7.5700000000000003E-3</v>
      </c>
      <c r="AH79">
        <f>'2012_2020'!AF17</f>
        <v>7.8300000000000002E-3</v>
      </c>
      <c r="AI79">
        <f>'2012_2020'!AG17</f>
        <v>7.62E-3</v>
      </c>
      <c r="AJ79">
        <f>'2012_2020'!AH17</f>
        <v>6.7400000000000003E-3</v>
      </c>
      <c r="AK79">
        <f>'2012_2020'!AI17</f>
        <v>4.7999999999999996E-3</v>
      </c>
      <c r="AL79">
        <f>'2012_2020'!AJ17</f>
        <v>2.16E-3</v>
      </c>
      <c r="AM79">
        <f>'2012_2020'!AK17</f>
        <v>2.7000000000000001E-3</v>
      </c>
      <c r="AN79">
        <f>'2012_2020'!AL17</f>
        <v>3.3500000000000001E-3</v>
      </c>
      <c r="AO79">
        <f>'2012_2020'!AM17</f>
        <v>4.9100000000000003E-3</v>
      </c>
      <c r="AP79">
        <f>'2012_2020'!AN17</f>
        <v>6.7999999999999996E-3</v>
      </c>
      <c r="AQ79">
        <f>'2012_2020'!AO17</f>
        <v>9.8300000000000002E-3</v>
      </c>
      <c r="AR79">
        <f>'2012_2020'!AP17</f>
        <v>1.2800000000000001E-2</v>
      </c>
      <c r="AS79">
        <f>'2012_2020'!AQ17</f>
        <v>1.54E-2</v>
      </c>
      <c r="AT79">
        <f>'2012_2020'!AR17</f>
        <v>1.52E-2</v>
      </c>
      <c r="AU79">
        <f>'2012_2020'!AS17</f>
        <v>1.4999999999999999E-2</v>
      </c>
      <c r="AV79">
        <f>'2012_2020'!AT17</f>
        <v>1.2999999999999999E-2</v>
      </c>
      <c r="AW79">
        <f>'2012_2020'!AU17</f>
        <v>1.3299999999999999E-2</v>
      </c>
      <c r="AX79">
        <f>'2012_2020'!AV17</f>
        <v>1.2699999999999999E-2</v>
      </c>
      <c r="AY79">
        <f>'2012_2020'!AW17</f>
        <v>1.32E-2</v>
      </c>
      <c r="AZ79">
        <f>'2012_2020'!AX17</f>
        <v>1.0800000000000001E-2</v>
      </c>
      <c r="BA79">
        <f>'2012_2020'!AY17</f>
        <v>1.14E-2</v>
      </c>
      <c r="BB79">
        <f>'2012_2020'!AZ17</f>
        <v>1.06E-2</v>
      </c>
      <c r="BC79">
        <f>'2012_2020'!BA17</f>
        <v>1.6199999999999999E-2</v>
      </c>
      <c r="BD79">
        <f>'2012_2020'!BB17</f>
        <v>1.7899999999999999E-2</v>
      </c>
      <c r="BE79">
        <f>'2012_2020'!BC17</f>
        <v>1.9099999999999999E-2</v>
      </c>
      <c r="BF79">
        <f>'2012_2020'!BD17</f>
        <v>1.5699999999999999E-2</v>
      </c>
      <c r="BG79">
        <f>'2012_2020'!BE17</f>
        <v>1.44E-2</v>
      </c>
      <c r="BH79">
        <f>'2012_2020'!BF17</f>
        <v>1.0999999999999999E-2</v>
      </c>
      <c r="BI79">
        <f>'2012_2020'!BG17</f>
        <v>8.26E-3</v>
      </c>
      <c r="BJ79">
        <f>'2012_2020'!BH17</f>
        <v>9.8700000000000003E-3</v>
      </c>
      <c r="BK79">
        <f>'2012_2020'!BI17</f>
        <v>5.9699999999999996E-3</v>
      </c>
      <c r="BL79">
        <f>'2012_2020'!BJ17</f>
        <v>4.2700000000000004E-3</v>
      </c>
      <c r="BM79">
        <f>'2012_2020'!BK17</f>
        <v>9.0799999999999995E-3</v>
      </c>
      <c r="BN79">
        <f>'2012_2020'!BL17</f>
        <v>1.84E-2</v>
      </c>
      <c r="BO79">
        <f>'2012_2020'!BM17</f>
        <v>2.46E-2</v>
      </c>
      <c r="BP79">
        <f>'2012_2020'!BN17</f>
        <v>3.1300000000000001E-2</v>
      </c>
      <c r="BQ79">
        <f>'2012_2020'!BO17</f>
        <v>3.2000000000000001E-2</v>
      </c>
      <c r="BR79">
        <f>'2012_2020'!BP17</f>
        <v>3.09E-2</v>
      </c>
      <c r="BS79">
        <f>'2012_2020'!BQ17</f>
        <v>3.0099999999999998E-2</v>
      </c>
      <c r="BT79">
        <f>'2012_2020'!BR17</f>
        <v>2.87E-2</v>
      </c>
      <c r="BU79">
        <f>'2012_2020'!BS17</f>
        <v>1.9800000000000002E-2</v>
      </c>
      <c r="BV79">
        <f>'2012_2020'!BT17</f>
        <v>2.4299999999999999E-3</v>
      </c>
      <c r="BW79">
        <f>'2012_2020'!BU17</f>
        <v>-3.5300000000000002E-3</v>
      </c>
      <c r="BX79">
        <f>'2012_2020'!BV17</f>
        <v>9.6900000000000003E-4</v>
      </c>
      <c r="BY79">
        <f>'2012_2020'!BW17</f>
        <v>1.23E-2</v>
      </c>
      <c r="BZ79">
        <f>'2012_2020'!BX17</f>
        <v>1.77E-2</v>
      </c>
      <c r="CA79">
        <f>'2012_2020'!BY17</f>
        <v>1.8700000000000001E-2</v>
      </c>
      <c r="CB79">
        <f>'2012_2020'!BZ17</f>
        <v>7.8499999999999993E-3</v>
      </c>
      <c r="CC79">
        <f>'2012_2020'!CA17</f>
        <v>1.1299999999999999E-2</v>
      </c>
      <c r="CD79">
        <f>'2012_2020'!CB17</f>
        <v>2.2599999999999999E-2</v>
      </c>
      <c r="CE79">
        <f>'2012_2020'!CC17</f>
        <v>2.4899999999999999E-2</v>
      </c>
      <c r="CF79">
        <f>'2012_2020'!CD17</f>
        <v>3.2500000000000001E-2</v>
      </c>
      <c r="CG79">
        <f>'2012_2020'!CE17</f>
        <v>2.5600000000000001E-2</v>
      </c>
      <c r="CH79">
        <f>'2012_2020'!CF17</f>
        <v>2.3500000000000001E-3</v>
      </c>
      <c r="CI79">
        <f>'2012_2020'!CG17</f>
        <v>-1.7600000000000001E-2</v>
      </c>
      <c r="CJ79">
        <f>'2012_2020'!CH17</f>
        <v>-2.4400000000000002E-2</v>
      </c>
      <c r="CK79">
        <f>'2012_2020'!CI17</f>
        <v>2.3199999999999998E-2</v>
      </c>
      <c r="CL79">
        <f>'2012_2020'!CJ17</f>
        <v>3.4200000000000001E-2</v>
      </c>
      <c r="CM79">
        <f>'2012_2020'!CK17</f>
        <v>3.3300000000000003E-2</v>
      </c>
      <c r="CN79">
        <f>'2012_2020'!CL17</f>
        <v>1.01E-2</v>
      </c>
      <c r="CO79">
        <f>'2012_2020'!CM17</f>
        <v>1.47E-2</v>
      </c>
      <c r="CP79">
        <f>'2012_2020'!CN17</f>
        <v>1.84E-2</v>
      </c>
      <c r="CQ79">
        <f>'2012_2020'!CO17</f>
        <v>4.1300000000000003E-2</v>
      </c>
      <c r="CR79">
        <f>'2012_2020'!CP17</f>
        <v>1.64E-3</v>
      </c>
      <c r="CS79">
        <f>'2012_2020'!CQ17</f>
        <v>-2.7699999999999999E-2</v>
      </c>
      <c r="CT79">
        <f>'2012_2020'!CR17</f>
        <v>3.0400000000000002E-3</v>
      </c>
      <c r="CU79">
        <f>'2012_2020'!CS17</f>
        <v>-3.6400000000000002E-2</v>
      </c>
      <c r="CV79">
        <f>'2012_2020'!CT17</f>
        <v>1.6199999999999999E-2</v>
      </c>
      <c r="CW79">
        <f>'2012_2020'!CU17</f>
        <v>-2.8400000000000002E-2</v>
      </c>
      <c r="CX79">
        <f>'2012_2020'!CV17</f>
        <v>4.19E-2</v>
      </c>
    </row>
    <row r="80" spans="1:102" x14ac:dyDescent="0.2">
      <c r="A80" t="s">
        <v>211</v>
      </c>
      <c r="B80" t="s">
        <v>219</v>
      </c>
      <c r="C80" t="s">
        <v>222</v>
      </c>
      <c r="D80">
        <f>'2012_2020'!B18</f>
        <v>2.2100000000000002E-2</v>
      </c>
      <c r="E80">
        <f>'2012_2020'!C18</f>
        <v>1.3299999999999999E-2</v>
      </c>
      <c r="F80">
        <f>'2012_2020'!D18</f>
        <v>1.5299999999999999E-2</v>
      </c>
      <c r="G80">
        <f>'2012_2020'!E18</f>
        <v>2.87E-2</v>
      </c>
      <c r="H80">
        <f>'2012_2020'!F18</f>
        <v>5.96E-3</v>
      </c>
      <c r="I80">
        <f>'2012_2020'!G18</f>
        <v>1.5299999999999999E-2</v>
      </c>
      <c r="J80">
        <f>'2012_2020'!H18</f>
        <v>6.4599999999999996E-3</v>
      </c>
      <c r="K80">
        <f>'2012_2020'!I18</f>
        <v>1.2999999999999999E-2</v>
      </c>
      <c r="L80">
        <f>'2012_2020'!J18</f>
        <v>1.7100000000000001E-2</v>
      </c>
      <c r="M80">
        <f>'2012_2020'!K18</f>
        <v>7.5199999999999998E-3</v>
      </c>
      <c r="N80">
        <f>'2012_2020'!L18</f>
        <v>1.04E-2</v>
      </c>
      <c r="O80">
        <f>'2012_2020'!M18</f>
        <v>1.8800000000000001E-2</v>
      </c>
      <c r="P80">
        <f>'2012_2020'!N18</f>
        <v>1.4999999999999999E-2</v>
      </c>
      <c r="Q80">
        <f>'2012_2020'!O18</f>
        <v>1.55E-2</v>
      </c>
      <c r="R80">
        <f>'2012_2020'!P18</f>
        <v>1.24E-2</v>
      </c>
      <c r="S80">
        <f>'2012_2020'!Q18</f>
        <v>1.0699999999999999E-2</v>
      </c>
      <c r="T80">
        <f>'2012_2020'!R18</f>
        <v>9.1299999999999992E-3</v>
      </c>
      <c r="U80">
        <f>'2012_2020'!S18</f>
        <v>1.12E-2</v>
      </c>
      <c r="V80">
        <f>'2012_2020'!T18</f>
        <v>1.03E-2</v>
      </c>
      <c r="W80">
        <f>'2012_2020'!U18</f>
        <v>9.3699999999999999E-3</v>
      </c>
      <c r="X80">
        <f>'2012_2020'!V18</f>
        <v>8.6199999999999992E-3</v>
      </c>
      <c r="Y80">
        <f>'2012_2020'!W18</f>
        <v>1.17E-2</v>
      </c>
      <c r="Z80">
        <f>'2012_2020'!X18</f>
        <v>9.8600000000000007E-3</v>
      </c>
      <c r="AA80">
        <f>'2012_2020'!Y18</f>
        <v>1.14E-2</v>
      </c>
      <c r="AB80">
        <f>'2012_2020'!Z18</f>
        <v>1.0200000000000001E-2</v>
      </c>
      <c r="AC80">
        <f>'2012_2020'!AA18</f>
        <v>9.1599999999999997E-3</v>
      </c>
      <c r="AD80">
        <f>'2012_2020'!AB18</f>
        <v>9.9900000000000006E-3</v>
      </c>
      <c r="AE80">
        <f>'2012_2020'!AC18</f>
        <v>8.4200000000000004E-3</v>
      </c>
      <c r="AF80">
        <f>'2012_2020'!AD18</f>
        <v>8.5299999999999994E-3</v>
      </c>
      <c r="AG80">
        <f>'2012_2020'!AE18</f>
        <v>1.06E-2</v>
      </c>
      <c r="AH80">
        <f>'2012_2020'!AF18</f>
        <v>8.7500000000000008E-3</v>
      </c>
      <c r="AI80">
        <f>'2012_2020'!AG18</f>
        <v>8.0099999999999998E-3</v>
      </c>
      <c r="AJ80">
        <f>'2012_2020'!AH18</f>
        <v>7.4999999999999997E-3</v>
      </c>
      <c r="AK80">
        <f>'2012_2020'!AI18</f>
        <v>4.2300000000000003E-3</v>
      </c>
      <c r="AL80">
        <f>'2012_2020'!AJ18</f>
        <v>2.1299999999999999E-3</v>
      </c>
      <c r="AM80">
        <f>'2012_2020'!AK18</f>
        <v>2.0100000000000001E-3</v>
      </c>
      <c r="AN80">
        <f>'2012_2020'!AL18</f>
        <v>-6.8300000000000001E-4</v>
      </c>
      <c r="AO80">
        <f>'2012_2020'!AM18</f>
        <v>4.3200000000000001E-3</v>
      </c>
      <c r="AP80">
        <f>'2012_2020'!AN18</f>
        <v>5.7200000000000003E-3</v>
      </c>
      <c r="AQ80">
        <f>'2012_2020'!AO18</f>
        <v>3.63E-3</v>
      </c>
      <c r="AR80">
        <f>'2012_2020'!AP18</f>
        <v>4.5700000000000003E-3</v>
      </c>
      <c r="AS80">
        <f>'2012_2020'!AQ18</f>
        <v>3.8400000000000001E-3</v>
      </c>
      <c r="AT80">
        <f>'2012_2020'!AR18</f>
        <v>2.7499999999999998E-3</v>
      </c>
      <c r="AU80">
        <f>'2012_2020'!AS18</f>
        <v>8.1099999999999998E-4</v>
      </c>
      <c r="AV80">
        <f>'2012_2020'!AT18</f>
        <v>1.3600000000000001E-3</v>
      </c>
      <c r="AW80">
        <f>'2012_2020'!AU18</f>
        <v>1.92E-3</v>
      </c>
      <c r="AX80">
        <f>'2012_2020'!AV18</f>
        <v>3.3999999999999998E-3</v>
      </c>
      <c r="AY80">
        <f>'2012_2020'!AW18</f>
        <v>3.3100000000000002E-4</v>
      </c>
      <c r="AZ80">
        <f>'2012_2020'!AX18</f>
        <v>9.1100000000000003E-4</v>
      </c>
      <c r="BA80">
        <f>'2012_2020'!AY18</f>
        <v>-8.6799999999999996E-4</v>
      </c>
      <c r="BB80">
        <f>'2012_2020'!AZ18</f>
        <v>-2.8500000000000001E-3</v>
      </c>
      <c r="BC80">
        <f>'2012_2020'!BA18</f>
        <v>-2.4099999999999998E-3</v>
      </c>
      <c r="BD80">
        <f>'2012_2020'!BB18</f>
        <v>2.47E-3</v>
      </c>
      <c r="BE80">
        <f>'2012_2020'!BC18</f>
        <v>3.7200000000000002E-3</v>
      </c>
      <c r="BF80">
        <f>'2012_2020'!BD18</f>
        <v>-9.1600000000000004E-4</v>
      </c>
      <c r="BG80">
        <f>'2012_2020'!BE18</f>
        <v>7.2099999999999996E-4</v>
      </c>
      <c r="BH80">
        <f>'2012_2020'!BF18</f>
        <v>-3.6800000000000001E-3</v>
      </c>
      <c r="BI80">
        <f>'2012_2020'!BG18</f>
        <v>-6.5900000000000004E-3</v>
      </c>
      <c r="BJ80">
        <f>'2012_2020'!BH18</f>
        <v>-4.5199999999999997E-3</v>
      </c>
      <c r="BK80">
        <f>'2012_2020'!BI18</f>
        <v>-9.5099999999999994E-3</v>
      </c>
      <c r="BL80">
        <f>'2012_2020'!BJ18</f>
        <v>-1.24E-2</v>
      </c>
      <c r="BM80">
        <f>'2012_2020'!BK18</f>
        <v>-8.5699999999999995E-3</v>
      </c>
      <c r="BN80">
        <f>'2012_2020'!BL18</f>
        <v>-1.09E-3</v>
      </c>
      <c r="BO80">
        <f>'2012_2020'!BM18</f>
        <v>4.3499999999999997E-3</v>
      </c>
      <c r="BP80">
        <f>'2012_2020'!BN18</f>
        <v>9.2599999999999991E-3</v>
      </c>
      <c r="BQ80">
        <f>'2012_2020'!BO18</f>
        <v>7.0600000000000003E-3</v>
      </c>
      <c r="BR80">
        <f>'2012_2020'!BP18</f>
        <v>1.72E-2</v>
      </c>
      <c r="BS80">
        <f>'2012_2020'!BQ18</f>
        <v>0.02</v>
      </c>
      <c r="BT80">
        <f>'2012_2020'!BR18</f>
        <v>1.37E-2</v>
      </c>
      <c r="BU80">
        <f>'2012_2020'!BS18</f>
        <v>6.7000000000000002E-3</v>
      </c>
      <c r="BV80">
        <f>'2012_2020'!BT18</f>
        <v>-5.4999999999999997E-3</v>
      </c>
      <c r="BW80">
        <f>'2012_2020'!BU18</f>
        <v>-1.3899999999999999E-2</v>
      </c>
      <c r="BX80">
        <f>'2012_2020'!BV18</f>
        <v>-1.29E-2</v>
      </c>
      <c r="BY80">
        <f>'2012_2020'!BW18</f>
        <v>-8.0999999999999996E-3</v>
      </c>
      <c r="BZ80">
        <f>'2012_2020'!BX18</f>
        <v>-6.2300000000000003E-3</v>
      </c>
      <c r="CA80">
        <f>'2012_2020'!BY18</f>
        <v>2.4699999999999999E-4</v>
      </c>
      <c r="CB80">
        <f>'2012_2020'!BZ18</f>
        <v>-1.3100000000000001E-2</v>
      </c>
      <c r="CC80">
        <f>'2012_2020'!CA18</f>
        <v>-9.1199999999999996E-3</v>
      </c>
      <c r="CD80">
        <f>'2012_2020'!CB18</f>
        <v>-5.4000000000000003E-3</v>
      </c>
      <c r="CE80">
        <f>'2012_2020'!CC18</f>
        <v>-1.4599999999999999E-3</v>
      </c>
      <c r="CF80">
        <f>'2012_2020'!CD18</f>
        <v>7.9000000000000008E-3</v>
      </c>
      <c r="CG80">
        <f>'2012_2020'!CE18</f>
        <v>3.3300000000000001E-3</v>
      </c>
      <c r="CH80">
        <f>'2012_2020'!CF18</f>
        <v>-1.38E-2</v>
      </c>
      <c r="CI80">
        <f>'2012_2020'!CG18</f>
        <v>-3.4599999999999999E-2</v>
      </c>
      <c r="CJ80">
        <f>'2012_2020'!CH18</f>
        <v>-4.2299999999999997E-2</v>
      </c>
      <c r="CK80">
        <f>'2012_2020'!CI18</f>
        <v>-6.96E-3</v>
      </c>
      <c r="CL80">
        <f>'2012_2020'!CJ18</f>
        <v>-2.72E-4</v>
      </c>
      <c r="CM80">
        <f>'2012_2020'!CK18</f>
        <v>3.0699999999999998E-3</v>
      </c>
      <c r="CN80">
        <f>'2012_2020'!CL18</f>
        <v>-2.98E-2</v>
      </c>
      <c r="CO80">
        <f>'2012_2020'!CM18</f>
        <v>-3.0800000000000001E-2</v>
      </c>
      <c r="CP80">
        <f>'2012_2020'!CN18</f>
        <v>-2.06E-2</v>
      </c>
      <c r="CQ80">
        <f>'2012_2020'!CO18</f>
        <v>-1.6999999999999999E-3</v>
      </c>
      <c r="CR80">
        <f>'2012_2020'!CP18</f>
        <v>-2.7E-2</v>
      </c>
      <c r="CS80">
        <f>'2012_2020'!CQ18</f>
        <v>-4.1200000000000001E-2</v>
      </c>
      <c r="CT80">
        <f>'2012_2020'!CR18</f>
        <v>-3.9300000000000002E-2</v>
      </c>
      <c r="CU80">
        <f>'2012_2020'!CS18</f>
        <v>-6.2799999999999995E-2</v>
      </c>
      <c r="CV80">
        <f>'2012_2020'!CT18</f>
        <v>-1.77E-2</v>
      </c>
      <c r="CW80">
        <f>'2012_2020'!CU18</f>
        <v>-6.1800000000000001E-2</v>
      </c>
      <c r="CX80">
        <f>'2012_2020'!CV18</f>
        <v>-3.6900000000000002E-2</v>
      </c>
    </row>
    <row r="81" spans="1:102" x14ac:dyDescent="0.2">
      <c r="A81" t="s">
        <v>212</v>
      </c>
      <c r="B81" t="s">
        <v>219</v>
      </c>
      <c r="C81" t="s">
        <v>222</v>
      </c>
      <c r="D81">
        <f>'2012_2020'!B19</f>
        <v>3.2399999999999998E-2</v>
      </c>
      <c r="E81">
        <f>'2012_2020'!C19</f>
        <v>1.11E-2</v>
      </c>
      <c r="F81">
        <f>'2012_2020'!D19</f>
        <v>-5.5799999999999999E-3</v>
      </c>
      <c r="G81">
        <f>'2012_2020'!E19</f>
        <v>1.95E-2</v>
      </c>
      <c r="H81">
        <f>'2012_2020'!F19</f>
        <v>-1.29E-2</v>
      </c>
      <c r="I81">
        <f>'2012_2020'!G19</f>
        <v>3.46E-3</v>
      </c>
      <c r="J81">
        <f>'2012_2020'!H19</f>
        <v>-2.4299999999999999E-3</v>
      </c>
      <c r="K81">
        <f>'2012_2020'!I19</f>
        <v>-2.15E-3</v>
      </c>
      <c r="L81">
        <f>'2012_2020'!J19</f>
        <v>1.3799999999999999E-3</v>
      </c>
      <c r="M81">
        <f>'2012_2020'!K19</f>
        <v>-8.6700000000000006E-3</v>
      </c>
      <c r="N81">
        <f>'2012_2020'!L19</f>
        <v>-6.2599999999999999E-3</v>
      </c>
      <c r="O81">
        <f>'2012_2020'!M19</f>
        <v>5.0699999999999999E-3</v>
      </c>
      <c r="P81">
        <f>'2012_2020'!N19</f>
        <v>2.4599999999999999E-3</v>
      </c>
      <c r="Q81">
        <f>'2012_2020'!O19</f>
        <v>1.74E-3</v>
      </c>
      <c r="R81">
        <f>'2012_2020'!P19</f>
        <v>-7.2999999999999996E-4</v>
      </c>
      <c r="S81">
        <f>'2012_2020'!Q19</f>
        <v>-6.1799999999999995E-4</v>
      </c>
      <c r="T81">
        <f>'2012_2020'!R19</f>
        <v>5.13E-4</v>
      </c>
      <c r="U81">
        <f>'2012_2020'!S19</f>
        <v>1.15E-3</v>
      </c>
      <c r="V81">
        <f>'2012_2020'!T19</f>
        <v>1.7700000000000001E-3</v>
      </c>
      <c r="W81">
        <f>'2012_2020'!U19</f>
        <v>1.32E-3</v>
      </c>
      <c r="X81">
        <f>'2012_2020'!V19</f>
        <v>1.6800000000000001E-3</v>
      </c>
      <c r="Y81">
        <f>'2012_2020'!W19</f>
        <v>2.3800000000000002E-3</v>
      </c>
      <c r="Z81">
        <f>'2012_2020'!X19</f>
        <v>2.1800000000000001E-3</v>
      </c>
      <c r="AA81">
        <f>'2012_2020'!Y19</f>
        <v>2.15E-3</v>
      </c>
      <c r="AB81">
        <f>'2012_2020'!Z19</f>
        <v>1.9499999999999999E-3</v>
      </c>
      <c r="AC81">
        <f>'2012_2020'!AA19</f>
        <v>1.8E-3</v>
      </c>
      <c r="AD81">
        <f>'2012_2020'!AB19</f>
        <v>1.3799999999999999E-3</v>
      </c>
      <c r="AE81">
        <f>'2012_2020'!AC19</f>
        <v>7.6300000000000001E-4</v>
      </c>
      <c r="AF81">
        <f>'2012_2020'!AD19</f>
        <v>6.0599999999999998E-4</v>
      </c>
      <c r="AG81">
        <f>'2012_2020'!AE19</f>
        <v>-5.44E-4</v>
      </c>
      <c r="AH81">
        <f>'2012_2020'!AF19</f>
        <v>-9.5399999999999999E-4</v>
      </c>
      <c r="AI81">
        <f>'2012_2020'!AG19</f>
        <v>-9.4300000000000004E-4</v>
      </c>
      <c r="AJ81">
        <f>'2012_2020'!AH19</f>
        <v>-5.4600000000000004E-4</v>
      </c>
      <c r="AK81">
        <f>'2012_2020'!AI19</f>
        <v>-5.5099999999999995E-4</v>
      </c>
      <c r="AL81">
        <f>'2012_2020'!AJ19</f>
        <v>-6.2600000000000004E-4</v>
      </c>
      <c r="AM81">
        <f>'2012_2020'!AK19</f>
        <v>-6.8000000000000005E-4</v>
      </c>
      <c r="AN81">
        <f>'2012_2020'!AL19</f>
        <v>-7.7999999999999999E-4</v>
      </c>
      <c r="AO81">
        <f>'2012_2020'!AM19</f>
        <v>-3.5599999999999998E-4</v>
      </c>
      <c r="AP81">
        <f>'2012_2020'!AN19</f>
        <v>7.86E-5</v>
      </c>
      <c r="AQ81">
        <f>'2012_2020'!AO19</f>
        <v>4.0999999999999999E-4</v>
      </c>
      <c r="AR81">
        <f>'2012_2020'!AP19</f>
        <v>7.5000000000000002E-4</v>
      </c>
      <c r="AS81">
        <f>'2012_2020'!AQ19</f>
        <v>5.9800000000000001E-4</v>
      </c>
      <c r="AT81">
        <f>'2012_2020'!AR19</f>
        <v>6.4800000000000003E-4</v>
      </c>
      <c r="AU81">
        <f>'2012_2020'!AS19</f>
        <v>7.0399999999999998E-4</v>
      </c>
      <c r="AV81">
        <f>'2012_2020'!AT19</f>
        <v>5.0199999999999995E-4</v>
      </c>
      <c r="AW81">
        <f>'2012_2020'!AU19</f>
        <v>6.6600000000000003E-4</v>
      </c>
      <c r="AX81">
        <f>'2012_2020'!AV19</f>
        <v>6.8900000000000005E-4</v>
      </c>
      <c r="AY81">
        <f>'2012_2020'!AW19</f>
        <v>2.6400000000000002E-4</v>
      </c>
      <c r="AZ81">
        <f>'2012_2020'!AX19</f>
        <v>-1.33E-5</v>
      </c>
      <c r="BA81">
        <f>'2012_2020'!AY19</f>
        <v>-4.8000000000000001E-4</v>
      </c>
      <c r="BB81">
        <f>'2012_2020'!AZ19</f>
        <v>-7.7700000000000002E-4</v>
      </c>
      <c r="BC81">
        <f>'2012_2020'!BA19</f>
        <v>-3.4000000000000002E-4</v>
      </c>
      <c r="BD81">
        <f>'2012_2020'!BB19</f>
        <v>3.8699999999999997E-4</v>
      </c>
      <c r="BE81">
        <f>'2012_2020'!BC19</f>
        <v>4.64E-4</v>
      </c>
      <c r="BF81">
        <f>'2012_2020'!BD19</f>
        <v>2.8899999999999998E-4</v>
      </c>
      <c r="BG81">
        <f>'2012_2020'!BE19</f>
        <v>4.66E-4</v>
      </c>
      <c r="BH81">
        <f>'2012_2020'!BF19</f>
        <v>2.02E-4</v>
      </c>
      <c r="BI81">
        <f>'2012_2020'!BG19</f>
        <v>3.9199999999999997E-5</v>
      </c>
      <c r="BJ81">
        <f>'2012_2020'!BH19</f>
        <v>2.2599999999999999E-4</v>
      </c>
      <c r="BK81">
        <f>'2012_2020'!BI19</f>
        <v>7.7700000000000005E-5</v>
      </c>
      <c r="BL81">
        <f>'2012_2020'!BJ19</f>
        <v>7.8399999999999995E-5</v>
      </c>
      <c r="BM81">
        <f>'2012_2020'!BK19</f>
        <v>4.8500000000000003E-4</v>
      </c>
      <c r="BN81">
        <f>'2012_2020'!BL19</f>
        <v>9.5399999999999999E-4</v>
      </c>
      <c r="BO81">
        <f>'2012_2020'!BM19</f>
        <v>1.67E-3</v>
      </c>
      <c r="BP81">
        <f>'2012_2020'!BN19</f>
        <v>2.1900000000000001E-3</v>
      </c>
      <c r="BQ81">
        <f>'2012_2020'!BO19</f>
        <v>2.65E-3</v>
      </c>
      <c r="BR81">
        <f>'2012_2020'!BP19</f>
        <v>2.7200000000000002E-3</v>
      </c>
      <c r="BS81">
        <f>'2012_2020'!BQ19</f>
        <v>2.0500000000000002E-3</v>
      </c>
      <c r="BT81">
        <f>'2012_2020'!BR19</f>
        <v>2.7200000000000002E-3</v>
      </c>
      <c r="BU81">
        <f>'2012_2020'!BS19</f>
        <v>2.5600000000000002E-3</v>
      </c>
      <c r="BV81">
        <f>'2012_2020'!BT19</f>
        <v>1.47E-3</v>
      </c>
      <c r="BW81">
        <f>'2012_2020'!BU19</f>
        <v>1.81E-3</v>
      </c>
      <c r="BX81">
        <f>'2012_2020'!BV19</f>
        <v>1.2899999999999999E-3</v>
      </c>
      <c r="BY81">
        <f>'2012_2020'!BW19</f>
        <v>1.98E-3</v>
      </c>
      <c r="BZ81">
        <f>'2012_2020'!BX19</f>
        <v>2.5000000000000001E-3</v>
      </c>
      <c r="CA81">
        <f>'2012_2020'!BY19</f>
        <v>3.3999999999999998E-3</v>
      </c>
      <c r="CB81">
        <f>'2012_2020'!BZ19</f>
        <v>3.2000000000000002E-3</v>
      </c>
      <c r="CC81">
        <f>'2012_2020'!CA19</f>
        <v>3.3E-3</v>
      </c>
      <c r="CD81">
        <f>'2012_2020'!CB19</f>
        <v>2.5200000000000001E-3</v>
      </c>
      <c r="CE81">
        <f>'2012_2020'!CC19</f>
        <v>2.2899999999999999E-3</v>
      </c>
      <c r="CF81">
        <f>'2012_2020'!CD19</f>
        <v>2.1900000000000001E-3</v>
      </c>
      <c r="CG81">
        <f>'2012_2020'!CE19</f>
        <v>2.2599999999999999E-3</v>
      </c>
      <c r="CH81">
        <f>'2012_2020'!CF19</f>
        <v>8.52E-4</v>
      </c>
      <c r="CI81">
        <f>'2012_2020'!CG19</f>
        <v>-5.7700000000000004E-4</v>
      </c>
      <c r="CJ81">
        <f>'2012_2020'!CH19</f>
        <v>-1.8400000000000001E-3</v>
      </c>
      <c r="CK81">
        <f>'2012_2020'!CI19</f>
        <v>1.9100000000000001E-4</v>
      </c>
      <c r="CL81">
        <f>'2012_2020'!CJ19</f>
        <v>7.9000000000000001E-4</v>
      </c>
      <c r="CM81">
        <f>'2012_2020'!CK19</f>
        <v>1.1299999999999999E-3</v>
      </c>
      <c r="CN81">
        <f>'2012_2020'!CL19</f>
        <v>6.4499999999999996E-4</v>
      </c>
      <c r="CO81">
        <f>'2012_2020'!CM19</f>
        <v>-1.4100000000000001E-4</v>
      </c>
      <c r="CP81">
        <f>'2012_2020'!CN19</f>
        <v>-8.43E-4</v>
      </c>
      <c r="CQ81">
        <f>'2012_2020'!CO19</f>
        <v>1.66E-5</v>
      </c>
      <c r="CR81">
        <f>'2012_2020'!CP19</f>
        <v>-1.89E-3</v>
      </c>
      <c r="CS81">
        <f>'2012_2020'!CQ19</f>
        <v>-3.2000000000000002E-3</v>
      </c>
      <c r="CT81">
        <f>'2012_2020'!CR19</f>
        <v>-3.2599999999999999E-3</v>
      </c>
      <c r="CU81">
        <f>'2012_2020'!CS19</f>
        <v>-4.1999999999999997E-3</v>
      </c>
      <c r="CV81">
        <f>'2012_2020'!CT19</f>
        <v>-3.3400000000000001E-3</v>
      </c>
      <c r="CW81">
        <f>'2012_2020'!CU19</f>
        <v>-4.79E-3</v>
      </c>
      <c r="CX81">
        <f>'2012_2020'!CV19</f>
        <v>-4.8099999999999998E-4</v>
      </c>
    </row>
    <row r="82" spans="1:102" x14ac:dyDescent="0.2">
      <c r="A82" t="s">
        <v>213</v>
      </c>
      <c r="B82" t="s">
        <v>219</v>
      </c>
      <c r="C82" t="s">
        <v>222</v>
      </c>
      <c r="D82">
        <f>'2012_2020'!B20</f>
        <v>-7.1499999999999994E-2</v>
      </c>
      <c r="E82">
        <f>'2012_2020'!C20</f>
        <v>-0.03</v>
      </c>
      <c r="F82">
        <f>'2012_2020'!D20</f>
        <v>3.4700000000000002E-2</v>
      </c>
      <c r="G82">
        <f>'2012_2020'!E20</f>
        <v>-0.108</v>
      </c>
      <c r="H82">
        <f>'2012_2020'!F20</f>
        <v>0.104</v>
      </c>
      <c r="I82">
        <f>'2012_2020'!G20</f>
        <v>-4.8599999999999997E-2</v>
      </c>
      <c r="J82">
        <f>'2012_2020'!H20</f>
        <v>2.7E-2</v>
      </c>
      <c r="K82">
        <f>'2012_2020'!I20</f>
        <v>2.3199999999999998E-2</v>
      </c>
      <c r="L82">
        <f>'2012_2020'!J20</f>
        <v>-1.0200000000000001E-2</v>
      </c>
      <c r="M82">
        <f>'2012_2020'!K20</f>
        <v>0.115</v>
      </c>
      <c r="N82">
        <f>'2012_2020'!L20</f>
        <v>0.10299999999999999</v>
      </c>
      <c r="O82">
        <f>'2012_2020'!M20</f>
        <v>-3.4099999999999998E-2</v>
      </c>
      <c r="P82">
        <f>'2012_2020'!N20</f>
        <v>1.6199999999999999E-2</v>
      </c>
      <c r="Q82">
        <f>'2012_2020'!O20</f>
        <v>3.4599999999999999E-2</v>
      </c>
      <c r="R82">
        <f>'2012_2020'!P20</f>
        <v>5.45E-2</v>
      </c>
      <c r="S82">
        <f>'2012_2020'!Q20</f>
        <v>3.7100000000000001E-2</v>
      </c>
      <c r="T82">
        <f>'2012_2020'!R20</f>
        <v>1.3899999999999999E-2</v>
      </c>
      <c r="U82">
        <f>'2012_2020'!S20</f>
        <v>3.3600000000000001E-3</v>
      </c>
      <c r="V82">
        <f>'2012_2020'!T20</f>
        <v>-1.1299999999999999E-3</v>
      </c>
      <c r="W82">
        <f>'2012_2020'!U20</f>
        <v>-3.8E-3</v>
      </c>
      <c r="X82">
        <f>'2012_2020'!V20</f>
        <v>-1.0999999999999999E-2</v>
      </c>
      <c r="Y82">
        <f>'2012_2020'!W20</f>
        <v>-2.52E-2</v>
      </c>
      <c r="Z82">
        <f>'2012_2020'!X20</f>
        <v>-1.7600000000000001E-2</v>
      </c>
      <c r="AA82">
        <f>'2012_2020'!Y20</f>
        <v>-5.3299999999999997E-3</v>
      </c>
      <c r="AB82">
        <f>'2012_2020'!Z20</f>
        <v>5.1000000000000004E-3</v>
      </c>
      <c r="AC82">
        <f>'2012_2020'!AA20</f>
        <v>1.38E-2</v>
      </c>
      <c r="AD82">
        <f>'2012_2020'!AB20</f>
        <v>1.5900000000000001E-2</v>
      </c>
      <c r="AE82">
        <f>'2012_2020'!AC20</f>
        <v>1.41E-2</v>
      </c>
      <c r="AF82">
        <f>'2012_2020'!AD20</f>
        <v>1.44E-2</v>
      </c>
      <c r="AG82">
        <f>'2012_2020'!AE20</f>
        <v>1.01E-2</v>
      </c>
      <c r="AH82">
        <f>'2012_2020'!AF20</f>
        <v>1.8599999999999998E-2</v>
      </c>
      <c r="AI82">
        <f>'2012_2020'!AG20</f>
        <v>1.67E-2</v>
      </c>
      <c r="AJ82">
        <f>'2012_2020'!AH20</f>
        <v>1.3299999999999999E-2</v>
      </c>
      <c r="AK82">
        <f>'2012_2020'!AI20</f>
        <v>1.5100000000000001E-2</v>
      </c>
      <c r="AL82">
        <f>'2012_2020'!AJ20</f>
        <v>1.8100000000000002E-2</v>
      </c>
      <c r="AM82">
        <f>'2012_2020'!AK20</f>
        <v>1.18E-2</v>
      </c>
      <c r="AN82">
        <f>'2012_2020'!AL20</f>
        <v>7.0299999999999998E-3</v>
      </c>
      <c r="AO82">
        <f>'2012_2020'!AM20</f>
        <v>6.96E-3</v>
      </c>
      <c r="AP82">
        <f>'2012_2020'!AN20</f>
        <v>1.12E-2</v>
      </c>
      <c r="AQ82">
        <f>'2012_2020'!AO20</f>
        <v>1.3599999999999999E-2</v>
      </c>
      <c r="AR82">
        <f>'2012_2020'!AP20</f>
        <v>1.23E-2</v>
      </c>
      <c r="AS82">
        <f>'2012_2020'!AQ20</f>
        <v>1.01E-2</v>
      </c>
      <c r="AT82">
        <f>'2012_2020'!AR20</f>
        <v>9.3500000000000007E-3</v>
      </c>
      <c r="AU82">
        <f>'2012_2020'!AS20</f>
        <v>1.2699999999999999E-2</v>
      </c>
      <c r="AV82">
        <f>'2012_2020'!AT20</f>
        <v>2.4899999999999999E-2</v>
      </c>
      <c r="AW82">
        <f>'2012_2020'!AU20</f>
        <v>2.76E-2</v>
      </c>
      <c r="AX82">
        <f>'2012_2020'!AV20</f>
        <v>1.7999999999999999E-2</v>
      </c>
      <c r="AY82">
        <f>'2012_2020'!AW20</f>
        <v>1.6199999999999999E-2</v>
      </c>
      <c r="AZ82">
        <f>'2012_2020'!AX20</f>
        <v>1.26E-2</v>
      </c>
      <c r="BA82">
        <f>'2012_2020'!AY20</f>
        <v>1.4200000000000001E-2</v>
      </c>
      <c r="BB82">
        <f>'2012_2020'!AZ20</f>
        <v>9.9500000000000005E-3</v>
      </c>
      <c r="BC82">
        <f>'2012_2020'!BA20</f>
        <v>1.3100000000000001E-2</v>
      </c>
      <c r="BD82">
        <f>'2012_2020'!BB20</f>
        <v>9.8099999999999993E-3</v>
      </c>
      <c r="BE82">
        <f>'2012_2020'!BC20</f>
        <v>1.17E-2</v>
      </c>
      <c r="BF82">
        <f>'2012_2020'!BD20</f>
        <v>1.23E-2</v>
      </c>
      <c r="BG82">
        <f>'2012_2020'!BE20</f>
        <v>2.01E-2</v>
      </c>
      <c r="BH82">
        <f>'2012_2020'!BF20</f>
        <v>2.5000000000000001E-2</v>
      </c>
      <c r="BI82">
        <f>'2012_2020'!BG20</f>
        <v>1.8499999999999999E-2</v>
      </c>
      <c r="BJ82">
        <f>'2012_2020'!BH20</f>
        <v>1.8100000000000002E-2</v>
      </c>
      <c r="BK82">
        <f>'2012_2020'!BI20</f>
        <v>1.5599999999999999E-2</v>
      </c>
      <c r="BL82">
        <f>'2012_2020'!BJ20</f>
        <v>1.4500000000000001E-2</v>
      </c>
      <c r="BM82">
        <f>'2012_2020'!BK20</f>
        <v>8.7899999999999992E-3</v>
      </c>
      <c r="BN82">
        <f>'2012_2020'!BL20</f>
        <v>4.1000000000000003E-3</v>
      </c>
      <c r="BO82">
        <f>'2012_2020'!BM20</f>
        <v>1.7799999999999999E-3</v>
      </c>
      <c r="BP82">
        <f>'2012_2020'!BN20</f>
        <v>1.6299999999999999E-3</v>
      </c>
      <c r="BQ82">
        <f>'2012_2020'!BO20</f>
        <v>7.28E-3</v>
      </c>
      <c r="BR82">
        <f>'2012_2020'!BP20</f>
        <v>1.35E-2</v>
      </c>
      <c r="BS82">
        <f>'2012_2020'!BQ20</f>
        <v>1.8499999999999999E-2</v>
      </c>
      <c r="BT82">
        <f>'2012_2020'!BR20</f>
        <v>2.9000000000000001E-2</v>
      </c>
      <c r="BU82">
        <f>'2012_2020'!BS20</f>
        <v>3.1800000000000002E-2</v>
      </c>
      <c r="BV82">
        <f>'2012_2020'!BT20</f>
        <v>3.6600000000000001E-2</v>
      </c>
      <c r="BW82">
        <f>'2012_2020'!BU20</f>
        <v>3.9E-2</v>
      </c>
      <c r="BX82">
        <f>'2012_2020'!BV20</f>
        <v>2.3800000000000002E-2</v>
      </c>
      <c r="BY82">
        <f>'2012_2020'!BW20</f>
        <v>3.4299999999999997E-2</v>
      </c>
      <c r="BZ82">
        <f>'2012_2020'!BX20</f>
        <v>3.49E-2</v>
      </c>
      <c r="CA82">
        <f>'2012_2020'!BY20</f>
        <v>3.2500000000000001E-2</v>
      </c>
      <c r="CB82">
        <f>'2012_2020'!BZ20</f>
        <v>3.3399999999999999E-2</v>
      </c>
      <c r="CC82">
        <f>'2012_2020'!CA20</f>
        <v>4.4900000000000002E-2</v>
      </c>
      <c r="CD82">
        <f>'2012_2020'!CB20</f>
        <v>3.3700000000000001E-2</v>
      </c>
      <c r="CE82">
        <f>'2012_2020'!CC20</f>
        <v>3.1E-2</v>
      </c>
      <c r="CF82">
        <f>'2012_2020'!CD20</f>
        <v>3.15E-2</v>
      </c>
      <c r="CG82">
        <f>'2012_2020'!CE20</f>
        <v>4.1500000000000002E-2</v>
      </c>
      <c r="CH82">
        <f>'2012_2020'!CF20</f>
        <v>3.7199999999999997E-2</v>
      </c>
      <c r="CI82">
        <f>'2012_2020'!CG20</f>
        <v>3.9399999999999998E-2</v>
      </c>
      <c r="CJ82">
        <f>'2012_2020'!CH20</f>
        <v>3.2300000000000002E-2</v>
      </c>
      <c r="CK82">
        <f>'2012_2020'!CI20</f>
        <v>2.9600000000000001E-2</v>
      </c>
      <c r="CL82">
        <f>'2012_2020'!CJ20</f>
        <v>2.5100000000000001E-2</v>
      </c>
      <c r="CM82">
        <f>'2012_2020'!CK20</f>
        <v>3.7199999999999997E-2</v>
      </c>
      <c r="CN82">
        <f>'2012_2020'!CL20</f>
        <v>5.3800000000000001E-2</v>
      </c>
      <c r="CO82">
        <f>'2012_2020'!CM20</f>
        <v>4.6699999999999998E-2</v>
      </c>
      <c r="CP82">
        <f>'2012_2020'!CN20</f>
        <v>4.6800000000000001E-2</v>
      </c>
      <c r="CQ82">
        <f>'2012_2020'!CO20</f>
        <v>5.1400000000000001E-2</v>
      </c>
      <c r="CR82">
        <f>'2012_2020'!CP20</f>
        <v>6.2600000000000003E-2</v>
      </c>
      <c r="CS82">
        <f>'2012_2020'!CQ20</f>
        <v>6.1400000000000003E-2</v>
      </c>
      <c r="CT82">
        <f>'2012_2020'!CR20</f>
        <v>6.4000000000000001E-2</v>
      </c>
      <c r="CU82">
        <f>'2012_2020'!CS20</f>
        <v>5.67E-2</v>
      </c>
      <c r="CV82">
        <f>'2012_2020'!CT20</f>
        <v>3.8399999999999997E-2</v>
      </c>
      <c r="CW82">
        <f>'2012_2020'!CU20</f>
        <v>6.6400000000000001E-2</v>
      </c>
      <c r="CX82">
        <f>'2012_2020'!CV20</f>
        <v>6.6699999999999995E-2</v>
      </c>
    </row>
    <row r="83" spans="1:102" x14ac:dyDescent="0.2">
      <c r="A83" t="s">
        <v>214</v>
      </c>
      <c r="B83" t="s">
        <v>219</v>
      </c>
      <c r="C83" t="s">
        <v>222</v>
      </c>
      <c r="D83">
        <f>'2012_2020'!B21</f>
        <v>3.2300000000000002E-2</v>
      </c>
      <c r="E83">
        <f>'2012_2020'!C21</f>
        <v>4.3700000000000003E-2</v>
      </c>
      <c r="F83">
        <f>'2012_2020'!D21</f>
        <v>3.6799999999999999E-2</v>
      </c>
      <c r="G83">
        <f>'2012_2020'!E21</f>
        <v>2.7900000000000001E-2</v>
      </c>
      <c r="H83">
        <f>'2012_2020'!F21</f>
        <v>5.3100000000000001E-2</v>
      </c>
      <c r="I83">
        <f>'2012_2020'!G21</f>
        <v>4.1300000000000003E-2</v>
      </c>
      <c r="J83">
        <f>'2012_2020'!H21</f>
        <v>3.3399999999999999E-2</v>
      </c>
      <c r="K83">
        <f>'2012_2020'!I21</f>
        <v>2.3800000000000002E-2</v>
      </c>
      <c r="L83">
        <f>'2012_2020'!J21</f>
        <v>2.2800000000000001E-2</v>
      </c>
      <c r="M83">
        <f>'2012_2020'!K21</f>
        <v>0.02</v>
      </c>
      <c r="N83">
        <f>'2012_2020'!L21</f>
        <v>1.5100000000000001E-2</v>
      </c>
      <c r="O83">
        <f>'2012_2020'!M21</f>
        <v>3.3600000000000001E-3</v>
      </c>
      <c r="P83">
        <f>'2012_2020'!N21</f>
        <v>1.6799999999999999E-2</v>
      </c>
      <c r="Q83">
        <f>'2012_2020'!O21</f>
        <v>2.4599999999999999E-3</v>
      </c>
      <c r="R83">
        <f>'2012_2020'!P21</f>
        <v>4.3600000000000002E-3</v>
      </c>
      <c r="S83">
        <f>'2012_2020'!Q21</f>
        <v>8.0999999999999996E-3</v>
      </c>
      <c r="T83">
        <f>'2012_2020'!R21</f>
        <v>-7.6400000000000003E-4</v>
      </c>
      <c r="U83">
        <f>'2012_2020'!S21</f>
        <v>4.5700000000000003E-3</v>
      </c>
      <c r="V83">
        <f>'2012_2020'!T21</f>
        <v>2.6099999999999999E-3</v>
      </c>
      <c r="W83">
        <f>'2012_2020'!U21</f>
        <v>1.8500000000000001E-3</v>
      </c>
      <c r="X83">
        <f>'2012_2020'!V21</f>
        <v>3.2000000000000002E-3</v>
      </c>
      <c r="Y83">
        <f>'2012_2020'!W21</f>
        <v>1.9799999999999999E-4</v>
      </c>
      <c r="Z83">
        <f>'2012_2020'!X21</f>
        <v>-2E-3</v>
      </c>
      <c r="AA83">
        <f>'2012_2020'!Y21</f>
        <v>-5.2100000000000002E-3</v>
      </c>
      <c r="AB83">
        <f>'2012_2020'!Z21</f>
        <v>4.3699999999999998E-3</v>
      </c>
      <c r="AC83">
        <f>'2012_2020'!AA21</f>
        <v>-2.97E-3</v>
      </c>
      <c r="AD83">
        <f>'2012_2020'!AB21</f>
        <v>-7.8600000000000002E-4</v>
      </c>
      <c r="AE83">
        <f>'2012_2020'!AC21</f>
        <v>-2.0500000000000002E-3</v>
      </c>
      <c r="AF83">
        <f>'2012_2020'!AD21</f>
        <v>4.45E-3</v>
      </c>
      <c r="AG83">
        <f>'2012_2020'!AE21</f>
        <v>6.5900000000000004E-3</v>
      </c>
      <c r="AH83">
        <f>'2012_2020'!AF21</f>
        <v>5.5799999999999999E-3</v>
      </c>
      <c r="AI83">
        <f>'2012_2020'!AG21</f>
        <v>9.7000000000000005E-4</v>
      </c>
      <c r="AJ83">
        <f>'2012_2020'!AH21</f>
        <v>3.96E-3</v>
      </c>
      <c r="AK83">
        <f>'2012_2020'!AI21</f>
        <v>1.47E-4</v>
      </c>
      <c r="AL83">
        <f>'2012_2020'!AJ21</f>
        <v>2.4499999999999999E-3</v>
      </c>
      <c r="AM83">
        <f>'2012_2020'!AK21</f>
        <v>2.7699999999999999E-3</v>
      </c>
      <c r="AN83">
        <f>'2012_2020'!AL21</f>
        <v>-1.31E-3</v>
      </c>
      <c r="AO83">
        <f>'2012_2020'!AM21</f>
        <v>-1.9E-3</v>
      </c>
      <c r="AP83">
        <f>'2012_2020'!AN21</f>
        <v>4.1900000000000001E-3</v>
      </c>
      <c r="AQ83">
        <f>'2012_2020'!AO21</f>
        <v>2.6199999999999999E-3</v>
      </c>
      <c r="AR83">
        <f>'2012_2020'!AP21</f>
        <v>3.9899999999999996E-3</v>
      </c>
      <c r="AS83">
        <f>'2012_2020'!AQ21</f>
        <v>-7.0500000000000006E-5</v>
      </c>
      <c r="AT83">
        <f>'2012_2020'!AR21</f>
        <v>-5.9699999999999998E-4</v>
      </c>
      <c r="AU83">
        <f>'2012_2020'!AS21</f>
        <v>-1.42E-3</v>
      </c>
      <c r="AV83">
        <f>'2012_2020'!AT21</f>
        <v>6.0099999999999997E-4</v>
      </c>
      <c r="AW83">
        <f>'2012_2020'!AU21</f>
        <v>5.62E-4</v>
      </c>
      <c r="AX83">
        <f>'2012_2020'!AV21</f>
        <v>-5.2400000000000005E-4</v>
      </c>
      <c r="AY83">
        <f>'2012_2020'!AW21</f>
        <v>1.17E-3</v>
      </c>
      <c r="AZ83">
        <f>'2012_2020'!AX21</f>
        <v>4.62E-3</v>
      </c>
      <c r="BA83">
        <f>'2012_2020'!AY21</f>
        <v>1.66E-3</v>
      </c>
      <c r="BB83">
        <f>'2012_2020'!AZ21</f>
        <v>2.0999999999999999E-3</v>
      </c>
      <c r="BC83">
        <f>'2012_2020'!BA21</f>
        <v>4.0299999999999997E-5</v>
      </c>
      <c r="BD83">
        <f>'2012_2020'!BB21</f>
        <v>5.0900000000000001E-4</v>
      </c>
      <c r="BE83">
        <f>'2012_2020'!BC21</f>
        <v>8.9599999999999999E-4</v>
      </c>
      <c r="BF83">
        <f>'2012_2020'!BD21</f>
        <v>2.65E-3</v>
      </c>
      <c r="BG83">
        <f>'2012_2020'!BE21</f>
        <v>1.9400000000000001E-3</v>
      </c>
      <c r="BH83">
        <f>'2012_2020'!BF21</f>
        <v>1.4400000000000001E-3</v>
      </c>
      <c r="BI83">
        <f>'2012_2020'!BG21</f>
        <v>1.7099999999999999E-3</v>
      </c>
      <c r="BJ83">
        <f>'2012_2020'!BH21</f>
        <v>-2.0699999999999998E-3</v>
      </c>
      <c r="BK83">
        <f>'2012_2020'!BI21</f>
        <v>8.26E-3</v>
      </c>
      <c r="BL83">
        <f>'2012_2020'!BJ21</f>
        <v>1.31E-3</v>
      </c>
      <c r="BM83">
        <f>'2012_2020'!BK21</f>
        <v>3.9899999999999996E-3</v>
      </c>
      <c r="BN83">
        <f>'2012_2020'!BL21</f>
        <v>5.3299999999999997E-3</v>
      </c>
      <c r="BO83">
        <f>'2012_2020'!BM21</f>
        <v>6.9899999999999997E-3</v>
      </c>
      <c r="BP83">
        <f>'2012_2020'!BN21</f>
        <v>6.0000000000000001E-3</v>
      </c>
      <c r="BQ83">
        <f>'2012_2020'!BO21</f>
        <v>1.5299999999999999E-3</v>
      </c>
      <c r="BR83">
        <f>'2012_2020'!BP21</f>
        <v>-8.9099999999999995E-3</v>
      </c>
      <c r="BS83">
        <f>'2012_2020'!BQ21</f>
        <v>-2.7000000000000001E-3</v>
      </c>
      <c r="BT83">
        <f>'2012_2020'!BR21</f>
        <v>5.62E-3</v>
      </c>
      <c r="BU83">
        <f>'2012_2020'!BS21</f>
        <v>6.0299999999999998E-3</v>
      </c>
      <c r="BV83">
        <f>'2012_2020'!BT21</f>
        <v>4.1599999999999996E-3</v>
      </c>
      <c r="BW83">
        <f>'2012_2020'!BU21</f>
        <v>2.5400000000000002E-3</v>
      </c>
      <c r="BX83">
        <f>'2012_2020'!BV21</f>
        <v>7.5399999999999998E-3</v>
      </c>
      <c r="BY83">
        <f>'2012_2020'!BW21</f>
        <v>5.3099999999999996E-3</v>
      </c>
      <c r="BZ83">
        <f>'2012_2020'!BX21</f>
        <v>6.2500000000000001E-4</v>
      </c>
      <c r="CA83">
        <f>'2012_2020'!BY21</f>
        <v>3.0100000000000001E-3</v>
      </c>
      <c r="CB83">
        <f>'2012_2020'!BZ21</f>
        <v>1.0500000000000001E-2</v>
      </c>
      <c r="CC83">
        <f>'2012_2020'!CA21</f>
        <v>6.7999999999999996E-3</v>
      </c>
      <c r="CD83">
        <f>'2012_2020'!CB21</f>
        <v>1.2200000000000001E-2</v>
      </c>
      <c r="CE83">
        <f>'2012_2020'!CC21</f>
        <v>1.2500000000000001E-2</v>
      </c>
      <c r="CF83">
        <f>'2012_2020'!CD21</f>
        <v>-1.0300000000000001E-3</v>
      </c>
      <c r="CG83">
        <f>'2012_2020'!CE21</f>
        <v>1.18E-2</v>
      </c>
      <c r="CH83">
        <f>'2012_2020'!CF21</f>
        <v>8.4899999999999993E-3</v>
      </c>
      <c r="CI83">
        <f>'2012_2020'!CG21</f>
        <v>1.5900000000000001E-2</v>
      </c>
      <c r="CJ83">
        <f>'2012_2020'!CH21</f>
        <v>9.7400000000000004E-3</v>
      </c>
      <c r="CK83">
        <f>'2012_2020'!CI21</f>
        <v>1.6899999999999998E-2</v>
      </c>
      <c r="CL83">
        <f>'2012_2020'!CJ21</f>
        <v>1.35E-2</v>
      </c>
      <c r="CM83">
        <f>'2012_2020'!CK21</f>
        <v>1.61E-2</v>
      </c>
      <c r="CN83">
        <f>'2012_2020'!CL21</f>
        <v>1.6500000000000001E-2</v>
      </c>
      <c r="CO83">
        <f>'2012_2020'!CM21</f>
        <v>1.52E-2</v>
      </c>
      <c r="CP83">
        <f>'2012_2020'!CN21</f>
        <v>1.5299999999999999E-2</v>
      </c>
      <c r="CQ83">
        <f>'2012_2020'!CO21</f>
        <v>2.63E-2</v>
      </c>
      <c r="CR83">
        <f>'2012_2020'!CP21</f>
        <v>2.98E-2</v>
      </c>
      <c r="CS83">
        <f>'2012_2020'!CQ21</f>
        <v>2.07E-2</v>
      </c>
      <c r="CT83">
        <f>'2012_2020'!CR21</f>
        <v>4.0899999999999999E-2</v>
      </c>
      <c r="CU83">
        <f>'2012_2020'!CS21</f>
        <v>3.6999999999999998E-2</v>
      </c>
      <c r="CV83">
        <f>'2012_2020'!CT21</f>
        <v>3.85E-2</v>
      </c>
      <c r="CW83">
        <f>'2012_2020'!CU21</f>
        <v>3.9399999999999998E-2</v>
      </c>
      <c r="CX83">
        <f>'2012_2020'!CV21</f>
        <v>4.1700000000000001E-2</v>
      </c>
    </row>
    <row r="84" spans="1:102" x14ac:dyDescent="0.2">
      <c r="A84" t="s">
        <v>215</v>
      </c>
      <c r="B84" t="s">
        <v>219</v>
      </c>
      <c r="C84" t="s">
        <v>222</v>
      </c>
      <c r="D84">
        <f>'2012_2020'!B22</f>
        <v>-4.3700000000000003E-2</v>
      </c>
      <c r="E84">
        <f>'2012_2020'!C22</f>
        <v>-5.8599999999999999E-2</v>
      </c>
      <c r="F84">
        <f>'2012_2020'!D22</f>
        <v>-5.4800000000000001E-2</v>
      </c>
      <c r="G84">
        <f>'2012_2020'!E22</f>
        <v>-9.0999999999999998E-2</v>
      </c>
      <c r="H84">
        <f>'2012_2020'!F22</f>
        <v>-3.0700000000000002E-2</v>
      </c>
      <c r="I84">
        <f>'2012_2020'!G22</f>
        <v>-2.8799999999999999E-2</v>
      </c>
      <c r="J84">
        <f>'2012_2020'!H22</f>
        <v>-5.16E-2</v>
      </c>
      <c r="K84">
        <f>'2012_2020'!I22</f>
        <v>-4.9200000000000001E-2</v>
      </c>
      <c r="L84">
        <f>'2012_2020'!J22</f>
        <v>-5.0299999999999997E-2</v>
      </c>
      <c r="M84">
        <f>'2012_2020'!K22</f>
        <v>-3.5000000000000003E-2</v>
      </c>
      <c r="N84">
        <f>'2012_2020'!L22</f>
        <v>-2.1399999999999999E-2</v>
      </c>
      <c r="O84">
        <f>'2012_2020'!M22</f>
        <v>-2.4799999999999999E-2</v>
      </c>
      <c r="P84">
        <f>'2012_2020'!N22</f>
        <v>-1.03E-2</v>
      </c>
      <c r="Q84">
        <f>'2012_2020'!O22</f>
        <v>-6.6699999999999997E-3</v>
      </c>
      <c r="R84">
        <f>'2012_2020'!P22</f>
        <v>1.58E-3</v>
      </c>
      <c r="S84">
        <f>'2012_2020'!Q22</f>
        <v>-4.3300000000000001E-4</v>
      </c>
      <c r="T84">
        <f>'2012_2020'!R22</f>
        <v>2.2899999999999999E-3</v>
      </c>
      <c r="U84">
        <f>'2012_2020'!S22</f>
        <v>-1.1000000000000001E-3</v>
      </c>
      <c r="V84">
        <f>'2012_2020'!T22</f>
        <v>1.26E-4</v>
      </c>
      <c r="W84">
        <f>'2012_2020'!U22</f>
        <v>-2.1299999999999999E-3</v>
      </c>
      <c r="X84">
        <f>'2012_2020'!V22</f>
        <v>-1.97E-3</v>
      </c>
      <c r="Y84">
        <f>'2012_2020'!W22</f>
        <v>-3.2100000000000002E-3</v>
      </c>
      <c r="Z84">
        <f>'2012_2020'!X22</f>
        <v>6.3400000000000001E-4</v>
      </c>
      <c r="AA84">
        <f>'2012_2020'!Y22</f>
        <v>-2.4499999999999999E-4</v>
      </c>
      <c r="AB84">
        <f>'2012_2020'!Z22</f>
        <v>8.8900000000000003E-4</v>
      </c>
      <c r="AC84">
        <f>'2012_2020'!AA22</f>
        <v>9.5100000000000002E-4</v>
      </c>
      <c r="AD84">
        <f>'2012_2020'!AB22</f>
        <v>2.7899999999999999E-3</v>
      </c>
      <c r="AE84">
        <f>'2012_2020'!AC22</f>
        <v>3.9300000000000003E-3</v>
      </c>
      <c r="AF84">
        <f>'2012_2020'!AD22</f>
        <v>2.0999999999999999E-3</v>
      </c>
      <c r="AG84">
        <f>'2012_2020'!AE22</f>
        <v>2.3400000000000001E-3</v>
      </c>
      <c r="AH84">
        <f>'2012_2020'!AF22</f>
        <v>3.14E-3</v>
      </c>
      <c r="AI84">
        <f>'2012_2020'!AG22</f>
        <v>2.7699999999999999E-3</v>
      </c>
      <c r="AJ84">
        <f>'2012_2020'!AH22</f>
        <v>1.65E-3</v>
      </c>
      <c r="AK84">
        <f>'2012_2020'!AI22</f>
        <v>4.4900000000000001E-3</v>
      </c>
      <c r="AL84">
        <f>'2012_2020'!AJ22</f>
        <v>3.5400000000000002E-3</v>
      </c>
      <c r="AM84">
        <f>'2012_2020'!AK22</f>
        <v>2.7200000000000002E-3</v>
      </c>
      <c r="AN84">
        <f>'2012_2020'!AL22</f>
        <v>1.15E-3</v>
      </c>
      <c r="AO84">
        <f>'2012_2020'!AM22</f>
        <v>3.0500000000000002E-3</v>
      </c>
      <c r="AP84">
        <f>'2012_2020'!AN22</f>
        <v>2.6199999999999999E-3</v>
      </c>
      <c r="AQ84">
        <f>'2012_2020'!AO22</f>
        <v>3.81E-3</v>
      </c>
      <c r="AR84">
        <f>'2012_2020'!AP22</f>
        <v>8.3999999999999995E-3</v>
      </c>
      <c r="AS84">
        <f>'2012_2020'!AQ22</f>
        <v>2.8300000000000001E-3</v>
      </c>
      <c r="AT84">
        <f>'2012_2020'!AR22</f>
        <v>3.5599999999999998E-3</v>
      </c>
      <c r="AU84">
        <f>'2012_2020'!AS22</f>
        <v>5.3499999999999997E-3</v>
      </c>
      <c r="AV84">
        <f>'2012_2020'!AT22</f>
        <v>7.4799999999999997E-3</v>
      </c>
      <c r="AW84">
        <f>'2012_2020'!AU22</f>
        <v>7.2899999999999996E-3</v>
      </c>
      <c r="AX84">
        <f>'2012_2020'!AV22</f>
        <v>4.3200000000000001E-3</v>
      </c>
      <c r="AY84">
        <f>'2012_2020'!AW22</f>
        <v>4.4600000000000004E-3</v>
      </c>
      <c r="AZ84">
        <f>'2012_2020'!AX22</f>
        <v>2.63E-3</v>
      </c>
      <c r="BA84">
        <f>'2012_2020'!AY22</f>
        <v>-5.3899999999999998E-4</v>
      </c>
      <c r="BB84">
        <f>'2012_2020'!AZ22</f>
        <v>-2.4099999999999998E-3</v>
      </c>
      <c r="BC84">
        <f>'2012_2020'!BA22</f>
        <v>-2.2100000000000002E-3</v>
      </c>
      <c r="BD84">
        <f>'2012_2020'!BB22</f>
        <v>-1.1199999999999999E-3</v>
      </c>
      <c r="BE84">
        <f>'2012_2020'!BC22</f>
        <v>-6.9999999999999999E-4</v>
      </c>
      <c r="BF84">
        <f>'2012_2020'!BD22</f>
        <v>-4.9899999999999999E-4</v>
      </c>
      <c r="BG84">
        <f>'2012_2020'!BE22</f>
        <v>4.28E-4</v>
      </c>
      <c r="BH84">
        <f>'2012_2020'!BF22</f>
        <v>8.2299999999999995E-4</v>
      </c>
      <c r="BI84">
        <f>'2012_2020'!BG22</f>
        <v>-5.0499999999999998E-3</v>
      </c>
      <c r="BJ84">
        <f>'2012_2020'!BH22</f>
        <v>-6.3899999999999998E-3</v>
      </c>
      <c r="BK84">
        <f>'2012_2020'!BI22</f>
        <v>-4.47E-3</v>
      </c>
      <c r="BL84">
        <f>'2012_2020'!BJ22</f>
        <v>-3.4399999999999999E-3</v>
      </c>
      <c r="BM84">
        <f>'2012_2020'!BK22</f>
        <v>-2.5000000000000001E-3</v>
      </c>
      <c r="BN84">
        <f>'2012_2020'!BL22</f>
        <v>-5.1200000000000004E-3</v>
      </c>
      <c r="BO84">
        <f>'2012_2020'!BM22</f>
        <v>-9.4800000000000006E-3</v>
      </c>
      <c r="BP84">
        <f>'2012_2020'!BN22</f>
        <v>-8.77E-3</v>
      </c>
      <c r="BQ84">
        <f>'2012_2020'!BO22</f>
        <v>-7.7999999999999996E-3</v>
      </c>
      <c r="BR84">
        <f>'2012_2020'!BP22</f>
        <v>-7.7600000000000004E-3</v>
      </c>
      <c r="BS84">
        <f>'2012_2020'!BQ22</f>
        <v>-5.28E-3</v>
      </c>
      <c r="BT84">
        <f>'2012_2020'!BR22</f>
        <v>-1.57E-3</v>
      </c>
      <c r="BU84">
        <f>'2012_2020'!BS22</f>
        <v>-2E-3</v>
      </c>
      <c r="BV84">
        <f>'2012_2020'!BT22</f>
        <v>-3.3899999999999998E-3</v>
      </c>
      <c r="BW84">
        <f>'2012_2020'!BU22</f>
        <v>-3.5100000000000001E-3</v>
      </c>
      <c r="BX84">
        <f>'2012_2020'!BV22</f>
        <v>-8.2199999999999999E-3</v>
      </c>
      <c r="BY84">
        <f>'2012_2020'!BW22</f>
        <v>-9.1699999999999993E-3</v>
      </c>
      <c r="BZ84">
        <f>'2012_2020'!BX22</f>
        <v>-9.6200000000000001E-3</v>
      </c>
      <c r="CA84">
        <f>'2012_2020'!BY22</f>
        <v>3.62E-3</v>
      </c>
      <c r="CB84">
        <f>'2012_2020'!BZ22</f>
        <v>5.1000000000000004E-3</v>
      </c>
      <c r="CC84">
        <f>'2012_2020'!CA22</f>
        <v>9.3900000000000008E-3</v>
      </c>
      <c r="CD84">
        <f>'2012_2020'!CB22</f>
        <v>9.1199999999999996E-3</v>
      </c>
      <c r="CE84">
        <f>'2012_2020'!CC22</f>
        <v>1.09E-2</v>
      </c>
      <c r="CF84">
        <f>'2012_2020'!CD22</f>
        <v>1.0699999999999999E-2</v>
      </c>
      <c r="CG84">
        <f>'2012_2020'!CE22</f>
        <v>8.9099999999999995E-3</v>
      </c>
      <c r="CH84">
        <f>'2012_2020'!CF22</f>
        <v>7.5399999999999998E-3</v>
      </c>
      <c r="CI84">
        <f>'2012_2020'!CG22</f>
        <v>8.7299999999999999E-3</v>
      </c>
      <c r="CJ84">
        <f>'2012_2020'!CH22</f>
        <v>1.41E-2</v>
      </c>
      <c r="CK84">
        <f>'2012_2020'!CI22</f>
        <v>2.1000000000000001E-2</v>
      </c>
      <c r="CL84">
        <f>'2012_2020'!CJ22</f>
        <v>1.7100000000000001E-2</v>
      </c>
      <c r="CM84">
        <f>'2012_2020'!CK22</f>
        <v>7.3499999999999998E-3</v>
      </c>
      <c r="CN84">
        <f>'2012_2020'!CL22</f>
        <v>5.2300000000000003E-3</v>
      </c>
      <c r="CO84">
        <f>'2012_2020'!CM22</f>
        <v>-3.0699999999999998E-3</v>
      </c>
      <c r="CP84">
        <f>'2012_2020'!CN22</f>
        <v>-1.6199999999999999E-3</v>
      </c>
      <c r="CQ84">
        <f>'2012_2020'!CO22</f>
        <v>1.25E-3</v>
      </c>
      <c r="CR84">
        <f>'2012_2020'!CP22</f>
        <v>-1.2E-2</v>
      </c>
      <c r="CS84">
        <f>'2012_2020'!CQ22</f>
        <v>-8.6499999999999997E-3</v>
      </c>
      <c r="CT84">
        <f>'2012_2020'!CR22</f>
        <v>-8.6999999999999994E-3</v>
      </c>
      <c r="CU84">
        <f>'2012_2020'!CS22</f>
        <v>-8.6E-3</v>
      </c>
      <c r="CV84">
        <f>'2012_2020'!CT22</f>
        <v>1.57E-3</v>
      </c>
      <c r="CW84">
        <f>'2012_2020'!CU22</f>
        <v>-4.4099999999999999E-3</v>
      </c>
      <c r="CX84">
        <f>'2012_2020'!CV22</f>
        <v>-6.5900000000000004E-3</v>
      </c>
    </row>
    <row r="85" spans="1:102" x14ac:dyDescent="0.2">
      <c r="A85" t="s">
        <v>216</v>
      </c>
      <c r="B85" t="s">
        <v>219</v>
      </c>
      <c r="C85" t="s">
        <v>222</v>
      </c>
      <c r="D85">
        <f>'2012_2020'!B23</f>
        <v>0.22700000000000001</v>
      </c>
      <c r="E85">
        <f>'2012_2020'!C23</f>
        <v>-0.33300000000000002</v>
      </c>
      <c r="F85">
        <f>'2012_2020'!D23</f>
        <v>-0.68</v>
      </c>
      <c r="G85">
        <f>'2012_2020'!E23</f>
        <v>0.36099999999999999</v>
      </c>
      <c r="H85">
        <f>'2012_2020'!F23</f>
        <v>-0.93</v>
      </c>
      <c r="I85">
        <f>'2012_2020'!G23</f>
        <v>-7.22E-2</v>
      </c>
      <c r="J85">
        <f>'2012_2020'!H23</f>
        <v>-0.375</v>
      </c>
      <c r="K85">
        <f>'2012_2020'!I23</f>
        <v>-0.27</v>
      </c>
      <c r="L85">
        <f>'2012_2020'!J23</f>
        <v>-2.4899999999999999E-2</v>
      </c>
      <c r="M85">
        <f>'2012_2020'!K23</f>
        <v>-0.53100000000000003</v>
      </c>
      <c r="N85">
        <f>'2012_2020'!L23</f>
        <v>-0.43099999999999999</v>
      </c>
      <c r="O85">
        <f>'2012_2020'!M23</f>
        <v>0.183</v>
      </c>
      <c r="P85">
        <f>'2012_2020'!N23</f>
        <v>-4.3400000000000001E-2</v>
      </c>
      <c r="Q85">
        <f>'2012_2020'!O23</f>
        <v>-4.7100000000000003E-2</v>
      </c>
      <c r="R85">
        <f>'2012_2020'!P23</f>
        <v>-0.112</v>
      </c>
      <c r="S85">
        <f>'2012_2020'!Q23</f>
        <v>-8.6499999999999994E-2</v>
      </c>
      <c r="T85">
        <f>'2012_2020'!R23</f>
        <v>4.6699999999999998E-2</v>
      </c>
      <c r="U85">
        <f>'2012_2020'!S23</f>
        <v>8.4599999999999995E-2</v>
      </c>
      <c r="V85">
        <f>'2012_2020'!T23</f>
        <v>0.13100000000000001</v>
      </c>
      <c r="W85">
        <f>'2012_2020'!U23</f>
        <v>0.11899999999999999</v>
      </c>
      <c r="X85">
        <f>'2012_2020'!V23</f>
        <v>9.7600000000000006E-2</v>
      </c>
      <c r="Y85">
        <f>'2012_2020'!W23</f>
        <v>0.19700000000000001</v>
      </c>
      <c r="Z85">
        <f>'2012_2020'!X23</f>
        <v>0.17799999999999999</v>
      </c>
      <c r="AA85">
        <f>'2012_2020'!Y23</f>
        <v>0.13100000000000001</v>
      </c>
      <c r="AB85">
        <f>'2012_2020'!Z23</f>
        <v>8.7599999999999997E-2</v>
      </c>
      <c r="AC85">
        <f>'2012_2020'!AA23</f>
        <v>6.2600000000000003E-2</v>
      </c>
      <c r="AD85">
        <f>'2012_2020'!AB23</f>
        <v>5.3600000000000002E-2</v>
      </c>
      <c r="AE85">
        <f>'2012_2020'!AC23</f>
        <v>3.49E-2</v>
      </c>
      <c r="AF85">
        <f>'2012_2020'!AD23</f>
        <v>2.2499999999999999E-2</v>
      </c>
      <c r="AG85">
        <f>'2012_2020'!AE23</f>
        <v>1.5800000000000002E-2</v>
      </c>
      <c r="AH85">
        <f>'2012_2020'!AF23</f>
        <v>-2.02E-4</v>
      </c>
      <c r="AI85">
        <f>'2012_2020'!AG23</f>
        <v>-8.1600000000000006E-3</v>
      </c>
      <c r="AJ85">
        <f>'2012_2020'!AH23</f>
        <v>-2.6599999999999999E-2</v>
      </c>
      <c r="AK85">
        <f>'2012_2020'!AI23</f>
        <v>-4.3799999999999999E-2</v>
      </c>
      <c r="AL85">
        <f>'2012_2020'!AJ23</f>
        <v>-5.8000000000000003E-2</v>
      </c>
      <c r="AM85">
        <f>'2012_2020'!AK23</f>
        <v>-5.5800000000000002E-2</v>
      </c>
      <c r="AN85">
        <f>'2012_2020'!AL23</f>
        <v>-4.3999999999999997E-2</v>
      </c>
      <c r="AO85">
        <f>'2012_2020'!AM23</f>
        <v>-4.6100000000000002E-2</v>
      </c>
      <c r="AP85">
        <f>'2012_2020'!AN23</f>
        <v>-6.2100000000000002E-2</v>
      </c>
      <c r="AQ85">
        <f>'2012_2020'!AO23</f>
        <v>-4.5699999999999998E-2</v>
      </c>
      <c r="AR85">
        <f>'2012_2020'!AP23</f>
        <v>-4.7899999999999998E-2</v>
      </c>
      <c r="AS85">
        <f>'2012_2020'!AQ23</f>
        <v>-7.0699999999999999E-3</v>
      </c>
      <c r="AT85">
        <f>'2012_2020'!AR23</f>
        <v>-8.5800000000000008E-3</v>
      </c>
      <c r="AU85">
        <f>'2012_2020'!AS23</f>
        <v>-3.6800000000000001E-3</v>
      </c>
      <c r="AV85">
        <f>'2012_2020'!AT23</f>
        <v>-4.2299999999999997E-2</v>
      </c>
      <c r="AW85">
        <f>'2012_2020'!AU23</f>
        <v>-4.7699999999999999E-2</v>
      </c>
      <c r="AX85">
        <f>'2012_2020'!AV23</f>
        <v>-5.0799999999999998E-2</v>
      </c>
      <c r="AY85">
        <f>'2012_2020'!AW23</f>
        <v>-1.1299999999999999E-2</v>
      </c>
      <c r="AZ85">
        <f>'2012_2020'!AX23</f>
        <v>-1.49E-2</v>
      </c>
      <c r="BA85">
        <f>'2012_2020'!AY23</f>
        <v>1.5299999999999999E-2</v>
      </c>
      <c r="BB85">
        <f>'2012_2020'!AZ23</f>
        <v>2.9100000000000001E-2</v>
      </c>
      <c r="BC85">
        <f>'2012_2020'!BA23</f>
        <v>5.8099999999999999E-2</v>
      </c>
      <c r="BD85">
        <f>'2012_2020'!BB23</f>
        <v>6.3899999999999998E-2</v>
      </c>
      <c r="BE85">
        <f>'2012_2020'!BC23</f>
        <v>7.4300000000000005E-2</v>
      </c>
      <c r="BF85">
        <f>'2012_2020'!BD23</f>
        <v>6.9000000000000006E-2</v>
      </c>
      <c r="BG85">
        <f>'2012_2020'!BE23</f>
        <v>3.7199999999999997E-2</v>
      </c>
      <c r="BH85">
        <f>'2012_2020'!BF23</f>
        <v>-4.1900000000000001E-3</v>
      </c>
      <c r="BI85">
        <f>'2012_2020'!BG23</f>
        <v>-3.6299999999999999E-2</v>
      </c>
      <c r="BJ85">
        <f>'2012_2020'!BH23</f>
        <v>-5.91E-2</v>
      </c>
      <c r="BK85">
        <f>'2012_2020'!BI23</f>
        <v>-6.7199999999999996E-2</v>
      </c>
      <c r="BL85">
        <f>'2012_2020'!BJ23</f>
        <v>-4.1700000000000001E-2</v>
      </c>
      <c r="BM85">
        <f>'2012_2020'!BK23</f>
        <v>-3.0800000000000001E-2</v>
      </c>
      <c r="BN85">
        <f>'2012_2020'!BL23</f>
        <v>7.7600000000000004E-3</v>
      </c>
      <c r="BO85">
        <f>'2012_2020'!BM23</f>
        <v>0.10100000000000001</v>
      </c>
      <c r="BP85">
        <f>'2012_2020'!BN23</f>
        <v>0.183</v>
      </c>
      <c r="BQ85">
        <f>'2012_2020'!BO23</f>
        <v>0.17699999999999999</v>
      </c>
      <c r="BR85">
        <f>'2012_2020'!BP23</f>
        <v>0.13300000000000001</v>
      </c>
      <c r="BS85">
        <f>'2012_2020'!BQ23</f>
        <v>0.11700000000000001</v>
      </c>
      <c r="BT85">
        <f>'2012_2020'!BR23</f>
        <v>0.114</v>
      </c>
      <c r="BU85">
        <f>'2012_2020'!BS23</f>
        <v>4.4999999999999998E-2</v>
      </c>
      <c r="BV85">
        <f>'2012_2020'!BT23</f>
        <v>-0.111</v>
      </c>
      <c r="BW85">
        <f>'2012_2020'!BU23</f>
        <v>-0.16300000000000001</v>
      </c>
      <c r="BX85">
        <f>'2012_2020'!BV23</f>
        <v>-0.104</v>
      </c>
      <c r="BY85">
        <f>'2012_2020'!BW23</f>
        <v>-3.2500000000000001E-2</v>
      </c>
      <c r="BZ85">
        <f>'2012_2020'!BX23</f>
        <v>3.0300000000000001E-3</v>
      </c>
      <c r="CA85">
        <f>'2012_2020'!BY23</f>
        <v>-1.0999999999999999E-2</v>
      </c>
      <c r="CB85">
        <f>'2012_2020'!BZ23</f>
        <v>-6.8199999999999997E-3</v>
      </c>
      <c r="CC85">
        <f>'2012_2020'!CA23</f>
        <v>1.38E-2</v>
      </c>
      <c r="CD85">
        <f>'2012_2020'!CB23</f>
        <v>9.9400000000000002E-2</v>
      </c>
      <c r="CE85">
        <f>'2012_2020'!CC23</f>
        <v>0.188</v>
      </c>
      <c r="CF85">
        <f>'2012_2020'!CD23</f>
        <v>0.20899999999999999</v>
      </c>
      <c r="CG85">
        <f>'2012_2020'!CE23</f>
        <v>0.126</v>
      </c>
      <c r="CH85">
        <f>'2012_2020'!CF23</f>
        <v>-7.5399999999999995E-2</v>
      </c>
      <c r="CI85">
        <f>'2012_2020'!CG23</f>
        <v>-0.17100000000000001</v>
      </c>
      <c r="CJ85">
        <f>'2012_2020'!CH23</f>
        <v>-0.158</v>
      </c>
      <c r="CK85">
        <f>'2012_2020'!CI23</f>
        <v>0.19800000000000001</v>
      </c>
      <c r="CL85">
        <f>'2012_2020'!CJ23</f>
        <v>0.26100000000000001</v>
      </c>
      <c r="CM85">
        <f>'2012_2020'!CK23</f>
        <v>0.20100000000000001</v>
      </c>
      <c r="CN85">
        <f>'2012_2020'!CL23</f>
        <v>0.106</v>
      </c>
      <c r="CO85">
        <f>'2012_2020'!CM23</f>
        <v>0.11700000000000001</v>
      </c>
      <c r="CP85">
        <f>'2012_2020'!CN23</f>
        <v>0.18099999999999999</v>
      </c>
      <c r="CQ85">
        <f>'2012_2020'!CO23</f>
        <v>0.28399999999999997</v>
      </c>
      <c r="CR85">
        <f>'2012_2020'!CP23</f>
        <v>0.14099999999999999</v>
      </c>
      <c r="CS85">
        <f>'2012_2020'!CQ23</f>
        <v>4.1599999999999996E-3</v>
      </c>
      <c r="CT85">
        <f>'2012_2020'!CR23</f>
        <v>9.4899999999999998E-2</v>
      </c>
      <c r="CU85">
        <f>'2012_2020'!CS23</f>
        <v>-8.0199999999999994E-3</v>
      </c>
      <c r="CV85">
        <f>'2012_2020'!CT23</f>
        <v>0.34200000000000003</v>
      </c>
      <c r="CW85">
        <f>'2012_2020'!CU23</f>
        <v>-7.9399999999999991E-3</v>
      </c>
      <c r="CX85">
        <f>'2012_2020'!CV23</f>
        <v>3.6700000000000003E-2</v>
      </c>
    </row>
    <row r="86" spans="1:102" x14ac:dyDescent="0.2">
      <c r="A86" t="s">
        <v>208</v>
      </c>
      <c r="B86" t="s">
        <v>220</v>
      </c>
      <c r="C86" t="s">
        <v>222</v>
      </c>
      <c r="D86">
        <f>D69+D77</f>
        <v>7.46E-2</v>
      </c>
      <c r="E86">
        <f t="shared" ref="E86:BP86" si="24">E69+E77</f>
        <v>0.50760000000000005</v>
      </c>
      <c r="F86">
        <f t="shared" si="24"/>
        <v>0.81930000000000003</v>
      </c>
      <c r="G86">
        <f t="shared" si="24"/>
        <v>9.870000000000001E-2</v>
      </c>
      <c r="H86">
        <f t="shared" si="24"/>
        <v>0.92649999999999999</v>
      </c>
      <c r="I86">
        <f t="shared" si="24"/>
        <v>0.34490000000000004</v>
      </c>
      <c r="J86">
        <f t="shared" si="24"/>
        <v>0.5363</v>
      </c>
      <c r="K86">
        <f t="shared" si="24"/>
        <v>0.42369999999999997</v>
      </c>
      <c r="L86">
        <f t="shared" si="24"/>
        <v>0.26419999999999999</v>
      </c>
      <c r="M86">
        <f t="shared" si="24"/>
        <v>0.50790000000000002</v>
      </c>
      <c r="N86">
        <f t="shared" si="24"/>
        <v>0.41830000000000001</v>
      </c>
      <c r="O86">
        <f t="shared" si="24"/>
        <v>7.5600000000000001E-2</v>
      </c>
      <c r="P86">
        <f t="shared" si="24"/>
        <v>0.1396</v>
      </c>
      <c r="Q86">
        <f t="shared" si="24"/>
        <v>0.1318</v>
      </c>
      <c r="R86">
        <f t="shared" si="24"/>
        <v>0.1555</v>
      </c>
      <c r="S86">
        <f t="shared" si="24"/>
        <v>0.1464</v>
      </c>
      <c r="T86">
        <f t="shared" si="24"/>
        <v>8.2600000000000007E-2</v>
      </c>
      <c r="U86">
        <f t="shared" si="24"/>
        <v>5.4400000000000004E-2</v>
      </c>
      <c r="V86">
        <f t="shared" si="24"/>
        <v>2.18E-2</v>
      </c>
      <c r="W86">
        <f t="shared" si="24"/>
        <v>2.0499999999999997E-2</v>
      </c>
      <c r="X86">
        <f t="shared" si="24"/>
        <v>2.7500000000000004E-2</v>
      </c>
      <c r="Y86">
        <f t="shared" si="24"/>
        <v>-1.1499999999999996E-2</v>
      </c>
      <c r="Z86">
        <f t="shared" si="24"/>
        <v>-4.8000000000000057E-3</v>
      </c>
      <c r="AA86">
        <f t="shared" si="24"/>
        <v>1.8999999999999989E-3</v>
      </c>
      <c r="AB86">
        <f t="shared" si="24"/>
        <v>7.1000000000000021E-3</v>
      </c>
      <c r="AC86">
        <f t="shared" si="24"/>
        <v>9.2999999999999958E-3</v>
      </c>
      <c r="AD86">
        <f t="shared" si="24"/>
        <v>1.7899999999999996E-2</v>
      </c>
      <c r="AE86">
        <f t="shared" si="24"/>
        <v>2.6000000000000002E-2</v>
      </c>
      <c r="AF86">
        <f t="shared" si="24"/>
        <v>2.7099999999999999E-2</v>
      </c>
      <c r="AG86">
        <f t="shared" si="24"/>
        <v>2.8000000000000001E-2</v>
      </c>
      <c r="AH86">
        <f t="shared" si="24"/>
        <v>3.2000000000000001E-2</v>
      </c>
      <c r="AI86">
        <f t="shared" si="24"/>
        <v>3.9399999999999998E-2</v>
      </c>
      <c r="AJ86">
        <f t="shared" si="24"/>
        <v>4.555E-2</v>
      </c>
      <c r="AK86">
        <f t="shared" si="24"/>
        <v>5.0909999999999997E-2</v>
      </c>
      <c r="AL86">
        <f t="shared" si="24"/>
        <v>7.2900000000000006E-2</v>
      </c>
      <c r="AM86">
        <f t="shared" si="24"/>
        <v>8.2699999999999996E-2</v>
      </c>
      <c r="AN86">
        <f t="shared" si="24"/>
        <v>7.6999999999999999E-2</v>
      </c>
      <c r="AO86">
        <f t="shared" si="24"/>
        <v>6.3759999999999997E-2</v>
      </c>
      <c r="AP86">
        <f t="shared" si="24"/>
        <v>5.3600000000000009E-2</v>
      </c>
      <c r="AQ86">
        <f t="shared" si="24"/>
        <v>4.3399999999999994E-2</v>
      </c>
      <c r="AR86">
        <f t="shared" si="24"/>
        <v>4.1299999999999996E-2</v>
      </c>
      <c r="AS86">
        <f t="shared" si="24"/>
        <v>2.93E-2</v>
      </c>
      <c r="AT86">
        <f t="shared" si="24"/>
        <v>2.8000000000000004E-2</v>
      </c>
      <c r="AU86">
        <f t="shared" si="24"/>
        <v>2.8500000000000004E-2</v>
      </c>
      <c r="AV86">
        <f t="shared" si="24"/>
        <v>2.86E-2</v>
      </c>
      <c r="AW86">
        <f t="shared" si="24"/>
        <v>3.4800000000000005E-2</v>
      </c>
      <c r="AX86">
        <f t="shared" si="24"/>
        <v>3.8299999999999994E-2</v>
      </c>
      <c r="AY86">
        <f t="shared" si="24"/>
        <v>2.9500000000000005E-2</v>
      </c>
      <c r="AZ86">
        <f t="shared" si="24"/>
        <v>3.3399999999999992E-2</v>
      </c>
      <c r="BA86">
        <f t="shared" si="24"/>
        <v>2.4899999999999992E-2</v>
      </c>
      <c r="BB86">
        <f t="shared" si="24"/>
        <v>2.579999999999999E-2</v>
      </c>
      <c r="BC86">
        <f t="shared" si="24"/>
        <v>3.7999999999999978E-3</v>
      </c>
      <c r="BD86">
        <f t="shared" si="24"/>
        <v>-2.1000000000000005E-2</v>
      </c>
      <c r="BE86">
        <f t="shared" si="24"/>
        <v>-3.599999999999999E-2</v>
      </c>
      <c r="BF86">
        <f t="shared" si="24"/>
        <v>-1.2999999999999998E-2</v>
      </c>
      <c r="BG86">
        <f t="shared" si="24"/>
        <v>-1.4000000000000012E-2</v>
      </c>
      <c r="BH86">
        <f t="shared" si="24"/>
        <v>2.0000000000000018E-3</v>
      </c>
      <c r="BI86">
        <f t="shared" si="24"/>
        <v>2.5800000000000003E-2</v>
      </c>
      <c r="BJ86">
        <f t="shared" si="24"/>
        <v>3.7099999999999994E-2</v>
      </c>
      <c r="BK86">
        <f t="shared" si="24"/>
        <v>5.8899999999999994E-2</v>
      </c>
      <c r="BL86">
        <f t="shared" si="24"/>
        <v>6.6199999999999995E-2</v>
      </c>
      <c r="BM86">
        <f t="shared" si="24"/>
        <v>4.2200000000000001E-2</v>
      </c>
      <c r="BN86">
        <f t="shared" si="24"/>
        <v>1.2000000000000011E-2</v>
      </c>
      <c r="BO86">
        <f t="shared" si="24"/>
        <v>-0.03</v>
      </c>
      <c r="BP86">
        <f t="shared" si="24"/>
        <v>-6.0999999999999999E-2</v>
      </c>
      <c r="BQ86">
        <f t="shared" ref="BQ86:CX86" si="25">BQ69+BQ77</f>
        <v>-7.2000000000000008E-2</v>
      </c>
      <c r="BR86">
        <f t="shared" si="25"/>
        <v>-6.9000000000000006E-2</v>
      </c>
      <c r="BS86">
        <f t="shared" si="25"/>
        <v>-8.0000000000000016E-2</v>
      </c>
      <c r="BT86">
        <f t="shared" si="25"/>
        <v>-8.7000000000000022E-2</v>
      </c>
      <c r="BU86">
        <f t="shared" si="25"/>
        <v>-4.5000000000000012E-2</v>
      </c>
      <c r="BV86">
        <f t="shared" si="25"/>
        <v>4.4999999999999998E-2</v>
      </c>
      <c r="BW86">
        <f t="shared" si="25"/>
        <v>8.1100000000000005E-2</v>
      </c>
      <c r="BX86">
        <f t="shared" si="25"/>
        <v>5.6999999999999981E-2</v>
      </c>
      <c r="BY86">
        <f t="shared" si="25"/>
        <v>4.0000000000000036E-3</v>
      </c>
      <c r="BZ86">
        <f t="shared" si="25"/>
        <v>-1.5000000000000013E-2</v>
      </c>
      <c r="CA86">
        <f t="shared" si="25"/>
        <v>-3.2000000000000001E-2</v>
      </c>
      <c r="CB86">
        <f t="shared" si="25"/>
        <v>-8.0000000000000071E-3</v>
      </c>
      <c r="CC86">
        <f t="shared" si="25"/>
        <v>-4.1000000000000009E-2</v>
      </c>
      <c r="CD86">
        <f t="shared" si="25"/>
        <v>-8.5999999999999965E-2</v>
      </c>
      <c r="CE86">
        <f t="shared" si="25"/>
        <v>-0.12400000000000003</v>
      </c>
      <c r="CF86">
        <f t="shared" si="25"/>
        <v>-0.161</v>
      </c>
      <c r="CG86">
        <f t="shared" si="25"/>
        <v>-0.13799999999999998</v>
      </c>
      <c r="CH86">
        <f t="shared" si="25"/>
        <v>-1.5999999999999986E-2</v>
      </c>
      <c r="CI86">
        <f t="shared" si="25"/>
        <v>6.8000000000000005E-2</v>
      </c>
      <c r="CJ86">
        <f t="shared" si="25"/>
        <v>6.7000000000000004E-2</v>
      </c>
      <c r="CK86">
        <f t="shared" si="25"/>
        <v>-0.15100000000000002</v>
      </c>
      <c r="CL86">
        <f t="shared" si="25"/>
        <v>-0.17899999999999999</v>
      </c>
      <c r="CM86">
        <f t="shared" si="25"/>
        <v>-0.18</v>
      </c>
      <c r="CN86">
        <f t="shared" si="25"/>
        <v>-0.11699999999999999</v>
      </c>
      <c r="CO86">
        <f t="shared" si="25"/>
        <v>-0.122</v>
      </c>
      <c r="CP86">
        <f t="shared" si="25"/>
        <v>-0.13999999999999999</v>
      </c>
      <c r="CQ86">
        <f t="shared" si="25"/>
        <v>-0.249</v>
      </c>
      <c r="CR86">
        <f t="shared" si="25"/>
        <v>-0.14999999999999997</v>
      </c>
      <c r="CS86">
        <f t="shared" si="25"/>
        <v>-7.8000000000000014E-2</v>
      </c>
      <c r="CT86">
        <f t="shared" si="25"/>
        <v>-0.13699999999999996</v>
      </c>
      <c r="CU86">
        <f t="shared" si="25"/>
        <v>-2.5999999999999995E-2</v>
      </c>
      <c r="CV86">
        <f t="shared" si="25"/>
        <v>-0.2</v>
      </c>
      <c r="CW86">
        <f t="shared" si="25"/>
        <v>-3.8000000000000034E-2</v>
      </c>
      <c r="CX86">
        <f t="shared" si="25"/>
        <v>-8.8999999999999996E-2</v>
      </c>
    </row>
    <row r="87" spans="1:102" x14ac:dyDescent="0.2">
      <c r="A87" t="s">
        <v>209</v>
      </c>
      <c r="B87" t="s">
        <v>220</v>
      </c>
      <c r="C87" t="s">
        <v>222</v>
      </c>
      <c r="D87">
        <f t="shared" ref="D87:BO91" si="26">D70+D78</f>
        <v>-0.1095</v>
      </c>
      <c r="E87">
        <f t="shared" si="26"/>
        <v>-6.8599999999999994E-2</v>
      </c>
      <c r="F87">
        <f t="shared" si="26"/>
        <v>-5.6199999999999993E-2</v>
      </c>
      <c r="G87">
        <f t="shared" si="26"/>
        <v>-0.22199999999999998</v>
      </c>
      <c r="H87">
        <f t="shared" si="26"/>
        <v>1.7129999999999999E-2</v>
      </c>
      <c r="I87">
        <f t="shared" si="26"/>
        <v>-0.15310000000000001</v>
      </c>
      <c r="J87">
        <f t="shared" si="26"/>
        <v>-5.1000000000000004E-2</v>
      </c>
      <c r="K87">
        <f t="shared" si="26"/>
        <v>-3.2199999999999999E-2</v>
      </c>
      <c r="L87">
        <f t="shared" si="26"/>
        <v>-7.1199999999999999E-2</v>
      </c>
      <c r="M87">
        <f t="shared" si="26"/>
        <v>4.9399999999999999E-2</v>
      </c>
      <c r="N87">
        <f t="shared" si="26"/>
        <v>7.3800000000000004E-2</v>
      </c>
      <c r="O87">
        <f t="shared" si="26"/>
        <v>-5.2699999999999997E-2</v>
      </c>
      <c r="P87">
        <f t="shared" si="26"/>
        <v>8.3800000000000003E-3</v>
      </c>
      <c r="Q87">
        <f t="shared" si="26"/>
        <v>1.338E-2</v>
      </c>
      <c r="R87">
        <f t="shared" si="26"/>
        <v>2.479E-2</v>
      </c>
      <c r="S87">
        <f t="shared" si="26"/>
        <v>2.3710000000000002E-2</v>
      </c>
      <c r="T87">
        <f t="shared" si="26"/>
        <v>-7.1300000000000009E-3</v>
      </c>
      <c r="U87">
        <f t="shared" si="26"/>
        <v>-1.1359999999999999E-2</v>
      </c>
      <c r="V87">
        <f t="shared" si="26"/>
        <v>-1.7770000000000001E-2</v>
      </c>
      <c r="W87">
        <f t="shared" si="26"/>
        <v>-4.5399999999999989E-3</v>
      </c>
      <c r="X87">
        <f t="shared" si="26"/>
        <v>1.2500000000000002E-3</v>
      </c>
      <c r="Y87">
        <f t="shared" si="26"/>
        <v>-2.5209999999999996E-2</v>
      </c>
      <c r="Z87">
        <f t="shared" si="26"/>
        <v>-2.64E-2</v>
      </c>
      <c r="AA87">
        <f t="shared" si="26"/>
        <v>-1.3919999999999998E-2</v>
      </c>
      <c r="AB87">
        <f t="shared" si="26"/>
        <v>-5.0700000000000016E-3</v>
      </c>
      <c r="AC87">
        <f t="shared" si="26"/>
        <v>1.3700000000000014E-3</v>
      </c>
      <c r="AD87">
        <f t="shared" si="26"/>
        <v>7.5099999999999993E-3</v>
      </c>
      <c r="AE87">
        <f t="shared" si="26"/>
        <v>1.243E-2</v>
      </c>
      <c r="AF87">
        <f t="shared" si="26"/>
        <v>1.6230000000000001E-2</v>
      </c>
      <c r="AG87">
        <f t="shared" si="26"/>
        <v>2.2699999999999998E-2</v>
      </c>
      <c r="AH87">
        <f t="shared" si="26"/>
        <v>3.8399999999999997E-2</v>
      </c>
      <c r="AI87">
        <f t="shared" si="26"/>
        <v>4.4999999999999998E-2</v>
      </c>
      <c r="AJ87">
        <f t="shared" si="26"/>
        <v>5.57E-2</v>
      </c>
      <c r="AK87">
        <f t="shared" si="26"/>
        <v>6.6000000000000003E-2</v>
      </c>
      <c r="AL87">
        <f t="shared" si="26"/>
        <v>8.1900000000000001E-2</v>
      </c>
      <c r="AM87">
        <f t="shared" si="26"/>
        <v>8.2400000000000001E-2</v>
      </c>
      <c r="AN87">
        <f t="shared" si="26"/>
        <v>8.5400000000000004E-2</v>
      </c>
      <c r="AO87">
        <f t="shared" si="26"/>
        <v>7.8899999999999998E-2</v>
      </c>
      <c r="AP87">
        <f t="shared" si="26"/>
        <v>0.08</v>
      </c>
      <c r="AQ87">
        <f t="shared" si="26"/>
        <v>7.8899999999999998E-2</v>
      </c>
      <c r="AR87">
        <f t="shared" si="26"/>
        <v>7.9199999999999993E-2</v>
      </c>
      <c r="AS87">
        <f t="shared" si="26"/>
        <v>6.25E-2</v>
      </c>
      <c r="AT87">
        <f t="shared" si="26"/>
        <v>6.3299999999999995E-2</v>
      </c>
      <c r="AU87">
        <f t="shared" si="26"/>
        <v>6.2600000000000003E-2</v>
      </c>
      <c r="AV87">
        <f t="shared" si="26"/>
        <v>6.8500000000000005E-2</v>
      </c>
      <c r="AW87">
        <f t="shared" si="26"/>
        <v>6.6600000000000006E-2</v>
      </c>
      <c r="AX87">
        <f t="shared" si="26"/>
        <v>6.3299999999999995E-2</v>
      </c>
      <c r="AY87">
        <f t="shared" si="26"/>
        <v>5.3900000000000003E-2</v>
      </c>
      <c r="AZ87">
        <f t="shared" si="26"/>
        <v>5.9900000000000002E-2</v>
      </c>
      <c r="BA87">
        <f t="shared" si="26"/>
        <v>5.33E-2</v>
      </c>
      <c r="BB87">
        <f t="shared" si="26"/>
        <v>6.3399999999999998E-2</v>
      </c>
      <c r="BC87">
        <f t="shared" si="26"/>
        <v>3.9699999999999999E-2</v>
      </c>
      <c r="BD87">
        <f t="shared" si="26"/>
        <v>2.0548E-2</v>
      </c>
      <c r="BE87">
        <f t="shared" si="26"/>
        <v>2.0414000000000002E-2</v>
      </c>
      <c r="BF87">
        <f t="shared" si="26"/>
        <v>3.4200000000000001E-2</v>
      </c>
      <c r="BG87">
        <f t="shared" si="26"/>
        <v>4.3400000000000001E-2</v>
      </c>
      <c r="BH87">
        <f t="shared" si="26"/>
        <v>5.9899999999999995E-2</v>
      </c>
      <c r="BI87">
        <f t="shared" si="26"/>
        <v>8.2400000000000001E-2</v>
      </c>
      <c r="BJ87">
        <f t="shared" si="26"/>
        <v>8.3299999999999999E-2</v>
      </c>
      <c r="BK87">
        <f t="shared" si="26"/>
        <v>9.7200000000000009E-2</v>
      </c>
      <c r="BL87">
        <f t="shared" si="26"/>
        <v>0.1041</v>
      </c>
      <c r="BM87">
        <f t="shared" si="26"/>
        <v>9.5700000000000007E-2</v>
      </c>
      <c r="BN87">
        <f t="shared" si="26"/>
        <v>5.1900000000000002E-2</v>
      </c>
      <c r="BO87">
        <f t="shared" si="26"/>
        <v>9.9999999999999985E-3</v>
      </c>
      <c r="BP87">
        <f t="shared" ref="BP87:CX90" si="27">BP70+BP78</f>
        <v>-1.6800000000000002E-2</v>
      </c>
      <c r="BQ87">
        <f t="shared" si="27"/>
        <v>-2.5700000000000001E-2</v>
      </c>
      <c r="BR87">
        <f t="shared" si="27"/>
        <v>-2.5900000000000003E-2</v>
      </c>
      <c r="BS87">
        <f t="shared" si="27"/>
        <v>-3.2899999999999999E-2</v>
      </c>
      <c r="BT87">
        <f t="shared" si="27"/>
        <v>-4.02E-2</v>
      </c>
      <c r="BU87">
        <f t="shared" si="27"/>
        <v>9.9999999999999985E-3</v>
      </c>
      <c r="BV87">
        <f t="shared" si="27"/>
        <v>0.1164</v>
      </c>
      <c r="BW87">
        <f t="shared" si="27"/>
        <v>0.15540000000000001</v>
      </c>
      <c r="BX87">
        <f t="shared" si="27"/>
        <v>0.13009999999999999</v>
      </c>
      <c r="BY87">
        <f t="shared" si="27"/>
        <v>9.1799999999999993E-2</v>
      </c>
      <c r="BZ87">
        <f t="shared" si="27"/>
        <v>6.93E-2</v>
      </c>
      <c r="CA87">
        <f t="shared" si="27"/>
        <v>4.9299999999999997E-2</v>
      </c>
      <c r="CB87">
        <f t="shared" si="27"/>
        <v>8.2299999999999998E-2</v>
      </c>
      <c r="CC87">
        <f t="shared" si="27"/>
        <v>5.3900000000000003E-2</v>
      </c>
      <c r="CD87">
        <f t="shared" si="27"/>
        <v>1.1999999999999997E-3</v>
      </c>
      <c r="CE87">
        <f t="shared" si="27"/>
        <v>-1.9000000000000003E-2</v>
      </c>
      <c r="CF87">
        <f t="shared" si="27"/>
        <v>-5.3200000000000004E-2</v>
      </c>
      <c r="CG87">
        <f t="shared" si="27"/>
        <v>-2.9700000000000004E-2</v>
      </c>
      <c r="CH87">
        <f t="shared" si="27"/>
        <v>9.06E-2</v>
      </c>
      <c r="CI87">
        <f t="shared" si="27"/>
        <v>0.1729</v>
      </c>
      <c r="CJ87">
        <f t="shared" si="27"/>
        <v>0.20130000000000001</v>
      </c>
      <c r="CK87">
        <f t="shared" si="27"/>
        <v>-2.4100000000000003E-2</v>
      </c>
      <c r="CL87">
        <f t="shared" si="27"/>
        <v>-6.8399999999999989E-2</v>
      </c>
      <c r="CM87">
        <f t="shared" si="27"/>
        <v>-7.5200000000000003E-2</v>
      </c>
      <c r="CN87">
        <f t="shared" si="27"/>
        <v>2.2000000000000002E-2</v>
      </c>
      <c r="CO87">
        <f t="shared" si="27"/>
        <v>2.0400000000000001E-2</v>
      </c>
      <c r="CP87">
        <f t="shared" si="27"/>
        <v>-1.0600000000000005E-2</v>
      </c>
      <c r="CQ87">
        <f t="shared" si="27"/>
        <v>-0.11960000000000001</v>
      </c>
      <c r="CR87">
        <f t="shared" si="27"/>
        <v>1.8499999999999999E-2</v>
      </c>
      <c r="CS87">
        <f t="shared" si="27"/>
        <v>9.8500000000000004E-2</v>
      </c>
      <c r="CT87">
        <f t="shared" si="27"/>
        <v>2.7900000000000001E-2</v>
      </c>
      <c r="CU87">
        <f t="shared" si="27"/>
        <v>0.10009999999999999</v>
      </c>
      <c r="CV87">
        <f t="shared" si="27"/>
        <v>-0.12290000000000001</v>
      </c>
      <c r="CW87">
        <f t="shared" si="27"/>
        <v>6.5700000000000008E-2</v>
      </c>
      <c r="CX87">
        <f t="shared" si="27"/>
        <v>-2.3E-2</v>
      </c>
    </row>
    <row r="88" spans="1:102" x14ac:dyDescent="0.2">
      <c r="A88" t="s">
        <v>210</v>
      </c>
      <c r="B88" t="s">
        <v>220</v>
      </c>
      <c r="C88" t="s">
        <v>222</v>
      </c>
      <c r="D88">
        <f t="shared" ref="D88" si="28">D71+D79</f>
        <v>7.281E-2</v>
      </c>
      <c r="E88">
        <f t="shared" si="26"/>
        <v>6.0580000000000009E-2</v>
      </c>
      <c r="F88">
        <f t="shared" si="26"/>
        <v>3.0330000000000003E-2</v>
      </c>
      <c r="G88">
        <f t="shared" si="26"/>
        <v>5.4529999999999995E-2</v>
      </c>
      <c r="H88">
        <f t="shared" si="26"/>
        <v>-1.4409999999999999E-2</v>
      </c>
      <c r="I88">
        <f t="shared" si="26"/>
        <v>2.6029999999999998E-2</v>
      </c>
      <c r="J88">
        <f t="shared" si="26"/>
        <v>4.7800000000000004E-3</v>
      </c>
      <c r="K88">
        <f t="shared" si="26"/>
        <v>-1.0000000000000026E-4</v>
      </c>
      <c r="L88">
        <f t="shared" si="26"/>
        <v>5.96E-3</v>
      </c>
      <c r="M88">
        <f t="shared" si="26"/>
        <v>-1.951E-2</v>
      </c>
      <c r="N88">
        <f t="shared" si="26"/>
        <v>-1.6150000000000001E-2</v>
      </c>
      <c r="O88">
        <f t="shared" si="26"/>
        <v>6.2100000000000002E-3</v>
      </c>
      <c r="P88">
        <f t="shared" si="26"/>
        <v>-1.7130000000000001E-3</v>
      </c>
      <c r="Q88">
        <f t="shared" si="26"/>
        <v>-3.8300000000000001E-3</v>
      </c>
      <c r="R88">
        <f t="shared" si="26"/>
        <v>-6.0400000000000002E-3</v>
      </c>
      <c r="S88">
        <f t="shared" si="26"/>
        <v>-5.45E-3</v>
      </c>
      <c r="T88">
        <f t="shared" si="26"/>
        <v>2.2999999999999995E-4</v>
      </c>
      <c r="U88">
        <f t="shared" si="26"/>
        <v>5.8999999999999981E-4</v>
      </c>
      <c r="V88">
        <f t="shared" si="26"/>
        <v>3.3099999999999996E-3</v>
      </c>
      <c r="W88">
        <f t="shared" si="26"/>
        <v>1.91E-3</v>
      </c>
      <c r="X88">
        <f t="shared" si="26"/>
        <v>2.4300000000000003E-3</v>
      </c>
      <c r="Y88">
        <f t="shared" si="26"/>
        <v>6.8199999999999997E-3</v>
      </c>
      <c r="Z88">
        <f t="shared" si="26"/>
        <v>6.389999999999999E-3</v>
      </c>
      <c r="AA88">
        <f t="shared" si="26"/>
        <v>6.7299999999999999E-3</v>
      </c>
      <c r="AB88">
        <f t="shared" si="26"/>
        <v>6.0300000000000006E-3</v>
      </c>
      <c r="AC88">
        <f t="shared" si="26"/>
        <v>6.5899999999999995E-3</v>
      </c>
      <c r="AD88">
        <f t="shared" si="26"/>
        <v>6.8000000000000005E-3</v>
      </c>
      <c r="AE88">
        <f t="shared" si="26"/>
        <v>6.2300000000000012E-3</v>
      </c>
      <c r="AF88">
        <f t="shared" si="26"/>
        <v>5.9000000000000007E-3</v>
      </c>
      <c r="AG88">
        <f t="shared" si="26"/>
        <v>5.2700000000000004E-3</v>
      </c>
      <c r="AH88">
        <f t="shared" si="26"/>
        <v>5.3699999999999998E-3</v>
      </c>
      <c r="AI88">
        <f t="shared" si="26"/>
        <v>5.0400000000000002E-3</v>
      </c>
      <c r="AJ88">
        <f t="shared" si="26"/>
        <v>4.0600000000000002E-3</v>
      </c>
      <c r="AK88">
        <f t="shared" si="26"/>
        <v>1.9599999999999995E-3</v>
      </c>
      <c r="AL88">
        <f t="shared" si="26"/>
        <v>-8.1999999999999998E-4</v>
      </c>
      <c r="AM88">
        <f t="shared" si="26"/>
        <v>-4.2999999999999983E-4</v>
      </c>
      <c r="AN88">
        <f t="shared" si="26"/>
        <v>1.2999999999999991E-4</v>
      </c>
      <c r="AO88">
        <f t="shared" si="26"/>
        <v>1.4700000000000004E-3</v>
      </c>
      <c r="AP88">
        <f t="shared" si="26"/>
        <v>3.2099999999999997E-3</v>
      </c>
      <c r="AQ88">
        <f t="shared" si="26"/>
        <v>5.9900000000000005E-3</v>
      </c>
      <c r="AR88">
        <f t="shared" si="26"/>
        <v>8.8500000000000002E-3</v>
      </c>
      <c r="AS88">
        <f t="shared" si="26"/>
        <v>1.133E-2</v>
      </c>
      <c r="AT88">
        <f t="shared" si="26"/>
        <v>1.106E-2</v>
      </c>
      <c r="AU88">
        <f t="shared" si="26"/>
        <v>1.0829999999999999E-2</v>
      </c>
      <c r="AV88">
        <f t="shared" si="26"/>
        <v>8.8400000000000006E-3</v>
      </c>
      <c r="AW88">
        <f t="shared" si="26"/>
        <v>9.1199999999999996E-3</v>
      </c>
      <c r="AX88">
        <f t="shared" si="26"/>
        <v>8.5000000000000006E-3</v>
      </c>
      <c r="AY88">
        <f t="shared" si="26"/>
        <v>8.879999999999999E-3</v>
      </c>
      <c r="AZ88">
        <f t="shared" si="26"/>
        <v>6.4000000000000003E-3</v>
      </c>
      <c r="BA88">
        <f t="shared" si="26"/>
        <v>6.8400000000000006E-3</v>
      </c>
      <c r="BB88">
        <f t="shared" si="26"/>
        <v>5.9500000000000004E-3</v>
      </c>
      <c r="BC88">
        <f t="shared" si="26"/>
        <v>1.1299999999999999E-2</v>
      </c>
      <c r="BD88">
        <f t="shared" si="26"/>
        <v>1.277E-2</v>
      </c>
      <c r="BE88">
        <f t="shared" si="26"/>
        <v>1.3859999999999999E-2</v>
      </c>
      <c r="BF88">
        <f t="shared" si="26"/>
        <v>1.0409999999999999E-2</v>
      </c>
      <c r="BG88">
        <f t="shared" si="26"/>
        <v>9.0799999999999995E-3</v>
      </c>
      <c r="BH88">
        <f t="shared" si="26"/>
        <v>5.7199999999999994E-3</v>
      </c>
      <c r="BI88">
        <f t="shared" si="26"/>
        <v>3.0800000000000003E-3</v>
      </c>
      <c r="BJ88">
        <f t="shared" si="26"/>
        <v>4.7000000000000002E-3</v>
      </c>
      <c r="BK88">
        <f t="shared" si="26"/>
        <v>8.399999999999996E-4</v>
      </c>
      <c r="BL88">
        <f t="shared" si="26"/>
        <v>-8.7999999999999971E-4</v>
      </c>
      <c r="BM88">
        <f t="shared" si="26"/>
        <v>3.8299999999999992E-3</v>
      </c>
      <c r="BN88">
        <f t="shared" si="26"/>
        <v>1.2889999999999999E-2</v>
      </c>
      <c r="BO88">
        <f t="shared" si="26"/>
        <v>1.908E-2</v>
      </c>
      <c r="BP88">
        <f t="shared" si="27"/>
        <v>2.5660000000000002E-2</v>
      </c>
      <c r="BQ88">
        <f t="shared" si="27"/>
        <v>2.6340000000000002E-2</v>
      </c>
      <c r="BR88">
        <f t="shared" si="27"/>
        <v>2.529E-2</v>
      </c>
      <c r="BS88">
        <f t="shared" si="27"/>
        <v>2.4509999999999997E-2</v>
      </c>
      <c r="BT88">
        <f t="shared" si="27"/>
        <v>2.317E-2</v>
      </c>
      <c r="BU88">
        <f t="shared" si="27"/>
        <v>1.4240000000000003E-2</v>
      </c>
      <c r="BV88">
        <f t="shared" si="27"/>
        <v>-3.4499999999999999E-3</v>
      </c>
      <c r="BW88">
        <f t="shared" si="27"/>
        <v>-9.6299999999999997E-3</v>
      </c>
      <c r="BX88">
        <f t="shared" si="27"/>
        <v>-5.2009999999999999E-3</v>
      </c>
      <c r="BY88">
        <f t="shared" si="27"/>
        <v>5.94E-3</v>
      </c>
      <c r="BZ88">
        <f t="shared" si="27"/>
        <v>1.1390000000000001E-2</v>
      </c>
      <c r="CA88">
        <f t="shared" si="27"/>
        <v>1.2450000000000001E-2</v>
      </c>
      <c r="CB88">
        <f t="shared" si="27"/>
        <v>1.8399999999999996E-3</v>
      </c>
      <c r="CC88">
        <f t="shared" si="27"/>
        <v>4.9499999999999995E-3</v>
      </c>
      <c r="CD88">
        <f t="shared" si="27"/>
        <v>1.5919999999999997E-2</v>
      </c>
      <c r="CE88">
        <f t="shared" si="27"/>
        <v>1.8169999999999999E-2</v>
      </c>
      <c r="CF88">
        <f t="shared" si="27"/>
        <v>2.5520000000000001E-2</v>
      </c>
      <c r="CG88">
        <f t="shared" si="27"/>
        <v>1.8970000000000001E-2</v>
      </c>
      <c r="CH88">
        <f t="shared" si="27"/>
        <v>-3.9500000000000004E-3</v>
      </c>
      <c r="CI88">
        <f t="shared" si="27"/>
        <v>-2.3720000000000001E-2</v>
      </c>
      <c r="CJ88">
        <f t="shared" si="27"/>
        <v>-3.0850000000000002E-2</v>
      </c>
      <c r="CK88">
        <f t="shared" si="27"/>
        <v>1.5489999999999999E-2</v>
      </c>
      <c r="CL88">
        <f t="shared" si="27"/>
        <v>2.6610000000000002E-2</v>
      </c>
      <c r="CM88">
        <f t="shared" si="27"/>
        <v>2.5830000000000002E-2</v>
      </c>
      <c r="CN88">
        <f t="shared" si="27"/>
        <v>2.3999999999999994E-3</v>
      </c>
      <c r="CO88">
        <f t="shared" si="27"/>
        <v>6.9999999999999993E-3</v>
      </c>
      <c r="CP88">
        <f t="shared" si="27"/>
        <v>1.094E-2</v>
      </c>
      <c r="CQ88">
        <f t="shared" si="27"/>
        <v>3.2600000000000004E-2</v>
      </c>
      <c r="CR88">
        <f t="shared" si="27"/>
        <v>-7.8800000000000016E-3</v>
      </c>
      <c r="CS88">
        <f t="shared" si="27"/>
        <v>-3.6049999999999999E-2</v>
      </c>
      <c r="CT88">
        <f t="shared" si="27"/>
        <v>-7.1600000000000006E-3</v>
      </c>
      <c r="CU88">
        <f t="shared" si="27"/>
        <v>-4.4690000000000001E-2</v>
      </c>
      <c r="CV88">
        <f t="shared" si="27"/>
        <v>6.8099999999999983E-3</v>
      </c>
      <c r="CW88">
        <f t="shared" si="27"/>
        <v>-3.8190000000000002E-2</v>
      </c>
      <c r="CX88">
        <f t="shared" si="27"/>
        <v>3.245E-2</v>
      </c>
    </row>
    <row r="89" spans="1:102" x14ac:dyDescent="0.2">
      <c r="A89" t="s">
        <v>211</v>
      </c>
      <c r="B89" t="s">
        <v>220</v>
      </c>
      <c r="C89" t="s">
        <v>222</v>
      </c>
      <c r="D89">
        <f t="shared" ref="D89" si="29">D72+D80</f>
        <v>1.7900000000000003E-2</v>
      </c>
      <c r="E89">
        <f t="shared" si="26"/>
        <v>8.5599999999999982E-3</v>
      </c>
      <c r="F89">
        <f t="shared" si="26"/>
        <v>1.09E-2</v>
      </c>
      <c r="G89">
        <f t="shared" si="26"/>
        <v>2.4549999999999999E-2</v>
      </c>
      <c r="H89">
        <f t="shared" si="26"/>
        <v>2.2300000000000002E-3</v>
      </c>
      <c r="I89">
        <f t="shared" si="26"/>
        <v>1.158E-2</v>
      </c>
      <c r="J89">
        <f t="shared" si="26"/>
        <v>2.8899999999999998E-3</v>
      </c>
      <c r="K89">
        <f t="shared" si="26"/>
        <v>9.3600000000000003E-3</v>
      </c>
      <c r="L89">
        <f t="shared" si="26"/>
        <v>1.3730000000000001E-2</v>
      </c>
      <c r="M89">
        <f t="shared" si="26"/>
        <v>4.6699999999999997E-3</v>
      </c>
      <c r="N89">
        <f t="shared" si="26"/>
        <v>7.4599999999999996E-3</v>
      </c>
      <c r="O89">
        <f t="shared" si="26"/>
        <v>1.592E-2</v>
      </c>
      <c r="P89">
        <f t="shared" si="26"/>
        <v>1.2289999999999999E-2</v>
      </c>
      <c r="Q89">
        <f t="shared" si="26"/>
        <v>1.289E-2</v>
      </c>
      <c r="R89">
        <f t="shared" si="26"/>
        <v>1.0189999999999999E-2</v>
      </c>
      <c r="S89">
        <f t="shared" si="26"/>
        <v>8.5299999999999994E-3</v>
      </c>
      <c r="T89">
        <f t="shared" si="26"/>
        <v>7.1399999999999988E-3</v>
      </c>
      <c r="U89">
        <f t="shared" si="26"/>
        <v>9.11E-3</v>
      </c>
      <c r="V89">
        <f t="shared" si="26"/>
        <v>8.2699999999999996E-3</v>
      </c>
      <c r="W89">
        <f t="shared" si="26"/>
        <v>7.3499999999999998E-3</v>
      </c>
      <c r="X89">
        <f t="shared" si="26"/>
        <v>6.579999999999999E-3</v>
      </c>
      <c r="Y89">
        <f t="shared" si="26"/>
        <v>9.58E-3</v>
      </c>
      <c r="Z89">
        <f t="shared" si="26"/>
        <v>7.7500000000000008E-3</v>
      </c>
      <c r="AA89">
        <f t="shared" si="26"/>
        <v>9.2099999999999994E-3</v>
      </c>
      <c r="AB89">
        <f t="shared" si="26"/>
        <v>8.0800000000000004E-3</v>
      </c>
      <c r="AC89">
        <f t="shared" si="26"/>
        <v>7.0399999999999994E-3</v>
      </c>
      <c r="AD89">
        <f t="shared" si="26"/>
        <v>7.79E-3</v>
      </c>
      <c r="AE89">
        <f t="shared" si="26"/>
        <v>6.2400000000000008E-3</v>
      </c>
      <c r="AF89">
        <f t="shared" si="26"/>
        <v>6.2799999999999991E-3</v>
      </c>
      <c r="AG89">
        <f t="shared" si="26"/>
        <v>8.0800000000000004E-3</v>
      </c>
      <c r="AH89">
        <f t="shared" si="26"/>
        <v>6.2000000000000006E-3</v>
      </c>
      <c r="AI89">
        <f t="shared" si="26"/>
        <v>5.3600000000000002E-3</v>
      </c>
      <c r="AJ89">
        <f t="shared" si="26"/>
        <v>4.6999999999999993E-3</v>
      </c>
      <c r="AK89">
        <f t="shared" si="26"/>
        <v>1.3600000000000001E-3</v>
      </c>
      <c r="AL89">
        <f t="shared" si="26"/>
        <v>-8.8000000000000014E-4</v>
      </c>
      <c r="AM89">
        <f t="shared" si="26"/>
        <v>-1.0699999999999998E-3</v>
      </c>
      <c r="AN89">
        <f t="shared" si="26"/>
        <v>-3.7929999999999999E-3</v>
      </c>
      <c r="AO89">
        <f t="shared" si="26"/>
        <v>9.3999999999999986E-4</v>
      </c>
      <c r="AP89">
        <f t="shared" si="26"/>
        <v>2.1900000000000001E-3</v>
      </c>
      <c r="AQ89">
        <f t="shared" si="26"/>
        <v>6.0000000000000157E-5</v>
      </c>
      <c r="AR89">
        <f t="shared" si="26"/>
        <v>8.5000000000000006E-4</v>
      </c>
      <c r="AS89">
        <f t="shared" si="26"/>
        <v>9.0000000000000236E-5</v>
      </c>
      <c r="AT89">
        <f t="shared" si="26"/>
        <v>-1.0500000000000002E-3</v>
      </c>
      <c r="AU89">
        <f t="shared" si="26"/>
        <v>-2.9889999999999999E-3</v>
      </c>
      <c r="AV89">
        <f t="shared" si="26"/>
        <v>-2.4299999999999999E-3</v>
      </c>
      <c r="AW89">
        <f t="shared" si="26"/>
        <v>-1.98E-3</v>
      </c>
      <c r="AX89">
        <f t="shared" si="26"/>
        <v>-5.6999999999999976E-4</v>
      </c>
      <c r="AY89">
        <f t="shared" si="26"/>
        <v>-3.5889999999999997E-3</v>
      </c>
      <c r="AZ89">
        <f t="shared" si="26"/>
        <v>-3.1389999999999999E-3</v>
      </c>
      <c r="BA89">
        <f t="shared" si="26"/>
        <v>-5.0079999999999994E-3</v>
      </c>
      <c r="BB89">
        <f t="shared" si="26"/>
        <v>-7.0499999999999998E-3</v>
      </c>
      <c r="BC89">
        <f t="shared" si="26"/>
        <v>-6.79E-3</v>
      </c>
      <c r="BD89">
        <f t="shared" si="26"/>
        <v>-2.15E-3</v>
      </c>
      <c r="BE89">
        <f t="shared" si="26"/>
        <v>-1.1900000000000001E-3</v>
      </c>
      <c r="BF89">
        <f t="shared" si="26"/>
        <v>-5.836E-3</v>
      </c>
      <c r="BG89">
        <f t="shared" si="26"/>
        <v>-4.2589999999999998E-3</v>
      </c>
      <c r="BH89">
        <f t="shared" si="26"/>
        <v>-8.6899999999999998E-3</v>
      </c>
      <c r="BI89">
        <f t="shared" si="26"/>
        <v>-1.1640000000000001E-2</v>
      </c>
      <c r="BJ89">
        <f t="shared" si="26"/>
        <v>-9.7199999999999995E-3</v>
      </c>
      <c r="BK89">
        <f t="shared" si="26"/>
        <v>-1.455E-2</v>
      </c>
      <c r="BL89">
        <f t="shared" si="26"/>
        <v>-1.738E-2</v>
      </c>
      <c r="BM89">
        <f t="shared" si="26"/>
        <v>-1.384E-2</v>
      </c>
      <c r="BN89">
        <f t="shared" si="26"/>
        <v>-6.6899999999999998E-3</v>
      </c>
      <c r="BO89">
        <f t="shared" si="26"/>
        <v>-1.4400000000000003E-3</v>
      </c>
      <c r="BP89">
        <f t="shared" si="27"/>
        <v>3.3199999999999992E-3</v>
      </c>
      <c r="BQ89">
        <f t="shared" si="27"/>
        <v>1.0500000000000006E-3</v>
      </c>
      <c r="BR89">
        <f t="shared" si="27"/>
        <v>1.094E-2</v>
      </c>
      <c r="BS89">
        <f t="shared" si="27"/>
        <v>1.3729999999999999E-2</v>
      </c>
      <c r="BT89">
        <f t="shared" si="27"/>
        <v>7.5700000000000003E-3</v>
      </c>
      <c r="BU89">
        <f t="shared" si="27"/>
        <v>4.8999999999999998E-4</v>
      </c>
      <c r="BV89">
        <f t="shared" si="27"/>
        <v>-1.2240000000000001E-2</v>
      </c>
      <c r="BW89">
        <f t="shared" si="27"/>
        <v>-2.0929999999999997E-2</v>
      </c>
      <c r="BX89">
        <f t="shared" si="27"/>
        <v>-2.001E-2</v>
      </c>
      <c r="BY89">
        <f t="shared" si="27"/>
        <v>-1.5339999999999999E-2</v>
      </c>
      <c r="BZ89">
        <f t="shared" si="27"/>
        <v>-1.349E-2</v>
      </c>
      <c r="CA89">
        <f t="shared" si="27"/>
        <v>-7.1630000000000001E-3</v>
      </c>
      <c r="CB89">
        <f t="shared" si="27"/>
        <v>-2.0109999999999999E-2</v>
      </c>
      <c r="CC89">
        <f t="shared" si="27"/>
        <v>-1.6480000000000002E-2</v>
      </c>
      <c r="CD89">
        <f t="shared" si="27"/>
        <v>-1.303E-2</v>
      </c>
      <c r="CE89">
        <f t="shared" si="27"/>
        <v>-9.3699999999999999E-3</v>
      </c>
      <c r="CF89">
        <f t="shared" si="27"/>
        <v>-2.9999999999999992E-4</v>
      </c>
      <c r="CG89">
        <f t="shared" si="27"/>
        <v>-4.5700000000000011E-3</v>
      </c>
      <c r="CH89">
        <f t="shared" si="27"/>
        <v>-2.1409999999999998E-2</v>
      </c>
      <c r="CI89">
        <f t="shared" si="27"/>
        <v>-4.1610000000000001E-2</v>
      </c>
      <c r="CJ89">
        <f t="shared" si="27"/>
        <v>-4.965E-2</v>
      </c>
      <c r="CK89">
        <f t="shared" si="27"/>
        <v>-1.5980000000000001E-2</v>
      </c>
      <c r="CL89">
        <f t="shared" si="27"/>
        <v>-9.101999999999999E-3</v>
      </c>
      <c r="CM89">
        <f t="shared" si="27"/>
        <v>-5.6400000000000009E-3</v>
      </c>
      <c r="CN89">
        <f t="shared" si="27"/>
        <v>-3.8589999999999999E-2</v>
      </c>
      <c r="CO89">
        <f t="shared" si="27"/>
        <v>-3.9280000000000002E-2</v>
      </c>
      <c r="CP89">
        <f t="shared" si="27"/>
        <v>-2.8740000000000002E-2</v>
      </c>
      <c r="CQ89">
        <f t="shared" si="27"/>
        <v>-1.111E-2</v>
      </c>
      <c r="CR89">
        <f t="shared" si="27"/>
        <v>-3.7699999999999997E-2</v>
      </c>
      <c r="CS89">
        <f t="shared" si="27"/>
        <v>-5.0880000000000002E-2</v>
      </c>
      <c r="CT89">
        <f t="shared" si="27"/>
        <v>-5.0100000000000006E-2</v>
      </c>
      <c r="CU89">
        <f t="shared" si="27"/>
        <v>-7.1609999999999993E-2</v>
      </c>
      <c r="CV89">
        <f t="shared" si="27"/>
        <v>-2.86E-2</v>
      </c>
      <c r="CW89">
        <f t="shared" si="27"/>
        <v>-7.2099999999999997E-2</v>
      </c>
      <c r="CX89">
        <f t="shared" si="27"/>
        <v>-4.5630000000000004E-2</v>
      </c>
    </row>
    <row r="90" spans="1:102" x14ac:dyDescent="0.2">
      <c r="A90" t="s">
        <v>212</v>
      </c>
      <c r="B90" t="s">
        <v>220</v>
      </c>
      <c r="C90" t="s">
        <v>222</v>
      </c>
      <c r="D90">
        <f t="shared" ref="D90" si="30">D73+D81</f>
        <v>4.1549999999999997E-2</v>
      </c>
      <c r="E90">
        <f t="shared" si="26"/>
        <v>2.1700000000000001E-2</v>
      </c>
      <c r="F90">
        <f t="shared" si="26"/>
        <v>4.0700000000000007E-3</v>
      </c>
      <c r="G90">
        <f t="shared" si="26"/>
        <v>2.8170000000000001E-2</v>
      </c>
      <c r="H90">
        <f t="shared" si="26"/>
        <v>-5.1799999999999997E-3</v>
      </c>
      <c r="I90">
        <f t="shared" si="26"/>
        <v>1.0829999999999999E-2</v>
      </c>
      <c r="J90">
        <f t="shared" si="26"/>
        <v>4.5100000000000001E-3</v>
      </c>
      <c r="K90">
        <f t="shared" si="26"/>
        <v>4.3099999999999996E-3</v>
      </c>
      <c r="L90">
        <f t="shared" si="26"/>
        <v>7.43E-3</v>
      </c>
      <c r="M90">
        <f t="shared" si="26"/>
        <v>-3.8800000000000006E-3</v>
      </c>
      <c r="N90">
        <f t="shared" si="26"/>
        <v>-1.8900000000000002E-3</v>
      </c>
      <c r="O90">
        <f t="shared" si="26"/>
        <v>8.8900000000000003E-3</v>
      </c>
      <c r="P90">
        <f t="shared" si="26"/>
        <v>5.8700000000000002E-3</v>
      </c>
      <c r="Q90">
        <f t="shared" si="26"/>
        <v>4.64E-3</v>
      </c>
      <c r="R90">
        <f t="shared" si="26"/>
        <v>1.58E-3</v>
      </c>
      <c r="S90">
        <f t="shared" si="26"/>
        <v>1.4519999999999997E-3</v>
      </c>
      <c r="T90">
        <f t="shared" si="26"/>
        <v>2.4130000000000002E-3</v>
      </c>
      <c r="U90">
        <f t="shared" si="26"/>
        <v>2.9499999999999999E-3</v>
      </c>
      <c r="V90">
        <f t="shared" si="26"/>
        <v>3.4299999999999999E-3</v>
      </c>
      <c r="W90">
        <f t="shared" si="26"/>
        <v>2.8900000000000002E-3</v>
      </c>
      <c r="X90">
        <f t="shared" si="26"/>
        <v>3.2100000000000002E-3</v>
      </c>
      <c r="Y90">
        <f t="shared" si="26"/>
        <v>3.8400000000000001E-3</v>
      </c>
      <c r="Z90">
        <f t="shared" si="26"/>
        <v>3.5999999999999999E-3</v>
      </c>
      <c r="AA90">
        <f t="shared" si="26"/>
        <v>3.5399999999999997E-3</v>
      </c>
      <c r="AB90">
        <f t="shared" si="26"/>
        <v>3.29E-3</v>
      </c>
      <c r="AC90">
        <f t="shared" si="26"/>
        <v>3.13E-3</v>
      </c>
      <c r="AD90">
        <f t="shared" si="26"/>
        <v>2.65E-3</v>
      </c>
      <c r="AE90">
        <f t="shared" si="26"/>
        <v>1.993E-3</v>
      </c>
      <c r="AF90">
        <f t="shared" si="26"/>
        <v>1.836E-3</v>
      </c>
      <c r="AG90">
        <f t="shared" si="26"/>
        <v>6.559999999999999E-4</v>
      </c>
      <c r="AH90">
        <f t="shared" si="26"/>
        <v>2.360000000000001E-4</v>
      </c>
      <c r="AI90">
        <f t="shared" si="26"/>
        <v>2.2699999999999999E-4</v>
      </c>
      <c r="AJ90">
        <f t="shared" si="26"/>
        <v>6.5399999999999985E-4</v>
      </c>
      <c r="AK90">
        <f t="shared" si="26"/>
        <v>6.69E-4</v>
      </c>
      <c r="AL90">
        <f t="shared" si="26"/>
        <v>6.4400000000000004E-4</v>
      </c>
      <c r="AM90">
        <f t="shared" si="26"/>
        <v>5.8E-4</v>
      </c>
      <c r="AN90">
        <f t="shared" si="26"/>
        <v>4.7000000000000004E-4</v>
      </c>
      <c r="AO90">
        <f t="shared" si="26"/>
        <v>9.2400000000000013E-4</v>
      </c>
      <c r="AP90">
        <f t="shared" si="26"/>
        <v>1.3486000000000001E-3</v>
      </c>
      <c r="AQ90">
        <f t="shared" si="26"/>
        <v>1.6900000000000001E-3</v>
      </c>
      <c r="AR90">
        <f t="shared" si="26"/>
        <v>2.0400000000000001E-3</v>
      </c>
      <c r="AS90">
        <f t="shared" si="26"/>
        <v>1.8979999999999999E-3</v>
      </c>
      <c r="AT90">
        <f t="shared" si="26"/>
        <v>1.928E-3</v>
      </c>
      <c r="AU90">
        <f t="shared" si="26"/>
        <v>1.954E-3</v>
      </c>
      <c r="AV90">
        <f t="shared" si="26"/>
        <v>1.722E-3</v>
      </c>
      <c r="AW90">
        <f t="shared" si="26"/>
        <v>1.9060000000000001E-3</v>
      </c>
      <c r="AX90">
        <f t="shared" si="26"/>
        <v>1.9090000000000001E-3</v>
      </c>
      <c r="AY90">
        <f t="shared" si="26"/>
        <v>1.4239999999999999E-3</v>
      </c>
      <c r="AZ90">
        <f t="shared" si="26"/>
        <v>1.1267E-3</v>
      </c>
      <c r="BA90">
        <f t="shared" si="26"/>
        <v>6.3999999999999994E-4</v>
      </c>
      <c r="BB90">
        <f t="shared" si="26"/>
        <v>3.4299999999999988E-4</v>
      </c>
      <c r="BC90">
        <f t="shared" si="26"/>
        <v>8.3000000000000001E-4</v>
      </c>
      <c r="BD90">
        <f t="shared" si="26"/>
        <v>1.5969999999999999E-3</v>
      </c>
      <c r="BE90">
        <f t="shared" si="26"/>
        <v>1.6739999999999999E-3</v>
      </c>
      <c r="BF90">
        <f t="shared" si="26"/>
        <v>1.4989999999999999E-3</v>
      </c>
      <c r="BG90">
        <f t="shared" si="26"/>
        <v>1.6560000000000001E-3</v>
      </c>
      <c r="BH90">
        <f t="shared" si="26"/>
        <v>1.3319999999999999E-3</v>
      </c>
      <c r="BI90">
        <f t="shared" si="26"/>
        <v>1.1492000000000002E-3</v>
      </c>
      <c r="BJ90">
        <f t="shared" si="26"/>
        <v>1.366E-3</v>
      </c>
      <c r="BK90">
        <f t="shared" si="26"/>
        <v>1.1677E-3</v>
      </c>
      <c r="BL90">
        <f t="shared" si="26"/>
        <v>1.1684E-3</v>
      </c>
      <c r="BM90">
        <f t="shared" si="26"/>
        <v>1.575E-3</v>
      </c>
      <c r="BN90">
        <f t="shared" si="26"/>
        <v>2.0439999999999998E-3</v>
      </c>
      <c r="BO90">
        <f t="shared" si="26"/>
        <v>2.7499999999999998E-3</v>
      </c>
      <c r="BP90">
        <f t="shared" si="27"/>
        <v>3.31E-3</v>
      </c>
      <c r="BQ90">
        <f t="shared" si="27"/>
        <v>3.81E-3</v>
      </c>
      <c r="BR90">
        <f t="shared" si="27"/>
        <v>3.8400000000000001E-3</v>
      </c>
      <c r="BS90">
        <f t="shared" si="27"/>
        <v>3.1400000000000004E-3</v>
      </c>
      <c r="BT90">
        <f t="shared" si="27"/>
        <v>3.8200000000000005E-3</v>
      </c>
      <c r="BU90">
        <f t="shared" si="27"/>
        <v>3.7000000000000002E-3</v>
      </c>
      <c r="BV90">
        <f t="shared" si="27"/>
        <v>2.7299999999999998E-3</v>
      </c>
      <c r="BW90">
        <f t="shared" si="27"/>
        <v>3.13E-3</v>
      </c>
      <c r="BX90">
        <f t="shared" si="27"/>
        <v>2.5399999999999997E-3</v>
      </c>
      <c r="BY90">
        <f t="shared" si="27"/>
        <v>3.2699999999999999E-3</v>
      </c>
      <c r="BZ90">
        <f t="shared" si="27"/>
        <v>3.79E-3</v>
      </c>
      <c r="CA90">
        <f t="shared" si="27"/>
        <v>4.6800000000000001E-3</v>
      </c>
      <c r="CB90">
        <f t="shared" si="27"/>
        <v>4.4099999999999999E-3</v>
      </c>
      <c r="CC90">
        <f t="shared" si="27"/>
        <v>4.5399999999999998E-3</v>
      </c>
      <c r="CD90">
        <f t="shared" si="27"/>
        <v>3.7000000000000002E-3</v>
      </c>
      <c r="CE90">
        <f t="shared" si="27"/>
        <v>3.4399999999999999E-3</v>
      </c>
      <c r="CF90">
        <f t="shared" si="27"/>
        <v>3.3E-3</v>
      </c>
      <c r="CG90">
        <f t="shared" si="27"/>
        <v>3.32E-3</v>
      </c>
      <c r="CH90">
        <f t="shared" si="27"/>
        <v>1.815E-3</v>
      </c>
      <c r="CI90">
        <f t="shared" si="27"/>
        <v>3.1499999999999996E-4</v>
      </c>
      <c r="CJ90">
        <f t="shared" si="27"/>
        <v>-1.0610000000000001E-3</v>
      </c>
      <c r="CK90">
        <f t="shared" si="27"/>
        <v>1.121E-3</v>
      </c>
      <c r="CL90">
        <f t="shared" si="27"/>
        <v>1.73E-3</v>
      </c>
      <c r="CM90">
        <f t="shared" si="27"/>
        <v>2.0100000000000001E-3</v>
      </c>
      <c r="CN90">
        <f t="shared" si="27"/>
        <v>1.5529999999999999E-3</v>
      </c>
      <c r="CO90">
        <f t="shared" si="27"/>
        <v>6.8500000000000006E-4</v>
      </c>
      <c r="CP90">
        <f t="shared" si="27"/>
        <v>-6.3000000000000013E-5</v>
      </c>
      <c r="CQ90">
        <f t="shared" si="27"/>
        <v>8.3359999999999999E-4</v>
      </c>
      <c r="CR90">
        <f t="shared" si="27"/>
        <v>-1.013E-3</v>
      </c>
      <c r="CS90">
        <f t="shared" si="27"/>
        <v>-2.467E-3</v>
      </c>
      <c r="CT90">
        <f t="shared" si="27"/>
        <v>-2.5149999999999999E-3</v>
      </c>
      <c r="CU90">
        <f t="shared" si="27"/>
        <v>-3.6419999999999998E-3</v>
      </c>
      <c r="CV90">
        <f t="shared" si="27"/>
        <v>-2.5999999999999999E-3</v>
      </c>
      <c r="CW90">
        <f t="shared" si="27"/>
        <v>-4.2769999999999996E-3</v>
      </c>
      <c r="CX90">
        <f t="shared" si="27"/>
        <v>2.1100000000000003E-4</v>
      </c>
    </row>
    <row r="91" spans="1:102" x14ac:dyDescent="0.2">
      <c r="A91" t="s">
        <v>213</v>
      </c>
      <c r="B91" t="s">
        <v>220</v>
      </c>
      <c r="C91" t="s">
        <v>222</v>
      </c>
      <c r="D91">
        <f t="shared" ref="D91" si="31">D74+D82</f>
        <v>-8.4399999999999989E-2</v>
      </c>
      <c r="E91">
        <f t="shared" si="26"/>
        <v>-4.8299999999999996E-2</v>
      </c>
      <c r="F91">
        <f t="shared" si="26"/>
        <v>1.54E-2</v>
      </c>
      <c r="G91">
        <f t="shared" ref="G91:BR91" si="32">G74+G82</f>
        <v>-0.12809999999999999</v>
      </c>
      <c r="H91">
        <f t="shared" si="32"/>
        <v>8.3900000000000002E-2</v>
      </c>
      <c r="I91">
        <f t="shared" si="32"/>
        <v>-7.0599999999999996E-2</v>
      </c>
      <c r="J91">
        <f t="shared" si="32"/>
        <v>5.000000000000001E-3</v>
      </c>
      <c r="K91">
        <f t="shared" si="32"/>
        <v>1.8999999999999989E-3</v>
      </c>
      <c r="L91">
        <f t="shared" si="32"/>
        <v>-3.1800000000000002E-2</v>
      </c>
      <c r="M91">
        <f t="shared" si="32"/>
        <v>9.7500000000000003E-2</v>
      </c>
      <c r="N91">
        <f t="shared" si="32"/>
        <v>8.5999999999999993E-2</v>
      </c>
      <c r="O91">
        <f t="shared" si="32"/>
        <v>-0.05</v>
      </c>
      <c r="P91">
        <f t="shared" si="32"/>
        <v>1.8999999999999989E-3</v>
      </c>
      <c r="Q91">
        <f t="shared" si="32"/>
        <v>2.2199999999999998E-2</v>
      </c>
      <c r="R91">
        <f t="shared" si="32"/>
        <v>4.4499999999999998E-2</v>
      </c>
      <c r="S91">
        <f t="shared" si="32"/>
        <v>2.819E-2</v>
      </c>
      <c r="T91">
        <f t="shared" si="32"/>
        <v>5.5499999999999994E-3</v>
      </c>
      <c r="U91">
        <f t="shared" si="32"/>
        <v>-4.6899999999999997E-3</v>
      </c>
      <c r="V91">
        <f t="shared" si="32"/>
        <v>-8.1899999999999994E-3</v>
      </c>
      <c r="W91">
        <f t="shared" si="32"/>
        <v>-1.031E-2</v>
      </c>
      <c r="X91">
        <f t="shared" si="32"/>
        <v>-1.7159999999999998E-2</v>
      </c>
      <c r="Y91">
        <f t="shared" si="32"/>
        <v>-3.108E-2</v>
      </c>
      <c r="Z91">
        <f t="shared" si="32"/>
        <v>-2.3140000000000001E-2</v>
      </c>
      <c r="AA91">
        <f t="shared" si="32"/>
        <v>-1.044E-2</v>
      </c>
      <c r="AB91">
        <f t="shared" si="32"/>
        <v>3.7000000000000054E-4</v>
      </c>
      <c r="AC91">
        <f t="shared" si="32"/>
        <v>9.3999999999999986E-3</v>
      </c>
      <c r="AD91">
        <f t="shared" si="32"/>
        <v>1.1720000000000001E-2</v>
      </c>
      <c r="AE91">
        <f t="shared" si="32"/>
        <v>1.004E-2</v>
      </c>
      <c r="AF91">
        <f t="shared" si="32"/>
        <v>1.0489999999999999E-2</v>
      </c>
      <c r="AG91">
        <f t="shared" si="32"/>
        <v>6.2599999999999999E-3</v>
      </c>
      <c r="AH91">
        <f t="shared" si="32"/>
        <v>1.4919999999999999E-2</v>
      </c>
      <c r="AI91">
        <f t="shared" si="32"/>
        <v>1.325E-2</v>
      </c>
      <c r="AJ91">
        <f t="shared" si="32"/>
        <v>9.9999999999999985E-3</v>
      </c>
      <c r="AK91">
        <f t="shared" si="32"/>
        <v>1.193E-2</v>
      </c>
      <c r="AL91">
        <f t="shared" si="32"/>
        <v>1.5030000000000002E-2</v>
      </c>
      <c r="AM91">
        <f t="shared" si="32"/>
        <v>8.7799999999999996E-3</v>
      </c>
      <c r="AN91">
        <f t="shared" si="32"/>
        <v>4.0099999999999997E-3</v>
      </c>
      <c r="AO91">
        <f t="shared" si="32"/>
        <v>4.0099999999999997E-3</v>
      </c>
      <c r="AP91">
        <f t="shared" si="32"/>
        <v>8.3800000000000003E-3</v>
      </c>
      <c r="AQ91">
        <f t="shared" si="32"/>
        <v>1.098E-2</v>
      </c>
      <c r="AR91">
        <f t="shared" si="32"/>
        <v>9.7999999999999997E-3</v>
      </c>
      <c r="AS91">
        <f t="shared" si="32"/>
        <v>7.8200000000000006E-3</v>
      </c>
      <c r="AT91">
        <f t="shared" si="32"/>
        <v>7.3200000000000001E-3</v>
      </c>
      <c r="AU91">
        <f t="shared" si="32"/>
        <v>1.091E-2</v>
      </c>
      <c r="AV91">
        <f t="shared" si="32"/>
        <v>2.3369999999999998E-2</v>
      </c>
      <c r="AW91">
        <f t="shared" si="32"/>
        <v>2.6159999999999999E-2</v>
      </c>
      <c r="AX91">
        <f t="shared" si="32"/>
        <v>1.6569999999999998E-2</v>
      </c>
      <c r="AY91">
        <f t="shared" si="32"/>
        <v>1.4829999999999999E-2</v>
      </c>
      <c r="AZ91">
        <f t="shared" si="32"/>
        <v>1.123E-2</v>
      </c>
      <c r="BA91">
        <f t="shared" si="32"/>
        <v>1.3000000000000001E-2</v>
      </c>
      <c r="BB91">
        <f t="shared" si="32"/>
        <v>8.8200000000000014E-3</v>
      </c>
      <c r="BC91">
        <f t="shared" si="32"/>
        <v>1.2110000000000001E-2</v>
      </c>
      <c r="BD91">
        <f t="shared" si="32"/>
        <v>8.905999999999999E-3</v>
      </c>
      <c r="BE91">
        <f t="shared" si="32"/>
        <v>1.0923E-2</v>
      </c>
      <c r="BF91">
        <f t="shared" si="32"/>
        <v>1.1789000000000001E-2</v>
      </c>
      <c r="BG91">
        <f t="shared" si="32"/>
        <v>1.9812E-2</v>
      </c>
      <c r="BH91">
        <f t="shared" si="32"/>
        <v>2.4820000000000002E-2</v>
      </c>
      <c r="BI91">
        <f t="shared" si="32"/>
        <v>1.8367999999999999E-2</v>
      </c>
      <c r="BJ91">
        <f t="shared" si="32"/>
        <v>1.7917000000000002E-2</v>
      </c>
      <c r="BK91">
        <f t="shared" si="32"/>
        <v>1.5495E-2</v>
      </c>
      <c r="BL91">
        <f t="shared" si="32"/>
        <v>1.4389000000000001E-2</v>
      </c>
      <c r="BM91">
        <f t="shared" si="32"/>
        <v>8.6629999999999988E-3</v>
      </c>
      <c r="BN91">
        <f t="shared" si="32"/>
        <v>3.9910000000000006E-3</v>
      </c>
      <c r="BO91">
        <f t="shared" si="32"/>
        <v>1.780956E-3</v>
      </c>
      <c r="BP91">
        <f t="shared" si="32"/>
        <v>1.859E-3</v>
      </c>
      <c r="BQ91">
        <f t="shared" si="32"/>
        <v>7.6049999999999998E-3</v>
      </c>
      <c r="BR91">
        <f t="shared" si="32"/>
        <v>1.3864E-2</v>
      </c>
      <c r="BS91">
        <f t="shared" ref="BS91:CX91" si="33">BS74+BS82</f>
        <v>1.8914E-2</v>
      </c>
      <c r="BT91">
        <f t="shared" si="33"/>
        <v>2.9567000000000003E-2</v>
      </c>
      <c r="BU91">
        <f t="shared" si="33"/>
        <v>3.2459000000000002E-2</v>
      </c>
      <c r="BV91">
        <f t="shared" si="33"/>
        <v>3.7345999999999997E-2</v>
      </c>
      <c r="BW91">
        <f t="shared" si="33"/>
        <v>3.9898000000000003E-2</v>
      </c>
      <c r="BX91">
        <f t="shared" si="33"/>
        <v>2.4517000000000001E-2</v>
      </c>
      <c r="BY91">
        <f t="shared" si="33"/>
        <v>3.5224999999999999E-2</v>
      </c>
      <c r="BZ91">
        <f t="shared" si="33"/>
        <v>3.5843E-2</v>
      </c>
      <c r="CA91">
        <f t="shared" si="33"/>
        <v>3.3450000000000001E-2</v>
      </c>
      <c r="CB91">
        <f t="shared" si="33"/>
        <v>3.4509999999999999E-2</v>
      </c>
      <c r="CC91">
        <f t="shared" si="33"/>
        <v>4.6020000000000005E-2</v>
      </c>
      <c r="CD91">
        <f t="shared" si="33"/>
        <v>3.4759999999999999E-2</v>
      </c>
      <c r="CE91">
        <f t="shared" si="33"/>
        <v>3.1994000000000002E-2</v>
      </c>
      <c r="CF91">
        <f t="shared" si="33"/>
        <v>3.2479000000000001E-2</v>
      </c>
      <c r="CG91">
        <f t="shared" si="33"/>
        <v>4.2710000000000005E-2</v>
      </c>
      <c r="CH91">
        <f t="shared" si="33"/>
        <v>3.8339999999999999E-2</v>
      </c>
      <c r="CI91">
        <f t="shared" si="33"/>
        <v>4.0325E-2</v>
      </c>
      <c r="CJ91">
        <f t="shared" si="33"/>
        <v>3.3094999999999999E-2</v>
      </c>
      <c r="CK91">
        <f t="shared" si="33"/>
        <v>3.0620000000000001E-2</v>
      </c>
      <c r="CL91">
        <f t="shared" si="33"/>
        <v>2.6013000000000001E-2</v>
      </c>
      <c r="CM91">
        <f t="shared" si="33"/>
        <v>3.7969999999999997E-2</v>
      </c>
      <c r="CN91">
        <f t="shared" si="33"/>
        <v>5.4920000000000004E-2</v>
      </c>
      <c r="CO91">
        <f t="shared" si="33"/>
        <v>4.777E-2</v>
      </c>
      <c r="CP91">
        <f t="shared" si="33"/>
        <v>4.7611000000000001E-2</v>
      </c>
      <c r="CQ91">
        <f t="shared" si="33"/>
        <v>5.2450000000000004E-2</v>
      </c>
      <c r="CR91">
        <f t="shared" si="33"/>
        <v>6.3829999999999998E-2</v>
      </c>
      <c r="CS91">
        <f t="shared" si="33"/>
        <v>6.2330000000000003E-2</v>
      </c>
      <c r="CT91">
        <f t="shared" si="33"/>
        <v>6.4740000000000006E-2</v>
      </c>
      <c r="CU91">
        <f t="shared" si="33"/>
        <v>5.7063000000000003E-2</v>
      </c>
      <c r="CV91">
        <f t="shared" si="33"/>
        <v>3.8913999999999997E-2</v>
      </c>
      <c r="CW91">
        <f t="shared" si="33"/>
        <v>6.7326999999999998E-2</v>
      </c>
      <c r="CX91">
        <f t="shared" si="33"/>
        <v>6.7636999999999989E-2</v>
      </c>
    </row>
    <row r="92" spans="1:102" x14ac:dyDescent="0.2">
      <c r="A92" t="s">
        <v>214</v>
      </c>
      <c r="B92" t="s">
        <v>220</v>
      </c>
      <c r="C92" t="s">
        <v>222</v>
      </c>
      <c r="D92">
        <f t="shared" ref="D92:BO92" si="34">D75+D83</f>
        <v>4.4500000000000005E-2</v>
      </c>
      <c r="E92">
        <f t="shared" si="34"/>
        <v>5.7400000000000007E-2</v>
      </c>
      <c r="F92">
        <f t="shared" si="34"/>
        <v>5.0200000000000002E-2</v>
      </c>
      <c r="G92">
        <f t="shared" si="34"/>
        <v>4.07E-2</v>
      </c>
      <c r="H92">
        <f t="shared" si="34"/>
        <v>6.4500000000000002E-2</v>
      </c>
      <c r="I92">
        <f t="shared" si="34"/>
        <v>5.3000000000000005E-2</v>
      </c>
      <c r="J92">
        <f t="shared" si="34"/>
        <v>4.4399999999999995E-2</v>
      </c>
      <c r="K92">
        <f t="shared" si="34"/>
        <v>3.3490000000000006E-2</v>
      </c>
      <c r="L92">
        <f t="shared" si="34"/>
        <v>3.2899999999999999E-2</v>
      </c>
      <c r="M92">
        <f t="shared" si="34"/>
        <v>2.794E-2</v>
      </c>
      <c r="N92">
        <f t="shared" si="34"/>
        <v>2.2540000000000001E-2</v>
      </c>
      <c r="O92">
        <f t="shared" si="34"/>
        <v>1.0319999999999999E-2</v>
      </c>
      <c r="P92">
        <f t="shared" si="34"/>
        <v>2.3089999999999999E-2</v>
      </c>
      <c r="Q92">
        <f t="shared" si="34"/>
        <v>7.8799999999999999E-3</v>
      </c>
      <c r="R92">
        <f t="shared" si="34"/>
        <v>8.9300000000000004E-3</v>
      </c>
      <c r="S92">
        <f t="shared" si="34"/>
        <v>1.231E-2</v>
      </c>
      <c r="T92">
        <f t="shared" si="34"/>
        <v>2.7959999999999999E-3</v>
      </c>
      <c r="U92">
        <f t="shared" si="34"/>
        <v>8.3800000000000003E-3</v>
      </c>
      <c r="V92">
        <f t="shared" si="34"/>
        <v>6.0099999999999997E-3</v>
      </c>
      <c r="W92">
        <f t="shared" si="34"/>
        <v>5.3800000000000002E-3</v>
      </c>
      <c r="X92">
        <f t="shared" si="34"/>
        <v>6.6E-3</v>
      </c>
      <c r="Y92">
        <f t="shared" si="34"/>
        <v>3.4679999999999997E-3</v>
      </c>
      <c r="Z92">
        <f t="shared" si="34"/>
        <v>1.4299999999999998E-3</v>
      </c>
      <c r="AA92">
        <f t="shared" si="34"/>
        <v>-1.9600000000000004E-3</v>
      </c>
      <c r="AB92">
        <f t="shared" si="34"/>
        <v>7.6699999999999997E-3</v>
      </c>
      <c r="AC92">
        <f t="shared" si="34"/>
        <v>2.1000000000000012E-4</v>
      </c>
      <c r="AD92">
        <f t="shared" si="34"/>
        <v>2.3340000000000001E-3</v>
      </c>
      <c r="AE92">
        <f t="shared" si="34"/>
        <v>9.5999999999999992E-4</v>
      </c>
      <c r="AF92">
        <f t="shared" si="34"/>
        <v>7.6899999999999998E-3</v>
      </c>
      <c r="AG92">
        <f t="shared" si="34"/>
        <v>9.8200000000000006E-3</v>
      </c>
      <c r="AH92">
        <f t="shared" si="34"/>
        <v>8.6700000000000006E-3</v>
      </c>
      <c r="AI92">
        <f t="shared" si="34"/>
        <v>4.0899999999999999E-3</v>
      </c>
      <c r="AJ92">
        <f t="shared" si="34"/>
        <v>7.1999999999999998E-3</v>
      </c>
      <c r="AK92">
        <f t="shared" si="34"/>
        <v>3.3470000000000001E-3</v>
      </c>
      <c r="AL92">
        <f t="shared" si="34"/>
        <v>5.8799999999999998E-3</v>
      </c>
      <c r="AM92">
        <f t="shared" si="34"/>
        <v>6.1200000000000004E-3</v>
      </c>
      <c r="AN92">
        <f t="shared" si="34"/>
        <v>2.0799999999999998E-3</v>
      </c>
      <c r="AO92">
        <f t="shared" si="34"/>
        <v>1.5499999999999999E-3</v>
      </c>
      <c r="AP92">
        <f t="shared" si="34"/>
        <v>7.6E-3</v>
      </c>
      <c r="AQ92">
        <f t="shared" si="34"/>
        <v>6.0899999999999999E-3</v>
      </c>
      <c r="AR92">
        <f t="shared" si="34"/>
        <v>7.4699999999999992E-3</v>
      </c>
      <c r="AS92">
        <f t="shared" si="34"/>
        <v>3.2695000000000003E-3</v>
      </c>
      <c r="AT92">
        <f t="shared" si="34"/>
        <v>2.7929999999999999E-3</v>
      </c>
      <c r="AU92">
        <f t="shared" si="34"/>
        <v>1.8599999999999999E-3</v>
      </c>
      <c r="AV92">
        <f t="shared" si="34"/>
        <v>3.761E-3</v>
      </c>
      <c r="AW92">
        <f t="shared" si="34"/>
        <v>3.7720000000000002E-3</v>
      </c>
      <c r="AX92">
        <f t="shared" si="34"/>
        <v>2.516E-3</v>
      </c>
      <c r="AY92">
        <f t="shared" si="34"/>
        <v>4.0600000000000002E-3</v>
      </c>
      <c r="AZ92">
        <f t="shared" si="34"/>
        <v>7.5300000000000002E-3</v>
      </c>
      <c r="BA92">
        <f t="shared" si="34"/>
        <v>4.5699999999999994E-3</v>
      </c>
      <c r="BB92">
        <f t="shared" si="34"/>
        <v>5.0499999999999998E-3</v>
      </c>
      <c r="BC92">
        <f t="shared" si="34"/>
        <v>3.1002999999999998E-3</v>
      </c>
      <c r="BD92">
        <f t="shared" si="34"/>
        <v>3.7190000000000001E-3</v>
      </c>
      <c r="BE92">
        <f t="shared" si="34"/>
        <v>4.0759999999999998E-3</v>
      </c>
      <c r="BF92">
        <f t="shared" si="34"/>
        <v>5.7299999999999999E-3</v>
      </c>
      <c r="BG92">
        <f t="shared" si="34"/>
        <v>4.9800000000000001E-3</v>
      </c>
      <c r="BH92">
        <f t="shared" si="34"/>
        <v>4.4000000000000003E-3</v>
      </c>
      <c r="BI92">
        <f t="shared" si="34"/>
        <v>4.7000000000000002E-3</v>
      </c>
      <c r="BJ92">
        <f t="shared" si="34"/>
        <v>5.9000000000000025E-4</v>
      </c>
      <c r="BK92">
        <f t="shared" si="34"/>
        <v>1.0869999999999999E-2</v>
      </c>
      <c r="BL92">
        <f t="shared" si="34"/>
        <v>3.8600000000000001E-3</v>
      </c>
      <c r="BM92">
        <f t="shared" si="34"/>
        <v>6.5699999999999995E-3</v>
      </c>
      <c r="BN92">
        <f t="shared" si="34"/>
        <v>8.1099999999999992E-3</v>
      </c>
      <c r="BO92">
        <f t="shared" si="34"/>
        <v>9.6900000000000007E-3</v>
      </c>
      <c r="BP92">
        <f t="shared" ref="BP92:CX92" si="35">BP75+BP83</f>
        <v>8.660000000000001E-3</v>
      </c>
      <c r="BQ92">
        <f t="shared" si="35"/>
        <v>4.1700000000000001E-3</v>
      </c>
      <c r="BR92">
        <f t="shared" si="35"/>
        <v>-6.2799999999999991E-3</v>
      </c>
      <c r="BS92">
        <f t="shared" si="35"/>
        <v>-2.6000000000000025E-4</v>
      </c>
      <c r="BT92">
        <f t="shared" si="35"/>
        <v>7.9500000000000005E-3</v>
      </c>
      <c r="BU92">
        <f t="shared" si="35"/>
        <v>8.2899999999999988E-3</v>
      </c>
      <c r="BV92">
        <f t="shared" si="35"/>
        <v>6.579999999999999E-3</v>
      </c>
      <c r="BW92">
        <f t="shared" si="35"/>
        <v>5.0200000000000002E-3</v>
      </c>
      <c r="BX92">
        <f t="shared" si="35"/>
        <v>0.01</v>
      </c>
      <c r="BY92">
        <f t="shared" si="35"/>
        <v>7.6899999999999998E-3</v>
      </c>
      <c r="BZ92">
        <f t="shared" si="35"/>
        <v>3.0050000000000003E-3</v>
      </c>
      <c r="CA92">
        <f t="shared" si="35"/>
        <v>5.1900000000000002E-3</v>
      </c>
      <c r="CB92">
        <f t="shared" si="35"/>
        <v>1.2620000000000001E-2</v>
      </c>
      <c r="CC92">
        <f t="shared" si="35"/>
        <v>9.0100000000000006E-3</v>
      </c>
      <c r="CD92">
        <f t="shared" si="35"/>
        <v>1.4450000000000001E-2</v>
      </c>
      <c r="CE92">
        <f t="shared" si="35"/>
        <v>1.473E-2</v>
      </c>
      <c r="CF92">
        <f t="shared" si="35"/>
        <v>1.1900000000000001E-3</v>
      </c>
      <c r="CG92">
        <f t="shared" si="35"/>
        <v>1.384E-2</v>
      </c>
      <c r="CH92">
        <f t="shared" si="35"/>
        <v>1.0449999999999999E-2</v>
      </c>
      <c r="CI92">
        <f t="shared" si="35"/>
        <v>1.7520000000000001E-2</v>
      </c>
      <c r="CJ92">
        <f t="shared" si="35"/>
        <v>1.1480000000000001E-2</v>
      </c>
      <c r="CK92">
        <f t="shared" si="35"/>
        <v>1.9049999999999997E-2</v>
      </c>
      <c r="CL92">
        <f t="shared" si="35"/>
        <v>1.545E-2</v>
      </c>
      <c r="CM92">
        <f t="shared" si="35"/>
        <v>1.78E-2</v>
      </c>
      <c r="CN92">
        <f t="shared" si="35"/>
        <v>1.8350000000000002E-2</v>
      </c>
      <c r="CO92">
        <f t="shared" si="35"/>
        <v>1.694E-2</v>
      </c>
      <c r="CP92">
        <f t="shared" si="35"/>
        <v>1.6629999999999999E-2</v>
      </c>
      <c r="CQ92">
        <f t="shared" si="35"/>
        <v>2.8080000000000001E-2</v>
      </c>
      <c r="CR92">
        <f t="shared" si="35"/>
        <v>3.1530000000000002E-2</v>
      </c>
      <c r="CS92">
        <f t="shared" si="35"/>
        <v>2.1940000000000001E-2</v>
      </c>
      <c r="CT92">
        <f t="shared" si="35"/>
        <v>4.2459999999999998E-2</v>
      </c>
      <c r="CU92">
        <f t="shared" si="35"/>
        <v>3.7905999999999995E-2</v>
      </c>
      <c r="CV92">
        <f t="shared" si="35"/>
        <v>3.9333E-2</v>
      </c>
      <c r="CW92">
        <f t="shared" si="35"/>
        <v>4.0184999999999998E-2</v>
      </c>
      <c r="CX92">
        <f t="shared" si="35"/>
        <v>4.2647000000000004E-2</v>
      </c>
    </row>
    <row r="93" spans="1:102" x14ac:dyDescent="0.2">
      <c r="A93" t="s">
        <v>215</v>
      </c>
      <c r="B93" t="s">
        <v>220</v>
      </c>
      <c r="C93" t="s">
        <v>222</v>
      </c>
      <c r="D93">
        <f t="shared" ref="D93:BO93" si="36">D76+D84</f>
        <v>-1.8200000000000004E-2</v>
      </c>
      <c r="E93">
        <f t="shared" si="36"/>
        <v>-2.7299999999999998E-2</v>
      </c>
      <c r="F93">
        <f t="shared" si="36"/>
        <v>-2.5100000000000001E-2</v>
      </c>
      <c r="G93">
        <f t="shared" si="36"/>
        <v>-6.0999999999999999E-2</v>
      </c>
      <c r="H93">
        <f t="shared" si="36"/>
        <v>-4.2000000000000023E-3</v>
      </c>
      <c r="I93">
        <f t="shared" si="36"/>
        <v>-2.0999999999999977E-3</v>
      </c>
      <c r="J93">
        <f t="shared" si="36"/>
        <v>-2.7400000000000001E-2</v>
      </c>
      <c r="K93">
        <f t="shared" si="36"/>
        <v>-2.75E-2</v>
      </c>
      <c r="L93">
        <f t="shared" si="36"/>
        <v>-2.9599999999999998E-2</v>
      </c>
      <c r="M93">
        <f t="shared" si="36"/>
        <v>-1.9200000000000002E-2</v>
      </c>
      <c r="N93">
        <f t="shared" si="36"/>
        <v>-6.4999999999999988E-3</v>
      </c>
      <c r="O93">
        <f t="shared" si="36"/>
        <v>-1.0999999999999999E-2</v>
      </c>
      <c r="P93">
        <f t="shared" si="36"/>
        <v>1.9000000000000006E-3</v>
      </c>
      <c r="Q93">
        <f t="shared" si="36"/>
        <v>3.8300000000000009E-3</v>
      </c>
      <c r="R93">
        <f t="shared" si="36"/>
        <v>9.7900000000000001E-3</v>
      </c>
      <c r="S93">
        <f t="shared" si="36"/>
        <v>7.1869999999999998E-3</v>
      </c>
      <c r="T93">
        <f t="shared" si="36"/>
        <v>9.1800000000000007E-3</v>
      </c>
      <c r="U93">
        <f t="shared" si="36"/>
        <v>5.5100000000000001E-3</v>
      </c>
      <c r="V93">
        <f t="shared" si="36"/>
        <v>5.9360000000000003E-3</v>
      </c>
      <c r="W93">
        <f t="shared" si="36"/>
        <v>3.2799999999999999E-3</v>
      </c>
      <c r="X93">
        <f t="shared" si="36"/>
        <v>3.2800000000000004E-3</v>
      </c>
      <c r="Y93">
        <f t="shared" si="36"/>
        <v>1.9699999999999995E-3</v>
      </c>
      <c r="Z93">
        <f t="shared" si="36"/>
        <v>5.8539999999999998E-3</v>
      </c>
      <c r="AA93">
        <f t="shared" si="36"/>
        <v>4.8850000000000005E-3</v>
      </c>
      <c r="AB93">
        <f t="shared" si="36"/>
        <v>5.9789999999999999E-3</v>
      </c>
      <c r="AC93">
        <f t="shared" si="36"/>
        <v>5.8810000000000008E-3</v>
      </c>
      <c r="AD93">
        <f t="shared" si="36"/>
        <v>7.6600000000000001E-3</v>
      </c>
      <c r="AE93">
        <f t="shared" si="36"/>
        <v>8.7600000000000004E-3</v>
      </c>
      <c r="AF93">
        <f t="shared" si="36"/>
        <v>6.9199999999999991E-3</v>
      </c>
      <c r="AG93">
        <f t="shared" si="36"/>
        <v>7.2399999999999999E-3</v>
      </c>
      <c r="AH93">
        <f t="shared" si="36"/>
        <v>7.9799999999999992E-3</v>
      </c>
      <c r="AI93">
        <f t="shared" si="36"/>
        <v>7.5799999999999999E-3</v>
      </c>
      <c r="AJ93">
        <f t="shared" si="36"/>
        <v>6.4100000000000008E-3</v>
      </c>
      <c r="AK93">
        <f t="shared" si="36"/>
        <v>9.4799999999999988E-3</v>
      </c>
      <c r="AL93">
        <f t="shared" si="36"/>
        <v>8.4700000000000001E-3</v>
      </c>
      <c r="AM93">
        <f t="shared" si="36"/>
        <v>7.4700000000000001E-3</v>
      </c>
      <c r="AN93">
        <f t="shared" si="36"/>
        <v>5.77E-3</v>
      </c>
      <c r="AO93">
        <f t="shared" si="36"/>
        <v>7.5300000000000002E-3</v>
      </c>
      <c r="AP93">
        <f t="shared" si="36"/>
        <v>7.1500000000000001E-3</v>
      </c>
      <c r="AQ93">
        <f t="shared" si="36"/>
        <v>8.4399999999999996E-3</v>
      </c>
      <c r="AR93">
        <f t="shared" si="36"/>
        <v>1.3100000000000001E-2</v>
      </c>
      <c r="AS93">
        <f t="shared" si="36"/>
        <v>7.4000000000000003E-3</v>
      </c>
      <c r="AT93">
        <f t="shared" si="36"/>
        <v>8.150000000000001E-3</v>
      </c>
      <c r="AU93">
        <f t="shared" si="36"/>
        <v>9.7999999999999997E-3</v>
      </c>
      <c r="AV93">
        <f t="shared" si="36"/>
        <v>1.155E-2</v>
      </c>
      <c r="AW93">
        <f t="shared" si="36"/>
        <v>1.133E-2</v>
      </c>
      <c r="AX93">
        <f t="shared" si="36"/>
        <v>8.4599999999999988E-3</v>
      </c>
      <c r="AY93">
        <f t="shared" si="36"/>
        <v>8.8699999999999994E-3</v>
      </c>
      <c r="AZ93">
        <f t="shared" si="36"/>
        <v>6.7600000000000004E-3</v>
      </c>
      <c r="BA93">
        <f t="shared" si="36"/>
        <v>3.7009999999999999E-3</v>
      </c>
      <c r="BB93">
        <f t="shared" si="36"/>
        <v>1.7299999999999998E-3</v>
      </c>
      <c r="BC93">
        <f t="shared" si="36"/>
        <v>2.0299999999999997E-3</v>
      </c>
      <c r="BD93">
        <f t="shared" si="36"/>
        <v>3.2699999999999999E-3</v>
      </c>
      <c r="BE93">
        <f t="shared" si="36"/>
        <v>3.7999999999999996E-3</v>
      </c>
      <c r="BF93">
        <f t="shared" si="36"/>
        <v>4.241E-3</v>
      </c>
      <c r="BG93">
        <f t="shared" si="36"/>
        <v>5.1879999999999999E-3</v>
      </c>
      <c r="BH93">
        <f t="shared" si="36"/>
        <v>5.2630000000000003E-3</v>
      </c>
      <c r="BI93">
        <f t="shared" si="36"/>
        <v>-9.1999999999999981E-4</v>
      </c>
      <c r="BJ93">
        <f t="shared" si="36"/>
        <v>-2.1700000000000001E-3</v>
      </c>
      <c r="BK93">
        <f t="shared" si="36"/>
        <v>-1.2999999999999991E-4</v>
      </c>
      <c r="BL93">
        <f t="shared" si="36"/>
        <v>8.1999999999999998E-4</v>
      </c>
      <c r="BM93">
        <f t="shared" si="36"/>
        <v>1.6599999999999996E-3</v>
      </c>
      <c r="BN93">
        <f t="shared" si="36"/>
        <v>-7.3000000000000061E-4</v>
      </c>
      <c r="BO93">
        <f t="shared" si="36"/>
        <v>-5.1800000000000006E-3</v>
      </c>
      <c r="BP93">
        <f t="shared" ref="BP93:CX93" si="37">BP76+BP84</f>
        <v>-4.5999999999999999E-3</v>
      </c>
      <c r="BQ93">
        <f t="shared" si="37"/>
        <v>-4.0400000000000002E-3</v>
      </c>
      <c r="BR93">
        <f t="shared" si="37"/>
        <v>-4.0100000000000005E-3</v>
      </c>
      <c r="BS93">
        <f t="shared" si="37"/>
        <v>-1.5300000000000001E-3</v>
      </c>
      <c r="BT93">
        <f t="shared" si="37"/>
        <v>2.2100000000000002E-3</v>
      </c>
      <c r="BU93">
        <f t="shared" si="37"/>
        <v>1.34E-3</v>
      </c>
      <c r="BV93">
        <f t="shared" si="37"/>
        <v>-4.4999999999999988E-4</v>
      </c>
      <c r="BW93">
        <f t="shared" si="37"/>
        <v>-7.8000000000000031E-4</v>
      </c>
      <c r="BX93">
        <f t="shared" si="37"/>
        <v>-5.9299999999999995E-3</v>
      </c>
      <c r="BY93">
        <f t="shared" si="37"/>
        <v>-6.6399999999999992E-3</v>
      </c>
      <c r="BZ93">
        <f t="shared" si="37"/>
        <v>-7.7299999999999999E-3</v>
      </c>
      <c r="CA93">
        <f t="shared" si="37"/>
        <v>5.5100000000000001E-3</v>
      </c>
      <c r="CB93">
        <f t="shared" si="37"/>
        <v>7.2200000000000007E-3</v>
      </c>
      <c r="CC93">
        <f t="shared" si="37"/>
        <v>1.1050000000000001E-2</v>
      </c>
      <c r="CD93">
        <f t="shared" si="37"/>
        <v>1.0409999999999999E-2</v>
      </c>
      <c r="CE93">
        <f t="shared" si="37"/>
        <v>1.08185E-2</v>
      </c>
      <c r="CF93">
        <f t="shared" si="37"/>
        <v>1.021E-2</v>
      </c>
      <c r="CG93">
        <f t="shared" si="37"/>
        <v>8.5649999999999997E-3</v>
      </c>
      <c r="CH93">
        <f t="shared" si="37"/>
        <v>6.7359999999999998E-3</v>
      </c>
      <c r="CI93">
        <f t="shared" si="37"/>
        <v>8.2410000000000001E-3</v>
      </c>
      <c r="CJ93">
        <f t="shared" si="37"/>
        <v>1.299E-2</v>
      </c>
      <c r="CK93">
        <f t="shared" si="37"/>
        <v>1.814E-2</v>
      </c>
      <c r="CL93">
        <f t="shared" si="37"/>
        <v>1.2900000000000002E-2</v>
      </c>
      <c r="CM93">
        <f t="shared" si="37"/>
        <v>2.5699999999999994E-3</v>
      </c>
      <c r="CN93">
        <f t="shared" si="37"/>
        <v>-9.6999999999999951E-4</v>
      </c>
      <c r="CO93">
        <f t="shared" si="37"/>
        <v>-9.7000000000000003E-3</v>
      </c>
      <c r="CP93">
        <f t="shared" si="37"/>
        <v>-7.980000000000001E-3</v>
      </c>
      <c r="CQ93">
        <f t="shared" si="37"/>
        <v>-6.7499999999999999E-3</v>
      </c>
      <c r="CR93">
        <f t="shared" si="37"/>
        <v>-2.18E-2</v>
      </c>
      <c r="CS93">
        <f t="shared" si="37"/>
        <v>-1.7680000000000001E-2</v>
      </c>
      <c r="CT93">
        <f t="shared" si="37"/>
        <v>-1.95E-2</v>
      </c>
      <c r="CU93">
        <f t="shared" si="37"/>
        <v>-1.8079999999999999E-2</v>
      </c>
      <c r="CV93">
        <f t="shared" si="37"/>
        <v>-1.013E-2</v>
      </c>
      <c r="CW93">
        <f t="shared" si="37"/>
        <v>-1.881E-2</v>
      </c>
      <c r="CX93">
        <f t="shared" si="37"/>
        <v>-2.179E-2</v>
      </c>
    </row>
    <row r="94" spans="1:102" x14ac:dyDescent="0.2">
      <c r="A94" t="s">
        <v>216</v>
      </c>
      <c r="B94" t="s">
        <v>220</v>
      </c>
      <c r="C94" t="s">
        <v>222</v>
      </c>
      <c r="D94">
        <f>D85</f>
        <v>0.22700000000000001</v>
      </c>
      <c r="E94">
        <f t="shared" ref="E94:BP94" si="38">E85</f>
        <v>-0.33300000000000002</v>
      </c>
      <c r="F94">
        <f t="shared" si="38"/>
        <v>-0.68</v>
      </c>
      <c r="G94">
        <f t="shared" si="38"/>
        <v>0.36099999999999999</v>
      </c>
      <c r="H94">
        <f t="shared" si="38"/>
        <v>-0.93</v>
      </c>
      <c r="I94">
        <f t="shared" si="38"/>
        <v>-7.22E-2</v>
      </c>
      <c r="J94">
        <f t="shared" si="38"/>
        <v>-0.375</v>
      </c>
      <c r="K94">
        <f t="shared" si="38"/>
        <v>-0.27</v>
      </c>
      <c r="L94">
        <f t="shared" si="38"/>
        <v>-2.4899999999999999E-2</v>
      </c>
      <c r="M94">
        <f t="shared" si="38"/>
        <v>-0.53100000000000003</v>
      </c>
      <c r="N94">
        <f t="shared" si="38"/>
        <v>-0.43099999999999999</v>
      </c>
      <c r="O94">
        <f t="shared" si="38"/>
        <v>0.183</v>
      </c>
      <c r="P94">
        <f t="shared" si="38"/>
        <v>-4.3400000000000001E-2</v>
      </c>
      <c r="Q94">
        <f t="shared" si="38"/>
        <v>-4.7100000000000003E-2</v>
      </c>
      <c r="R94">
        <f t="shared" si="38"/>
        <v>-0.112</v>
      </c>
      <c r="S94">
        <f t="shared" si="38"/>
        <v>-8.6499999999999994E-2</v>
      </c>
      <c r="T94">
        <f t="shared" si="38"/>
        <v>4.6699999999999998E-2</v>
      </c>
      <c r="U94">
        <f t="shared" si="38"/>
        <v>8.4599999999999995E-2</v>
      </c>
      <c r="V94">
        <f t="shared" si="38"/>
        <v>0.13100000000000001</v>
      </c>
      <c r="W94">
        <f t="shared" si="38"/>
        <v>0.11899999999999999</v>
      </c>
      <c r="X94">
        <f t="shared" si="38"/>
        <v>9.7600000000000006E-2</v>
      </c>
      <c r="Y94">
        <f t="shared" si="38"/>
        <v>0.19700000000000001</v>
      </c>
      <c r="Z94">
        <f t="shared" si="38"/>
        <v>0.17799999999999999</v>
      </c>
      <c r="AA94">
        <f t="shared" si="38"/>
        <v>0.13100000000000001</v>
      </c>
      <c r="AB94">
        <f t="shared" si="38"/>
        <v>8.7599999999999997E-2</v>
      </c>
      <c r="AC94">
        <f t="shared" si="38"/>
        <v>6.2600000000000003E-2</v>
      </c>
      <c r="AD94">
        <f t="shared" si="38"/>
        <v>5.3600000000000002E-2</v>
      </c>
      <c r="AE94">
        <f t="shared" si="38"/>
        <v>3.49E-2</v>
      </c>
      <c r="AF94">
        <f t="shared" si="38"/>
        <v>2.2499999999999999E-2</v>
      </c>
      <c r="AG94">
        <f t="shared" si="38"/>
        <v>1.5800000000000002E-2</v>
      </c>
      <c r="AH94">
        <f t="shared" si="38"/>
        <v>-2.02E-4</v>
      </c>
      <c r="AI94">
        <f t="shared" si="38"/>
        <v>-8.1600000000000006E-3</v>
      </c>
      <c r="AJ94">
        <f t="shared" si="38"/>
        <v>-2.6599999999999999E-2</v>
      </c>
      <c r="AK94">
        <f t="shared" si="38"/>
        <v>-4.3799999999999999E-2</v>
      </c>
      <c r="AL94">
        <f t="shared" si="38"/>
        <v>-5.8000000000000003E-2</v>
      </c>
      <c r="AM94">
        <f t="shared" si="38"/>
        <v>-5.5800000000000002E-2</v>
      </c>
      <c r="AN94">
        <f t="shared" si="38"/>
        <v>-4.3999999999999997E-2</v>
      </c>
      <c r="AO94">
        <f t="shared" si="38"/>
        <v>-4.6100000000000002E-2</v>
      </c>
      <c r="AP94">
        <f t="shared" si="38"/>
        <v>-6.2100000000000002E-2</v>
      </c>
      <c r="AQ94">
        <f t="shared" si="38"/>
        <v>-4.5699999999999998E-2</v>
      </c>
      <c r="AR94">
        <f t="shared" si="38"/>
        <v>-4.7899999999999998E-2</v>
      </c>
      <c r="AS94">
        <f t="shared" si="38"/>
        <v>-7.0699999999999999E-3</v>
      </c>
      <c r="AT94">
        <f t="shared" si="38"/>
        <v>-8.5800000000000008E-3</v>
      </c>
      <c r="AU94">
        <f t="shared" si="38"/>
        <v>-3.6800000000000001E-3</v>
      </c>
      <c r="AV94">
        <f t="shared" si="38"/>
        <v>-4.2299999999999997E-2</v>
      </c>
      <c r="AW94">
        <f t="shared" si="38"/>
        <v>-4.7699999999999999E-2</v>
      </c>
      <c r="AX94">
        <f t="shared" si="38"/>
        <v>-5.0799999999999998E-2</v>
      </c>
      <c r="AY94">
        <f t="shared" si="38"/>
        <v>-1.1299999999999999E-2</v>
      </c>
      <c r="AZ94">
        <f t="shared" si="38"/>
        <v>-1.49E-2</v>
      </c>
      <c r="BA94">
        <f t="shared" si="38"/>
        <v>1.5299999999999999E-2</v>
      </c>
      <c r="BB94">
        <f t="shared" si="38"/>
        <v>2.9100000000000001E-2</v>
      </c>
      <c r="BC94">
        <f t="shared" si="38"/>
        <v>5.8099999999999999E-2</v>
      </c>
      <c r="BD94">
        <f t="shared" si="38"/>
        <v>6.3899999999999998E-2</v>
      </c>
      <c r="BE94">
        <f t="shared" si="38"/>
        <v>7.4300000000000005E-2</v>
      </c>
      <c r="BF94">
        <f t="shared" si="38"/>
        <v>6.9000000000000006E-2</v>
      </c>
      <c r="BG94">
        <f t="shared" si="38"/>
        <v>3.7199999999999997E-2</v>
      </c>
      <c r="BH94">
        <f t="shared" si="38"/>
        <v>-4.1900000000000001E-3</v>
      </c>
      <c r="BI94">
        <f t="shared" si="38"/>
        <v>-3.6299999999999999E-2</v>
      </c>
      <c r="BJ94">
        <f t="shared" si="38"/>
        <v>-5.91E-2</v>
      </c>
      <c r="BK94">
        <f t="shared" si="38"/>
        <v>-6.7199999999999996E-2</v>
      </c>
      <c r="BL94">
        <f t="shared" si="38"/>
        <v>-4.1700000000000001E-2</v>
      </c>
      <c r="BM94">
        <f t="shared" si="38"/>
        <v>-3.0800000000000001E-2</v>
      </c>
      <c r="BN94">
        <f t="shared" si="38"/>
        <v>7.7600000000000004E-3</v>
      </c>
      <c r="BO94">
        <f t="shared" si="38"/>
        <v>0.10100000000000001</v>
      </c>
      <c r="BP94">
        <f t="shared" si="38"/>
        <v>0.183</v>
      </c>
      <c r="BQ94">
        <f t="shared" ref="BQ94:CX94" si="39">BQ85</f>
        <v>0.17699999999999999</v>
      </c>
      <c r="BR94">
        <f t="shared" si="39"/>
        <v>0.13300000000000001</v>
      </c>
      <c r="BS94">
        <f t="shared" si="39"/>
        <v>0.11700000000000001</v>
      </c>
      <c r="BT94">
        <f t="shared" si="39"/>
        <v>0.114</v>
      </c>
      <c r="BU94">
        <f t="shared" si="39"/>
        <v>4.4999999999999998E-2</v>
      </c>
      <c r="BV94">
        <f t="shared" si="39"/>
        <v>-0.111</v>
      </c>
      <c r="BW94">
        <f t="shared" si="39"/>
        <v>-0.16300000000000001</v>
      </c>
      <c r="BX94">
        <f t="shared" si="39"/>
        <v>-0.104</v>
      </c>
      <c r="BY94">
        <f t="shared" si="39"/>
        <v>-3.2500000000000001E-2</v>
      </c>
      <c r="BZ94">
        <f t="shared" si="39"/>
        <v>3.0300000000000001E-3</v>
      </c>
      <c r="CA94">
        <f t="shared" si="39"/>
        <v>-1.0999999999999999E-2</v>
      </c>
      <c r="CB94">
        <f t="shared" si="39"/>
        <v>-6.8199999999999997E-3</v>
      </c>
      <c r="CC94">
        <f t="shared" si="39"/>
        <v>1.38E-2</v>
      </c>
      <c r="CD94">
        <f t="shared" si="39"/>
        <v>9.9400000000000002E-2</v>
      </c>
      <c r="CE94">
        <f t="shared" si="39"/>
        <v>0.188</v>
      </c>
      <c r="CF94">
        <f t="shared" si="39"/>
        <v>0.20899999999999999</v>
      </c>
      <c r="CG94">
        <f t="shared" si="39"/>
        <v>0.126</v>
      </c>
      <c r="CH94">
        <f t="shared" si="39"/>
        <v>-7.5399999999999995E-2</v>
      </c>
      <c r="CI94">
        <f t="shared" si="39"/>
        <v>-0.17100000000000001</v>
      </c>
      <c r="CJ94">
        <f t="shared" si="39"/>
        <v>-0.158</v>
      </c>
      <c r="CK94">
        <f t="shared" si="39"/>
        <v>0.19800000000000001</v>
      </c>
      <c r="CL94">
        <f t="shared" si="39"/>
        <v>0.26100000000000001</v>
      </c>
      <c r="CM94">
        <f t="shared" si="39"/>
        <v>0.20100000000000001</v>
      </c>
      <c r="CN94">
        <f t="shared" si="39"/>
        <v>0.106</v>
      </c>
      <c r="CO94">
        <f t="shared" si="39"/>
        <v>0.11700000000000001</v>
      </c>
      <c r="CP94">
        <f t="shared" si="39"/>
        <v>0.18099999999999999</v>
      </c>
      <c r="CQ94">
        <f t="shared" si="39"/>
        <v>0.28399999999999997</v>
      </c>
      <c r="CR94">
        <f t="shared" si="39"/>
        <v>0.14099999999999999</v>
      </c>
      <c r="CS94">
        <f t="shared" si="39"/>
        <v>4.1599999999999996E-3</v>
      </c>
      <c r="CT94">
        <f t="shared" si="39"/>
        <v>9.4899999999999998E-2</v>
      </c>
      <c r="CU94">
        <f t="shared" si="39"/>
        <v>-8.0199999999999994E-3</v>
      </c>
      <c r="CV94">
        <f t="shared" si="39"/>
        <v>0.34200000000000003</v>
      </c>
      <c r="CW94">
        <f t="shared" si="39"/>
        <v>-7.9399999999999991E-3</v>
      </c>
      <c r="CX94">
        <f t="shared" si="39"/>
        <v>3.6700000000000003E-2</v>
      </c>
    </row>
    <row r="95" spans="1:102" x14ac:dyDescent="0.2">
      <c r="A95" t="s">
        <v>203</v>
      </c>
      <c r="B95" t="s">
        <v>217</v>
      </c>
      <c r="C95" t="s">
        <v>223</v>
      </c>
      <c r="D95">
        <f>'2020_2021_efet'!B2</f>
        <v>2.3599999999999999E-2</v>
      </c>
      <c r="E95">
        <f>'2020_2021_efet'!C2</f>
        <v>9.4899999999999998E-2</v>
      </c>
      <c r="F95">
        <f>'2020_2021_efet'!D2</f>
        <v>0.16600000000000001</v>
      </c>
      <c r="G95">
        <f>'2020_2021_efet'!E2</f>
        <v>0.371</v>
      </c>
      <c r="H95">
        <f>'2020_2021_efet'!F2</f>
        <v>0.66</v>
      </c>
      <c r="I95">
        <f>'2020_2021_efet'!G2</f>
        <v>0.84099999999999997</v>
      </c>
      <c r="J95">
        <f>'2020_2021_efet'!H2</f>
        <v>0.97299999999999998</v>
      </c>
      <c r="K95">
        <f>'2020_2021_efet'!I2</f>
        <v>1.0669999999999999</v>
      </c>
      <c r="L95">
        <f>'2020_2021_efet'!J2</f>
        <v>1.1779999999999999</v>
      </c>
      <c r="M95">
        <f>'2020_2021_efet'!K2</f>
        <v>1.248</v>
      </c>
      <c r="N95">
        <f>'2020_2021_efet'!L2</f>
        <v>1.3540000000000001</v>
      </c>
      <c r="O95">
        <f>'2020_2021_efet'!M2</f>
        <v>1.401</v>
      </c>
      <c r="P95">
        <f>'2020_2021_efet'!N2</f>
        <v>1.4730000000000001</v>
      </c>
      <c r="Q95">
        <f>'2020_2021_efet'!O2</f>
        <v>1.5409999999999999</v>
      </c>
      <c r="R95">
        <f>'2020_2021_efet'!P2</f>
        <v>1.5389999999999999</v>
      </c>
      <c r="S95">
        <f>'2020_2021_efet'!Q2</f>
        <v>1.619</v>
      </c>
      <c r="T95">
        <f>'2020_2021_efet'!R2</f>
        <v>1.661</v>
      </c>
      <c r="U95">
        <f>'2020_2021_efet'!S2</f>
        <v>1.6719999999999999</v>
      </c>
      <c r="V95">
        <f>'2020_2021_efet'!T2</f>
        <v>1.7070000000000001</v>
      </c>
      <c r="W95">
        <f>'2020_2021_efet'!U2</f>
        <v>1.7549999999999999</v>
      </c>
      <c r="X95">
        <f>'2020_2021_efet'!V2</f>
        <v>1.768</v>
      </c>
      <c r="Y95">
        <f>'2020_2021_efet'!W2</f>
        <v>1.7569999999999999</v>
      </c>
      <c r="Z95">
        <f>'2020_2021_efet'!X2</f>
        <v>1.7589999999999999</v>
      </c>
      <c r="AA95">
        <f>'2020_2021_efet'!Y2</f>
        <v>1.758</v>
      </c>
      <c r="AB95">
        <f>'2020_2021_efet'!Z2</f>
        <v>1.798</v>
      </c>
      <c r="AC95">
        <f>'2020_2021_efet'!AA2</f>
        <v>1.8029999999999999</v>
      </c>
      <c r="AD95">
        <f>'2020_2021_efet'!AB2</f>
        <v>1.837</v>
      </c>
      <c r="AE95">
        <f>'2020_2021_efet'!AC2</f>
        <v>1.845</v>
      </c>
      <c r="AF95">
        <f>'2020_2021_efet'!AD2</f>
        <v>1.859</v>
      </c>
      <c r="AG95">
        <f>'2020_2021_efet'!AE2</f>
        <v>1.853</v>
      </c>
      <c r="AH95">
        <f>'2020_2021_efet'!AF2</f>
        <v>1.855</v>
      </c>
      <c r="AI95">
        <f>'2020_2021_efet'!AG2</f>
        <v>1.9019999999999999</v>
      </c>
      <c r="AJ95">
        <f>'2020_2021_efet'!AH2</f>
        <v>1.925</v>
      </c>
      <c r="AK95">
        <f>'2020_2021_efet'!AI2</f>
        <v>1.9470000000000001</v>
      </c>
      <c r="AL95">
        <f>'2020_2021_efet'!AJ2</f>
        <v>1.9410000000000001</v>
      </c>
      <c r="AM95">
        <f>'2020_2021_efet'!AK2</f>
        <v>1.9610000000000001</v>
      </c>
      <c r="AN95">
        <f>'2020_2021_efet'!AL2</f>
        <v>1.9870000000000001</v>
      </c>
      <c r="AO95">
        <f>'2020_2021_efet'!AM2</f>
        <v>2.02</v>
      </c>
      <c r="AP95">
        <f>'2020_2021_efet'!AN2</f>
        <v>2.0459999999999998</v>
      </c>
      <c r="AQ95">
        <f>'2020_2021_efet'!AO2</f>
        <v>2.0459999999999998</v>
      </c>
      <c r="AR95">
        <f>'2020_2021_efet'!AP2</f>
        <v>2.0680000000000001</v>
      </c>
      <c r="AS95">
        <f>'2020_2021_efet'!AQ2</f>
        <v>2.081</v>
      </c>
      <c r="AT95">
        <f>'2020_2021_efet'!AR2</f>
        <v>2.0950000000000002</v>
      </c>
      <c r="AU95">
        <f>'2020_2021_efet'!AS2</f>
        <v>2.1320000000000001</v>
      </c>
      <c r="AV95">
        <f>'2020_2021_efet'!AT2</f>
        <v>2.14</v>
      </c>
      <c r="AW95">
        <f>'2020_2021_efet'!AU2</f>
        <v>2.165</v>
      </c>
      <c r="AX95">
        <f>'2020_2021_efet'!AV2</f>
        <v>2.1629999999999998</v>
      </c>
      <c r="AY95">
        <f>'2020_2021_efet'!AW2</f>
        <v>2.1680000000000001</v>
      </c>
      <c r="AZ95">
        <f>'2020_2021_efet'!AX2</f>
        <v>2.2160000000000002</v>
      </c>
      <c r="BA95">
        <f>'2020_2021_efet'!AY2</f>
        <v>2.2269999999999999</v>
      </c>
      <c r="BB95">
        <f>'2020_2021_efet'!AZ2</f>
        <v>2.2320000000000002</v>
      </c>
      <c r="BC95">
        <f>'2020_2021_efet'!BA2</f>
        <v>2.2650000000000001</v>
      </c>
      <c r="BD95">
        <f>'2020_2021_efet'!BB2</f>
        <v>2.2759999999999998</v>
      </c>
      <c r="BE95">
        <f>'2020_2021_efet'!BC2</f>
        <v>2.3119999999999998</v>
      </c>
      <c r="BF95">
        <f>'2020_2021_efet'!BD2</f>
        <v>2.3490000000000002</v>
      </c>
      <c r="BG95">
        <f>'2020_2021_efet'!BE2</f>
        <v>2.3580000000000001</v>
      </c>
      <c r="BH95">
        <f>'2020_2021_efet'!BF2</f>
        <v>2.3580000000000001</v>
      </c>
      <c r="BI95">
        <f>'2020_2021_efet'!BG2</f>
        <v>2.399</v>
      </c>
      <c r="BJ95">
        <f>'2020_2021_efet'!BH2</f>
        <v>2.448</v>
      </c>
      <c r="BK95">
        <f>'2020_2021_efet'!BI2</f>
        <v>2.4620000000000002</v>
      </c>
      <c r="BL95">
        <f>'2020_2021_efet'!BJ2</f>
        <v>2.4529999999999998</v>
      </c>
      <c r="BM95">
        <f>'2020_2021_efet'!BK2</f>
        <v>2.456</v>
      </c>
      <c r="BN95">
        <f>'2020_2021_efet'!BL2</f>
        <v>2.4540000000000002</v>
      </c>
      <c r="BO95">
        <f>'2020_2021_efet'!BM2</f>
        <v>2.4950000000000001</v>
      </c>
      <c r="BP95">
        <f>'2020_2021_efet'!BN2</f>
        <v>2.5369999999999999</v>
      </c>
      <c r="BQ95">
        <f>'2020_2021_efet'!BO2</f>
        <v>2.556</v>
      </c>
      <c r="BR95">
        <f>'2020_2021_efet'!BP2</f>
        <v>2.5790000000000002</v>
      </c>
      <c r="BS95">
        <f>'2020_2021_efet'!BQ2</f>
        <v>2.605</v>
      </c>
      <c r="BT95">
        <f>'2020_2021_efet'!BR2</f>
        <v>2.633</v>
      </c>
      <c r="BU95">
        <f>'2020_2021_efet'!BS2</f>
        <v>2.681</v>
      </c>
      <c r="BV95">
        <f>'2020_2021_efet'!BT2</f>
        <v>2.6760000000000002</v>
      </c>
      <c r="BW95">
        <f>'2020_2021_efet'!BU2</f>
        <v>2.738</v>
      </c>
      <c r="BX95">
        <f>'2020_2021_efet'!BV2</f>
        <v>2.7629999999999999</v>
      </c>
      <c r="BY95">
        <f>'2020_2021_efet'!BW2</f>
        <v>2.778</v>
      </c>
      <c r="BZ95">
        <f>'2020_2021_efet'!BX2</f>
        <v>2.8239999999999998</v>
      </c>
      <c r="CA95">
        <f>'2020_2021_efet'!BY2</f>
        <v>2.8660000000000001</v>
      </c>
      <c r="CB95">
        <f>'2020_2021_efet'!BZ2</f>
        <v>2.8559999999999999</v>
      </c>
      <c r="CC95">
        <f>'2020_2021_efet'!CA2</f>
        <v>2.899</v>
      </c>
      <c r="CD95">
        <f>'2020_2021_efet'!CB2</f>
        <v>2.9350000000000001</v>
      </c>
      <c r="CE95">
        <f>'2020_2021_efet'!CC2</f>
        <v>2.972</v>
      </c>
      <c r="CF95">
        <f>'2020_2021_efet'!CD2</f>
        <v>3.0259999999999998</v>
      </c>
      <c r="CG95">
        <f>'2020_2021_efet'!CE2</f>
        <v>3.0739999999999998</v>
      </c>
      <c r="CH95">
        <f>'2020_2021_efet'!CF2</f>
        <v>3.15</v>
      </c>
      <c r="CI95">
        <f>'2020_2021_efet'!CG2</f>
        <v>3.1440000000000001</v>
      </c>
      <c r="CJ95">
        <f>'2020_2021_efet'!CH2</f>
        <v>3.181</v>
      </c>
      <c r="CK95">
        <f>'2020_2021_efet'!CI2</f>
        <v>3.25</v>
      </c>
      <c r="CL95">
        <f>'2020_2021_efet'!CJ2</f>
        <v>3.3</v>
      </c>
      <c r="CM95">
        <f>'2020_2021_efet'!CK2</f>
        <v>3.3780000000000001</v>
      </c>
      <c r="CN95">
        <f>'2020_2021_efet'!CL2</f>
        <v>3.3959999999999999</v>
      </c>
      <c r="CO95">
        <f>'2020_2021_efet'!CM2</f>
        <v>3.464</v>
      </c>
      <c r="CP95">
        <f>'2020_2021_efet'!CN2</f>
        <v>3.5489999999999999</v>
      </c>
      <c r="CQ95">
        <f>'2020_2021_efet'!CO2</f>
        <v>3.6280000000000001</v>
      </c>
      <c r="CR95">
        <f>'2020_2021_efet'!CP2</f>
        <v>3.7040000000000002</v>
      </c>
      <c r="CS95">
        <f>'2020_2021_efet'!CQ2</f>
        <v>3.8559999999999999</v>
      </c>
      <c r="CT95">
        <f>'2020_2021_efet'!CR2</f>
        <v>3.9550000000000001</v>
      </c>
      <c r="CU95">
        <f>'2020_2021_efet'!CS2</f>
        <v>4.0620000000000003</v>
      </c>
      <c r="CV95">
        <f>'2020_2021_efet'!CT2</f>
        <v>4.2830000000000004</v>
      </c>
      <c r="CW95">
        <f>'2020_2021_efet'!CU2</f>
        <v>4.53</v>
      </c>
      <c r="CX95">
        <f>'2020_2021_efet'!CV2</f>
        <v>4.8639999999999999</v>
      </c>
    </row>
    <row r="96" spans="1:102" x14ac:dyDescent="0.2">
      <c r="A96" t="s">
        <v>204</v>
      </c>
      <c r="B96" t="s">
        <v>217</v>
      </c>
      <c r="C96" t="s">
        <v>223</v>
      </c>
      <c r="D96">
        <f>'2020_2021_efet'!B3</f>
        <v>2.0500000000000001E-2</v>
      </c>
      <c r="E96">
        <f>'2020_2021_efet'!C3</f>
        <v>8.8400000000000006E-2</v>
      </c>
      <c r="F96">
        <f>'2020_2021_efet'!D3</f>
        <v>0.156</v>
      </c>
      <c r="G96">
        <f>'2020_2021_efet'!E3</f>
        <v>0.28499999999999998</v>
      </c>
      <c r="H96">
        <f>'2020_2021_efet'!F3</f>
        <v>0.60299999999999998</v>
      </c>
      <c r="I96">
        <f>'2020_2021_efet'!G3</f>
        <v>0.82199999999999995</v>
      </c>
      <c r="J96">
        <f>'2020_2021_efet'!H3</f>
        <v>0.90800000000000003</v>
      </c>
      <c r="K96">
        <f>'2020_2021_efet'!I3</f>
        <v>1.107</v>
      </c>
      <c r="L96">
        <f>'2020_2021_efet'!J3</f>
        <v>1.173</v>
      </c>
      <c r="M96">
        <f>'2020_2021_efet'!K3</f>
        <v>1.29</v>
      </c>
      <c r="N96">
        <f>'2020_2021_efet'!L3</f>
        <v>1.3540000000000001</v>
      </c>
      <c r="O96">
        <f>'2020_2021_efet'!M3</f>
        <v>1.411</v>
      </c>
      <c r="P96">
        <f>'2020_2021_efet'!N3</f>
        <v>1.4870000000000001</v>
      </c>
      <c r="Q96">
        <f>'2020_2021_efet'!O3</f>
        <v>1.5780000000000001</v>
      </c>
      <c r="R96">
        <f>'2020_2021_efet'!P3</f>
        <v>1.5880000000000001</v>
      </c>
      <c r="S96">
        <f>'2020_2021_efet'!Q3</f>
        <v>1.619</v>
      </c>
      <c r="T96">
        <f>'2020_2021_efet'!R3</f>
        <v>1.6619999999999999</v>
      </c>
      <c r="U96">
        <f>'2020_2021_efet'!S3</f>
        <v>1.6990000000000001</v>
      </c>
      <c r="V96">
        <f>'2020_2021_efet'!T3</f>
        <v>1.7170000000000001</v>
      </c>
      <c r="W96">
        <f>'2020_2021_efet'!U3</f>
        <v>1.748</v>
      </c>
      <c r="X96">
        <f>'2020_2021_efet'!V3</f>
        <v>1.7569999999999999</v>
      </c>
      <c r="Y96">
        <f>'2020_2021_efet'!W3</f>
        <v>1.796</v>
      </c>
      <c r="Z96">
        <f>'2020_2021_efet'!X3</f>
        <v>1.802</v>
      </c>
      <c r="AA96">
        <f>'2020_2021_efet'!Y3</f>
        <v>1.804</v>
      </c>
      <c r="AB96">
        <f>'2020_2021_efet'!Z3</f>
        <v>1.8089999999999999</v>
      </c>
      <c r="AC96">
        <f>'2020_2021_efet'!AA3</f>
        <v>1.8340000000000001</v>
      </c>
      <c r="AD96">
        <f>'2020_2021_efet'!AB3</f>
        <v>1.845</v>
      </c>
      <c r="AE96">
        <f>'2020_2021_efet'!AC3</f>
        <v>1.8560000000000001</v>
      </c>
      <c r="AF96">
        <f>'2020_2021_efet'!AD3</f>
        <v>1.877</v>
      </c>
      <c r="AG96">
        <f>'2020_2021_efet'!AE3</f>
        <v>1.889</v>
      </c>
      <c r="AH96">
        <f>'2020_2021_efet'!AF3</f>
        <v>1.903</v>
      </c>
      <c r="AI96">
        <f>'2020_2021_efet'!AG3</f>
        <v>1.9419999999999999</v>
      </c>
      <c r="AJ96">
        <f>'2020_2021_efet'!AH3</f>
        <v>1.9690000000000001</v>
      </c>
      <c r="AK96">
        <f>'2020_2021_efet'!AI3</f>
        <v>1.986</v>
      </c>
      <c r="AL96">
        <f>'2020_2021_efet'!AJ3</f>
        <v>1.9870000000000001</v>
      </c>
      <c r="AM96">
        <f>'2020_2021_efet'!AK3</f>
        <v>2.0009999999999999</v>
      </c>
      <c r="AN96">
        <f>'2020_2021_efet'!AL3</f>
        <v>2.0270000000000001</v>
      </c>
      <c r="AO96">
        <f>'2020_2021_efet'!AM3</f>
        <v>2.0499999999999998</v>
      </c>
      <c r="AP96">
        <f>'2020_2021_efet'!AN3</f>
        <v>2.0710000000000002</v>
      </c>
      <c r="AQ96">
        <f>'2020_2021_efet'!AO3</f>
        <v>2.089</v>
      </c>
      <c r="AR96">
        <f>'2020_2021_efet'!AP3</f>
        <v>2.1070000000000002</v>
      </c>
      <c r="AS96">
        <f>'2020_2021_efet'!AQ3</f>
        <v>2.1139999999999999</v>
      </c>
      <c r="AT96">
        <f>'2020_2021_efet'!AR3</f>
        <v>2.1360000000000001</v>
      </c>
      <c r="AU96">
        <f>'2020_2021_efet'!AS3</f>
        <v>2.1560000000000001</v>
      </c>
      <c r="AV96">
        <f>'2020_2021_efet'!AT3</f>
        <v>2.1779999999999999</v>
      </c>
      <c r="AW96">
        <f>'2020_2021_efet'!AU3</f>
        <v>2.206</v>
      </c>
      <c r="AX96">
        <f>'2020_2021_efet'!AV3</f>
        <v>2.2090000000000001</v>
      </c>
      <c r="AY96">
        <f>'2020_2021_efet'!AW3</f>
        <v>2.2189999999999999</v>
      </c>
      <c r="AZ96">
        <f>'2020_2021_efet'!AX3</f>
        <v>2.2639999999999998</v>
      </c>
      <c r="BA96">
        <f>'2020_2021_efet'!AY3</f>
        <v>2.2730000000000001</v>
      </c>
      <c r="BB96">
        <f>'2020_2021_efet'!AZ3</f>
        <v>2.2879999999999998</v>
      </c>
      <c r="BC96">
        <f>'2020_2021_efet'!BA3</f>
        <v>2.31</v>
      </c>
      <c r="BD96">
        <f>'2020_2021_efet'!BB3</f>
        <v>2.3199999999999998</v>
      </c>
      <c r="BE96">
        <f>'2020_2021_efet'!BC3</f>
        <v>2.351</v>
      </c>
      <c r="BF96">
        <f>'2020_2021_efet'!BD3</f>
        <v>2.3879999999999999</v>
      </c>
      <c r="BG96">
        <f>'2020_2021_efet'!BE3</f>
        <v>2.399</v>
      </c>
      <c r="BH96">
        <f>'2020_2021_efet'!BF3</f>
        <v>2.4039999999999999</v>
      </c>
      <c r="BI96">
        <f>'2020_2021_efet'!BG3</f>
        <v>2.4329999999999998</v>
      </c>
      <c r="BJ96">
        <f>'2020_2021_efet'!BH3</f>
        <v>2.4910000000000001</v>
      </c>
      <c r="BK96">
        <f>'2020_2021_efet'!BI3</f>
        <v>2.4980000000000002</v>
      </c>
      <c r="BL96">
        <f>'2020_2021_efet'!BJ3</f>
        <v>2.4969999999999999</v>
      </c>
      <c r="BM96">
        <f>'2020_2021_efet'!BK3</f>
        <v>2.4969999999999999</v>
      </c>
      <c r="BN96">
        <f>'2020_2021_efet'!BL3</f>
        <v>2.5070000000000001</v>
      </c>
      <c r="BO96">
        <f>'2020_2021_efet'!BM3</f>
        <v>2.5379999999999998</v>
      </c>
      <c r="BP96">
        <f>'2020_2021_efet'!BN3</f>
        <v>2.5760000000000001</v>
      </c>
      <c r="BQ96">
        <f>'2020_2021_efet'!BO3</f>
        <v>2.6040000000000001</v>
      </c>
      <c r="BR96">
        <f>'2020_2021_efet'!BP3</f>
        <v>2.6280000000000001</v>
      </c>
      <c r="BS96">
        <f>'2020_2021_efet'!BQ3</f>
        <v>2.673</v>
      </c>
      <c r="BT96">
        <f>'2020_2021_efet'!BR3</f>
        <v>2.6970000000000001</v>
      </c>
      <c r="BU96">
        <f>'2020_2021_efet'!BS3</f>
        <v>2.7280000000000002</v>
      </c>
      <c r="BV96">
        <f>'2020_2021_efet'!BT3</f>
        <v>2.726</v>
      </c>
      <c r="BW96">
        <f>'2020_2021_efet'!BU3</f>
        <v>2.7770000000000001</v>
      </c>
      <c r="BX96">
        <f>'2020_2021_efet'!BV3</f>
        <v>2.7989999999999999</v>
      </c>
      <c r="BY96">
        <f>'2020_2021_efet'!BW3</f>
        <v>2.8119999999999998</v>
      </c>
      <c r="BZ96">
        <f>'2020_2021_efet'!BX3</f>
        <v>2.859</v>
      </c>
      <c r="CA96">
        <f>'2020_2021_efet'!BY3</f>
        <v>2.9</v>
      </c>
      <c r="CB96">
        <f>'2020_2021_efet'!BZ3</f>
        <v>2.9020000000000001</v>
      </c>
      <c r="CC96">
        <f>'2020_2021_efet'!CA3</f>
        <v>2.9359999999999999</v>
      </c>
      <c r="CD96">
        <f>'2020_2021_efet'!CB3</f>
        <v>2.9750000000000001</v>
      </c>
      <c r="CE96">
        <f>'2020_2021_efet'!CC3</f>
        <v>3.0139999999999998</v>
      </c>
      <c r="CF96">
        <f>'2020_2021_efet'!CD3</f>
        <v>3.0609999999999999</v>
      </c>
      <c r="CG96">
        <f>'2020_2021_efet'!CE3</f>
        <v>3.1070000000000002</v>
      </c>
      <c r="CH96">
        <f>'2020_2021_efet'!CF3</f>
        <v>3.1909999999999998</v>
      </c>
      <c r="CI96">
        <f>'2020_2021_efet'!CG3</f>
        <v>3.19</v>
      </c>
      <c r="CJ96">
        <f>'2020_2021_efet'!CH3</f>
        <v>3.2170000000000001</v>
      </c>
      <c r="CK96">
        <f>'2020_2021_efet'!CI3</f>
        <v>3.3</v>
      </c>
      <c r="CL96">
        <f>'2020_2021_efet'!CJ3</f>
        <v>3.3420000000000001</v>
      </c>
      <c r="CM96">
        <f>'2020_2021_efet'!CK3</f>
        <v>3.415</v>
      </c>
      <c r="CN96">
        <f>'2020_2021_efet'!CL3</f>
        <v>3.427</v>
      </c>
      <c r="CO96">
        <f>'2020_2021_efet'!CM3</f>
        <v>3.5179999999999998</v>
      </c>
      <c r="CP96">
        <f>'2020_2021_efet'!CN3</f>
        <v>3.5960000000000001</v>
      </c>
      <c r="CQ96">
        <f>'2020_2021_efet'!CO3</f>
        <v>3.7</v>
      </c>
      <c r="CR96">
        <f>'2020_2021_efet'!CP3</f>
        <v>3.7869999999999999</v>
      </c>
      <c r="CS96">
        <f>'2020_2021_efet'!CQ3</f>
        <v>3.8849999999999998</v>
      </c>
      <c r="CT96">
        <f>'2020_2021_efet'!CR3</f>
        <v>4.0140000000000002</v>
      </c>
      <c r="CU96">
        <f>'2020_2021_efet'!CS3</f>
        <v>4.1189999999999998</v>
      </c>
      <c r="CV96">
        <f>'2020_2021_efet'!CT3</f>
        <v>4.3449999999999998</v>
      </c>
      <c r="CW96">
        <f>'2020_2021_efet'!CU3</f>
        <v>4.5810000000000004</v>
      </c>
      <c r="CX96">
        <f>'2020_2021_efet'!CV3</f>
        <v>5.0209999999999999</v>
      </c>
    </row>
    <row r="97" spans="1:102" x14ac:dyDescent="0.2">
      <c r="A97" t="s">
        <v>205</v>
      </c>
      <c r="B97" t="s">
        <v>217</v>
      </c>
      <c r="C97" t="s">
        <v>223</v>
      </c>
      <c r="D97">
        <f>'2020_2021_efet'!B4</f>
        <v>3.0899999999999999E-3</v>
      </c>
      <c r="E97">
        <f>'2020_2021_efet'!C4</f>
        <v>6.5199999999999998E-3</v>
      </c>
      <c r="F97">
        <f>'2020_2021_efet'!D4</f>
        <v>9.9399999999999992E-3</v>
      </c>
      <c r="G97">
        <f>'2020_2021_efet'!E4</f>
        <v>8.6099999999999996E-2</v>
      </c>
      <c r="H97">
        <f>'2020_2021_efet'!F4</f>
        <v>5.7000000000000002E-2</v>
      </c>
      <c r="I97">
        <f>'2020_2021_efet'!G4</f>
        <v>1.9099999999999999E-2</v>
      </c>
      <c r="J97">
        <f>'2020_2021_efet'!H4</f>
        <v>6.5199999999999994E-2</v>
      </c>
      <c r="K97">
        <f>'2020_2021_efet'!I4</f>
        <v>-4.07E-2</v>
      </c>
      <c r="L97">
        <f>'2020_2021_efet'!J4</f>
        <v>4.7000000000000002E-3</v>
      </c>
      <c r="M97">
        <f>'2020_2021_efet'!K4</f>
        <v>-4.2500000000000003E-2</v>
      </c>
      <c r="N97">
        <f>'2020_2021_efet'!L4</f>
        <v>-6.0899999999999995E-4</v>
      </c>
      <c r="O97">
        <f>'2020_2021_efet'!M4</f>
        <v>-1.06E-2</v>
      </c>
      <c r="P97">
        <f>'2020_2021_efet'!N4</f>
        <v>-1.4500000000000001E-2</v>
      </c>
      <c r="Q97">
        <f>'2020_2021_efet'!O4</f>
        <v>-3.6700000000000003E-2</v>
      </c>
      <c r="R97">
        <f>'2020_2021_efet'!P4</f>
        <v>-4.87E-2</v>
      </c>
      <c r="S97">
        <f>'2020_2021_efet'!Q4</f>
        <v>2.5700000000000001E-4</v>
      </c>
      <c r="T97">
        <f>'2020_2021_efet'!R4</f>
        <v>-1.1999999999999999E-3</v>
      </c>
      <c r="U97">
        <f>'2020_2021_efet'!S4</f>
        <v>-2.7799999999999998E-2</v>
      </c>
      <c r="V97">
        <f>'2020_2021_efet'!T4</f>
        <v>-9.6799999999999994E-3</v>
      </c>
      <c r="W97">
        <f>'2020_2021_efet'!U4</f>
        <v>7.2899999999999996E-3</v>
      </c>
      <c r="X97">
        <f>'2020_2021_efet'!V4</f>
        <v>1.0999999999999999E-2</v>
      </c>
      <c r="Y97">
        <f>'2020_2021_efet'!W4</f>
        <v>-3.9399999999999998E-2</v>
      </c>
      <c r="Z97">
        <f>'2020_2021_efet'!X4</f>
        <v>-4.3799999999999999E-2</v>
      </c>
      <c r="AA97">
        <f>'2020_2021_efet'!Y4</f>
        <v>-4.58E-2</v>
      </c>
      <c r="AB97">
        <f>'2020_2021_efet'!Z4</f>
        <v>-1.0800000000000001E-2</v>
      </c>
      <c r="AC97">
        <f>'2020_2021_efet'!AA4</f>
        <v>-3.1800000000000002E-2</v>
      </c>
      <c r="AD97">
        <f>'2020_2021_efet'!AB4</f>
        <v>-8.4799999999999997E-3</v>
      </c>
      <c r="AE97">
        <f>'2020_2021_efet'!AC4</f>
        <v>-1.09E-2</v>
      </c>
      <c r="AF97">
        <f>'2020_2021_efet'!AD4</f>
        <v>-1.8100000000000002E-2</v>
      </c>
      <c r="AG97">
        <f>'2020_2021_efet'!AE4</f>
        <v>-3.61E-2</v>
      </c>
      <c r="AH97">
        <f>'2020_2021_efet'!AF4</f>
        <v>-4.7800000000000002E-2</v>
      </c>
      <c r="AI97">
        <f>'2020_2021_efet'!AG4</f>
        <v>-3.9300000000000002E-2</v>
      </c>
      <c r="AJ97">
        <f>'2020_2021_efet'!AH4</f>
        <v>-4.3799999999999999E-2</v>
      </c>
      <c r="AK97">
        <f>'2020_2021_efet'!AI4</f>
        <v>-3.85E-2</v>
      </c>
      <c r="AL97">
        <f>'2020_2021_efet'!AJ4</f>
        <v>-4.5600000000000002E-2</v>
      </c>
      <c r="AM97">
        <f>'2020_2021_efet'!AK4</f>
        <v>-3.9899999999999998E-2</v>
      </c>
      <c r="AN97">
        <f>'2020_2021_efet'!AL4</f>
        <v>-3.9800000000000002E-2</v>
      </c>
      <c r="AO97">
        <f>'2020_2021_efet'!AM4</f>
        <v>-2.92E-2</v>
      </c>
      <c r="AP97">
        <f>'2020_2021_efet'!AN4</f>
        <v>-2.46E-2</v>
      </c>
      <c r="AQ97">
        <f>'2020_2021_efet'!AO4</f>
        <v>-4.2900000000000001E-2</v>
      </c>
      <c r="AR97">
        <f>'2020_2021_efet'!AP4</f>
        <v>-3.95E-2</v>
      </c>
      <c r="AS97">
        <f>'2020_2021_efet'!AQ4</f>
        <v>-3.32E-2</v>
      </c>
      <c r="AT97">
        <f>'2020_2021_efet'!AR4</f>
        <v>-4.07E-2</v>
      </c>
      <c r="AU97">
        <f>'2020_2021_efet'!AS4</f>
        <v>-2.35E-2</v>
      </c>
      <c r="AV97">
        <f>'2020_2021_efet'!AT4</f>
        <v>-3.8399999999999997E-2</v>
      </c>
      <c r="AW97">
        <f>'2020_2021_efet'!AU4</f>
        <v>-4.0599999999999997E-2</v>
      </c>
      <c r="AX97">
        <f>'2020_2021_efet'!AV4</f>
        <v>-4.6600000000000003E-2</v>
      </c>
      <c r="AY97">
        <f>'2020_2021_efet'!AW4</f>
        <v>-5.1900000000000002E-2</v>
      </c>
      <c r="AZ97">
        <f>'2020_2021_efet'!AX4</f>
        <v>-4.7800000000000002E-2</v>
      </c>
      <c r="BA97">
        <f>'2020_2021_efet'!AY4</f>
        <v>-4.58E-2</v>
      </c>
      <c r="BB97">
        <f>'2020_2021_efet'!AZ4</f>
        <v>-5.62E-2</v>
      </c>
      <c r="BC97">
        <f>'2020_2021_efet'!BA4</f>
        <v>-4.5100000000000001E-2</v>
      </c>
      <c r="BD97">
        <f>'2020_2021_efet'!BB4</f>
        <v>-4.4200000000000003E-2</v>
      </c>
      <c r="BE97">
        <f>'2020_2021_efet'!BC4</f>
        <v>-3.8600000000000002E-2</v>
      </c>
      <c r="BF97">
        <f>'2020_2021_efet'!BD4</f>
        <v>-3.8600000000000002E-2</v>
      </c>
      <c r="BG97">
        <f>'2020_2021_efet'!BE4</f>
        <v>-4.0599999999999997E-2</v>
      </c>
      <c r="BH97">
        <f>'2020_2021_efet'!BF4</f>
        <v>-4.5999999999999999E-2</v>
      </c>
      <c r="BI97">
        <f>'2020_2021_efet'!BG4</f>
        <v>-3.3799999999999997E-2</v>
      </c>
      <c r="BJ97">
        <f>'2020_2021_efet'!BH4</f>
        <v>-4.2900000000000001E-2</v>
      </c>
      <c r="BK97">
        <f>'2020_2021_efet'!BI4</f>
        <v>-3.5099999999999999E-2</v>
      </c>
      <c r="BL97">
        <f>'2020_2021_efet'!BJ4</f>
        <v>-4.36E-2</v>
      </c>
      <c r="BM97">
        <f>'2020_2021_efet'!BK4</f>
        <v>-4.07E-2</v>
      </c>
      <c r="BN97">
        <f>'2020_2021_efet'!BL4</f>
        <v>-5.3100000000000001E-2</v>
      </c>
      <c r="BO97">
        <f>'2020_2021_efet'!BM4</f>
        <v>-4.3400000000000001E-2</v>
      </c>
      <c r="BP97">
        <f>'2020_2021_efet'!BN4</f>
        <v>-3.9399999999999998E-2</v>
      </c>
      <c r="BQ97">
        <f>'2020_2021_efet'!BO4</f>
        <v>-4.7800000000000002E-2</v>
      </c>
      <c r="BR97">
        <f>'2020_2021_efet'!BP4</f>
        <v>-4.9000000000000002E-2</v>
      </c>
      <c r="BS97">
        <f>'2020_2021_efet'!BQ4</f>
        <v>-6.83E-2</v>
      </c>
      <c r="BT97">
        <f>'2020_2021_efet'!BR4</f>
        <v>-6.4000000000000001E-2</v>
      </c>
      <c r="BU97">
        <f>'2020_2021_efet'!BS4</f>
        <v>-4.7399999999999998E-2</v>
      </c>
      <c r="BV97">
        <f>'2020_2021_efet'!BT4</f>
        <v>-0.05</v>
      </c>
      <c r="BW97">
        <f>'2020_2021_efet'!BU4</f>
        <v>-3.9E-2</v>
      </c>
      <c r="BX97">
        <f>'2020_2021_efet'!BV4</f>
        <v>-3.6799999999999999E-2</v>
      </c>
      <c r="BY97">
        <f>'2020_2021_efet'!BW4</f>
        <v>-3.39E-2</v>
      </c>
      <c r="BZ97">
        <f>'2020_2021_efet'!BX4</f>
        <v>-3.4799999999999998E-2</v>
      </c>
      <c r="CA97">
        <f>'2020_2021_efet'!BY4</f>
        <v>-3.3799999999999997E-2</v>
      </c>
      <c r="CB97">
        <f>'2020_2021_efet'!BZ4</f>
        <v>-4.6399999999999997E-2</v>
      </c>
      <c r="CC97">
        <f>'2020_2021_efet'!CA4</f>
        <v>-3.6400000000000002E-2</v>
      </c>
      <c r="CD97">
        <f>'2020_2021_efet'!CB4</f>
        <v>-4.0300000000000002E-2</v>
      </c>
      <c r="CE97">
        <f>'2020_2021_efet'!CC4</f>
        <v>-4.1799999999999997E-2</v>
      </c>
      <c r="CF97">
        <f>'2020_2021_efet'!CD4</f>
        <v>-3.5299999999999998E-2</v>
      </c>
      <c r="CG97">
        <f>'2020_2021_efet'!CE4</f>
        <v>-3.3099999999999997E-2</v>
      </c>
      <c r="CH97">
        <f>'2020_2021_efet'!CF4</f>
        <v>-4.0599999999999997E-2</v>
      </c>
      <c r="CI97">
        <f>'2020_2021_efet'!CG4</f>
        <v>-4.6199999999999998E-2</v>
      </c>
      <c r="CJ97">
        <f>'2020_2021_efet'!CH4</f>
        <v>-3.5400000000000001E-2</v>
      </c>
      <c r="CK97">
        <f>'2020_2021_efet'!CI4</f>
        <v>-5.0299999999999997E-2</v>
      </c>
      <c r="CL97">
        <f>'2020_2021_efet'!CJ4</f>
        <v>-4.24E-2</v>
      </c>
      <c r="CM97">
        <f>'2020_2021_efet'!CK4</f>
        <v>-3.7199999999999997E-2</v>
      </c>
      <c r="CN97">
        <f>'2020_2021_efet'!CL4</f>
        <v>-3.0800000000000001E-2</v>
      </c>
      <c r="CO97">
        <f>'2020_2021_efet'!CM4</f>
        <v>-5.3499999999999999E-2</v>
      </c>
      <c r="CP97">
        <f>'2020_2021_efet'!CN4</f>
        <v>-4.7E-2</v>
      </c>
      <c r="CQ97">
        <f>'2020_2021_efet'!CO4</f>
        <v>-7.1300000000000002E-2</v>
      </c>
      <c r="CR97">
        <f>'2020_2021_efet'!CP4</f>
        <v>-8.2799999999999999E-2</v>
      </c>
      <c r="CS97">
        <f>'2020_2021_efet'!CQ4</f>
        <v>-2.8899999999999999E-2</v>
      </c>
      <c r="CT97">
        <f>'2020_2021_efet'!CR4</f>
        <v>-5.9700000000000003E-2</v>
      </c>
      <c r="CU97">
        <f>'2020_2021_efet'!CS4</f>
        <v>-5.6399999999999999E-2</v>
      </c>
      <c r="CV97">
        <f>'2020_2021_efet'!CT4</f>
        <v>-6.2399999999999997E-2</v>
      </c>
      <c r="CW97">
        <f>'2020_2021_efet'!CU4</f>
        <v>-5.0900000000000001E-2</v>
      </c>
      <c r="CX97">
        <f>'2020_2021_efet'!CV4</f>
        <v>-0.157</v>
      </c>
    </row>
    <row r="98" spans="1:102" x14ac:dyDescent="0.2">
      <c r="A98" t="s">
        <v>206</v>
      </c>
      <c r="B98" t="s">
        <v>217</v>
      </c>
      <c r="C98" t="s">
        <v>223</v>
      </c>
      <c r="D98">
        <f>'2020_2021_efet'!B5</f>
        <v>1E-3</v>
      </c>
      <c r="E98">
        <f>'2020_2021_efet'!C5</f>
        <v>1E-3</v>
      </c>
      <c r="F98">
        <f>'2020_2021_efet'!D5</f>
        <v>1E-3</v>
      </c>
      <c r="G98">
        <f>'2020_2021_efet'!E5</f>
        <v>7.0800000000000004E-3</v>
      </c>
      <c r="H98">
        <f>'2020_2021_efet'!F5</f>
        <v>1.0999999999999999E-2</v>
      </c>
      <c r="I98">
        <f>'2020_2021_efet'!G5</f>
        <v>1.46E-2</v>
      </c>
      <c r="J98">
        <f>'2020_2021_efet'!H5</f>
        <v>1.5599999999999999E-2</v>
      </c>
      <c r="K98">
        <f>'2020_2021_efet'!I5</f>
        <v>1.7600000000000001E-2</v>
      </c>
      <c r="L98">
        <f>'2020_2021_efet'!J5</f>
        <v>2.06E-2</v>
      </c>
      <c r="M98">
        <f>'2020_2021_efet'!K5</f>
        <v>2.12E-2</v>
      </c>
      <c r="N98">
        <f>'2020_2021_efet'!L5</f>
        <v>2.1700000000000001E-2</v>
      </c>
      <c r="O98">
        <f>'2020_2021_efet'!M5</f>
        <v>2.3199999999999998E-2</v>
      </c>
      <c r="P98">
        <f>'2020_2021_efet'!N5</f>
        <v>2.1600000000000001E-2</v>
      </c>
      <c r="Q98">
        <f>'2020_2021_efet'!O5</f>
        <v>1.67E-2</v>
      </c>
      <c r="R98">
        <f>'2020_2021_efet'!P5</f>
        <v>1.6899999999999998E-2</v>
      </c>
      <c r="S98">
        <f>'2020_2021_efet'!Q5</f>
        <v>1.67E-2</v>
      </c>
      <c r="T98">
        <f>'2020_2021_efet'!R5</f>
        <v>1.55E-2</v>
      </c>
      <c r="U98">
        <f>'2020_2021_efet'!S5</f>
        <v>1.4999999999999999E-2</v>
      </c>
      <c r="V98">
        <f>'2020_2021_efet'!T5</f>
        <v>1.5299999999999999E-2</v>
      </c>
      <c r="W98">
        <f>'2020_2021_efet'!U5</f>
        <v>1.46E-2</v>
      </c>
      <c r="X98">
        <f>'2020_2021_efet'!V5</f>
        <v>1.5900000000000001E-2</v>
      </c>
      <c r="Y98">
        <f>'2020_2021_efet'!W5</f>
        <v>1.5699999999999999E-2</v>
      </c>
      <c r="Z98">
        <f>'2020_2021_efet'!X5</f>
        <v>1.6400000000000001E-2</v>
      </c>
      <c r="AA98">
        <f>'2020_2021_efet'!Y5</f>
        <v>1.7100000000000001E-2</v>
      </c>
      <c r="AB98">
        <f>'2020_2021_efet'!Z5</f>
        <v>1.77E-2</v>
      </c>
      <c r="AC98">
        <f>'2020_2021_efet'!AA5</f>
        <v>1.8100000000000002E-2</v>
      </c>
      <c r="AD98">
        <f>'2020_2021_efet'!AB5</f>
        <v>1.8800000000000001E-2</v>
      </c>
      <c r="AE98">
        <f>'2020_2021_efet'!AC5</f>
        <v>1.9800000000000002E-2</v>
      </c>
      <c r="AF98">
        <f>'2020_2021_efet'!AD5</f>
        <v>2.1000000000000001E-2</v>
      </c>
      <c r="AG98">
        <f>'2020_2021_efet'!AE5</f>
        <v>2.2800000000000001E-2</v>
      </c>
      <c r="AH98">
        <f>'2020_2021_efet'!AF5</f>
        <v>2.4199999999999999E-2</v>
      </c>
      <c r="AI98">
        <f>'2020_2021_efet'!AG5</f>
        <v>2.6200000000000001E-2</v>
      </c>
      <c r="AJ98">
        <f>'2020_2021_efet'!AH5</f>
        <v>2.7900000000000001E-2</v>
      </c>
      <c r="AK98">
        <f>'2020_2021_efet'!AI5</f>
        <v>2.8799999999999999E-2</v>
      </c>
      <c r="AL98">
        <f>'2020_2021_efet'!AJ5</f>
        <v>2.9399999999999999E-2</v>
      </c>
      <c r="AM98">
        <f>'2020_2021_efet'!AK5</f>
        <v>0.03</v>
      </c>
      <c r="AN98">
        <f>'2020_2021_efet'!AL5</f>
        <v>3.1E-2</v>
      </c>
      <c r="AO98">
        <f>'2020_2021_efet'!AM5</f>
        <v>3.1699999999999999E-2</v>
      </c>
      <c r="AP98">
        <f>'2020_2021_efet'!AN5</f>
        <v>3.2399999999999998E-2</v>
      </c>
      <c r="AQ98">
        <f>'2020_2021_efet'!AO5</f>
        <v>3.3000000000000002E-2</v>
      </c>
      <c r="AR98">
        <f>'2020_2021_efet'!AP5</f>
        <v>3.3300000000000003E-2</v>
      </c>
      <c r="AS98">
        <f>'2020_2021_efet'!AQ5</f>
        <v>3.4200000000000001E-2</v>
      </c>
      <c r="AT98">
        <f>'2020_2021_efet'!AR5</f>
        <v>3.5000000000000003E-2</v>
      </c>
      <c r="AU98">
        <f>'2020_2021_efet'!AS5</f>
        <v>3.5799999999999998E-2</v>
      </c>
      <c r="AV98">
        <f>'2020_2021_efet'!AT5</f>
        <v>3.6799999999999999E-2</v>
      </c>
      <c r="AW98">
        <f>'2020_2021_efet'!AU5</f>
        <v>3.7699999999999997E-2</v>
      </c>
      <c r="AX98">
        <f>'2020_2021_efet'!AV5</f>
        <v>3.8300000000000001E-2</v>
      </c>
      <c r="AY98">
        <f>'2020_2021_efet'!AW5</f>
        <v>3.9E-2</v>
      </c>
      <c r="AZ98">
        <f>'2020_2021_efet'!AX5</f>
        <v>4.0800000000000003E-2</v>
      </c>
      <c r="BA98">
        <f>'2020_2021_efet'!AY5</f>
        <v>4.1500000000000002E-2</v>
      </c>
      <c r="BB98">
        <f>'2020_2021_efet'!AZ5</f>
        <v>4.2200000000000001E-2</v>
      </c>
      <c r="BC98">
        <f>'2020_2021_efet'!BA5</f>
        <v>4.3700000000000003E-2</v>
      </c>
      <c r="BD98">
        <f>'2020_2021_efet'!BB5</f>
        <v>4.4499999999999998E-2</v>
      </c>
      <c r="BE98">
        <f>'2020_2021_efet'!BC5</f>
        <v>4.5600000000000002E-2</v>
      </c>
      <c r="BF98">
        <f>'2020_2021_efet'!BD5</f>
        <v>4.6300000000000001E-2</v>
      </c>
      <c r="BG98">
        <f>'2020_2021_efet'!BE5</f>
        <v>4.6399999999999997E-2</v>
      </c>
      <c r="BH98">
        <f>'2020_2021_efet'!BF5</f>
        <v>4.6300000000000001E-2</v>
      </c>
      <c r="BI98">
        <f>'2020_2021_efet'!BG5</f>
        <v>4.6399999999999997E-2</v>
      </c>
      <c r="BJ98">
        <f>'2020_2021_efet'!BH5</f>
        <v>4.7100000000000003E-2</v>
      </c>
      <c r="BK98">
        <f>'2020_2021_efet'!BI5</f>
        <v>4.7100000000000003E-2</v>
      </c>
      <c r="BL98">
        <f>'2020_2021_efet'!BJ5</f>
        <v>4.7199999999999999E-2</v>
      </c>
      <c r="BM98">
        <f>'2020_2021_efet'!BK5</f>
        <v>4.6899999999999997E-2</v>
      </c>
      <c r="BN98">
        <f>'2020_2021_efet'!BL5</f>
        <v>4.7399999999999998E-2</v>
      </c>
      <c r="BO98">
        <f>'2020_2021_efet'!BM5</f>
        <v>5.0299999999999997E-2</v>
      </c>
      <c r="BP98">
        <f>'2020_2021_efet'!BN5</f>
        <v>5.5199999999999999E-2</v>
      </c>
      <c r="BQ98">
        <f>'2020_2021_efet'!BO5</f>
        <v>5.8999999999999997E-2</v>
      </c>
      <c r="BR98">
        <f>'2020_2021_efet'!BP5</f>
        <v>6.1199999999999997E-2</v>
      </c>
      <c r="BS98">
        <f>'2020_2021_efet'!BQ5</f>
        <v>6.3100000000000003E-2</v>
      </c>
      <c r="BT98">
        <f>'2020_2021_efet'!BR5</f>
        <v>6.3E-2</v>
      </c>
      <c r="BU98">
        <f>'2020_2021_efet'!BS5</f>
        <v>6.3100000000000003E-2</v>
      </c>
      <c r="BV98">
        <f>'2020_2021_efet'!BT5</f>
        <v>6.2399999999999997E-2</v>
      </c>
      <c r="BW98">
        <f>'2020_2021_efet'!BU5</f>
        <v>6.3799999999999996E-2</v>
      </c>
      <c r="BX98">
        <f>'2020_2021_efet'!BV5</f>
        <v>6.3899999999999998E-2</v>
      </c>
      <c r="BY98">
        <f>'2020_2021_efet'!BW5</f>
        <v>6.3899999999999998E-2</v>
      </c>
      <c r="BZ98">
        <f>'2020_2021_efet'!BX5</f>
        <v>6.59E-2</v>
      </c>
      <c r="CA98">
        <f>'2020_2021_efet'!BY5</f>
        <v>6.8099999999999994E-2</v>
      </c>
      <c r="CB98">
        <f>'2020_2021_efet'!BZ5</f>
        <v>6.6900000000000001E-2</v>
      </c>
      <c r="CC98">
        <f>'2020_2021_efet'!CA5</f>
        <v>6.9099999999999995E-2</v>
      </c>
      <c r="CD98">
        <f>'2020_2021_efet'!CB5</f>
        <v>7.4200000000000002E-2</v>
      </c>
      <c r="CE98">
        <f>'2020_2021_efet'!CC5</f>
        <v>7.9200000000000007E-2</v>
      </c>
      <c r="CF98">
        <f>'2020_2021_efet'!CD5</f>
        <v>8.3099999999999993E-2</v>
      </c>
      <c r="CG98">
        <f>'2020_2021_efet'!CE5</f>
        <v>8.2299999999999998E-2</v>
      </c>
      <c r="CH98">
        <f>'2020_2021_efet'!CF5</f>
        <v>7.9600000000000004E-2</v>
      </c>
      <c r="CI98">
        <f>'2020_2021_efet'!CG5</f>
        <v>7.6399999999999996E-2</v>
      </c>
      <c r="CJ98">
        <f>'2020_2021_efet'!CH5</f>
        <v>7.4700000000000003E-2</v>
      </c>
      <c r="CK98">
        <f>'2020_2021_efet'!CI5</f>
        <v>8.4099999999999994E-2</v>
      </c>
      <c r="CL98">
        <f>'2020_2021_efet'!CJ5</f>
        <v>8.3299999999999999E-2</v>
      </c>
      <c r="CM98">
        <f>'2020_2021_efet'!CK5</f>
        <v>8.2799999999999999E-2</v>
      </c>
      <c r="CN98">
        <f>'2020_2021_efet'!CL5</f>
        <v>7.9299999999999995E-2</v>
      </c>
      <c r="CO98">
        <f>'2020_2021_efet'!CM5</f>
        <v>9.1700000000000004E-2</v>
      </c>
      <c r="CP98">
        <f>'2020_2021_efet'!CN5</f>
        <v>9.64E-2</v>
      </c>
      <c r="CQ98">
        <f>'2020_2021_efet'!CO5</f>
        <v>0.10100000000000001</v>
      </c>
      <c r="CR98">
        <f>'2020_2021_efet'!CP5</f>
        <v>9.9699999999999997E-2</v>
      </c>
      <c r="CS98">
        <f>'2020_2021_efet'!CQ5</f>
        <v>9.3399999999999997E-2</v>
      </c>
      <c r="CT98">
        <f>'2020_2021_efet'!CR5</f>
        <v>9.4899999999999998E-2</v>
      </c>
      <c r="CU98">
        <f>'2020_2021_efet'!CS5</f>
        <v>8.2000000000000003E-2</v>
      </c>
      <c r="CV98">
        <f>'2020_2021_efet'!CT5</f>
        <v>0.105</v>
      </c>
      <c r="CW98">
        <f>'2020_2021_efet'!CU5</f>
        <v>8.2699999999999996E-2</v>
      </c>
      <c r="CX98">
        <f>'2020_2021_efet'!CV5</f>
        <v>0.104</v>
      </c>
    </row>
    <row r="99" spans="1:102" x14ac:dyDescent="0.2">
      <c r="A99" t="s">
        <v>207</v>
      </c>
      <c r="B99" t="s">
        <v>217</v>
      </c>
      <c r="C99" t="s">
        <v>223</v>
      </c>
      <c r="D99">
        <f>'2020_2021_efet'!B6</f>
        <v>2.0899999999999998E-3</v>
      </c>
      <c r="E99">
        <f>'2020_2021_efet'!C6</f>
        <v>5.5199999999999997E-3</v>
      </c>
      <c r="F99">
        <f>'2020_2021_efet'!D6</f>
        <v>8.94E-3</v>
      </c>
      <c r="G99">
        <f>'2020_2021_efet'!E6</f>
        <v>7.9000000000000001E-2</v>
      </c>
      <c r="H99">
        <f>'2020_2021_efet'!F6</f>
        <v>4.5999999999999999E-2</v>
      </c>
      <c r="I99">
        <f>'2020_2021_efet'!G6</f>
        <v>4.5500000000000002E-3</v>
      </c>
      <c r="J99">
        <f>'2020_2021_efet'!H6</f>
        <v>4.9700000000000001E-2</v>
      </c>
      <c r="K99">
        <f>'2020_2021_efet'!I6</f>
        <v>-5.8299999999999998E-2</v>
      </c>
      <c r="L99">
        <f>'2020_2021_efet'!J6</f>
        <v>-1.5900000000000001E-2</v>
      </c>
      <c r="M99">
        <f>'2020_2021_efet'!K6</f>
        <v>-6.3700000000000007E-2</v>
      </c>
      <c r="N99">
        <f>'2020_2021_efet'!L6</f>
        <v>-2.23E-2</v>
      </c>
      <c r="O99">
        <f>'2020_2021_efet'!M6</f>
        <v>-3.3799999999999997E-2</v>
      </c>
      <c r="P99">
        <f>'2020_2021_efet'!N6</f>
        <v>-3.61E-2</v>
      </c>
      <c r="Q99">
        <f>'2020_2021_efet'!O6</f>
        <v>-5.3400000000000003E-2</v>
      </c>
      <c r="R99">
        <f>'2020_2021_efet'!P6</f>
        <v>-6.5500000000000003E-2</v>
      </c>
      <c r="S99">
        <f>'2020_2021_efet'!Q6</f>
        <v>-1.6400000000000001E-2</v>
      </c>
      <c r="T99">
        <f>'2020_2021_efet'!R6</f>
        <v>-1.67E-2</v>
      </c>
      <c r="U99">
        <f>'2020_2021_efet'!S6</f>
        <v>-4.2799999999999998E-2</v>
      </c>
      <c r="V99">
        <f>'2020_2021_efet'!T6</f>
        <v>-2.5000000000000001E-2</v>
      </c>
      <c r="W99">
        <f>'2020_2021_efet'!U6</f>
        <v>-7.28E-3</v>
      </c>
      <c r="X99">
        <f>'2020_2021_efet'!V6</f>
        <v>-4.8599999999999997E-3</v>
      </c>
      <c r="Y99">
        <f>'2020_2021_efet'!W6</f>
        <v>-5.5100000000000003E-2</v>
      </c>
      <c r="Z99">
        <f>'2020_2021_efet'!X6</f>
        <v>-6.0199999999999997E-2</v>
      </c>
      <c r="AA99">
        <f>'2020_2021_efet'!Y6</f>
        <v>-6.3E-2</v>
      </c>
      <c r="AB99">
        <f>'2020_2021_efet'!Z6</f>
        <v>-2.8500000000000001E-2</v>
      </c>
      <c r="AC99">
        <f>'2020_2021_efet'!AA6</f>
        <v>-4.99E-2</v>
      </c>
      <c r="AD99">
        <f>'2020_2021_efet'!AB6</f>
        <v>-2.7300000000000001E-2</v>
      </c>
      <c r="AE99">
        <f>'2020_2021_efet'!AC6</f>
        <v>-3.0700000000000002E-2</v>
      </c>
      <c r="AF99">
        <f>'2020_2021_efet'!AD6</f>
        <v>-3.9199999999999999E-2</v>
      </c>
      <c r="AG99">
        <f>'2020_2021_efet'!AE6</f>
        <v>-5.8799999999999998E-2</v>
      </c>
      <c r="AH99">
        <f>'2020_2021_efet'!AF6</f>
        <v>-7.1999999999999995E-2</v>
      </c>
      <c r="AI99">
        <f>'2020_2021_efet'!AG6</f>
        <v>-6.5500000000000003E-2</v>
      </c>
      <c r="AJ99">
        <f>'2020_2021_efet'!AH6</f>
        <v>-7.17E-2</v>
      </c>
      <c r="AK99">
        <f>'2020_2021_efet'!AI6</f>
        <v>-6.7299999999999999E-2</v>
      </c>
      <c r="AL99">
        <f>'2020_2021_efet'!AJ6</f>
        <v>-7.4999999999999997E-2</v>
      </c>
      <c r="AM99">
        <f>'2020_2021_efet'!AK6</f>
        <v>-6.9900000000000004E-2</v>
      </c>
      <c r="AN99">
        <f>'2020_2021_efet'!AL6</f>
        <v>-7.0800000000000002E-2</v>
      </c>
      <c r="AO99">
        <f>'2020_2021_efet'!AM6</f>
        <v>-6.0900000000000003E-2</v>
      </c>
      <c r="AP99">
        <f>'2020_2021_efet'!AN6</f>
        <v>-5.7000000000000002E-2</v>
      </c>
      <c r="AQ99">
        <f>'2020_2021_efet'!AO6</f>
        <v>-7.5899999999999995E-2</v>
      </c>
      <c r="AR99">
        <f>'2020_2021_efet'!AP6</f>
        <v>-7.2800000000000004E-2</v>
      </c>
      <c r="AS99">
        <f>'2020_2021_efet'!AQ6</f>
        <v>-6.7400000000000002E-2</v>
      </c>
      <c r="AT99">
        <f>'2020_2021_efet'!AR6</f>
        <v>-7.5800000000000006E-2</v>
      </c>
      <c r="AU99">
        <f>'2020_2021_efet'!AS6</f>
        <v>-5.9299999999999999E-2</v>
      </c>
      <c r="AV99">
        <f>'2020_2021_efet'!AT6</f>
        <v>-7.51E-2</v>
      </c>
      <c r="AW99">
        <f>'2020_2021_efet'!AU6</f>
        <v>-7.8399999999999997E-2</v>
      </c>
      <c r="AX99">
        <f>'2020_2021_efet'!AV6</f>
        <v>-8.4900000000000003E-2</v>
      </c>
      <c r="AY99">
        <f>'2020_2021_efet'!AW6</f>
        <v>-9.0899999999999995E-2</v>
      </c>
      <c r="AZ99">
        <f>'2020_2021_efet'!AX6</f>
        <v>-8.8700000000000001E-2</v>
      </c>
      <c r="BA99">
        <f>'2020_2021_efet'!AY6</f>
        <v>-8.7400000000000005E-2</v>
      </c>
      <c r="BB99">
        <f>'2020_2021_efet'!AZ6</f>
        <v>-9.8400000000000001E-2</v>
      </c>
      <c r="BC99">
        <f>'2020_2021_efet'!BA6</f>
        <v>-8.8700000000000001E-2</v>
      </c>
      <c r="BD99">
        <f>'2020_2021_efet'!BB6</f>
        <v>-8.8800000000000004E-2</v>
      </c>
      <c r="BE99">
        <f>'2020_2021_efet'!BC6</f>
        <v>-8.43E-2</v>
      </c>
      <c r="BF99">
        <f>'2020_2021_efet'!BD6</f>
        <v>-8.4900000000000003E-2</v>
      </c>
      <c r="BG99">
        <f>'2020_2021_efet'!BE6</f>
        <v>-8.6999999999999994E-2</v>
      </c>
      <c r="BH99">
        <f>'2020_2021_efet'!BF6</f>
        <v>-9.2299999999999993E-2</v>
      </c>
      <c r="BI99">
        <f>'2020_2021_efet'!BG6</f>
        <v>-8.0100000000000005E-2</v>
      </c>
      <c r="BJ99">
        <f>'2020_2021_efet'!BH6</f>
        <v>-0.09</v>
      </c>
      <c r="BK99">
        <f>'2020_2021_efet'!BI6</f>
        <v>-8.2199999999999995E-2</v>
      </c>
      <c r="BL99">
        <f>'2020_2021_efet'!BJ6</f>
        <v>-9.0800000000000006E-2</v>
      </c>
      <c r="BM99">
        <f>'2020_2021_efet'!BK6</f>
        <v>-8.7599999999999997E-2</v>
      </c>
      <c r="BN99">
        <f>'2020_2021_efet'!BL6</f>
        <v>-0.10100000000000001</v>
      </c>
      <c r="BO99">
        <f>'2020_2021_efet'!BM6</f>
        <v>-9.3700000000000006E-2</v>
      </c>
      <c r="BP99">
        <f>'2020_2021_efet'!BN6</f>
        <v>-9.4600000000000004E-2</v>
      </c>
      <c r="BQ99">
        <f>'2020_2021_efet'!BO6</f>
        <v>-0.107</v>
      </c>
      <c r="BR99">
        <f>'2020_2021_efet'!BP6</f>
        <v>-0.11</v>
      </c>
      <c r="BS99">
        <f>'2020_2021_efet'!BQ6</f>
        <v>-0.13100000000000001</v>
      </c>
      <c r="BT99">
        <f>'2020_2021_efet'!BR6</f>
        <v>-0.127</v>
      </c>
      <c r="BU99">
        <f>'2020_2021_efet'!BS6</f>
        <v>-0.111</v>
      </c>
      <c r="BV99">
        <f>'2020_2021_efet'!BT6</f>
        <v>-0.112</v>
      </c>
      <c r="BW99">
        <f>'2020_2021_efet'!BU6</f>
        <v>-0.10299999999999999</v>
      </c>
      <c r="BX99">
        <f>'2020_2021_efet'!BV6</f>
        <v>-0.10100000000000001</v>
      </c>
      <c r="BY99">
        <f>'2020_2021_efet'!BW6</f>
        <v>-9.7799999999999998E-2</v>
      </c>
      <c r="BZ99">
        <f>'2020_2021_efet'!BX6</f>
        <v>-0.10100000000000001</v>
      </c>
      <c r="CA99">
        <f>'2020_2021_efet'!BY6</f>
        <v>-0.10199999999999999</v>
      </c>
      <c r="CB99">
        <f>'2020_2021_efet'!BZ6</f>
        <v>-0.113</v>
      </c>
      <c r="CC99">
        <f>'2020_2021_efet'!CA6</f>
        <v>-0.106</v>
      </c>
      <c r="CD99">
        <f>'2020_2021_efet'!CB6</f>
        <v>-0.114</v>
      </c>
      <c r="CE99">
        <f>'2020_2021_efet'!CC6</f>
        <v>-0.121</v>
      </c>
      <c r="CF99">
        <f>'2020_2021_efet'!CD6</f>
        <v>-0.11799999999999999</v>
      </c>
      <c r="CG99">
        <f>'2020_2021_efet'!CE6</f>
        <v>-0.115</v>
      </c>
      <c r="CH99">
        <f>'2020_2021_efet'!CF6</f>
        <v>-0.12</v>
      </c>
      <c r="CI99">
        <f>'2020_2021_efet'!CG6</f>
        <v>-0.123</v>
      </c>
      <c r="CJ99">
        <f>'2020_2021_efet'!CH6</f>
        <v>-0.11</v>
      </c>
      <c r="CK99">
        <f>'2020_2021_efet'!CI6</f>
        <v>-0.13400000000000001</v>
      </c>
      <c r="CL99">
        <f>'2020_2021_efet'!CJ6</f>
        <v>-0.126</v>
      </c>
      <c r="CM99">
        <f>'2020_2021_efet'!CK6</f>
        <v>-0.12</v>
      </c>
      <c r="CN99">
        <f>'2020_2021_efet'!CL6</f>
        <v>-0.11</v>
      </c>
      <c r="CO99">
        <f>'2020_2021_efet'!CM6</f>
        <v>-0.14499999999999999</v>
      </c>
      <c r="CP99">
        <f>'2020_2021_efet'!CN6</f>
        <v>-0.14299999999999999</v>
      </c>
      <c r="CQ99">
        <f>'2020_2021_efet'!CO6</f>
        <v>-0.17199999999999999</v>
      </c>
      <c r="CR99">
        <f>'2020_2021_efet'!CP6</f>
        <v>-0.182</v>
      </c>
      <c r="CS99">
        <f>'2020_2021_efet'!CQ6</f>
        <v>-0.122</v>
      </c>
      <c r="CT99">
        <f>'2020_2021_efet'!CR6</f>
        <v>-0.155</v>
      </c>
      <c r="CU99">
        <f>'2020_2021_efet'!CS6</f>
        <v>-0.13800000000000001</v>
      </c>
      <c r="CV99">
        <f>'2020_2021_efet'!CT6</f>
        <v>-0.16700000000000001</v>
      </c>
      <c r="CW99">
        <f>'2020_2021_efet'!CU6</f>
        <v>-0.13400000000000001</v>
      </c>
      <c r="CX99">
        <f>'2020_2021_efet'!CV6</f>
        <v>-0.26100000000000001</v>
      </c>
    </row>
    <row r="100" spans="1:102" x14ac:dyDescent="0.2">
      <c r="A100" t="s">
        <v>208</v>
      </c>
      <c r="B100" t="s">
        <v>218</v>
      </c>
      <c r="C100" t="s">
        <v>223</v>
      </c>
      <c r="D100">
        <f>'2020_2021_efet'!B7</f>
        <v>1.14E-3</v>
      </c>
      <c r="E100">
        <f>'2020_2021_efet'!C7</f>
        <v>1.14E-3</v>
      </c>
      <c r="F100">
        <f>'2020_2021_efet'!D7</f>
        <v>1.14E-3</v>
      </c>
      <c r="G100">
        <f>'2020_2021_efet'!E7</f>
        <v>2.52E-2</v>
      </c>
      <c r="H100">
        <f>'2020_2021_efet'!F7</f>
        <v>1.8100000000000002E-2</v>
      </c>
      <c r="I100">
        <f>'2020_2021_efet'!G7</f>
        <v>1.72E-2</v>
      </c>
      <c r="J100">
        <f>'2020_2021_efet'!H7</f>
        <v>1.7100000000000001E-2</v>
      </c>
      <c r="K100">
        <f>'2020_2021_efet'!I7</f>
        <v>1.66E-2</v>
      </c>
      <c r="L100">
        <f>'2020_2021_efet'!J7</f>
        <v>1.77E-2</v>
      </c>
      <c r="M100">
        <f>'2020_2021_efet'!K7</f>
        <v>1.6799999999999999E-2</v>
      </c>
      <c r="N100">
        <f>'2020_2021_efet'!L7</f>
        <v>1.72E-2</v>
      </c>
      <c r="O100">
        <f>'2020_2021_efet'!M7</f>
        <v>1.7600000000000001E-2</v>
      </c>
      <c r="P100">
        <f>'2020_2021_efet'!N7</f>
        <v>1.61E-2</v>
      </c>
      <c r="Q100">
        <f>'2020_2021_efet'!O7</f>
        <v>1.2200000000000001E-2</v>
      </c>
      <c r="R100">
        <f>'2020_2021_efet'!P7</f>
        <v>1.26E-2</v>
      </c>
      <c r="S100">
        <f>'2020_2021_efet'!Q7</f>
        <v>1.21E-2</v>
      </c>
      <c r="T100">
        <f>'2020_2021_efet'!R7</f>
        <v>1.0800000000000001E-2</v>
      </c>
      <c r="U100">
        <f>'2020_2021_efet'!S7</f>
        <v>0.01</v>
      </c>
      <c r="V100">
        <f>'2020_2021_efet'!T7</f>
        <v>1.01E-2</v>
      </c>
      <c r="W100">
        <f>'2020_2021_efet'!U7</f>
        <v>9.6399999999999993E-3</v>
      </c>
      <c r="X100">
        <f>'2020_2021_efet'!V7</f>
        <v>1.0200000000000001E-2</v>
      </c>
      <c r="Y100">
        <f>'2020_2021_efet'!W7</f>
        <v>9.8399999999999998E-3</v>
      </c>
      <c r="Z100">
        <f>'2020_2021_efet'!X7</f>
        <v>1.03E-2</v>
      </c>
      <c r="AA100">
        <f>'2020_2021_efet'!Y7</f>
        <v>1.0800000000000001E-2</v>
      </c>
      <c r="AB100">
        <f>'2020_2021_efet'!Z7</f>
        <v>1.12E-2</v>
      </c>
      <c r="AC100">
        <f>'2020_2021_efet'!AA7</f>
        <v>1.14E-2</v>
      </c>
      <c r="AD100">
        <f>'2020_2021_efet'!AB7</f>
        <v>1.23E-2</v>
      </c>
      <c r="AE100">
        <f>'2020_2021_efet'!AC7</f>
        <v>1.3299999999999999E-2</v>
      </c>
      <c r="AF100">
        <f>'2020_2021_efet'!AD7</f>
        <v>1.41E-2</v>
      </c>
      <c r="AG100">
        <f>'2020_2021_efet'!AE7</f>
        <v>1.5100000000000001E-2</v>
      </c>
      <c r="AH100">
        <f>'2020_2021_efet'!AF7</f>
        <v>1.61E-2</v>
      </c>
      <c r="AI100">
        <f>'2020_2021_efet'!AG7</f>
        <v>1.7100000000000001E-2</v>
      </c>
      <c r="AJ100">
        <f>'2020_2021_efet'!AH7</f>
        <v>1.83E-2</v>
      </c>
      <c r="AK100">
        <f>'2020_2021_efet'!AI7</f>
        <v>1.8800000000000001E-2</v>
      </c>
      <c r="AL100">
        <f>'2020_2021_efet'!AJ7</f>
        <v>1.9400000000000001E-2</v>
      </c>
      <c r="AM100">
        <f>'2020_2021_efet'!AK7</f>
        <v>1.9800000000000002E-2</v>
      </c>
      <c r="AN100">
        <f>'2020_2021_efet'!AL7</f>
        <v>2.0500000000000001E-2</v>
      </c>
      <c r="AO100">
        <f>'2020_2021_efet'!AM7</f>
        <v>2.0899999999999998E-2</v>
      </c>
      <c r="AP100">
        <f>'2020_2021_efet'!AN7</f>
        <v>2.1499999999999998E-2</v>
      </c>
      <c r="AQ100">
        <f>'2020_2021_efet'!AO7</f>
        <v>2.18E-2</v>
      </c>
      <c r="AR100">
        <f>'2020_2021_efet'!AP7</f>
        <v>2.2100000000000002E-2</v>
      </c>
      <c r="AS100">
        <f>'2020_2021_efet'!AQ7</f>
        <v>2.2599999999999999E-2</v>
      </c>
      <c r="AT100">
        <f>'2020_2021_efet'!AR7</f>
        <v>2.3300000000000001E-2</v>
      </c>
      <c r="AU100">
        <f>'2020_2021_efet'!AS7</f>
        <v>2.3900000000000001E-2</v>
      </c>
      <c r="AV100">
        <f>'2020_2021_efet'!AT7</f>
        <v>2.47E-2</v>
      </c>
      <c r="AW100">
        <f>'2020_2021_efet'!AU7</f>
        <v>2.5399999999999999E-2</v>
      </c>
      <c r="AX100">
        <f>'2020_2021_efet'!AV7</f>
        <v>2.58E-2</v>
      </c>
      <c r="AY100">
        <f>'2020_2021_efet'!AW7</f>
        <v>2.6499999999999999E-2</v>
      </c>
      <c r="AZ100">
        <f>'2020_2021_efet'!AX7</f>
        <v>2.7799999999999998E-2</v>
      </c>
      <c r="BA100">
        <f>'2020_2021_efet'!AY7</f>
        <v>2.81E-2</v>
      </c>
      <c r="BB100">
        <f>'2020_2021_efet'!AZ7</f>
        <v>2.8899999999999999E-2</v>
      </c>
      <c r="BC100">
        <f>'2020_2021_efet'!BA7</f>
        <v>2.98E-2</v>
      </c>
      <c r="BD100">
        <f>'2020_2021_efet'!BB7</f>
        <v>3.04E-2</v>
      </c>
      <c r="BE100">
        <f>'2020_2021_efet'!BC7</f>
        <v>3.1199999999999999E-2</v>
      </c>
      <c r="BF100">
        <f>'2020_2021_efet'!BD7</f>
        <v>3.1699999999999999E-2</v>
      </c>
      <c r="BG100">
        <f>'2020_2021_efet'!BE7</f>
        <v>3.1899999999999998E-2</v>
      </c>
      <c r="BH100">
        <f>'2020_2021_efet'!BF7</f>
        <v>3.2000000000000001E-2</v>
      </c>
      <c r="BI100">
        <f>'2020_2021_efet'!BG7</f>
        <v>3.1899999999999998E-2</v>
      </c>
      <c r="BJ100">
        <f>'2020_2021_efet'!BH7</f>
        <v>3.2399999999999998E-2</v>
      </c>
      <c r="BK100">
        <f>'2020_2021_efet'!BI7</f>
        <v>3.2500000000000001E-2</v>
      </c>
      <c r="BL100">
        <f>'2020_2021_efet'!BJ7</f>
        <v>3.27E-2</v>
      </c>
      <c r="BM100">
        <f>'2020_2021_efet'!BK7</f>
        <v>3.2899999999999999E-2</v>
      </c>
      <c r="BN100">
        <f>'2020_2021_efet'!BL7</f>
        <v>3.3300000000000003E-2</v>
      </c>
      <c r="BO100">
        <f>'2020_2021_efet'!BM7</f>
        <v>3.5299999999999998E-2</v>
      </c>
      <c r="BP100">
        <f>'2020_2021_efet'!BN7</f>
        <v>3.8899999999999997E-2</v>
      </c>
      <c r="BQ100">
        <f>'2020_2021_efet'!BO7</f>
        <v>4.1700000000000001E-2</v>
      </c>
      <c r="BR100">
        <f>'2020_2021_efet'!BP7</f>
        <v>4.3099999999999999E-2</v>
      </c>
      <c r="BS100">
        <f>'2020_2021_efet'!BQ7</f>
        <v>4.4499999999999998E-2</v>
      </c>
      <c r="BT100">
        <f>'2020_2021_efet'!BR7</f>
        <v>4.4499999999999998E-2</v>
      </c>
      <c r="BU100">
        <f>'2020_2021_efet'!BS7</f>
        <v>4.4499999999999998E-2</v>
      </c>
      <c r="BV100">
        <f>'2020_2021_efet'!BT7</f>
        <v>4.41E-2</v>
      </c>
      <c r="BW100">
        <f>'2020_2021_efet'!BU7</f>
        <v>4.5400000000000003E-2</v>
      </c>
      <c r="BX100">
        <f>'2020_2021_efet'!BV7</f>
        <v>4.5600000000000002E-2</v>
      </c>
      <c r="BY100">
        <f>'2020_2021_efet'!BW7</f>
        <v>4.5400000000000003E-2</v>
      </c>
      <c r="BZ100">
        <f>'2020_2021_efet'!BX7</f>
        <v>4.7E-2</v>
      </c>
      <c r="CA100">
        <f>'2020_2021_efet'!BY7</f>
        <v>4.8300000000000003E-2</v>
      </c>
      <c r="CB100">
        <f>'2020_2021_efet'!BZ7</f>
        <v>4.7800000000000002E-2</v>
      </c>
      <c r="CC100">
        <f>'2020_2021_efet'!CA7</f>
        <v>4.9500000000000002E-2</v>
      </c>
      <c r="CD100">
        <f>'2020_2021_efet'!CB7</f>
        <v>5.3100000000000001E-2</v>
      </c>
      <c r="CE100">
        <f>'2020_2021_efet'!CC7</f>
        <v>5.7099999999999998E-2</v>
      </c>
      <c r="CF100">
        <f>'2020_2021_efet'!CD7</f>
        <v>6.0199999999999997E-2</v>
      </c>
      <c r="CG100">
        <f>'2020_2021_efet'!CE7</f>
        <v>5.9499999999999997E-2</v>
      </c>
      <c r="CH100">
        <f>'2020_2021_efet'!CF7</f>
        <v>5.7799999999999997E-2</v>
      </c>
      <c r="CI100">
        <f>'2020_2021_efet'!CG7</f>
        <v>5.5899999999999998E-2</v>
      </c>
      <c r="CJ100">
        <f>'2020_2021_efet'!CH7</f>
        <v>5.4699999999999999E-2</v>
      </c>
      <c r="CK100">
        <f>'2020_2021_efet'!CI7</f>
        <v>6.1800000000000001E-2</v>
      </c>
      <c r="CL100">
        <f>'2020_2021_efet'!CJ7</f>
        <v>6.1100000000000002E-2</v>
      </c>
      <c r="CM100">
        <f>'2020_2021_efet'!CK7</f>
        <v>6.0900000000000003E-2</v>
      </c>
      <c r="CN100">
        <f>'2020_2021_efet'!CL7</f>
        <v>5.8299999999999998E-2</v>
      </c>
      <c r="CO100">
        <f>'2020_2021_efet'!CM7</f>
        <v>6.7500000000000004E-2</v>
      </c>
      <c r="CP100">
        <f>'2020_2021_efet'!CN7</f>
        <v>7.0999999999999994E-2</v>
      </c>
      <c r="CQ100">
        <f>'2020_2021_efet'!CO7</f>
        <v>7.3899999999999993E-2</v>
      </c>
      <c r="CR100">
        <f>'2020_2021_efet'!CP7</f>
        <v>7.3499999999999996E-2</v>
      </c>
      <c r="CS100">
        <f>'2020_2021_efet'!CQ7</f>
        <v>6.9000000000000006E-2</v>
      </c>
      <c r="CT100">
        <f>'2020_2021_efet'!CR7</f>
        <v>6.9900000000000004E-2</v>
      </c>
      <c r="CU100">
        <f>'2020_2021_efet'!CS7</f>
        <v>6.0299999999999999E-2</v>
      </c>
      <c r="CV100">
        <f>'2020_2021_efet'!CT7</f>
        <v>7.6499999999999999E-2</v>
      </c>
      <c r="CW100">
        <f>'2020_2021_efet'!CU7</f>
        <v>0.06</v>
      </c>
      <c r="CX100">
        <f>'2020_2021_efet'!CV7</f>
        <v>7.2999999999999995E-2</v>
      </c>
    </row>
    <row r="101" spans="1:102" x14ac:dyDescent="0.2">
      <c r="A101" t="s">
        <v>209</v>
      </c>
      <c r="B101" t="s">
        <v>218</v>
      </c>
      <c r="C101" t="s">
        <v>223</v>
      </c>
      <c r="D101">
        <f>'2020_2021_efet'!B8</f>
        <v>2.24E-4</v>
      </c>
      <c r="E101">
        <f>'2020_2021_efet'!C8</f>
        <v>2.24E-4</v>
      </c>
      <c r="F101">
        <f>'2020_2021_efet'!D8</f>
        <v>2.24E-4</v>
      </c>
      <c r="G101">
        <f>'2020_2021_efet'!E8</f>
        <v>1.7000000000000001E-2</v>
      </c>
      <c r="H101">
        <f>'2020_2021_efet'!F8</f>
        <v>1.15E-2</v>
      </c>
      <c r="I101">
        <f>'2020_2021_efet'!G8</f>
        <v>9.92E-3</v>
      </c>
      <c r="J101">
        <f>'2020_2021_efet'!H8</f>
        <v>8.8900000000000003E-3</v>
      </c>
      <c r="K101">
        <f>'2020_2021_efet'!I8</f>
        <v>8.1200000000000005E-3</v>
      </c>
      <c r="L101">
        <f>'2020_2021_efet'!J8</f>
        <v>8.7100000000000007E-3</v>
      </c>
      <c r="M101">
        <f>'2020_2021_efet'!K8</f>
        <v>8.0499999999999999E-3</v>
      </c>
      <c r="N101">
        <f>'2020_2021_efet'!L8</f>
        <v>8.0300000000000007E-3</v>
      </c>
      <c r="O101">
        <f>'2020_2021_efet'!M8</f>
        <v>8.0700000000000008E-3</v>
      </c>
      <c r="P101">
        <f>'2020_2021_efet'!N8</f>
        <v>7.3400000000000002E-3</v>
      </c>
      <c r="Q101">
        <f>'2020_2021_efet'!O8</f>
        <v>5.45E-3</v>
      </c>
      <c r="R101">
        <f>'2020_2021_efet'!P8</f>
        <v>5.5700000000000003E-3</v>
      </c>
      <c r="S101">
        <f>'2020_2021_efet'!Q8</f>
        <v>5.2399999999999999E-3</v>
      </c>
      <c r="T101">
        <f>'2020_2021_efet'!R8</f>
        <v>4.5999999999999999E-3</v>
      </c>
      <c r="U101">
        <f>'2020_2021_efet'!S8</f>
        <v>4.28E-3</v>
      </c>
      <c r="V101">
        <f>'2020_2021_efet'!T8</f>
        <v>4.3099999999999996E-3</v>
      </c>
      <c r="W101">
        <f>'2020_2021_efet'!U8</f>
        <v>4.0000000000000001E-3</v>
      </c>
      <c r="X101">
        <f>'2020_2021_efet'!V8</f>
        <v>4.1900000000000001E-3</v>
      </c>
      <c r="Y101">
        <f>'2020_2021_efet'!W8</f>
        <v>4.0699999999999998E-3</v>
      </c>
      <c r="Z101">
        <f>'2020_2021_efet'!X8</f>
        <v>4.15E-3</v>
      </c>
      <c r="AA101">
        <f>'2020_2021_efet'!Y8</f>
        <v>4.3299999999999996E-3</v>
      </c>
      <c r="AB101">
        <f>'2020_2021_efet'!Z8</f>
        <v>4.45E-3</v>
      </c>
      <c r="AC101">
        <f>'2020_2021_efet'!AA8</f>
        <v>4.4799999999999996E-3</v>
      </c>
      <c r="AD101">
        <f>'2020_2021_efet'!AB8</f>
        <v>4.62E-3</v>
      </c>
      <c r="AE101">
        <f>'2020_2021_efet'!AC8</f>
        <v>4.8399999999999997E-3</v>
      </c>
      <c r="AF101">
        <f>'2020_2021_efet'!AD8</f>
        <v>5.0800000000000003E-3</v>
      </c>
      <c r="AG101">
        <f>'2020_2021_efet'!AE8</f>
        <v>5.5300000000000002E-3</v>
      </c>
      <c r="AH101">
        <f>'2020_2021_efet'!AF8</f>
        <v>5.8999999999999999E-3</v>
      </c>
      <c r="AI101">
        <f>'2020_2021_efet'!AG8</f>
        <v>6.3E-3</v>
      </c>
      <c r="AJ101">
        <f>'2020_2021_efet'!AH8</f>
        <v>6.6899999999999998E-3</v>
      </c>
      <c r="AK101">
        <f>'2020_2021_efet'!AI8</f>
        <v>6.8300000000000001E-3</v>
      </c>
      <c r="AL101">
        <f>'2020_2021_efet'!AJ8</f>
        <v>6.9699999999999996E-3</v>
      </c>
      <c r="AM101">
        <f>'2020_2021_efet'!AK8</f>
        <v>7.1500000000000001E-3</v>
      </c>
      <c r="AN101">
        <f>'2020_2021_efet'!AL8</f>
        <v>7.3200000000000001E-3</v>
      </c>
      <c r="AO101">
        <f>'2020_2021_efet'!AM8</f>
        <v>7.3200000000000001E-3</v>
      </c>
      <c r="AP101">
        <f>'2020_2021_efet'!AN8</f>
        <v>7.4400000000000004E-3</v>
      </c>
      <c r="AQ101">
        <f>'2020_2021_efet'!AO8</f>
        <v>7.4999999999999997E-3</v>
      </c>
      <c r="AR101">
        <f>'2020_2021_efet'!AP8</f>
        <v>7.5300000000000002E-3</v>
      </c>
      <c r="AS101">
        <f>'2020_2021_efet'!AQ8</f>
        <v>7.7200000000000003E-3</v>
      </c>
      <c r="AT101">
        <f>'2020_2021_efet'!AR8</f>
        <v>7.8399999999999997E-3</v>
      </c>
      <c r="AU101">
        <f>'2020_2021_efet'!AS8</f>
        <v>7.9900000000000006E-3</v>
      </c>
      <c r="AV101">
        <f>'2020_2021_efet'!AT8</f>
        <v>8.0000000000000002E-3</v>
      </c>
      <c r="AW101">
        <f>'2020_2021_efet'!AU8</f>
        <v>8.1399999999999997E-3</v>
      </c>
      <c r="AX101">
        <f>'2020_2021_efet'!AV8</f>
        <v>8.1799999999999998E-3</v>
      </c>
      <c r="AY101">
        <f>'2020_2021_efet'!AW8</f>
        <v>8.2900000000000005E-3</v>
      </c>
      <c r="AZ101">
        <f>'2020_2021_efet'!AX8</f>
        <v>8.5599999999999999E-3</v>
      </c>
      <c r="BA101">
        <f>'2020_2021_efet'!AY8</f>
        <v>8.6E-3</v>
      </c>
      <c r="BB101">
        <f>'2020_2021_efet'!AZ8</f>
        <v>8.7500000000000008E-3</v>
      </c>
      <c r="BC101">
        <f>'2020_2021_efet'!BA8</f>
        <v>8.9499999999999996E-3</v>
      </c>
      <c r="BD101">
        <f>'2020_2021_efet'!BB8</f>
        <v>8.9700000000000005E-3</v>
      </c>
      <c r="BE101">
        <f>'2020_2021_efet'!BC8</f>
        <v>9.1199999999999996E-3</v>
      </c>
      <c r="BF101">
        <f>'2020_2021_efet'!BD8</f>
        <v>9.1500000000000001E-3</v>
      </c>
      <c r="BG101">
        <f>'2020_2021_efet'!BE8</f>
        <v>9.1500000000000001E-3</v>
      </c>
      <c r="BH101">
        <f>'2020_2021_efet'!BF8</f>
        <v>9.0900000000000009E-3</v>
      </c>
      <c r="BI101">
        <f>'2020_2021_efet'!BG8</f>
        <v>8.9999999999999993E-3</v>
      </c>
      <c r="BJ101">
        <f>'2020_2021_efet'!BH8</f>
        <v>9.1000000000000004E-3</v>
      </c>
      <c r="BK101">
        <f>'2020_2021_efet'!BI8</f>
        <v>8.9999999999999993E-3</v>
      </c>
      <c r="BL101">
        <f>'2020_2021_efet'!BJ8</f>
        <v>8.9499999999999996E-3</v>
      </c>
      <c r="BM101">
        <f>'2020_2021_efet'!BK8</f>
        <v>8.9300000000000004E-3</v>
      </c>
      <c r="BN101">
        <f>'2020_2021_efet'!BL8</f>
        <v>9.0100000000000006E-3</v>
      </c>
      <c r="BO101">
        <f>'2020_2021_efet'!BM8</f>
        <v>9.4400000000000005E-3</v>
      </c>
      <c r="BP101">
        <f>'2020_2021_efet'!BN8</f>
        <v>1.03E-2</v>
      </c>
      <c r="BQ101">
        <f>'2020_2021_efet'!BO8</f>
        <v>1.09E-2</v>
      </c>
      <c r="BR101">
        <f>'2020_2021_efet'!BP8</f>
        <v>1.1299999999999999E-2</v>
      </c>
      <c r="BS101">
        <f>'2020_2021_efet'!BQ8</f>
        <v>1.15E-2</v>
      </c>
      <c r="BT101">
        <f>'2020_2021_efet'!BR8</f>
        <v>1.14E-2</v>
      </c>
      <c r="BU101">
        <f>'2020_2021_efet'!BS8</f>
        <v>1.14E-2</v>
      </c>
      <c r="BV101">
        <f>'2020_2021_efet'!BT8</f>
        <v>1.12E-2</v>
      </c>
      <c r="BW101">
        <f>'2020_2021_efet'!BU8</f>
        <v>1.14E-2</v>
      </c>
      <c r="BX101">
        <f>'2020_2021_efet'!BV8</f>
        <v>1.12E-2</v>
      </c>
      <c r="BY101">
        <f>'2020_2021_efet'!BW8</f>
        <v>1.11E-2</v>
      </c>
      <c r="BZ101">
        <f>'2020_2021_efet'!BX8</f>
        <v>1.1299999999999999E-2</v>
      </c>
      <c r="CA101">
        <f>'2020_2021_efet'!BY8</f>
        <v>1.17E-2</v>
      </c>
      <c r="CB101">
        <f>'2020_2021_efet'!BZ8</f>
        <v>1.1599999999999999E-2</v>
      </c>
      <c r="CC101">
        <f>'2020_2021_efet'!CA8</f>
        <v>1.2E-2</v>
      </c>
      <c r="CD101">
        <f>'2020_2021_efet'!CB8</f>
        <v>1.2800000000000001E-2</v>
      </c>
      <c r="CE101">
        <f>'2020_2021_efet'!CC8</f>
        <v>1.34E-2</v>
      </c>
      <c r="CF101">
        <f>'2020_2021_efet'!CD8</f>
        <v>1.4E-2</v>
      </c>
      <c r="CG101">
        <f>'2020_2021_efet'!CE8</f>
        <v>1.38E-2</v>
      </c>
      <c r="CH101">
        <f>'2020_2021_efet'!CF8</f>
        <v>1.3299999999999999E-2</v>
      </c>
      <c r="CI101">
        <f>'2020_2021_efet'!CG8</f>
        <v>1.2699999999999999E-2</v>
      </c>
      <c r="CJ101">
        <f>'2020_2021_efet'!CH8</f>
        <v>1.23E-2</v>
      </c>
      <c r="CK101">
        <f>'2020_2021_efet'!CI8</f>
        <v>1.3899999999999999E-2</v>
      </c>
      <c r="CL101">
        <f>'2020_2021_efet'!CJ8</f>
        <v>1.38E-2</v>
      </c>
      <c r="CM101">
        <f>'2020_2021_efet'!CK8</f>
        <v>1.37E-2</v>
      </c>
      <c r="CN101">
        <f>'2020_2021_efet'!CL8</f>
        <v>1.32E-2</v>
      </c>
      <c r="CO101">
        <f>'2020_2021_efet'!CM8</f>
        <v>1.54E-2</v>
      </c>
      <c r="CP101">
        <f>'2020_2021_efet'!CN8</f>
        <v>1.6299999999999999E-2</v>
      </c>
      <c r="CQ101">
        <f>'2020_2021_efet'!CO8</f>
        <v>1.72E-2</v>
      </c>
      <c r="CR101">
        <f>'2020_2021_efet'!CP8</f>
        <v>1.7299999999999999E-2</v>
      </c>
      <c r="CS101">
        <f>'2020_2021_efet'!CQ8</f>
        <v>1.6199999999999999E-2</v>
      </c>
      <c r="CT101">
        <f>'2020_2021_efet'!CR8</f>
        <v>1.6299999999999999E-2</v>
      </c>
      <c r="CU101">
        <f>'2020_2021_efet'!CS8</f>
        <v>1.4E-2</v>
      </c>
      <c r="CV101">
        <f>'2020_2021_efet'!CT8</f>
        <v>1.9E-2</v>
      </c>
      <c r="CW101">
        <f>'2020_2021_efet'!CU8</f>
        <v>1.6199999999999999E-2</v>
      </c>
      <c r="CX101">
        <f>'2020_2021_efet'!CV8</f>
        <v>2.2800000000000001E-2</v>
      </c>
    </row>
    <row r="102" spans="1:102" x14ac:dyDescent="0.2">
      <c r="A102" t="s">
        <v>210</v>
      </c>
      <c r="B102" t="s">
        <v>218</v>
      </c>
      <c r="C102" t="s">
        <v>223</v>
      </c>
      <c r="D102">
        <f>'2020_2021_efet'!B9</f>
        <v>4.6E-5</v>
      </c>
      <c r="E102">
        <f>'2020_2021_efet'!C9</f>
        <v>4.6E-5</v>
      </c>
      <c r="F102">
        <f>'2020_2021_efet'!D9</f>
        <v>4.6E-5</v>
      </c>
      <c r="G102">
        <f>'2020_2021_efet'!E9</f>
        <v>7.45E-4</v>
      </c>
      <c r="H102">
        <f>'2020_2021_efet'!F9</f>
        <v>4.7600000000000002E-4</v>
      </c>
      <c r="I102">
        <f>'2020_2021_efet'!G9</f>
        <v>4.1899999999999999E-4</v>
      </c>
      <c r="J102">
        <f>'2020_2021_efet'!H9</f>
        <v>4.1599999999999997E-4</v>
      </c>
      <c r="K102">
        <f>'2020_2021_efet'!I9</f>
        <v>3.8499999999999998E-4</v>
      </c>
      <c r="L102">
        <f>'2020_2021_efet'!J9</f>
        <v>3.8999999999999999E-4</v>
      </c>
      <c r="M102">
        <f>'2020_2021_efet'!K9</f>
        <v>3.5500000000000001E-4</v>
      </c>
      <c r="N102">
        <f>'2020_2021_efet'!L9</f>
        <v>3.4299999999999999E-4</v>
      </c>
      <c r="O102">
        <f>'2020_2021_efet'!M9</f>
        <v>3.4000000000000002E-4</v>
      </c>
      <c r="P102">
        <f>'2020_2021_efet'!N9</f>
        <v>2.9399999999999999E-4</v>
      </c>
      <c r="Q102">
        <f>'2020_2021_efet'!O9</f>
        <v>2.02E-4</v>
      </c>
      <c r="R102">
        <f>'2020_2021_efet'!P9</f>
        <v>2.1000000000000001E-4</v>
      </c>
      <c r="S102">
        <f>'2020_2021_efet'!Q9</f>
        <v>1.8799999999999999E-4</v>
      </c>
      <c r="T102">
        <f>'2020_2021_efet'!R9</f>
        <v>1.5799999999999999E-4</v>
      </c>
      <c r="U102">
        <f>'2020_2021_efet'!S9</f>
        <v>1.37E-4</v>
      </c>
      <c r="V102">
        <f>'2020_2021_efet'!T9</f>
        <v>1.2999999999999999E-4</v>
      </c>
      <c r="W102">
        <f>'2020_2021_efet'!U9</f>
        <v>1.25E-4</v>
      </c>
      <c r="X102">
        <f>'2020_2021_efet'!V9</f>
        <v>1.3200000000000001E-4</v>
      </c>
      <c r="Y102">
        <f>'2020_2021_efet'!W9</f>
        <v>1.2300000000000001E-4</v>
      </c>
      <c r="Z102">
        <f>'2020_2021_efet'!X9</f>
        <v>1.2899999999999999E-4</v>
      </c>
      <c r="AA102">
        <f>'2020_2021_efet'!Y9</f>
        <v>1.34E-4</v>
      </c>
      <c r="AB102">
        <f>'2020_2021_efet'!Z9</f>
        <v>1.3799999999999999E-4</v>
      </c>
      <c r="AC102">
        <f>'2020_2021_efet'!AA9</f>
        <v>1.36E-4</v>
      </c>
      <c r="AD102">
        <f>'2020_2021_efet'!AB9</f>
        <v>1.46E-4</v>
      </c>
      <c r="AE102">
        <f>'2020_2021_efet'!AC9</f>
        <v>1.55E-4</v>
      </c>
      <c r="AF102">
        <f>'2020_2021_efet'!AD9</f>
        <v>1.64E-4</v>
      </c>
      <c r="AG102">
        <f>'2020_2021_efet'!AE9</f>
        <v>1.76E-4</v>
      </c>
      <c r="AH102">
        <f>'2020_2021_efet'!AF9</f>
        <v>1.8599999999999999E-4</v>
      </c>
      <c r="AI102">
        <f>'2020_2021_efet'!AG9</f>
        <v>1.9799999999999999E-4</v>
      </c>
      <c r="AJ102">
        <f>'2020_2021_efet'!AH9</f>
        <v>2.0699999999999999E-4</v>
      </c>
      <c r="AK102">
        <f>'2020_2021_efet'!AI9</f>
        <v>2.12E-4</v>
      </c>
      <c r="AL102">
        <f>'2020_2021_efet'!AJ9</f>
        <v>2.22E-4</v>
      </c>
      <c r="AM102">
        <f>'2020_2021_efet'!AK9</f>
        <v>2.2499999999999999E-4</v>
      </c>
      <c r="AN102">
        <f>'2020_2021_efet'!AL9</f>
        <v>2.24E-4</v>
      </c>
      <c r="AO102">
        <f>'2020_2021_efet'!AM9</f>
        <v>2.23E-4</v>
      </c>
      <c r="AP102">
        <f>'2020_2021_efet'!AN9</f>
        <v>2.3000000000000001E-4</v>
      </c>
      <c r="AQ102">
        <f>'2020_2021_efet'!AO9</f>
        <v>2.2900000000000001E-4</v>
      </c>
      <c r="AR102">
        <f>'2020_2021_efet'!AP9</f>
        <v>2.2900000000000001E-4</v>
      </c>
      <c r="AS102">
        <f>'2020_2021_efet'!AQ9</f>
        <v>2.32E-4</v>
      </c>
      <c r="AT102">
        <f>'2020_2021_efet'!AR9</f>
        <v>2.3699999999999999E-4</v>
      </c>
      <c r="AU102">
        <f>'2020_2021_efet'!AS9</f>
        <v>2.4600000000000002E-4</v>
      </c>
      <c r="AV102">
        <f>'2020_2021_efet'!AT9</f>
        <v>2.5300000000000002E-4</v>
      </c>
      <c r="AW102">
        <f>'2020_2021_efet'!AU9</f>
        <v>2.5799999999999998E-4</v>
      </c>
      <c r="AX102">
        <f>'2020_2021_efet'!AV9</f>
        <v>2.6400000000000002E-4</v>
      </c>
      <c r="AY102">
        <f>'2020_2021_efet'!AW9</f>
        <v>2.6699999999999998E-4</v>
      </c>
      <c r="AZ102">
        <f>'2020_2021_efet'!AX9</f>
        <v>2.7399999999999999E-4</v>
      </c>
      <c r="BA102">
        <f>'2020_2021_efet'!AY9</f>
        <v>2.81E-4</v>
      </c>
      <c r="BB102">
        <f>'2020_2021_efet'!AZ9</f>
        <v>2.8200000000000002E-4</v>
      </c>
      <c r="BC102">
        <f>'2020_2021_efet'!BA9</f>
        <v>2.8400000000000002E-4</v>
      </c>
      <c r="BD102">
        <f>'2020_2021_efet'!BB9</f>
        <v>2.7999999999999998E-4</v>
      </c>
      <c r="BE102">
        <f>'2020_2021_efet'!BC9</f>
        <v>2.8200000000000002E-4</v>
      </c>
      <c r="BF102">
        <f>'2020_2021_efet'!BD9</f>
        <v>2.8800000000000001E-4</v>
      </c>
      <c r="BG102">
        <f>'2020_2021_efet'!BE9</f>
        <v>2.8600000000000001E-4</v>
      </c>
      <c r="BH102">
        <f>'2020_2021_efet'!BF9</f>
        <v>2.81E-4</v>
      </c>
      <c r="BI102">
        <f>'2020_2021_efet'!BG9</f>
        <v>2.72E-4</v>
      </c>
      <c r="BJ102">
        <f>'2020_2021_efet'!BH9</f>
        <v>2.72E-4</v>
      </c>
      <c r="BK102">
        <f>'2020_2021_efet'!BI9</f>
        <v>2.7399999999999999E-4</v>
      </c>
      <c r="BL102">
        <f>'2020_2021_efet'!BJ9</f>
        <v>2.7399999999999999E-4</v>
      </c>
      <c r="BM102">
        <f>'2020_2021_efet'!BK9</f>
        <v>2.7500000000000002E-4</v>
      </c>
      <c r="BN102">
        <f>'2020_2021_efet'!BL9</f>
        <v>2.7900000000000001E-4</v>
      </c>
      <c r="BO102">
        <f>'2020_2021_efet'!BM9</f>
        <v>2.9100000000000003E-4</v>
      </c>
      <c r="BP102">
        <f>'2020_2021_efet'!BN9</f>
        <v>3.2299999999999999E-4</v>
      </c>
      <c r="BQ102">
        <f>'2020_2021_efet'!BO9</f>
        <v>3.39E-4</v>
      </c>
      <c r="BR102">
        <f>'2020_2021_efet'!BP9</f>
        <v>3.4699999999999998E-4</v>
      </c>
      <c r="BS102">
        <f>'2020_2021_efet'!BQ9</f>
        <v>3.5399999999999999E-4</v>
      </c>
      <c r="BT102">
        <f>'2020_2021_efet'!BR9</f>
        <v>3.5300000000000002E-4</v>
      </c>
      <c r="BU102">
        <f>'2020_2021_efet'!BS9</f>
        <v>3.4299999999999999E-4</v>
      </c>
      <c r="BV102">
        <f>'2020_2021_efet'!BT9</f>
        <v>3.3500000000000001E-4</v>
      </c>
      <c r="BW102">
        <f>'2020_2021_efet'!BU9</f>
        <v>3.4099999999999999E-4</v>
      </c>
      <c r="BX102">
        <f>'2020_2021_efet'!BV9</f>
        <v>3.5199999999999999E-4</v>
      </c>
      <c r="BY102">
        <f>'2020_2021_efet'!BW9</f>
        <v>3.4499999999999998E-4</v>
      </c>
      <c r="BZ102">
        <f>'2020_2021_efet'!BX9</f>
        <v>3.5399999999999999E-4</v>
      </c>
      <c r="CA102">
        <f>'2020_2021_efet'!BY9</f>
        <v>3.6299999999999999E-4</v>
      </c>
      <c r="CB102">
        <f>'2020_2021_efet'!BZ9</f>
        <v>3.6099999999999999E-4</v>
      </c>
      <c r="CC102">
        <f>'2020_2021_efet'!CA9</f>
        <v>3.77E-4</v>
      </c>
      <c r="CD102">
        <f>'2020_2021_efet'!CB9</f>
        <v>3.9800000000000002E-4</v>
      </c>
      <c r="CE102">
        <f>'2020_2021_efet'!CC9</f>
        <v>4.1899999999999999E-4</v>
      </c>
      <c r="CF102">
        <f>'2020_2021_efet'!CD9</f>
        <v>4.4799999999999999E-4</v>
      </c>
      <c r="CG102">
        <f>'2020_2021_efet'!CE9</f>
        <v>4.3899999999999999E-4</v>
      </c>
      <c r="CH102">
        <f>'2020_2021_efet'!CF9</f>
        <v>4.2299999999999998E-4</v>
      </c>
      <c r="CI102">
        <f>'2020_2021_efet'!CG9</f>
        <v>4.1399999999999998E-4</v>
      </c>
      <c r="CJ102">
        <f>'2020_2021_efet'!CH9</f>
        <v>4.2200000000000001E-4</v>
      </c>
      <c r="CK102">
        <f>'2020_2021_efet'!CI9</f>
        <v>4.7399999999999997E-4</v>
      </c>
      <c r="CL102">
        <f>'2020_2021_efet'!CJ9</f>
        <v>4.5899999999999999E-4</v>
      </c>
      <c r="CM102">
        <f>'2020_2021_efet'!CK9</f>
        <v>4.7100000000000001E-4</v>
      </c>
      <c r="CN102">
        <f>'2020_2021_efet'!CL9</f>
        <v>4.5899999999999999E-4</v>
      </c>
      <c r="CO102">
        <f>'2020_2021_efet'!CM9</f>
        <v>5.2899999999999996E-4</v>
      </c>
      <c r="CP102">
        <f>'2020_2021_efet'!CN9</f>
        <v>5.71E-4</v>
      </c>
      <c r="CQ102">
        <f>'2020_2021_efet'!CO9</f>
        <v>6.11E-4</v>
      </c>
      <c r="CR102">
        <f>'2020_2021_efet'!CP9</f>
        <v>6.2200000000000005E-4</v>
      </c>
      <c r="CS102">
        <f>'2020_2021_efet'!CQ9</f>
        <v>6.3500000000000004E-4</v>
      </c>
      <c r="CT102">
        <f>'2020_2021_efet'!CR9</f>
        <v>6.4800000000000003E-4</v>
      </c>
      <c r="CU102">
        <f>'2020_2021_efet'!CS9</f>
        <v>5.6599999999999999E-4</v>
      </c>
      <c r="CV102">
        <f>'2020_2021_efet'!CT9</f>
        <v>7.36E-4</v>
      </c>
      <c r="CW102">
        <f>'2020_2021_efet'!CU9</f>
        <v>5.6099999999999998E-4</v>
      </c>
      <c r="CX102">
        <f>'2020_2021_efet'!CV9</f>
        <v>7.7499999999999997E-4</v>
      </c>
    </row>
    <row r="103" spans="1:102" x14ac:dyDescent="0.2">
      <c r="A103" t="s">
        <v>211</v>
      </c>
      <c r="B103" t="s">
        <v>218</v>
      </c>
      <c r="C103" t="s">
        <v>223</v>
      </c>
      <c r="D103">
        <f>'2020_2021_efet'!B10</f>
        <v>2.4800000000000001E-4</v>
      </c>
      <c r="E103">
        <f>'2020_2021_efet'!C10</f>
        <v>2.4800000000000001E-4</v>
      </c>
      <c r="F103">
        <f>'2020_2021_efet'!D10</f>
        <v>2.4800000000000001E-4</v>
      </c>
      <c r="G103">
        <f>'2020_2021_efet'!E10</f>
        <v>4.28E-3</v>
      </c>
      <c r="H103">
        <f>'2020_2021_efet'!F10</f>
        <v>2.33E-3</v>
      </c>
      <c r="I103">
        <f>'2020_2021_efet'!G10</f>
        <v>1.72E-3</v>
      </c>
      <c r="J103">
        <f>'2020_2021_efet'!H10</f>
        <v>1.5299999999999999E-3</v>
      </c>
      <c r="K103">
        <f>'2020_2021_efet'!I10</f>
        <v>1.48E-3</v>
      </c>
      <c r="L103">
        <f>'2020_2021_efet'!J10</f>
        <v>1.42E-3</v>
      </c>
      <c r="M103">
        <f>'2020_2021_efet'!K10</f>
        <v>1.33E-3</v>
      </c>
      <c r="N103">
        <f>'2020_2021_efet'!L10</f>
        <v>1.16E-3</v>
      </c>
      <c r="O103">
        <f>'2020_2021_efet'!M10</f>
        <v>1.2700000000000001E-3</v>
      </c>
      <c r="P103">
        <f>'2020_2021_efet'!N10</f>
        <v>1.07E-3</v>
      </c>
      <c r="Q103">
        <f>'2020_2021_efet'!O10</f>
        <v>7.9699999999999997E-4</v>
      </c>
      <c r="R103">
        <f>'2020_2021_efet'!P10</f>
        <v>7.8399999999999997E-4</v>
      </c>
      <c r="S103">
        <f>'2020_2021_efet'!Q10</f>
        <v>6.9099999999999999E-4</v>
      </c>
      <c r="T103">
        <f>'2020_2021_efet'!R10</f>
        <v>6.5499999999999998E-4</v>
      </c>
      <c r="U103">
        <f>'2020_2021_efet'!S10</f>
        <v>6.2100000000000002E-4</v>
      </c>
      <c r="V103">
        <f>'2020_2021_efet'!T10</f>
        <v>6.4300000000000002E-4</v>
      </c>
      <c r="W103">
        <f>'2020_2021_efet'!U10</f>
        <v>6.1499999999999999E-4</v>
      </c>
      <c r="X103">
        <f>'2020_2021_efet'!V10</f>
        <v>6.7299999999999999E-4</v>
      </c>
      <c r="Y103">
        <f>'2020_2021_efet'!W10</f>
        <v>5.9400000000000002E-4</v>
      </c>
      <c r="Z103">
        <f>'2020_2021_efet'!X10</f>
        <v>6.8000000000000005E-4</v>
      </c>
      <c r="AA103">
        <f>'2020_2021_efet'!Y10</f>
        <v>6.1799999999999995E-4</v>
      </c>
      <c r="AB103">
        <f>'2020_2021_efet'!Z10</f>
        <v>6.69E-4</v>
      </c>
      <c r="AC103">
        <f>'2020_2021_efet'!AA10</f>
        <v>6.2299999999999996E-4</v>
      </c>
      <c r="AD103">
        <f>'2020_2021_efet'!AB10</f>
        <v>6.7000000000000002E-4</v>
      </c>
      <c r="AE103">
        <f>'2020_2021_efet'!AC10</f>
        <v>7.27E-4</v>
      </c>
      <c r="AF103">
        <f>'2020_2021_efet'!AD10</f>
        <v>7.6599999999999997E-4</v>
      </c>
      <c r="AG103">
        <f>'2020_2021_efet'!AE10</f>
        <v>8.4999999999999995E-4</v>
      </c>
      <c r="AH103">
        <f>'2020_2021_efet'!AF10</f>
        <v>9.59E-4</v>
      </c>
      <c r="AI103">
        <f>'2020_2021_efet'!AG10</f>
        <v>1.07E-3</v>
      </c>
      <c r="AJ103">
        <f>'2020_2021_efet'!AH10</f>
        <v>1.1000000000000001E-3</v>
      </c>
      <c r="AK103">
        <f>'2020_2021_efet'!AI10</f>
        <v>1.1800000000000001E-3</v>
      </c>
      <c r="AL103">
        <f>'2020_2021_efet'!AJ10</f>
        <v>1.1299999999999999E-3</v>
      </c>
      <c r="AM103">
        <f>'2020_2021_efet'!AK10</f>
        <v>1.1900000000000001E-3</v>
      </c>
      <c r="AN103">
        <f>'2020_2021_efet'!AL10</f>
        <v>1.23E-3</v>
      </c>
      <c r="AO103">
        <f>'2020_2021_efet'!AM10</f>
        <v>1.2800000000000001E-3</v>
      </c>
      <c r="AP103">
        <f>'2020_2021_efet'!AN10</f>
        <v>1.33E-3</v>
      </c>
      <c r="AQ103">
        <f>'2020_2021_efet'!AO10</f>
        <v>1.3699999999999999E-3</v>
      </c>
      <c r="AR103">
        <f>'2020_2021_efet'!AP10</f>
        <v>1.4E-3</v>
      </c>
      <c r="AS103">
        <f>'2020_2021_efet'!AQ10</f>
        <v>1.39E-3</v>
      </c>
      <c r="AT103">
        <f>'2020_2021_efet'!AR10</f>
        <v>1.42E-3</v>
      </c>
      <c r="AU103">
        <f>'2020_2021_efet'!AS10</f>
        <v>1.4599999999999999E-3</v>
      </c>
      <c r="AV103">
        <f>'2020_2021_efet'!AT10</f>
        <v>1.5200000000000001E-3</v>
      </c>
      <c r="AW103">
        <f>'2020_2021_efet'!AU10</f>
        <v>1.6199999999999999E-3</v>
      </c>
      <c r="AX103">
        <f>'2020_2021_efet'!AV10</f>
        <v>1.5900000000000001E-3</v>
      </c>
      <c r="AY103">
        <f>'2020_2021_efet'!AW10</f>
        <v>1.6299999999999999E-3</v>
      </c>
      <c r="AZ103">
        <f>'2020_2021_efet'!AX10</f>
        <v>1.6999999999999999E-3</v>
      </c>
      <c r="BA103">
        <f>'2020_2021_efet'!AY10</f>
        <v>1.72E-3</v>
      </c>
      <c r="BB103">
        <f>'2020_2021_efet'!AZ10</f>
        <v>1.7899999999999999E-3</v>
      </c>
      <c r="BC103">
        <f>'2020_2021_efet'!BA10</f>
        <v>1.8699999999999999E-3</v>
      </c>
      <c r="BD103">
        <f>'2020_2021_efet'!BB10</f>
        <v>1.8799999999999999E-3</v>
      </c>
      <c r="BE103">
        <f>'2020_2021_efet'!BC10</f>
        <v>1.8600000000000001E-3</v>
      </c>
      <c r="BF103">
        <f>'2020_2021_efet'!BD10</f>
        <v>1.8799999999999999E-3</v>
      </c>
      <c r="BG103">
        <f>'2020_2021_efet'!BE10</f>
        <v>1.8799999999999999E-3</v>
      </c>
      <c r="BH103">
        <f>'2020_2021_efet'!BF10</f>
        <v>1.83E-3</v>
      </c>
      <c r="BI103">
        <f>'2020_2021_efet'!BG10</f>
        <v>1.81E-3</v>
      </c>
      <c r="BJ103">
        <f>'2020_2021_efet'!BH10</f>
        <v>1.8E-3</v>
      </c>
      <c r="BK103">
        <f>'2020_2021_efet'!BI10</f>
        <v>1.8799999999999999E-3</v>
      </c>
      <c r="BL103">
        <f>'2020_2021_efet'!BJ10</f>
        <v>1.6900000000000001E-3</v>
      </c>
      <c r="BM103">
        <f>'2020_2021_efet'!BK10</f>
        <v>1.67E-3</v>
      </c>
      <c r="BN103">
        <f>'2020_2021_efet'!BL10</f>
        <v>1.74E-3</v>
      </c>
      <c r="BO103">
        <f>'2020_2021_efet'!BM10</f>
        <v>1.8400000000000001E-3</v>
      </c>
      <c r="BP103">
        <f>'2020_2021_efet'!BN10</f>
        <v>2.0799999999999998E-3</v>
      </c>
      <c r="BQ103">
        <f>'2020_2021_efet'!BO10</f>
        <v>2.2699999999999999E-3</v>
      </c>
      <c r="BR103">
        <f>'2020_2021_efet'!BP10</f>
        <v>2.3500000000000001E-3</v>
      </c>
      <c r="BS103">
        <f>'2020_2021_efet'!BQ10</f>
        <v>2.5200000000000001E-3</v>
      </c>
      <c r="BT103">
        <f>'2020_2021_efet'!BR10</f>
        <v>2.5000000000000001E-3</v>
      </c>
      <c r="BU103">
        <f>'2020_2021_efet'!BS10</f>
        <v>2.5000000000000001E-3</v>
      </c>
      <c r="BV103">
        <f>'2020_2021_efet'!BT10</f>
        <v>2.4199999999999998E-3</v>
      </c>
      <c r="BW103">
        <f>'2020_2021_efet'!BU10</f>
        <v>2.5200000000000001E-3</v>
      </c>
      <c r="BX103">
        <f>'2020_2021_efet'!BV10</f>
        <v>2.5600000000000002E-3</v>
      </c>
      <c r="BY103">
        <f>'2020_2021_efet'!BW10</f>
        <v>2.5600000000000002E-3</v>
      </c>
      <c r="BZ103">
        <f>'2020_2021_efet'!BX10</f>
        <v>2.63E-3</v>
      </c>
      <c r="CA103">
        <f>'2020_2021_efet'!BY10</f>
        <v>2.7799999999999999E-3</v>
      </c>
      <c r="CB103">
        <f>'2020_2021_efet'!BZ10</f>
        <v>2.5699999999999998E-3</v>
      </c>
      <c r="CC103">
        <f>'2020_2021_efet'!CA10</f>
        <v>2.7799999999999999E-3</v>
      </c>
      <c r="CD103">
        <f>'2020_2021_efet'!CB10</f>
        <v>2.9499999999999999E-3</v>
      </c>
      <c r="CE103">
        <f>'2020_2021_efet'!CC10</f>
        <v>3.16E-3</v>
      </c>
      <c r="CF103">
        <f>'2020_2021_efet'!CD10</f>
        <v>3.3800000000000002E-3</v>
      </c>
      <c r="CG103">
        <f>'2020_2021_efet'!CE10</f>
        <v>3.4299999999999999E-3</v>
      </c>
      <c r="CH103">
        <f>'2020_2021_efet'!CF10</f>
        <v>3.3400000000000001E-3</v>
      </c>
      <c r="CI103">
        <f>'2020_2021_efet'!CG10</f>
        <v>3.1700000000000001E-3</v>
      </c>
      <c r="CJ103">
        <f>'2020_2021_efet'!CH10</f>
        <v>3.3E-3</v>
      </c>
      <c r="CK103">
        <f>'2020_2021_efet'!CI10</f>
        <v>3.8700000000000002E-3</v>
      </c>
      <c r="CL103">
        <f>'2020_2021_efet'!CJ10</f>
        <v>3.82E-3</v>
      </c>
      <c r="CM103">
        <f>'2020_2021_efet'!CK10</f>
        <v>3.81E-3</v>
      </c>
      <c r="CN103">
        <f>'2020_2021_efet'!CL10</f>
        <v>3.63E-3</v>
      </c>
      <c r="CO103">
        <f>'2020_2021_efet'!CM10</f>
        <v>4.1000000000000003E-3</v>
      </c>
      <c r="CP103">
        <f>'2020_2021_efet'!CN10</f>
        <v>4.3099999999999996E-3</v>
      </c>
      <c r="CQ103">
        <f>'2020_2021_efet'!CO10</f>
        <v>4.8500000000000001E-3</v>
      </c>
      <c r="CR103">
        <f>'2020_2021_efet'!CP10</f>
        <v>4.9800000000000001E-3</v>
      </c>
      <c r="CS103">
        <f>'2020_2021_efet'!CQ10</f>
        <v>4.8700000000000002E-3</v>
      </c>
      <c r="CT103">
        <f>'2020_2021_efet'!CR10</f>
        <v>5.1599999999999997E-3</v>
      </c>
      <c r="CU103">
        <f>'2020_2021_efet'!CS10</f>
        <v>4.5799999999999999E-3</v>
      </c>
      <c r="CV103">
        <f>'2020_2021_efet'!CT10</f>
        <v>5.9500000000000004E-3</v>
      </c>
      <c r="CW103">
        <f>'2020_2021_efet'!CU10</f>
        <v>4.9100000000000003E-3</v>
      </c>
      <c r="CX103">
        <f>'2020_2021_efet'!CV10</f>
        <v>6.28E-3</v>
      </c>
    </row>
    <row r="104" spans="1:102" x14ac:dyDescent="0.2">
      <c r="A104" t="s">
        <v>212</v>
      </c>
      <c r="B104" t="s">
        <v>218</v>
      </c>
      <c r="C104" t="s">
        <v>223</v>
      </c>
      <c r="D104">
        <f>'2020_2021_efet'!B11</f>
        <v>-1.8699999999999999E-4</v>
      </c>
      <c r="E104">
        <f>'2020_2021_efet'!C11</f>
        <v>-1.8699999999999999E-4</v>
      </c>
      <c r="F104">
        <f>'2020_2021_efet'!D11</f>
        <v>-1.8699999999999999E-4</v>
      </c>
      <c r="G104">
        <f>'2020_2021_efet'!E11</f>
        <v>-5.47E-3</v>
      </c>
      <c r="H104">
        <f>'2020_2021_efet'!F11</f>
        <v>-3.8999999999999998E-3</v>
      </c>
      <c r="I104">
        <f>'2020_2021_efet'!G11</f>
        <v>-3.2799999999999999E-3</v>
      </c>
      <c r="J104">
        <f>'2020_2021_efet'!H11</f>
        <v>-2.9499999999999999E-3</v>
      </c>
      <c r="K104">
        <f>'2020_2021_efet'!I11</f>
        <v>-2.65E-3</v>
      </c>
      <c r="L104">
        <f>'2020_2021_efet'!J11</f>
        <v>-2.5600000000000002E-3</v>
      </c>
      <c r="M104">
        <f>'2020_2021_efet'!K11</f>
        <v>-2.33E-3</v>
      </c>
      <c r="N104">
        <f>'2020_2021_efet'!L11</f>
        <v>-2.14E-3</v>
      </c>
      <c r="O104">
        <f>'2020_2021_efet'!M11</f>
        <v>-2.0400000000000001E-3</v>
      </c>
      <c r="P104">
        <f>'2020_2021_efet'!N11</f>
        <v>-1.6999999999999999E-3</v>
      </c>
      <c r="Q104">
        <f>'2020_2021_efet'!O11</f>
        <v>-1.17E-3</v>
      </c>
      <c r="R104">
        <f>'2020_2021_efet'!P11</f>
        <v>-1.1100000000000001E-3</v>
      </c>
      <c r="S104">
        <f>'2020_2021_efet'!Q11</f>
        <v>-9.2900000000000003E-4</v>
      </c>
      <c r="T104">
        <f>'2020_2021_efet'!R11</f>
        <v>-8.0099999999999995E-4</v>
      </c>
      <c r="U104">
        <f>'2020_2021_efet'!S11</f>
        <v>-6.8099999999999996E-4</v>
      </c>
      <c r="V104">
        <f>'2020_2021_efet'!T11</f>
        <v>-6.3599999999999996E-4</v>
      </c>
      <c r="W104">
        <f>'2020_2021_efet'!U11</f>
        <v>-5.4500000000000002E-4</v>
      </c>
      <c r="X104">
        <f>'2020_2021_efet'!V11</f>
        <v>-5.1699999999999999E-4</v>
      </c>
      <c r="Y104">
        <f>'2020_2021_efet'!W11</f>
        <v>-4.6099999999999998E-4</v>
      </c>
      <c r="Z104">
        <f>'2020_2021_efet'!X11</f>
        <v>-4.6299999999999998E-4</v>
      </c>
      <c r="AA104">
        <f>'2020_2021_efet'!Y11</f>
        <v>-4.6099999999999998E-4</v>
      </c>
      <c r="AB104">
        <f>'2020_2021_efet'!Z11</f>
        <v>-4.6799999999999999E-4</v>
      </c>
      <c r="AC104">
        <f>'2020_2021_efet'!AA11</f>
        <v>-4.5100000000000001E-4</v>
      </c>
      <c r="AD104">
        <f>'2020_2021_efet'!AB11</f>
        <v>-4.46E-4</v>
      </c>
      <c r="AE104">
        <f>'2020_2021_efet'!AC11</f>
        <v>-4.7199999999999998E-4</v>
      </c>
      <c r="AF104">
        <f>'2020_2021_efet'!AD11</f>
        <v>-4.8700000000000002E-4</v>
      </c>
      <c r="AG104">
        <f>'2020_2021_efet'!AE11</f>
        <v>-4.7800000000000002E-4</v>
      </c>
      <c r="AH104">
        <f>'2020_2021_efet'!AF11</f>
        <v>-4.6999999999999999E-4</v>
      </c>
      <c r="AI104">
        <f>'2020_2021_efet'!AG11</f>
        <v>-4.8799999999999999E-4</v>
      </c>
      <c r="AJ104">
        <f>'2020_2021_efet'!AH11</f>
        <v>-4.8299999999999998E-4</v>
      </c>
      <c r="AK104">
        <f>'2020_2021_efet'!AI11</f>
        <v>-4.7399999999999997E-4</v>
      </c>
      <c r="AL104">
        <f>'2020_2021_efet'!AJ11</f>
        <v>-4.66E-4</v>
      </c>
      <c r="AM104">
        <f>'2020_2021_efet'!AK11</f>
        <v>-4.4900000000000002E-4</v>
      </c>
      <c r="AN104">
        <f>'2020_2021_efet'!AL11</f>
        <v>-4.3100000000000001E-4</v>
      </c>
      <c r="AO104">
        <f>'2020_2021_efet'!AM11</f>
        <v>-4.3800000000000002E-4</v>
      </c>
      <c r="AP104">
        <f>'2020_2021_efet'!AN11</f>
        <v>-4.15E-4</v>
      </c>
      <c r="AQ104">
        <f>'2020_2021_efet'!AO11</f>
        <v>-4.0900000000000002E-4</v>
      </c>
      <c r="AR104">
        <f>'2020_2021_efet'!AP11</f>
        <v>-4.1100000000000002E-4</v>
      </c>
      <c r="AS104">
        <f>'2020_2021_efet'!AQ11</f>
        <v>-4.0700000000000003E-4</v>
      </c>
      <c r="AT104">
        <f>'2020_2021_efet'!AR11</f>
        <v>-4.0299999999999998E-4</v>
      </c>
      <c r="AU104">
        <f>'2020_2021_efet'!AS11</f>
        <v>-4.1199999999999999E-4</v>
      </c>
      <c r="AV104">
        <f>'2020_2021_efet'!AT11</f>
        <v>-4.2000000000000002E-4</v>
      </c>
      <c r="AW104">
        <f>'2020_2021_efet'!AU11</f>
        <v>-4.1399999999999998E-4</v>
      </c>
      <c r="AX104">
        <f>'2020_2021_efet'!AV11</f>
        <v>-4.0499999999999998E-4</v>
      </c>
      <c r="AY104">
        <f>'2020_2021_efet'!AW11</f>
        <v>-3.9899999999999999E-4</v>
      </c>
      <c r="AZ104">
        <f>'2020_2021_efet'!AX11</f>
        <v>-4.0700000000000003E-4</v>
      </c>
      <c r="BA104">
        <f>'2020_2021_efet'!AY11</f>
        <v>-3.9399999999999998E-4</v>
      </c>
      <c r="BB104">
        <f>'2020_2021_efet'!AZ11</f>
        <v>-3.7800000000000003E-4</v>
      </c>
      <c r="BC104">
        <f>'2020_2021_efet'!BA11</f>
        <v>-3.7500000000000001E-4</v>
      </c>
      <c r="BD104">
        <f>'2020_2021_efet'!BB11</f>
        <v>-3.7199999999999999E-4</v>
      </c>
      <c r="BE104">
        <f>'2020_2021_efet'!BC11</f>
        <v>-3.6099999999999999E-4</v>
      </c>
      <c r="BF104">
        <f>'2020_2021_efet'!BD11</f>
        <v>-3.5599999999999998E-4</v>
      </c>
      <c r="BG104">
        <f>'2020_2021_efet'!BE11</f>
        <v>-3.5100000000000002E-4</v>
      </c>
      <c r="BH104">
        <f>'2020_2021_efet'!BF11</f>
        <v>-3.3700000000000001E-4</v>
      </c>
      <c r="BI104">
        <f>'2020_2021_efet'!BG11</f>
        <v>-3.1100000000000002E-4</v>
      </c>
      <c r="BJ104">
        <f>'2020_2021_efet'!BH11</f>
        <v>-3.2400000000000001E-4</v>
      </c>
      <c r="BK104">
        <f>'2020_2021_efet'!BI11</f>
        <v>-3.1399999999999999E-4</v>
      </c>
      <c r="BL104">
        <f>'2020_2021_efet'!BJ11</f>
        <v>-3.0400000000000002E-4</v>
      </c>
      <c r="BM104">
        <f>'2020_2021_efet'!BK11</f>
        <v>-3.0200000000000002E-4</v>
      </c>
      <c r="BN104">
        <f>'2020_2021_efet'!BL11</f>
        <v>-2.9100000000000003E-4</v>
      </c>
      <c r="BO104">
        <f>'2020_2021_efet'!BM11</f>
        <v>-2.9300000000000002E-4</v>
      </c>
      <c r="BP104">
        <f>'2020_2021_efet'!BN11</f>
        <v>-3.21E-4</v>
      </c>
      <c r="BQ104">
        <f>'2020_2021_efet'!BO11</f>
        <v>-3.2899999999999997E-4</v>
      </c>
      <c r="BR104">
        <f>'2020_2021_efet'!BP11</f>
        <v>-3.2400000000000001E-4</v>
      </c>
      <c r="BS104">
        <f>'2020_2021_efet'!BQ11</f>
        <v>-3.2499999999999999E-4</v>
      </c>
      <c r="BT104">
        <f>'2020_2021_efet'!BR11</f>
        <v>-3.21E-4</v>
      </c>
      <c r="BU104">
        <f>'2020_2021_efet'!BS11</f>
        <v>-3.1399999999999999E-4</v>
      </c>
      <c r="BV104">
        <f>'2020_2021_efet'!BT11</f>
        <v>-2.7799999999999998E-4</v>
      </c>
      <c r="BW104">
        <f>'2020_2021_efet'!BU11</f>
        <v>-2.7799999999999998E-4</v>
      </c>
      <c r="BX104">
        <f>'2020_2021_efet'!BV11</f>
        <v>-2.7700000000000001E-4</v>
      </c>
      <c r="BY104">
        <f>'2020_2021_efet'!BW11</f>
        <v>-2.9700000000000001E-4</v>
      </c>
      <c r="BZ104">
        <f>'2020_2021_efet'!BX11</f>
        <v>-2.9799999999999998E-4</v>
      </c>
      <c r="CA104">
        <f>'2020_2021_efet'!BY11</f>
        <v>-3.0600000000000001E-4</v>
      </c>
      <c r="CB104">
        <f>'2020_2021_efet'!BZ11</f>
        <v>-2.9500000000000001E-4</v>
      </c>
      <c r="CC104">
        <f>'2020_2021_efet'!CA11</f>
        <v>-2.6699999999999998E-4</v>
      </c>
      <c r="CD104">
        <f>'2020_2021_efet'!CB11</f>
        <v>-2.7500000000000002E-4</v>
      </c>
      <c r="CE104">
        <f>'2020_2021_efet'!CC11</f>
        <v>-2.8800000000000001E-4</v>
      </c>
      <c r="CF104">
        <f>'2020_2021_efet'!CD11</f>
        <v>-2.9999999999999997E-4</v>
      </c>
      <c r="CG104">
        <f>'2020_2021_efet'!CE11</f>
        <v>-2.7799999999999998E-4</v>
      </c>
      <c r="CH104">
        <f>'2020_2021_efet'!CF11</f>
        <v>-2.7599999999999999E-4</v>
      </c>
      <c r="CI104">
        <f>'2020_2021_efet'!CG11</f>
        <v>-2.6499999999999999E-4</v>
      </c>
      <c r="CJ104">
        <f>'2020_2021_efet'!CH11</f>
        <v>-2.3800000000000001E-4</v>
      </c>
      <c r="CK104">
        <f>'2020_2021_efet'!CI11</f>
        <v>-2.72E-4</v>
      </c>
      <c r="CL104">
        <f>'2020_2021_efet'!CJ11</f>
        <v>-2.5399999999999999E-4</v>
      </c>
      <c r="CM104">
        <f>'2020_2021_efet'!CK11</f>
        <v>-2.8299999999999999E-4</v>
      </c>
      <c r="CN104">
        <f>'2020_2021_efet'!CL11</f>
        <v>-2.3499999999999999E-4</v>
      </c>
      <c r="CO104">
        <f>'2020_2021_efet'!CM11</f>
        <v>-2.4899999999999998E-4</v>
      </c>
      <c r="CP104">
        <f>'2020_2021_efet'!CN11</f>
        <v>-2.41E-4</v>
      </c>
      <c r="CQ104">
        <f>'2020_2021_efet'!CO11</f>
        <v>-2.6400000000000002E-4</v>
      </c>
      <c r="CR104">
        <f>'2020_2021_efet'!CP11</f>
        <v>-2.0699999999999999E-4</v>
      </c>
      <c r="CS104">
        <f>'2020_2021_efet'!CQ11</f>
        <v>-2.05E-4</v>
      </c>
      <c r="CT104">
        <f>'2020_2021_efet'!CR11</f>
        <v>-2.1900000000000001E-4</v>
      </c>
      <c r="CU104">
        <f>'2020_2021_efet'!CS11</f>
        <v>-1.8200000000000001E-4</v>
      </c>
      <c r="CV104">
        <f>'2020_2021_efet'!CT11</f>
        <v>-1.34E-4</v>
      </c>
      <c r="CW104">
        <f>'2020_2021_efet'!CU11</f>
        <v>-3.29E-5</v>
      </c>
      <c r="CX104">
        <f>'2020_2021_efet'!CV11</f>
        <v>2.5299999999999998E-5</v>
      </c>
    </row>
    <row r="105" spans="1:102" x14ac:dyDescent="0.2">
      <c r="A105" t="s">
        <v>213</v>
      </c>
      <c r="B105" t="s">
        <v>218</v>
      </c>
      <c r="C105" t="s">
        <v>223</v>
      </c>
      <c r="D105">
        <f>'2020_2021_efet'!B12</f>
        <v>-3.2499999999999999E-4</v>
      </c>
      <c r="E105">
        <f>'2020_2021_efet'!C12</f>
        <v>-3.2499999999999999E-4</v>
      </c>
      <c r="F105">
        <f>'2020_2021_efet'!D12</f>
        <v>-3.2499999999999999E-4</v>
      </c>
      <c r="G105">
        <f>'2020_2021_efet'!E12</f>
        <v>-1.06E-2</v>
      </c>
      <c r="H105">
        <f>'2020_2021_efet'!F12</f>
        <v>-6.8399999999999997E-3</v>
      </c>
      <c r="I105">
        <f>'2020_2021_efet'!G12</f>
        <v>-6.11E-3</v>
      </c>
      <c r="J105">
        <f>'2020_2021_efet'!H12</f>
        <v>-5.8399999999999997E-3</v>
      </c>
      <c r="K105">
        <f>'2020_2021_efet'!I12</f>
        <v>-5.62E-3</v>
      </c>
      <c r="L105">
        <f>'2020_2021_efet'!J12</f>
        <v>-5.9199999999999999E-3</v>
      </c>
      <c r="M105">
        <f>'2020_2021_efet'!K12</f>
        <v>-5.7800000000000004E-3</v>
      </c>
      <c r="N105">
        <f>'2020_2021_efet'!L12</f>
        <v>-5.7099999999999998E-3</v>
      </c>
      <c r="O105">
        <f>'2020_2021_efet'!M12</f>
        <v>-5.8100000000000001E-3</v>
      </c>
      <c r="P105">
        <f>'2020_2021_efet'!N12</f>
        <v>-5.2700000000000004E-3</v>
      </c>
      <c r="Q105">
        <f>'2020_2021_efet'!O12</f>
        <v>-3.8600000000000001E-3</v>
      </c>
      <c r="R105">
        <f>'2020_2021_efet'!P12</f>
        <v>-4.0299999999999997E-3</v>
      </c>
      <c r="S105">
        <f>'2020_2021_efet'!Q12</f>
        <v>-3.7299999999999998E-3</v>
      </c>
      <c r="T105">
        <f>'2020_2021_efet'!R12</f>
        <v>-3.15E-3</v>
      </c>
      <c r="U105">
        <f>'2020_2021_efet'!S12</f>
        <v>-2.6700000000000001E-3</v>
      </c>
      <c r="V105">
        <f>'2020_2021_efet'!T12</f>
        <v>-2.5100000000000001E-3</v>
      </c>
      <c r="W105">
        <f>'2020_2021_efet'!U12</f>
        <v>-2.2000000000000001E-3</v>
      </c>
      <c r="X105">
        <f>'2020_2021_efet'!V12</f>
        <v>-2E-3</v>
      </c>
      <c r="Y105">
        <f>'2020_2021_efet'!W12</f>
        <v>-1.74E-3</v>
      </c>
      <c r="Z105">
        <f>'2020_2021_efet'!X12</f>
        <v>-1.7600000000000001E-3</v>
      </c>
      <c r="AA105">
        <f>'2020_2021_efet'!Y12</f>
        <v>-1.82E-3</v>
      </c>
      <c r="AB105">
        <f>'2020_2021_efet'!Z12</f>
        <v>-1.8400000000000001E-3</v>
      </c>
      <c r="AC105">
        <f>'2020_2021_efet'!AA12</f>
        <v>-1.8500000000000001E-3</v>
      </c>
      <c r="AD105">
        <f>'2020_2021_efet'!AB12</f>
        <v>-1.8E-3</v>
      </c>
      <c r="AE105">
        <f>'2020_2021_efet'!AC12</f>
        <v>-1.74E-3</v>
      </c>
      <c r="AF105">
        <f>'2020_2021_efet'!AD12</f>
        <v>-1.7700000000000001E-3</v>
      </c>
      <c r="AG105">
        <f>'2020_2021_efet'!AE12</f>
        <v>-1.7099999999999999E-3</v>
      </c>
      <c r="AH105">
        <f>'2020_2021_efet'!AF12</f>
        <v>-1.6800000000000001E-3</v>
      </c>
      <c r="AI105">
        <f>'2020_2021_efet'!AG12</f>
        <v>-1.73E-3</v>
      </c>
      <c r="AJ105">
        <f>'2020_2021_efet'!AH12</f>
        <v>-1.67E-3</v>
      </c>
      <c r="AK105">
        <f>'2020_2021_efet'!AI12</f>
        <v>-1.65E-3</v>
      </c>
      <c r="AL105">
        <f>'2020_2021_efet'!AJ12</f>
        <v>-1.66E-3</v>
      </c>
      <c r="AM105">
        <f>'2020_2021_efet'!AK12</f>
        <v>-1.67E-3</v>
      </c>
      <c r="AN105">
        <f>'2020_2021_efet'!AL12</f>
        <v>-1.64E-3</v>
      </c>
      <c r="AO105">
        <f>'2020_2021_efet'!AM12</f>
        <v>-1.56E-3</v>
      </c>
      <c r="AP105">
        <f>'2020_2021_efet'!AN12</f>
        <v>-1.48E-3</v>
      </c>
      <c r="AQ105">
        <f>'2020_2021_efet'!AO12</f>
        <v>-1.5E-3</v>
      </c>
      <c r="AR105">
        <f>'2020_2021_efet'!AP12</f>
        <v>-1.5499999999999999E-3</v>
      </c>
      <c r="AS105">
        <f>'2020_2021_efet'!AQ12</f>
        <v>-1.47E-3</v>
      </c>
      <c r="AT105">
        <f>'2020_2021_efet'!AR12</f>
        <v>-1.42E-3</v>
      </c>
      <c r="AU105">
        <f>'2020_2021_efet'!AS12</f>
        <v>-1.39E-3</v>
      </c>
      <c r="AV105">
        <f>'2020_2021_efet'!AT12</f>
        <v>-1.34E-3</v>
      </c>
      <c r="AW105">
        <f>'2020_2021_efet'!AU12</f>
        <v>-1.32E-3</v>
      </c>
      <c r="AX105">
        <f>'2020_2021_efet'!AV12</f>
        <v>-1.2899999999999999E-3</v>
      </c>
      <c r="AY105">
        <f>'2020_2021_efet'!AW12</f>
        <v>-1.2800000000000001E-3</v>
      </c>
      <c r="AZ105">
        <f>'2020_2021_efet'!AX12</f>
        <v>-1.2199999999999999E-3</v>
      </c>
      <c r="BA105">
        <f>'2020_2021_efet'!AY12</f>
        <v>-1.2600000000000001E-3</v>
      </c>
      <c r="BB105">
        <f>'2020_2021_efet'!AZ12</f>
        <v>-1.2999999999999999E-3</v>
      </c>
      <c r="BC105">
        <f>'2020_2021_efet'!BA12</f>
        <v>-1.23E-3</v>
      </c>
      <c r="BD105">
        <f>'2020_2021_efet'!BB12</f>
        <v>-1.24E-3</v>
      </c>
      <c r="BE105">
        <f>'2020_2021_efet'!BC12</f>
        <v>-1.1999999999999999E-3</v>
      </c>
      <c r="BF105">
        <f>'2020_2021_efet'!BD12</f>
        <v>-1.16E-3</v>
      </c>
      <c r="BG105">
        <f>'2020_2021_efet'!BE12</f>
        <v>-1.1000000000000001E-3</v>
      </c>
      <c r="BH105">
        <f>'2020_2021_efet'!BF12</f>
        <v>-1.0499999999999999E-3</v>
      </c>
      <c r="BI105">
        <f>'2020_2021_efet'!BG12</f>
        <v>-9.6699999999999998E-4</v>
      </c>
      <c r="BJ105">
        <f>'2020_2021_efet'!BH12</f>
        <v>-9.0399999999999996E-4</v>
      </c>
      <c r="BK105">
        <f>'2020_2021_efet'!BI12</f>
        <v>-9.3199999999999999E-4</v>
      </c>
      <c r="BL105">
        <f>'2020_2021_efet'!BJ12</f>
        <v>-9.6900000000000003E-4</v>
      </c>
      <c r="BM105">
        <f>'2020_2021_efet'!BK12</f>
        <v>-1.01E-3</v>
      </c>
      <c r="BN105">
        <f>'2020_2021_efet'!BL12</f>
        <v>-1.0399999999999999E-3</v>
      </c>
      <c r="BO105">
        <f>'2020_2021_efet'!BM12</f>
        <v>-1.0499999999999999E-3</v>
      </c>
      <c r="BP105">
        <f>'2020_2021_efet'!BN12</f>
        <v>-1.08E-3</v>
      </c>
      <c r="BQ105">
        <f>'2020_2021_efet'!BO12</f>
        <v>-1.06E-3</v>
      </c>
      <c r="BR105">
        <f>'2020_2021_efet'!BP12</f>
        <v>-1.0399999999999999E-3</v>
      </c>
      <c r="BS105">
        <f>'2020_2021_efet'!BQ12</f>
        <v>-9.7599999999999998E-4</v>
      </c>
      <c r="BT105">
        <f>'2020_2021_efet'!BR12</f>
        <v>-1E-3</v>
      </c>
      <c r="BU105">
        <f>'2020_2021_efet'!BS12</f>
        <v>-9.7199999999999999E-4</v>
      </c>
      <c r="BV105">
        <f>'2020_2021_efet'!BT12</f>
        <v>-9.3999999999999997E-4</v>
      </c>
      <c r="BW105">
        <f>'2020_2021_efet'!BU12</f>
        <v>-8.7000000000000001E-4</v>
      </c>
      <c r="BX105">
        <f>'2020_2021_efet'!BV12</f>
        <v>-9.3400000000000004E-4</v>
      </c>
      <c r="BY105">
        <f>'2020_2021_efet'!BW12</f>
        <v>-8.1899999999999996E-4</v>
      </c>
      <c r="BZ105">
        <f>'2020_2021_efet'!BX12</f>
        <v>-7.7099999999999998E-4</v>
      </c>
      <c r="CA105">
        <f>'2020_2021_efet'!BY12</f>
        <v>-7.5799999999999999E-4</v>
      </c>
      <c r="CB105">
        <f>'2020_2021_efet'!BZ12</f>
        <v>-7.7200000000000001E-4</v>
      </c>
      <c r="CC105">
        <f>'2020_2021_efet'!CA12</f>
        <v>-8.0800000000000002E-4</v>
      </c>
      <c r="CD105">
        <f>'2020_2021_efet'!CB12</f>
        <v>-8.1099999999999998E-4</v>
      </c>
      <c r="CE105">
        <f>'2020_2021_efet'!CC12</f>
        <v>-8.4800000000000001E-4</v>
      </c>
      <c r="CF105">
        <f>'2020_2021_efet'!CD12</f>
        <v>-8.1700000000000002E-4</v>
      </c>
      <c r="CG105">
        <f>'2020_2021_efet'!CE12</f>
        <v>-7.2499999999999995E-4</v>
      </c>
      <c r="CH105">
        <f>'2020_2021_efet'!CF12</f>
        <v>-6.1600000000000001E-4</v>
      </c>
      <c r="CI105">
        <f>'2020_2021_efet'!CG12</f>
        <v>-7.1900000000000002E-4</v>
      </c>
      <c r="CJ105">
        <f>'2020_2021_efet'!CH12</f>
        <v>-7.4799999999999997E-4</v>
      </c>
      <c r="CK105">
        <f>'2020_2021_efet'!CI12</f>
        <v>-7.9100000000000004E-4</v>
      </c>
      <c r="CL105">
        <f>'2020_2021_efet'!CJ12</f>
        <v>-6.7400000000000001E-4</v>
      </c>
      <c r="CM105">
        <f>'2020_2021_efet'!CK12</f>
        <v>-7.1299999999999998E-4</v>
      </c>
      <c r="CN105">
        <f>'2020_2021_efet'!CL12</f>
        <v>-7.2099999999999996E-4</v>
      </c>
      <c r="CO105">
        <f>'2020_2021_efet'!CM12</f>
        <v>-7.6599999999999997E-4</v>
      </c>
      <c r="CP105">
        <f>'2020_2021_efet'!CN12</f>
        <v>-8.1599999999999999E-4</v>
      </c>
      <c r="CQ105">
        <f>'2020_2021_efet'!CO12</f>
        <v>-8.3500000000000002E-4</v>
      </c>
      <c r="CR105">
        <f>'2020_2021_efet'!CP12</f>
        <v>-8.43E-4</v>
      </c>
      <c r="CS105">
        <f>'2020_2021_efet'!CQ12</f>
        <v>-7.85E-4</v>
      </c>
      <c r="CT105">
        <f>'2020_2021_efet'!CR12</f>
        <v>-6.6200000000000005E-4</v>
      </c>
      <c r="CU105">
        <f>'2020_2021_efet'!CS12</f>
        <v>-5.7300000000000005E-4</v>
      </c>
      <c r="CV105">
        <f>'2020_2021_efet'!CT12</f>
        <v>-7.36E-4</v>
      </c>
      <c r="CW105">
        <f>'2020_2021_efet'!CU12</f>
        <v>-5.0900000000000001E-4</v>
      </c>
      <c r="CX105">
        <f>'2020_2021_efet'!CV12</f>
        <v>-4.7399999999999997E-4</v>
      </c>
    </row>
    <row r="106" spans="1:102" x14ac:dyDescent="0.2">
      <c r="A106" t="s">
        <v>214</v>
      </c>
      <c r="B106" t="s">
        <v>218</v>
      </c>
      <c r="C106" t="s">
        <v>223</v>
      </c>
      <c r="D106">
        <f>'2020_2021_efet'!B13</f>
        <v>1.85E-4</v>
      </c>
      <c r="E106">
        <f>'2020_2021_efet'!C13</f>
        <v>1.85E-4</v>
      </c>
      <c r="F106">
        <f>'2020_2021_efet'!D13</f>
        <v>1.85E-4</v>
      </c>
      <c r="G106">
        <f>'2020_2021_efet'!E13</f>
        <v>2.48E-3</v>
      </c>
      <c r="H106">
        <f>'2020_2021_efet'!F13</f>
        <v>1.9400000000000001E-3</v>
      </c>
      <c r="I106">
        <f>'2020_2021_efet'!G13</f>
        <v>1.8699999999999999E-3</v>
      </c>
      <c r="J106">
        <f>'2020_2021_efet'!H13</f>
        <v>1.7799999999999999E-3</v>
      </c>
      <c r="K106">
        <f>'2020_2021_efet'!I13</f>
        <v>1.7899999999999999E-3</v>
      </c>
      <c r="L106">
        <f>'2020_2021_efet'!J13</f>
        <v>2.0100000000000001E-3</v>
      </c>
      <c r="M106">
        <f>'2020_2021_efet'!K13</f>
        <v>1.91E-3</v>
      </c>
      <c r="N106">
        <f>'2020_2021_efet'!L13</f>
        <v>1.8500000000000001E-3</v>
      </c>
      <c r="O106">
        <f>'2020_2021_efet'!M13</f>
        <v>1.81E-3</v>
      </c>
      <c r="P106">
        <f>'2020_2021_efet'!N13</f>
        <v>1.65E-3</v>
      </c>
      <c r="Q106">
        <f>'2020_2021_efet'!O13</f>
        <v>1.2199999999999999E-3</v>
      </c>
      <c r="R106">
        <f>'2020_2021_efet'!P13</f>
        <v>1.07E-3</v>
      </c>
      <c r="S106">
        <f>'2020_2021_efet'!Q13</f>
        <v>1.15E-3</v>
      </c>
      <c r="T106">
        <f>'2020_2021_efet'!R13</f>
        <v>9.3999999999999997E-4</v>
      </c>
      <c r="U106">
        <f>'2020_2021_efet'!S13</f>
        <v>8.6700000000000004E-4</v>
      </c>
      <c r="V106">
        <f>'2020_2021_efet'!T13</f>
        <v>8.03E-4</v>
      </c>
      <c r="W106">
        <f>'2020_2021_efet'!U13</f>
        <v>7.4100000000000001E-4</v>
      </c>
      <c r="X106">
        <f>'2020_2021_efet'!V13</f>
        <v>7.6800000000000002E-4</v>
      </c>
      <c r="Y106">
        <f>'2020_2021_efet'!W13</f>
        <v>7.5699999999999997E-4</v>
      </c>
      <c r="Z106">
        <f>'2020_2021_efet'!X13</f>
        <v>7.9699999999999997E-4</v>
      </c>
      <c r="AA106">
        <f>'2020_2021_efet'!Y13</f>
        <v>7.85E-4</v>
      </c>
      <c r="AB106">
        <f>'2020_2021_efet'!Z13</f>
        <v>6.96E-4</v>
      </c>
      <c r="AC106">
        <f>'2020_2021_efet'!AA13</f>
        <v>7.8399999999999997E-4</v>
      </c>
      <c r="AD106">
        <f>'2020_2021_efet'!AB13</f>
        <v>7.8399999999999997E-4</v>
      </c>
      <c r="AE106">
        <f>'2020_2021_efet'!AC13</f>
        <v>8.3299999999999997E-4</v>
      </c>
      <c r="AF106">
        <f>'2020_2021_efet'!AD13</f>
        <v>8.9400000000000005E-4</v>
      </c>
      <c r="AG106">
        <f>'2020_2021_efet'!AE13</f>
        <v>8.92E-4</v>
      </c>
      <c r="AH106">
        <f>'2020_2021_efet'!AF13</f>
        <v>8.7600000000000004E-4</v>
      </c>
      <c r="AI106">
        <f>'2020_2021_efet'!AG13</f>
        <v>9.3700000000000001E-4</v>
      </c>
      <c r="AJ106">
        <f>'2020_2021_efet'!AH13</f>
        <v>9.6900000000000003E-4</v>
      </c>
      <c r="AK106">
        <f>'2020_2021_efet'!AI13</f>
        <v>9.1699999999999995E-4</v>
      </c>
      <c r="AL106">
        <f>'2020_2021_efet'!AJ13</f>
        <v>8.5599999999999999E-4</v>
      </c>
      <c r="AM106">
        <f>'2020_2021_efet'!AK13</f>
        <v>9.1200000000000005E-4</v>
      </c>
      <c r="AN106">
        <f>'2020_2021_efet'!AL13</f>
        <v>9.0600000000000001E-4</v>
      </c>
      <c r="AO106">
        <f>'2020_2021_efet'!AM13</f>
        <v>8.9400000000000005E-4</v>
      </c>
      <c r="AP106">
        <f>'2020_2021_efet'!AN13</f>
        <v>8.4000000000000003E-4</v>
      </c>
      <c r="AQ106">
        <f>'2020_2021_efet'!AO13</f>
        <v>9.4600000000000001E-4</v>
      </c>
      <c r="AR106">
        <f>'2020_2021_efet'!AP13</f>
        <v>8.61E-4</v>
      </c>
      <c r="AS106">
        <f>'2020_2021_efet'!AQ13</f>
        <v>7.8299999999999995E-4</v>
      </c>
      <c r="AT106">
        <f>'2020_2021_efet'!AR13</f>
        <v>7.9500000000000003E-4</v>
      </c>
      <c r="AU106">
        <f>'2020_2021_efet'!AS13</f>
        <v>7.9900000000000001E-4</v>
      </c>
      <c r="AV106">
        <f>'2020_2021_efet'!AT13</f>
        <v>8.0800000000000002E-4</v>
      </c>
      <c r="AW106">
        <f>'2020_2021_efet'!AU13</f>
        <v>7.9699999999999997E-4</v>
      </c>
      <c r="AX106">
        <f>'2020_2021_efet'!AV13</f>
        <v>8.7600000000000004E-4</v>
      </c>
      <c r="AY106">
        <f>'2020_2021_efet'!AW13</f>
        <v>7.6499999999999995E-4</v>
      </c>
      <c r="AZ106">
        <f>'2020_2021_efet'!AX13</f>
        <v>7.94E-4</v>
      </c>
      <c r="BA106">
        <f>'2020_2021_efet'!AY13</f>
        <v>8.7299999999999997E-4</v>
      </c>
      <c r="BB106">
        <f>'2020_2021_efet'!AZ13</f>
        <v>7.2900000000000005E-4</v>
      </c>
      <c r="BC106">
        <f>'2020_2021_efet'!BA13</f>
        <v>7.3399999999999995E-4</v>
      </c>
      <c r="BD106">
        <f>'2020_2021_efet'!BB13</f>
        <v>6.9700000000000003E-4</v>
      </c>
      <c r="BE106">
        <f>'2020_2021_efet'!BC13</f>
        <v>7.1000000000000002E-4</v>
      </c>
      <c r="BF106">
        <f>'2020_2021_efet'!BD13</f>
        <v>7.1199999999999996E-4</v>
      </c>
      <c r="BG106">
        <f>'2020_2021_efet'!BE13</f>
        <v>6.78E-4</v>
      </c>
      <c r="BH106">
        <f>'2020_2021_efet'!BF13</f>
        <v>5.5500000000000005E-4</v>
      </c>
      <c r="BI106">
        <f>'2020_2021_efet'!BG13</f>
        <v>6.0899999999999995E-4</v>
      </c>
      <c r="BJ106">
        <f>'2020_2021_efet'!BH13</f>
        <v>5.7799999999999995E-4</v>
      </c>
      <c r="BK106">
        <f>'2020_2021_efet'!BI13</f>
        <v>6.4099999999999997E-4</v>
      </c>
      <c r="BL106">
        <f>'2020_2021_efet'!BJ13</f>
        <v>8.6700000000000004E-4</v>
      </c>
      <c r="BM106">
        <f>'2020_2021_efet'!BK13</f>
        <v>4.1599999999999997E-4</v>
      </c>
      <c r="BN106">
        <f>'2020_2021_efet'!BL13</f>
        <v>5.0299999999999997E-4</v>
      </c>
      <c r="BO106">
        <f>'2020_2021_efet'!BM13</f>
        <v>5.6800000000000004E-4</v>
      </c>
      <c r="BP106">
        <f>'2020_2021_efet'!BN13</f>
        <v>6.2200000000000005E-4</v>
      </c>
      <c r="BQ106">
        <f>'2020_2021_efet'!BO13</f>
        <v>6.4099999999999997E-4</v>
      </c>
      <c r="BR106">
        <f>'2020_2021_efet'!BP13</f>
        <v>5.62E-4</v>
      </c>
      <c r="BS106">
        <f>'2020_2021_efet'!BQ13</f>
        <v>5.8200000000000005E-4</v>
      </c>
      <c r="BT106">
        <f>'2020_2021_efet'!BR13</f>
        <v>5.4600000000000004E-4</v>
      </c>
      <c r="BU106">
        <f>'2020_2021_efet'!BS13</f>
        <v>5.3200000000000003E-4</v>
      </c>
      <c r="BV106">
        <f>'2020_2021_efet'!BT13</f>
        <v>4.5300000000000001E-4</v>
      </c>
      <c r="BW106">
        <f>'2020_2021_efet'!BU13</f>
        <v>4.5800000000000002E-4</v>
      </c>
      <c r="BX106">
        <f>'2020_2021_efet'!BV13</f>
        <v>4.7399999999999997E-4</v>
      </c>
      <c r="BY106">
        <f>'2020_2021_efet'!BW13</f>
        <v>3.57E-4</v>
      </c>
      <c r="BZ106">
        <f>'2020_2021_efet'!BX13</f>
        <v>3.5100000000000002E-4</v>
      </c>
      <c r="CA106">
        <f>'2020_2021_efet'!BY13</f>
        <v>3.9500000000000001E-4</v>
      </c>
      <c r="CB106">
        <f>'2020_2021_efet'!BZ13</f>
        <v>3.8000000000000002E-4</v>
      </c>
      <c r="CC106">
        <f>'2020_2021_efet'!CA13</f>
        <v>2.8600000000000001E-4</v>
      </c>
      <c r="CD106">
        <f>'2020_2021_efet'!CB13</f>
        <v>2.5599999999999999E-4</v>
      </c>
      <c r="CE106">
        <f>'2020_2021_efet'!CC13</f>
        <v>2.31E-4</v>
      </c>
      <c r="CF106">
        <f>'2020_2021_efet'!CD13</f>
        <v>2.1499999999999999E-4</v>
      </c>
      <c r="CG106">
        <f>'2020_2021_efet'!CE13</f>
        <v>1.66E-4</v>
      </c>
      <c r="CH106">
        <f>'2020_2021_efet'!CF13</f>
        <v>1.64E-4</v>
      </c>
      <c r="CI106">
        <f>'2020_2021_efet'!CG13</f>
        <v>3.21E-4</v>
      </c>
      <c r="CJ106">
        <f>'2020_2021_efet'!CH13</f>
        <v>8.3300000000000005E-5</v>
      </c>
      <c r="CK106">
        <f>'2020_2021_efet'!CI13</f>
        <v>1.21E-4</v>
      </c>
      <c r="CL106">
        <f>'2020_2021_efet'!CJ13</f>
        <v>1.2400000000000001E-4</v>
      </c>
      <c r="CM106">
        <f>'2020_2021_efet'!CK13</f>
        <v>1.55E-4</v>
      </c>
      <c r="CN106">
        <f>'2020_2021_efet'!CL13</f>
        <v>1.2899999999999999E-4</v>
      </c>
      <c r="CO106">
        <f>'2020_2021_efet'!CM13</f>
        <v>1.6900000000000001E-5</v>
      </c>
      <c r="CP106">
        <f>'2020_2021_efet'!CN13</f>
        <v>1.18E-4</v>
      </c>
      <c r="CQ106">
        <f>'2020_2021_efet'!CO13</f>
        <v>-1.22E-4</v>
      </c>
      <c r="CR106">
        <f>'2020_2021_efet'!CP13</f>
        <v>-1.75E-4</v>
      </c>
      <c r="CS106">
        <f>'2020_2021_efet'!CQ13</f>
        <v>-2.3900000000000001E-4</v>
      </c>
      <c r="CT106">
        <f>'2020_2021_efet'!CR13</f>
        <v>-5.3200000000000003E-4</v>
      </c>
      <c r="CU106">
        <f>'2020_2021_efet'!CS13</f>
        <v>-6.5700000000000003E-4</v>
      </c>
      <c r="CV106">
        <f>'2020_2021_efet'!CT13</f>
        <v>-9.2500000000000004E-4</v>
      </c>
      <c r="CW106">
        <f>'2020_2021_efet'!CU13</f>
        <v>-1.0300000000000001E-3</v>
      </c>
      <c r="CX106">
        <f>'2020_2021_efet'!CV13</f>
        <v>-1.0200000000000001E-3</v>
      </c>
    </row>
    <row r="107" spans="1:102" x14ac:dyDescent="0.2">
      <c r="A107" t="s">
        <v>215</v>
      </c>
      <c r="B107" t="s">
        <v>218</v>
      </c>
      <c r="C107" t="s">
        <v>223</v>
      </c>
      <c r="D107">
        <f>'2020_2021_efet'!B14</f>
        <v>-3.2600000000000001E-4</v>
      </c>
      <c r="E107">
        <f>'2020_2021_efet'!C14</f>
        <v>-3.2600000000000001E-4</v>
      </c>
      <c r="F107">
        <f>'2020_2021_efet'!D14</f>
        <v>-3.2600000000000001E-4</v>
      </c>
      <c r="G107">
        <f>'2020_2021_efet'!E14</f>
        <v>-2.6499999999999999E-2</v>
      </c>
      <c r="H107">
        <f>'2020_2021_efet'!F14</f>
        <v>-1.26E-2</v>
      </c>
      <c r="I107">
        <f>'2020_2021_efet'!G14</f>
        <v>-7.1500000000000001E-3</v>
      </c>
      <c r="J107">
        <f>'2020_2021_efet'!H14</f>
        <v>-5.3099999999999996E-3</v>
      </c>
      <c r="K107">
        <f>'2020_2021_efet'!I14</f>
        <v>-2.49E-3</v>
      </c>
      <c r="L107">
        <f>'2020_2021_efet'!J14</f>
        <v>-1.08E-3</v>
      </c>
      <c r="M107">
        <f>'2020_2021_efet'!K14</f>
        <v>8.8699999999999998E-4</v>
      </c>
      <c r="N107">
        <f>'2020_2021_efet'!L14</f>
        <v>9.9400000000000009E-4</v>
      </c>
      <c r="O107">
        <f>'2020_2021_efet'!M14</f>
        <v>1.99E-3</v>
      </c>
      <c r="P107">
        <f>'2020_2021_efet'!N14</f>
        <v>2.0699999999999998E-3</v>
      </c>
      <c r="Q107">
        <f>'2020_2021_efet'!O14</f>
        <v>1.9E-3</v>
      </c>
      <c r="R107">
        <f>'2020_2021_efet'!P14</f>
        <v>1.7700000000000001E-3</v>
      </c>
      <c r="S107">
        <f>'2020_2021_efet'!Q14</f>
        <v>1.98E-3</v>
      </c>
      <c r="T107">
        <f>'2020_2021_efet'!R14</f>
        <v>2.33E-3</v>
      </c>
      <c r="U107">
        <f>'2020_2021_efet'!S14</f>
        <v>2.4199999999999998E-3</v>
      </c>
      <c r="V107">
        <f>'2020_2021_efet'!T14</f>
        <v>2.4499999999999999E-3</v>
      </c>
      <c r="W107">
        <f>'2020_2021_efet'!U14</f>
        <v>2.1900000000000001E-3</v>
      </c>
      <c r="X107">
        <f>'2020_2021_efet'!V14</f>
        <v>2.4499999999999999E-3</v>
      </c>
      <c r="Y107">
        <f>'2020_2021_efet'!W14</f>
        <v>2.5300000000000001E-3</v>
      </c>
      <c r="Z107">
        <f>'2020_2021_efet'!X14</f>
        <v>2.6099999999999999E-3</v>
      </c>
      <c r="AA107">
        <f>'2020_2021_efet'!Y14</f>
        <v>2.7699999999999999E-3</v>
      </c>
      <c r="AB107">
        <f>'2020_2021_efet'!Z14</f>
        <v>2.8500000000000001E-3</v>
      </c>
      <c r="AC107">
        <f>'2020_2021_efet'!AA14</f>
        <v>2.8900000000000002E-3</v>
      </c>
      <c r="AD107">
        <f>'2020_2021_efet'!AB14</f>
        <v>2.5600000000000002E-3</v>
      </c>
      <c r="AE107">
        <f>'2020_2021_efet'!AC14</f>
        <v>2.1299999999999999E-3</v>
      </c>
      <c r="AF107">
        <f>'2020_2021_efet'!AD14</f>
        <v>2.2499999999999998E-3</v>
      </c>
      <c r="AG107">
        <f>'2020_2021_efet'!AE14</f>
        <v>2.4399999999999999E-3</v>
      </c>
      <c r="AH107">
        <f>'2020_2021_efet'!AF14</f>
        <v>2.3999999999999998E-3</v>
      </c>
      <c r="AI107">
        <f>'2020_2021_efet'!AG14</f>
        <v>2.7699999999999999E-3</v>
      </c>
      <c r="AJ107">
        <f>'2020_2021_efet'!AH14</f>
        <v>2.8700000000000002E-3</v>
      </c>
      <c r="AK107">
        <f>'2020_2021_efet'!AI14</f>
        <v>3.0000000000000001E-3</v>
      </c>
      <c r="AL107">
        <f>'2020_2021_efet'!AJ14</f>
        <v>2.9299999999999999E-3</v>
      </c>
      <c r="AM107">
        <f>'2020_2021_efet'!AK14</f>
        <v>2.8700000000000002E-3</v>
      </c>
      <c r="AN107">
        <f>'2020_2021_efet'!AL14</f>
        <v>2.9299999999999999E-3</v>
      </c>
      <c r="AO107">
        <f>'2020_2021_efet'!AM14</f>
        <v>3.0699999999999998E-3</v>
      </c>
      <c r="AP107">
        <f>'2020_2021_efet'!AN14</f>
        <v>2.9299999999999999E-3</v>
      </c>
      <c r="AQ107">
        <f>'2020_2021_efet'!AO14</f>
        <v>3.0200000000000001E-3</v>
      </c>
      <c r="AR107">
        <f>'2020_2021_efet'!AP14</f>
        <v>3.1800000000000001E-3</v>
      </c>
      <c r="AS107">
        <f>'2020_2021_efet'!AQ14</f>
        <v>3.3300000000000001E-3</v>
      </c>
      <c r="AT107">
        <f>'2020_2021_efet'!AR14</f>
        <v>3.3300000000000001E-3</v>
      </c>
      <c r="AU107">
        <f>'2020_2021_efet'!AS14</f>
        <v>3.1900000000000001E-3</v>
      </c>
      <c r="AV107">
        <f>'2020_2021_efet'!AT14</f>
        <v>3.2399999999999998E-3</v>
      </c>
      <c r="AW107">
        <f>'2020_2021_efet'!AU14</f>
        <v>3.2799999999999999E-3</v>
      </c>
      <c r="AX107">
        <f>'2020_2021_efet'!AV14</f>
        <v>3.3300000000000001E-3</v>
      </c>
      <c r="AY107">
        <f>'2020_2021_efet'!AW14</f>
        <v>3.2499999999999999E-3</v>
      </c>
      <c r="AZ107">
        <f>'2020_2021_efet'!AX14</f>
        <v>3.3700000000000002E-3</v>
      </c>
      <c r="BA107">
        <f>'2020_2021_efet'!AY14</f>
        <v>3.5699999999999998E-3</v>
      </c>
      <c r="BB107">
        <f>'2020_2021_efet'!AZ14</f>
        <v>3.46E-3</v>
      </c>
      <c r="BC107">
        <f>'2020_2021_efet'!BA14</f>
        <v>3.65E-3</v>
      </c>
      <c r="BD107">
        <f>'2020_2021_efet'!BB14</f>
        <v>3.9300000000000003E-3</v>
      </c>
      <c r="BE107">
        <f>'2020_2021_efet'!BC14</f>
        <v>3.98E-3</v>
      </c>
      <c r="BF107">
        <f>'2020_2021_efet'!BD14</f>
        <v>4.0400000000000002E-3</v>
      </c>
      <c r="BG107">
        <f>'2020_2021_efet'!BE14</f>
        <v>3.9399999999999999E-3</v>
      </c>
      <c r="BH107">
        <f>'2020_2021_efet'!BF14</f>
        <v>3.9899999999999996E-3</v>
      </c>
      <c r="BI107">
        <f>'2020_2021_efet'!BG14</f>
        <v>4.0600000000000002E-3</v>
      </c>
      <c r="BJ107">
        <f>'2020_2021_efet'!BH14</f>
        <v>4.13E-3</v>
      </c>
      <c r="BK107">
        <f>'2020_2021_efet'!BI14</f>
        <v>3.9899999999999996E-3</v>
      </c>
      <c r="BL107">
        <f>'2020_2021_efet'!BJ14</f>
        <v>3.9699999999999996E-3</v>
      </c>
      <c r="BM107">
        <f>'2020_2021_efet'!BK14</f>
        <v>4.0000000000000001E-3</v>
      </c>
      <c r="BN107">
        <f>'2020_2021_efet'!BL14</f>
        <v>3.9699999999999996E-3</v>
      </c>
      <c r="BO107">
        <f>'2020_2021_efet'!BM14</f>
        <v>4.2399999999999998E-3</v>
      </c>
      <c r="BP107">
        <f>'2020_2021_efet'!BN14</f>
        <v>4.3800000000000002E-3</v>
      </c>
      <c r="BQ107">
        <f>'2020_2021_efet'!BO14</f>
        <v>4.5500000000000002E-3</v>
      </c>
      <c r="BR107">
        <f>'2020_2021_efet'!BP14</f>
        <v>4.8700000000000002E-3</v>
      </c>
      <c r="BS107">
        <f>'2020_2021_efet'!BQ14</f>
        <v>5.0000000000000001E-3</v>
      </c>
      <c r="BT107">
        <f>'2020_2021_efet'!BR14</f>
        <v>4.9899999999999996E-3</v>
      </c>
      <c r="BU107">
        <f>'2020_2021_efet'!BS14</f>
        <v>5.1500000000000001E-3</v>
      </c>
      <c r="BV107">
        <f>'2020_2021_efet'!BT14</f>
        <v>5.1500000000000001E-3</v>
      </c>
      <c r="BW107">
        <f>'2020_2021_efet'!BU14</f>
        <v>4.8199999999999996E-3</v>
      </c>
      <c r="BX107">
        <f>'2020_2021_efet'!BV14</f>
        <v>4.8599999999999997E-3</v>
      </c>
      <c r="BY107">
        <f>'2020_2021_efet'!BW14</f>
        <v>5.2599999999999999E-3</v>
      </c>
      <c r="BZ107">
        <f>'2020_2021_efet'!BX14</f>
        <v>5.4400000000000004E-3</v>
      </c>
      <c r="CA107">
        <f>'2020_2021_efet'!BY14</f>
        <v>5.62E-3</v>
      </c>
      <c r="CB107">
        <f>'2020_2021_efet'!BZ14</f>
        <v>5.2300000000000003E-3</v>
      </c>
      <c r="CC107">
        <f>'2020_2021_efet'!CA14</f>
        <v>5.2300000000000003E-3</v>
      </c>
      <c r="CD107">
        <f>'2020_2021_efet'!CB14</f>
        <v>5.6899999999999997E-3</v>
      </c>
      <c r="CE107">
        <f>'2020_2021_efet'!CC14</f>
        <v>5.96E-3</v>
      </c>
      <c r="CF107">
        <f>'2020_2021_efet'!CD14</f>
        <v>6.0299999999999998E-3</v>
      </c>
      <c r="CG107">
        <f>'2020_2021_efet'!CE14</f>
        <v>5.9699999999999996E-3</v>
      </c>
      <c r="CH107">
        <f>'2020_2021_efet'!CF14</f>
        <v>5.4599999999999996E-3</v>
      </c>
      <c r="CI107">
        <f>'2020_2021_efet'!CG14</f>
        <v>4.9399999999999999E-3</v>
      </c>
      <c r="CJ107">
        <f>'2020_2021_efet'!CH14</f>
        <v>4.8399999999999997E-3</v>
      </c>
      <c r="CK107">
        <f>'2020_2021_efet'!CI14</f>
        <v>4.9699999999999996E-3</v>
      </c>
      <c r="CL107">
        <f>'2020_2021_efet'!CJ14</f>
        <v>4.9399999999999999E-3</v>
      </c>
      <c r="CM107">
        <f>'2020_2021_efet'!CK14</f>
        <v>4.7699999999999999E-3</v>
      </c>
      <c r="CN107">
        <f>'2020_2021_efet'!CL14</f>
        <v>4.4900000000000001E-3</v>
      </c>
      <c r="CO107">
        <f>'2020_2021_efet'!CM14</f>
        <v>5.0899999999999999E-3</v>
      </c>
      <c r="CP107">
        <f>'2020_2021_efet'!CN14</f>
        <v>5.1599999999999997E-3</v>
      </c>
      <c r="CQ107">
        <f>'2020_2021_efet'!CO14</f>
        <v>5.1900000000000002E-3</v>
      </c>
      <c r="CR107">
        <f>'2020_2021_efet'!CP14</f>
        <v>4.4999999999999997E-3</v>
      </c>
      <c r="CS107">
        <f>'2020_2021_efet'!CQ14</f>
        <v>3.8999999999999998E-3</v>
      </c>
      <c r="CT107">
        <f>'2020_2021_efet'!CR14</f>
        <v>4.2500000000000003E-3</v>
      </c>
      <c r="CU107">
        <f>'2020_2021_efet'!CS14</f>
        <v>3.9399999999999999E-3</v>
      </c>
      <c r="CV107">
        <f>'2020_2021_efet'!CT14</f>
        <v>4.2100000000000002E-3</v>
      </c>
      <c r="CW107">
        <f>'2020_2021_efet'!CU14</f>
        <v>2.5799999999999998E-3</v>
      </c>
      <c r="CX107">
        <f>'2020_2021_efet'!CV14</f>
        <v>2.3999999999999998E-3</v>
      </c>
    </row>
    <row r="108" spans="1:102" x14ac:dyDescent="0.2">
      <c r="A108" t="s">
        <v>208</v>
      </c>
      <c r="B108" t="s">
        <v>219</v>
      </c>
      <c r="C108" t="s">
        <v>223</v>
      </c>
      <c r="D108">
        <f>'2020_2021_efet'!B15</f>
        <v>-4.1799999999999997E-2</v>
      </c>
      <c r="E108">
        <f>'2020_2021_efet'!C15</f>
        <v>-4.1799999999999997E-2</v>
      </c>
      <c r="F108">
        <f>'2020_2021_efet'!D15</f>
        <v>-4.1799999999999997E-2</v>
      </c>
      <c r="G108">
        <f>'2020_2021_efet'!E15</f>
        <v>-1.042</v>
      </c>
      <c r="H108">
        <f>'2020_2021_efet'!F15</f>
        <v>-0.14499999999999999</v>
      </c>
      <c r="I108">
        <f>'2020_2021_efet'!G15</f>
        <v>-0.45900000000000002</v>
      </c>
      <c r="J108">
        <f>'2020_2021_efet'!H15</f>
        <v>-0.34499999999999997</v>
      </c>
      <c r="K108">
        <f>'2020_2021_efet'!I15</f>
        <v>-0.32</v>
      </c>
      <c r="L108">
        <f>'2020_2021_efet'!J15</f>
        <v>-0.35299999999999998</v>
      </c>
      <c r="M108">
        <f>'2020_2021_efet'!K15</f>
        <v>-0.33700000000000002</v>
      </c>
      <c r="N108">
        <f>'2020_2021_efet'!L15</f>
        <v>-0.35199999999999998</v>
      </c>
      <c r="O108">
        <f>'2020_2021_efet'!M15</f>
        <v>-0.41899999999999998</v>
      </c>
      <c r="P108">
        <f>'2020_2021_efet'!N15</f>
        <v>-0.42399999999999999</v>
      </c>
      <c r="Q108">
        <f>'2020_2021_efet'!O15</f>
        <v>-0.192</v>
      </c>
      <c r="R108">
        <f>'2020_2021_efet'!P15</f>
        <v>-0.187</v>
      </c>
      <c r="S108">
        <f>'2020_2021_efet'!Q15</f>
        <v>-0.29399999999999998</v>
      </c>
      <c r="T108">
        <f>'2020_2021_efet'!R15</f>
        <v>-0.27200000000000002</v>
      </c>
      <c r="U108">
        <f>'2020_2021_efet'!S15</f>
        <v>-0.19600000000000001</v>
      </c>
      <c r="V108">
        <f>'2020_2021_efet'!T15</f>
        <v>-0.218</v>
      </c>
      <c r="W108">
        <f>'2020_2021_efet'!U15</f>
        <v>-0.20399999999999999</v>
      </c>
      <c r="X108">
        <f>'2020_2021_efet'!V15</f>
        <v>-0.2</v>
      </c>
      <c r="Y108">
        <f>'2020_2021_efet'!W15</f>
        <v>-0.13700000000000001</v>
      </c>
      <c r="Z108">
        <f>'2020_2021_efet'!X15</f>
        <v>-0.122</v>
      </c>
      <c r="AA108">
        <f>'2020_2021_efet'!Y15</f>
        <v>-0.11899999999999999</v>
      </c>
      <c r="AB108">
        <f>'2020_2021_efet'!Z15</f>
        <v>-0.121</v>
      </c>
      <c r="AC108">
        <f>'2020_2021_efet'!AA15</f>
        <v>-0.108</v>
      </c>
      <c r="AD108">
        <f>'2020_2021_efet'!AB15</f>
        <v>-0.11600000000000001</v>
      </c>
      <c r="AE108">
        <f>'2020_2021_efet'!AC15</f>
        <v>-0.11899999999999999</v>
      </c>
      <c r="AF108">
        <f>'2020_2021_efet'!AD15</f>
        <v>-0.11700000000000001</v>
      </c>
      <c r="AG108">
        <f>'2020_2021_efet'!AE15</f>
        <v>-0.123</v>
      </c>
      <c r="AH108">
        <f>'2020_2021_efet'!AF15</f>
        <v>-0.127</v>
      </c>
      <c r="AI108">
        <f>'2020_2021_efet'!AG15</f>
        <v>-0.11</v>
      </c>
      <c r="AJ108">
        <f>'2020_2021_efet'!AH15</f>
        <v>-0.115</v>
      </c>
      <c r="AK108">
        <f>'2020_2021_efet'!AI15</f>
        <v>-0.104</v>
      </c>
      <c r="AL108">
        <f>'2020_2021_efet'!AJ15</f>
        <v>-0.107</v>
      </c>
      <c r="AM108">
        <f>'2020_2021_efet'!AK15</f>
        <v>-8.9200000000000002E-2</v>
      </c>
      <c r="AN108">
        <f>'2020_2021_efet'!AL15</f>
        <v>-8.3000000000000004E-2</v>
      </c>
      <c r="AO108">
        <f>'2020_2021_efet'!AM15</f>
        <v>-7.8700000000000006E-2</v>
      </c>
      <c r="AP108">
        <f>'2020_2021_efet'!AN15</f>
        <v>-8.0299999999999996E-2</v>
      </c>
      <c r="AQ108">
        <f>'2020_2021_efet'!AO15</f>
        <v>-8.6900000000000005E-2</v>
      </c>
      <c r="AR108">
        <f>'2020_2021_efet'!AP15</f>
        <v>-7.9100000000000004E-2</v>
      </c>
      <c r="AS108">
        <f>'2020_2021_efet'!AQ15</f>
        <v>-8.7800000000000003E-2</v>
      </c>
      <c r="AT108">
        <f>'2020_2021_efet'!AR15</f>
        <v>-9.2799999999999994E-2</v>
      </c>
      <c r="AU108">
        <f>'2020_2021_efet'!AS15</f>
        <v>-9.2999999999999999E-2</v>
      </c>
      <c r="AV108">
        <f>'2020_2021_efet'!AT15</f>
        <v>-7.8200000000000006E-2</v>
      </c>
      <c r="AW108">
        <f>'2020_2021_efet'!AU15</f>
        <v>-7.6999999999999999E-2</v>
      </c>
      <c r="AX108">
        <f>'2020_2021_efet'!AV15</f>
        <v>-7.1800000000000003E-2</v>
      </c>
      <c r="AY108">
        <f>'2020_2021_efet'!AW15</f>
        <v>-7.8799999999999995E-2</v>
      </c>
      <c r="AZ108">
        <f>'2020_2021_efet'!AX15</f>
        <v>-6.6100000000000006E-2</v>
      </c>
      <c r="BA108">
        <f>'2020_2021_efet'!AY15</f>
        <v>-7.0800000000000002E-2</v>
      </c>
      <c r="BB108">
        <f>'2020_2021_efet'!AZ15</f>
        <v>-7.85E-2</v>
      </c>
      <c r="BC108">
        <f>'2020_2021_efet'!BA15</f>
        <v>-6.0499999999999998E-2</v>
      </c>
      <c r="BD108">
        <f>'2020_2021_efet'!BB15</f>
        <v>-6.0600000000000001E-2</v>
      </c>
      <c r="BE108">
        <f>'2020_2021_efet'!BC15</f>
        <v>-5.3999999999999999E-2</v>
      </c>
      <c r="BF108">
        <f>'2020_2021_efet'!BD15</f>
        <v>-6.0199999999999997E-2</v>
      </c>
      <c r="BG108">
        <f>'2020_2021_efet'!BE15</f>
        <v>-5.7299999999999997E-2</v>
      </c>
      <c r="BH108">
        <f>'2020_2021_efet'!BF15</f>
        <v>-7.0900000000000005E-2</v>
      </c>
      <c r="BI108">
        <f>'2020_2021_efet'!BG15</f>
        <v>-6.59E-2</v>
      </c>
      <c r="BJ108">
        <f>'2020_2021_efet'!BH15</f>
        <v>-6.9500000000000006E-2</v>
      </c>
      <c r="BK108">
        <f>'2020_2021_efet'!BI15</f>
        <v>-6.7500000000000004E-2</v>
      </c>
      <c r="BL108">
        <f>'2020_2021_efet'!BJ15</f>
        <v>-7.3999999999999996E-2</v>
      </c>
      <c r="BM108">
        <f>'2020_2021_efet'!BK15</f>
        <v>-7.9799999999999996E-2</v>
      </c>
      <c r="BN108">
        <f>'2020_2021_efet'!BL15</f>
        <v>-8.1799999999999998E-2</v>
      </c>
      <c r="BO108">
        <f>'2020_2021_efet'!BM15</f>
        <v>-8.2500000000000004E-2</v>
      </c>
      <c r="BP108">
        <f>'2020_2021_efet'!BN15</f>
        <v>-8.9599999999999999E-2</v>
      </c>
      <c r="BQ108">
        <f>'2020_2021_efet'!BO15</f>
        <v>-0.11</v>
      </c>
      <c r="BR108">
        <f>'2020_2021_efet'!BP15</f>
        <v>-0.108</v>
      </c>
      <c r="BS108">
        <f>'2020_2021_efet'!BQ15</f>
        <v>-9.1899999999999996E-2</v>
      </c>
      <c r="BT108">
        <f>'2020_2021_efet'!BR15</f>
        <v>-6.4699999999999994E-2</v>
      </c>
      <c r="BU108">
        <f>'2020_2021_efet'!BS15</f>
        <v>-3.9899999999999998E-2</v>
      </c>
      <c r="BV108">
        <f>'2020_2021_efet'!BT15</f>
        <v>-2.7300000000000001E-2</v>
      </c>
      <c r="BW108">
        <f>'2020_2021_efet'!BU15</f>
        <v>-1.67E-2</v>
      </c>
      <c r="BX108">
        <f>'2020_2021_efet'!BV15</f>
        <v>-1.1900000000000001E-2</v>
      </c>
      <c r="BY108">
        <f>'2020_2021_efet'!BW15</f>
        <v>-3.0200000000000001E-3</v>
      </c>
      <c r="BZ108">
        <f>'2020_2021_efet'!BX15</f>
        <v>-9.2099999999999994E-3</v>
      </c>
      <c r="CA108">
        <f>'2020_2021_efet'!BY15</f>
        <v>-7.92E-3</v>
      </c>
      <c r="CB108">
        <f>'2020_2021_efet'!BZ15</f>
        <v>-4.6399999999999997E-2</v>
      </c>
      <c r="CC108">
        <f>'2020_2021_efet'!CA15</f>
        <v>-2.5600000000000001E-2</v>
      </c>
      <c r="CD108">
        <f>'2020_2021_efet'!CB15</f>
        <v>-5.4899999999999997E-2</v>
      </c>
      <c r="CE108">
        <f>'2020_2021_efet'!CC15</f>
        <v>-7.0900000000000005E-2</v>
      </c>
      <c r="CF108">
        <f>'2020_2021_efet'!CD15</f>
        <v>-5.91E-2</v>
      </c>
      <c r="CG108">
        <f>'2020_2021_efet'!CE15</f>
        <v>-8.1600000000000006E-2</v>
      </c>
      <c r="CH108">
        <f>'2020_2021_efet'!CF15</f>
        <v>-8.8800000000000004E-2</v>
      </c>
      <c r="CI108">
        <f>'2020_2021_efet'!CG15</f>
        <v>-9.8199999999999996E-2</v>
      </c>
      <c r="CJ108">
        <f>'2020_2021_efet'!CH15</f>
        <v>-7.1900000000000006E-2</v>
      </c>
      <c r="CK108">
        <f>'2020_2021_efet'!CI15</f>
        <v>-7.4399999999999994E-2</v>
      </c>
      <c r="CL108">
        <f>'2020_2021_efet'!CJ15</f>
        <v>-5.0799999999999998E-2</v>
      </c>
      <c r="CM108">
        <f>'2020_2021_efet'!CK15</f>
        <v>-2.8199999999999999E-2</v>
      </c>
      <c r="CN108">
        <f>'2020_2021_efet'!CL15</f>
        <v>-2.98E-2</v>
      </c>
      <c r="CO108">
        <f>'2020_2021_efet'!CM15</f>
        <v>-9.8599999999999993E-2</v>
      </c>
      <c r="CP108">
        <f>'2020_2021_efet'!CN15</f>
        <v>-0.111</v>
      </c>
      <c r="CQ108">
        <f>'2020_2021_efet'!CO15</f>
        <v>-0.126</v>
      </c>
      <c r="CR108">
        <f>'2020_2021_efet'!CP15</f>
        <v>-0.12</v>
      </c>
      <c r="CS108">
        <f>'2020_2021_efet'!CQ15</f>
        <v>-4.2299999999999997E-2</v>
      </c>
      <c r="CT108">
        <f>'2020_2021_efet'!CR15</f>
        <v>-3.6299999999999999E-2</v>
      </c>
      <c r="CU108">
        <f>'2020_2021_efet'!CS15</f>
        <v>-9.1900000000000003E-3</v>
      </c>
      <c r="CV108">
        <f>'2020_2021_efet'!CT15</f>
        <v>-0.02</v>
      </c>
      <c r="CW108">
        <f>'2020_2021_efet'!CU15</f>
        <v>-8.6999999999999994E-2</v>
      </c>
      <c r="CX108">
        <f>'2020_2021_efet'!CV15</f>
        <v>-0.23699999999999999</v>
      </c>
    </row>
    <row r="109" spans="1:102" x14ac:dyDescent="0.2">
      <c r="A109" t="s">
        <v>209</v>
      </c>
      <c r="B109" t="s">
        <v>219</v>
      </c>
      <c r="C109" t="s">
        <v>223</v>
      </c>
      <c r="D109">
        <f>'2020_2021_efet'!B16</f>
        <v>6.4900000000000001E-3</v>
      </c>
      <c r="E109">
        <f>'2020_2021_efet'!C16</f>
        <v>6.4900000000000001E-3</v>
      </c>
      <c r="F109">
        <f>'2020_2021_efet'!D16</f>
        <v>6.4900000000000001E-3</v>
      </c>
      <c r="G109">
        <f>'2020_2021_efet'!E16</f>
        <v>-0.41599999999999998</v>
      </c>
      <c r="H109">
        <f>'2020_2021_efet'!F16</f>
        <v>-0.13600000000000001</v>
      </c>
      <c r="I109">
        <f>'2020_2021_efet'!G16</f>
        <v>-0.16800000000000001</v>
      </c>
      <c r="J109">
        <f>'2020_2021_efet'!H16</f>
        <v>-6.6900000000000001E-2</v>
      </c>
      <c r="K109">
        <f>'2020_2021_efet'!I16</f>
        <v>-0.107</v>
      </c>
      <c r="L109">
        <f>'2020_2021_efet'!J16</f>
        <v>-0.112</v>
      </c>
      <c r="M109">
        <f>'2020_2021_efet'!K16</f>
        <v>-0.13600000000000001</v>
      </c>
      <c r="N109">
        <f>'2020_2021_efet'!L16</f>
        <v>-0.14399999999999999</v>
      </c>
      <c r="O109">
        <f>'2020_2021_efet'!M16</f>
        <v>-0.12</v>
      </c>
      <c r="P109">
        <f>'2020_2021_efet'!N16</f>
        <v>-0.14499999999999999</v>
      </c>
      <c r="Q109">
        <f>'2020_2021_efet'!O16</f>
        <v>-4.6199999999999998E-2</v>
      </c>
      <c r="R109">
        <f>'2020_2021_efet'!P16</f>
        <v>-2.9399999999999999E-2</v>
      </c>
      <c r="S109">
        <f>'2020_2021_efet'!Q16</f>
        <v>-0.10199999999999999</v>
      </c>
      <c r="T109">
        <f>'2020_2021_efet'!R16</f>
        <v>-9.7799999999999998E-2</v>
      </c>
      <c r="U109">
        <f>'2020_2021_efet'!S16</f>
        <v>-6.1800000000000001E-2</v>
      </c>
      <c r="V109">
        <f>'2020_2021_efet'!T16</f>
        <v>-7.9600000000000004E-2</v>
      </c>
      <c r="W109">
        <f>'2020_2021_efet'!U16</f>
        <v>-9.6799999999999997E-2</v>
      </c>
      <c r="X109">
        <f>'2020_2021_efet'!V16</f>
        <v>-0.111</v>
      </c>
      <c r="Y109">
        <f>'2020_2021_efet'!W16</f>
        <v>-6.6900000000000001E-2</v>
      </c>
      <c r="Z109">
        <f>'2020_2021_efet'!X16</f>
        <v>-0.06</v>
      </c>
      <c r="AA109">
        <f>'2020_2021_efet'!Y16</f>
        <v>-5.7500000000000002E-2</v>
      </c>
      <c r="AB109">
        <f>'2020_2021_efet'!Z16</f>
        <v>-8.1799999999999998E-2</v>
      </c>
      <c r="AC109">
        <f>'2020_2021_efet'!AA16</f>
        <v>-7.6499999999999999E-2</v>
      </c>
      <c r="AD109">
        <f>'2020_2021_efet'!AB16</f>
        <v>-7.3099999999999998E-2</v>
      </c>
      <c r="AE109">
        <f>'2020_2021_efet'!AC16</f>
        <v>-7.6300000000000007E-2</v>
      </c>
      <c r="AF109">
        <f>'2020_2021_efet'!AD16</f>
        <v>-8.7300000000000003E-2</v>
      </c>
      <c r="AG109">
        <f>'2020_2021_efet'!AE16</f>
        <v>-7.9200000000000007E-2</v>
      </c>
      <c r="AH109">
        <f>'2020_2021_efet'!AF16</f>
        <v>-8.9099999999999999E-2</v>
      </c>
      <c r="AI109">
        <f>'2020_2021_efet'!AG16</f>
        <v>-8.8499999999999995E-2</v>
      </c>
      <c r="AJ109">
        <f>'2020_2021_efet'!AH16</f>
        <v>-9.1800000000000007E-2</v>
      </c>
      <c r="AK109">
        <f>'2020_2021_efet'!AI16</f>
        <v>-9.01E-2</v>
      </c>
      <c r="AL109">
        <f>'2020_2021_efet'!AJ16</f>
        <v>-0.09</v>
      </c>
      <c r="AM109">
        <f>'2020_2021_efet'!AK16</f>
        <v>-6.7000000000000004E-2</v>
      </c>
      <c r="AN109">
        <f>'2020_2021_efet'!AL16</f>
        <v>-6.59E-2</v>
      </c>
      <c r="AO109">
        <f>'2020_2021_efet'!AM16</f>
        <v>-5.0099999999999999E-2</v>
      </c>
      <c r="AP109">
        <f>'2020_2021_efet'!AN16</f>
        <v>-5.2699999999999997E-2</v>
      </c>
      <c r="AQ109">
        <f>'2020_2021_efet'!AO16</f>
        <v>-5.0099999999999999E-2</v>
      </c>
      <c r="AR109">
        <f>'2020_2021_efet'!AP16</f>
        <v>-5.3400000000000003E-2</v>
      </c>
      <c r="AS109">
        <f>'2020_2021_efet'!AQ16</f>
        <v>-4.7500000000000001E-2</v>
      </c>
      <c r="AT109">
        <f>'2020_2021_efet'!AR16</f>
        <v>-0.04</v>
      </c>
      <c r="AU109">
        <f>'2020_2021_efet'!AS16</f>
        <v>-5.1200000000000002E-2</v>
      </c>
      <c r="AV109">
        <f>'2020_2021_efet'!AT16</f>
        <v>-4.8399999999999999E-2</v>
      </c>
      <c r="AW109">
        <f>'2020_2021_efet'!AU16</f>
        <v>-5.4199999999999998E-2</v>
      </c>
      <c r="AX109">
        <f>'2020_2021_efet'!AV16</f>
        <v>-6.0199999999999997E-2</v>
      </c>
      <c r="AY109">
        <f>'2020_2021_efet'!AW16</f>
        <v>-5.8599999999999999E-2</v>
      </c>
      <c r="AZ109">
        <f>'2020_2021_efet'!AX16</f>
        <v>-4.2599999999999999E-2</v>
      </c>
      <c r="BA109">
        <f>'2020_2021_efet'!AY16</f>
        <v>-4.2099999999999999E-2</v>
      </c>
      <c r="BB109">
        <f>'2020_2021_efet'!AZ16</f>
        <v>-4.6399999999999997E-2</v>
      </c>
      <c r="BC109">
        <f>'2020_2021_efet'!BA16</f>
        <v>-3.39E-2</v>
      </c>
      <c r="BD109">
        <f>'2020_2021_efet'!BB16</f>
        <v>-3.3000000000000002E-2</v>
      </c>
      <c r="BE109">
        <f>'2020_2021_efet'!BC16</f>
        <v>-3.3099999999999997E-2</v>
      </c>
      <c r="BF109">
        <f>'2020_2021_efet'!BD16</f>
        <v>-3.3399999999999999E-2</v>
      </c>
      <c r="BG109">
        <f>'2020_2021_efet'!BE16</f>
        <v>-0.02</v>
      </c>
      <c r="BH109">
        <f>'2020_2021_efet'!BF16</f>
        <v>-2.0299999999999999E-2</v>
      </c>
      <c r="BI109">
        <f>'2020_2021_efet'!BG16</f>
        <v>-2.6599999999999999E-2</v>
      </c>
      <c r="BJ109">
        <f>'2020_2021_efet'!BH16</f>
        <v>-2.8299999999999999E-2</v>
      </c>
      <c r="BK109">
        <f>'2020_2021_efet'!BI16</f>
        <v>-2.3599999999999999E-2</v>
      </c>
      <c r="BL109">
        <f>'2020_2021_efet'!BJ16</f>
        <v>-3.0499999999999999E-2</v>
      </c>
      <c r="BM109">
        <f>'2020_2021_efet'!BK16</f>
        <v>-3.56E-2</v>
      </c>
      <c r="BN109">
        <f>'2020_2021_efet'!BL16</f>
        <v>-4.1799999999999997E-2</v>
      </c>
      <c r="BO109">
        <f>'2020_2021_efet'!BM16</f>
        <v>-3.85E-2</v>
      </c>
      <c r="BP109">
        <f>'2020_2021_efet'!BN16</f>
        <v>-4.99E-2</v>
      </c>
      <c r="BQ109">
        <f>'2020_2021_efet'!BO16</f>
        <v>-6.7900000000000002E-2</v>
      </c>
      <c r="BR109">
        <f>'2020_2021_efet'!BP16</f>
        <v>-7.0900000000000005E-2</v>
      </c>
      <c r="BS109">
        <f>'2020_2021_efet'!BQ16</f>
        <v>-6.6299999999999998E-2</v>
      </c>
      <c r="BT109">
        <f>'2020_2021_efet'!BR16</f>
        <v>-5.1700000000000003E-2</v>
      </c>
      <c r="BU109">
        <f>'2020_2021_efet'!BS16</f>
        <v>-2.29E-2</v>
      </c>
      <c r="BV109">
        <f>'2020_2021_efet'!BT16</f>
        <v>-2.1499999999999998E-2</v>
      </c>
      <c r="BW109">
        <f>'2020_2021_efet'!BU16</f>
        <v>-1.29E-2</v>
      </c>
      <c r="BX109">
        <f>'2020_2021_efet'!BV16</f>
        <v>-9.0799999999999995E-3</v>
      </c>
      <c r="BY109">
        <f>'2020_2021_efet'!BW16</f>
        <v>-1.2E-2</v>
      </c>
      <c r="BZ109">
        <f>'2020_2021_efet'!BX16</f>
        <v>-1.2800000000000001E-2</v>
      </c>
      <c r="CA109">
        <f>'2020_2021_efet'!BY16</f>
        <v>-2.8000000000000001E-2</v>
      </c>
      <c r="CB109">
        <f>'2020_2021_efet'!BZ16</f>
        <v>-4.4499999999999998E-2</v>
      </c>
      <c r="CC109">
        <f>'2020_2021_efet'!CA16</f>
        <v>-5.4100000000000002E-2</v>
      </c>
      <c r="CD109">
        <f>'2020_2021_efet'!CB16</f>
        <v>-5.6899999999999999E-2</v>
      </c>
      <c r="CE109">
        <f>'2020_2021_efet'!CC16</f>
        <v>-5.6899999999999999E-2</v>
      </c>
      <c r="CF109">
        <f>'2020_2021_efet'!CD16</f>
        <v>-7.9100000000000004E-2</v>
      </c>
      <c r="CG109">
        <f>'2020_2021_efet'!CE16</f>
        <v>-0.115</v>
      </c>
      <c r="CH109">
        <f>'2020_2021_efet'!CF16</f>
        <v>-0.115</v>
      </c>
      <c r="CI109">
        <f>'2020_2021_efet'!CG16</f>
        <v>-0.113</v>
      </c>
      <c r="CJ109">
        <f>'2020_2021_efet'!CH16</f>
        <v>-8.6099999999999996E-2</v>
      </c>
      <c r="CK109">
        <f>'2020_2021_efet'!CI16</f>
        <v>-0.113</v>
      </c>
      <c r="CL109">
        <f>'2020_2021_efet'!CJ16</f>
        <v>-7.8399999999999997E-2</v>
      </c>
      <c r="CM109">
        <f>'2020_2021_efet'!CK16</f>
        <v>-5.62E-2</v>
      </c>
      <c r="CN109">
        <f>'2020_2021_efet'!CL16</f>
        <v>-4.1300000000000003E-2</v>
      </c>
      <c r="CO109">
        <f>'2020_2021_efet'!CM16</f>
        <v>-0.14099999999999999</v>
      </c>
      <c r="CP109">
        <f>'2020_2021_efet'!CN16</f>
        <v>-0.129</v>
      </c>
      <c r="CQ109">
        <f>'2020_2021_efet'!CO16</f>
        <v>-0.151</v>
      </c>
      <c r="CR109">
        <f>'2020_2021_efet'!CP16</f>
        <v>-0.13100000000000001</v>
      </c>
      <c r="CS109">
        <f>'2020_2021_efet'!CQ16</f>
        <v>-6.6699999999999995E-2</v>
      </c>
      <c r="CT109">
        <f>'2020_2021_efet'!CR16</f>
        <v>-6.13E-2</v>
      </c>
      <c r="CU109">
        <f>'2020_2021_efet'!CS16</f>
        <v>-0.13200000000000001</v>
      </c>
      <c r="CV109">
        <f>'2020_2021_efet'!CT16</f>
        <v>-0.14499999999999999</v>
      </c>
      <c r="CW109">
        <f>'2020_2021_efet'!CU16</f>
        <v>-0.11</v>
      </c>
      <c r="CX109">
        <f>'2020_2021_efet'!CV16</f>
        <v>-0.317</v>
      </c>
    </row>
    <row r="110" spans="1:102" x14ac:dyDescent="0.2">
      <c r="A110" t="s">
        <v>210</v>
      </c>
      <c r="B110" t="s">
        <v>219</v>
      </c>
      <c r="C110" t="s">
        <v>223</v>
      </c>
      <c r="D110">
        <f>'2020_2021_efet'!B17</f>
        <v>1.5499999999999999E-3</v>
      </c>
      <c r="E110">
        <f>'2020_2021_efet'!C17</f>
        <v>1.5499999999999999E-3</v>
      </c>
      <c r="F110">
        <f>'2020_2021_efet'!D17</f>
        <v>1.5499999999999999E-3</v>
      </c>
      <c r="G110">
        <f>'2020_2021_efet'!E17</f>
        <v>3.5099999999999999E-2</v>
      </c>
      <c r="H110">
        <f>'2020_2021_efet'!F17</f>
        <v>-1.95E-2</v>
      </c>
      <c r="I110">
        <f>'2020_2021_efet'!G17</f>
        <v>1.31E-3</v>
      </c>
      <c r="J110">
        <f>'2020_2021_efet'!H17</f>
        <v>-1.46E-2</v>
      </c>
      <c r="K110">
        <f>'2020_2021_efet'!I17</f>
        <v>-4.4299999999999999E-3</v>
      </c>
      <c r="L110">
        <f>'2020_2021_efet'!J17</f>
        <v>8.4800000000000001E-4</v>
      </c>
      <c r="M110">
        <f>'2020_2021_efet'!K17</f>
        <v>-5.7099999999999998E-3</v>
      </c>
      <c r="N110">
        <f>'2020_2021_efet'!L17</f>
        <v>4.7999999999999996E-3</v>
      </c>
      <c r="O110">
        <f>'2020_2021_efet'!M17</f>
        <v>2.4499999999999999E-3</v>
      </c>
      <c r="P110">
        <f>'2020_2021_efet'!N17</f>
        <v>8.4100000000000008E-3</v>
      </c>
      <c r="Q110">
        <f>'2020_2021_efet'!O17</f>
        <v>-8.1099999999999992E-3</v>
      </c>
      <c r="R110">
        <f>'2020_2021_efet'!P17</f>
        <v>-8.8400000000000006E-3</v>
      </c>
      <c r="S110">
        <f>'2020_2021_efet'!Q17</f>
        <v>1.9400000000000001E-3</v>
      </c>
      <c r="T110">
        <f>'2020_2021_efet'!R17</f>
        <v>3.3899999999999998E-3</v>
      </c>
      <c r="U110">
        <f>'2020_2021_efet'!S17</f>
        <v>4.9799999999999996E-4</v>
      </c>
      <c r="V110">
        <f>'2020_2021_efet'!T17</f>
        <v>4.1700000000000001E-3</v>
      </c>
      <c r="W110">
        <f>'2020_2021_efet'!U17</f>
        <v>5.1900000000000002E-3</v>
      </c>
      <c r="X110">
        <f>'2020_2021_efet'!V17</f>
        <v>7.2100000000000003E-3</v>
      </c>
      <c r="Y110">
        <f>'2020_2021_efet'!W17</f>
        <v>2.1800000000000001E-3</v>
      </c>
      <c r="Z110">
        <f>'2020_2021_efet'!X17</f>
        <v>4.8900000000000002E-3</v>
      </c>
      <c r="AA110">
        <f>'2020_2021_efet'!Y17</f>
        <v>4.8799999999999998E-3</v>
      </c>
      <c r="AB110">
        <f>'2020_2021_efet'!Z17</f>
        <v>6.6400000000000001E-3</v>
      </c>
      <c r="AC110">
        <f>'2020_2021_efet'!AA17</f>
        <v>3.4199999999999999E-3</v>
      </c>
      <c r="AD110">
        <f>'2020_2021_efet'!AB17</f>
        <v>4.4200000000000003E-3</v>
      </c>
      <c r="AE110">
        <f>'2020_2021_efet'!AC17</f>
        <v>5.2500000000000003E-3</v>
      </c>
      <c r="AF110">
        <f>'2020_2021_efet'!AD17</f>
        <v>7.0499999999999998E-3</v>
      </c>
      <c r="AG110">
        <f>'2020_2021_efet'!AE17</f>
        <v>8.2500000000000004E-3</v>
      </c>
      <c r="AH110">
        <f>'2020_2021_efet'!AF17</f>
        <v>7.5799999999999999E-3</v>
      </c>
      <c r="AI110">
        <f>'2020_2021_efet'!AG17</f>
        <v>6.4200000000000004E-3</v>
      </c>
      <c r="AJ110">
        <f>'2020_2021_efet'!AH17</f>
        <v>4.9699999999999996E-3</v>
      </c>
      <c r="AK110">
        <f>'2020_2021_efet'!AI17</f>
        <v>5.3299999999999997E-3</v>
      </c>
      <c r="AL110">
        <f>'2020_2021_efet'!AJ17</f>
        <v>4.7699999999999999E-3</v>
      </c>
      <c r="AM110">
        <f>'2020_2021_efet'!AK17</f>
        <v>6.9499999999999995E-5</v>
      </c>
      <c r="AN110">
        <f>'2020_2021_efet'!AL17</f>
        <v>-2.66E-3</v>
      </c>
      <c r="AO110">
        <f>'2020_2021_efet'!AM17</f>
        <v>-3.3400000000000001E-3</v>
      </c>
      <c r="AP110">
        <f>'2020_2021_efet'!AN17</f>
        <v>-2.1099999999999999E-3</v>
      </c>
      <c r="AQ110">
        <f>'2020_2021_efet'!AO17</f>
        <v>-3.7000000000000002E-3</v>
      </c>
      <c r="AR110">
        <f>'2020_2021_efet'!AP17</f>
        <v>-2.1700000000000001E-3</v>
      </c>
      <c r="AS110">
        <f>'2020_2021_efet'!AQ17</f>
        <v>-8.12E-4</v>
      </c>
      <c r="AT110">
        <f>'2020_2021_efet'!AR17</f>
        <v>-1.9599999999999999E-3</v>
      </c>
      <c r="AU110">
        <f>'2020_2021_efet'!AS17</f>
        <v>2.0899999999999998E-3</v>
      </c>
      <c r="AV110">
        <f>'2020_2021_efet'!AT17</f>
        <v>3.9199999999999999E-3</v>
      </c>
      <c r="AW110">
        <f>'2020_2021_efet'!AU17</f>
        <v>3.16E-3</v>
      </c>
      <c r="AX110">
        <f>'2020_2021_efet'!AV17</f>
        <v>6.0499999999999998E-3</v>
      </c>
      <c r="AY110">
        <f>'2020_2021_efet'!AW17</f>
        <v>6.5500000000000003E-3</v>
      </c>
      <c r="AZ110">
        <f>'2020_2021_efet'!AX17</f>
        <v>5.2100000000000002E-3</v>
      </c>
      <c r="BA110">
        <f>'2020_2021_efet'!AY17</f>
        <v>6.1399999999999996E-3</v>
      </c>
      <c r="BB110">
        <f>'2020_2021_efet'!AZ17</f>
        <v>6.2500000000000003E-3</v>
      </c>
      <c r="BC110">
        <f>'2020_2021_efet'!BA17</f>
        <v>1.8699999999999999E-3</v>
      </c>
      <c r="BD110">
        <f>'2020_2021_efet'!BB17</f>
        <v>1.56E-3</v>
      </c>
      <c r="BE110">
        <f>'2020_2021_efet'!BC17</f>
        <v>-9.2100000000000005E-4</v>
      </c>
      <c r="BF110">
        <f>'2020_2021_efet'!BD17</f>
        <v>2.2499999999999998E-3</v>
      </c>
      <c r="BG110">
        <f>'2020_2021_efet'!BE17</f>
        <v>5.5999999999999995E-4</v>
      </c>
      <c r="BH110">
        <f>'2020_2021_efet'!BF17</f>
        <v>1.2899999999999999E-3</v>
      </c>
      <c r="BI110">
        <f>'2020_2021_efet'!BG17</f>
        <v>2.1299999999999999E-3</v>
      </c>
      <c r="BJ110">
        <f>'2020_2021_efet'!BH17</f>
        <v>3.1099999999999999E-3</v>
      </c>
      <c r="BK110">
        <f>'2020_2021_efet'!BI17</f>
        <v>4.15E-3</v>
      </c>
      <c r="BL110">
        <f>'2020_2021_efet'!BJ17</f>
        <v>5.3499999999999997E-3</v>
      </c>
      <c r="BM110">
        <f>'2020_2021_efet'!BK17</f>
        <v>6.0400000000000002E-3</v>
      </c>
      <c r="BN110">
        <f>'2020_2021_efet'!BL17</f>
        <v>8.2000000000000007E-3</v>
      </c>
      <c r="BO110">
        <f>'2020_2021_efet'!BM17</f>
        <v>9.2300000000000004E-3</v>
      </c>
      <c r="BP110">
        <f>'2020_2021_efet'!BN17</f>
        <v>1.03E-2</v>
      </c>
      <c r="BQ110">
        <f>'2020_2021_efet'!BO17</f>
        <v>9.5399999999999999E-3</v>
      </c>
      <c r="BR110">
        <f>'2020_2021_efet'!BP17</f>
        <v>1.1299999999999999E-2</v>
      </c>
      <c r="BS110">
        <f>'2020_2021_efet'!BQ17</f>
        <v>1.24E-2</v>
      </c>
      <c r="BT110">
        <f>'2020_2021_efet'!BR17</f>
        <v>1.01E-2</v>
      </c>
      <c r="BU110">
        <f>'2020_2021_efet'!BS17</f>
        <v>4.96E-3</v>
      </c>
      <c r="BV110">
        <f>'2020_2021_efet'!BT17</f>
        <v>4.6800000000000001E-3</v>
      </c>
      <c r="BW110">
        <f>'2020_2021_efet'!BU17</f>
        <v>2.4499999999999999E-3</v>
      </c>
      <c r="BX110">
        <f>'2020_2021_efet'!BV17</f>
        <v>2.5600000000000002E-3</v>
      </c>
      <c r="BY110">
        <f>'2020_2021_efet'!BW17</f>
        <v>4.62E-3</v>
      </c>
      <c r="BZ110">
        <f>'2020_2021_efet'!BX17</f>
        <v>5.8799999999999998E-3</v>
      </c>
      <c r="CA110">
        <f>'2020_2021_efet'!BY17</f>
        <v>8.8699999999999994E-3</v>
      </c>
      <c r="CB110">
        <f>'2020_2021_efet'!BZ17</f>
        <v>1.1599999999999999E-2</v>
      </c>
      <c r="CC110">
        <f>'2020_2021_efet'!CA17</f>
        <v>1.2800000000000001E-2</v>
      </c>
      <c r="CD110">
        <f>'2020_2021_efet'!CB17</f>
        <v>1.4200000000000001E-2</v>
      </c>
      <c r="CE110">
        <f>'2020_2021_efet'!CC17</f>
        <v>1.4200000000000001E-2</v>
      </c>
      <c r="CF110">
        <f>'2020_2021_efet'!CD17</f>
        <v>1.72E-2</v>
      </c>
      <c r="CG110">
        <f>'2020_2021_efet'!CE17</f>
        <v>2.4899999999999999E-2</v>
      </c>
      <c r="CH110">
        <f>'2020_2021_efet'!CF17</f>
        <v>2.0899999999999998E-2</v>
      </c>
      <c r="CI110">
        <f>'2020_2021_efet'!CG17</f>
        <v>2.2499999999999999E-2</v>
      </c>
      <c r="CJ110">
        <f>'2020_2021_efet'!CH17</f>
        <v>2.0400000000000001E-2</v>
      </c>
      <c r="CK110">
        <f>'2020_2021_efet'!CI17</f>
        <v>2.1899999999999999E-2</v>
      </c>
      <c r="CL110">
        <f>'2020_2021_efet'!CJ17</f>
        <v>1.8700000000000001E-2</v>
      </c>
      <c r="CM110">
        <f>'2020_2021_efet'!CK17</f>
        <v>1.9800000000000002E-2</v>
      </c>
      <c r="CN110">
        <f>'2020_2021_efet'!CL17</f>
        <v>1.6899999999999998E-2</v>
      </c>
      <c r="CO110">
        <f>'2020_2021_efet'!CM17</f>
        <v>3.0599999999999999E-2</v>
      </c>
      <c r="CP110">
        <f>'2020_2021_efet'!CN17</f>
        <v>2.5899999999999999E-2</v>
      </c>
      <c r="CQ110">
        <f>'2020_2021_efet'!CO17</f>
        <v>2.46E-2</v>
      </c>
      <c r="CR110">
        <f>'2020_2021_efet'!CP17</f>
        <v>1.9099999999999999E-2</v>
      </c>
      <c r="CS110">
        <f>'2020_2021_efet'!CQ17</f>
        <v>1.6899999999999998E-2</v>
      </c>
      <c r="CT110">
        <f>'2020_2021_efet'!CR17</f>
        <v>1.23E-2</v>
      </c>
      <c r="CU110">
        <f>'2020_2021_efet'!CS17</f>
        <v>1.4999999999999999E-2</v>
      </c>
      <c r="CV110">
        <f>'2020_2021_efet'!CT17</f>
        <v>2.2800000000000001E-2</v>
      </c>
      <c r="CW110">
        <f>'2020_2021_efet'!CU17</f>
        <v>2.3400000000000001E-3</v>
      </c>
      <c r="CX110">
        <f>'2020_2021_efet'!CV17</f>
        <v>4.8800000000000003E-2</v>
      </c>
    </row>
    <row r="111" spans="1:102" x14ac:dyDescent="0.2">
      <c r="A111" t="s">
        <v>211</v>
      </c>
      <c r="B111" t="s">
        <v>219</v>
      </c>
      <c r="C111" t="s">
        <v>223</v>
      </c>
      <c r="D111">
        <f>'2020_2021_efet'!B18</f>
        <v>4.8399999999999997E-3</v>
      </c>
      <c r="E111">
        <f>'2020_2021_efet'!C18</f>
        <v>4.8399999999999997E-3</v>
      </c>
      <c r="F111">
        <f>'2020_2021_efet'!D18</f>
        <v>4.8399999999999997E-3</v>
      </c>
      <c r="G111">
        <f>'2020_2021_efet'!E18</f>
        <v>0.14299999999999999</v>
      </c>
      <c r="H111">
        <f>'2020_2021_efet'!F18</f>
        <v>6.1600000000000002E-2</v>
      </c>
      <c r="I111">
        <f>'2020_2021_efet'!G18</f>
        <v>3.0499999999999999E-2</v>
      </c>
      <c r="J111">
        <f>'2020_2021_efet'!H18</f>
        <v>1.7399999999999999E-2</v>
      </c>
      <c r="K111">
        <f>'2020_2021_efet'!I18</f>
        <v>2.2100000000000002E-2</v>
      </c>
      <c r="L111">
        <f>'2020_2021_efet'!J18</f>
        <v>0.01</v>
      </c>
      <c r="M111">
        <f>'2020_2021_efet'!K18</f>
        <v>8.2799999999999992E-3</v>
      </c>
      <c r="N111">
        <f>'2020_2021_efet'!L18</f>
        <v>5.6100000000000004E-3</v>
      </c>
      <c r="O111">
        <f>'2020_2021_efet'!M18</f>
        <v>9.8300000000000002E-3</v>
      </c>
      <c r="P111">
        <f>'2020_2021_efet'!N18</f>
        <v>2.1700000000000001E-3</v>
      </c>
      <c r="Q111">
        <f>'2020_2021_efet'!O18</f>
        <v>9.1699999999999995E-4</v>
      </c>
      <c r="R111">
        <f>'2020_2021_efet'!P18</f>
        <v>-3.47E-3</v>
      </c>
      <c r="S111">
        <f>'2020_2021_efet'!Q18</f>
        <v>9.0600000000000001E-4</v>
      </c>
      <c r="T111">
        <f>'2020_2021_efet'!R18</f>
        <v>3.8300000000000001E-3</v>
      </c>
      <c r="U111">
        <f>'2020_2021_efet'!S18</f>
        <v>1.42E-3</v>
      </c>
      <c r="V111">
        <f>'2020_2021_efet'!T18</f>
        <v>2.8400000000000001E-3</v>
      </c>
      <c r="W111">
        <f>'2020_2021_efet'!U18</f>
        <v>5.0899999999999999E-3</v>
      </c>
      <c r="X111">
        <f>'2020_2021_efet'!V18</f>
        <v>6.0099999999999997E-3</v>
      </c>
      <c r="Y111">
        <f>'2020_2021_efet'!W18</f>
        <v>2.48E-3</v>
      </c>
      <c r="Z111">
        <f>'2020_2021_efet'!X18</f>
        <v>6.3800000000000003E-3</v>
      </c>
      <c r="AA111">
        <f>'2020_2021_efet'!Y18</f>
        <v>2.1800000000000001E-3</v>
      </c>
      <c r="AB111">
        <f>'2020_2021_efet'!Z18</f>
        <v>4.4600000000000004E-3</v>
      </c>
      <c r="AC111">
        <f>'2020_2021_efet'!AA18</f>
        <v>2.6700000000000001E-3</v>
      </c>
      <c r="AD111">
        <f>'2020_2021_efet'!AB18</f>
        <v>3.47E-3</v>
      </c>
      <c r="AE111">
        <f>'2020_2021_efet'!AC18</f>
        <v>3.98E-3</v>
      </c>
      <c r="AF111">
        <f>'2020_2021_efet'!AD18</f>
        <v>2.1900000000000001E-3</v>
      </c>
      <c r="AG111">
        <f>'2020_2021_efet'!AE18</f>
        <v>4.0200000000000001E-3</v>
      </c>
      <c r="AH111">
        <f>'2020_2021_efet'!AF18</f>
        <v>5.5700000000000003E-3</v>
      </c>
      <c r="AI111">
        <f>'2020_2021_efet'!AG18</f>
        <v>5.8599999999999998E-3</v>
      </c>
      <c r="AJ111">
        <f>'2020_2021_efet'!AH18</f>
        <v>4.2100000000000002E-3</v>
      </c>
      <c r="AK111">
        <f>'2020_2021_efet'!AI18</f>
        <v>4.5199999999999997E-3</v>
      </c>
      <c r="AL111">
        <f>'2020_2021_efet'!AJ18</f>
        <v>2.8E-3</v>
      </c>
      <c r="AM111">
        <f>'2020_2021_efet'!AK18</f>
        <v>1.4E-3</v>
      </c>
      <c r="AN111">
        <f>'2020_2021_efet'!AL18</f>
        <v>1.4300000000000001E-3</v>
      </c>
      <c r="AO111">
        <f>'2020_2021_efet'!AM18</f>
        <v>7.6999999999999996E-4</v>
      </c>
      <c r="AP111">
        <f>'2020_2021_efet'!AN18</f>
        <v>1.27E-4</v>
      </c>
      <c r="AQ111">
        <f>'2020_2021_efet'!AO18</f>
        <v>1.32E-3</v>
      </c>
      <c r="AR111">
        <f>'2020_2021_efet'!AP18</f>
        <v>4.4400000000000004E-3</v>
      </c>
      <c r="AS111">
        <f>'2020_2021_efet'!AQ18</f>
        <v>4.1799999999999997E-3</v>
      </c>
      <c r="AT111">
        <f>'2020_2021_efet'!AR18</f>
        <v>3.3500000000000001E-3</v>
      </c>
      <c r="AU111">
        <f>'2020_2021_efet'!AS18</f>
        <v>5.3899999999999998E-3</v>
      </c>
      <c r="AV111">
        <f>'2020_2021_efet'!AT18</f>
        <v>6.4700000000000001E-3</v>
      </c>
      <c r="AW111">
        <f>'2020_2021_efet'!AU18</f>
        <v>7.5500000000000003E-3</v>
      </c>
      <c r="AX111">
        <f>'2020_2021_efet'!AV18</f>
        <v>7.8799999999999999E-3</v>
      </c>
      <c r="AY111">
        <f>'2020_2021_efet'!AW18</f>
        <v>9.8200000000000006E-3</v>
      </c>
      <c r="AZ111">
        <f>'2020_2021_efet'!AX18</f>
        <v>8.3999999999999995E-3</v>
      </c>
      <c r="BA111">
        <f>'2020_2021_efet'!AY18</f>
        <v>9.4400000000000005E-3</v>
      </c>
      <c r="BB111">
        <f>'2020_2021_efet'!AZ18</f>
        <v>1.0999999999999999E-2</v>
      </c>
      <c r="BC111">
        <f>'2020_2021_efet'!BA18</f>
        <v>9.2700000000000005E-3</v>
      </c>
      <c r="BD111">
        <f>'2020_2021_efet'!BB18</f>
        <v>8.7100000000000007E-3</v>
      </c>
      <c r="BE111">
        <f>'2020_2021_efet'!BC18</f>
        <v>4.3200000000000001E-3</v>
      </c>
      <c r="BF111">
        <f>'2020_2021_efet'!BD18</f>
        <v>4.7800000000000004E-3</v>
      </c>
      <c r="BG111">
        <f>'2020_2021_efet'!BE18</f>
        <v>3.1800000000000001E-3</v>
      </c>
      <c r="BH111">
        <f>'2020_2021_efet'!BF18</f>
        <v>2.49E-3</v>
      </c>
      <c r="BI111">
        <f>'2020_2021_efet'!BG18</f>
        <v>1.16E-3</v>
      </c>
      <c r="BJ111">
        <f>'2020_2021_efet'!BH18</f>
        <v>-8.3500000000000002E-4</v>
      </c>
      <c r="BK111">
        <f>'2020_2021_efet'!BI18</f>
        <v>-1.08E-3</v>
      </c>
      <c r="BL111">
        <f>'2020_2021_efet'!BJ18</f>
        <v>-4.7999999999999996E-3</v>
      </c>
      <c r="BM111">
        <f>'2020_2021_efet'!BK18</f>
        <v>-3.1800000000000001E-3</v>
      </c>
      <c r="BN111">
        <f>'2020_2021_efet'!BL18</f>
        <v>-3.2399999999999998E-3</v>
      </c>
      <c r="BO111">
        <f>'2020_2021_efet'!BM18</f>
        <v>-6.2899999999999996E-3</v>
      </c>
      <c r="BP111">
        <f>'2020_2021_efet'!BN18</f>
        <v>-7.1199999999999996E-3</v>
      </c>
      <c r="BQ111">
        <f>'2020_2021_efet'!BO18</f>
        <v>-4.7400000000000003E-3</v>
      </c>
      <c r="BR111">
        <f>'2020_2021_efet'!BP18</f>
        <v>-4.1900000000000001E-3</v>
      </c>
      <c r="BS111">
        <f>'2020_2021_efet'!BQ18</f>
        <v>-2.1099999999999999E-3</v>
      </c>
      <c r="BT111">
        <f>'2020_2021_efet'!BR18</f>
        <v>-4.1200000000000004E-3</v>
      </c>
      <c r="BU111">
        <f>'2020_2021_efet'!BS18</f>
        <v>-7.1300000000000001E-3</v>
      </c>
      <c r="BV111">
        <f>'2020_2021_efet'!BT18</f>
        <v>-6.5599999999999999E-3</v>
      </c>
      <c r="BW111">
        <f>'2020_2021_efet'!BU18</f>
        <v>-8.7100000000000007E-3</v>
      </c>
      <c r="BX111">
        <f>'2020_2021_efet'!BV18</f>
        <v>-7.9299999999999995E-3</v>
      </c>
      <c r="BY111">
        <f>'2020_2021_efet'!BW18</f>
        <v>-5.0400000000000002E-3</v>
      </c>
      <c r="BZ111">
        <f>'2020_2021_efet'!BX18</f>
        <v>-6.28E-3</v>
      </c>
      <c r="CA111">
        <f>'2020_2021_efet'!BY18</f>
        <v>-5.7499999999999999E-3</v>
      </c>
      <c r="CB111">
        <f>'2020_2021_efet'!BZ18</f>
        <v>-6.4000000000000003E-3</v>
      </c>
      <c r="CC111">
        <f>'2020_2021_efet'!CA18</f>
        <v>-7.2500000000000004E-3</v>
      </c>
      <c r="CD111">
        <f>'2020_2021_efet'!CB18</f>
        <v>-8.2400000000000008E-3</v>
      </c>
      <c r="CE111">
        <f>'2020_2021_efet'!CC18</f>
        <v>-7.8200000000000006E-3</v>
      </c>
      <c r="CF111">
        <f>'2020_2021_efet'!CD18</f>
        <v>-6.11E-3</v>
      </c>
      <c r="CG111">
        <f>'2020_2021_efet'!CE18</f>
        <v>5.4200000000000003E-3</v>
      </c>
      <c r="CH111">
        <f>'2020_2021_efet'!CF18</f>
        <v>2.3E-3</v>
      </c>
      <c r="CI111">
        <f>'2020_2021_efet'!CG18</f>
        <v>6.8100000000000002E-5</v>
      </c>
      <c r="CJ111">
        <f>'2020_2021_efet'!CH18</f>
        <v>1.34E-3</v>
      </c>
      <c r="CK111">
        <f>'2020_2021_efet'!CI18</f>
        <v>7.0699999999999999E-3</v>
      </c>
      <c r="CL111">
        <f>'2020_2021_efet'!CJ18</f>
        <v>1.7700000000000001E-3</v>
      </c>
      <c r="CM111">
        <f>'2020_2021_efet'!CK18</f>
        <v>-2.3500000000000001E-3</v>
      </c>
      <c r="CN111">
        <f>'2020_2021_efet'!CL18</f>
        <v>-3.57E-4</v>
      </c>
      <c r="CO111">
        <f>'2020_2021_efet'!CM18</f>
        <v>7.0200000000000002E-3</v>
      </c>
      <c r="CP111">
        <f>'2020_2021_efet'!CN18</f>
        <v>1.7899999999999999E-2</v>
      </c>
      <c r="CQ111">
        <f>'2020_2021_efet'!CO18</f>
        <v>1.9800000000000002E-2</v>
      </c>
      <c r="CR111">
        <f>'2020_2021_efet'!CP18</f>
        <v>1.34E-2</v>
      </c>
      <c r="CS111">
        <f>'2020_2021_efet'!CQ18</f>
        <v>-1.6500000000000001E-2</v>
      </c>
      <c r="CT111">
        <f>'2020_2021_efet'!CR18</f>
        <v>-6.2399999999999999E-3</v>
      </c>
      <c r="CU111">
        <f>'2020_2021_efet'!CS18</f>
        <v>4.3099999999999996E-3</v>
      </c>
      <c r="CV111">
        <f>'2020_2021_efet'!CT18</f>
        <v>-3.2199999999999999E-2</v>
      </c>
      <c r="CW111">
        <f>'2020_2021_efet'!CU18</f>
        <v>-1.89E-2</v>
      </c>
      <c r="CX111">
        <f>'2020_2021_efet'!CV18</f>
        <v>1.67E-2</v>
      </c>
    </row>
    <row r="112" spans="1:102" x14ac:dyDescent="0.2">
      <c r="A112" t="s">
        <v>212</v>
      </c>
      <c r="B112" t="s">
        <v>219</v>
      </c>
      <c r="C112" t="s">
        <v>223</v>
      </c>
      <c r="D112">
        <f>'2020_2021_efet'!B19</f>
        <v>1.57E-3</v>
      </c>
      <c r="E112">
        <f>'2020_2021_efet'!C19</f>
        <v>1.57E-3</v>
      </c>
      <c r="F112">
        <f>'2020_2021_efet'!D19</f>
        <v>1.57E-3</v>
      </c>
      <c r="G112">
        <f>'2020_2021_efet'!E19</f>
        <v>7.4200000000000002E-2</v>
      </c>
      <c r="H112">
        <f>'2020_2021_efet'!F19</f>
        <v>3.8300000000000001E-2</v>
      </c>
      <c r="I112">
        <f>'2020_2021_efet'!G19</f>
        <v>3.9899999999999998E-2</v>
      </c>
      <c r="J112">
        <f>'2020_2021_efet'!H19</f>
        <v>1.4500000000000001E-2</v>
      </c>
      <c r="K112">
        <f>'2020_2021_efet'!I19</f>
        <v>1.4500000000000001E-2</v>
      </c>
      <c r="L112">
        <f>'2020_2021_efet'!J19</f>
        <v>1.6899999999999998E-2</v>
      </c>
      <c r="M112">
        <f>'2020_2021_efet'!K19</f>
        <v>1.46E-2</v>
      </c>
      <c r="N112">
        <f>'2020_2021_efet'!L19</f>
        <v>1.5299999999999999E-2</v>
      </c>
      <c r="O112">
        <f>'2020_2021_efet'!M19</f>
        <v>1.3299999999999999E-2</v>
      </c>
      <c r="P112">
        <f>'2020_2021_efet'!N19</f>
        <v>1.35E-2</v>
      </c>
      <c r="Q112">
        <f>'2020_2021_efet'!O19</f>
        <v>6.1799999999999997E-3</v>
      </c>
      <c r="R112">
        <f>'2020_2021_efet'!P19</f>
        <v>4.2599999999999999E-3</v>
      </c>
      <c r="S112">
        <f>'2020_2021_efet'!Q19</f>
        <v>5.0099999999999997E-3</v>
      </c>
      <c r="T112">
        <f>'2020_2021_efet'!R19</f>
        <v>5.4000000000000003E-3</v>
      </c>
      <c r="U112">
        <f>'2020_2021_efet'!S19</f>
        <v>3.3999999999999998E-3</v>
      </c>
      <c r="V112">
        <f>'2020_2021_efet'!T19</f>
        <v>5.0699999999999999E-3</v>
      </c>
      <c r="W112">
        <f>'2020_2021_efet'!U19</f>
        <v>4.4099999999999999E-3</v>
      </c>
      <c r="X112">
        <f>'2020_2021_efet'!V19</f>
        <v>3.7200000000000002E-3</v>
      </c>
      <c r="Y112">
        <f>'2020_2021_efet'!W19</f>
        <v>2E-3</v>
      </c>
      <c r="Z112">
        <f>'2020_2021_efet'!X19</f>
        <v>2.4099999999999998E-3</v>
      </c>
      <c r="AA112">
        <f>'2020_2021_efet'!Y19</f>
        <v>2.5699999999999998E-3</v>
      </c>
      <c r="AB112">
        <f>'2020_2021_efet'!Z19</f>
        <v>3.5799999999999998E-3</v>
      </c>
      <c r="AC112">
        <f>'2020_2021_efet'!AA19</f>
        <v>3.2499999999999999E-3</v>
      </c>
      <c r="AD112">
        <f>'2020_2021_efet'!AB19</f>
        <v>3.29E-3</v>
      </c>
      <c r="AE112">
        <f>'2020_2021_efet'!AC19</f>
        <v>4.3200000000000001E-3</v>
      </c>
      <c r="AF112">
        <f>'2020_2021_efet'!AD19</f>
        <v>4.9500000000000004E-3</v>
      </c>
      <c r="AG112">
        <f>'2020_2021_efet'!AE19</f>
        <v>4.6600000000000001E-3</v>
      </c>
      <c r="AH112">
        <f>'2020_2021_efet'!AF19</f>
        <v>4.7499999999999999E-3</v>
      </c>
      <c r="AI112">
        <f>'2020_2021_efet'!AG19</f>
        <v>4.62E-3</v>
      </c>
      <c r="AJ112">
        <f>'2020_2021_efet'!AH19</f>
        <v>4.13E-3</v>
      </c>
      <c r="AK112">
        <f>'2020_2021_efet'!AI19</f>
        <v>3.6900000000000001E-3</v>
      </c>
      <c r="AL112">
        <f>'2020_2021_efet'!AJ19</f>
        <v>3.7599999999999999E-3</v>
      </c>
      <c r="AM112">
        <f>'2020_2021_efet'!AK19</f>
        <v>2.8900000000000002E-3</v>
      </c>
      <c r="AN112">
        <f>'2020_2021_efet'!AL19</f>
        <v>2.64E-3</v>
      </c>
      <c r="AO112">
        <f>'2020_2021_efet'!AM19</f>
        <v>2.3999999999999998E-3</v>
      </c>
      <c r="AP112">
        <f>'2020_2021_efet'!AN19</f>
        <v>2.4199999999999998E-3</v>
      </c>
      <c r="AQ112">
        <f>'2020_2021_efet'!AO19</f>
        <v>2.8400000000000001E-3</v>
      </c>
      <c r="AR112">
        <f>'2020_2021_efet'!AP19</f>
        <v>3.3999999999999998E-3</v>
      </c>
      <c r="AS112">
        <f>'2020_2021_efet'!AQ19</f>
        <v>3.5400000000000002E-3</v>
      </c>
      <c r="AT112">
        <f>'2020_2021_efet'!AR19</f>
        <v>3.6700000000000001E-3</v>
      </c>
      <c r="AU112">
        <f>'2020_2021_efet'!AS19</f>
        <v>4.3899999999999998E-3</v>
      </c>
      <c r="AV112">
        <f>'2020_2021_efet'!AT19</f>
        <v>4.9899999999999996E-3</v>
      </c>
      <c r="AW112">
        <f>'2020_2021_efet'!AU19</f>
        <v>5.11E-3</v>
      </c>
      <c r="AX112">
        <f>'2020_2021_efet'!AV19</f>
        <v>4.7999999999999996E-3</v>
      </c>
      <c r="AY112">
        <f>'2020_2021_efet'!AW19</f>
        <v>4.3899999999999998E-3</v>
      </c>
      <c r="AZ112">
        <f>'2020_2021_efet'!AX19</f>
        <v>4.0899999999999999E-3</v>
      </c>
      <c r="BA112">
        <f>'2020_2021_efet'!AY19</f>
        <v>4.1399999999999996E-3</v>
      </c>
      <c r="BB112">
        <f>'2020_2021_efet'!AZ19</f>
        <v>3.8999999999999998E-3</v>
      </c>
      <c r="BC112">
        <f>'2020_2021_efet'!BA19</f>
        <v>2.7799999999999999E-3</v>
      </c>
      <c r="BD112">
        <f>'2020_2021_efet'!BB19</f>
        <v>2.7799999999999999E-3</v>
      </c>
      <c r="BE112">
        <f>'2020_2021_efet'!BC19</f>
        <v>2.5100000000000001E-3</v>
      </c>
      <c r="BF112">
        <f>'2020_2021_efet'!BD19</f>
        <v>2.2499999999999998E-3</v>
      </c>
      <c r="BG112">
        <f>'2020_2021_efet'!BE19</f>
        <v>2.4599999999999999E-3</v>
      </c>
      <c r="BH112">
        <f>'2020_2021_efet'!BF19</f>
        <v>2.1800000000000001E-3</v>
      </c>
      <c r="BI112">
        <f>'2020_2021_efet'!BG19</f>
        <v>1.75E-3</v>
      </c>
      <c r="BJ112">
        <f>'2020_2021_efet'!BH19</f>
        <v>2.5600000000000002E-3</v>
      </c>
      <c r="BK112">
        <f>'2020_2021_efet'!BI19</f>
        <v>2.4499999999999999E-3</v>
      </c>
      <c r="BL112">
        <f>'2020_2021_efet'!BJ19</f>
        <v>2.8500000000000001E-3</v>
      </c>
      <c r="BM112">
        <f>'2020_2021_efet'!BK19</f>
        <v>2.7599999999999999E-3</v>
      </c>
      <c r="BN112">
        <f>'2020_2021_efet'!BL19</f>
        <v>2.6199999999999999E-3</v>
      </c>
      <c r="BO112">
        <f>'2020_2021_efet'!BM19</f>
        <v>2.1299999999999999E-3</v>
      </c>
      <c r="BP112">
        <f>'2020_2021_efet'!BN19</f>
        <v>2.4199999999999998E-3</v>
      </c>
      <c r="BQ112">
        <f>'2020_2021_efet'!BO19</f>
        <v>2.47E-3</v>
      </c>
      <c r="BR112">
        <f>'2020_2021_efet'!BP19</f>
        <v>1.41E-3</v>
      </c>
      <c r="BS112">
        <f>'2020_2021_efet'!BQ19</f>
        <v>1.5499999999999999E-3</v>
      </c>
      <c r="BT112">
        <f>'2020_2021_efet'!BR19</f>
        <v>1.17E-3</v>
      </c>
      <c r="BU112">
        <f>'2020_2021_efet'!BS19</f>
        <v>7.3399999999999995E-4</v>
      </c>
      <c r="BV112">
        <f>'2020_2021_efet'!BT19</f>
        <v>1.09E-3</v>
      </c>
      <c r="BW112">
        <f>'2020_2021_efet'!BU19</f>
        <v>7.2599999999999997E-4</v>
      </c>
      <c r="BX112">
        <f>'2020_2021_efet'!BV19</f>
        <v>2.7E-4</v>
      </c>
      <c r="BY112">
        <f>'2020_2021_efet'!BW19</f>
        <v>1.5299999999999999E-3</v>
      </c>
      <c r="BZ112">
        <f>'2020_2021_efet'!BX19</f>
        <v>1.6100000000000001E-3</v>
      </c>
      <c r="CA112">
        <f>'2020_2021_efet'!BY19</f>
        <v>2.14E-3</v>
      </c>
      <c r="CB112">
        <f>'2020_2021_efet'!BZ19</f>
        <v>1.91E-3</v>
      </c>
      <c r="CC112">
        <f>'2020_2021_efet'!CA19</f>
        <v>2.6400000000000002E-4</v>
      </c>
      <c r="CD112">
        <f>'2020_2021_efet'!CB19</f>
        <v>3.1399999999999999E-4</v>
      </c>
      <c r="CE112">
        <f>'2020_2021_efet'!CC19</f>
        <v>-8.0799999999999999E-5</v>
      </c>
      <c r="CF112">
        <f>'2020_2021_efet'!CD19</f>
        <v>-2.41E-4</v>
      </c>
      <c r="CG112">
        <f>'2020_2021_efet'!CE19</f>
        <v>-2.5400000000000002E-3</v>
      </c>
      <c r="CH112">
        <f>'2020_2021_efet'!CF19</f>
        <v>-2.3E-3</v>
      </c>
      <c r="CI112">
        <f>'2020_2021_efet'!CG19</f>
        <v>-2.3800000000000002E-3</v>
      </c>
      <c r="CJ112">
        <f>'2020_2021_efet'!CH19</f>
        <v>-2E-3</v>
      </c>
      <c r="CK112">
        <f>'2020_2021_efet'!CI19</f>
        <v>-2.5799999999999998E-3</v>
      </c>
      <c r="CL112">
        <f>'2020_2021_efet'!CJ19</f>
        <v>-3.96E-3</v>
      </c>
      <c r="CM112">
        <f>'2020_2021_efet'!CK19</f>
        <v>-3.0699999999999998E-3</v>
      </c>
      <c r="CN112">
        <f>'2020_2021_efet'!CL19</f>
        <v>-1.92E-3</v>
      </c>
      <c r="CO112">
        <f>'2020_2021_efet'!CM19</f>
        <v>-1.5100000000000001E-3</v>
      </c>
      <c r="CP112">
        <f>'2020_2021_efet'!CN19</f>
        <v>-3.1099999999999999E-3</v>
      </c>
      <c r="CQ112">
        <f>'2020_2021_efet'!CO19</f>
        <v>-3.0200000000000001E-3</v>
      </c>
      <c r="CR112">
        <f>'2020_2021_efet'!CP19</f>
        <v>-4.15E-3</v>
      </c>
      <c r="CS112">
        <f>'2020_2021_efet'!CQ19</f>
        <v>-4.15E-3</v>
      </c>
      <c r="CT112">
        <f>'2020_2021_efet'!CR19</f>
        <v>-7.9500000000000005E-3</v>
      </c>
      <c r="CU112">
        <f>'2020_2021_efet'!CS19</f>
        <v>-5.9100000000000003E-3</v>
      </c>
      <c r="CV112">
        <f>'2020_2021_efet'!CT19</f>
        <v>-1.1900000000000001E-2</v>
      </c>
      <c r="CW112">
        <f>'2020_2021_efet'!CU19</f>
        <v>-1.54E-2</v>
      </c>
      <c r="CX112">
        <f>'2020_2021_efet'!CV19</f>
        <v>-1.89E-2</v>
      </c>
    </row>
    <row r="113" spans="1:102" x14ac:dyDescent="0.2">
      <c r="A113" t="s">
        <v>213</v>
      </c>
      <c r="B113" t="s">
        <v>219</v>
      </c>
      <c r="C113" t="s">
        <v>223</v>
      </c>
      <c r="D113">
        <f>'2020_2021_efet'!B20</f>
        <v>-2E-3</v>
      </c>
      <c r="E113">
        <f>'2020_2021_efet'!C20</f>
        <v>-2E-3</v>
      </c>
      <c r="F113">
        <f>'2020_2021_efet'!D20</f>
        <v>-2E-3</v>
      </c>
      <c r="G113">
        <f>'2020_2021_efet'!E20</f>
        <v>-0.23300000000000001</v>
      </c>
      <c r="H113">
        <f>'2020_2021_efet'!F20</f>
        <v>2.9399999999999999E-2</v>
      </c>
      <c r="I113">
        <f>'2020_2021_efet'!G20</f>
        <v>-6.4299999999999996E-2</v>
      </c>
      <c r="J113">
        <f>'2020_2021_efet'!H20</f>
        <v>2.1000000000000001E-2</v>
      </c>
      <c r="K113">
        <f>'2020_2021_efet'!I20</f>
        <v>-1.5100000000000001E-2</v>
      </c>
      <c r="L113">
        <f>'2020_2021_efet'!J20</f>
        <v>-2.63E-2</v>
      </c>
      <c r="M113">
        <f>'2020_2021_efet'!K20</f>
        <v>-6.5799999999999999E-3</v>
      </c>
      <c r="N113">
        <f>'2020_2021_efet'!L20</f>
        <v>-2.01E-2</v>
      </c>
      <c r="O113">
        <f>'2020_2021_efet'!M20</f>
        <v>-2.0500000000000001E-2</v>
      </c>
      <c r="P113">
        <f>'2020_2021_efet'!N20</f>
        <v>-3.4099999999999998E-2</v>
      </c>
      <c r="Q113">
        <f>'2020_2021_efet'!O20</f>
        <v>4.6800000000000001E-2</v>
      </c>
      <c r="R113">
        <f>'2020_2021_efet'!P20</f>
        <v>6.4399999999999999E-2</v>
      </c>
      <c r="S113">
        <f>'2020_2021_efet'!Q20</f>
        <v>-1.3899999999999999E-2</v>
      </c>
      <c r="T113">
        <f>'2020_2021_efet'!R20</f>
        <v>-2.23E-2</v>
      </c>
      <c r="U113">
        <f>'2020_2021_efet'!S20</f>
        <v>8.7500000000000008E-3</v>
      </c>
      <c r="V113">
        <f>'2020_2021_efet'!T20</f>
        <v>-2.35E-2</v>
      </c>
      <c r="W113">
        <f>'2020_2021_efet'!U20</f>
        <v>-3.39E-2</v>
      </c>
      <c r="X113">
        <f>'2020_2021_efet'!V20</f>
        <v>-1.17E-2</v>
      </c>
      <c r="Y113">
        <f>'2020_2021_efet'!W20</f>
        <v>1.14E-2</v>
      </c>
      <c r="Z113">
        <f>'2020_2021_efet'!X20</f>
        <v>1.03E-2</v>
      </c>
      <c r="AA113">
        <f>'2020_2021_efet'!Y20</f>
        <v>7.7999999999999999E-4</v>
      </c>
      <c r="AB113">
        <f>'2020_2021_efet'!Z20</f>
        <v>-1.3100000000000001E-2</v>
      </c>
      <c r="AC113">
        <f>'2020_2021_efet'!AA20</f>
        <v>-1.9599999999999999E-2</v>
      </c>
      <c r="AD113">
        <f>'2020_2021_efet'!AB20</f>
        <v>-1.46E-2</v>
      </c>
      <c r="AE113">
        <f>'2020_2021_efet'!AC20</f>
        <v>-1.3100000000000001E-2</v>
      </c>
      <c r="AF113">
        <f>'2020_2021_efet'!AD20</f>
        <v>-1.72E-2</v>
      </c>
      <c r="AG113">
        <f>'2020_2021_efet'!AE20</f>
        <v>-1.9599999999999999E-2</v>
      </c>
      <c r="AH113">
        <f>'2020_2021_efet'!AF20</f>
        <v>-2.07E-2</v>
      </c>
      <c r="AI113">
        <f>'2020_2021_efet'!AG20</f>
        <v>-1.6400000000000001E-2</v>
      </c>
      <c r="AJ113">
        <f>'2020_2021_efet'!AH20</f>
        <v>-1.52E-2</v>
      </c>
      <c r="AK113">
        <f>'2020_2021_efet'!AI20</f>
        <v>-1.1900000000000001E-2</v>
      </c>
      <c r="AL113">
        <f>'2020_2021_efet'!AJ20</f>
        <v>-9.5099999999999994E-3</v>
      </c>
      <c r="AM113">
        <f>'2020_2021_efet'!AK20</f>
        <v>-7.6800000000000002E-3</v>
      </c>
      <c r="AN113">
        <f>'2020_2021_efet'!AL20</f>
        <v>-4.4299999999999999E-3</v>
      </c>
      <c r="AO113">
        <f>'2020_2021_efet'!AM20</f>
        <v>-2.82E-3</v>
      </c>
      <c r="AP113">
        <f>'2020_2021_efet'!AN20</f>
        <v>-1.8600000000000001E-3</v>
      </c>
      <c r="AQ113">
        <f>'2020_2021_efet'!AO20</f>
        <v>2.1199999999999999E-3</v>
      </c>
      <c r="AR113">
        <f>'2020_2021_efet'!AP20</f>
        <v>-9.9799999999999993E-3</v>
      </c>
      <c r="AS113">
        <f>'2020_2021_efet'!AQ20</f>
        <v>-1.14E-2</v>
      </c>
      <c r="AT113">
        <f>'2020_2021_efet'!AR20</f>
        <v>-8.94E-3</v>
      </c>
      <c r="AU113">
        <f>'2020_2021_efet'!AS20</f>
        <v>-1.09E-2</v>
      </c>
      <c r="AV113">
        <f>'2020_2021_efet'!AT20</f>
        <v>-1.2500000000000001E-2</v>
      </c>
      <c r="AW113">
        <f>'2020_2021_efet'!AU20</f>
        <v>-8.9599999999999992E-3</v>
      </c>
      <c r="AX113">
        <f>'2020_2021_efet'!AV20</f>
        <v>-4.1399999999999996E-3</v>
      </c>
      <c r="AY113">
        <f>'2020_2021_efet'!AW20</f>
        <v>-3.5799999999999998E-3</v>
      </c>
      <c r="AZ113">
        <f>'2020_2021_efet'!AX20</f>
        <v>-3.5899999999999999E-6</v>
      </c>
      <c r="BA113">
        <f>'2020_2021_efet'!AY20</f>
        <v>3.0599999999999998E-3</v>
      </c>
      <c r="BB113">
        <f>'2020_2021_efet'!AZ20</f>
        <v>4.1999999999999997E-3</v>
      </c>
      <c r="BC113">
        <f>'2020_2021_efet'!BA20</f>
        <v>7.5399999999999998E-3</v>
      </c>
      <c r="BD113">
        <f>'2020_2021_efet'!BB20</f>
        <v>8.3700000000000007E-3</v>
      </c>
      <c r="BE113">
        <f>'2020_2021_efet'!BC20</f>
        <v>7.9399999999999991E-3</v>
      </c>
      <c r="BF113">
        <f>'2020_2021_efet'!BD20</f>
        <v>8.2400000000000008E-3</v>
      </c>
      <c r="BG113">
        <f>'2020_2021_efet'!BE20</f>
        <v>1.09E-2</v>
      </c>
      <c r="BH113">
        <f>'2020_2021_efet'!BF20</f>
        <v>6.6299999999999996E-3</v>
      </c>
      <c r="BI113">
        <f>'2020_2021_efet'!BG20</f>
        <v>6.6499999999999997E-3</v>
      </c>
      <c r="BJ113">
        <f>'2020_2021_efet'!BH20</f>
        <v>4.66E-4</v>
      </c>
      <c r="BK113">
        <f>'2020_2021_efet'!BI20</f>
        <v>1.82E-3</v>
      </c>
      <c r="BL113">
        <f>'2020_2021_efet'!BJ20</f>
        <v>2.0899999999999998E-3</v>
      </c>
      <c r="BM113">
        <f>'2020_2021_efet'!BK20</f>
        <v>2.0699999999999999E-4</v>
      </c>
      <c r="BN113">
        <f>'2020_2021_efet'!BL20</f>
        <v>-9.2000000000000003E-4</v>
      </c>
      <c r="BO113">
        <f>'2020_2021_efet'!BM20</f>
        <v>1.5500000000000001E-5</v>
      </c>
      <c r="BP113">
        <f>'2020_2021_efet'!BN20</f>
        <v>-2.3700000000000001E-3</v>
      </c>
      <c r="BQ113">
        <f>'2020_2021_efet'!BO20</f>
        <v>-1.6299999999999999E-3</v>
      </c>
      <c r="BR113">
        <f>'2020_2021_efet'!BP20</f>
        <v>-5.0299999999999997E-4</v>
      </c>
      <c r="BS113">
        <f>'2020_2021_efet'!BQ20</f>
        <v>-1.25E-3</v>
      </c>
      <c r="BT113">
        <f>'2020_2021_efet'!BR20</f>
        <v>-3.0500000000000002E-3</v>
      </c>
      <c r="BU113">
        <f>'2020_2021_efet'!BS20</f>
        <v>2.0899999999999998E-3</v>
      </c>
      <c r="BV113">
        <f>'2020_2021_efet'!BT20</f>
        <v>3.29E-3</v>
      </c>
      <c r="BW113">
        <f>'2020_2021_efet'!BU20</f>
        <v>5.5100000000000001E-3</v>
      </c>
      <c r="BX113">
        <f>'2020_2021_efet'!BV20</f>
        <v>3.13E-3</v>
      </c>
      <c r="BY113">
        <f>'2020_2021_efet'!BW20</f>
        <v>3.5599999999999998E-3</v>
      </c>
      <c r="BZ113">
        <f>'2020_2021_efet'!BX20</f>
        <v>3.62E-3</v>
      </c>
      <c r="CA113">
        <f>'2020_2021_efet'!BY20</f>
        <v>3.9500000000000004E-3</v>
      </c>
      <c r="CB113">
        <f>'2020_2021_efet'!BZ20</f>
        <v>8.5400000000000007E-3</v>
      </c>
      <c r="CC113">
        <f>'2020_2021_efet'!CA20</f>
        <v>0.01</v>
      </c>
      <c r="CD113">
        <f>'2020_2021_efet'!CB20</f>
        <v>1.43E-2</v>
      </c>
      <c r="CE113">
        <f>'2020_2021_efet'!CC20</f>
        <v>1.5599999999999999E-2</v>
      </c>
      <c r="CF113">
        <f>'2020_2021_efet'!CD20</f>
        <v>1.5800000000000002E-2</v>
      </c>
      <c r="CG113">
        <f>'2020_2021_efet'!CE20</f>
        <v>1.5699999999999999E-2</v>
      </c>
      <c r="CH113">
        <f>'2020_2021_efet'!CF20</f>
        <v>1.9400000000000001E-2</v>
      </c>
      <c r="CI113">
        <f>'2020_2021_efet'!CG20</f>
        <v>1.0699999999999999E-2</v>
      </c>
      <c r="CJ113">
        <f>'2020_2021_efet'!CH20</f>
        <v>1.24E-2</v>
      </c>
      <c r="CK113">
        <f>'2020_2021_efet'!CI20</f>
        <v>1.5800000000000002E-2</v>
      </c>
      <c r="CL113">
        <f>'2020_2021_efet'!CJ20</f>
        <v>1.6899999999999998E-2</v>
      </c>
      <c r="CM113">
        <f>'2020_2021_efet'!CK20</f>
        <v>1.5900000000000001E-2</v>
      </c>
      <c r="CN113">
        <f>'2020_2021_efet'!CL20</f>
        <v>1.54E-2</v>
      </c>
      <c r="CO113">
        <f>'2020_2021_efet'!CM20</f>
        <v>7.7400000000000004E-3</v>
      </c>
      <c r="CP113">
        <f>'2020_2021_efet'!CN20</f>
        <v>-8.4499999999999992E-3</v>
      </c>
      <c r="CQ113">
        <f>'2020_2021_efet'!CO20</f>
        <v>-1.0200000000000001E-2</v>
      </c>
      <c r="CR113">
        <f>'2020_2021_efet'!CP20</f>
        <v>-1.43E-2</v>
      </c>
      <c r="CS113">
        <f>'2020_2021_efet'!CQ20</f>
        <v>2.5600000000000002E-3</v>
      </c>
      <c r="CT113">
        <f>'2020_2021_efet'!CR20</f>
        <v>5.0499999999999998E-3</v>
      </c>
      <c r="CU113">
        <f>'2020_2021_efet'!CS20</f>
        <v>-1.7000000000000001E-2</v>
      </c>
      <c r="CV113">
        <f>'2020_2021_efet'!CT20</f>
        <v>-2.98E-2</v>
      </c>
      <c r="CW113">
        <f>'2020_2021_efet'!CU20</f>
        <v>-5.1900000000000002E-2</v>
      </c>
      <c r="CX113">
        <f>'2020_2021_efet'!CV20</f>
        <v>-5.4600000000000003E-2</v>
      </c>
    </row>
    <row r="114" spans="1:102" x14ac:dyDescent="0.2">
      <c r="A114" t="s">
        <v>214</v>
      </c>
      <c r="B114" t="s">
        <v>219</v>
      </c>
      <c r="C114" t="s">
        <v>223</v>
      </c>
      <c r="D114">
        <f>'2020_2021_efet'!B21</f>
        <v>-4.75E-4</v>
      </c>
      <c r="E114">
        <f>'2020_2021_efet'!C21</f>
        <v>-4.75E-4</v>
      </c>
      <c r="F114">
        <f>'2020_2021_efet'!D21</f>
        <v>-4.75E-4</v>
      </c>
      <c r="G114">
        <f>'2020_2021_efet'!E21</f>
        <v>-3.2599999999999997E-2</v>
      </c>
      <c r="H114">
        <f>'2020_2021_efet'!F21</f>
        <v>-2.3599999999999999E-2</v>
      </c>
      <c r="I114">
        <f>'2020_2021_efet'!G21</f>
        <v>-4.7500000000000001E-2</v>
      </c>
      <c r="J114">
        <f>'2020_2021_efet'!H21</f>
        <v>-4.1399999999999999E-2</v>
      </c>
      <c r="K114">
        <f>'2020_2021_efet'!I21</f>
        <v>-3.1800000000000002E-2</v>
      </c>
      <c r="L114">
        <f>'2020_2021_efet'!J21</f>
        <v>-2.29E-2</v>
      </c>
      <c r="M114">
        <f>'2020_2021_efet'!K21</f>
        <v>-1.7500000000000002E-2</v>
      </c>
      <c r="N114">
        <f>'2020_2021_efet'!L21</f>
        <v>-3.09E-2</v>
      </c>
      <c r="O114">
        <f>'2020_2021_efet'!M21</f>
        <v>-2.0299999999999999E-2</v>
      </c>
      <c r="P114">
        <f>'2020_2021_efet'!N21</f>
        <v>-2.07E-2</v>
      </c>
      <c r="Q114">
        <f>'2020_2021_efet'!O21</f>
        <v>-2.3599999999999999E-2</v>
      </c>
      <c r="R114">
        <f>'2020_2021_efet'!P21</f>
        <v>-1.8100000000000002E-2</v>
      </c>
      <c r="S114">
        <f>'2020_2021_efet'!Q21</f>
        <v>-7.1500000000000001E-3</v>
      </c>
      <c r="T114">
        <f>'2020_2021_efet'!R21</f>
        <v>-1.06E-2</v>
      </c>
      <c r="U114">
        <f>'2020_2021_efet'!S21</f>
        <v>-5.2500000000000003E-3</v>
      </c>
      <c r="V114">
        <f>'2020_2021_efet'!T21</f>
        <v>-4.6100000000000004E-3</v>
      </c>
      <c r="W114">
        <f>'2020_2021_efet'!U21</f>
        <v>-7.3899999999999999E-3</v>
      </c>
      <c r="X114">
        <f>'2020_2021_efet'!V21</f>
        <v>-9.3799999999999994E-3</v>
      </c>
      <c r="Y114">
        <f>'2020_2021_efet'!W21</f>
        <v>-1.84E-2</v>
      </c>
      <c r="Z114">
        <f>'2020_2021_efet'!X21</f>
        <v>-7.2500000000000004E-3</v>
      </c>
      <c r="AA114">
        <f>'2020_2021_efet'!Y21</f>
        <v>-3.7100000000000002E-4</v>
      </c>
      <c r="AB114">
        <f>'2020_2021_efet'!Z21</f>
        <v>-7.6400000000000001E-3</v>
      </c>
      <c r="AC114">
        <f>'2020_2021_efet'!AA21</f>
        <v>-4.3499999999999997E-3</v>
      </c>
      <c r="AD114">
        <f>'2020_2021_efet'!AB21</f>
        <v>-6.5799999999999999E-3</v>
      </c>
      <c r="AE114">
        <f>'2020_2021_efet'!AC21</f>
        <v>-8.8699999999999994E-3</v>
      </c>
      <c r="AF114">
        <f>'2020_2021_efet'!AD21</f>
        <v>-9.1599999999999997E-3</v>
      </c>
      <c r="AG114">
        <f>'2020_2021_efet'!AE21</f>
        <v>-9.92E-3</v>
      </c>
      <c r="AH114">
        <f>'2020_2021_efet'!AF21</f>
        <v>-7.9799999999999992E-3</v>
      </c>
      <c r="AI114">
        <f>'2020_2021_efet'!AG21</f>
        <v>-6.4900000000000001E-3</v>
      </c>
      <c r="AJ114">
        <f>'2020_2021_efet'!AH21</f>
        <v>-6.1199999999999996E-3</v>
      </c>
      <c r="AK114">
        <f>'2020_2021_efet'!AI21</f>
        <v>-9.6600000000000002E-3</v>
      </c>
      <c r="AL114">
        <f>'2020_2021_efet'!AJ21</f>
        <v>-3.5699999999999998E-3</v>
      </c>
      <c r="AM114">
        <f>'2020_2021_efet'!AK21</f>
        <v>-5.5399999999999998E-3</v>
      </c>
      <c r="AN114">
        <f>'2020_2021_efet'!AL21</f>
        <v>-3.8700000000000002E-3</v>
      </c>
      <c r="AO114">
        <f>'2020_2021_efet'!AM21</f>
        <v>-5.9500000000000004E-3</v>
      </c>
      <c r="AP114">
        <f>'2020_2021_efet'!AN21</f>
        <v>-7.6499999999999997E-3</v>
      </c>
      <c r="AQ114">
        <f>'2020_2021_efet'!AO21</f>
        <v>-2.9199999999999999E-3</v>
      </c>
      <c r="AR114">
        <f>'2020_2021_efet'!AP21</f>
        <v>-1.01E-2</v>
      </c>
      <c r="AS114">
        <f>'2020_2021_efet'!AQ21</f>
        <v>-2.9299999999999999E-3</v>
      </c>
      <c r="AT114">
        <f>'2020_2021_efet'!AR21</f>
        <v>-6.2500000000000003E-3</v>
      </c>
      <c r="AU114">
        <f>'2020_2021_efet'!AS21</f>
        <v>-7.1000000000000004E-3</v>
      </c>
      <c r="AV114">
        <f>'2020_2021_efet'!AT21</f>
        <v>-7.4700000000000001E-3</v>
      </c>
      <c r="AW114">
        <f>'2020_2021_efet'!AU21</f>
        <v>-1.24E-2</v>
      </c>
      <c r="AX114">
        <f>'2020_2021_efet'!AV21</f>
        <v>-9.0500000000000008E-3</v>
      </c>
      <c r="AY114">
        <f>'2020_2021_efet'!AW21</f>
        <v>-7.0099999999999997E-3</v>
      </c>
      <c r="AZ114">
        <f>'2020_2021_efet'!AX21</f>
        <v>-7.1199999999999996E-3</v>
      </c>
      <c r="BA114">
        <f>'2020_2021_efet'!AY21</f>
        <v>-8.6800000000000002E-3</v>
      </c>
      <c r="BB114">
        <f>'2020_2021_efet'!AZ21</f>
        <v>-7.7999999999999996E-3</v>
      </c>
      <c r="BC114">
        <f>'2020_2021_efet'!BA21</f>
        <v>-6.4799999999999996E-3</v>
      </c>
      <c r="BD114">
        <f>'2020_2021_efet'!BB21</f>
        <v>-6.2700000000000004E-3</v>
      </c>
      <c r="BE114">
        <f>'2020_2021_efet'!BC21</f>
        <v>-5.7299999999999999E-3</v>
      </c>
      <c r="BF114">
        <f>'2020_2021_efet'!BD21</f>
        <v>-7.45E-3</v>
      </c>
      <c r="BG114">
        <f>'2020_2021_efet'!BE21</f>
        <v>-8.0599999999999995E-3</v>
      </c>
      <c r="BH114">
        <f>'2020_2021_efet'!BF21</f>
        <v>-9.2800000000000001E-3</v>
      </c>
      <c r="BI114">
        <f>'2020_2021_efet'!BG21</f>
        <v>-5.8999999999999999E-3</v>
      </c>
      <c r="BJ114">
        <f>'2020_2021_efet'!BH21</f>
        <v>-9.2999999999999992E-3</v>
      </c>
      <c r="BK114">
        <f>'2020_2021_efet'!BI21</f>
        <v>-1.15E-2</v>
      </c>
      <c r="BL114">
        <f>'2020_2021_efet'!BJ21</f>
        <v>-1.37E-2</v>
      </c>
      <c r="BM114">
        <f>'2020_2021_efet'!BK21</f>
        <v>-7.5700000000000003E-3</v>
      </c>
      <c r="BN114">
        <f>'2020_2021_efet'!BL21</f>
        <v>-6.1599999999999997E-3</v>
      </c>
      <c r="BO114">
        <f>'2020_2021_efet'!BM21</f>
        <v>-7.0000000000000001E-3</v>
      </c>
      <c r="BP114">
        <f>'2020_2021_efet'!BN21</f>
        <v>-8.2799999999999992E-3</v>
      </c>
      <c r="BQ114">
        <f>'2020_2021_efet'!BO21</f>
        <v>-6.3200000000000001E-3</v>
      </c>
      <c r="BR114">
        <f>'2020_2021_efet'!BP21</f>
        <v>-1.15E-2</v>
      </c>
      <c r="BS114">
        <f>'2020_2021_efet'!BQ21</f>
        <v>-9.2800000000000001E-3</v>
      </c>
      <c r="BT114">
        <f>'2020_2021_efet'!BR21</f>
        <v>-1.04E-2</v>
      </c>
      <c r="BU114">
        <f>'2020_2021_efet'!BS21</f>
        <v>-1.3899999999999999E-2</v>
      </c>
      <c r="BV114">
        <f>'2020_2021_efet'!BT21</f>
        <v>-1.1599999999999999E-2</v>
      </c>
      <c r="BW114">
        <f>'2020_2021_efet'!BU21</f>
        <v>-1.09E-2</v>
      </c>
      <c r="BX114">
        <f>'2020_2021_efet'!BV21</f>
        <v>-9.7999999999999997E-3</v>
      </c>
      <c r="BY114">
        <f>'2020_2021_efet'!BW21</f>
        <v>-9.6799999999999994E-3</v>
      </c>
      <c r="BZ114">
        <f>'2020_2021_efet'!BX21</f>
        <v>-1.12E-2</v>
      </c>
      <c r="CA114">
        <f>'2020_2021_efet'!BY21</f>
        <v>-1.5100000000000001E-2</v>
      </c>
      <c r="CB114">
        <f>'2020_2021_efet'!BZ21</f>
        <v>-1.04E-2</v>
      </c>
      <c r="CC114">
        <f>'2020_2021_efet'!CA21</f>
        <v>-1.0699999999999999E-2</v>
      </c>
      <c r="CD114">
        <f>'2020_2021_efet'!CB21</f>
        <v>-9.9000000000000008E-3</v>
      </c>
      <c r="CE114">
        <f>'2020_2021_efet'!CC21</f>
        <v>-8.8900000000000003E-3</v>
      </c>
      <c r="CF114">
        <f>'2020_2021_efet'!CD21</f>
        <v>-1.0999999999999999E-2</v>
      </c>
      <c r="CG114">
        <f>'2020_2021_efet'!CE21</f>
        <v>-8.5500000000000003E-3</v>
      </c>
      <c r="CH114">
        <f>'2020_2021_efet'!CF21</f>
        <v>-1.17E-2</v>
      </c>
      <c r="CI114">
        <f>'2020_2021_efet'!CG21</f>
        <v>-7.5799999999999999E-3</v>
      </c>
      <c r="CJ114">
        <f>'2020_2021_efet'!CH21</f>
        <v>-8.8500000000000002E-3</v>
      </c>
      <c r="CK114">
        <f>'2020_2021_efet'!CI21</f>
        <v>-6.0600000000000003E-3</v>
      </c>
      <c r="CL114">
        <f>'2020_2021_efet'!CJ21</f>
        <v>-4.5900000000000003E-3</v>
      </c>
      <c r="CM114">
        <f>'2020_2021_efet'!CK21</f>
        <v>-1.1299999999999999E-2</v>
      </c>
      <c r="CN114">
        <f>'2020_2021_efet'!CL21</f>
        <v>4.8200000000000001E-4</v>
      </c>
      <c r="CO114">
        <f>'2020_2021_efet'!CM21</f>
        <v>-3.0300000000000001E-3</v>
      </c>
      <c r="CP114">
        <f>'2020_2021_efet'!CN21</f>
        <v>-9.4199999999999996E-3</v>
      </c>
      <c r="CQ114">
        <f>'2020_2021_efet'!CO21</f>
        <v>-7.5500000000000003E-3</v>
      </c>
      <c r="CR114">
        <f>'2020_2021_efet'!CP21</f>
        <v>-3.6600000000000001E-3</v>
      </c>
      <c r="CS114">
        <f>'2020_2021_efet'!CQ21</f>
        <v>-4.7299999999999998E-3</v>
      </c>
      <c r="CT114">
        <f>'2020_2021_efet'!CR21</f>
        <v>-1.17E-2</v>
      </c>
      <c r="CU114">
        <f>'2020_2021_efet'!CS21</f>
        <v>-1.9900000000000001E-2</v>
      </c>
      <c r="CV114">
        <f>'2020_2021_efet'!CT21</f>
        <v>-1.17E-2</v>
      </c>
      <c r="CW114">
        <f>'2020_2021_efet'!CU21</f>
        <v>-2.2200000000000001E-2</v>
      </c>
      <c r="CX114">
        <f>'2020_2021_efet'!CV21</f>
        <v>-7.0299999999999998E-3</v>
      </c>
    </row>
    <row r="115" spans="1:102" x14ac:dyDescent="0.2">
      <c r="A115" t="s">
        <v>215</v>
      </c>
      <c r="B115" t="s">
        <v>219</v>
      </c>
      <c r="C115" t="s">
        <v>223</v>
      </c>
      <c r="D115">
        <f>'2020_2021_efet'!B22</f>
        <v>1.32E-2</v>
      </c>
      <c r="E115">
        <f>'2020_2021_efet'!C22</f>
        <v>1.32E-2</v>
      </c>
      <c r="F115">
        <f>'2020_2021_efet'!D22</f>
        <v>1.32E-2</v>
      </c>
      <c r="G115">
        <f>'2020_2021_efet'!E22</f>
        <v>0.16700000000000001</v>
      </c>
      <c r="H115">
        <f>'2020_2021_efet'!F22</f>
        <v>0.13400000000000001</v>
      </c>
      <c r="I115">
        <f>'2020_2021_efet'!G22</f>
        <v>9.1700000000000004E-2</v>
      </c>
      <c r="J115">
        <f>'2020_2021_efet'!H22</f>
        <v>2.5499999999999998E-2</v>
      </c>
      <c r="K115">
        <f>'2020_2021_efet'!I22</f>
        <v>-2.2800000000000001E-2</v>
      </c>
      <c r="L115">
        <f>'2020_2021_efet'!J22</f>
        <v>-5.8500000000000003E-2</v>
      </c>
      <c r="M115">
        <f>'2020_2021_efet'!K22</f>
        <v>-4.0399999999999998E-2</v>
      </c>
      <c r="N115">
        <f>'2020_2021_efet'!L22</f>
        <v>-3.4799999999999998E-2</v>
      </c>
      <c r="O115">
        <f>'2020_2021_efet'!M22</f>
        <v>-2.6800000000000001E-2</v>
      </c>
      <c r="P115">
        <f>'2020_2021_efet'!N22</f>
        <v>-1.8700000000000001E-2</v>
      </c>
      <c r="Q115">
        <f>'2020_2021_efet'!O22</f>
        <v>1.8600000000000001E-3</v>
      </c>
      <c r="R115">
        <f>'2020_2021_efet'!P22</f>
        <v>-3.1099999999999999E-3</v>
      </c>
      <c r="S115">
        <f>'2020_2021_efet'!Q22</f>
        <v>-6.7600000000000004E-3</v>
      </c>
      <c r="T115">
        <f>'2020_2021_efet'!R22</f>
        <v>-7.9399999999999991E-3</v>
      </c>
      <c r="U115">
        <f>'2020_2021_efet'!S22</f>
        <v>-9.2200000000000008E-3</v>
      </c>
      <c r="V115">
        <f>'2020_2021_efet'!T22</f>
        <v>-6.1799999999999997E-3</v>
      </c>
      <c r="W115">
        <f>'2020_2021_efet'!U22</f>
        <v>-5.1399999999999996E-3</v>
      </c>
      <c r="X115">
        <f>'2020_2021_efet'!V22</f>
        <v>-2.9499999999999999E-3</v>
      </c>
      <c r="Y115">
        <f>'2020_2021_efet'!W22</f>
        <v>5.1900000000000002E-3</v>
      </c>
      <c r="Z115">
        <f>'2020_2021_efet'!X22</f>
        <v>1.57E-3</v>
      </c>
      <c r="AA115">
        <f>'2020_2021_efet'!Y22</f>
        <v>3.8700000000000002E-3</v>
      </c>
      <c r="AB115">
        <f>'2020_2021_efet'!Z22</f>
        <v>9.4600000000000001E-4</v>
      </c>
      <c r="AC115">
        <f>'2020_2021_efet'!AA22</f>
        <v>3.0000000000000001E-3</v>
      </c>
      <c r="AD115">
        <f>'2020_2021_efet'!AB22</f>
        <v>5.2700000000000004E-3</v>
      </c>
      <c r="AE115">
        <f>'2020_2021_efet'!AC22</f>
        <v>5.4000000000000003E-3</v>
      </c>
      <c r="AF115">
        <f>'2020_2021_efet'!AD22</f>
        <v>1.67E-3</v>
      </c>
      <c r="AG115">
        <f>'2020_2021_efet'!AE22</f>
        <v>1.3500000000000001E-3</v>
      </c>
      <c r="AH115">
        <f>'2020_2021_efet'!AF22</f>
        <v>4.1100000000000002E-4</v>
      </c>
      <c r="AI115">
        <f>'2020_2021_efet'!AG22</f>
        <v>9.4200000000000002E-4</v>
      </c>
      <c r="AJ115">
        <f>'2020_2021_efet'!AH22</f>
        <v>9.6200000000000001E-3</v>
      </c>
      <c r="AK115">
        <f>'2020_2021_efet'!AI22</f>
        <v>1.6799999999999999E-2</v>
      </c>
      <c r="AL115">
        <f>'2020_2021_efet'!AJ22</f>
        <v>1.7100000000000001E-2</v>
      </c>
      <c r="AM115">
        <f>'2020_2021_efet'!AK22</f>
        <v>1.9599999999999999E-2</v>
      </c>
      <c r="AN115">
        <f>'2020_2021_efet'!AL22</f>
        <v>2.01E-2</v>
      </c>
      <c r="AO115">
        <f>'2020_2021_efet'!AM22</f>
        <v>1.5900000000000001E-2</v>
      </c>
      <c r="AP115">
        <f>'2020_2021_efet'!AN22</f>
        <v>1.7100000000000001E-2</v>
      </c>
      <c r="AQ115">
        <f>'2020_2021_efet'!AO22</f>
        <v>1.8499999999999999E-2</v>
      </c>
      <c r="AR115">
        <f>'2020_2021_efet'!AP22</f>
        <v>1.7100000000000001E-2</v>
      </c>
      <c r="AS115">
        <f>'2020_2021_efet'!AQ22</f>
        <v>2.2499999999999999E-2</v>
      </c>
      <c r="AT115">
        <f>'2020_2021_efet'!AR22</f>
        <v>2.35E-2</v>
      </c>
      <c r="AU115">
        <f>'2020_2021_efet'!AS22</f>
        <v>2.24E-2</v>
      </c>
      <c r="AV115">
        <f>'2020_2021_efet'!AT22</f>
        <v>1.9300000000000001E-2</v>
      </c>
      <c r="AW115">
        <f>'2020_2021_efet'!AU22</f>
        <v>2.1100000000000001E-2</v>
      </c>
      <c r="AX115">
        <f>'2020_2021_efet'!AV22</f>
        <v>1.72E-2</v>
      </c>
      <c r="AY115">
        <f>'2020_2021_efet'!AW22</f>
        <v>1.6199999999999999E-2</v>
      </c>
      <c r="AZ115">
        <f>'2020_2021_efet'!AX22</f>
        <v>1.7299999999999999E-2</v>
      </c>
      <c r="BA115">
        <f>'2020_2021_efet'!AY22</f>
        <v>1.4500000000000001E-2</v>
      </c>
      <c r="BB115">
        <f>'2020_2021_efet'!AZ22</f>
        <v>1.8800000000000001E-2</v>
      </c>
      <c r="BC115">
        <f>'2020_2021_efet'!BA22</f>
        <v>1.8700000000000001E-2</v>
      </c>
      <c r="BD115">
        <f>'2020_2021_efet'!BB22</f>
        <v>2.8000000000000001E-2</v>
      </c>
      <c r="BE115">
        <f>'2020_2021_efet'!BC22</f>
        <v>2.6800000000000001E-2</v>
      </c>
      <c r="BF115">
        <f>'2020_2021_efet'!BD22</f>
        <v>2.7300000000000001E-2</v>
      </c>
      <c r="BG115">
        <f>'2020_2021_efet'!BE22</f>
        <v>2.6200000000000001E-2</v>
      </c>
      <c r="BH115">
        <f>'2020_2021_efet'!BF22</f>
        <v>2.5899999999999999E-2</v>
      </c>
      <c r="BI115">
        <f>'2020_2021_efet'!BG22</f>
        <v>2.3599999999999999E-2</v>
      </c>
      <c r="BJ115">
        <f>'2020_2021_efet'!BH22</f>
        <v>2.0299999999999999E-2</v>
      </c>
      <c r="BK115">
        <f>'2020_2021_efet'!BI22</f>
        <v>1.54E-2</v>
      </c>
      <c r="BL115">
        <f>'2020_2021_efet'!BJ22</f>
        <v>1.4999999999999999E-2</v>
      </c>
      <c r="BM115">
        <f>'2020_2021_efet'!BK22</f>
        <v>1.78E-2</v>
      </c>
      <c r="BN115">
        <f>'2020_2021_efet'!BL22</f>
        <v>1.8200000000000001E-2</v>
      </c>
      <c r="BO115">
        <f>'2020_2021_efet'!BM22</f>
        <v>1.7000000000000001E-2</v>
      </c>
      <c r="BP115">
        <f>'2020_2021_efet'!BN22</f>
        <v>1.9199999999999998E-2</v>
      </c>
      <c r="BQ115">
        <f>'2020_2021_efet'!BO22</f>
        <v>2.2200000000000001E-2</v>
      </c>
      <c r="BR115">
        <f>'2020_2021_efet'!BP22</f>
        <v>2.3900000000000001E-2</v>
      </c>
      <c r="BS115">
        <f>'2020_2021_efet'!BQ22</f>
        <v>2.52E-2</v>
      </c>
      <c r="BT115">
        <f>'2020_2021_efet'!BR22</f>
        <v>2.3400000000000001E-2</v>
      </c>
      <c r="BU115">
        <f>'2020_2021_efet'!BS22</f>
        <v>2.3199999999999998E-2</v>
      </c>
      <c r="BV115">
        <f>'2020_2021_efet'!BT22</f>
        <v>1.0200000000000001E-2</v>
      </c>
      <c r="BW115">
        <f>'2020_2021_efet'!BU22</f>
        <v>1.8100000000000002E-2</v>
      </c>
      <c r="BX115">
        <f>'2020_2021_efet'!BV22</f>
        <v>1.77E-2</v>
      </c>
      <c r="BY115">
        <f>'2020_2021_efet'!BW22</f>
        <v>1.3299999999999999E-2</v>
      </c>
      <c r="BZ115">
        <f>'2020_2021_efet'!BX22</f>
        <v>1.49E-2</v>
      </c>
      <c r="CA115">
        <f>'2020_2021_efet'!BY22</f>
        <v>1.2E-2</v>
      </c>
      <c r="CB115">
        <f>'2020_2021_efet'!BZ22</f>
        <v>-0.01</v>
      </c>
      <c r="CC115">
        <f>'2020_2021_efet'!CA22</f>
        <v>-6.0499999999999998E-3</v>
      </c>
      <c r="CD115">
        <f>'2020_2021_efet'!CB22</f>
        <v>-9.0299999999999998E-3</v>
      </c>
      <c r="CE115">
        <f>'2020_2021_efet'!CC22</f>
        <v>-1.0500000000000001E-2</v>
      </c>
      <c r="CF115">
        <f>'2020_2021_efet'!CD22</f>
        <v>-6.0600000000000003E-3</v>
      </c>
      <c r="CG115">
        <f>'2020_2021_efet'!CE22</f>
        <v>-2.3500000000000001E-3</v>
      </c>
      <c r="CH115">
        <f>'2020_2021_efet'!CF22</f>
        <v>-6.4000000000000003E-3</v>
      </c>
      <c r="CI115">
        <f>'2020_2021_efet'!CG22</f>
        <v>-6.7299999999999999E-3</v>
      </c>
      <c r="CJ115">
        <f>'2020_2021_efet'!CH22</f>
        <v>-6.4599999999999996E-3</v>
      </c>
      <c r="CK115">
        <f>'2020_2021_efet'!CI22</f>
        <v>-1.26E-2</v>
      </c>
      <c r="CL115">
        <f>'2020_2021_efet'!CJ22</f>
        <v>-1.5299999999999999E-2</v>
      </c>
      <c r="CM115">
        <f>'2020_2021_efet'!CK22</f>
        <v>-1.41E-2</v>
      </c>
      <c r="CN115">
        <f>'2020_2021_efet'!CL22</f>
        <v>-6.9699999999999996E-3</v>
      </c>
      <c r="CO115">
        <f>'2020_2021_efet'!CM22</f>
        <v>-1.43E-2</v>
      </c>
      <c r="CP115">
        <f>'2020_2021_efet'!CN22</f>
        <v>-1.5699999999999999E-2</v>
      </c>
      <c r="CQ115">
        <f>'2020_2021_efet'!CO22</f>
        <v>-5.3600000000000002E-3</v>
      </c>
      <c r="CR115">
        <f>'2020_2021_efet'!CP22</f>
        <v>-7.6099999999999996E-3</v>
      </c>
      <c r="CS115">
        <f>'2020_2021_efet'!CQ22</f>
        <v>-1.21E-2</v>
      </c>
      <c r="CT115">
        <f>'2020_2021_efet'!CR22</f>
        <v>-1.95E-2</v>
      </c>
      <c r="CU115">
        <f>'2020_2021_efet'!CS22</f>
        <v>-2.47E-3</v>
      </c>
      <c r="CV115">
        <f>'2020_2021_efet'!CT22</f>
        <v>4.5700000000000003E-3</v>
      </c>
      <c r="CW115">
        <f>'2020_2021_efet'!CU22</f>
        <v>2.4400000000000002E-2</v>
      </c>
      <c r="CX115">
        <f>'2020_2021_efet'!CV22</f>
        <v>1.8200000000000001E-2</v>
      </c>
    </row>
    <row r="116" spans="1:102" x14ac:dyDescent="0.2">
      <c r="A116" t="s">
        <v>216</v>
      </c>
      <c r="B116" t="s">
        <v>219</v>
      </c>
      <c r="C116" t="s">
        <v>223</v>
      </c>
      <c r="D116">
        <f>'2020_2021_efet'!B23</f>
        <v>1.8599999999999998E-2</v>
      </c>
      <c r="E116">
        <f>'2020_2021_efet'!C23</f>
        <v>2.2100000000000002E-2</v>
      </c>
      <c r="F116">
        <f>'2020_2021_efet'!D23</f>
        <v>2.5499999999999998E-2</v>
      </c>
      <c r="G116">
        <f>'2020_2021_efet'!E23</f>
        <v>1.383</v>
      </c>
      <c r="H116">
        <f>'2020_2021_efet'!F23</f>
        <v>0.107</v>
      </c>
      <c r="I116">
        <f>'2020_2021_efet'!G23</f>
        <v>0.57999999999999996</v>
      </c>
      <c r="J116">
        <f>'2020_2021_efet'!H23</f>
        <v>0.439</v>
      </c>
      <c r="K116">
        <f>'2020_2021_efet'!I23</f>
        <v>0.40600000000000003</v>
      </c>
      <c r="L116">
        <f>'2020_2021_efet'!J23</f>
        <v>0.52900000000000003</v>
      </c>
      <c r="M116">
        <f>'2020_2021_efet'!K23</f>
        <v>0.45700000000000002</v>
      </c>
      <c r="N116">
        <f>'2020_2021_efet'!L23</f>
        <v>0.53400000000000003</v>
      </c>
      <c r="O116">
        <f>'2020_2021_efet'!M23</f>
        <v>0.54700000000000004</v>
      </c>
      <c r="P116">
        <f>'2020_2021_efet'!N23</f>
        <v>0.58199999999999996</v>
      </c>
      <c r="Q116">
        <f>'2020_2021_efet'!O23</f>
        <v>0.161</v>
      </c>
      <c r="R116">
        <f>'2020_2021_efet'!P23</f>
        <v>0.11600000000000001</v>
      </c>
      <c r="S116">
        <f>'2020_2021_efet'!Q23</f>
        <v>0.39900000000000002</v>
      </c>
      <c r="T116">
        <f>'2020_2021_efet'!R23</f>
        <v>0.38100000000000001</v>
      </c>
      <c r="U116">
        <f>'2020_2021_efet'!S23</f>
        <v>0.215</v>
      </c>
      <c r="V116">
        <f>'2020_2021_efet'!T23</f>
        <v>0.29499999999999998</v>
      </c>
      <c r="W116">
        <f>'2020_2021_efet'!U23</f>
        <v>0.32500000000000001</v>
      </c>
      <c r="X116">
        <f>'2020_2021_efet'!V23</f>
        <v>0.314</v>
      </c>
      <c r="Y116">
        <f>'2020_2021_efet'!W23</f>
        <v>0.14299999999999999</v>
      </c>
      <c r="Z116">
        <f>'2020_2021_efet'!X23</f>
        <v>0.104</v>
      </c>
      <c r="AA116">
        <f>'2020_2021_efet'!Y23</f>
        <v>9.9299999999999999E-2</v>
      </c>
      <c r="AB116">
        <f>'2020_2021_efet'!Z23</f>
        <v>0.17899999999999999</v>
      </c>
      <c r="AC116">
        <f>'2020_2021_efet'!AA23</f>
        <v>0.14599999999999999</v>
      </c>
      <c r="AD116">
        <f>'2020_2021_efet'!AB23</f>
        <v>0.16600000000000001</v>
      </c>
      <c r="AE116">
        <f>'2020_2021_efet'!AC23</f>
        <v>0.16800000000000001</v>
      </c>
      <c r="AF116">
        <f>'2020_2021_efet'!AD23</f>
        <v>0.17599999999999999</v>
      </c>
      <c r="AG116">
        <f>'2020_2021_efet'!AE23</f>
        <v>0.155</v>
      </c>
      <c r="AH116">
        <f>'2020_2021_efet'!AF23</f>
        <v>0.154</v>
      </c>
      <c r="AI116">
        <f>'2020_2021_efet'!AG23</f>
        <v>0.13800000000000001</v>
      </c>
      <c r="AJ116">
        <f>'2020_2021_efet'!AH23</f>
        <v>0.13400000000000001</v>
      </c>
      <c r="AK116">
        <f>'2020_2021_efet'!AI23</f>
        <v>0.11799999999999999</v>
      </c>
      <c r="AL116">
        <f>'2020_2021_efet'!AJ23</f>
        <v>0.106</v>
      </c>
      <c r="AM116">
        <f>'2020_2021_efet'!AK23</f>
        <v>7.5600000000000001E-2</v>
      </c>
      <c r="AN116">
        <f>'2020_2021_efet'!AL23</f>
        <v>6.4899999999999999E-2</v>
      </c>
      <c r="AO116">
        <f>'2020_2021_efet'!AM23</f>
        <v>6.0900000000000003E-2</v>
      </c>
      <c r="AP116">
        <f>'2020_2021_efet'!AN23</f>
        <v>6.7900000000000002E-2</v>
      </c>
      <c r="AQ116">
        <f>'2020_2021_efet'!AO23</f>
        <v>4.2999999999999997E-2</v>
      </c>
      <c r="AR116">
        <f>'2020_2021_efet'!AP23</f>
        <v>5.7000000000000002E-2</v>
      </c>
      <c r="AS116">
        <f>'2020_2021_efet'!AQ23</f>
        <v>5.28E-2</v>
      </c>
      <c r="AT116">
        <f>'2020_2021_efet'!AR23</f>
        <v>4.36E-2</v>
      </c>
      <c r="AU116">
        <f>'2020_2021_efet'!AS23</f>
        <v>6.8599999999999994E-2</v>
      </c>
      <c r="AV116">
        <f>'2020_2021_efet'!AT23</f>
        <v>3.6700000000000003E-2</v>
      </c>
      <c r="AW116">
        <f>'2020_2021_efet'!AU23</f>
        <v>3.7199999999999997E-2</v>
      </c>
      <c r="AX116">
        <f>'2020_2021_efet'!AV23</f>
        <v>2.4199999999999999E-2</v>
      </c>
      <c r="AY116">
        <f>'2020_2021_efet'!AW23</f>
        <v>2.01E-2</v>
      </c>
      <c r="AZ116">
        <f>'2020_2021_efet'!AX23</f>
        <v>-7.7499999999999999E-3</v>
      </c>
      <c r="BA116">
        <f>'2020_2021_efet'!AY23</f>
        <v>-3.0999999999999999E-3</v>
      </c>
      <c r="BB116">
        <f>'2020_2021_efet'!AZ23</f>
        <v>-9.8600000000000007E-3</v>
      </c>
      <c r="BC116">
        <f>'2020_2021_efet'!BA23</f>
        <v>-2.81E-2</v>
      </c>
      <c r="BD116">
        <f>'2020_2021_efet'!BB23</f>
        <v>-3.8300000000000001E-2</v>
      </c>
      <c r="BE116">
        <f>'2020_2021_efet'!BC23</f>
        <v>-3.2199999999999999E-2</v>
      </c>
      <c r="BF116">
        <f>'2020_2021_efet'!BD23</f>
        <v>-2.87E-2</v>
      </c>
      <c r="BG116">
        <f>'2020_2021_efet'!BE23</f>
        <v>-4.48E-2</v>
      </c>
      <c r="BH116">
        <f>'2020_2021_efet'!BF23</f>
        <v>-3.0300000000000001E-2</v>
      </c>
      <c r="BI116">
        <f>'2020_2021_efet'!BG23</f>
        <v>-1.7100000000000001E-2</v>
      </c>
      <c r="BJ116">
        <f>'2020_2021_efet'!BH23</f>
        <v>-8.43E-3</v>
      </c>
      <c r="BK116">
        <f>'2020_2021_efet'!BI23</f>
        <v>-2.3E-3</v>
      </c>
      <c r="BL116">
        <f>'2020_2021_efet'!BJ23</f>
        <v>6.8999999999999999E-3</v>
      </c>
      <c r="BM116">
        <f>'2020_2021_efet'!BK23</f>
        <v>1.18E-2</v>
      </c>
      <c r="BN116">
        <f>'2020_2021_efet'!BL23</f>
        <v>4.3699999999999998E-3</v>
      </c>
      <c r="BO116">
        <f>'2020_2021_efet'!BM23</f>
        <v>1.21E-2</v>
      </c>
      <c r="BP116">
        <f>'2020_2021_efet'!BN23</f>
        <v>3.0800000000000001E-2</v>
      </c>
      <c r="BQ116">
        <f>'2020_2021_efet'!BO23</f>
        <v>4.9799999999999997E-2</v>
      </c>
      <c r="BR116">
        <f>'2020_2021_efet'!BP23</f>
        <v>4.7800000000000002E-2</v>
      </c>
      <c r="BS116">
        <f>'2020_2021_efet'!BQ23</f>
        <v>3.9800000000000002E-4</v>
      </c>
      <c r="BT116">
        <f>'2020_2021_efet'!BR23</f>
        <v>-2.7699999999999999E-2</v>
      </c>
      <c r="BU116">
        <f>'2020_2021_efet'!BS23</f>
        <v>-5.7700000000000001E-2</v>
      </c>
      <c r="BV116">
        <f>'2020_2021_efet'!BT23</f>
        <v>-6.4799999999999996E-2</v>
      </c>
      <c r="BW116">
        <f>'2020_2021_efet'!BU23</f>
        <v>-8.0399999999999999E-2</v>
      </c>
      <c r="BX116">
        <f>'2020_2021_efet'!BV23</f>
        <v>-8.5599999999999996E-2</v>
      </c>
      <c r="BY116">
        <f>'2020_2021_efet'!BW23</f>
        <v>-9.11E-2</v>
      </c>
      <c r="BZ116">
        <f>'2020_2021_efet'!BX23</f>
        <v>-8.7300000000000003E-2</v>
      </c>
      <c r="CA116">
        <f>'2020_2021_efet'!BY23</f>
        <v>-7.2099999999999997E-2</v>
      </c>
      <c r="CB116">
        <f>'2020_2021_efet'!BZ23</f>
        <v>-1.77E-2</v>
      </c>
      <c r="CC116">
        <f>'2020_2021_efet'!CA23</f>
        <v>-2.4899999999999999E-2</v>
      </c>
      <c r="CD116">
        <f>'2020_2021_efet'!CB23</f>
        <v>-4.15E-3</v>
      </c>
      <c r="CE116">
        <f>'2020_2021_efet'!CC23</f>
        <v>4.3099999999999996E-3</v>
      </c>
      <c r="CF116">
        <f>'2020_2021_efet'!CD23</f>
        <v>1.03E-2</v>
      </c>
      <c r="CG116">
        <f>'2020_2021_efet'!CE23</f>
        <v>4.8899999999999999E-2</v>
      </c>
      <c r="CH116">
        <f>'2020_2021_efet'!CF23</f>
        <v>6.0999999999999999E-2</v>
      </c>
      <c r="CI116">
        <f>'2020_2021_efet'!CG23</f>
        <v>7.1999999999999995E-2</v>
      </c>
      <c r="CJ116">
        <f>'2020_2021_efet'!CH23</f>
        <v>3.1099999999999999E-2</v>
      </c>
      <c r="CK116">
        <f>'2020_2021_efet'!CI23</f>
        <v>2.9499999999999998E-2</v>
      </c>
      <c r="CL116">
        <f>'2020_2021_efet'!CJ23</f>
        <v>-0.01</v>
      </c>
      <c r="CM116">
        <f>'2020_2021_efet'!CK23</f>
        <v>-4.0399999999999998E-2</v>
      </c>
      <c r="CN116">
        <f>'2020_2021_efet'!CL23</f>
        <v>-6.25E-2</v>
      </c>
      <c r="CO116">
        <f>'2020_2021_efet'!CM23</f>
        <v>6.7699999999999996E-2</v>
      </c>
      <c r="CP116">
        <f>'2020_2021_efet'!CN23</f>
        <v>8.8999999999999996E-2</v>
      </c>
      <c r="CQ116">
        <f>'2020_2021_efet'!CO23</f>
        <v>8.72E-2</v>
      </c>
      <c r="CR116">
        <f>'2020_2021_efet'!CP23</f>
        <v>6.5699999999999995E-2</v>
      </c>
      <c r="CS116">
        <f>'2020_2021_efet'!CQ23</f>
        <v>4.7499999999999999E-3</v>
      </c>
      <c r="CT116">
        <f>'2020_2021_efet'!CR23</f>
        <v>-2.8799999999999999E-2</v>
      </c>
      <c r="CU116">
        <f>'2020_2021_efet'!CS23</f>
        <v>2.8299999999999999E-2</v>
      </c>
      <c r="CV116">
        <f>'2020_2021_efet'!CT23</f>
        <v>5.6099999999999997E-2</v>
      </c>
      <c r="CW116">
        <f>'2020_2021_efet'!CU23</f>
        <v>0.14599999999999999</v>
      </c>
      <c r="CX116">
        <f>'2020_2021_efet'!CV23</f>
        <v>0.28999999999999998</v>
      </c>
    </row>
    <row r="117" spans="1:102" x14ac:dyDescent="0.2">
      <c r="A117" t="s">
        <v>208</v>
      </c>
      <c r="B117" t="s">
        <v>220</v>
      </c>
      <c r="C117" t="s">
        <v>223</v>
      </c>
      <c r="D117">
        <f>D100+D108</f>
        <v>-4.0659999999999995E-2</v>
      </c>
      <c r="E117">
        <f t="shared" ref="E117:BP117" si="40">E100+E108</f>
        <v>-4.0659999999999995E-2</v>
      </c>
      <c r="F117">
        <f t="shared" si="40"/>
        <v>-4.0659999999999995E-2</v>
      </c>
      <c r="G117">
        <f t="shared" si="40"/>
        <v>-1.0167999999999999</v>
      </c>
      <c r="H117">
        <f t="shared" si="40"/>
        <v>-0.12689999999999999</v>
      </c>
      <c r="I117">
        <f t="shared" si="40"/>
        <v>-0.44180000000000003</v>
      </c>
      <c r="J117">
        <f t="shared" si="40"/>
        <v>-0.32789999999999997</v>
      </c>
      <c r="K117">
        <f t="shared" si="40"/>
        <v>-0.3034</v>
      </c>
      <c r="L117">
        <f t="shared" si="40"/>
        <v>-0.33529999999999999</v>
      </c>
      <c r="M117">
        <f t="shared" si="40"/>
        <v>-0.32020000000000004</v>
      </c>
      <c r="N117">
        <f t="shared" si="40"/>
        <v>-0.33479999999999999</v>
      </c>
      <c r="O117">
        <f t="shared" si="40"/>
        <v>-0.40139999999999998</v>
      </c>
      <c r="P117">
        <f t="shared" si="40"/>
        <v>-0.40789999999999998</v>
      </c>
      <c r="Q117">
        <f t="shared" si="40"/>
        <v>-0.17980000000000002</v>
      </c>
      <c r="R117">
        <f t="shared" si="40"/>
        <v>-0.1744</v>
      </c>
      <c r="S117">
        <f t="shared" si="40"/>
        <v>-0.28189999999999998</v>
      </c>
      <c r="T117">
        <f t="shared" si="40"/>
        <v>-0.26120000000000004</v>
      </c>
      <c r="U117">
        <f t="shared" si="40"/>
        <v>-0.186</v>
      </c>
      <c r="V117">
        <f t="shared" si="40"/>
        <v>-0.2079</v>
      </c>
      <c r="W117">
        <f t="shared" si="40"/>
        <v>-0.19435999999999998</v>
      </c>
      <c r="X117">
        <f t="shared" si="40"/>
        <v>-0.18980000000000002</v>
      </c>
      <c r="Y117">
        <f t="shared" si="40"/>
        <v>-0.12716000000000002</v>
      </c>
      <c r="Z117">
        <f t="shared" si="40"/>
        <v>-0.11169999999999999</v>
      </c>
      <c r="AA117">
        <f t="shared" si="40"/>
        <v>-0.10819999999999999</v>
      </c>
      <c r="AB117">
        <f t="shared" si="40"/>
        <v>-0.10979999999999999</v>
      </c>
      <c r="AC117">
        <f t="shared" si="40"/>
        <v>-9.6599999999999991E-2</v>
      </c>
      <c r="AD117">
        <f t="shared" si="40"/>
        <v>-0.1037</v>
      </c>
      <c r="AE117">
        <f t="shared" si="40"/>
        <v>-0.10569999999999999</v>
      </c>
      <c r="AF117">
        <f t="shared" si="40"/>
        <v>-0.10290000000000001</v>
      </c>
      <c r="AG117">
        <f t="shared" si="40"/>
        <v>-0.1079</v>
      </c>
      <c r="AH117">
        <f t="shared" si="40"/>
        <v>-0.1109</v>
      </c>
      <c r="AI117">
        <f t="shared" si="40"/>
        <v>-9.2899999999999996E-2</v>
      </c>
      <c r="AJ117">
        <f t="shared" si="40"/>
        <v>-9.6700000000000008E-2</v>
      </c>
      <c r="AK117">
        <f t="shared" si="40"/>
        <v>-8.5199999999999998E-2</v>
      </c>
      <c r="AL117">
        <f t="shared" si="40"/>
        <v>-8.7599999999999997E-2</v>
      </c>
      <c r="AM117">
        <f t="shared" si="40"/>
        <v>-6.9400000000000003E-2</v>
      </c>
      <c r="AN117">
        <f t="shared" si="40"/>
        <v>-6.25E-2</v>
      </c>
      <c r="AO117">
        <f t="shared" si="40"/>
        <v>-5.7800000000000004E-2</v>
      </c>
      <c r="AP117">
        <f t="shared" si="40"/>
        <v>-5.8799999999999998E-2</v>
      </c>
      <c r="AQ117">
        <f t="shared" si="40"/>
        <v>-6.5100000000000005E-2</v>
      </c>
      <c r="AR117">
        <f t="shared" si="40"/>
        <v>-5.7000000000000002E-2</v>
      </c>
      <c r="AS117">
        <f t="shared" si="40"/>
        <v>-6.5200000000000008E-2</v>
      </c>
      <c r="AT117">
        <f t="shared" si="40"/>
        <v>-6.9499999999999992E-2</v>
      </c>
      <c r="AU117">
        <f t="shared" si="40"/>
        <v>-6.9099999999999995E-2</v>
      </c>
      <c r="AV117">
        <f t="shared" si="40"/>
        <v>-5.3500000000000006E-2</v>
      </c>
      <c r="AW117">
        <f t="shared" si="40"/>
        <v>-5.16E-2</v>
      </c>
      <c r="AX117">
        <f t="shared" si="40"/>
        <v>-4.5999999999999999E-2</v>
      </c>
      <c r="AY117">
        <f t="shared" si="40"/>
        <v>-5.2299999999999999E-2</v>
      </c>
      <c r="AZ117">
        <f t="shared" si="40"/>
        <v>-3.8300000000000008E-2</v>
      </c>
      <c r="BA117">
        <f t="shared" si="40"/>
        <v>-4.2700000000000002E-2</v>
      </c>
      <c r="BB117">
        <f t="shared" si="40"/>
        <v>-4.9600000000000005E-2</v>
      </c>
      <c r="BC117">
        <f t="shared" si="40"/>
        <v>-3.0699999999999998E-2</v>
      </c>
      <c r="BD117">
        <f t="shared" si="40"/>
        <v>-3.0200000000000001E-2</v>
      </c>
      <c r="BE117">
        <f t="shared" si="40"/>
        <v>-2.2800000000000001E-2</v>
      </c>
      <c r="BF117">
        <f t="shared" si="40"/>
        <v>-2.8499999999999998E-2</v>
      </c>
      <c r="BG117">
        <f t="shared" si="40"/>
        <v>-2.5399999999999999E-2</v>
      </c>
      <c r="BH117">
        <f t="shared" si="40"/>
        <v>-3.8900000000000004E-2</v>
      </c>
      <c r="BI117">
        <f t="shared" si="40"/>
        <v>-3.4000000000000002E-2</v>
      </c>
      <c r="BJ117">
        <f t="shared" si="40"/>
        <v>-3.7100000000000008E-2</v>
      </c>
      <c r="BK117">
        <f t="shared" si="40"/>
        <v>-3.5000000000000003E-2</v>
      </c>
      <c r="BL117">
        <f t="shared" si="40"/>
        <v>-4.1299999999999996E-2</v>
      </c>
      <c r="BM117">
        <f t="shared" si="40"/>
        <v>-4.6899999999999997E-2</v>
      </c>
      <c r="BN117">
        <f t="shared" si="40"/>
        <v>-4.8499999999999995E-2</v>
      </c>
      <c r="BO117">
        <f t="shared" si="40"/>
        <v>-4.7200000000000006E-2</v>
      </c>
      <c r="BP117">
        <f t="shared" si="40"/>
        <v>-5.0700000000000002E-2</v>
      </c>
      <c r="BQ117">
        <f t="shared" ref="BQ117:CX117" si="41">BQ100+BQ108</f>
        <v>-6.83E-2</v>
      </c>
      <c r="BR117">
        <f t="shared" si="41"/>
        <v>-6.4899999999999999E-2</v>
      </c>
      <c r="BS117">
        <f t="shared" si="41"/>
        <v>-4.7399999999999998E-2</v>
      </c>
      <c r="BT117">
        <f t="shared" si="41"/>
        <v>-2.0199999999999996E-2</v>
      </c>
      <c r="BU117">
        <f t="shared" si="41"/>
        <v>4.5999999999999999E-3</v>
      </c>
      <c r="BV117">
        <f t="shared" si="41"/>
        <v>1.6799999999999999E-2</v>
      </c>
      <c r="BW117">
        <f t="shared" si="41"/>
        <v>2.8700000000000003E-2</v>
      </c>
      <c r="BX117">
        <f t="shared" si="41"/>
        <v>3.3700000000000001E-2</v>
      </c>
      <c r="BY117">
        <f t="shared" si="41"/>
        <v>4.2380000000000001E-2</v>
      </c>
      <c r="BZ117">
        <f t="shared" si="41"/>
        <v>3.7790000000000004E-2</v>
      </c>
      <c r="CA117">
        <f t="shared" si="41"/>
        <v>4.0379999999999999E-2</v>
      </c>
      <c r="CB117">
        <f t="shared" si="41"/>
        <v>1.4000000000000054E-3</v>
      </c>
      <c r="CC117">
        <f t="shared" si="41"/>
        <v>2.3900000000000001E-2</v>
      </c>
      <c r="CD117">
        <f t="shared" si="41"/>
        <v>-1.799999999999996E-3</v>
      </c>
      <c r="CE117">
        <f t="shared" si="41"/>
        <v>-1.3800000000000007E-2</v>
      </c>
      <c r="CF117">
        <f t="shared" si="41"/>
        <v>1.0999999999999968E-3</v>
      </c>
      <c r="CG117">
        <f t="shared" si="41"/>
        <v>-2.2100000000000009E-2</v>
      </c>
      <c r="CH117">
        <f t="shared" si="41"/>
        <v>-3.1000000000000007E-2</v>
      </c>
      <c r="CI117">
        <f t="shared" si="41"/>
        <v>-4.2299999999999997E-2</v>
      </c>
      <c r="CJ117">
        <f t="shared" si="41"/>
        <v>-1.7200000000000007E-2</v>
      </c>
      <c r="CK117">
        <f t="shared" si="41"/>
        <v>-1.2599999999999993E-2</v>
      </c>
      <c r="CL117">
        <f t="shared" si="41"/>
        <v>1.0300000000000004E-2</v>
      </c>
      <c r="CM117">
        <f t="shared" si="41"/>
        <v>3.2700000000000007E-2</v>
      </c>
      <c r="CN117">
        <f t="shared" si="41"/>
        <v>2.8499999999999998E-2</v>
      </c>
      <c r="CO117">
        <f t="shared" si="41"/>
        <v>-3.1099999999999989E-2</v>
      </c>
      <c r="CP117">
        <f t="shared" si="41"/>
        <v>-4.0000000000000008E-2</v>
      </c>
      <c r="CQ117">
        <f t="shared" si="41"/>
        <v>-5.2100000000000007E-2</v>
      </c>
      <c r="CR117">
        <f t="shared" si="41"/>
        <v>-4.65E-2</v>
      </c>
      <c r="CS117">
        <f t="shared" si="41"/>
        <v>2.6700000000000008E-2</v>
      </c>
      <c r="CT117">
        <f t="shared" si="41"/>
        <v>3.3600000000000005E-2</v>
      </c>
      <c r="CU117">
        <f t="shared" si="41"/>
        <v>5.1110000000000003E-2</v>
      </c>
      <c r="CV117">
        <f t="shared" si="41"/>
        <v>5.6499999999999995E-2</v>
      </c>
      <c r="CW117">
        <f t="shared" si="41"/>
        <v>-2.6999999999999996E-2</v>
      </c>
      <c r="CX117">
        <f t="shared" si="41"/>
        <v>-0.16399999999999998</v>
      </c>
    </row>
    <row r="118" spans="1:102" x14ac:dyDescent="0.2">
      <c r="A118" t="s">
        <v>209</v>
      </c>
      <c r="B118" t="s">
        <v>220</v>
      </c>
      <c r="C118" t="s">
        <v>223</v>
      </c>
      <c r="D118">
        <f t="shared" ref="D118:BO122" si="42">D101+D109</f>
        <v>6.7140000000000003E-3</v>
      </c>
      <c r="E118">
        <f t="shared" si="42"/>
        <v>6.7140000000000003E-3</v>
      </c>
      <c r="F118">
        <f t="shared" si="42"/>
        <v>6.7140000000000003E-3</v>
      </c>
      <c r="G118">
        <f t="shared" si="42"/>
        <v>-0.39899999999999997</v>
      </c>
      <c r="H118">
        <f t="shared" si="42"/>
        <v>-0.12450000000000001</v>
      </c>
      <c r="I118">
        <f t="shared" si="42"/>
        <v>-0.15808</v>
      </c>
      <c r="J118">
        <f t="shared" si="42"/>
        <v>-5.8009999999999999E-2</v>
      </c>
      <c r="K118">
        <f t="shared" si="42"/>
        <v>-9.8879999999999996E-2</v>
      </c>
      <c r="L118">
        <f t="shared" si="42"/>
        <v>-0.10329000000000001</v>
      </c>
      <c r="M118">
        <f t="shared" si="42"/>
        <v>-0.12795000000000001</v>
      </c>
      <c r="N118">
        <f t="shared" si="42"/>
        <v>-0.13596999999999998</v>
      </c>
      <c r="O118">
        <f t="shared" si="42"/>
        <v>-0.11193</v>
      </c>
      <c r="P118">
        <f t="shared" si="42"/>
        <v>-0.13765999999999998</v>
      </c>
      <c r="Q118">
        <f t="shared" si="42"/>
        <v>-4.0749999999999995E-2</v>
      </c>
      <c r="R118">
        <f t="shared" si="42"/>
        <v>-2.3829999999999997E-2</v>
      </c>
      <c r="S118">
        <f t="shared" si="42"/>
        <v>-9.6759999999999999E-2</v>
      </c>
      <c r="T118">
        <f t="shared" si="42"/>
        <v>-9.3200000000000005E-2</v>
      </c>
      <c r="U118">
        <f t="shared" si="42"/>
        <v>-5.7520000000000002E-2</v>
      </c>
      <c r="V118">
        <f t="shared" si="42"/>
        <v>-7.529000000000001E-2</v>
      </c>
      <c r="W118">
        <f t="shared" si="42"/>
        <v>-9.2799999999999994E-2</v>
      </c>
      <c r="X118">
        <f t="shared" si="42"/>
        <v>-0.10681</v>
      </c>
      <c r="Y118">
        <f t="shared" si="42"/>
        <v>-6.2829999999999997E-2</v>
      </c>
      <c r="Z118">
        <f t="shared" si="42"/>
        <v>-5.5849999999999997E-2</v>
      </c>
      <c r="AA118">
        <f t="shared" si="42"/>
        <v>-5.3170000000000002E-2</v>
      </c>
      <c r="AB118">
        <f t="shared" si="42"/>
        <v>-7.7350000000000002E-2</v>
      </c>
      <c r="AC118">
        <f t="shared" si="42"/>
        <v>-7.2020000000000001E-2</v>
      </c>
      <c r="AD118">
        <f t="shared" si="42"/>
        <v>-6.8479999999999999E-2</v>
      </c>
      <c r="AE118">
        <f t="shared" si="42"/>
        <v>-7.146000000000001E-2</v>
      </c>
      <c r="AF118">
        <f t="shared" si="42"/>
        <v>-8.2220000000000001E-2</v>
      </c>
      <c r="AG118">
        <f t="shared" si="42"/>
        <v>-7.3670000000000013E-2</v>
      </c>
      <c r="AH118">
        <f t="shared" si="42"/>
        <v>-8.3199999999999996E-2</v>
      </c>
      <c r="AI118">
        <f t="shared" si="42"/>
        <v>-8.2199999999999995E-2</v>
      </c>
      <c r="AJ118">
        <f t="shared" si="42"/>
        <v>-8.5110000000000005E-2</v>
      </c>
      <c r="AK118">
        <f t="shared" si="42"/>
        <v>-8.3269999999999997E-2</v>
      </c>
      <c r="AL118">
        <f t="shared" si="42"/>
        <v>-8.3029999999999993E-2</v>
      </c>
      <c r="AM118">
        <f t="shared" si="42"/>
        <v>-5.985E-2</v>
      </c>
      <c r="AN118">
        <f t="shared" si="42"/>
        <v>-5.858E-2</v>
      </c>
      <c r="AO118">
        <f t="shared" si="42"/>
        <v>-4.2779999999999999E-2</v>
      </c>
      <c r="AP118">
        <f t="shared" si="42"/>
        <v>-4.5259999999999995E-2</v>
      </c>
      <c r="AQ118">
        <f t="shared" si="42"/>
        <v>-4.2599999999999999E-2</v>
      </c>
      <c r="AR118">
        <f t="shared" si="42"/>
        <v>-4.5870000000000001E-2</v>
      </c>
      <c r="AS118">
        <f t="shared" si="42"/>
        <v>-3.9780000000000003E-2</v>
      </c>
      <c r="AT118">
        <f t="shared" si="42"/>
        <v>-3.2160000000000001E-2</v>
      </c>
      <c r="AU118">
        <f t="shared" si="42"/>
        <v>-4.3209999999999998E-2</v>
      </c>
      <c r="AV118">
        <f t="shared" si="42"/>
        <v>-4.0399999999999998E-2</v>
      </c>
      <c r="AW118">
        <f t="shared" si="42"/>
        <v>-4.6059999999999997E-2</v>
      </c>
      <c r="AX118">
        <f t="shared" si="42"/>
        <v>-5.2019999999999997E-2</v>
      </c>
      <c r="AY118">
        <f t="shared" si="42"/>
        <v>-5.0310000000000001E-2</v>
      </c>
      <c r="AZ118">
        <f t="shared" si="42"/>
        <v>-3.4040000000000001E-2</v>
      </c>
      <c r="BA118">
        <f t="shared" si="42"/>
        <v>-3.3500000000000002E-2</v>
      </c>
      <c r="BB118">
        <f t="shared" si="42"/>
        <v>-3.7649999999999996E-2</v>
      </c>
      <c r="BC118">
        <f t="shared" si="42"/>
        <v>-2.495E-2</v>
      </c>
      <c r="BD118">
        <f t="shared" si="42"/>
        <v>-2.4030000000000003E-2</v>
      </c>
      <c r="BE118">
        <f t="shared" si="42"/>
        <v>-2.3979999999999998E-2</v>
      </c>
      <c r="BF118">
        <f t="shared" si="42"/>
        <v>-2.4250000000000001E-2</v>
      </c>
      <c r="BG118">
        <f t="shared" si="42"/>
        <v>-1.085E-2</v>
      </c>
      <c r="BH118">
        <f t="shared" si="42"/>
        <v>-1.1209999999999998E-2</v>
      </c>
      <c r="BI118">
        <f t="shared" si="42"/>
        <v>-1.7599999999999998E-2</v>
      </c>
      <c r="BJ118">
        <f t="shared" si="42"/>
        <v>-1.9199999999999998E-2</v>
      </c>
      <c r="BK118">
        <f t="shared" si="42"/>
        <v>-1.46E-2</v>
      </c>
      <c r="BL118">
        <f t="shared" si="42"/>
        <v>-2.155E-2</v>
      </c>
      <c r="BM118">
        <f t="shared" si="42"/>
        <v>-2.6669999999999999E-2</v>
      </c>
      <c r="BN118">
        <f t="shared" si="42"/>
        <v>-3.279E-2</v>
      </c>
      <c r="BO118">
        <f t="shared" si="42"/>
        <v>-2.9059999999999999E-2</v>
      </c>
      <c r="BP118">
        <f t="shared" ref="BP118:CX121" si="43">BP101+BP109</f>
        <v>-3.9599999999999996E-2</v>
      </c>
      <c r="BQ118">
        <f t="shared" si="43"/>
        <v>-5.7000000000000002E-2</v>
      </c>
      <c r="BR118">
        <f t="shared" si="43"/>
        <v>-5.9600000000000007E-2</v>
      </c>
      <c r="BS118">
        <f t="shared" si="43"/>
        <v>-5.4800000000000001E-2</v>
      </c>
      <c r="BT118">
        <f t="shared" si="43"/>
        <v>-4.0300000000000002E-2</v>
      </c>
      <c r="BU118">
        <f t="shared" si="43"/>
        <v>-1.15E-2</v>
      </c>
      <c r="BV118">
        <f t="shared" si="43"/>
        <v>-1.0299999999999998E-2</v>
      </c>
      <c r="BW118">
        <f t="shared" si="43"/>
        <v>-1.4999999999999996E-3</v>
      </c>
      <c r="BX118">
        <f t="shared" si="43"/>
        <v>2.1200000000000004E-3</v>
      </c>
      <c r="BY118">
        <f t="shared" si="43"/>
        <v>-8.9999999999999976E-4</v>
      </c>
      <c r="BZ118">
        <f t="shared" si="43"/>
        <v>-1.5000000000000013E-3</v>
      </c>
      <c r="CA118">
        <f t="shared" si="43"/>
        <v>-1.6300000000000002E-2</v>
      </c>
      <c r="CB118">
        <f t="shared" si="43"/>
        <v>-3.2899999999999999E-2</v>
      </c>
      <c r="CC118">
        <f t="shared" si="43"/>
        <v>-4.2099999999999999E-2</v>
      </c>
      <c r="CD118">
        <f t="shared" si="43"/>
        <v>-4.41E-2</v>
      </c>
      <c r="CE118">
        <f t="shared" si="43"/>
        <v>-4.3499999999999997E-2</v>
      </c>
      <c r="CF118">
        <f t="shared" si="43"/>
        <v>-6.5100000000000005E-2</v>
      </c>
      <c r="CG118">
        <f t="shared" si="43"/>
        <v>-0.10120000000000001</v>
      </c>
      <c r="CH118">
        <f t="shared" si="43"/>
        <v>-0.10170000000000001</v>
      </c>
      <c r="CI118">
        <f t="shared" si="43"/>
        <v>-0.1003</v>
      </c>
      <c r="CJ118">
        <f t="shared" si="43"/>
        <v>-7.3799999999999991E-2</v>
      </c>
      <c r="CK118">
        <f t="shared" si="43"/>
        <v>-9.9100000000000008E-2</v>
      </c>
      <c r="CL118">
        <f t="shared" si="43"/>
        <v>-6.4599999999999991E-2</v>
      </c>
      <c r="CM118">
        <f t="shared" si="43"/>
        <v>-4.2499999999999996E-2</v>
      </c>
      <c r="CN118">
        <f t="shared" si="43"/>
        <v>-2.8100000000000003E-2</v>
      </c>
      <c r="CO118">
        <f t="shared" si="43"/>
        <v>-0.12559999999999999</v>
      </c>
      <c r="CP118">
        <f t="shared" si="43"/>
        <v>-0.11270000000000001</v>
      </c>
      <c r="CQ118">
        <f t="shared" si="43"/>
        <v>-0.1338</v>
      </c>
      <c r="CR118">
        <f t="shared" si="43"/>
        <v>-0.11370000000000001</v>
      </c>
      <c r="CS118">
        <f t="shared" si="43"/>
        <v>-5.0499999999999996E-2</v>
      </c>
      <c r="CT118">
        <f t="shared" si="43"/>
        <v>-4.4999999999999998E-2</v>
      </c>
      <c r="CU118">
        <f t="shared" si="43"/>
        <v>-0.11800000000000001</v>
      </c>
      <c r="CV118">
        <f t="shared" si="43"/>
        <v>-0.126</v>
      </c>
      <c r="CW118">
        <f t="shared" si="43"/>
        <v>-9.3799999999999994E-2</v>
      </c>
      <c r="CX118">
        <f t="shared" si="43"/>
        <v>-0.29420000000000002</v>
      </c>
    </row>
    <row r="119" spans="1:102" x14ac:dyDescent="0.2">
      <c r="A119" t="s">
        <v>210</v>
      </c>
      <c r="B119" t="s">
        <v>220</v>
      </c>
      <c r="C119" t="s">
        <v>223</v>
      </c>
      <c r="D119">
        <f t="shared" ref="D119" si="44">D102+D110</f>
        <v>1.596E-3</v>
      </c>
      <c r="E119">
        <f t="shared" si="42"/>
        <v>1.596E-3</v>
      </c>
      <c r="F119">
        <f t="shared" si="42"/>
        <v>1.596E-3</v>
      </c>
      <c r="G119">
        <f t="shared" si="42"/>
        <v>3.5845000000000002E-2</v>
      </c>
      <c r="H119">
        <f t="shared" si="42"/>
        <v>-1.9023999999999999E-2</v>
      </c>
      <c r="I119">
        <f t="shared" si="42"/>
        <v>1.7290000000000001E-3</v>
      </c>
      <c r="J119">
        <f t="shared" si="42"/>
        <v>-1.4184E-2</v>
      </c>
      <c r="K119">
        <f t="shared" si="42"/>
        <v>-4.045E-3</v>
      </c>
      <c r="L119">
        <f t="shared" si="42"/>
        <v>1.238E-3</v>
      </c>
      <c r="M119">
        <f t="shared" si="42"/>
        <v>-5.3549999999999995E-3</v>
      </c>
      <c r="N119">
        <f t="shared" si="42"/>
        <v>5.143E-3</v>
      </c>
      <c r="O119">
        <f t="shared" si="42"/>
        <v>2.7899999999999999E-3</v>
      </c>
      <c r="P119">
        <f t="shared" si="42"/>
        <v>8.7039999999999999E-3</v>
      </c>
      <c r="Q119">
        <f t="shared" si="42"/>
        <v>-7.9079999999999984E-3</v>
      </c>
      <c r="R119">
        <f t="shared" si="42"/>
        <v>-8.6300000000000005E-3</v>
      </c>
      <c r="S119">
        <f t="shared" si="42"/>
        <v>2.1280000000000001E-3</v>
      </c>
      <c r="T119">
        <f t="shared" si="42"/>
        <v>3.5479999999999999E-3</v>
      </c>
      <c r="U119">
        <f t="shared" si="42"/>
        <v>6.3499999999999993E-4</v>
      </c>
      <c r="V119">
        <f t="shared" si="42"/>
        <v>4.3E-3</v>
      </c>
      <c r="W119">
        <f t="shared" si="42"/>
        <v>5.3150000000000003E-3</v>
      </c>
      <c r="X119">
        <f t="shared" si="42"/>
        <v>7.3420000000000004E-3</v>
      </c>
      <c r="Y119">
        <f t="shared" si="42"/>
        <v>2.3029999999999999E-3</v>
      </c>
      <c r="Z119">
        <f t="shared" si="42"/>
        <v>5.019E-3</v>
      </c>
      <c r="AA119">
        <f t="shared" si="42"/>
        <v>5.0139999999999994E-3</v>
      </c>
      <c r="AB119">
        <f t="shared" si="42"/>
        <v>6.7780000000000002E-3</v>
      </c>
      <c r="AC119">
        <f t="shared" si="42"/>
        <v>3.5559999999999997E-3</v>
      </c>
      <c r="AD119">
        <f t="shared" si="42"/>
        <v>4.5660000000000006E-3</v>
      </c>
      <c r="AE119">
        <f t="shared" si="42"/>
        <v>5.4050000000000001E-3</v>
      </c>
      <c r="AF119">
        <f t="shared" si="42"/>
        <v>7.2139999999999999E-3</v>
      </c>
      <c r="AG119">
        <f t="shared" si="42"/>
        <v>8.4260000000000012E-3</v>
      </c>
      <c r="AH119">
        <f t="shared" si="42"/>
        <v>7.7660000000000003E-3</v>
      </c>
      <c r="AI119">
        <f t="shared" si="42"/>
        <v>6.6180000000000006E-3</v>
      </c>
      <c r="AJ119">
        <f t="shared" si="42"/>
        <v>5.1769999999999993E-3</v>
      </c>
      <c r="AK119">
        <f t="shared" si="42"/>
        <v>5.5420000000000001E-3</v>
      </c>
      <c r="AL119">
        <f t="shared" si="42"/>
        <v>4.9919999999999999E-3</v>
      </c>
      <c r="AM119">
        <f t="shared" si="42"/>
        <v>2.945E-4</v>
      </c>
      <c r="AN119">
        <f t="shared" si="42"/>
        <v>-2.4360000000000002E-3</v>
      </c>
      <c r="AO119">
        <f t="shared" si="42"/>
        <v>-3.117E-3</v>
      </c>
      <c r="AP119">
        <f t="shared" si="42"/>
        <v>-1.8799999999999999E-3</v>
      </c>
      <c r="AQ119">
        <f t="shared" si="42"/>
        <v>-3.4710000000000001E-3</v>
      </c>
      <c r="AR119">
        <f t="shared" si="42"/>
        <v>-1.941E-3</v>
      </c>
      <c r="AS119">
        <f t="shared" si="42"/>
        <v>-5.8E-4</v>
      </c>
      <c r="AT119">
        <f t="shared" si="42"/>
        <v>-1.7229999999999999E-3</v>
      </c>
      <c r="AU119">
        <f t="shared" si="42"/>
        <v>2.336E-3</v>
      </c>
      <c r="AV119">
        <f t="shared" si="42"/>
        <v>4.1729999999999996E-3</v>
      </c>
      <c r="AW119">
        <f t="shared" si="42"/>
        <v>3.418E-3</v>
      </c>
      <c r="AX119">
        <f t="shared" si="42"/>
        <v>6.3140000000000002E-3</v>
      </c>
      <c r="AY119">
        <f t="shared" si="42"/>
        <v>6.8170000000000001E-3</v>
      </c>
      <c r="AZ119">
        <f t="shared" si="42"/>
        <v>5.4840000000000002E-3</v>
      </c>
      <c r="BA119">
        <f t="shared" si="42"/>
        <v>6.4209999999999996E-3</v>
      </c>
      <c r="BB119">
        <f t="shared" si="42"/>
        <v>6.5320000000000005E-3</v>
      </c>
      <c r="BC119">
        <f t="shared" si="42"/>
        <v>2.1540000000000001E-3</v>
      </c>
      <c r="BD119">
        <f t="shared" si="42"/>
        <v>1.8400000000000001E-3</v>
      </c>
      <c r="BE119">
        <f t="shared" si="42"/>
        <v>-6.3900000000000003E-4</v>
      </c>
      <c r="BF119">
        <f t="shared" si="42"/>
        <v>2.5379999999999999E-3</v>
      </c>
      <c r="BG119">
        <f t="shared" si="42"/>
        <v>8.4599999999999996E-4</v>
      </c>
      <c r="BH119">
        <f t="shared" si="42"/>
        <v>1.5709999999999999E-3</v>
      </c>
      <c r="BI119">
        <f t="shared" si="42"/>
        <v>2.4020000000000001E-3</v>
      </c>
      <c r="BJ119">
        <f t="shared" si="42"/>
        <v>3.382E-3</v>
      </c>
      <c r="BK119">
        <f t="shared" si="42"/>
        <v>4.424E-3</v>
      </c>
      <c r="BL119">
        <f t="shared" si="42"/>
        <v>5.6239999999999997E-3</v>
      </c>
      <c r="BM119">
        <f t="shared" si="42"/>
        <v>6.3150000000000003E-3</v>
      </c>
      <c r="BN119">
        <f t="shared" si="42"/>
        <v>8.4790000000000004E-3</v>
      </c>
      <c r="BO119">
        <f t="shared" si="42"/>
        <v>9.5209999999999999E-3</v>
      </c>
      <c r="BP119">
        <f t="shared" si="43"/>
        <v>1.0623E-2</v>
      </c>
      <c r="BQ119">
        <f t="shared" si="43"/>
        <v>9.8790000000000006E-3</v>
      </c>
      <c r="BR119">
        <f t="shared" si="43"/>
        <v>1.1646999999999999E-2</v>
      </c>
      <c r="BS119">
        <f t="shared" si="43"/>
        <v>1.2754E-2</v>
      </c>
      <c r="BT119">
        <f t="shared" si="43"/>
        <v>1.0453E-2</v>
      </c>
      <c r="BU119">
        <f t="shared" si="43"/>
        <v>5.3030000000000004E-3</v>
      </c>
      <c r="BV119">
        <f t="shared" si="43"/>
        <v>5.0150000000000004E-3</v>
      </c>
      <c r="BW119">
        <f t="shared" si="43"/>
        <v>2.7910000000000001E-3</v>
      </c>
      <c r="BX119">
        <f t="shared" si="43"/>
        <v>2.9120000000000001E-3</v>
      </c>
      <c r="BY119">
        <f t="shared" si="43"/>
        <v>4.9649999999999998E-3</v>
      </c>
      <c r="BZ119">
        <f t="shared" si="43"/>
        <v>6.234E-3</v>
      </c>
      <c r="CA119">
        <f t="shared" si="43"/>
        <v>9.2329999999999999E-3</v>
      </c>
      <c r="CB119">
        <f t="shared" si="43"/>
        <v>1.1960999999999999E-2</v>
      </c>
      <c r="CC119">
        <f t="shared" si="43"/>
        <v>1.3177000000000001E-2</v>
      </c>
      <c r="CD119">
        <f t="shared" si="43"/>
        <v>1.4598000000000002E-2</v>
      </c>
      <c r="CE119">
        <f t="shared" si="43"/>
        <v>1.4619E-2</v>
      </c>
      <c r="CF119">
        <f t="shared" si="43"/>
        <v>1.7648E-2</v>
      </c>
      <c r="CG119">
        <f t="shared" si="43"/>
        <v>2.5338999999999997E-2</v>
      </c>
      <c r="CH119">
        <f t="shared" si="43"/>
        <v>2.1322999999999998E-2</v>
      </c>
      <c r="CI119">
        <f t="shared" si="43"/>
        <v>2.2914E-2</v>
      </c>
      <c r="CJ119">
        <f t="shared" si="43"/>
        <v>2.0822E-2</v>
      </c>
      <c r="CK119">
        <f t="shared" si="43"/>
        <v>2.2373999999999998E-2</v>
      </c>
      <c r="CL119">
        <f t="shared" si="43"/>
        <v>1.9159000000000002E-2</v>
      </c>
      <c r="CM119">
        <f t="shared" si="43"/>
        <v>2.0271000000000001E-2</v>
      </c>
      <c r="CN119">
        <f t="shared" si="43"/>
        <v>1.7358999999999999E-2</v>
      </c>
      <c r="CO119">
        <f t="shared" si="43"/>
        <v>3.1128999999999997E-2</v>
      </c>
      <c r="CP119">
        <f t="shared" si="43"/>
        <v>2.6470999999999998E-2</v>
      </c>
      <c r="CQ119">
        <f t="shared" si="43"/>
        <v>2.5211000000000001E-2</v>
      </c>
      <c r="CR119">
        <f t="shared" si="43"/>
        <v>1.9722E-2</v>
      </c>
      <c r="CS119">
        <f t="shared" si="43"/>
        <v>1.7534999999999999E-2</v>
      </c>
      <c r="CT119">
        <f t="shared" si="43"/>
        <v>1.2947999999999999E-2</v>
      </c>
      <c r="CU119">
        <f t="shared" si="43"/>
        <v>1.5566E-2</v>
      </c>
      <c r="CV119">
        <f t="shared" si="43"/>
        <v>2.3536000000000001E-2</v>
      </c>
      <c r="CW119">
        <f t="shared" si="43"/>
        <v>2.9009999999999999E-3</v>
      </c>
      <c r="CX119">
        <f t="shared" si="43"/>
        <v>4.9575000000000001E-2</v>
      </c>
    </row>
    <row r="120" spans="1:102" x14ac:dyDescent="0.2">
      <c r="A120" t="s">
        <v>211</v>
      </c>
      <c r="B120" t="s">
        <v>220</v>
      </c>
      <c r="C120" t="s">
        <v>223</v>
      </c>
      <c r="D120">
        <f t="shared" ref="D120" si="45">D103+D111</f>
        <v>5.0879999999999996E-3</v>
      </c>
      <c r="E120">
        <f t="shared" si="42"/>
        <v>5.0879999999999996E-3</v>
      </c>
      <c r="F120">
        <f t="shared" si="42"/>
        <v>5.0879999999999996E-3</v>
      </c>
      <c r="G120">
        <f t="shared" si="42"/>
        <v>0.14727999999999999</v>
      </c>
      <c r="H120">
        <f t="shared" si="42"/>
        <v>6.3930000000000001E-2</v>
      </c>
      <c r="I120">
        <f t="shared" si="42"/>
        <v>3.2219999999999999E-2</v>
      </c>
      <c r="J120">
        <f t="shared" si="42"/>
        <v>1.8929999999999999E-2</v>
      </c>
      <c r="K120">
        <f t="shared" si="42"/>
        <v>2.358E-2</v>
      </c>
      <c r="L120">
        <f t="shared" si="42"/>
        <v>1.142E-2</v>
      </c>
      <c r="M120">
        <f t="shared" si="42"/>
        <v>9.6099999999999988E-3</v>
      </c>
      <c r="N120">
        <f t="shared" si="42"/>
        <v>6.77E-3</v>
      </c>
      <c r="O120">
        <f t="shared" si="42"/>
        <v>1.11E-2</v>
      </c>
      <c r="P120">
        <f t="shared" si="42"/>
        <v>3.2399999999999998E-3</v>
      </c>
      <c r="Q120">
        <f t="shared" si="42"/>
        <v>1.7139999999999998E-3</v>
      </c>
      <c r="R120">
        <f t="shared" si="42"/>
        <v>-2.686E-3</v>
      </c>
      <c r="S120">
        <f t="shared" si="42"/>
        <v>1.5969999999999999E-3</v>
      </c>
      <c r="T120">
        <f t="shared" si="42"/>
        <v>4.4850000000000003E-3</v>
      </c>
      <c r="U120">
        <f t="shared" si="42"/>
        <v>2.0410000000000003E-3</v>
      </c>
      <c r="V120">
        <f t="shared" si="42"/>
        <v>3.483E-3</v>
      </c>
      <c r="W120">
        <f t="shared" si="42"/>
        <v>5.705E-3</v>
      </c>
      <c r="X120">
        <f t="shared" si="42"/>
        <v>6.6829999999999997E-3</v>
      </c>
      <c r="Y120">
        <f t="shared" si="42"/>
        <v>3.0739999999999999E-3</v>
      </c>
      <c r="Z120">
        <f t="shared" si="42"/>
        <v>7.0600000000000003E-3</v>
      </c>
      <c r="AA120">
        <f t="shared" si="42"/>
        <v>2.7980000000000001E-3</v>
      </c>
      <c r="AB120">
        <f t="shared" si="42"/>
        <v>5.1290000000000007E-3</v>
      </c>
      <c r="AC120">
        <f t="shared" si="42"/>
        <v>3.2929999999999999E-3</v>
      </c>
      <c r="AD120">
        <f t="shared" si="42"/>
        <v>4.1399999999999996E-3</v>
      </c>
      <c r="AE120">
        <f t="shared" si="42"/>
        <v>4.7070000000000002E-3</v>
      </c>
      <c r="AF120">
        <f t="shared" si="42"/>
        <v>2.9560000000000003E-3</v>
      </c>
      <c r="AG120">
        <f t="shared" si="42"/>
        <v>4.8700000000000002E-3</v>
      </c>
      <c r="AH120">
        <f t="shared" si="42"/>
        <v>6.5290000000000001E-3</v>
      </c>
      <c r="AI120">
        <f t="shared" si="42"/>
        <v>6.9299999999999995E-3</v>
      </c>
      <c r="AJ120">
        <f t="shared" si="42"/>
        <v>5.3100000000000005E-3</v>
      </c>
      <c r="AK120">
        <f t="shared" si="42"/>
        <v>5.7000000000000002E-3</v>
      </c>
      <c r="AL120">
        <f t="shared" si="42"/>
        <v>3.9299999999999995E-3</v>
      </c>
      <c r="AM120">
        <f t="shared" si="42"/>
        <v>2.5900000000000003E-3</v>
      </c>
      <c r="AN120">
        <f t="shared" si="42"/>
        <v>2.66E-3</v>
      </c>
      <c r="AO120">
        <f t="shared" si="42"/>
        <v>2.0500000000000002E-3</v>
      </c>
      <c r="AP120">
        <f t="shared" si="42"/>
        <v>1.457E-3</v>
      </c>
      <c r="AQ120">
        <f t="shared" si="42"/>
        <v>2.6899999999999997E-3</v>
      </c>
      <c r="AR120">
        <f t="shared" si="42"/>
        <v>5.8400000000000006E-3</v>
      </c>
      <c r="AS120">
        <f t="shared" si="42"/>
        <v>5.5699999999999994E-3</v>
      </c>
      <c r="AT120">
        <f t="shared" si="42"/>
        <v>4.7699999999999999E-3</v>
      </c>
      <c r="AU120">
        <f t="shared" si="42"/>
        <v>6.8500000000000002E-3</v>
      </c>
      <c r="AV120">
        <f t="shared" si="42"/>
        <v>7.9900000000000006E-3</v>
      </c>
      <c r="AW120">
        <f t="shared" si="42"/>
        <v>9.1700000000000011E-3</v>
      </c>
      <c r="AX120">
        <f t="shared" si="42"/>
        <v>9.4699999999999993E-3</v>
      </c>
      <c r="AY120">
        <f t="shared" si="42"/>
        <v>1.145E-2</v>
      </c>
      <c r="AZ120">
        <f t="shared" si="42"/>
        <v>1.01E-2</v>
      </c>
      <c r="BA120">
        <f t="shared" si="42"/>
        <v>1.116E-2</v>
      </c>
      <c r="BB120">
        <f t="shared" si="42"/>
        <v>1.2789999999999999E-2</v>
      </c>
      <c r="BC120">
        <f t="shared" si="42"/>
        <v>1.1140000000000001E-2</v>
      </c>
      <c r="BD120">
        <f t="shared" si="42"/>
        <v>1.059E-2</v>
      </c>
      <c r="BE120">
        <f t="shared" si="42"/>
        <v>6.1799999999999997E-3</v>
      </c>
      <c r="BF120">
        <f t="shared" si="42"/>
        <v>6.6600000000000001E-3</v>
      </c>
      <c r="BG120">
        <f t="shared" si="42"/>
        <v>5.0600000000000003E-3</v>
      </c>
      <c r="BH120">
        <f t="shared" si="42"/>
        <v>4.3200000000000001E-3</v>
      </c>
      <c r="BI120">
        <f t="shared" si="42"/>
        <v>2.97E-3</v>
      </c>
      <c r="BJ120">
        <f t="shared" si="42"/>
        <v>9.6499999999999993E-4</v>
      </c>
      <c r="BK120">
        <f t="shared" si="42"/>
        <v>7.9999999999999993E-4</v>
      </c>
      <c r="BL120">
        <f t="shared" si="42"/>
        <v>-3.1099999999999995E-3</v>
      </c>
      <c r="BM120">
        <f t="shared" si="42"/>
        <v>-1.5100000000000001E-3</v>
      </c>
      <c r="BN120">
        <f t="shared" si="42"/>
        <v>-1.4999999999999998E-3</v>
      </c>
      <c r="BO120">
        <f t="shared" si="42"/>
        <v>-4.4499999999999991E-3</v>
      </c>
      <c r="BP120">
        <f t="shared" si="43"/>
        <v>-5.0399999999999993E-3</v>
      </c>
      <c r="BQ120">
        <f t="shared" si="43"/>
        <v>-2.4700000000000004E-3</v>
      </c>
      <c r="BR120">
        <f t="shared" si="43"/>
        <v>-1.8400000000000001E-3</v>
      </c>
      <c r="BS120">
        <f t="shared" si="43"/>
        <v>4.1000000000000021E-4</v>
      </c>
      <c r="BT120">
        <f t="shared" si="43"/>
        <v>-1.6200000000000003E-3</v>
      </c>
      <c r="BU120">
        <f t="shared" si="43"/>
        <v>-4.6300000000000004E-3</v>
      </c>
      <c r="BV120">
        <f t="shared" si="43"/>
        <v>-4.1399999999999996E-3</v>
      </c>
      <c r="BW120">
        <f t="shared" si="43"/>
        <v>-6.1900000000000011E-3</v>
      </c>
      <c r="BX120">
        <f t="shared" si="43"/>
        <v>-5.3699999999999998E-3</v>
      </c>
      <c r="BY120">
        <f t="shared" si="43"/>
        <v>-2.48E-3</v>
      </c>
      <c r="BZ120">
        <f t="shared" si="43"/>
        <v>-3.65E-3</v>
      </c>
      <c r="CA120">
        <f t="shared" si="43"/>
        <v>-2.97E-3</v>
      </c>
      <c r="CB120">
        <f t="shared" si="43"/>
        <v>-3.8300000000000005E-3</v>
      </c>
      <c r="CC120">
        <f t="shared" si="43"/>
        <v>-4.47E-3</v>
      </c>
      <c r="CD120">
        <f t="shared" si="43"/>
        <v>-5.2900000000000013E-3</v>
      </c>
      <c r="CE120">
        <f t="shared" si="43"/>
        <v>-4.6600000000000009E-3</v>
      </c>
      <c r="CF120">
        <f t="shared" si="43"/>
        <v>-2.7299999999999998E-3</v>
      </c>
      <c r="CG120">
        <f t="shared" si="43"/>
        <v>8.8500000000000002E-3</v>
      </c>
      <c r="CH120">
        <f t="shared" si="43"/>
        <v>5.64E-3</v>
      </c>
      <c r="CI120">
        <f t="shared" si="43"/>
        <v>3.2381000000000003E-3</v>
      </c>
      <c r="CJ120">
        <f t="shared" si="43"/>
        <v>4.64E-3</v>
      </c>
      <c r="CK120">
        <f t="shared" si="43"/>
        <v>1.094E-2</v>
      </c>
      <c r="CL120">
        <f t="shared" si="43"/>
        <v>5.5900000000000004E-3</v>
      </c>
      <c r="CM120">
        <f t="shared" si="43"/>
        <v>1.4599999999999999E-3</v>
      </c>
      <c r="CN120">
        <f t="shared" si="43"/>
        <v>3.2729999999999999E-3</v>
      </c>
      <c r="CO120">
        <f t="shared" si="43"/>
        <v>1.1120000000000001E-2</v>
      </c>
      <c r="CP120">
        <f t="shared" si="43"/>
        <v>2.2210000000000001E-2</v>
      </c>
      <c r="CQ120">
        <f t="shared" si="43"/>
        <v>2.4650000000000002E-2</v>
      </c>
      <c r="CR120">
        <f t="shared" si="43"/>
        <v>1.8380000000000001E-2</v>
      </c>
      <c r="CS120">
        <f t="shared" si="43"/>
        <v>-1.1630000000000001E-2</v>
      </c>
      <c r="CT120">
        <f t="shared" si="43"/>
        <v>-1.0800000000000002E-3</v>
      </c>
      <c r="CU120">
        <f t="shared" si="43"/>
        <v>8.8899999999999986E-3</v>
      </c>
      <c r="CV120">
        <f t="shared" si="43"/>
        <v>-2.6249999999999999E-2</v>
      </c>
      <c r="CW120">
        <f t="shared" si="43"/>
        <v>-1.3989999999999999E-2</v>
      </c>
      <c r="CX120">
        <f t="shared" si="43"/>
        <v>2.298E-2</v>
      </c>
    </row>
    <row r="121" spans="1:102" x14ac:dyDescent="0.2">
      <c r="A121" t="s">
        <v>212</v>
      </c>
      <c r="B121" t="s">
        <v>220</v>
      </c>
      <c r="C121" t="s">
        <v>223</v>
      </c>
      <c r="D121">
        <f t="shared" ref="D121" si="46">D104+D112</f>
        <v>1.3830000000000001E-3</v>
      </c>
      <c r="E121">
        <f t="shared" si="42"/>
        <v>1.3830000000000001E-3</v>
      </c>
      <c r="F121">
        <f t="shared" si="42"/>
        <v>1.3830000000000001E-3</v>
      </c>
      <c r="G121">
        <f t="shared" si="42"/>
        <v>6.8729999999999999E-2</v>
      </c>
      <c r="H121">
        <f t="shared" si="42"/>
        <v>3.44E-2</v>
      </c>
      <c r="I121">
        <f t="shared" si="42"/>
        <v>3.662E-2</v>
      </c>
      <c r="J121">
        <f t="shared" si="42"/>
        <v>1.1550000000000001E-2</v>
      </c>
      <c r="K121">
        <f t="shared" si="42"/>
        <v>1.1850000000000001E-2</v>
      </c>
      <c r="L121">
        <f t="shared" si="42"/>
        <v>1.4339999999999999E-2</v>
      </c>
      <c r="M121">
        <f t="shared" si="42"/>
        <v>1.227E-2</v>
      </c>
      <c r="N121">
        <f t="shared" si="42"/>
        <v>1.316E-2</v>
      </c>
      <c r="O121">
        <f t="shared" si="42"/>
        <v>1.1259999999999999E-2</v>
      </c>
      <c r="P121">
        <f t="shared" si="42"/>
        <v>1.18E-2</v>
      </c>
      <c r="Q121">
        <f t="shared" si="42"/>
        <v>5.0099999999999997E-3</v>
      </c>
      <c r="R121">
        <f t="shared" si="42"/>
        <v>3.15E-3</v>
      </c>
      <c r="S121">
        <f t="shared" si="42"/>
        <v>4.0809999999999996E-3</v>
      </c>
      <c r="T121">
        <f t="shared" si="42"/>
        <v>4.5990000000000007E-3</v>
      </c>
      <c r="U121">
        <f t="shared" si="42"/>
        <v>2.7190000000000001E-3</v>
      </c>
      <c r="V121">
        <f t="shared" si="42"/>
        <v>4.4339999999999996E-3</v>
      </c>
      <c r="W121">
        <f t="shared" si="42"/>
        <v>3.8649999999999999E-3</v>
      </c>
      <c r="X121">
        <f t="shared" si="42"/>
        <v>3.2030000000000001E-3</v>
      </c>
      <c r="Y121">
        <f t="shared" si="42"/>
        <v>1.539E-3</v>
      </c>
      <c r="Z121">
        <f t="shared" si="42"/>
        <v>1.9469999999999999E-3</v>
      </c>
      <c r="AA121">
        <f t="shared" si="42"/>
        <v>2.1089999999999998E-3</v>
      </c>
      <c r="AB121">
        <f t="shared" si="42"/>
        <v>3.1119999999999997E-3</v>
      </c>
      <c r="AC121">
        <f t="shared" si="42"/>
        <v>2.7989999999999998E-3</v>
      </c>
      <c r="AD121">
        <f t="shared" si="42"/>
        <v>2.8440000000000002E-3</v>
      </c>
      <c r="AE121">
        <f t="shared" si="42"/>
        <v>3.8479999999999999E-3</v>
      </c>
      <c r="AF121">
        <f t="shared" si="42"/>
        <v>4.463E-3</v>
      </c>
      <c r="AG121">
        <f t="shared" si="42"/>
        <v>4.182E-3</v>
      </c>
      <c r="AH121">
        <f t="shared" si="42"/>
        <v>4.28E-3</v>
      </c>
      <c r="AI121">
        <f t="shared" si="42"/>
        <v>4.1320000000000003E-3</v>
      </c>
      <c r="AJ121">
        <f t="shared" si="42"/>
        <v>3.6470000000000001E-3</v>
      </c>
      <c r="AK121">
        <f t="shared" si="42"/>
        <v>3.2160000000000001E-3</v>
      </c>
      <c r="AL121">
        <f t="shared" si="42"/>
        <v>3.2940000000000001E-3</v>
      </c>
      <c r="AM121">
        <f t="shared" si="42"/>
        <v>2.441E-3</v>
      </c>
      <c r="AN121">
        <f t="shared" si="42"/>
        <v>2.209E-3</v>
      </c>
      <c r="AO121">
        <f t="shared" si="42"/>
        <v>1.9619999999999998E-3</v>
      </c>
      <c r="AP121">
        <f t="shared" si="42"/>
        <v>2.0049999999999998E-3</v>
      </c>
      <c r="AQ121">
        <f t="shared" si="42"/>
        <v>2.431E-3</v>
      </c>
      <c r="AR121">
        <f t="shared" si="42"/>
        <v>2.9889999999999999E-3</v>
      </c>
      <c r="AS121">
        <f t="shared" si="42"/>
        <v>3.1330000000000004E-3</v>
      </c>
      <c r="AT121">
        <f t="shared" si="42"/>
        <v>3.2669999999999999E-3</v>
      </c>
      <c r="AU121">
        <f t="shared" si="42"/>
        <v>3.9779999999999998E-3</v>
      </c>
      <c r="AV121">
        <f t="shared" si="42"/>
        <v>4.5699999999999994E-3</v>
      </c>
      <c r="AW121">
        <f t="shared" si="42"/>
        <v>4.6959999999999997E-3</v>
      </c>
      <c r="AX121">
        <f t="shared" si="42"/>
        <v>4.3949999999999996E-3</v>
      </c>
      <c r="AY121">
        <f t="shared" si="42"/>
        <v>3.9909999999999998E-3</v>
      </c>
      <c r="AZ121">
        <f t="shared" si="42"/>
        <v>3.6829999999999996E-3</v>
      </c>
      <c r="BA121">
        <f t="shared" si="42"/>
        <v>3.7459999999999998E-3</v>
      </c>
      <c r="BB121">
        <f t="shared" si="42"/>
        <v>3.522E-3</v>
      </c>
      <c r="BC121">
        <f t="shared" si="42"/>
        <v>2.405E-3</v>
      </c>
      <c r="BD121">
        <f t="shared" si="42"/>
        <v>2.408E-3</v>
      </c>
      <c r="BE121">
        <f t="shared" si="42"/>
        <v>2.1489999999999999E-3</v>
      </c>
      <c r="BF121">
        <f t="shared" si="42"/>
        <v>1.8939999999999999E-3</v>
      </c>
      <c r="BG121">
        <f t="shared" si="42"/>
        <v>2.1089999999999998E-3</v>
      </c>
      <c r="BH121">
        <f t="shared" si="42"/>
        <v>1.843E-3</v>
      </c>
      <c r="BI121">
        <f t="shared" si="42"/>
        <v>1.439E-3</v>
      </c>
      <c r="BJ121">
        <f t="shared" si="42"/>
        <v>2.2360000000000001E-3</v>
      </c>
      <c r="BK121">
        <f t="shared" si="42"/>
        <v>2.1359999999999999E-3</v>
      </c>
      <c r="BL121">
        <f t="shared" si="42"/>
        <v>2.5460000000000001E-3</v>
      </c>
      <c r="BM121">
        <f t="shared" si="42"/>
        <v>2.4579999999999997E-3</v>
      </c>
      <c r="BN121">
        <f t="shared" si="42"/>
        <v>2.3289999999999999E-3</v>
      </c>
      <c r="BO121">
        <f t="shared" si="42"/>
        <v>1.8369999999999999E-3</v>
      </c>
      <c r="BP121">
        <f t="shared" si="43"/>
        <v>2.0989999999999997E-3</v>
      </c>
      <c r="BQ121">
        <f t="shared" si="43"/>
        <v>2.1410000000000001E-3</v>
      </c>
      <c r="BR121">
        <f t="shared" si="43"/>
        <v>1.0859999999999999E-3</v>
      </c>
      <c r="BS121">
        <f t="shared" si="43"/>
        <v>1.225E-3</v>
      </c>
      <c r="BT121">
        <f t="shared" si="43"/>
        <v>8.4900000000000004E-4</v>
      </c>
      <c r="BU121">
        <f t="shared" si="43"/>
        <v>4.1999999999999996E-4</v>
      </c>
      <c r="BV121">
        <f t="shared" si="43"/>
        <v>8.12E-4</v>
      </c>
      <c r="BW121">
        <f t="shared" si="43"/>
        <v>4.4799999999999999E-4</v>
      </c>
      <c r="BX121">
        <f t="shared" si="43"/>
        <v>-7.0000000000000075E-6</v>
      </c>
      <c r="BY121">
        <f t="shared" si="43"/>
        <v>1.2329999999999999E-3</v>
      </c>
      <c r="BZ121">
        <f t="shared" si="43"/>
        <v>1.3120000000000002E-3</v>
      </c>
      <c r="CA121">
        <f t="shared" si="43"/>
        <v>1.8339999999999999E-3</v>
      </c>
      <c r="CB121">
        <f t="shared" si="43"/>
        <v>1.6150000000000001E-3</v>
      </c>
      <c r="CC121">
        <f t="shared" si="43"/>
        <v>-2.9999999999999645E-6</v>
      </c>
      <c r="CD121">
        <f t="shared" si="43"/>
        <v>3.8999999999999972E-5</v>
      </c>
      <c r="CE121">
        <f t="shared" si="43"/>
        <v>-3.6880000000000002E-4</v>
      </c>
      <c r="CF121">
        <f t="shared" si="43"/>
        <v>-5.4100000000000003E-4</v>
      </c>
      <c r="CG121">
        <f t="shared" si="43"/>
        <v>-2.8180000000000002E-3</v>
      </c>
      <c r="CH121">
        <f t="shared" si="43"/>
        <v>-2.5760000000000002E-3</v>
      </c>
      <c r="CI121">
        <f t="shared" si="43"/>
        <v>-2.6450000000000002E-3</v>
      </c>
      <c r="CJ121">
        <f t="shared" si="43"/>
        <v>-2.238E-3</v>
      </c>
      <c r="CK121">
        <f t="shared" si="43"/>
        <v>-2.8519999999999999E-3</v>
      </c>
      <c r="CL121">
        <f t="shared" si="43"/>
        <v>-4.2139999999999999E-3</v>
      </c>
      <c r="CM121">
        <f t="shared" si="43"/>
        <v>-3.3529999999999996E-3</v>
      </c>
      <c r="CN121">
        <f t="shared" si="43"/>
        <v>-2.1550000000000002E-3</v>
      </c>
      <c r="CO121">
        <f t="shared" si="43"/>
        <v>-1.7590000000000001E-3</v>
      </c>
      <c r="CP121">
        <f t="shared" si="43"/>
        <v>-3.3509999999999998E-3</v>
      </c>
      <c r="CQ121">
        <f t="shared" si="43"/>
        <v>-3.284E-3</v>
      </c>
      <c r="CR121">
        <f t="shared" si="43"/>
        <v>-4.3569999999999998E-3</v>
      </c>
      <c r="CS121">
        <f t="shared" si="43"/>
        <v>-4.3550000000000004E-3</v>
      </c>
      <c r="CT121">
        <f t="shared" si="43"/>
        <v>-8.1690000000000009E-3</v>
      </c>
      <c r="CU121">
        <f t="shared" si="43"/>
        <v>-6.0920000000000002E-3</v>
      </c>
      <c r="CV121">
        <f t="shared" si="43"/>
        <v>-1.2034000000000001E-2</v>
      </c>
      <c r="CW121">
        <f t="shared" si="43"/>
        <v>-1.5432900000000001E-2</v>
      </c>
      <c r="CX121">
        <f t="shared" si="43"/>
        <v>-1.8874700000000001E-2</v>
      </c>
    </row>
    <row r="122" spans="1:102" x14ac:dyDescent="0.2">
      <c r="A122" t="s">
        <v>213</v>
      </c>
      <c r="B122" t="s">
        <v>220</v>
      </c>
      <c r="C122" t="s">
        <v>223</v>
      </c>
      <c r="D122">
        <f t="shared" ref="D122" si="47">D105+D113</f>
        <v>-2.3249999999999998E-3</v>
      </c>
      <c r="E122">
        <f t="shared" si="42"/>
        <v>-2.3249999999999998E-3</v>
      </c>
      <c r="F122">
        <f t="shared" si="42"/>
        <v>-2.3249999999999998E-3</v>
      </c>
      <c r="G122">
        <f t="shared" ref="G122:BR122" si="48">G105+G113</f>
        <v>-0.24360000000000001</v>
      </c>
      <c r="H122">
        <f t="shared" si="48"/>
        <v>2.256E-2</v>
      </c>
      <c r="I122">
        <f t="shared" si="48"/>
        <v>-7.041E-2</v>
      </c>
      <c r="J122">
        <f t="shared" si="48"/>
        <v>1.5160000000000002E-2</v>
      </c>
      <c r="K122">
        <f t="shared" si="48"/>
        <v>-2.0720000000000002E-2</v>
      </c>
      <c r="L122">
        <f t="shared" si="48"/>
        <v>-3.2219999999999999E-2</v>
      </c>
      <c r="M122">
        <f t="shared" si="48"/>
        <v>-1.2359999999999999E-2</v>
      </c>
      <c r="N122">
        <f t="shared" si="48"/>
        <v>-2.581E-2</v>
      </c>
      <c r="O122">
        <f t="shared" si="48"/>
        <v>-2.631E-2</v>
      </c>
      <c r="P122">
        <f t="shared" si="48"/>
        <v>-3.9370000000000002E-2</v>
      </c>
      <c r="Q122">
        <f t="shared" si="48"/>
        <v>4.2939999999999999E-2</v>
      </c>
      <c r="R122">
        <f t="shared" si="48"/>
        <v>6.037E-2</v>
      </c>
      <c r="S122">
        <f t="shared" si="48"/>
        <v>-1.763E-2</v>
      </c>
      <c r="T122">
        <f t="shared" si="48"/>
        <v>-2.545E-2</v>
      </c>
      <c r="U122">
        <f t="shared" si="48"/>
        <v>6.0800000000000003E-3</v>
      </c>
      <c r="V122">
        <f t="shared" si="48"/>
        <v>-2.6009999999999998E-2</v>
      </c>
      <c r="W122">
        <f t="shared" si="48"/>
        <v>-3.61E-2</v>
      </c>
      <c r="X122">
        <f t="shared" si="48"/>
        <v>-1.37E-2</v>
      </c>
      <c r="Y122">
        <f t="shared" si="48"/>
        <v>9.6600000000000002E-3</v>
      </c>
      <c r="Z122">
        <f t="shared" si="48"/>
        <v>8.5400000000000007E-3</v>
      </c>
      <c r="AA122">
        <f t="shared" si="48"/>
        <v>-1.0400000000000001E-3</v>
      </c>
      <c r="AB122">
        <f t="shared" si="48"/>
        <v>-1.494E-2</v>
      </c>
      <c r="AC122">
        <f t="shared" si="48"/>
        <v>-2.145E-2</v>
      </c>
      <c r="AD122">
        <f t="shared" si="48"/>
        <v>-1.6400000000000001E-2</v>
      </c>
      <c r="AE122">
        <f t="shared" si="48"/>
        <v>-1.4840000000000001E-2</v>
      </c>
      <c r="AF122">
        <f t="shared" si="48"/>
        <v>-1.8970000000000001E-2</v>
      </c>
      <c r="AG122">
        <f t="shared" si="48"/>
        <v>-2.1309999999999999E-2</v>
      </c>
      <c r="AH122">
        <f t="shared" si="48"/>
        <v>-2.2380000000000001E-2</v>
      </c>
      <c r="AI122">
        <f t="shared" si="48"/>
        <v>-1.813E-2</v>
      </c>
      <c r="AJ122">
        <f t="shared" si="48"/>
        <v>-1.687E-2</v>
      </c>
      <c r="AK122">
        <f t="shared" si="48"/>
        <v>-1.3550000000000001E-2</v>
      </c>
      <c r="AL122">
        <f t="shared" si="48"/>
        <v>-1.1169999999999999E-2</v>
      </c>
      <c r="AM122">
        <f t="shared" si="48"/>
        <v>-9.3500000000000007E-3</v>
      </c>
      <c r="AN122">
        <f t="shared" si="48"/>
        <v>-6.0699999999999999E-3</v>
      </c>
      <c r="AO122">
        <f t="shared" si="48"/>
        <v>-4.3800000000000002E-3</v>
      </c>
      <c r="AP122">
        <f t="shared" si="48"/>
        <v>-3.3400000000000001E-3</v>
      </c>
      <c r="AQ122">
        <f t="shared" si="48"/>
        <v>6.1999999999999989E-4</v>
      </c>
      <c r="AR122">
        <f t="shared" si="48"/>
        <v>-1.1529999999999999E-2</v>
      </c>
      <c r="AS122">
        <f t="shared" si="48"/>
        <v>-1.2869999999999999E-2</v>
      </c>
      <c r="AT122">
        <f t="shared" si="48"/>
        <v>-1.0359999999999999E-2</v>
      </c>
      <c r="AU122">
        <f t="shared" si="48"/>
        <v>-1.2290000000000001E-2</v>
      </c>
      <c r="AV122">
        <f t="shared" si="48"/>
        <v>-1.3840000000000002E-2</v>
      </c>
      <c r="AW122">
        <f t="shared" si="48"/>
        <v>-1.0279999999999999E-2</v>
      </c>
      <c r="AX122">
        <f t="shared" si="48"/>
        <v>-5.4299999999999991E-3</v>
      </c>
      <c r="AY122">
        <f t="shared" si="48"/>
        <v>-4.8599999999999997E-3</v>
      </c>
      <c r="AZ122">
        <f t="shared" si="48"/>
        <v>-1.2235899999999999E-3</v>
      </c>
      <c r="BA122">
        <f t="shared" si="48"/>
        <v>1.7999999999999997E-3</v>
      </c>
      <c r="BB122">
        <f t="shared" si="48"/>
        <v>2.8999999999999998E-3</v>
      </c>
      <c r="BC122">
        <f t="shared" si="48"/>
        <v>6.3099999999999996E-3</v>
      </c>
      <c r="BD122">
        <f t="shared" si="48"/>
        <v>7.1300000000000009E-3</v>
      </c>
      <c r="BE122">
        <f t="shared" si="48"/>
        <v>6.7399999999999995E-3</v>
      </c>
      <c r="BF122">
        <f t="shared" si="48"/>
        <v>7.0800000000000012E-3</v>
      </c>
      <c r="BG122">
        <f t="shared" si="48"/>
        <v>9.7999999999999997E-3</v>
      </c>
      <c r="BH122">
        <f t="shared" si="48"/>
        <v>5.5799999999999999E-3</v>
      </c>
      <c r="BI122">
        <f t="shared" si="48"/>
        <v>5.6829999999999997E-3</v>
      </c>
      <c r="BJ122">
        <f t="shared" si="48"/>
        <v>-4.3799999999999997E-4</v>
      </c>
      <c r="BK122">
        <f t="shared" si="48"/>
        <v>8.8800000000000001E-4</v>
      </c>
      <c r="BL122">
        <f t="shared" si="48"/>
        <v>1.1209999999999998E-3</v>
      </c>
      <c r="BM122">
        <f t="shared" si="48"/>
        <v>-8.0300000000000011E-4</v>
      </c>
      <c r="BN122">
        <f t="shared" si="48"/>
        <v>-1.9599999999999999E-3</v>
      </c>
      <c r="BO122">
        <f t="shared" si="48"/>
        <v>-1.0344999999999998E-3</v>
      </c>
      <c r="BP122">
        <f t="shared" si="48"/>
        <v>-3.4499999999999999E-3</v>
      </c>
      <c r="BQ122">
        <f t="shared" si="48"/>
        <v>-2.6899999999999997E-3</v>
      </c>
      <c r="BR122">
        <f t="shared" si="48"/>
        <v>-1.5429999999999999E-3</v>
      </c>
      <c r="BS122">
        <f t="shared" ref="BS122:CX122" si="49">BS105+BS113</f>
        <v>-2.2260000000000001E-3</v>
      </c>
      <c r="BT122">
        <f t="shared" si="49"/>
        <v>-4.0499999999999998E-3</v>
      </c>
      <c r="BU122">
        <f t="shared" si="49"/>
        <v>1.1179999999999999E-3</v>
      </c>
      <c r="BV122">
        <f t="shared" si="49"/>
        <v>2.3500000000000001E-3</v>
      </c>
      <c r="BW122">
        <f t="shared" si="49"/>
        <v>4.64E-3</v>
      </c>
      <c r="BX122">
        <f t="shared" si="49"/>
        <v>2.196E-3</v>
      </c>
      <c r="BY122">
        <f t="shared" si="49"/>
        <v>2.7409999999999999E-3</v>
      </c>
      <c r="BZ122">
        <f t="shared" si="49"/>
        <v>2.849E-3</v>
      </c>
      <c r="CA122">
        <f t="shared" si="49"/>
        <v>3.1920000000000004E-3</v>
      </c>
      <c r="CB122">
        <f t="shared" si="49"/>
        <v>7.7680000000000006E-3</v>
      </c>
      <c r="CC122">
        <f t="shared" si="49"/>
        <v>9.1920000000000005E-3</v>
      </c>
      <c r="CD122">
        <f t="shared" si="49"/>
        <v>1.3489000000000001E-2</v>
      </c>
      <c r="CE122">
        <f t="shared" si="49"/>
        <v>1.4751999999999999E-2</v>
      </c>
      <c r="CF122">
        <f t="shared" si="49"/>
        <v>1.4983000000000002E-2</v>
      </c>
      <c r="CG122">
        <f t="shared" si="49"/>
        <v>1.4974999999999999E-2</v>
      </c>
      <c r="CH122">
        <f t="shared" si="49"/>
        <v>1.8784000000000002E-2</v>
      </c>
      <c r="CI122">
        <f t="shared" si="49"/>
        <v>9.9810000000000003E-3</v>
      </c>
      <c r="CJ122">
        <f t="shared" si="49"/>
        <v>1.1651999999999999E-2</v>
      </c>
      <c r="CK122">
        <f t="shared" si="49"/>
        <v>1.5009000000000002E-2</v>
      </c>
      <c r="CL122">
        <f t="shared" si="49"/>
        <v>1.6225999999999997E-2</v>
      </c>
      <c r="CM122">
        <f t="shared" si="49"/>
        <v>1.5187000000000001E-2</v>
      </c>
      <c r="CN122">
        <f t="shared" si="49"/>
        <v>1.4679000000000001E-2</v>
      </c>
      <c r="CO122">
        <f t="shared" si="49"/>
        <v>6.9740000000000002E-3</v>
      </c>
      <c r="CP122">
        <f t="shared" si="49"/>
        <v>-9.2659999999999999E-3</v>
      </c>
      <c r="CQ122">
        <f t="shared" si="49"/>
        <v>-1.1035000000000001E-2</v>
      </c>
      <c r="CR122">
        <f t="shared" si="49"/>
        <v>-1.5143E-2</v>
      </c>
      <c r="CS122">
        <f t="shared" si="49"/>
        <v>1.7750000000000001E-3</v>
      </c>
      <c r="CT122">
        <f t="shared" si="49"/>
        <v>4.3879999999999995E-3</v>
      </c>
      <c r="CU122">
        <f t="shared" si="49"/>
        <v>-1.7573000000000002E-2</v>
      </c>
      <c r="CV122">
        <f t="shared" si="49"/>
        <v>-3.0536000000000001E-2</v>
      </c>
      <c r="CW122">
        <f t="shared" si="49"/>
        <v>-5.2409000000000004E-2</v>
      </c>
      <c r="CX122">
        <f t="shared" si="49"/>
        <v>-5.5074000000000005E-2</v>
      </c>
    </row>
    <row r="123" spans="1:102" x14ac:dyDescent="0.2">
      <c r="A123" t="s">
        <v>214</v>
      </c>
      <c r="B123" t="s">
        <v>220</v>
      </c>
      <c r="C123" t="s">
        <v>223</v>
      </c>
      <c r="D123">
        <f t="shared" ref="D123:BO123" si="50">D106+D114</f>
        <v>-2.9E-4</v>
      </c>
      <c r="E123">
        <f t="shared" si="50"/>
        <v>-2.9E-4</v>
      </c>
      <c r="F123">
        <f t="shared" si="50"/>
        <v>-2.9E-4</v>
      </c>
      <c r="G123">
        <f t="shared" si="50"/>
        <v>-3.0119999999999997E-2</v>
      </c>
      <c r="H123">
        <f t="shared" si="50"/>
        <v>-2.1659999999999999E-2</v>
      </c>
      <c r="I123">
        <f t="shared" si="50"/>
        <v>-4.5630000000000004E-2</v>
      </c>
      <c r="J123">
        <f t="shared" si="50"/>
        <v>-3.9620000000000002E-2</v>
      </c>
      <c r="K123">
        <f t="shared" si="50"/>
        <v>-3.0010000000000002E-2</v>
      </c>
      <c r="L123">
        <f t="shared" si="50"/>
        <v>-2.0889999999999999E-2</v>
      </c>
      <c r="M123">
        <f t="shared" si="50"/>
        <v>-1.5590000000000001E-2</v>
      </c>
      <c r="N123">
        <f t="shared" si="50"/>
        <v>-2.9049999999999999E-2</v>
      </c>
      <c r="O123">
        <f t="shared" si="50"/>
        <v>-1.8489999999999999E-2</v>
      </c>
      <c r="P123">
        <f t="shared" si="50"/>
        <v>-1.9050000000000001E-2</v>
      </c>
      <c r="Q123">
        <f t="shared" si="50"/>
        <v>-2.2380000000000001E-2</v>
      </c>
      <c r="R123">
        <f t="shared" si="50"/>
        <v>-1.703E-2</v>
      </c>
      <c r="S123">
        <f t="shared" si="50"/>
        <v>-6.0000000000000001E-3</v>
      </c>
      <c r="T123">
        <f t="shared" si="50"/>
        <v>-9.6600000000000002E-3</v>
      </c>
      <c r="U123">
        <f t="shared" si="50"/>
        <v>-4.3830000000000006E-3</v>
      </c>
      <c r="V123">
        <f t="shared" si="50"/>
        <v>-3.8070000000000005E-3</v>
      </c>
      <c r="W123">
        <f t="shared" si="50"/>
        <v>-6.6489999999999995E-3</v>
      </c>
      <c r="X123">
        <f t="shared" si="50"/>
        <v>-8.6119999999999999E-3</v>
      </c>
      <c r="Y123">
        <f t="shared" si="50"/>
        <v>-1.7642999999999999E-2</v>
      </c>
      <c r="Z123">
        <f t="shared" si="50"/>
        <v>-6.4530000000000004E-3</v>
      </c>
      <c r="AA123">
        <f t="shared" si="50"/>
        <v>4.1399999999999998E-4</v>
      </c>
      <c r="AB123">
        <f t="shared" si="50"/>
        <v>-6.9440000000000005E-3</v>
      </c>
      <c r="AC123">
        <f t="shared" si="50"/>
        <v>-3.5659999999999997E-3</v>
      </c>
      <c r="AD123">
        <f t="shared" si="50"/>
        <v>-5.7959999999999999E-3</v>
      </c>
      <c r="AE123">
        <f t="shared" si="50"/>
        <v>-8.036999999999999E-3</v>
      </c>
      <c r="AF123">
        <f t="shared" si="50"/>
        <v>-8.265999999999999E-3</v>
      </c>
      <c r="AG123">
        <f t="shared" si="50"/>
        <v>-9.0279999999999996E-3</v>
      </c>
      <c r="AH123">
        <f t="shared" si="50"/>
        <v>-7.1039999999999992E-3</v>
      </c>
      <c r="AI123">
        <f t="shared" si="50"/>
        <v>-5.5529999999999998E-3</v>
      </c>
      <c r="AJ123">
        <f t="shared" si="50"/>
        <v>-5.1509999999999993E-3</v>
      </c>
      <c r="AK123">
        <f t="shared" si="50"/>
        <v>-8.7430000000000008E-3</v>
      </c>
      <c r="AL123">
        <f t="shared" si="50"/>
        <v>-2.7139999999999998E-3</v>
      </c>
      <c r="AM123">
        <f t="shared" si="50"/>
        <v>-4.6280000000000002E-3</v>
      </c>
      <c r="AN123">
        <f t="shared" si="50"/>
        <v>-2.9640000000000001E-3</v>
      </c>
      <c r="AO123">
        <f t="shared" si="50"/>
        <v>-5.0560000000000006E-3</v>
      </c>
      <c r="AP123">
        <f t="shared" si="50"/>
        <v>-6.8100000000000001E-3</v>
      </c>
      <c r="AQ123">
        <f t="shared" si="50"/>
        <v>-1.9740000000000001E-3</v>
      </c>
      <c r="AR123">
        <f t="shared" si="50"/>
        <v>-9.2389999999999989E-3</v>
      </c>
      <c r="AS123">
        <f t="shared" si="50"/>
        <v>-2.147E-3</v>
      </c>
      <c r="AT123">
        <f t="shared" si="50"/>
        <v>-5.4550000000000006E-3</v>
      </c>
      <c r="AU123">
        <f t="shared" si="50"/>
        <v>-6.3010000000000002E-3</v>
      </c>
      <c r="AV123">
        <f t="shared" si="50"/>
        <v>-6.6620000000000004E-3</v>
      </c>
      <c r="AW123">
        <f t="shared" si="50"/>
        <v>-1.1602999999999999E-2</v>
      </c>
      <c r="AX123">
        <f t="shared" si="50"/>
        <v>-8.1740000000000007E-3</v>
      </c>
      <c r="AY123">
        <f t="shared" si="50"/>
        <v>-6.2449999999999997E-3</v>
      </c>
      <c r="AZ123">
        <f t="shared" si="50"/>
        <v>-6.326E-3</v>
      </c>
      <c r="BA123">
        <f t="shared" si="50"/>
        <v>-7.8070000000000006E-3</v>
      </c>
      <c r="BB123">
        <f t="shared" si="50"/>
        <v>-7.0709999999999992E-3</v>
      </c>
      <c r="BC123">
        <f t="shared" si="50"/>
        <v>-5.7459999999999994E-3</v>
      </c>
      <c r="BD123">
        <f t="shared" si="50"/>
        <v>-5.5730000000000007E-3</v>
      </c>
      <c r="BE123">
        <f t="shared" si="50"/>
        <v>-5.0200000000000002E-3</v>
      </c>
      <c r="BF123">
        <f t="shared" si="50"/>
        <v>-6.7380000000000001E-3</v>
      </c>
      <c r="BG123">
        <f t="shared" si="50"/>
        <v>-7.3819999999999997E-3</v>
      </c>
      <c r="BH123">
        <f t="shared" si="50"/>
        <v>-8.7250000000000001E-3</v>
      </c>
      <c r="BI123">
        <f t="shared" si="50"/>
        <v>-5.2909999999999997E-3</v>
      </c>
      <c r="BJ123">
        <f t="shared" si="50"/>
        <v>-8.7219999999999989E-3</v>
      </c>
      <c r="BK123">
        <f t="shared" si="50"/>
        <v>-1.0859000000000001E-2</v>
      </c>
      <c r="BL123">
        <f t="shared" si="50"/>
        <v>-1.2833000000000001E-2</v>
      </c>
      <c r="BM123">
        <f t="shared" si="50"/>
        <v>-7.1540000000000006E-3</v>
      </c>
      <c r="BN123">
        <f t="shared" si="50"/>
        <v>-5.6569999999999997E-3</v>
      </c>
      <c r="BO123">
        <f t="shared" si="50"/>
        <v>-6.4320000000000002E-3</v>
      </c>
      <c r="BP123">
        <f t="shared" ref="BP123:CX123" si="51">BP106+BP114</f>
        <v>-7.657999999999999E-3</v>
      </c>
      <c r="BQ123">
        <f t="shared" si="51"/>
        <v>-5.679E-3</v>
      </c>
      <c r="BR123">
        <f t="shared" si="51"/>
        <v>-1.0938E-2</v>
      </c>
      <c r="BS123">
        <f t="shared" si="51"/>
        <v>-8.6980000000000009E-3</v>
      </c>
      <c r="BT123">
        <f t="shared" si="51"/>
        <v>-9.8539999999999999E-3</v>
      </c>
      <c r="BU123">
        <f t="shared" si="51"/>
        <v>-1.3368E-2</v>
      </c>
      <c r="BV123">
        <f t="shared" si="51"/>
        <v>-1.1146999999999999E-2</v>
      </c>
      <c r="BW123">
        <f t="shared" si="51"/>
        <v>-1.0442E-2</v>
      </c>
      <c r="BX123">
        <f t="shared" si="51"/>
        <v>-9.3259999999999992E-3</v>
      </c>
      <c r="BY123">
        <f t="shared" si="51"/>
        <v>-9.3229999999999997E-3</v>
      </c>
      <c r="BZ123">
        <f t="shared" si="51"/>
        <v>-1.0848999999999999E-2</v>
      </c>
      <c r="CA123">
        <f t="shared" si="51"/>
        <v>-1.4705000000000001E-2</v>
      </c>
      <c r="CB123">
        <f t="shared" si="51"/>
        <v>-1.0019999999999999E-2</v>
      </c>
      <c r="CC123">
        <f t="shared" si="51"/>
        <v>-1.0414E-2</v>
      </c>
      <c r="CD123">
        <f t="shared" si="51"/>
        <v>-9.6440000000000015E-3</v>
      </c>
      <c r="CE123">
        <f t="shared" si="51"/>
        <v>-8.659E-3</v>
      </c>
      <c r="CF123">
        <f t="shared" si="51"/>
        <v>-1.0784999999999999E-2</v>
      </c>
      <c r="CG123">
        <f t="shared" si="51"/>
        <v>-8.3840000000000008E-3</v>
      </c>
      <c r="CH123">
        <f t="shared" si="51"/>
        <v>-1.1536000000000001E-2</v>
      </c>
      <c r="CI123">
        <f t="shared" si="51"/>
        <v>-7.2589999999999998E-3</v>
      </c>
      <c r="CJ123">
        <f t="shared" si="51"/>
        <v>-8.7667000000000005E-3</v>
      </c>
      <c r="CK123">
        <f t="shared" si="51"/>
        <v>-5.9390000000000007E-3</v>
      </c>
      <c r="CL123">
        <f t="shared" si="51"/>
        <v>-4.4660000000000004E-3</v>
      </c>
      <c r="CM123">
        <f t="shared" si="51"/>
        <v>-1.1144999999999999E-2</v>
      </c>
      <c r="CN123">
        <f t="shared" si="51"/>
        <v>6.11E-4</v>
      </c>
      <c r="CO123">
        <f t="shared" si="51"/>
        <v>-3.0131000000000003E-3</v>
      </c>
      <c r="CP123">
        <f t="shared" si="51"/>
        <v>-9.3019999999999995E-3</v>
      </c>
      <c r="CQ123">
        <f t="shared" si="51"/>
        <v>-7.672E-3</v>
      </c>
      <c r="CR123">
        <f t="shared" si="51"/>
        <v>-3.8349999999999999E-3</v>
      </c>
      <c r="CS123">
        <f t="shared" si="51"/>
        <v>-4.9689999999999995E-3</v>
      </c>
      <c r="CT123">
        <f t="shared" si="51"/>
        <v>-1.2232E-2</v>
      </c>
      <c r="CU123">
        <f t="shared" si="51"/>
        <v>-2.0557000000000002E-2</v>
      </c>
      <c r="CV123">
        <f t="shared" si="51"/>
        <v>-1.2625000000000001E-2</v>
      </c>
      <c r="CW123">
        <f t="shared" si="51"/>
        <v>-2.3230000000000001E-2</v>
      </c>
      <c r="CX123">
        <f t="shared" si="51"/>
        <v>-8.0499999999999999E-3</v>
      </c>
    </row>
    <row r="124" spans="1:102" x14ac:dyDescent="0.2">
      <c r="A124" t="s">
        <v>215</v>
      </c>
      <c r="B124" t="s">
        <v>220</v>
      </c>
      <c r="C124" t="s">
        <v>223</v>
      </c>
      <c r="D124">
        <f t="shared" ref="D124:BO124" si="52">D107+D115</f>
        <v>1.2874E-2</v>
      </c>
      <c r="E124">
        <f t="shared" si="52"/>
        <v>1.2874E-2</v>
      </c>
      <c r="F124">
        <f t="shared" si="52"/>
        <v>1.2874E-2</v>
      </c>
      <c r="G124">
        <f t="shared" si="52"/>
        <v>0.14050000000000001</v>
      </c>
      <c r="H124">
        <f t="shared" si="52"/>
        <v>0.12140000000000001</v>
      </c>
      <c r="I124">
        <f t="shared" si="52"/>
        <v>8.455E-2</v>
      </c>
      <c r="J124">
        <f t="shared" si="52"/>
        <v>2.019E-2</v>
      </c>
      <c r="K124">
        <f t="shared" si="52"/>
        <v>-2.529E-2</v>
      </c>
      <c r="L124">
        <f t="shared" si="52"/>
        <v>-5.9580000000000001E-2</v>
      </c>
      <c r="M124">
        <f t="shared" si="52"/>
        <v>-3.9513E-2</v>
      </c>
      <c r="N124">
        <f t="shared" si="52"/>
        <v>-3.3805999999999996E-2</v>
      </c>
      <c r="O124">
        <f t="shared" si="52"/>
        <v>-2.4810000000000002E-2</v>
      </c>
      <c r="P124">
        <f t="shared" si="52"/>
        <v>-1.6630000000000002E-2</v>
      </c>
      <c r="Q124">
        <f t="shared" si="52"/>
        <v>3.7600000000000003E-3</v>
      </c>
      <c r="R124">
        <f t="shared" si="52"/>
        <v>-1.3399999999999998E-3</v>
      </c>
      <c r="S124">
        <f t="shared" si="52"/>
        <v>-4.7800000000000004E-3</v>
      </c>
      <c r="T124">
        <f t="shared" si="52"/>
        <v>-5.6099999999999987E-3</v>
      </c>
      <c r="U124">
        <f t="shared" si="52"/>
        <v>-6.8000000000000005E-3</v>
      </c>
      <c r="V124">
        <f t="shared" si="52"/>
        <v>-3.7299999999999998E-3</v>
      </c>
      <c r="W124">
        <f t="shared" si="52"/>
        <v>-2.9499999999999995E-3</v>
      </c>
      <c r="X124">
        <f t="shared" si="52"/>
        <v>-5.0000000000000001E-4</v>
      </c>
      <c r="Y124">
        <f t="shared" si="52"/>
        <v>7.7200000000000003E-3</v>
      </c>
      <c r="Z124">
        <f t="shared" si="52"/>
        <v>4.1799999999999997E-3</v>
      </c>
      <c r="AA124">
        <f t="shared" si="52"/>
        <v>6.6400000000000001E-3</v>
      </c>
      <c r="AB124">
        <f t="shared" si="52"/>
        <v>3.7959999999999999E-3</v>
      </c>
      <c r="AC124">
        <f t="shared" si="52"/>
        <v>5.8900000000000003E-3</v>
      </c>
      <c r="AD124">
        <f t="shared" si="52"/>
        <v>7.8300000000000002E-3</v>
      </c>
      <c r="AE124">
        <f t="shared" si="52"/>
        <v>7.5300000000000002E-3</v>
      </c>
      <c r="AF124">
        <f t="shared" si="52"/>
        <v>3.9199999999999999E-3</v>
      </c>
      <c r="AG124">
        <f t="shared" si="52"/>
        <v>3.79E-3</v>
      </c>
      <c r="AH124">
        <f t="shared" si="52"/>
        <v>2.8109999999999997E-3</v>
      </c>
      <c r="AI124">
        <f t="shared" si="52"/>
        <v>3.712E-3</v>
      </c>
      <c r="AJ124">
        <f t="shared" si="52"/>
        <v>1.2490000000000001E-2</v>
      </c>
      <c r="AK124">
        <f t="shared" si="52"/>
        <v>1.9799999999999998E-2</v>
      </c>
      <c r="AL124">
        <f t="shared" si="52"/>
        <v>2.0029999999999999E-2</v>
      </c>
      <c r="AM124">
        <f t="shared" si="52"/>
        <v>2.247E-2</v>
      </c>
      <c r="AN124">
        <f t="shared" si="52"/>
        <v>2.3029999999999998E-2</v>
      </c>
      <c r="AO124">
        <f t="shared" si="52"/>
        <v>1.8970000000000001E-2</v>
      </c>
      <c r="AP124">
        <f t="shared" si="52"/>
        <v>2.0029999999999999E-2</v>
      </c>
      <c r="AQ124">
        <f t="shared" si="52"/>
        <v>2.1519999999999997E-2</v>
      </c>
      <c r="AR124">
        <f t="shared" si="52"/>
        <v>2.0279999999999999E-2</v>
      </c>
      <c r="AS124">
        <f t="shared" si="52"/>
        <v>2.5829999999999999E-2</v>
      </c>
      <c r="AT124">
        <f t="shared" si="52"/>
        <v>2.683E-2</v>
      </c>
      <c r="AU124">
        <f t="shared" si="52"/>
        <v>2.5590000000000002E-2</v>
      </c>
      <c r="AV124">
        <f t="shared" si="52"/>
        <v>2.2540000000000001E-2</v>
      </c>
      <c r="AW124">
        <f t="shared" si="52"/>
        <v>2.4379999999999999E-2</v>
      </c>
      <c r="AX124">
        <f t="shared" si="52"/>
        <v>2.053E-2</v>
      </c>
      <c r="AY124">
        <f t="shared" si="52"/>
        <v>1.9449999999999999E-2</v>
      </c>
      <c r="AZ124">
        <f t="shared" si="52"/>
        <v>2.0670000000000001E-2</v>
      </c>
      <c r="BA124">
        <f t="shared" si="52"/>
        <v>1.8069999999999999E-2</v>
      </c>
      <c r="BB124">
        <f t="shared" si="52"/>
        <v>2.2260000000000002E-2</v>
      </c>
      <c r="BC124">
        <f t="shared" si="52"/>
        <v>2.2350000000000002E-2</v>
      </c>
      <c r="BD124">
        <f t="shared" si="52"/>
        <v>3.193E-2</v>
      </c>
      <c r="BE124">
        <f t="shared" si="52"/>
        <v>3.0780000000000002E-2</v>
      </c>
      <c r="BF124">
        <f t="shared" si="52"/>
        <v>3.134E-2</v>
      </c>
      <c r="BG124">
        <f t="shared" si="52"/>
        <v>3.014E-2</v>
      </c>
      <c r="BH124">
        <f t="shared" si="52"/>
        <v>2.989E-2</v>
      </c>
      <c r="BI124">
        <f t="shared" si="52"/>
        <v>2.7660000000000001E-2</v>
      </c>
      <c r="BJ124">
        <f t="shared" si="52"/>
        <v>2.443E-2</v>
      </c>
      <c r="BK124">
        <f t="shared" si="52"/>
        <v>1.9390000000000001E-2</v>
      </c>
      <c r="BL124">
        <f t="shared" si="52"/>
        <v>1.8970000000000001E-2</v>
      </c>
      <c r="BM124">
        <f t="shared" si="52"/>
        <v>2.18E-2</v>
      </c>
      <c r="BN124">
        <f t="shared" si="52"/>
        <v>2.2170000000000002E-2</v>
      </c>
      <c r="BO124">
        <f t="shared" si="52"/>
        <v>2.1240000000000002E-2</v>
      </c>
      <c r="BP124">
        <f t="shared" ref="BP124:CX124" si="53">BP107+BP115</f>
        <v>2.3579999999999997E-2</v>
      </c>
      <c r="BQ124">
        <f t="shared" si="53"/>
        <v>2.6750000000000003E-2</v>
      </c>
      <c r="BR124">
        <f t="shared" si="53"/>
        <v>2.877E-2</v>
      </c>
      <c r="BS124">
        <f t="shared" si="53"/>
        <v>3.0200000000000001E-2</v>
      </c>
      <c r="BT124">
        <f t="shared" si="53"/>
        <v>2.8389999999999999E-2</v>
      </c>
      <c r="BU124">
        <f t="shared" si="53"/>
        <v>2.835E-2</v>
      </c>
      <c r="BV124">
        <f t="shared" si="53"/>
        <v>1.5350000000000001E-2</v>
      </c>
      <c r="BW124">
        <f t="shared" si="53"/>
        <v>2.2920000000000003E-2</v>
      </c>
      <c r="BX124">
        <f t="shared" si="53"/>
        <v>2.256E-2</v>
      </c>
      <c r="BY124">
        <f t="shared" si="53"/>
        <v>1.856E-2</v>
      </c>
      <c r="BZ124">
        <f t="shared" si="53"/>
        <v>2.034E-2</v>
      </c>
      <c r="CA124">
        <f t="shared" si="53"/>
        <v>1.762E-2</v>
      </c>
      <c r="CB124">
        <f t="shared" si="53"/>
        <v>-4.7699999999999999E-3</v>
      </c>
      <c r="CC124">
        <f t="shared" si="53"/>
        <v>-8.1999999999999955E-4</v>
      </c>
      <c r="CD124">
        <f t="shared" si="53"/>
        <v>-3.3400000000000001E-3</v>
      </c>
      <c r="CE124">
        <f t="shared" si="53"/>
        <v>-4.5400000000000006E-3</v>
      </c>
      <c r="CF124">
        <f t="shared" si="53"/>
        <v>-3.0000000000000512E-5</v>
      </c>
      <c r="CG124">
        <f t="shared" si="53"/>
        <v>3.6199999999999995E-3</v>
      </c>
      <c r="CH124">
        <f t="shared" si="53"/>
        <v>-9.4000000000000073E-4</v>
      </c>
      <c r="CI124">
        <f t="shared" si="53"/>
        <v>-1.7899999999999999E-3</v>
      </c>
      <c r="CJ124">
        <f t="shared" si="53"/>
        <v>-1.6199999999999999E-3</v>
      </c>
      <c r="CK124">
        <f t="shared" si="53"/>
        <v>-7.6300000000000005E-3</v>
      </c>
      <c r="CL124">
        <f t="shared" si="53"/>
        <v>-1.0359999999999999E-2</v>
      </c>
      <c r="CM124">
        <f t="shared" si="53"/>
        <v>-9.3299999999999998E-3</v>
      </c>
      <c r="CN124">
        <f t="shared" si="53"/>
        <v>-2.4799999999999996E-3</v>
      </c>
      <c r="CO124">
        <f t="shared" si="53"/>
        <v>-9.2099999999999994E-3</v>
      </c>
      <c r="CP124">
        <f t="shared" si="53"/>
        <v>-1.0539999999999999E-2</v>
      </c>
      <c r="CQ124">
        <f t="shared" si="53"/>
        <v>-1.7000000000000001E-4</v>
      </c>
      <c r="CR124">
        <f t="shared" si="53"/>
        <v>-3.1099999999999999E-3</v>
      </c>
      <c r="CS124">
        <f t="shared" si="53"/>
        <v>-8.199999999999999E-3</v>
      </c>
      <c r="CT124">
        <f t="shared" si="53"/>
        <v>-1.525E-2</v>
      </c>
      <c r="CU124">
        <f t="shared" si="53"/>
        <v>1.47E-3</v>
      </c>
      <c r="CV124">
        <f t="shared" si="53"/>
        <v>8.7799999999999996E-3</v>
      </c>
      <c r="CW124">
        <f t="shared" si="53"/>
        <v>2.6980000000000001E-2</v>
      </c>
      <c r="CX124">
        <f t="shared" si="53"/>
        <v>2.06E-2</v>
      </c>
    </row>
    <row r="125" spans="1:102" x14ac:dyDescent="0.2">
      <c r="A125" t="s">
        <v>216</v>
      </c>
      <c r="B125" t="s">
        <v>220</v>
      </c>
      <c r="C125" t="s">
        <v>223</v>
      </c>
      <c r="D125">
        <f>D116</f>
        <v>1.8599999999999998E-2</v>
      </c>
      <c r="E125">
        <f t="shared" ref="E125:BP125" si="54">E116</f>
        <v>2.2100000000000002E-2</v>
      </c>
      <c r="F125">
        <f t="shared" si="54"/>
        <v>2.5499999999999998E-2</v>
      </c>
      <c r="G125">
        <f t="shared" si="54"/>
        <v>1.383</v>
      </c>
      <c r="H125">
        <f t="shared" si="54"/>
        <v>0.107</v>
      </c>
      <c r="I125">
        <f t="shared" si="54"/>
        <v>0.57999999999999996</v>
      </c>
      <c r="J125">
        <f t="shared" si="54"/>
        <v>0.439</v>
      </c>
      <c r="K125">
        <f t="shared" si="54"/>
        <v>0.40600000000000003</v>
      </c>
      <c r="L125">
        <f t="shared" si="54"/>
        <v>0.52900000000000003</v>
      </c>
      <c r="M125">
        <f t="shared" si="54"/>
        <v>0.45700000000000002</v>
      </c>
      <c r="N125">
        <f t="shared" si="54"/>
        <v>0.53400000000000003</v>
      </c>
      <c r="O125">
        <f t="shared" si="54"/>
        <v>0.54700000000000004</v>
      </c>
      <c r="P125">
        <f t="shared" si="54"/>
        <v>0.58199999999999996</v>
      </c>
      <c r="Q125">
        <f t="shared" si="54"/>
        <v>0.161</v>
      </c>
      <c r="R125">
        <f t="shared" si="54"/>
        <v>0.11600000000000001</v>
      </c>
      <c r="S125">
        <f t="shared" si="54"/>
        <v>0.39900000000000002</v>
      </c>
      <c r="T125">
        <f t="shared" si="54"/>
        <v>0.38100000000000001</v>
      </c>
      <c r="U125">
        <f t="shared" si="54"/>
        <v>0.215</v>
      </c>
      <c r="V125">
        <f t="shared" si="54"/>
        <v>0.29499999999999998</v>
      </c>
      <c r="W125">
        <f t="shared" si="54"/>
        <v>0.32500000000000001</v>
      </c>
      <c r="X125">
        <f t="shared" si="54"/>
        <v>0.314</v>
      </c>
      <c r="Y125">
        <f t="shared" si="54"/>
        <v>0.14299999999999999</v>
      </c>
      <c r="Z125">
        <f t="shared" si="54"/>
        <v>0.104</v>
      </c>
      <c r="AA125">
        <f t="shared" si="54"/>
        <v>9.9299999999999999E-2</v>
      </c>
      <c r="AB125">
        <f t="shared" si="54"/>
        <v>0.17899999999999999</v>
      </c>
      <c r="AC125">
        <f t="shared" si="54"/>
        <v>0.14599999999999999</v>
      </c>
      <c r="AD125">
        <f t="shared" si="54"/>
        <v>0.16600000000000001</v>
      </c>
      <c r="AE125">
        <f t="shared" si="54"/>
        <v>0.16800000000000001</v>
      </c>
      <c r="AF125">
        <f t="shared" si="54"/>
        <v>0.17599999999999999</v>
      </c>
      <c r="AG125">
        <f t="shared" si="54"/>
        <v>0.155</v>
      </c>
      <c r="AH125">
        <f t="shared" si="54"/>
        <v>0.154</v>
      </c>
      <c r="AI125">
        <f t="shared" si="54"/>
        <v>0.13800000000000001</v>
      </c>
      <c r="AJ125">
        <f t="shared" si="54"/>
        <v>0.13400000000000001</v>
      </c>
      <c r="AK125">
        <f t="shared" si="54"/>
        <v>0.11799999999999999</v>
      </c>
      <c r="AL125">
        <f t="shared" si="54"/>
        <v>0.106</v>
      </c>
      <c r="AM125">
        <f t="shared" si="54"/>
        <v>7.5600000000000001E-2</v>
      </c>
      <c r="AN125">
        <f t="shared" si="54"/>
        <v>6.4899999999999999E-2</v>
      </c>
      <c r="AO125">
        <f t="shared" si="54"/>
        <v>6.0900000000000003E-2</v>
      </c>
      <c r="AP125">
        <f t="shared" si="54"/>
        <v>6.7900000000000002E-2</v>
      </c>
      <c r="AQ125">
        <f t="shared" si="54"/>
        <v>4.2999999999999997E-2</v>
      </c>
      <c r="AR125">
        <f t="shared" si="54"/>
        <v>5.7000000000000002E-2</v>
      </c>
      <c r="AS125">
        <f t="shared" si="54"/>
        <v>5.28E-2</v>
      </c>
      <c r="AT125">
        <f t="shared" si="54"/>
        <v>4.36E-2</v>
      </c>
      <c r="AU125">
        <f t="shared" si="54"/>
        <v>6.8599999999999994E-2</v>
      </c>
      <c r="AV125">
        <f t="shared" si="54"/>
        <v>3.6700000000000003E-2</v>
      </c>
      <c r="AW125">
        <f t="shared" si="54"/>
        <v>3.7199999999999997E-2</v>
      </c>
      <c r="AX125">
        <f t="shared" si="54"/>
        <v>2.4199999999999999E-2</v>
      </c>
      <c r="AY125">
        <f t="shared" si="54"/>
        <v>2.01E-2</v>
      </c>
      <c r="AZ125">
        <f t="shared" si="54"/>
        <v>-7.7499999999999999E-3</v>
      </c>
      <c r="BA125">
        <f t="shared" si="54"/>
        <v>-3.0999999999999999E-3</v>
      </c>
      <c r="BB125">
        <f t="shared" si="54"/>
        <v>-9.8600000000000007E-3</v>
      </c>
      <c r="BC125">
        <f t="shared" si="54"/>
        <v>-2.81E-2</v>
      </c>
      <c r="BD125">
        <f t="shared" si="54"/>
        <v>-3.8300000000000001E-2</v>
      </c>
      <c r="BE125">
        <f t="shared" si="54"/>
        <v>-3.2199999999999999E-2</v>
      </c>
      <c r="BF125">
        <f t="shared" si="54"/>
        <v>-2.87E-2</v>
      </c>
      <c r="BG125">
        <f t="shared" si="54"/>
        <v>-4.48E-2</v>
      </c>
      <c r="BH125">
        <f t="shared" si="54"/>
        <v>-3.0300000000000001E-2</v>
      </c>
      <c r="BI125">
        <f t="shared" si="54"/>
        <v>-1.7100000000000001E-2</v>
      </c>
      <c r="BJ125">
        <f t="shared" si="54"/>
        <v>-8.43E-3</v>
      </c>
      <c r="BK125">
        <f t="shared" si="54"/>
        <v>-2.3E-3</v>
      </c>
      <c r="BL125">
        <f t="shared" si="54"/>
        <v>6.8999999999999999E-3</v>
      </c>
      <c r="BM125">
        <f t="shared" si="54"/>
        <v>1.18E-2</v>
      </c>
      <c r="BN125">
        <f t="shared" si="54"/>
        <v>4.3699999999999998E-3</v>
      </c>
      <c r="BO125">
        <f t="shared" si="54"/>
        <v>1.21E-2</v>
      </c>
      <c r="BP125">
        <f t="shared" si="54"/>
        <v>3.0800000000000001E-2</v>
      </c>
      <c r="BQ125">
        <f t="shared" ref="BQ125:CX125" si="55">BQ116</f>
        <v>4.9799999999999997E-2</v>
      </c>
      <c r="BR125">
        <f t="shared" si="55"/>
        <v>4.7800000000000002E-2</v>
      </c>
      <c r="BS125">
        <f t="shared" si="55"/>
        <v>3.9800000000000002E-4</v>
      </c>
      <c r="BT125">
        <f t="shared" si="55"/>
        <v>-2.7699999999999999E-2</v>
      </c>
      <c r="BU125">
        <f t="shared" si="55"/>
        <v>-5.7700000000000001E-2</v>
      </c>
      <c r="BV125">
        <f t="shared" si="55"/>
        <v>-6.4799999999999996E-2</v>
      </c>
      <c r="BW125">
        <f t="shared" si="55"/>
        <v>-8.0399999999999999E-2</v>
      </c>
      <c r="BX125">
        <f t="shared" si="55"/>
        <v>-8.5599999999999996E-2</v>
      </c>
      <c r="BY125">
        <f t="shared" si="55"/>
        <v>-9.11E-2</v>
      </c>
      <c r="BZ125">
        <f t="shared" si="55"/>
        <v>-8.7300000000000003E-2</v>
      </c>
      <c r="CA125">
        <f t="shared" si="55"/>
        <v>-7.2099999999999997E-2</v>
      </c>
      <c r="CB125">
        <f t="shared" si="55"/>
        <v>-1.77E-2</v>
      </c>
      <c r="CC125">
        <f t="shared" si="55"/>
        <v>-2.4899999999999999E-2</v>
      </c>
      <c r="CD125">
        <f t="shared" si="55"/>
        <v>-4.15E-3</v>
      </c>
      <c r="CE125">
        <f t="shared" si="55"/>
        <v>4.3099999999999996E-3</v>
      </c>
      <c r="CF125">
        <f t="shared" si="55"/>
        <v>1.03E-2</v>
      </c>
      <c r="CG125">
        <f t="shared" si="55"/>
        <v>4.8899999999999999E-2</v>
      </c>
      <c r="CH125">
        <f t="shared" si="55"/>
        <v>6.0999999999999999E-2</v>
      </c>
      <c r="CI125">
        <f t="shared" si="55"/>
        <v>7.1999999999999995E-2</v>
      </c>
      <c r="CJ125">
        <f t="shared" si="55"/>
        <v>3.1099999999999999E-2</v>
      </c>
      <c r="CK125">
        <f t="shared" si="55"/>
        <v>2.9499999999999998E-2</v>
      </c>
      <c r="CL125">
        <f t="shared" si="55"/>
        <v>-0.01</v>
      </c>
      <c r="CM125">
        <f t="shared" si="55"/>
        <v>-4.0399999999999998E-2</v>
      </c>
      <c r="CN125">
        <f t="shared" si="55"/>
        <v>-6.25E-2</v>
      </c>
      <c r="CO125">
        <f t="shared" si="55"/>
        <v>6.7699999999999996E-2</v>
      </c>
      <c r="CP125">
        <f t="shared" si="55"/>
        <v>8.8999999999999996E-2</v>
      </c>
      <c r="CQ125">
        <f t="shared" si="55"/>
        <v>8.72E-2</v>
      </c>
      <c r="CR125">
        <f t="shared" si="55"/>
        <v>6.5699999999999995E-2</v>
      </c>
      <c r="CS125">
        <f t="shared" si="55"/>
        <v>4.7499999999999999E-3</v>
      </c>
      <c r="CT125">
        <f t="shared" si="55"/>
        <v>-2.8799999999999999E-2</v>
      </c>
      <c r="CU125">
        <f t="shared" si="55"/>
        <v>2.8299999999999999E-2</v>
      </c>
      <c r="CV125">
        <f t="shared" si="55"/>
        <v>5.6099999999999997E-2</v>
      </c>
      <c r="CW125">
        <f t="shared" si="55"/>
        <v>0.14599999999999999</v>
      </c>
      <c r="CX125">
        <f t="shared" si="55"/>
        <v>0.28999999999999998</v>
      </c>
    </row>
  </sheetData>
  <phoneticPr fontId="18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49AA6-03B9-8F4F-9854-1FEFE790B1F3}">
  <sheetPr codeName="Planilha8">
    <tabColor theme="0" tint="-0.249977111117893"/>
  </sheetPr>
  <dimension ref="A1:CX125"/>
  <sheetViews>
    <sheetView topLeftCell="A87" zoomScale="130" zoomScaleNormal="130" workbookViewId="0">
      <selection activeCell="D95" sqref="D95"/>
    </sheetView>
  </sheetViews>
  <sheetFormatPr baseColWidth="10" defaultRowHeight="16" x14ac:dyDescent="0.2"/>
  <sheetData>
    <row r="1" spans="1:10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</row>
    <row r="2" spans="1:102" x14ac:dyDescent="0.2">
      <c r="A2" t="s">
        <v>203</v>
      </c>
      <c r="B2" t="s">
        <v>217</v>
      </c>
      <c r="C2" t="s">
        <v>102</v>
      </c>
      <c r="D2">
        <f>'2012_2015'!B2</f>
        <v>0.19900000000000001</v>
      </c>
      <c r="E2">
        <f>'2012_2015'!C2</f>
        <v>0.54900000000000004</v>
      </c>
      <c r="F2">
        <f>'2012_2015'!D2</f>
        <v>0.80400000000000005</v>
      </c>
      <c r="G2">
        <f>'2012_2015'!E2</f>
        <v>0.96</v>
      </c>
      <c r="H2">
        <f>'2012_2015'!F2</f>
        <v>1.1299999999999999</v>
      </c>
      <c r="I2">
        <f>'2012_2015'!G2</f>
        <v>1.1879999999999999</v>
      </c>
      <c r="J2">
        <f>'2012_2015'!H2</f>
        <v>1.3149999999999999</v>
      </c>
      <c r="K2">
        <f>'2012_2015'!I2</f>
        <v>1.3660000000000001</v>
      </c>
      <c r="L2">
        <f>'2012_2015'!J2</f>
        <v>1.4379999999999999</v>
      </c>
      <c r="M2">
        <f>'2012_2015'!K2</f>
        <v>1.5069999999999999</v>
      </c>
      <c r="N2">
        <f>'2012_2015'!L2</f>
        <v>1.5469999999999999</v>
      </c>
      <c r="O2">
        <f>'2012_2015'!M2</f>
        <v>1.5940000000000001</v>
      </c>
      <c r="P2">
        <f>'2012_2015'!N2</f>
        <v>1.6220000000000001</v>
      </c>
      <c r="Q2">
        <f>'2012_2015'!O2</f>
        <v>1.6379999999999999</v>
      </c>
      <c r="R2">
        <f>'2012_2015'!P2</f>
        <v>1.647</v>
      </c>
      <c r="S2">
        <f>'2012_2015'!Q2</f>
        <v>1.6679999999999999</v>
      </c>
      <c r="T2">
        <f>'2012_2015'!R2</f>
        <v>1.694</v>
      </c>
      <c r="U2">
        <f>'2012_2015'!S2</f>
        <v>1.7090000000000001</v>
      </c>
      <c r="V2">
        <f>'2012_2015'!T2</f>
        <v>1.7190000000000001</v>
      </c>
      <c r="W2">
        <f>'2012_2015'!U2</f>
        <v>1.73</v>
      </c>
      <c r="X2">
        <f>'2012_2015'!V2</f>
        <v>1.752</v>
      </c>
      <c r="Y2">
        <f>'2012_2015'!W2</f>
        <v>1.77</v>
      </c>
      <c r="Z2">
        <f>'2012_2015'!X2</f>
        <v>1.7949999999999999</v>
      </c>
      <c r="AA2">
        <f>'2012_2015'!Y2</f>
        <v>1.8069999999999999</v>
      </c>
      <c r="AB2">
        <f>'2012_2015'!Z2</f>
        <v>1.8069999999999999</v>
      </c>
      <c r="AC2">
        <f>'2012_2015'!AA2</f>
        <v>1.8169999999999999</v>
      </c>
      <c r="AD2">
        <f>'2012_2015'!AB2</f>
        <v>1.823</v>
      </c>
      <c r="AE2">
        <f>'2012_2015'!AC2</f>
        <v>1.827</v>
      </c>
      <c r="AF2">
        <f>'2012_2015'!AD2</f>
        <v>1.8380000000000001</v>
      </c>
      <c r="AG2">
        <f>'2012_2015'!AE2</f>
        <v>1.8520000000000001</v>
      </c>
      <c r="AH2">
        <f>'2012_2015'!AF2</f>
        <v>1.8620000000000001</v>
      </c>
      <c r="AI2">
        <f>'2012_2015'!AG2</f>
        <v>1.877</v>
      </c>
      <c r="AJ2">
        <f>'2012_2015'!AH2</f>
        <v>1.903</v>
      </c>
      <c r="AK2">
        <f>'2012_2015'!AI2</f>
        <v>1.9239999999999999</v>
      </c>
      <c r="AL2">
        <f>'2012_2015'!AJ2</f>
        <v>1.9370000000000001</v>
      </c>
      <c r="AM2">
        <f>'2012_2015'!AK2</f>
        <v>1.952</v>
      </c>
      <c r="AN2">
        <f>'2012_2015'!AL2</f>
        <v>1.96</v>
      </c>
      <c r="AO2">
        <f>'2012_2015'!AM2</f>
        <v>1.9750000000000001</v>
      </c>
      <c r="AP2">
        <f>'2012_2015'!AN2</f>
        <v>2.0059999999999998</v>
      </c>
      <c r="AQ2">
        <f>'2012_2015'!AO2</f>
        <v>2.0369999999999999</v>
      </c>
      <c r="AR2">
        <f>'2012_2015'!AP2</f>
        <v>2.0409999999999999</v>
      </c>
      <c r="AS2">
        <f>'2012_2015'!AQ2</f>
        <v>2.048</v>
      </c>
      <c r="AT2">
        <f>'2012_2015'!AR2</f>
        <v>2.0579999999999998</v>
      </c>
      <c r="AU2">
        <f>'2012_2015'!AS2</f>
        <v>2.0720000000000001</v>
      </c>
      <c r="AV2">
        <f>'2012_2015'!AT2</f>
        <v>2.0699999999999998</v>
      </c>
      <c r="AW2">
        <f>'2012_2015'!AU2</f>
        <v>2.097</v>
      </c>
      <c r="AX2">
        <f>'2012_2015'!AV2</f>
        <v>2.121</v>
      </c>
      <c r="AY2">
        <f>'2012_2015'!AW2</f>
        <v>2.1339999999999999</v>
      </c>
      <c r="AZ2">
        <f>'2012_2015'!AX2</f>
        <v>2.1469999999999998</v>
      </c>
      <c r="BA2">
        <f>'2012_2015'!AY2</f>
        <v>2.1629999999999998</v>
      </c>
      <c r="BB2">
        <f>'2012_2015'!AZ2</f>
        <v>2.1970000000000001</v>
      </c>
      <c r="BC2">
        <f>'2012_2015'!BA2</f>
        <v>2.222</v>
      </c>
      <c r="BD2">
        <f>'2012_2015'!BB2</f>
        <v>2.2269999999999999</v>
      </c>
      <c r="BE2">
        <f>'2012_2015'!BC2</f>
        <v>2.2469999999999999</v>
      </c>
      <c r="BF2">
        <f>'2012_2015'!BD2</f>
        <v>2.2450000000000001</v>
      </c>
      <c r="BG2">
        <f>'2012_2015'!BE2</f>
        <v>2.2719999999999998</v>
      </c>
      <c r="BH2">
        <f>'2012_2015'!BF2</f>
        <v>2.2890000000000001</v>
      </c>
      <c r="BI2">
        <f>'2012_2015'!BG2</f>
        <v>2.3130000000000002</v>
      </c>
      <c r="BJ2">
        <f>'2012_2015'!BH2</f>
        <v>2.3290000000000002</v>
      </c>
      <c r="BK2">
        <f>'2012_2015'!BI2</f>
        <v>2.35</v>
      </c>
      <c r="BL2">
        <f>'2012_2015'!BJ2</f>
        <v>2.3610000000000002</v>
      </c>
      <c r="BM2">
        <f>'2012_2015'!BK2</f>
        <v>2.3879999999999999</v>
      </c>
      <c r="BN2">
        <f>'2012_2015'!BL2</f>
        <v>2.41</v>
      </c>
      <c r="BO2">
        <f>'2012_2015'!BM2</f>
        <v>2.4409999999999998</v>
      </c>
      <c r="BP2">
        <f>'2012_2015'!BN2</f>
        <v>2.4500000000000002</v>
      </c>
      <c r="BQ2">
        <f>'2012_2015'!BO2</f>
        <v>2.472</v>
      </c>
      <c r="BR2">
        <f>'2012_2015'!BP2</f>
        <v>2.476</v>
      </c>
      <c r="BS2">
        <f>'2012_2015'!BQ2</f>
        <v>2.5110000000000001</v>
      </c>
      <c r="BT2">
        <f>'2012_2015'!BR2</f>
        <v>2.5310000000000001</v>
      </c>
      <c r="BU2">
        <f>'2012_2015'!BS2</f>
        <v>2.5529999999999999</v>
      </c>
      <c r="BV2">
        <f>'2012_2015'!BT2</f>
        <v>2.577</v>
      </c>
      <c r="BW2">
        <f>'2012_2015'!BU2</f>
        <v>2.6070000000000002</v>
      </c>
      <c r="BX2">
        <f>'2012_2015'!BV2</f>
        <v>2.6360000000000001</v>
      </c>
      <c r="BY2">
        <f>'2012_2015'!BW2</f>
        <v>2.657</v>
      </c>
      <c r="BZ2">
        <f>'2012_2015'!BX2</f>
        <v>2.71</v>
      </c>
      <c r="CA2">
        <f>'2012_2015'!BY2</f>
        <v>2.7410000000000001</v>
      </c>
      <c r="CB2">
        <f>'2012_2015'!BZ2</f>
        <v>2.7519999999999998</v>
      </c>
      <c r="CC2">
        <f>'2012_2015'!CA2</f>
        <v>2.7789999999999999</v>
      </c>
      <c r="CD2">
        <f>'2012_2015'!CB2</f>
        <v>2.7829999999999999</v>
      </c>
      <c r="CE2">
        <f>'2012_2015'!CC2</f>
        <v>2.84</v>
      </c>
      <c r="CF2">
        <f>'2012_2015'!CD2</f>
        <v>2.879</v>
      </c>
      <c r="CG2">
        <f>'2012_2015'!CE2</f>
        <v>2.9359999999999999</v>
      </c>
      <c r="CH2">
        <f>'2012_2015'!CF2</f>
        <v>2.9710000000000001</v>
      </c>
      <c r="CI2">
        <f>'2012_2015'!CG2</f>
        <v>3.0030000000000001</v>
      </c>
      <c r="CJ2">
        <f>'2012_2015'!CH2</f>
        <v>3.0510000000000002</v>
      </c>
      <c r="CK2">
        <f>'2012_2015'!CI2</f>
        <v>3.1179999999999999</v>
      </c>
      <c r="CL2">
        <f>'2012_2015'!CJ2</f>
        <v>3.1560000000000001</v>
      </c>
      <c r="CM2">
        <f>'2012_2015'!CK2</f>
        <v>3.1930000000000001</v>
      </c>
      <c r="CN2">
        <f>'2012_2015'!CL2</f>
        <v>3.27</v>
      </c>
      <c r="CO2">
        <f>'2012_2015'!CM2</f>
        <v>3.3290000000000002</v>
      </c>
      <c r="CP2">
        <f>'2012_2015'!CN2</f>
        <v>3.427</v>
      </c>
      <c r="CQ2">
        <f>'2012_2015'!CO2</f>
        <v>3.4489999999999998</v>
      </c>
      <c r="CR2">
        <f>'2012_2015'!CP2</f>
        <v>3.5630000000000002</v>
      </c>
      <c r="CS2">
        <f>'2012_2015'!CQ2</f>
        <v>3.66</v>
      </c>
      <c r="CT2">
        <f>'2012_2015'!CR2</f>
        <v>3.7480000000000002</v>
      </c>
      <c r="CU2">
        <f>'2012_2015'!CS2</f>
        <v>3.8969999999999998</v>
      </c>
      <c r="CV2">
        <f>'2012_2015'!CT2</f>
        <v>4.0730000000000004</v>
      </c>
      <c r="CW2">
        <f>'2012_2015'!CU2</f>
        <v>4.2949999999999999</v>
      </c>
      <c r="CX2">
        <f>'2012_2015'!CV2</f>
        <v>4.6260000000000003</v>
      </c>
    </row>
    <row r="3" spans="1:102" x14ac:dyDescent="0.2">
      <c r="A3" t="s">
        <v>204</v>
      </c>
      <c r="B3" t="s">
        <v>217</v>
      </c>
      <c r="C3" t="s">
        <v>102</v>
      </c>
      <c r="D3">
        <f>'2012_2015'!B3</f>
        <v>-7.6999999999999999E-2</v>
      </c>
      <c r="E3">
        <f>'2012_2015'!C3</f>
        <v>0.30599999999999999</v>
      </c>
      <c r="F3">
        <f>'2012_2015'!D3</f>
        <v>0.53600000000000003</v>
      </c>
      <c r="G3">
        <f>'2012_2015'!E3</f>
        <v>0.69099999999999995</v>
      </c>
      <c r="H3">
        <f>'2012_2015'!F3</f>
        <v>0.85599999999999998</v>
      </c>
      <c r="I3">
        <f>'2012_2015'!G3</f>
        <v>0.96299999999999997</v>
      </c>
      <c r="J3">
        <f>'2012_2015'!H3</f>
        <v>1.0529999999999999</v>
      </c>
      <c r="K3">
        <f>'2012_2015'!I3</f>
        <v>1.149</v>
      </c>
      <c r="L3">
        <f>'2012_2015'!J3</f>
        <v>1.22</v>
      </c>
      <c r="M3">
        <f>'2012_2015'!K3</f>
        <v>1.3089999999999999</v>
      </c>
      <c r="N3">
        <f>'2012_2015'!L3</f>
        <v>1.34</v>
      </c>
      <c r="O3">
        <f>'2012_2015'!M3</f>
        <v>1.389</v>
      </c>
      <c r="P3">
        <f>'2012_2015'!N3</f>
        <v>1.4359999999999999</v>
      </c>
      <c r="Q3">
        <f>'2012_2015'!O3</f>
        <v>1.468</v>
      </c>
      <c r="R3">
        <f>'2012_2015'!P3</f>
        <v>1.5089999999999999</v>
      </c>
      <c r="S3">
        <f>'2012_2015'!Q3</f>
        <v>1.536</v>
      </c>
      <c r="T3">
        <f>'2012_2015'!R3</f>
        <v>1.5549999999999999</v>
      </c>
      <c r="U3">
        <f>'2012_2015'!S3</f>
        <v>1.5680000000000001</v>
      </c>
      <c r="V3">
        <f>'2012_2015'!T3</f>
        <v>1.59</v>
      </c>
      <c r="W3">
        <f>'2012_2015'!U3</f>
        <v>1.6060000000000001</v>
      </c>
      <c r="X3">
        <f>'2012_2015'!V3</f>
        <v>1.627</v>
      </c>
      <c r="Y3">
        <f>'2012_2015'!W3</f>
        <v>1.641</v>
      </c>
      <c r="Z3">
        <f>'2012_2015'!X3</f>
        <v>1.653</v>
      </c>
      <c r="AA3">
        <f>'2012_2015'!Y3</f>
        <v>1.671</v>
      </c>
      <c r="AB3">
        <f>'2012_2015'!Z3</f>
        <v>1.6850000000000001</v>
      </c>
      <c r="AC3">
        <f>'2012_2015'!AA3</f>
        <v>1.7050000000000001</v>
      </c>
      <c r="AD3">
        <f>'2012_2015'!AB3</f>
        <v>1.7210000000000001</v>
      </c>
      <c r="AE3">
        <f>'2012_2015'!AC3</f>
        <v>1.736</v>
      </c>
      <c r="AF3">
        <f>'2012_2015'!AD3</f>
        <v>1.7470000000000001</v>
      </c>
      <c r="AG3">
        <f>'2012_2015'!AE3</f>
        <v>1.756</v>
      </c>
      <c r="AH3">
        <f>'2012_2015'!AF3</f>
        <v>1.7669999999999999</v>
      </c>
      <c r="AI3">
        <f>'2012_2015'!AG3</f>
        <v>1.7769999999999999</v>
      </c>
      <c r="AJ3">
        <f>'2012_2015'!AH3</f>
        <v>1.7869999999999999</v>
      </c>
      <c r="AK3">
        <f>'2012_2015'!AI3</f>
        <v>1.81</v>
      </c>
      <c r="AL3">
        <f>'2012_2015'!AJ3</f>
        <v>1.825</v>
      </c>
      <c r="AM3">
        <f>'2012_2015'!AK3</f>
        <v>1.8380000000000001</v>
      </c>
      <c r="AN3">
        <f>'2012_2015'!AL3</f>
        <v>1.8540000000000001</v>
      </c>
      <c r="AO3">
        <f>'2012_2015'!AM3</f>
        <v>1.87</v>
      </c>
      <c r="AP3">
        <f>'2012_2015'!AN3</f>
        <v>1.8879999999999999</v>
      </c>
      <c r="AQ3">
        <f>'2012_2015'!AO3</f>
        <v>1.899</v>
      </c>
      <c r="AR3">
        <f>'2012_2015'!AP3</f>
        <v>1.9139999999999999</v>
      </c>
      <c r="AS3">
        <f>'2012_2015'!AQ3</f>
        <v>1.93</v>
      </c>
      <c r="AT3">
        <f>'2012_2015'!AR3</f>
        <v>1.952</v>
      </c>
      <c r="AU3">
        <f>'2012_2015'!AS3</f>
        <v>1.9690000000000001</v>
      </c>
      <c r="AV3">
        <f>'2012_2015'!AT3</f>
        <v>1.9930000000000001</v>
      </c>
      <c r="AW3">
        <f>'2012_2015'!AU3</f>
        <v>2.0099999999999998</v>
      </c>
      <c r="AX3">
        <f>'2012_2015'!AV3</f>
        <v>2.028</v>
      </c>
      <c r="AY3">
        <f>'2012_2015'!AW3</f>
        <v>2.0299999999999998</v>
      </c>
      <c r="AZ3">
        <f>'2012_2015'!AX3</f>
        <v>2.0390000000000001</v>
      </c>
      <c r="BA3">
        <f>'2012_2015'!AY3</f>
        <v>2.0579999999999998</v>
      </c>
      <c r="BB3">
        <f>'2012_2015'!AZ3</f>
        <v>2.0699999999999998</v>
      </c>
      <c r="BC3">
        <f>'2012_2015'!BA3</f>
        <v>2.093</v>
      </c>
      <c r="BD3">
        <f>'2012_2015'!BB3</f>
        <v>2.1179999999999999</v>
      </c>
      <c r="BE3">
        <f>'2012_2015'!BC3</f>
        <v>2.1379999999999999</v>
      </c>
      <c r="BF3">
        <f>'2012_2015'!BD3</f>
        <v>2.15</v>
      </c>
      <c r="BG3">
        <f>'2012_2015'!BE3</f>
        <v>2.17</v>
      </c>
      <c r="BH3">
        <f>'2012_2015'!BF3</f>
        <v>2.2010000000000001</v>
      </c>
      <c r="BI3">
        <f>'2012_2015'!BG3</f>
        <v>2.2240000000000002</v>
      </c>
      <c r="BJ3">
        <f>'2012_2015'!BH3</f>
        <v>2.2450000000000001</v>
      </c>
      <c r="BK3">
        <f>'2012_2015'!BI3</f>
        <v>2.246</v>
      </c>
      <c r="BL3">
        <f>'2012_2015'!BJ3</f>
        <v>2.2589999999999999</v>
      </c>
      <c r="BM3">
        <f>'2012_2015'!BK3</f>
        <v>2.2850000000000001</v>
      </c>
      <c r="BN3">
        <f>'2012_2015'!BL3</f>
        <v>2.3109999999999999</v>
      </c>
      <c r="BO3">
        <f>'2012_2015'!BM3</f>
        <v>2.3290000000000002</v>
      </c>
      <c r="BP3">
        <f>'2012_2015'!BN3</f>
        <v>2.3479999999999999</v>
      </c>
      <c r="BQ3">
        <f>'2012_2015'!BO3</f>
        <v>2.3860000000000001</v>
      </c>
      <c r="BR3">
        <f>'2012_2015'!BP3</f>
        <v>2.4140000000000001</v>
      </c>
      <c r="BS3">
        <f>'2012_2015'!BQ3</f>
        <v>2.4369999999999998</v>
      </c>
      <c r="BT3">
        <f>'2012_2015'!BR3</f>
        <v>2.4409999999999998</v>
      </c>
      <c r="BU3">
        <f>'2012_2015'!BS3</f>
        <v>2.468</v>
      </c>
      <c r="BV3">
        <f>'2012_2015'!BT3</f>
        <v>2.5030000000000001</v>
      </c>
      <c r="BW3">
        <f>'2012_2015'!BU3</f>
        <v>2.5310000000000001</v>
      </c>
      <c r="BX3">
        <f>'2012_2015'!BV3</f>
        <v>2.5499999999999998</v>
      </c>
      <c r="BY3">
        <f>'2012_2015'!BW3</f>
        <v>2.5859999999999999</v>
      </c>
      <c r="BZ3">
        <f>'2012_2015'!BX3</f>
        <v>2.6269999999999998</v>
      </c>
      <c r="CA3">
        <f>'2012_2015'!BY3</f>
        <v>2.66</v>
      </c>
      <c r="CB3">
        <f>'2012_2015'!BZ3</f>
        <v>2.6669999999999998</v>
      </c>
      <c r="CC3">
        <f>'2012_2015'!CA3</f>
        <v>2.7189999999999999</v>
      </c>
      <c r="CD3">
        <f>'2012_2015'!CB3</f>
        <v>2.7490000000000001</v>
      </c>
      <c r="CE3">
        <f>'2012_2015'!CC3</f>
        <v>2.7810000000000001</v>
      </c>
      <c r="CF3">
        <f>'2012_2015'!CD3</f>
        <v>2.8330000000000002</v>
      </c>
      <c r="CG3">
        <f>'2012_2015'!CE3</f>
        <v>2.8690000000000002</v>
      </c>
      <c r="CH3">
        <f>'2012_2015'!CF3</f>
        <v>2.9329999999999998</v>
      </c>
      <c r="CI3">
        <f>'2012_2015'!CG3</f>
        <v>2.9420000000000002</v>
      </c>
      <c r="CJ3">
        <f>'2012_2015'!CH3</f>
        <v>2.9780000000000002</v>
      </c>
      <c r="CK3">
        <f>'2012_2015'!CI3</f>
        <v>3.0419999999999998</v>
      </c>
      <c r="CL3">
        <f>'2012_2015'!CJ3</f>
        <v>3.117</v>
      </c>
      <c r="CM3">
        <f>'2012_2015'!CK3</f>
        <v>3.1720000000000002</v>
      </c>
      <c r="CN3">
        <f>'2012_2015'!CL3</f>
        <v>3.222</v>
      </c>
      <c r="CO3">
        <f>'2012_2015'!CM3</f>
        <v>3.2970000000000002</v>
      </c>
      <c r="CP3">
        <f>'2012_2015'!CN3</f>
        <v>3.3460000000000001</v>
      </c>
      <c r="CQ3">
        <f>'2012_2015'!CO3</f>
        <v>3.4289999999999998</v>
      </c>
      <c r="CR3">
        <f>'2012_2015'!CP3</f>
        <v>3.5230000000000001</v>
      </c>
      <c r="CS3">
        <f>'2012_2015'!CQ3</f>
        <v>3.65</v>
      </c>
      <c r="CT3">
        <f>'2012_2015'!CR3</f>
        <v>3.7469999999999999</v>
      </c>
      <c r="CU3">
        <f>'2012_2015'!CS3</f>
        <v>3.8639999999999999</v>
      </c>
      <c r="CV3">
        <f>'2012_2015'!CT3</f>
        <v>4.0410000000000004</v>
      </c>
      <c r="CW3">
        <f>'2012_2015'!CU3</f>
        <v>4.2939999999999996</v>
      </c>
      <c r="CX3">
        <f>'2012_2015'!CV3</f>
        <v>4.609</v>
      </c>
    </row>
    <row r="4" spans="1:102" x14ac:dyDescent="0.2">
      <c r="A4" t="s">
        <v>205</v>
      </c>
      <c r="B4" t="s">
        <v>217</v>
      </c>
      <c r="C4" t="s">
        <v>102</v>
      </c>
      <c r="D4">
        <f>'2012_2015'!B4</f>
        <v>0.27600000000000002</v>
      </c>
      <c r="E4">
        <f>'2012_2015'!C4</f>
        <v>0.24299999999999999</v>
      </c>
      <c r="F4">
        <f>'2012_2015'!D4</f>
        <v>0.26800000000000002</v>
      </c>
      <c r="G4">
        <f>'2012_2015'!E4</f>
        <v>0.26900000000000002</v>
      </c>
      <c r="H4">
        <f>'2012_2015'!F4</f>
        <v>0.27400000000000002</v>
      </c>
      <c r="I4">
        <f>'2012_2015'!G4</f>
        <v>0.22600000000000001</v>
      </c>
      <c r="J4">
        <f>'2012_2015'!H4</f>
        <v>0.26200000000000001</v>
      </c>
      <c r="K4">
        <f>'2012_2015'!I4</f>
        <v>0.217</v>
      </c>
      <c r="L4">
        <f>'2012_2015'!J4</f>
        <v>0.218</v>
      </c>
      <c r="M4">
        <f>'2012_2015'!K4</f>
        <v>0.19800000000000001</v>
      </c>
      <c r="N4">
        <f>'2012_2015'!L4</f>
        <v>0.20699999999999999</v>
      </c>
      <c r="O4">
        <f>'2012_2015'!M4</f>
        <v>0.20499999999999999</v>
      </c>
      <c r="P4">
        <f>'2012_2015'!N4</f>
        <v>0.187</v>
      </c>
      <c r="Q4">
        <f>'2012_2015'!O4</f>
        <v>0.17</v>
      </c>
      <c r="R4">
        <f>'2012_2015'!P4</f>
        <v>0.13800000000000001</v>
      </c>
      <c r="S4">
        <f>'2012_2015'!Q4</f>
        <v>0.13300000000000001</v>
      </c>
      <c r="T4">
        <f>'2012_2015'!R4</f>
        <v>0.14000000000000001</v>
      </c>
      <c r="U4">
        <f>'2012_2015'!S4</f>
        <v>0.14099999999999999</v>
      </c>
      <c r="V4">
        <f>'2012_2015'!T4</f>
        <v>0.129</v>
      </c>
      <c r="W4">
        <f>'2012_2015'!U4</f>
        <v>0.124</v>
      </c>
      <c r="X4">
        <f>'2012_2015'!V4</f>
        <v>0.125</v>
      </c>
      <c r="Y4">
        <f>'2012_2015'!W4</f>
        <v>0.129</v>
      </c>
      <c r="Z4">
        <f>'2012_2015'!X4</f>
        <v>0.14099999999999999</v>
      </c>
      <c r="AA4">
        <f>'2012_2015'!Y4</f>
        <v>0.13600000000000001</v>
      </c>
      <c r="AB4">
        <f>'2012_2015'!Z4</f>
        <v>0.122</v>
      </c>
      <c r="AC4">
        <f>'2012_2015'!AA4</f>
        <v>0.112</v>
      </c>
      <c r="AD4">
        <f>'2012_2015'!AB4</f>
        <v>0.10199999999999999</v>
      </c>
      <c r="AE4">
        <f>'2012_2015'!AC4</f>
        <v>9.0700000000000003E-2</v>
      </c>
      <c r="AF4">
        <f>'2012_2015'!AD4</f>
        <v>9.0999999999999998E-2</v>
      </c>
      <c r="AG4">
        <f>'2012_2015'!AE4</f>
        <v>9.6500000000000002E-2</v>
      </c>
      <c r="AH4">
        <f>'2012_2015'!AF4</f>
        <v>9.4399999999999998E-2</v>
      </c>
      <c r="AI4">
        <f>'2012_2015'!AG4</f>
        <v>9.9900000000000003E-2</v>
      </c>
      <c r="AJ4">
        <f>'2012_2015'!AH4</f>
        <v>0.11600000000000001</v>
      </c>
      <c r="AK4">
        <f>'2012_2015'!AI4</f>
        <v>0.114</v>
      </c>
      <c r="AL4">
        <f>'2012_2015'!AJ4</f>
        <v>0.112</v>
      </c>
      <c r="AM4">
        <f>'2012_2015'!AK4</f>
        <v>0.114</v>
      </c>
      <c r="AN4">
        <f>'2012_2015'!AL4</f>
        <v>0.106</v>
      </c>
      <c r="AO4">
        <f>'2012_2015'!AM4</f>
        <v>0.104</v>
      </c>
      <c r="AP4">
        <f>'2012_2015'!AN4</f>
        <v>0.11799999999999999</v>
      </c>
      <c r="AQ4">
        <f>'2012_2015'!AO4</f>
        <v>0.13800000000000001</v>
      </c>
      <c r="AR4">
        <f>'2012_2015'!AP4</f>
        <v>0.127</v>
      </c>
      <c r="AS4">
        <f>'2012_2015'!AQ4</f>
        <v>0.11799999999999999</v>
      </c>
      <c r="AT4">
        <f>'2012_2015'!AR4</f>
        <v>0.106</v>
      </c>
      <c r="AU4">
        <f>'2012_2015'!AS4</f>
        <v>0.10299999999999999</v>
      </c>
      <c r="AV4">
        <f>'2012_2015'!AT4</f>
        <v>7.6799999999999993E-2</v>
      </c>
      <c r="AW4">
        <f>'2012_2015'!AU4</f>
        <v>8.6300000000000002E-2</v>
      </c>
      <c r="AX4">
        <f>'2012_2015'!AV4</f>
        <v>9.3200000000000005E-2</v>
      </c>
      <c r="AY4">
        <f>'2012_2015'!AW4</f>
        <v>0.104</v>
      </c>
      <c r="AZ4">
        <f>'2012_2015'!AX4</f>
        <v>0.108</v>
      </c>
      <c r="BA4">
        <f>'2012_2015'!AY4</f>
        <v>0.105</v>
      </c>
      <c r="BB4">
        <f>'2012_2015'!AZ4</f>
        <v>0.127</v>
      </c>
      <c r="BC4">
        <f>'2012_2015'!BA4</f>
        <v>0.129</v>
      </c>
      <c r="BD4">
        <f>'2012_2015'!BB4</f>
        <v>0.109</v>
      </c>
      <c r="BE4">
        <f>'2012_2015'!BC4</f>
        <v>0.11</v>
      </c>
      <c r="BF4">
        <f>'2012_2015'!BD4</f>
        <v>9.4899999999999998E-2</v>
      </c>
      <c r="BG4">
        <f>'2012_2015'!BE4</f>
        <v>0.10199999999999999</v>
      </c>
      <c r="BH4">
        <f>'2012_2015'!BF4</f>
        <v>8.7400000000000005E-2</v>
      </c>
      <c r="BI4">
        <f>'2012_2015'!BG4</f>
        <v>8.8900000000000007E-2</v>
      </c>
      <c r="BJ4">
        <f>'2012_2015'!BH4</f>
        <v>8.3900000000000002E-2</v>
      </c>
      <c r="BK4">
        <f>'2012_2015'!BI4</f>
        <v>0.104</v>
      </c>
      <c r="BL4">
        <f>'2012_2015'!BJ4</f>
        <v>0.10199999999999999</v>
      </c>
      <c r="BM4">
        <f>'2012_2015'!BK4</f>
        <v>0.10299999999999999</v>
      </c>
      <c r="BN4">
        <f>'2012_2015'!BL4</f>
        <v>9.9299999999999999E-2</v>
      </c>
      <c r="BO4">
        <f>'2012_2015'!BM4</f>
        <v>0.112</v>
      </c>
      <c r="BP4">
        <f>'2012_2015'!BN4</f>
        <v>0.10199999999999999</v>
      </c>
      <c r="BQ4">
        <f>'2012_2015'!BO4</f>
        <v>8.5599999999999996E-2</v>
      </c>
      <c r="BR4">
        <f>'2012_2015'!BP4</f>
        <v>6.2100000000000002E-2</v>
      </c>
      <c r="BS4">
        <f>'2012_2015'!BQ4</f>
        <v>7.3700000000000002E-2</v>
      </c>
      <c r="BT4">
        <f>'2012_2015'!BR4</f>
        <v>8.9599999999999999E-2</v>
      </c>
      <c r="BU4">
        <f>'2012_2015'!BS4</f>
        <v>8.4599999999999995E-2</v>
      </c>
      <c r="BV4">
        <f>'2012_2015'!BT4</f>
        <v>7.3999999999999996E-2</v>
      </c>
      <c r="BW4">
        <f>'2012_2015'!BU4</f>
        <v>7.6300000000000007E-2</v>
      </c>
      <c r="BX4">
        <f>'2012_2015'!BV4</f>
        <v>8.6900000000000005E-2</v>
      </c>
      <c r="BY4">
        <f>'2012_2015'!BW4</f>
        <v>7.0900000000000005E-2</v>
      </c>
      <c r="BZ4">
        <f>'2012_2015'!BX4</f>
        <v>8.2600000000000007E-2</v>
      </c>
      <c r="CA4">
        <f>'2012_2015'!BY4</f>
        <v>8.1000000000000003E-2</v>
      </c>
      <c r="CB4">
        <f>'2012_2015'!BZ4</f>
        <v>8.4599999999999995E-2</v>
      </c>
      <c r="CC4">
        <f>'2012_2015'!CA4</f>
        <v>6.0100000000000001E-2</v>
      </c>
      <c r="CD4">
        <f>'2012_2015'!CB4</f>
        <v>3.44E-2</v>
      </c>
      <c r="CE4">
        <f>'2012_2015'!CC4</f>
        <v>5.8900000000000001E-2</v>
      </c>
      <c r="CF4">
        <f>'2012_2015'!CD4</f>
        <v>4.6899999999999997E-2</v>
      </c>
      <c r="CG4">
        <f>'2012_2015'!CE4</f>
        <v>6.6900000000000001E-2</v>
      </c>
      <c r="CH4">
        <f>'2012_2015'!CF4</f>
        <v>3.7699999999999997E-2</v>
      </c>
      <c r="CI4">
        <f>'2012_2015'!CG4</f>
        <v>6.0900000000000003E-2</v>
      </c>
      <c r="CJ4">
        <f>'2012_2015'!CH4</f>
        <v>7.3499999999999996E-2</v>
      </c>
      <c r="CK4">
        <f>'2012_2015'!CI4</f>
        <v>7.6300000000000007E-2</v>
      </c>
      <c r="CL4">
        <f>'2012_2015'!CJ4</f>
        <v>3.9300000000000002E-2</v>
      </c>
      <c r="CM4">
        <f>'2012_2015'!CK4</f>
        <v>2.1000000000000001E-2</v>
      </c>
      <c r="CN4">
        <f>'2012_2015'!CL4</f>
        <v>4.7699999999999999E-2</v>
      </c>
      <c r="CO4">
        <f>'2012_2015'!CM4</f>
        <v>3.1800000000000002E-2</v>
      </c>
      <c r="CP4">
        <f>'2012_2015'!CN4</f>
        <v>8.1299999999999997E-2</v>
      </c>
      <c r="CQ4">
        <f>'2012_2015'!CO4</f>
        <v>1.9800000000000002E-2</v>
      </c>
      <c r="CR4">
        <f>'2012_2015'!CP4</f>
        <v>0.04</v>
      </c>
      <c r="CS4">
        <f>'2012_2015'!CQ4</f>
        <v>9.8600000000000007E-3</v>
      </c>
      <c r="CT4">
        <f>'2012_2015'!CR4</f>
        <v>8.1499999999999997E-4</v>
      </c>
      <c r="CU4">
        <f>'2012_2015'!CS4</f>
        <v>3.2399999999999998E-2</v>
      </c>
      <c r="CV4">
        <f>'2012_2015'!CT4</f>
        <v>3.2399999999999998E-2</v>
      </c>
      <c r="CW4">
        <f>'2012_2015'!CU4</f>
        <v>1.24E-3</v>
      </c>
      <c r="CX4">
        <f>'2012_2015'!CV4</f>
        <v>1.7299999999999999E-2</v>
      </c>
    </row>
    <row r="5" spans="1:102" x14ac:dyDescent="0.2">
      <c r="A5" t="s">
        <v>206</v>
      </c>
      <c r="B5" t="s">
        <v>217</v>
      </c>
      <c r="C5" t="s">
        <v>102</v>
      </c>
      <c r="D5">
        <f>'2012_2015'!B5</f>
        <v>4.8300000000000003E-2</v>
      </c>
      <c r="E5">
        <f>'2012_2015'!C5</f>
        <v>6.7599999999999993E-2</v>
      </c>
      <c r="F5">
        <f>'2012_2015'!D5</f>
        <v>6.7599999999999993E-2</v>
      </c>
      <c r="G5">
        <f>'2012_2015'!E5</f>
        <v>6.7400000000000002E-2</v>
      </c>
      <c r="H5">
        <f>'2012_2015'!F5</f>
        <v>6.3399999999999998E-2</v>
      </c>
      <c r="I5">
        <f>'2012_2015'!G5</f>
        <v>6.8099999999999994E-2</v>
      </c>
      <c r="J5">
        <f>'2012_2015'!H5</f>
        <v>6.6400000000000001E-2</v>
      </c>
      <c r="K5">
        <f>'2012_2015'!I5</f>
        <v>6.2100000000000002E-2</v>
      </c>
      <c r="L5">
        <f>'2012_2015'!J5</f>
        <v>6.3700000000000007E-2</v>
      </c>
      <c r="M5">
        <f>'2012_2015'!K5</f>
        <v>5.11E-2</v>
      </c>
      <c r="N5">
        <f>'2012_2015'!L5</f>
        <v>4.9399999999999999E-2</v>
      </c>
      <c r="O5">
        <f>'2012_2015'!M5</f>
        <v>4.6699999999999998E-2</v>
      </c>
      <c r="P5">
        <f>'2012_2015'!N5</f>
        <v>4.2700000000000002E-2</v>
      </c>
      <c r="Q5">
        <f>'2012_2015'!O5</f>
        <v>3.8600000000000002E-2</v>
      </c>
      <c r="R5">
        <f>'2012_2015'!P5</f>
        <v>3.2199999999999999E-2</v>
      </c>
      <c r="S5">
        <f>'2012_2015'!Q5</f>
        <v>2.93E-2</v>
      </c>
      <c r="T5">
        <f>'2012_2015'!R5</f>
        <v>2.8000000000000001E-2</v>
      </c>
      <c r="U5">
        <f>'2012_2015'!S5</f>
        <v>2.75E-2</v>
      </c>
      <c r="V5">
        <f>'2012_2015'!T5</f>
        <v>2.6200000000000001E-2</v>
      </c>
      <c r="W5">
        <f>'2012_2015'!U5</f>
        <v>2.5700000000000001E-2</v>
      </c>
      <c r="X5">
        <f>'2012_2015'!V5</f>
        <v>2.52E-2</v>
      </c>
      <c r="Y5">
        <f>'2012_2015'!W5</f>
        <v>2.53E-2</v>
      </c>
      <c r="Z5">
        <f>'2012_2015'!X5</f>
        <v>2.52E-2</v>
      </c>
      <c r="AA5">
        <f>'2012_2015'!Y5</f>
        <v>2.52E-2</v>
      </c>
      <c r="AB5">
        <f>'2012_2015'!Z5</f>
        <v>2.52E-2</v>
      </c>
      <c r="AC5">
        <f>'2012_2015'!AA5</f>
        <v>2.4799999999999999E-2</v>
      </c>
      <c r="AD5">
        <f>'2012_2015'!AB5</f>
        <v>2.47E-2</v>
      </c>
      <c r="AE5">
        <f>'2012_2015'!AC5</f>
        <v>2.47E-2</v>
      </c>
      <c r="AF5">
        <f>'2012_2015'!AD5</f>
        <v>2.5000000000000001E-2</v>
      </c>
      <c r="AG5">
        <f>'2012_2015'!AE5</f>
        <v>2.5600000000000001E-2</v>
      </c>
      <c r="AH5">
        <f>'2012_2015'!AF5</f>
        <v>2.63E-2</v>
      </c>
      <c r="AI5">
        <f>'2012_2015'!AG5</f>
        <v>2.6800000000000001E-2</v>
      </c>
      <c r="AJ5">
        <f>'2012_2015'!AH5</f>
        <v>2.7400000000000001E-2</v>
      </c>
      <c r="AK5">
        <f>'2012_2015'!AI5</f>
        <v>2.8500000000000001E-2</v>
      </c>
      <c r="AL5">
        <f>'2012_2015'!AJ5</f>
        <v>2.9399999999999999E-2</v>
      </c>
      <c r="AM5">
        <f>'2012_2015'!AK5</f>
        <v>3.0200000000000001E-2</v>
      </c>
      <c r="AN5">
        <f>'2012_2015'!AL5</f>
        <v>3.1199999999999999E-2</v>
      </c>
      <c r="AO5">
        <f>'2012_2015'!AM5</f>
        <v>3.2500000000000001E-2</v>
      </c>
      <c r="AP5">
        <f>'2012_2015'!AN5</f>
        <v>3.3399999999999999E-2</v>
      </c>
      <c r="AQ5">
        <f>'2012_2015'!AO5</f>
        <v>3.4500000000000003E-2</v>
      </c>
      <c r="AR5">
        <f>'2012_2015'!AP5</f>
        <v>3.5200000000000002E-2</v>
      </c>
      <c r="AS5">
        <f>'2012_2015'!AQ5</f>
        <v>3.61E-2</v>
      </c>
      <c r="AT5">
        <f>'2012_2015'!AR5</f>
        <v>3.6700000000000003E-2</v>
      </c>
      <c r="AU5">
        <f>'2012_2015'!AS5</f>
        <v>3.6799999999999999E-2</v>
      </c>
      <c r="AV5">
        <f>'2012_2015'!AT5</f>
        <v>3.6700000000000003E-2</v>
      </c>
      <c r="AW5">
        <f>'2012_2015'!AU5</f>
        <v>3.6499999999999998E-2</v>
      </c>
      <c r="AX5">
        <f>'2012_2015'!AV5</f>
        <v>3.6700000000000003E-2</v>
      </c>
      <c r="AY5">
        <f>'2012_2015'!AW5</f>
        <v>3.7600000000000001E-2</v>
      </c>
      <c r="AZ5">
        <f>'2012_2015'!AX5</f>
        <v>3.7999999999999999E-2</v>
      </c>
      <c r="BA5">
        <f>'2012_2015'!AY5</f>
        <v>3.9199999999999999E-2</v>
      </c>
      <c r="BB5">
        <f>'2012_2015'!AZ5</f>
        <v>4.02E-2</v>
      </c>
      <c r="BC5">
        <f>'2012_2015'!BA5</f>
        <v>4.2500000000000003E-2</v>
      </c>
      <c r="BD5">
        <f>'2012_2015'!BB5</f>
        <v>4.4999999999999998E-2</v>
      </c>
      <c r="BE5">
        <f>'2012_2015'!BC5</f>
        <v>4.6600000000000003E-2</v>
      </c>
      <c r="BF5">
        <f>'2012_2015'!BD5</f>
        <v>4.7600000000000003E-2</v>
      </c>
      <c r="BG5">
        <f>'2012_2015'!BE5</f>
        <v>4.8000000000000001E-2</v>
      </c>
      <c r="BH5">
        <f>'2012_2015'!BF5</f>
        <v>4.7399999999999998E-2</v>
      </c>
      <c r="BI5">
        <f>'2012_2015'!BG5</f>
        <v>4.6699999999999998E-2</v>
      </c>
      <c r="BJ5">
        <f>'2012_2015'!BH5</f>
        <v>4.6600000000000003E-2</v>
      </c>
      <c r="BK5">
        <f>'2012_2015'!BI5</f>
        <v>4.6800000000000001E-2</v>
      </c>
      <c r="BL5">
        <f>'2012_2015'!BJ5</f>
        <v>4.7E-2</v>
      </c>
      <c r="BM5">
        <f>'2012_2015'!BK5</f>
        <v>4.8800000000000003E-2</v>
      </c>
      <c r="BN5">
        <f>'2012_2015'!BL5</f>
        <v>5.11E-2</v>
      </c>
      <c r="BO5">
        <f>'2012_2015'!BM5</f>
        <v>5.3100000000000001E-2</v>
      </c>
      <c r="BP5">
        <f>'2012_2015'!BN5</f>
        <v>5.4300000000000001E-2</v>
      </c>
      <c r="BQ5">
        <f>'2012_2015'!BO5</f>
        <v>5.5199999999999999E-2</v>
      </c>
      <c r="BR5">
        <f>'2012_2015'!BP5</f>
        <v>5.4699999999999999E-2</v>
      </c>
      <c r="BS5">
        <f>'2012_2015'!BQ5</f>
        <v>5.4699999999999999E-2</v>
      </c>
      <c r="BT5">
        <f>'2012_2015'!BR5</f>
        <v>5.4699999999999999E-2</v>
      </c>
      <c r="BU5">
        <f>'2012_2015'!BS5</f>
        <v>5.6000000000000001E-2</v>
      </c>
      <c r="BV5">
        <f>'2012_2015'!BT5</f>
        <v>5.9400000000000001E-2</v>
      </c>
      <c r="BW5">
        <f>'2012_2015'!BU5</f>
        <v>6.2399999999999997E-2</v>
      </c>
      <c r="BX5">
        <f>'2012_2015'!BV5</f>
        <v>6.4399999999999999E-2</v>
      </c>
      <c r="BY5">
        <f>'2012_2015'!BW5</f>
        <v>6.6299999999999998E-2</v>
      </c>
      <c r="BZ5">
        <f>'2012_2015'!BX5</f>
        <v>6.5500000000000003E-2</v>
      </c>
      <c r="CA5">
        <f>'2012_2015'!BY5</f>
        <v>6.4899999999999999E-2</v>
      </c>
      <c r="CB5">
        <f>'2012_2015'!BZ5</f>
        <v>6.4000000000000001E-2</v>
      </c>
      <c r="CC5">
        <f>'2012_2015'!CA5</f>
        <v>6.7199999999999996E-2</v>
      </c>
      <c r="CD5">
        <f>'2012_2015'!CB5</f>
        <v>7.1300000000000002E-2</v>
      </c>
      <c r="CE5">
        <f>'2012_2015'!CC5</f>
        <v>7.46E-2</v>
      </c>
      <c r="CF5">
        <f>'2012_2015'!CD5</f>
        <v>7.7600000000000002E-2</v>
      </c>
      <c r="CG5">
        <f>'2012_2015'!CE5</f>
        <v>7.3700000000000002E-2</v>
      </c>
      <c r="CH5">
        <f>'2012_2015'!CF5</f>
        <v>6.8000000000000005E-2</v>
      </c>
      <c r="CI5">
        <f>'2012_2015'!CG5</f>
        <v>6.6600000000000006E-2</v>
      </c>
      <c r="CJ5">
        <f>'2012_2015'!CH5</f>
        <v>7.0400000000000004E-2</v>
      </c>
      <c r="CK5">
        <f>'2012_2015'!CI5</f>
        <v>8.7800000000000003E-2</v>
      </c>
      <c r="CL5">
        <f>'2012_2015'!CJ5</f>
        <v>8.48E-2</v>
      </c>
      <c r="CM5">
        <f>'2012_2015'!CK5</f>
        <v>0.08</v>
      </c>
      <c r="CN5">
        <f>'2012_2015'!CL5</f>
        <v>8.2799999999999999E-2</v>
      </c>
      <c r="CO5">
        <f>'2012_2015'!CM5</f>
        <v>8.1799999999999998E-2</v>
      </c>
      <c r="CP5">
        <f>'2012_2015'!CN5</f>
        <v>7.5399999999999995E-2</v>
      </c>
      <c r="CQ5">
        <f>'2012_2015'!CO5</f>
        <v>8.6400000000000005E-2</v>
      </c>
      <c r="CR5">
        <f>'2012_2015'!CP5</f>
        <v>9.5200000000000007E-2</v>
      </c>
      <c r="CS5">
        <f>'2012_2015'!CQ5</f>
        <v>8.1600000000000006E-2</v>
      </c>
      <c r="CT5">
        <f>'2012_2015'!CR5</f>
        <v>9.4399999999999998E-2</v>
      </c>
      <c r="CU5">
        <f>'2012_2015'!CS5</f>
        <v>7.1900000000000006E-2</v>
      </c>
      <c r="CV5">
        <f>'2012_2015'!CT5</f>
        <v>8.3199999999999996E-2</v>
      </c>
      <c r="CW5">
        <f>'2012_2015'!CU5</f>
        <v>7.9500000000000001E-2</v>
      </c>
      <c r="CX5">
        <f>'2012_2015'!CV5</f>
        <v>6.9900000000000004E-2</v>
      </c>
    </row>
    <row r="6" spans="1:102" x14ac:dyDescent="0.2">
      <c r="A6" t="s">
        <v>207</v>
      </c>
      <c r="B6" t="s">
        <v>217</v>
      </c>
      <c r="C6" t="s">
        <v>102</v>
      </c>
      <c r="D6">
        <f>'2012_2015'!B6</f>
        <v>0.22800000000000001</v>
      </c>
      <c r="E6">
        <f>'2012_2015'!C6</f>
        <v>0.17499999999999999</v>
      </c>
      <c r="F6">
        <f>'2012_2015'!D6</f>
        <v>0.20100000000000001</v>
      </c>
      <c r="G6">
        <f>'2012_2015'!E6</f>
        <v>0.20200000000000001</v>
      </c>
      <c r="H6">
        <f>'2012_2015'!F6</f>
        <v>0.21099999999999999</v>
      </c>
      <c r="I6">
        <f>'2012_2015'!G6</f>
        <v>0.157</v>
      </c>
      <c r="J6">
        <f>'2012_2015'!H6</f>
        <v>0.19600000000000001</v>
      </c>
      <c r="K6">
        <f>'2012_2015'!I6</f>
        <v>0.155</v>
      </c>
      <c r="L6">
        <f>'2012_2015'!J6</f>
        <v>0.154</v>
      </c>
      <c r="M6">
        <f>'2012_2015'!K6</f>
        <v>0.14699999999999999</v>
      </c>
      <c r="N6">
        <f>'2012_2015'!L6</f>
        <v>0.157</v>
      </c>
      <c r="O6">
        <f>'2012_2015'!M6</f>
        <v>0.159</v>
      </c>
      <c r="P6">
        <f>'2012_2015'!N6</f>
        <v>0.14399999999999999</v>
      </c>
      <c r="Q6">
        <f>'2012_2015'!O6</f>
        <v>0.13100000000000001</v>
      </c>
      <c r="R6">
        <f>'2012_2015'!P6</f>
        <v>0.106</v>
      </c>
      <c r="S6">
        <f>'2012_2015'!Q6</f>
        <v>0.10299999999999999</v>
      </c>
      <c r="T6">
        <f>'2012_2015'!R6</f>
        <v>0.112</v>
      </c>
      <c r="U6">
        <f>'2012_2015'!S6</f>
        <v>0.113</v>
      </c>
      <c r="V6">
        <f>'2012_2015'!T6</f>
        <v>0.10199999999999999</v>
      </c>
      <c r="W6">
        <f>'2012_2015'!U6</f>
        <v>9.8599999999999993E-2</v>
      </c>
      <c r="X6">
        <f>'2012_2015'!V6</f>
        <v>9.9400000000000002E-2</v>
      </c>
      <c r="Y6">
        <f>'2012_2015'!W6</f>
        <v>0.104</v>
      </c>
      <c r="Z6">
        <f>'2012_2015'!X6</f>
        <v>0.11600000000000001</v>
      </c>
      <c r="AA6">
        <f>'2012_2015'!Y6</f>
        <v>0.111</v>
      </c>
      <c r="AB6">
        <f>'2012_2015'!Z6</f>
        <v>9.6600000000000005E-2</v>
      </c>
      <c r="AC6">
        <f>'2012_2015'!AA6</f>
        <v>8.7300000000000003E-2</v>
      </c>
      <c r="AD6">
        <f>'2012_2015'!AB6</f>
        <v>7.6999999999999999E-2</v>
      </c>
      <c r="AE6">
        <f>'2012_2015'!AC6</f>
        <v>6.6000000000000003E-2</v>
      </c>
      <c r="AF6">
        <f>'2012_2015'!AD6</f>
        <v>6.59E-2</v>
      </c>
      <c r="AG6">
        <f>'2012_2015'!AE6</f>
        <v>7.0900000000000005E-2</v>
      </c>
      <c r="AH6">
        <f>'2012_2015'!AF6</f>
        <v>6.8199999999999997E-2</v>
      </c>
      <c r="AI6">
        <f>'2012_2015'!AG6</f>
        <v>7.2999999999999995E-2</v>
      </c>
      <c r="AJ6">
        <f>'2012_2015'!AH6</f>
        <v>8.8300000000000003E-2</v>
      </c>
      <c r="AK6">
        <f>'2012_2015'!AI6</f>
        <v>8.5599999999999996E-2</v>
      </c>
      <c r="AL6">
        <f>'2012_2015'!AJ6</f>
        <v>8.3000000000000004E-2</v>
      </c>
      <c r="AM6">
        <f>'2012_2015'!AK6</f>
        <v>8.3599999999999994E-2</v>
      </c>
      <c r="AN6">
        <f>'2012_2015'!AL6</f>
        <v>7.4499999999999997E-2</v>
      </c>
      <c r="AO6">
        <f>'2012_2015'!AM6</f>
        <v>7.1800000000000003E-2</v>
      </c>
      <c r="AP6">
        <f>'2012_2015'!AN6</f>
        <v>8.4699999999999998E-2</v>
      </c>
      <c r="AQ6">
        <f>'2012_2015'!AO6</f>
        <v>0.104</v>
      </c>
      <c r="AR6">
        <f>'2012_2015'!AP6</f>
        <v>9.1800000000000007E-2</v>
      </c>
      <c r="AS6">
        <f>'2012_2015'!AQ6</f>
        <v>8.1500000000000003E-2</v>
      </c>
      <c r="AT6">
        <f>'2012_2015'!AR6</f>
        <v>6.9099999999999995E-2</v>
      </c>
      <c r="AU6">
        <f>'2012_2015'!AS6</f>
        <v>6.6500000000000004E-2</v>
      </c>
      <c r="AV6">
        <f>'2012_2015'!AT6</f>
        <v>4.0099999999999997E-2</v>
      </c>
      <c r="AW6">
        <f>'2012_2015'!AU6</f>
        <v>4.9700000000000001E-2</v>
      </c>
      <c r="AX6">
        <f>'2012_2015'!AV6</f>
        <v>5.6599999999999998E-2</v>
      </c>
      <c r="AY6">
        <f>'2012_2015'!AW6</f>
        <v>6.6600000000000006E-2</v>
      </c>
      <c r="AZ6">
        <f>'2012_2015'!AX6</f>
        <v>6.9699999999999998E-2</v>
      </c>
      <c r="BA6">
        <f>'2012_2015'!AY6</f>
        <v>6.5299999999999997E-2</v>
      </c>
      <c r="BB6">
        <f>'2012_2015'!AZ6</f>
        <v>8.72E-2</v>
      </c>
      <c r="BC6">
        <f>'2012_2015'!BA6</f>
        <v>8.6699999999999999E-2</v>
      </c>
      <c r="BD6">
        <f>'2012_2015'!BB6</f>
        <v>6.4100000000000004E-2</v>
      </c>
      <c r="BE6">
        <f>'2012_2015'!BC6</f>
        <v>6.2899999999999998E-2</v>
      </c>
      <c r="BF6">
        <f>'2012_2015'!BD6</f>
        <v>4.7300000000000002E-2</v>
      </c>
      <c r="BG6">
        <f>'2012_2015'!BE6</f>
        <v>5.3800000000000001E-2</v>
      </c>
      <c r="BH6">
        <f>'2012_2015'!BF6</f>
        <v>0.04</v>
      </c>
      <c r="BI6">
        <f>'2012_2015'!BG6</f>
        <v>4.2200000000000001E-2</v>
      </c>
      <c r="BJ6">
        <f>'2012_2015'!BH6</f>
        <v>3.73E-2</v>
      </c>
      <c r="BK6">
        <f>'2012_2015'!BI6</f>
        <v>5.7500000000000002E-2</v>
      </c>
      <c r="BL6">
        <f>'2012_2015'!BJ6</f>
        <v>5.4899999999999997E-2</v>
      </c>
      <c r="BM6">
        <f>'2012_2015'!BK6</f>
        <v>5.3699999999999998E-2</v>
      </c>
      <c r="BN6">
        <f>'2012_2015'!BL6</f>
        <v>4.82E-2</v>
      </c>
      <c r="BO6">
        <f>'2012_2015'!BM6</f>
        <v>5.8799999999999998E-2</v>
      </c>
      <c r="BP6">
        <f>'2012_2015'!BN6</f>
        <v>4.7399999999999998E-2</v>
      </c>
      <c r="BQ6">
        <f>'2012_2015'!BO6</f>
        <v>3.04E-2</v>
      </c>
      <c r="BR6">
        <f>'2012_2015'!BP6</f>
        <v>7.3600000000000002E-3</v>
      </c>
      <c r="BS6">
        <f>'2012_2015'!BQ6</f>
        <v>1.9E-2</v>
      </c>
      <c r="BT6">
        <f>'2012_2015'!BR6</f>
        <v>3.49E-2</v>
      </c>
      <c r="BU6">
        <f>'2012_2015'!BS6</f>
        <v>2.86E-2</v>
      </c>
      <c r="BV6">
        <f>'2012_2015'!BT6</f>
        <v>1.46E-2</v>
      </c>
      <c r="BW6">
        <f>'2012_2015'!BU6</f>
        <v>1.3899999999999999E-2</v>
      </c>
      <c r="BX6">
        <f>'2012_2015'!BV6</f>
        <v>2.2499999999999999E-2</v>
      </c>
      <c r="BY6">
        <f>'2012_2015'!BW6</f>
        <v>4.5799999999999999E-3</v>
      </c>
      <c r="BZ6">
        <f>'2012_2015'!BX6</f>
        <v>1.7100000000000001E-2</v>
      </c>
      <c r="CA6">
        <f>'2012_2015'!BY6</f>
        <v>1.61E-2</v>
      </c>
      <c r="CB6">
        <f>'2012_2015'!BZ6</f>
        <v>2.06E-2</v>
      </c>
      <c r="CC6">
        <f>'2012_2015'!CA6</f>
        <v>-7.1599999999999997E-3</v>
      </c>
      <c r="CD6">
        <f>'2012_2015'!CB6</f>
        <v>-3.6900000000000002E-2</v>
      </c>
      <c r="CE6">
        <f>'2012_2015'!CC6</f>
        <v>-1.5699999999999999E-2</v>
      </c>
      <c r="CF6">
        <f>'2012_2015'!CD6</f>
        <v>-3.0700000000000002E-2</v>
      </c>
      <c r="CG6">
        <f>'2012_2015'!CE6</f>
        <v>-6.7299999999999999E-3</v>
      </c>
      <c r="CH6">
        <f>'2012_2015'!CF6</f>
        <v>-3.0300000000000001E-2</v>
      </c>
      <c r="CI6">
        <f>'2012_2015'!CG6</f>
        <v>-5.6899999999999997E-3</v>
      </c>
      <c r="CJ6">
        <f>'2012_2015'!CH6</f>
        <v>3.1099999999999999E-3</v>
      </c>
      <c r="CK6">
        <f>'2012_2015'!CI6</f>
        <v>-1.15E-2</v>
      </c>
      <c r="CL6">
        <f>'2012_2015'!CJ6</f>
        <v>-4.5600000000000002E-2</v>
      </c>
      <c r="CM6">
        <f>'2012_2015'!CK6</f>
        <v>-5.8999999999999997E-2</v>
      </c>
      <c r="CN6">
        <f>'2012_2015'!CL6</f>
        <v>-3.5099999999999999E-2</v>
      </c>
      <c r="CO6">
        <f>'2012_2015'!CM6</f>
        <v>-4.99E-2</v>
      </c>
      <c r="CP6">
        <f>'2012_2015'!CN6</f>
        <v>5.8500000000000002E-3</v>
      </c>
      <c r="CQ6">
        <f>'2012_2015'!CO6</f>
        <v>-6.6600000000000006E-2</v>
      </c>
      <c r="CR6">
        <f>'2012_2015'!CP6</f>
        <v>-5.5199999999999999E-2</v>
      </c>
      <c r="CS6">
        <f>'2012_2015'!CQ6</f>
        <v>-7.1800000000000003E-2</v>
      </c>
      <c r="CT6">
        <f>'2012_2015'!CR6</f>
        <v>-9.3600000000000003E-2</v>
      </c>
      <c r="CU6">
        <f>'2012_2015'!CS6</f>
        <v>-3.9600000000000003E-2</v>
      </c>
      <c r="CV6">
        <f>'2012_2015'!CT6</f>
        <v>-5.0799999999999998E-2</v>
      </c>
      <c r="CW6">
        <f>'2012_2015'!CU6</f>
        <v>-7.8299999999999995E-2</v>
      </c>
      <c r="CX6">
        <f>'2012_2015'!CV6</f>
        <v>-5.2499999999999998E-2</v>
      </c>
    </row>
    <row r="7" spans="1:102" x14ac:dyDescent="0.2">
      <c r="A7" t="s">
        <v>208</v>
      </c>
      <c r="B7" t="s">
        <v>218</v>
      </c>
      <c r="C7" t="s">
        <v>102</v>
      </c>
      <c r="D7">
        <f>'2012_2015'!B7</f>
        <v>2.3199999999999998E-2</v>
      </c>
      <c r="E7">
        <f>'2012_2015'!C7</f>
        <v>3.2099999999999997E-2</v>
      </c>
      <c r="F7">
        <f>'2012_2015'!D7</f>
        <v>3.0700000000000002E-2</v>
      </c>
      <c r="G7">
        <f>'2012_2015'!E7</f>
        <v>2.9399999999999999E-2</v>
      </c>
      <c r="H7">
        <f>'2012_2015'!F7</f>
        <v>2.75E-2</v>
      </c>
      <c r="I7">
        <f>'2012_2015'!G7</f>
        <v>2.9700000000000001E-2</v>
      </c>
      <c r="J7">
        <f>'2012_2015'!H7</f>
        <v>2.9000000000000001E-2</v>
      </c>
      <c r="K7">
        <f>'2012_2015'!I7</f>
        <v>2.7199999999999998E-2</v>
      </c>
      <c r="L7">
        <f>'2012_2015'!J7</f>
        <v>2.81E-2</v>
      </c>
      <c r="M7">
        <f>'2012_2015'!K7</f>
        <v>2.2499999999999999E-2</v>
      </c>
      <c r="N7">
        <f>'2012_2015'!L7</f>
        <v>2.2100000000000002E-2</v>
      </c>
      <c r="O7">
        <f>'2012_2015'!M7</f>
        <v>2.1000000000000001E-2</v>
      </c>
      <c r="P7">
        <f>'2012_2015'!N7</f>
        <v>1.9400000000000001E-2</v>
      </c>
      <c r="Q7">
        <f>'2012_2015'!O7</f>
        <v>1.7999999999999999E-2</v>
      </c>
      <c r="R7">
        <f>'2012_2015'!P7</f>
        <v>1.54E-2</v>
      </c>
      <c r="S7">
        <f>'2012_2015'!Q7</f>
        <v>1.4200000000000001E-2</v>
      </c>
      <c r="T7">
        <f>'2012_2015'!R7</f>
        <v>1.38E-2</v>
      </c>
      <c r="U7">
        <f>'2012_2015'!S7</f>
        <v>1.38E-2</v>
      </c>
      <c r="V7">
        <f>'2012_2015'!T7</f>
        <v>1.3599999999999999E-2</v>
      </c>
      <c r="W7">
        <f>'2012_2015'!U7</f>
        <v>1.3599999999999999E-2</v>
      </c>
      <c r="X7">
        <f>'2012_2015'!V7</f>
        <v>1.37E-2</v>
      </c>
      <c r="Y7">
        <f>'2012_2015'!W7</f>
        <v>1.4E-2</v>
      </c>
      <c r="Z7">
        <f>'2012_2015'!X7</f>
        <v>1.4200000000000001E-2</v>
      </c>
      <c r="AA7">
        <f>'2012_2015'!Y7</f>
        <v>1.46E-2</v>
      </c>
      <c r="AB7">
        <f>'2012_2015'!Z7</f>
        <v>1.47E-2</v>
      </c>
      <c r="AC7">
        <f>'2012_2015'!AA7</f>
        <v>1.4800000000000001E-2</v>
      </c>
      <c r="AD7">
        <f>'2012_2015'!AB7</f>
        <v>1.49E-2</v>
      </c>
      <c r="AE7">
        <f>'2012_2015'!AC7</f>
        <v>1.5100000000000001E-2</v>
      </c>
      <c r="AF7">
        <f>'2012_2015'!AD7</f>
        <v>1.55E-2</v>
      </c>
      <c r="AG7">
        <f>'2012_2015'!AE7</f>
        <v>1.61E-2</v>
      </c>
      <c r="AH7">
        <f>'2012_2015'!AF7</f>
        <v>1.6799999999999999E-2</v>
      </c>
      <c r="AI7">
        <f>'2012_2015'!AG7</f>
        <v>1.7500000000000002E-2</v>
      </c>
      <c r="AJ7">
        <f>'2012_2015'!AH7</f>
        <v>1.8200000000000001E-2</v>
      </c>
      <c r="AK7">
        <f>'2012_2015'!AI7</f>
        <v>1.9099999999999999E-2</v>
      </c>
      <c r="AL7">
        <f>'2012_2015'!AJ7</f>
        <v>0.02</v>
      </c>
      <c r="AM7">
        <f>'2012_2015'!AK7</f>
        <v>2.07E-2</v>
      </c>
      <c r="AN7">
        <f>'2012_2015'!AL7</f>
        <v>2.1499999999999998E-2</v>
      </c>
      <c r="AO7">
        <f>'2012_2015'!AM7</f>
        <v>2.2800000000000001E-2</v>
      </c>
      <c r="AP7">
        <f>'2012_2015'!AN7</f>
        <v>2.3699999999999999E-2</v>
      </c>
      <c r="AQ7">
        <f>'2012_2015'!AO7</f>
        <v>2.46E-2</v>
      </c>
      <c r="AR7">
        <f>'2012_2015'!AP7</f>
        <v>2.5399999999999999E-2</v>
      </c>
      <c r="AS7">
        <f>'2012_2015'!AQ7</f>
        <v>2.63E-2</v>
      </c>
      <c r="AT7">
        <f>'2012_2015'!AR7</f>
        <v>2.69E-2</v>
      </c>
      <c r="AU7">
        <f>'2012_2015'!AS7</f>
        <v>2.7099999999999999E-2</v>
      </c>
      <c r="AV7">
        <f>'2012_2015'!AT7</f>
        <v>2.7300000000000001E-2</v>
      </c>
      <c r="AW7">
        <f>'2012_2015'!AU7</f>
        <v>2.7400000000000001E-2</v>
      </c>
      <c r="AX7">
        <f>'2012_2015'!AV7</f>
        <v>2.76E-2</v>
      </c>
      <c r="AY7">
        <f>'2012_2015'!AW7</f>
        <v>2.8400000000000002E-2</v>
      </c>
      <c r="AZ7">
        <f>'2012_2015'!AX7</f>
        <v>2.8899999999999999E-2</v>
      </c>
      <c r="BA7">
        <f>'2012_2015'!AY7</f>
        <v>0.03</v>
      </c>
      <c r="BB7">
        <f>'2012_2015'!AZ7</f>
        <v>3.09E-2</v>
      </c>
      <c r="BC7">
        <f>'2012_2015'!BA7</f>
        <v>3.2899999999999999E-2</v>
      </c>
      <c r="BD7">
        <f>'2012_2015'!BB7</f>
        <v>3.5000000000000003E-2</v>
      </c>
      <c r="BE7">
        <f>'2012_2015'!BC7</f>
        <v>3.6499999999999998E-2</v>
      </c>
      <c r="BF7">
        <f>'2012_2015'!BD7</f>
        <v>3.7499999999999999E-2</v>
      </c>
      <c r="BG7">
        <f>'2012_2015'!BE7</f>
        <v>3.7999999999999999E-2</v>
      </c>
      <c r="BH7">
        <f>'2012_2015'!BF7</f>
        <v>3.78E-2</v>
      </c>
      <c r="BI7">
        <f>'2012_2015'!BG7</f>
        <v>3.7400000000000003E-2</v>
      </c>
      <c r="BJ7">
        <f>'2012_2015'!BH7</f>
        <v>3.7499999999999999E-2</v>
      </c>
      <c r="BK7">
        <f>'2012_2015'!BI7</f>
        <v>3.7600000000000001E-2</v>
      </c>
      <c r="BL7">
        <f>'2012_2015'!BJ7</f>
        <v>3.7999999999999999E-2</v>
      </c>
      <c r="BM7">
        <f>'2012_2015'!BK7</f>
        <v>3.9699999999999999E-2</v>
      </c>
      <c r="BN7">
        <f>'2012_2015'!BL7</f>
        <v>4.1799999999999997E-2</v>
      </c>
      <c r="BO7">
        <f>'2012_2015'!BM7</f>
        <v>4.3499999999999997E-2</v>
      </c>
      <c r="BP7">
        <f>'2012_2015'!BN7</f>
        <v>4.4900000000000002E-2</v>
      </c>
      <c r="BQ7">
        <f>'2012_2015'!BO7</f>
        <v>4.5900000000000003E-2</v>
      </c>
      <c r="BR7">
        <f>'2012_2015'!BP7</f>
        <v>4.58E-2</v>
      </c>
      <c r="BS7">
        <f>'2012_2015'!BQ7</f>
        <v>4.58E-2</v>
      </c>
      <c r="BT7">
        <f>'2012_2015'!BR7</f>
        <v>4.5999999999999999E-2</v>
      </c>
      <c r="BU7">
        <f>'2012_2015'!BS7</f>
        <v>4.7399999999999998E-2</v>
      </c>
      <c r="BV7">
        <f>'2012_2015'!BT7</f>
        <v>5.0700000000000002E-2</v>
      </c>
      <c r="BW7">
        <f>'2012_2015'!BU7</f>
        <v>5.3499999999999999E-2</v>
      </c>
      <c r="BX7">
        <f>'2012_2015'!BV7</f>
        <v>5.5300000000000002E-2</v>
      </c>
      <c r="BY7">
        <f>'2012_2015'!BW7</f>
        <v>5.7099999999999998E-2</v>
      </c>
      <c r="BZ7">
        <f>'2012_2015'!BX7</f>
        <v>5.6899999999999999E-2</v>
      </c>
      <c r="CA7">
        <f>'2012_2015'!BY7</f>
        <v>5.6500000000000002E-2</v>
      </c>
      <c r="CB7">
        <f>'2012_2015'!BZ7</f>
        <v>5.5800000000000002E-2</v>
      </c>
      <c r="CC7">
        <f>'2012_2015'!CA7</f>
        <v>5.8999999999999997E-2</v>
      </c>
      <c r="CD7">
        <f>'2012_2015'!CB7</f>
        <v>6.2700000000000006E-2</v>
      </c>
      <c r="CE7">
        <f>'2012_2015'!CC7</f>
        <v>6.6000000000000003E-2</v>
      </c>
      <c r="CF7">
        <f>'2012_2015'!CD7</f>
        <v>6.88E-2</v>
      </c>
      <c r="CG7">
        <f>'2012_2015'!CE7</f>
        <v>6.5699999999999995E-2</v>
      </c>
      <c r="CH7">
        <f>'2012_2015'!CF7</f>
        <v>6.08E-2</v>
      </c>
      <c r="CI7">
        <f>'2012_2015'!CG7</f>
        <v>5.9299999999999999E-2</v>
      </c>
      <c r="CJ7">
        <f>'2012_2015'!CH7</f>
        <v>6.2899999999999998E-2</v>
      </c>
      <c r="CK7">
        <f>'2012_2015'!CI7</f>
        <v>7.8899999999999998E-2</v>
      </c>
      <c r="CL7">
        <f>'2012_2015'!CJ7</f>
        <v>7.6499999999999999E-2</v>
      </c>
      <c r="CM7">
        <f>'2012_2015'!CK7</f>
        <v>7.2599999999999998E-2</v>
      </c>
      <c r="CN7">
        <f>'2012_2015'!CL7</f>
        <v>7.5700000000000003E-2</v>
      </c>
      <c r="CO7">
        <f>'2012_2015'!CM7</f>
        <v>7.4899999999999994E-2</v>
      </c>
      <c r="CP7">
        <f>'2012_2015'!CN7</f>
        <v>6.9099999999999995E-2</v>
      </c>
      <c r="CQ7">
        <f>'2012_2015'!CO7</f>
        <v>7.9500000000000001E-2</v>
      </c>
      <c r="CR7">
        <f>'2012_2015'!CP7</f>
        <v>8.7900000000000006E-2</v>
      </c>
      <c r="CS7">
        <f>'2012_2015'!CQ7</f>
        <v>7.5300000000000006E-2</v>
      </c>
      <c r="CT7">
        <f>'2012_2015'!CR7</f>
        <v>8.7099999999999997E-2</v>
      </c>
      <c r="CU7">
        <f>'2012_2015'!CS7</f>
        <v>6.7100000000000007E-2</v>
      </c>
      <c r="CV7">
        <f>'2012_2015'!CT7</f>
        <v>7.7799999999999994E-2</v>
      </c>
      <c r="CW7">
        <f>'2012_2015'!CU7</f>
        <v>7.4800000000000005E-2</v>
      </c>
      <c r="CX7">
        <f>'2012_2015'!CV7</f>
        <v>6.6500000000000004E-2</v>
      </c>
    </row>
    <row r="8" spans="1:102" x14ac:dyDescent="0.2">
      <c r="A8" t="s">
        <v>209</v>
      </c>
      <c r="B8" t="s">
        <v>218</v>
      </c>
      <c r="C8" t="s">
        <v>102</v>
      </c>
      <c r="D8">
        <f>'2012_2015'!B8</f>
        <v>3.1900000000000001E-3</v>
      </c>
      <c r="E8">
        <f>'2012_2015'!C8</f>
        <v>6.1999999999999998E-3</v>
      </c>
      <c r="F8">
        <f>'2012_2015'!D8</f>
        <v>7.5300000000000002E-3</v>
      </c>
      <c r="G8">
        <f>'2012_2015'!E8</f>
        <v>7.8300000000000002E-3</v>
      </c>
      <c r="H8">
        <f>'2012_2015'!F8</f>
        <v>7.7200000000000003E-3</v>
      </c>
      <c r="I8">
        <f>'2012_2015'!G8</f>
        <v>8.7200000000000003E-3</v>
      </c>
      <c r="J8">
        <f>'2012_2015'!H8</f>
        <v>8.4499999999999992E-3</v>
      </c>
      <c r="K8">
        <f>'2012_2015'!I8</f>
        <v>8.0199999999999994E-3</v>
      </c>
      <c r="L8">
        <f>'2012_2015'!J8</f>
        <v>8.26E-3</v>
      </c>
      <c r="M8">
        <f>'2012_2015'!K8</f>
        <v>6.79E-3</v>
      </c>
      <c r="N8">
        <f>'2012_2015'!L8</f>
        <v>6.6699999999999997E-3</v>
      </c>
      <c r="O8">
        <f>'2012_2015'!M8</f>
        <v>6.3699999999999998E-3</v>
      </c>
      <c r="P8">
        <f>'2012_2015'!N8</f>
        <v>5.9699999999999996E-3</v>
      </c>
      <c r="Q8">
        <f>'2012_2015'!O8</f>
        <v>5.5799999999999999E-3</v>
      </c>
      <c r="R8">
        <f>'2012_2015'!P8</f>
        <v>4.8199999999999996E-3</v>
      </c>
      <c r="S8">
        <f>'2012_2015'!Q8</f>
        <v>4.5500000000000002E-3</v>
      </c>
      <c r="T8">
        <f>'2012_2015'!R8</f>
        <v>4.47E-3</v>
      </c>
      <c r="U8">
        <f>'2012_2015'!S8</f>
        <v>4.45E-3</v>
      </c>
      <c r="V8">
        <f>'2012_2015'!T8</f>
        <v>4.4000000000000003E-3</v>
      </c>
      <c r="W8">
        <f>'2012_2015'!U8</f>
        <v>4.4200000000000003E-3</v>
      </c>
      <c r="X8">
        <f>'2012_2015'!V8</f>
        <v>4.3899999999999998E-3</v>
      </c>
      <c r="Y8">
        <f>'2012_2015'!W8</f>
        <v>4.4999999999999997E-3</v>
      </c>
      <c r="Z8">
        <f>'2012_2015'!X8</f>
        <v>4.5599999999999998E-3</v>
      </c>
      <c r="AA8">
        <f>'2012_2015'!Y8</f>
        <v>4.6600000000000001E-3</v>
      </c>
      <c r="AB8">
        <f>'2012_2015'!Z8</f>
        <v>4.7800000000000004E-3</v>
      </c>
      <c r="AC8">
        <f>'2012_2015'!AA8</f>
        <v>4.7999999999999996E-3</v>
      </c>
      <c r="AD8">
        <f>'2012_2015'!AB8</f>
        <v>4.8799999999999998E-3</v>
      </c>
      <c r="AE8">
        <f>'2012_2015'!AC8</f>
        <v>4.96E-3</v>
      </c>
      <c r="AF8">
        <f>'2012_2015'!AD8</f>
        <v>5.0499999999999998E-3</v>
      </c>
      <c r="AG8">
        <f>'2012_2015'!AE8</f>
        <v>5.2199999999999998E-3</v>
      </c>
      <c r="AH8">
        <f>'2012_2015'!AF8</f>
        <v>5.3699999999999998E-3</v>
      </c>
      <c r="AI8">
        <f>'2012_2015'!AG8</f>
        <v>5.5500000000000002E-3</v>
      </c>
      <c r="AJ8">
        <f>'2012_2015'!AH8</f>
        <v>5.7200000000000003E-3</v>
      </c>
      <c r="AK8">
        <f>'2012_2015'!AI8</f>
        <v>6.0499999999999998E-3</v>
      </c>
      <c r="AL8">
        <f>'2012_2015'!AJ8</f>
        <v>6.2899999999999996E-3</v>
      </c>
      <c r="AM8">
        <f>'2012_2015'!AK8</f>
        <v>6.4700000000000001E-3</v>
      </c>
      <c r="AN8">
        <f>'2012_2015'!AL8</f>
        <v>6.7200000000000003E-3</v>
      </c>
      <c r="AO8">
        <f>'2012_2015'!AM8</f>
        <v>7.0499999999999998E-3</v>
      </c>
      <c r="AP8">
        <f>'2012_2015'!AN8</f>
        <v>7.3299999999999997E-3</v>
      </c>
      <c r="AQ8">
        <f>'2012_2015'!AO8</f>
        <v>7.6699999999999997E-3</v>
      </c>
      <c r="AR8">
        <f>'2012_2015'!AP8</f>
        <v>7.8799999999999999E-3</v>
      </c>
      <c r="AS8">
        <f>'2012_2015'!AQ8</f>
        <v>8.1899999999999994E-3</v>
      </c>
      <c r="AT8">
        <f>'2012_2015'!AR8</f>
        <v>8.3599999999999994E-3</v>
      </c>
      <c r="AU8">
        <f>'2012_2015'!AS8</f>
        <v>8.4399999999999996E-3</v>
      </c>
      <c r="AV8">
        <f>'2012_2015'!AT8</f>
        <v>8.43E-3</v>
      </c>
      <c r="AW8">
        <f>'2012_2015'!AU8</f>
        <v>8.4399999999999996E-3</v>
      </c>
      <c r="AX8">
        <f>'2012_2015'!AV8</f>
        <v>8.4899999999999993E-3</v>
      </c>
      <c r="AY8">
        <f>'2012_2015'!AW8</f>
        <v>8.7299999999999999E-3</v>
      </c>
      <c r="AZ8">
        <f>'2012_2015'!AX8</f>
        <v>8.8199999999999997E-3</v>
      </c>
      <c r="BA8">
        <f>'2012_2015'!AY8</f>
        <v>9.1299999999999992E-3</v>
      </c>
      <c r="BB8">
        <f>'2012_2015'!AZ8</f>
        <v>9.3399999999999993E-3</v>
      </c>
      <c r="BC8">
        <f>'2012_2015'!BA8</f>
        <v>9.8799999999999999E-3</v>
      </c>
      <c r="BD8">
        <f>'2012_2015'!BB8</f>
        <v>1.04E-2</v>
      </c>
      <c r="BE8">
        <f>'2012_2015'!BC8</f>
        <v>1.0800000000000001E-2</v>
      </c>
      <c r="BF8">
        <f>'2012_2015'!BD8</f>
        <v>1.11E-2</v>
      </c>
      <c r="BG8">
        <f>'2012_2015'!BE8</f>
        <v>1.12E-2</v>
      </c>
      <c r="BH8">
        <f>'2012_2015'!BF8</f>
        <v>1.11E-2</v>
      </c>
      <c r="BI8">
        <f>'2012_2015'!BG8</f>
        <v>1.09E-2</v>
      </c>
      <c r="BJ8">
        <f>'2012_2015'!BH8</f>
        <v>1.09E-2</v>
      </c>
      <c r="BK8">
        <f>'2012_2015'!BI8</f>
        <v>1.09E-2</v>
      </c>
      <c r="BL8">
        <f>'2012_2015'!BJ8</f>
        <v>1.09E-2</v>
      </c>
      <c r="BM8">
        <f>'2012_2015'!BK8</f>
        <v>1.12E-2</v>
      </c>
      <c r="BN8">
        <f>'2012_2015'!BL8</f>
        <v>1.17E-2</v>
      </c>
      <c r="BO8">
        <f>'2012_2015'!BM8</f>
        <v>1.2200000000000001E-2</v>
      </c>
      <c r="BP8">
        <f>'2012_2015'!BN8</f>
        <v>1.24E-2</v>
      </c>
      <c r="BQ8">
        <f>'2012_2015'!BO8</f>
        <v>1.26E-2</v>
      </c>
      <c r="BR8">
        <f>'2012_2015'!BP8</f>
        <v>1.24E-2</v>
      </c>
      <c r="BS8">
        <f>'2012_2015'!BQ8</f>
        <v>1.24E-2</v>
      </c>
      <c r="BT8">
        <f>'2012_2015'!BR8</f>
        <v>1.2500000000000001E-2</v>
      </c>
      <c r="BU8">
        <f>'2012_2015'!BS8</f>
        <v>1.26E-2</v>
      </c>
      <c r="BV8">
        <f>'2012_2015'!BT8</f>
        <v>1.34E-2</v>
      </c>
      <c r="BW8">
        <f>'2012_2015'!BU8</f>
        <v>1.41E-2</v>
      </c>
      <c r="BX8">
        <f>'2012_2015'!BV8</f>
        <v>1.44E-2</v>
      </c>
      <c r="BY8">
        <f>'2012_2015'!BW8</f>
        <v>1.4800000000000001E-2</v>
      </c>
      <c r="BZ8">
        <f>'2012_2015'!BX8</f>
        <v>1.46E-2</v>
      </c>
      <c r="CA8">
        <f>'2012_2015'!BY8</f>
        <v>1.44E-2</v>
      </c>
      <c r="CB8">
        <f>'2012_2015'!BZ8</f>
        <v>1.4200000000000001E-2</v>
      </c>
      <c r="CC8">
        <f>'2012_2015'!CA8</f>
        <v>1.4800000000000001E-2</v>
      </c>
      <c r="CD8">
        <f>'2012_2015'!CB8</f>
        <v>1.5699999999999999E-2</v>
      </c>
      <c r="CE8">
        <f>'2012_2015'!CC8</f>
        <v>1.6199999999999999E-2</v>
      </c>
      <c r="CF8">
        <f>'2012_2015'!CD8</f>
        <v>1.6899999999999998E-2</v>
      </c>
      <c r="CG8">
        <f>'2012_2015'!CE8</f>
        <v>1.61E-2</v>
      </c>
      <c r="CH8">
        <f>'2012_2015'!CF8</f>
        <v>1.49E-2</v>
      </c>
      <c r="CI8">
        <f>'2012_2015'!CG8</f>
        <v>1.47E-2</v>
      </c>
      <c r="CJ8">
        <f>'2012_2015'!CH8</f>
        <v>1.55E-2</v>
      </c>
      <c r="CK8">
        <f>'2012_2015'!CI8</f>
        <v>1.9400000000000001E-2</v>
      </c>
      <c r="CL8">
        <f>'2012_2015'!CJ8</f>
        <v>1.8800000000000001E-2</v>
      </c>
      <c r="CM8">
        <f>'2012_2015'!CK8</f>
        <v>1.78E-2</v>
      </c>
      <c r="CN8">
        <f>'2012_2015'!CL8</f>
        <v>1.8599999999999998E-2</v>
      </c>
      <c r="CO8">
        <f>'2012_2015'!CM8</f>
        <v>1.8200000000000001E-2</v>
      </c>
      <c r="CP8">
        <f>'2012_2015'!CN8</f>
        <v>1.72E-2</v>
      </c>
      <c r="CQ8">
        <f>'2012_2015'!CO8</f>
        <v>1.9900000000000001E-2</v>
      </c>
      <c r="CR8">
        <f>'2012_2015'!CP8</f>
        <v>2.1999999999999999E-2</v>
      </c>
      <c r="CS8">
        <f>'2012_2015'!CQ8</f>
        <v>1.8800000000000001E-2</v>
      </c>
      <c r="CT8">
        <f>'2012_2015'!CR8</f>
        <v>2.2200000000000001E-2</v>
      </c>
      <c r="CU8">
        <f>'2012_2015'!CS8</f>
        <v>1.7100000000000001E-2</v>
      </c>
      <c r="CV8">
        <f>'2012_2015'!CT8</f>
        <v>2.06E-2</v>
      </c>
      <c r="CW8">
        <f>'2012_2015'!CU8</f>
        <v>2.0899999999999998E-2</v>
      </c>
      <c r="CX8">
        <f>'2012_2015'!CV8</f>
        <v>1.9599999999999999E-2</v>
      </c>
    </row>
    <row r="9" spans="1:102" x14ac:dyDescent="0.2">
      <c r="A9" t="s">
        <v>210</v>
      </c>
      <c r="B9" t="s">
        <v>218</v>
      </c>
      <c r="C9" t="s">
        <v>102</v>
      </c>
      <c r="D9">
        <f>'2012_2015'!B9</f>
        <v>-2.4599999999999999E-3</v>
      </c>
      <c r="E9">
        <f>'2012_2015'!C9</f>
        <v>-2.96E-3</v>
      </c>
      <c r="F9">
        <f>'2012_2015'!D9</f>
        <v>-2.7299999999999998E-3</v>
      </c>
      <c r="G9">
        <f>'2012_2015'!E9</f>
        <v>-2.4099999999999998E-3</v>
      </c>
      <c r="H9">
        <f>'2012_2015'!F9</f>
        <v>-2.16E-3</v>
      </c>
      <c r="I9">
        <f>'2012_2015'!G9</f>
        <v>-2.1900000000000001E-3</v>
      </c>
      <c r="J9">
        <f>'2012_2015'!H9</f>
        <v>-1.92E-3</v>
      </c>
      <c r="K9">
        <f>'2012_2015'!I9</f>
        <v>-1.6999999999999999E-3</v>
      </c>
      <c r="L9">
        <f>'2012_2015'!J9</f>
        <v>-1.6299999999999999E-3</v>
      </c>
      <c r="M9">
        <f>'2012_2015'!K9</f>
        <v>-1.23E-3</v>
      </c>
      <c r="N9">
        <f>'2012_2015'!L9</f>
        <v>-1.1299999999999999E-3</v>
      </c>
      <c r="O9">
        <f>'2012_2015'!M9</f>
        <v>-1E-3</v>
      </c>
      <c r="P9">
        <f>'2012_2015'!N9</f>
        <v>-8.8500000000000004E-4</v>
      </c>
      <c r="Q9">
        <f>'2012_2015'!O9</f>
        <v>-7.6900000000000004E-4</v>
      </c>
      <c r="R9">
        <f>'2012_2015'!P9</f>
        <v>-6.3599999999999996E-4</v>
      </c>
      <c r="S9">
        <f>'2012_2015'!Q9</f>
        <v>-5.8699999999999996E-4</v>
      </c>
      <c r="T9">
        <f>'2012_2015'!R9</f>
        <v>-5.7399999999999997E-4</v>
      </c>
      <c r="U9">
        <f>'2012_2015'!S9</f>
        <v>-5.62E-4</v>
      </c>
      <c r="V9">
        <f>'2012_2015'!T9</f>
        <v>-5.6599999999999999E-4</v>
      </c>
      <c r="W9">
        <f>'2012_2015'!U9</f>
        <v>-5.6800000000000004E-4</v>
      </c>
      <c r="X9">
        <f>'2012_2015'!V9</f>
        <v>-6.0499999999999996E-4</v>
      </c>
      <c r="Y9">
        <f>'2012_2015'!W9</f>
        <v>-6.3599999999999996E-4</v>
      </c>
      <c r="Z9">
        <f>'2012_2015'!X9</f>
        <v>-6.5499999999999998E-4</v>
      </c>
      <c r="AA9">
        <f>'2012_2015'!Y9</f>
        <v>-6.8499999999999995E-4</v>
      </c>
      <c r="AB9">
        <f>'2012_2015'!Z9</f>
        <v>-6.96E-4</v>
      </c>
      <c r="AC9">
        <f>'2012_2015'!AA9</f>
        <v>-7.1599999999999995E-4</v>
      </c>
      <c r="AD9">
        <f>'2012_2015'!AB9</f>
        <v>-7.4100000000000001E-4</v>
      </c>
      <c r="AE9">
        <f>'2012_2015'!AC9</f>
        <v>-7.7700000000000002E-4</v>
      </c>
      <c r="AF9">
        <f>'2012_2015'!AD9</f>
        <v>-8.0599999999999997E-4</v>
      </c>
      <c r="AG9">
        <f>'2012_2015'!AE9</f>
        <v>-8.4999999999999995E-4</v>
      </c>
      <c r="AH9">
        <f>'2012_2015'!AF9</f>
        <v>-9.1100000000000003E-4</v>
      </c>
      <c r="AI9">
        <f>'2012_2015'!AG9</f>
        <v>-9.5399999999999999E-4</v>
      </c>
      <c r="AJ9">
        <f>'2012_2015'!AH9</f>
        <v>-9.9099999999999991E-4</v>
      </c>
      <c r="AK9">
        <f>'2012_2015'!AI9</f>
        <v>-1.0499999999999999E-3</v>
      </c>
      <c r="AL9">
        <f>'2012_2015'!AJ9</f>
        <v>-1.1100000000000001E-3</v>
      </c>
      <c r="AM9">
        <f>'2012_2015'!AK9</f>
        <v>-1.16E-3</v>
      </c>
      <c r="AN9">
        <f>'2012_2015'!AL9</f>
        <v>-1.1999999999999999E-3</v>
      </c>
      <c r="AO9">
        <f>'2012_2015'!AM9</f>
        <v>-1.2800000000000001E-3</v>
      </c>
      <c r="AP9">
        <f>'2012_2015'!AN9</f>
        <v>-1.34E-3</v>
      </c>
      <c r="AQ9">
        <f>'2012_2015'!AO9</f>
        <v>-1.4300000000000001E-3</v>
      </c>
      <c r="AR9">
        <f>'2012_2015'!AP9</f>
        <v>-1.48E-3</v>
      </c>
      <c r="AS9">
        <f>'2012_2015'!AQ9</f>
        <v>-1.5200000000000001E-3</v>
      </c>
      <c r="AT9">
        <f>'2012_2015'!AR9</f>
        <v>-1.5399999999999999E-3</v>
      </c>
      <c r="AU9">
        <f>'2012_2015'!AS9</f>
        <v>-1.5499999999999999E-3</v>
      </c>
      <c r="AV9">
        <f>'2012_2015'!AT9</f>
        <v>-1.5399999999999999E-3</v>
      </c>
      <c r="AW9">
        <f>'2012_2015'!AU9</f>
        <v>-1.5499999999999999E-3</v>
      </c>
      <c r="AX9">
        <f>'2012_2015'!AV9</f>
        <v>-1.5499999999999999E-3</v>
      </c>
      <c r="AY9">
        <f>'2012_2015'!AW9</f>
        <v>-1.6000000000000001E-3</v>
      </c>
      <c r="AZ9">
        <f>'2012_2015'!AX9</f>
        <v>-1.6199999999999999E-3</v>
      </c>
      <c r="BA9">
        <f>'2012_2015'!AY9</f>
        <v>-1.6900000000000001E-3</v>
      </c>
      <c r="BB9">
        <f>'2012_2015'!AZ9</f>
        <v>-1.72E-3</v>
      </c>
      <c r="BC9">
        <f>'2012_2015'!BA9</f>
        <v>-1.82E-3</v>
      </c>
      <c r="BD9">
        <f>'2012_2015'!BB9</f>
        <v>-1.92E-3</v>
      </c>
      <c r="BE9">
        <f>'2012_2015'!BC9</f>
        <v>-1.9599999999999999E-3</v>
      </c>
      <c r="BF9">
        <f>'2012_2015'!BD9</f>
        <v>-1.98E-3</v>
      </c>
      <c r="BG9">
        <f>'2012_2015'!BE9</f>
        <v>-1.99E-3</v>
      </c>
      <c r="BH9">
        <f>'2012_2015'!BF9</f>
        <v>-1.97E-3</v>
      </c>
      <c r="BI9">
        <f>'2012_2015'!BG9</f>
        <v>-1.92E-3</v>
      </c>
      <c r="BJ9">
        <f>'2012_2015'!BH9</f>
        <v>-1.91E-3</v>
      </c>
      <c r="BK9">
        <f>'2012_2015'!BI9</f>
        <v>-1.9E-3</v>
      </c>
      <c r="BL9">
        <f>'2012_2015'!BJ9</f>
        <v>-1.9E-3</v>
      </c>
      <c r="BM9">
        <f>'2012_2015'!BK9</f>
        <v>-1.9499999999999999E-3</v>
      </c>
      <c r="BN9">
        <f>'2012_2015'!BL9</f>
        <v>-2.0500000000000002E-3</v>
      </c>
      <c r="BO9">
        <f>'2012_2015'!BM9</f>
        <v>-2.0600000000000002E-3</v>
      </c>
      <c r="BP9">
        <f>'2012_2015'!BN9</f>
        <v>-2.1099999999999999E-3</v>
      </c>
      <c r="BQ9">
        <f>'2012_2015'!BO9</f>
        <v>-2.1099999999999999E-3</v>
      </c>
      <c r="BR9">
        <f>'2012_2015'!BP9</f>
        <v>-2.0799999999999998E-3</v>
      </c>
      <c r="BS9">
        <f>'2012_2015'!BQ9</f>
        <v>-2.0699999999999998E-3</v>
      </c>
      <c r="BT9">
        <f>'2012_2015'!BR9</f>
        <v>-2.0500000000000002E-3</v>
      </c>
      <c r="BU9">
        <f>'2012_2015'!BS9</f>
        <v>-2.0600000000000002E-3</v>
      </c>
      <c r="BV9">
        <f>'2012_2015'!BT9</f>
        <v>-2.1900000000000001E-3</v>
      </c>
      <c r="BW9">
        <f>'2012_2015'!BU9</f>
        <v>-2.2799999999999999E-3</v>
      </c>
      <c r="BX9">
        <f>'2012_2015'!BV9</f>
        <v>-2.31E-3</v>
      </c>
      <c r="BY9">
        <f>'2012_2015'!BW9</f>
        <v>-2.3800000000000002E-3</v>
      </c>
      <c r="BZ9">
        <f>'2012_2015'!BX9</f>
        <v>-2.3500000000000001E-3</v>
      </c>
      <c r="CA9">
        <f>'2012_2015'!BY9</f>
        <v>-2.32E-3</v>
      </c>
      <c r="CB9">
        <f>'2012_2015'!BZ9</f>
        <v>-2.2300000000000002E-3</v>
      </c>
      <c r="CC9">
        <f>'2012_2015'!CA9</f>
        <v>-2.3600000000000001E-3</v>
      </c>
      <c r="CD9">
        <f>'2012_2015'!CB9</f>
        <v>-2.49E-3</v>
      </c>
      <c r="CE9">
        <f>'2012_2015'!CC9</f>
        <v>-2.5100000000000001E-3</v>
      </c>
      <c r="CF9">
        <f>'2012_2015'!CD9</f>
        <v>-2.6099999999999999E-3</v>
      </c>
      <c r="CG9">
        <f>'2012_2015'!CE9</f>
        <v>-2.48E-3</v>
      </c>
      <c r="CH9">
        <f>'2012_2015'!CF9</f>
        <v>-2.32E-3</v>
      </c>
      <c r="CI9">
        <f>'2012_2015'!CG9</f>
        <v>-2.2499999999999998E-3</v>
      </c>
      <c r="CJ9">
        <f>'2012_2015'!CH9</f>
        <v>-2.3900000000000002E-3</v>
      </c>
      <c r="CK9">
        <f>'2012_2015'!CI9</f>
        <v>-2.8999999999999998E-3</v>
      </c>
      <c r="CL9">
        <f>'2012_2015'!CJ9</f>
        <v>-2.82E-3</v>
      </c>
      <c r="CM9">
        <f>'2012_2015'!CK9</f>
        <v>-2.7599999999999999E-3</v>
      </c>
      <c r="CN9">
        <f>'2012_2015'!CL9</f>
        <v>-2.8700000000000002E-3</v>
      </c>
      <c r="CO9">
        <f>'2012_2015'!CM9</f>
        <v>-2.8600000000000001E-3</v>
      </c>
      <c r="CP9">
        <f>'2012_2015'!CN9</f>
        <v>-2.7499999999999998E-3</v>
      </c>
      <c r="CQ9">
        <f>'2012_2015'!CO9</f>
        <v>-3.2499999999999999E-3</v>
      </c>
      <c r="CR9">
        <f>'2012_2015'!CP9</f>
        <v>-3.5699999999999998E-3</v>
      </c>
      <c r="CS9">
        <f>'2012_2015'!CQ9</f>
        <v>-3.0699999999999998E-3</v>
      </c>
      <c r="CT9">
        <f>'2012_2015'!CR9</f>
        <v>-3.8500000000000001E-3</v>
      </c>
      <c r="CU9">
        <f>'2012_2015'!CS9</f>
        <v>-3.0400000000000002E-3</v>
      </c>
      <c r="CV9">
        <f>'2012_2015'!CT9</f>
        <v>-3.48E-3</v>
      </c>
      <c r="CW9">
        <f>'2012_2015'!CU9</f>
        <v>-3.63E-3</v>
      </c>
      <c r="CX9">
        <f>'2012_2015'!CV9</f>
        <v>-3.5200000000000001E-3</v>
      </c>
    </row>
    <row r="10" spans="1:102" x14ac:dyDescent="0.2">
      <c r="A10" t="s">
        <v>211</v>
      </c>
      <c r="B10" t="s">
        <v>218</v>
      </c>
      <c r="C10" t="s">
        <v>102</v>
      </c>
      <c r="D10">
        <f>'2012_2015'!B10</f>
        <v>-2.15E-3</v>
      </c>
      <c r="E10">
        <f>'2012_2015'!C10</f>
        <v>-2.47E-3</v>
      </c>
      <c r="F10">
        <f>'2012_2015'!D10</f>
        <v>-2.31E-3</v>
      </c>
      <c r="G10">
        <f>'2012_2015'!E10</f>
        <v>-2.15E-3</v>
      </c>
      <c r="H10">
        <f>'2012_2015'!F10</f>
        <v>-1.92E-3</v>
      </c>
      <c r="I10">
        <f>'2012_2015'!G10</f>
        <v>-1.9400000000000001E-3</v>
      </c>
      <c r="J10">
        <f>'2012_2015'!H10</f>
        <v>-1.8500000000000001E-3</v>
      </c>
      <c r="K10">
        <f>'2012_2015'!I10</f>
        <v>-1.89E-3</v>
      </c>
      <c r="L10">
        <f>'2012_2015'!J10</f>
        <v>-1.7600000000000001E-3</v>
      </c>
      <c r="M10">
        <f>'2012_2015'!K10</f>
        <v>-1.48E-3</v>
      </c>
      <c r="N10">
        <f>'2012_2015'!L10</f>
        <v>-1.5200000000000001E-3</v>
      </c>
      <c r="O10">
        <f>'2012_2015'!M10</f>
        <v>-1.5E-3</v>
      </c>
      <c r="P10">
        <f>'2012_2015'!N10</f>
        <v>-1.42E-3</v>
      </c>
      <c r="Q10">
        <f>'2012_2015'!O10</f>
        <v>-1.3699999999999999E-3</v>
      </c>
      <c r="R10">
        <f>'2012_2015'!P10</f>
        <v>-1.15E-3</v>
      </c>
      <c r="S10">
        <f>'2012_2015'!Q10</f>
        <v>-1.1199999999999999E-3</v>
      </c>
      <c r="T10">
        <f>'2012_2015'!R10</f>
        <v>-1.0300000000000001E-3</v>
      </c>
      <c r="U10">
        <f>'2012_2015'!S10</f>
        <v>-1.08E-3</v>
      </c>
      <c r="V10">
        <f>'2012_2015'!T10</f>
        <v>-1.0499999999999999E-3</v>
      </c>
      <c r="W10">
        <f>'2012_2015'!U10</f>
        <v>-1.0399999999999999E-3</v>
      </c>
      <c r="X10">
        <f>'2012_2015'!V10</f>
        <v>-1.0499999999999999E-3</v>
      </c>
      <c r="Y10">
        <f>'2012_2015'!W10</f>
        <v>-1.1000000000000001E-3</v>
      </c>
      <c r="Z10">
        <f>'2012_2015'!X10</f>
        <v>-1.09E-3</v>
      </c>
      <c r="AA10">
        <f>'2012_2015'!Y10</f>
        <v>-1.1299999999999999E-3</v>
      </c>
      <c r="AB10">
        <f>'2012_2015'!Z10</f>
        <v>-1.1000000000000001E-3</v>
      </c>
      <c r="AC10">
        <f>'2012_2015'!AA10</f>
        <v>-1.1000000000000001E-3</v>
      </c>
      <c r="AD10">
        <f>'2012_2015'!AB10</f>
        <v>-1.14E-3</v>
      </c>
      <c r="AE10">
        <f>'2012_2015'!AC10</f>
        <v>-1.1299999999999999E-3</v>
      </c>
      <c r="AF10">
        <f>'2012_2015'!AD10</f>
        <v>-1.16E-3</v>
      </c>
      <c r="AG10">
        <f>'2012_2015'!AE10</f>
        <v>-1.2999999999999999E-3</v>
      </c>
      <c r="AH10">
        <f>'2012_2015'!AF10</f>
        <v>-1.32E-3</v>
      </c>
      <c r="AI10">
        <f>'2012_2015'!AG10</f>
        <v>-1.3699999999999999E-3</v>
      </c>
      <c r="AJ10">
        <f>'2012_2015'!AH10</f>
        <v>-1.4400000000000001E-3</v>
      </c>
      <c r="AK10">
        <f>'2012_2015'!AI10</f>
        <v>-1.49E-3</v>
      </c>
      <c r="AL10">
        <f>'2012_2015'!AJ10</f>
        <v>-1.56E-3</v>
      </c>
      <c r="AM10">
        <f>'2012_2015'!AK10</f>
        <v>-1.6000000000000001E-3</v>
      </c>
      <c r="AN10">
        <f>'2012_2015'!AL10</f>
        <v>-1.6100000000000001E-3</v>
      </c>
      <c r="AO10">
        <f>'2012_2015'!AM10</f>
        <v>-1.7600000000000001E-3</v>
      </c>
      <c r="AP10">
        <f>'2012_2015'!AN10</f>
        <v>-1.83E-3</v>
      </c>
      <c r="AQ10">
        <f>'2012_2015'!AO10</f>
        <v>-1.8500000000000001E-3</v>
      </c>
      <c r="AR10">
        <f>'2012_2015'!AP10</f>
        <v>-1.9300000000000001E-3</v>
      </c>
      <c r="AS10">
        <f>'2012_2015'!AQ10</f>
        <v>-1.9599999999999999E-3</v>
      </c>
      <c r="AT10">
        <f>'2012_2015'!AR10</f>
        <v>-1.98E-3</v>
      </c>
      <c r="AU10">
        <f>'2012_2015'!AS10</f>
        <v>-1.98E-3</v>
      </c>
      <c r="AV10">
        <f>'2012_2015'!AT10</f>
        <v>-1.9599999999999999E-3</v>
      </c>
      <c r="AW10">
        <f>'2012_2015'!AU10</f>
        <v>-2.0100000000000001E-3</v>
      </c>
      <c r="AX10">
        <f>'2012_2015'!AV10</f>
        <v>-2.0500000000000002E-3</v>
      </c>
      <c r="AY10">
        <f>'2012_2015'!AW10</f>
        <v>-2.0200000000000001E-3</v>
      </c>
      <c r="AZ10">
        <f>'2012_2015'!AX10</f>
        <v>-2.0899999999999998E-3</v>
      </c>
      <c r="BA10">
        <f>'2012_2015'!AY10</f>
        <v>-2.14E-3</v>
      </c>
      <c r="BB10">
        <f>'2012_2015'!AZ10</f>
        <v>-2.1700000000000001E-3</v>
      </c>
      <c r="BC10">
        <f>'2012_2015'!BA10</f>
        <v>-2.2699999999999999E-3</v>
      </c>
      <c r="BD10">
        <f>'2012_2015'!BB10</f>
        <v>-2.4099999999999998E-3</v>
      </c>
      <c r="BE10">
        <f>'2012_2015'!BC10</f>
        <v>-2.5600000000000002E-3</v>
      </c>
      <c r="BF10">
        <f>'2012_2015'!BD10</f>
        <v>-2.5699999999999998E-3</v>
      </c>
      <c r="BG10">
        <f>'2012_2015'!BE10</f>
        <v>-2.5999999999999999E-3</v>
      </c>
      <c r="BH10">
        <f>'2012_2015'!BF10</f>
        <v>-2.5999999999999999E-3</v>
      </c>
      <c r="BI10">
        <f>'2012_2015'!BG10</f>
        <v>-2.6099999999999999E-3</v>
      </c>
      <c r="BJ10">
        <f>'2012_2015'!BH10</f>
        <v>-2.6800000000000001E-3</v>
      </c>
      <c r="BK10">
        <f>'2012_2015'!BI10</f>
        <v>-2.5999999999999999E-3</v>
      </c>
      <c r="BL10">
        <f>'2012_2015'!BJ10</f>
        <v>-2.5699999999999998E-3</v>
      </c>
      <c r="BM10">
        <f>'2012_2015'!BK10</f>
        <v>-2.7299999999999998E-3</v>
      </c>
      <c r="BN10">
        <f>'2012_2015'!BL10</f>
        <v>-2.9099999999999998E-3</v>
      </c>
      <c r="BO10">
        <f>'2012_2015'!BM10</f>
        <v>-3.0200000000000001E-3</v>
      </c>
      <c r="BP10">
        <f>'2012_2015'!BN10</f>
        <v>-3.0999999999999999E-3</v>
      </c>
      <c r="BQ10">
        <f>'2012_2015'!BO10</f>
        <v>-3.13E-3</v>
      </c>
      <c r="BR10">
        <f>'2012_2015'!BP10</f>
        <v>-3.2399999999999998E-3</v>
      </c>
      <c r="BS10">
        <f>'2012_2015'!BQ10</f>
        <v>-3.2399999999999998E-3</v>
      </c>
      <c r="BT10">
        <f>'2012_2015'!BR10</f>
        <v>-3.1700000000000001E-3</v>
      </c>
      <c r="BU10">
        <f>'2012_2015'!BS10</f>
        <v>-3.2100000000000002E-3</v>
      </c>
      <c r="BV10">
        <f>'2012_2015'!BT10</f>
        <v>-3.49E-3</v>
      </c>
      <c r="BW10">
        <f>'2012_2015'!BU10</f>
        <v>-3.6600000000000001E-3</v>
      </c>
      <c r="BX10">
        <f>'2012_2015'!BV10</f>
        <v>-3.7100000000000002E-3</v>
      </c>
      <c r="BY10">
        <f>'2012_2015'!BW10</f>
        <v>-3.7699999999999999E-3</v>
      </c>
      <c r="BZ10">
        <f>'2012_2015'!BX10</f>
        <v>-3.7599999999999999E-3</v>
      </c>
      <c r="CA10">
        <f>'2012_2015'!BY10</f>
        <v>-3.8300000000000001E-3</v>
      </c>
      <c r="CB10">
        <f>'2012_2015'!BZ10</f>
        <v>-3.62E-3</v>
      </c>
      <c r="CC10">
        <f>'2012_2015'!CA10</f>
        <v>-3.81E-3</v>
      </c>
      <c r="CD10">
        <f>'2012_2015'!CB10</f>
        <v>-3.96E-3</v>
      </c>
      <c r="CE10">
        <f>'2012_2015'!CC10</f>
        <v>-4.1200000000000004E-3</v>
      </c>
      <c r="CF10">
        <f>'2012_2015'!CD10</f>
        <v>-4.28E-3</v>
      </c>
      <c r="CG10">
        <f>'2012_2015'!CE10</f>
        <v>-4.1099999999999999E-3</v>
      </c>
      <c r="CH10">
        <f>'2012_2015'!CF10</f>
        <v>-3.8999999999999998E-3</v>
      </c>
      <c r="CI10">
        <f>'2012_2015'!CG10</f>
        <v>-3.5899999999999999E-3</v>
      </c>
      <c r="CJ10">
        <f>'2012_2015'!CH10</f>
        <v>-3.79E-3</v>
      </c>
      <c r="CK10">
        <f>'2012_2015'!CI10</f>
        <v>-4.7400000000000003E-3</v>
      </c>
      <c r="CL10">
        <f>'2012_2015'!CJ10</f>
        <v>-4.5700000000000003E-3</v>
      </c>
      <c r="CM10">
        <f>'2012_2015'!CK10</f>
        <v>-4.4799999999999996E-3</v>
      </c>
      <c r="CN10">
        <f>'2012_2015'!CL10</f>
        <v>-4.5799999999999999E-3</v>
      </c>
      <c r="CO10">
        <f>'2012_2015'!CM10</f>
        <v>-4.4000000000000003E-3</v>
      </c>
      <c r="CP10">
        <f>'2012_2015'!CN10</f>
        <v>-4.1900000000000001E-3</v>
      </c>
      <c r="CQ10">
        <f>'2012_2015'!CO10</f>
        <v>-4.8999999999999998E-3</v>
      </c>
      <c r="CR10">
        <f>'2012_2015'!CP10</f>
        <v>-5.5999999999999999E-3</v>
      </c>
      <c r="CS10">
        <f>'2012_2015'!CQ10</f>
        <v>-4.96E-3</v>
      </c>
      <c r="CT10">
        <f>'2012_2015'!CR10</f>
        <v>-5.6600000000000001E-3</v>
      </c>
      <c r="CU10">
        <f>'2012_2015'!CS10</f>
        <v>-4.5199999999999997E-3</v>
      </c>
      <c r="CV10">
        <f>'2012_2015'!CT10</f>
        <v>-5.6100000000000004E-3</v>
      </c>
      <c r="CW10">
        <f>'2012_2015'!CU10</f>
        <v>-5.3099999999999996E-3</v>
      </c>
      <c r="CX10">
        <f>'2012_2015'!CV10</f>
        <v>-4.5399999999999998E-3</v>
      </c>
    </row>
    <row r="11" spans="1:102" x14ac:dyDescent="0.2">
      <c r="A11" t="s">
        <v>212</v>
      </c>
      <c r="B11" t="s">
        <v>218</v>
      </c>
      <c r="C11" t="s">
        <v>102</v>
      </c>
      <c r="D11">
        <f>'2012_2015'!B11</f>
        <v>2.0400000000000001E-3</v>
      </c>
      <c r="E11">
        <f>'2012_2015'!C11</f>
        <v>2.4199999999999998E-3</v>
      </c>
      <c r="F11">
        <f>'2012_2015'!D11</f>
        <v>2.2100000000000002E-3</v>
      </c>
      <c r="G11">
        <f>'2012_2015'!E11</f>
        <v>1.9599999999999999E-3</v>
      </c>
      <c r="H11">
        <f>'2012_2015'!F11</f>
        <v>1.74E-3</v>
      </c>
      <c r="I11">
        <f>'2012_2015'!G11</f>
        <v>1.67E-3</v>
      </c>
      <c r="J11">
        <f>'2012_2015'!H11</f>
        <v>1.57E-3</v>
      </c>
      <c r="K11">
        <f>'2012_2015'!I11</f>
        <v>1.4599999999999999E-3</v>
      </c>
      <c r="L11">
        <f>'2012_2015'!J11</f>
        <v>1.3799999999999999E-3</v>
      </c>
      <c r="M11">
        <f>'2012_2015'!K11</f>
        <v>1.08E-3</v>
      </c>
      <c r="N11">
        <f>'2012_2015'!L11</f>
        <v>9.859999999999999E-4</v>
      </c>
      <c r="O11">
        <f>'2012_2015'!M11</f>
        <v>8.6799999999999996E-4</v>
      </c>
      <c r="P11">
        <f>'2012_2015'!N11</f>
        <v>7.7800000000000005E-4</v>
      </c>
      <c r="Q11">
        <f>'2012_2015'!O11</f>
        <v>6.6100000000000002E-4</v>
      </c>
      <c r="R11">
        <f>'2012_2015'!P11</f>
        <v>5.2400000000000005E-4</v>
      </c>
      <c r="S11">
        <f>'2012_2015'!Q11</f>
        <v>4.6900000000000002E-4</v>
      </c>
      <c r="T11">
        <f>'2012_2015'!R11</f>
        <v>4.28E-4</v>
      </c>
      <c r="U11">
        <f>'2012_2015'!S11</f>
        <v>4.0700000000000003E-4</v>
      </c>
      <c r="V11">
        <f>'2012_2015'!T11</f>
        <v>3.7500000000000001E-4</v>
      </c>
      <c r="W11">
        <f>'2012_2015'!U11</f>
        <v>3.5500000000000001E-4</v>
      </c>
      <c r="X11">
        <f>'2012_2015'!V11</f>
        <v>3.4499999999999998E-4</v>
      </c>
      <c r="Y11">
        <f>'2012_2015'!W11</f>
        <v>3.3E-4</v>
      </c>
      <c r="Z11">
        <f>'2012_2015'!X11</f>
        <v>3.21E-4</v>
      </c>
      <c r="AA11">
        <f>'2012_2015'!Y11</f>
        <v>3.1599999999999998E-4</v>
      </c>
      <c r="AB11">
        <f>'2012_2015'!Z11</f>
        <v>3.0200000000000002E-4</v>
      </c>
      <c r="AC11">
        <f>'2012_2015'!AA11</f>
        <v>2.9999999999999997E-4</v>
      </c>
      <c r="AD11">
        <f>'2012_2015'!AB11</f>
        <v>2.8800000000000001E-4</v>
      </c>
      <c r="AE11">
        <f>'2012_2015'!AC11</f>
        <v>2.7599999999999999E-4</v>
      </c>
      <c r="AF11">
        <f>'2012_2015'!AD11</f>
        <v>2.7799999999999998E-4</v>
      </c>
      <c r="AG11">
        <f>'2012_2015'!AE11</f>
        <v>2.6899999999999998E-4</v>
      </c>
      <c r="AH11">
        <f>'2012_2015'!AF11</f>
        <v>2.6699999999999998E-4</v>
      </c>
      <c r="AI11">
        <f>'2012_2015'!AG11</f>
        <v>2.6400000000000002E-4</v>
      </c>
      <c r="AJ11">
        <f>'2012_2015'!AH11</f>
        <v>2.7099999999999997E-4</v>
      </c>
      <c r="AK11">
        <f>'2012_2015'!AI11</f>
        <v>2.7500000000000002E-4</v>
      </c>
      <c r="AL11">
        <f>'2012_2015'!AJ11</f>
        <v>2.8699999999999998E-4</v>
      </c>
      <c r="AM11">
        <f>'2012_2015'!AK11</f>
        <v>2.8499999999999999E-4</v>
      </c>
      <c r="AN11">
        <f>'2012_2015'!AL11</f>
        <v>2.8400000000000002E-4</v>
      </c>
      <c r="AO11">
        <f>'2012_2015'!AM11</f>
        <v>2.9100000000000003E-4</v>
      </c>
      <c r="AP11">
        <f>'2012_2015'!AN11</f>
        <v>2.8899999999999998E-4</v>
      </c>
      <c r="AQ11">
        <f>'2012_2015'!AO11</f>
        <v>2.9E-4</v>
      </c>
      <c r="AR11">
        <f>'2012_2015'!AP11</f>
        <v>2.92E-4</v>
      </c>
      <c r="AS11">
        <f>'2012_2015'!AQ11</f>
        <v>2.9399999999999999E-4</v>
      </c>
      <c r="AT11">
        <f>'2012_2015'!AR11</f>
        <v>2.9E-4</v>
      </c>
      <c r="AU11">
        <f>'2012_2015'!AS11</f>
        <v>2.8499999999999999E-4</v>
      </c>
      <c r="AV11">
        <f>'2012_2015'!AT11</f>
        <v>2.7599999999999999E-4</v>
      </c>
      <c r="AW11">
        <f>'2012_2015'!AU11</f>
        <v>2.7900000000000001E-4</v>
      </c>
      <c r="AX11">
        <f>'2012_2015'!AV11</f>
        <v>2.7399999999999999E-4</v>
      </c>
      <c r="AY11">
        <f>'2012_2015'!AW11</f>
        <v>2.61E-4</v>
      </c>
      <c r="AZ11">
        <f>'2012_2015'!AX11</f>
        <v>2.5700000000000001E-4</v>
      </c>
      <c r="BA11">
        <f>'2012_2015'!AY11</f>
        <v>2.52E-4</v>
      </c>
      <c r="BB11">
        <f>'2012_2015'!AZ11</f>
        <v>2.52E-4</v>
      </c>
      <c r="BC11">
        <f>'2012_2015'!BA11</f>
        <v>2.6400000000000002E-4</v>
      </c>
      <c r="BD11">
        <f>'2012_2015'!BB11</f>
        <v>2.7399999999999999E-4</v>
      </c>
      <c r="BE11">
        <f>'2012_2015'!BC11</f>
        <v>2.7599999999999999E-4</v>
      </c>
      <c r="BF11">
        <f>'2012_2015'!BD11</f>
        <v>2.7599999999999999E-4</v>
      </c>
      <c r="BG11">
        <f>'2012_2015'!BE11</f>
        <v>2.7E-4</v>
      </c>
      <c r="BH11">
        <f>'2012_2015'!BF11</f>
        <v>2.5500000000000002E-4</v>
      </c>
      <c r="BI11">
        <f>'2012_2015'!BG11</f>
        <v>2.5099999999999998E-4</v>
      </c>
      <c r="BJ11">
        <f>'2012_2015'!BH11</f>
        <v>2.5700000000000001E-4</v>
      </c>
      <c r="BK11">
        <f>'2012_2015'!BI11</f>
        <v>2.4600000000000002E-4</v>
      </c>
      <c r="BL11">
        <f>'2012_2015'!BJ11</f>
        <v>2.4399999999999999E-4</v>
      </c>
      <c r="BM11">
        <f>'2012_2015'!BK11</f>
        <v>2.4600000000000002E-4</v>
      </c>
      <c r="BN11">
        <f>'2012_2015'!BL11</f>
        <v>2.4800000000000001E-4</v>
      </c>
      <c r="BO11">
        <f>'2012_2015'!BM11</f>
        <v>2.4600000000000002E-4</v>
      </c>
      <c r="BP11">
        <f>'2012_2015'!BN11</f>
        <v>2.5599999999999999E-4</v>
      </c>
      <c r="BQ11">
        <f>'2012_2015'!BO11</f>
        <v>2.63E-4</v>
      </c>
      <c r="BR11">
        <f>'2012_2015'!BP11</f>
        <v>2.52E-4</v>
      </c>
      <c r="BS11">
        <f>'2012_2015'!BQ11</f>
        <v>2.4499999999999999E-4</v>
      </c>
      <c r="BT11">
        <f>'2012_2015'!BR11</f>
        <v>2.4800000000000001E-4</v>
      </c>
      <c r="BU11">
        <f>'2012_2015'!BS11</f>
        <v>2.5700000000000001E-4</v>
      </c>
      <c r="BV11">
        <f>'2012_2015'!BT11</f>
        <v>2.8400000000000002E-4</v>
      </c>
      <c r="BW11">
        <f>'2012_2015'!BU11</f>
        <v>2.9999999999999997E-4</v>
      </c>
      <c r="BX11">
        <f>'2012_2015'!BV11</f>
        <v>2.8400000000000002E-4</v>
      </c>
      <c r="BY11">
        <f>'2012_2015'!BW11</f>
        <v>2.9300000000000002E-4</v>
      </c>
      <c r="BZ11">
        <f>'2012_2015'!BX11</f>
        <v>2.9100000000000003E-4</v>
      </c>
      <c r="CA11">
        <f>'2012_2015'!BY11</f>
        <v>2.8800000000000001E-4</v>
      </c>
      <c r="CB11">
        <f>'2012_2015'!BZ11</f>
        <v>2.72E-4</v>
      </c>
      <c r="CC11">
        <f>'2012_2015'!CA11</f>
        <v>2.81E-4</v>
      </c>
      <c r="CD11">
        <f>'2012_2015'!CB11</f>
        <v>2.6699999999999998E-4</v>
      </c>
      <c r="CE11">
        <f>'2012_2015'!CC11</f>
        <v>2.61E-4</v>
      </c>
      <c r="CF11">
        <f>'2012_2015'!CD11</f>
        <v>2.5399999999999999E-4</v>
      </c>
      <c r="CG11">
        <f>'2012_2015'!CE11</f>
        <v>2.4000000000000001E-4</v>
      </c>
      <c r="CH11">
        <f>'2012_2015'!CF11</f>
        <v>2.1499999999999999E-4</v>
      </c>
      <c r="CI11">
        <f>'2012_2015'!CG11</f>
        <v>2.0000000000000001E-4</v>
      </c>
      <c r="CJ11">
        <f>'2012_2015'!CH11</f>
        <v>1.75E-4</v>
      </c>
      <c r="CK11">
        <f>'2012_2015'!CI11</f>
        <v>2.13E-4</v>
      </c>
      <c r="CL11">
        <f>'2012_2015'!CJ11</f>
        <v>2.12E-4</v>
      </c>
      <c r="CM11">
        <f>'2012_2015'!CK11</f>
        <v>1.9799999999999999E-4</v>
      </c>
      <c r="CN11">
        <f>'2012_2015'!CL11</f>
        <v>2.0599999999999999E-4</v>
      </c>
      <c r="CO11">
        <f>'2012_2015'!CM11</f>
        <v>1.8699999999999999E-4</v>
      </c>
      <c r="CP11">
        <f>'2012_2015'!CN11</f>
        <v>1.75E-4</v>
      </c>
      <c r="CQ11">
        <f>'2012_2015'!CO11</f>
        <v>1.8599999999999999E-4</v>
      </c>
      <c r="CR11">
        <f>'2012_2015'!CP11</f>
        <v>2.0000000000000001E-4</v>
      </c>
      <c r="CS11">
        <f>'2012_2015'!CQ11</f>
        <v>1.64E-4</v>
      </c>
      <c r="CT11">
        <f>'2012_2015'!CR11</f>
        <v>1.7100000000000001E-4</v>
      </c>
      <c r="CU11">
        <f>'2012_2015'!CS11</f>
        <v>1.25E-4</v>
      </c>
      <c r="CV11">
        <f>'2012_2015'!CT11</f>
        <v>1.6699999999999999E-4</v>
      </c>
      <c r="CW11">
        <f>'2012_2015'!CU11</f>
        <v>1.16E-4</v>
      </c>
      <c r="CX11">
        <f>'2012_2015'!CV11</f>
        <v>1.5699999999999999E-4</v>
      </c>
    </row>
    <row r="12" spans="1:102" x14ac:dyDescent="0.2">
      <c r="A12" t="s">
        <v>213</v>
      </c>
      <c r="B12" t="s">
        <v>218</v>
      </c>
      <c r="C12" t="s">
        <v>102</v>
      </c>
      <c r="D12">
        <f>'2012_2015'!B12</f>
        <v>7.9299999999999995E-3</v>
      </c>
      <c r="E12">
        <f>'2012_2015'!C12</f>
        <v>1.14E-2</v>
      </c>
      <c r="F12">
        <f>'2012_2015'!D12</f>
        <v>1.2200000000000001E-2</v>
      </c>
      <c r="G12">
        <f>'2012_2015'!E12</f>
        <v>1.2500000000000001E-2</v>
      </c>
      <c r="H12">
        <f>'2012_2015'!F12</f>
        <v>1.24E-2</v>
      </c>
      <c r="I12">
        <f>'2012_2015'!G12</f>
        <v>1.37E-2</v>
      </c>
      <c r="J12">
        <f>'2012_2015'!H12</f>
        <v>1.37E-2</v>
      </c>
      <c r="K12">
        <f>'2012_2015'!I12</f>
        <v>1.32E-2</v>
      </c>
      <c r="L12">
        <f>'2012_2015'!J12</f>
        <v>1.35E-2</v>
      </c>
      <c r="M12">
        <f>'2012_2015'!K12</f>
        <v>1.09E-2</v>
      </c>
      <c r="N12">
        <f>'2012_2015'!L12</f>
        <v>1.06E-2</v>
      </c>
      <c r="O12">
        <f>'2012_2015'!M12</f>
        <v>9.9399999999999992E-3</v>
      </c>
      <c r="P12">
        <f>'2012_2015'!N12</f>
        <v>8.9700000000000005E-3</v>
      </c>
      <c r="Q12">
        <f>'2012_2015'!O12</f>
        <v>7.79E-3</v>
      </c>
      <c r="R12">
        <f>'2012_2015'!P12</f>
        <v>6.2599999999999999E-3</v>
      </c>
      <c r="S12">
        <f>'2012_2015'!Q12</f>
        <v>5.5500000000000002E-3</v>
      </c>
      <c r="T12">
        <f>'2012_2015'!R12</f>
        <v>5.1900000000000002E-3</v>
      </c>
      <c r="U12">
        <f>'2012_2015'!S12</f>
        <v>5.0000000000000001E-3</v>
      </c>
      <c r="V12">
        <f>'2012_2015'!T12</f>
        <v>4.3800000000000002E-3</v>
      </c>
      <c r="W12">
        <f>'2012_2015'!U12</f>
        <v>4.0400000000000002E-3</v>
      </c>
      <c r="X12">
        <f>'2012_2015'!V12</f>
        <v>3.8400000000000001E-3</v>
      </c>
      <c r="Y12">
        <f>'2012_2015'!W12</f>
        <v>3.6700000000000001E-3</v>
      </c>
      <c r="Z12">
        <f>'2012_2015'!X12</f>
        <v>3.4499999999999999E-3</v>
      </c>
      <c r="AA12">
        <f>'2012_2015'!Y12</f>
        <v>3.1900000000000001E-3</v>
      </c>
      <c r="AB12">
        <f>'2012_2015'!Z12</f>
        <v>2.9499999999999999E-3</v>
      </c>
      <c r="AC12">
        <f>'2012_2015'!AA12</f>
        <v>2.7399999999999998E-3</v>
      </c>
      <c r="AD12">
        <f>'2012_2015'!AB12</f>
        <v>2.5999999999999999E-3</v>
      </c>
      <c r="AE12">
        <f>'2012_2015'!AC12</f>
        <v>2.5200000000000001E-3</v>
      </c>
      <c r="AF12">
        <f>'2012_2015'!AD12</f>
        <v>2.4199999999999998E-3</v>
      </c>
      <c r="AG12">
        <f>'2012_2015'!AE12</f>
        <v>2.3800000000000002E-3</v>
      </c>
      <c r="AH12">
        <f>'2012_2015'!AF12</f>
        <v>2.2799999999999999E-3</v>
      </c>
      <c r="AI12">
        <f>'2012_2015'!AG12</f>
        <v>2.14E-3</v>
      </c>
      <c r="AJ12">
        <f>'2012_2015'!AH12</f>
        <v>2.0500000000000002E-3</v>
      </c>
      <c r="AK12">
        <f>'2012_2015'!AI12</f>
        <v>1.97E-3</v>
      </c>
      <c r="AL12">
        <f>'2012_2015'!AJ12</f>
        <v>1.92E-3</v>
      </c>
      <c r="AM12">
        <f>'2012_2015'!AK12</f>
        <v>1.8799999999999999E-3</v>
      </c>
      <c r="AN12">
        <f>'2012_2015'!AL12</f>
        <v>1.8799999999999999E-3</v>
      </c>
      <c r="AO12">
        <f>'2012_2015'!AM12</f>
        <v>1.8400000000000001E-3</v>
      </c>
      <c r="AP12">
        <f>'2012_2015'!AN12</f>
        <v>1.7600000000000001E-3</v>
      </c>
      <c r="AQ12">
        <f>'2012_2015'!AO12</f>
        <v>1.64E-3</v>
      </c>
      <c r="AR12">
        <f>'2012_2015'!AP12</f>
        <v>1.57E-3</v>
      </c>
      <c r="AS12">
        <f>'2012_2015'!AQ12</f>
        <v>1.4300000000000001E-3</v>
      </c>
      <c r="AT12">
        <f>'2012_2015'!AR12</f>
        <v>1.2700000000000001E-3</v>
      </c>
      <c r="AU12">
        <f>'2012_2015'!AS12</f>
        <v>1.1199999999999999E-3</v>
      </c>
      <c r="AV12">
        <f>'2012_2015'!AT12</f>
        <v>9.5E-4</v>
      </c>
      <c r="AW12">
        <f>'2012_2015'!AU12</f>
        <v>8.9499999999999996E-4</v>
      </c>
      <c r="AX12">
        <f>'2012_2015'!AV12</f>
        <v>8.8500000000000004E-4</v>
      </c>
      <c r="AY12">
        <f>'2012_2015'!AW12</f>
        <v>8.4800000000000001E-4</v>
      </c>
      <c r="AZ12">
        <f>'2012_2015'!AX12</f>
        <v>8.5099999999999998E-4</v>
      </c>
      <c r="BA12">
        <f>'2012_2015'!AY12</f>
        <v>7.4299999999999995E-4</v>
      </c>
      <c r="BB12">
        <f>'2012_2015'!AZ12</f>
        <v>7.0100000000000002E-4</v>
      </c>
      <c r="BC12">
        <f>'2012_2015'!BA12</f>
        <v>6.1799999999999995E-4</v>
      </c>
      <c r="BD12">
        <f>'2012_2015'!BB12</f>
        <v>5.6599999999999999E-4</v>
      </c>
      <c r="BE12">
        <f>'2012_2015'!BC12</f>
        <v>4.8799999999999999E-4</v>
      </c>
      <c r="BF12">
        <f>'2012_2015'!BD12</f>
        <v>3.21E-4</v>
      </c>
      <c r="BG12">
        <f>'2012_2015'!BE12</f>
        <v>1.8100000000000001E-4</v>
      </c>
      <c r="BH12">
        <f>'2012_2015'!BF12</f>
        <v>1.12E-4</v>
      </c>
      <c r="BI12">
        <f>'2012_2015'!BG12</f>
        <v>8.2000000000000001E-5</v>
      </c>
      <c r="BJ12">
        <f>'2012_2015'!BH12</f>
        <v>1.13E-4</v>
      </c>
      <c r="BK12">
        <f>'2012_2015'!BI12</f>
        <v>6.4800000000000003E-5</v>
      </c>
      <c r="BL12">
        <f>'2012_2015'!BJ12</f>
        <v>6.8899999999999994E-5</v>
      </c>
      <c r="BM12">
        <f>'2012_2015'!BK12</f>
        <v>7.8999999999999996E-5</v>
      </c>
      <c r="BN12">
        <f>'2012_2015'!BL12</f>
        <v>6.7999999999999999E-5</v>
      </c>
      <c r="BO12">
        <f>'2012_2015'!BM12</f>
        <v>-5.99E-7</v>
      </c>
      <c r="BP12">
        <f>'2012_2015'!BN12</f>
        <v>-1.44E-4</v>
      </c>
      <c r="BQ12">
        <f>'2012_2015'!BO12</f>
        <v>-2.03E-4</v>
      </c>
      <c r="BR12">
        <f>'2012_2015'!BP12</f>
        <v>-2.2699999999999999E-4</v>
      </c>
      <c r="BS12">
        <f>'2012_2015'!BQ12</f>
        <v>-2.5700000000000001E-4</v>
      </c>
      <c r="BT12">
        <f>'2012_2015'!BR12</f>
        <v>-3.5199999999999999E-4</v>
      </c>
      <c r="BU12">
        <f>'2012_2015'!BS12</f>
        <v>-4.0900000000000002E-4</v>
      </c>
      <c r="BV12">
        <f>'2012_2015'!BT12</f>
        <v>-4.6500000000000003E-4</v>
      </c>
      <c r="BW12">
        <f>'2012_2015'!BU12</f>
        <v>-5.62E-4</v>
      </c>
      <c r="BX12">
        <f>'2012_2015'!BV12</f>
        <v>-4.4900000000000002E-4</v>
      </c>
      <c r="BY12">
        <f>'2012_2015'!BW12</f>
        <v>-5.8E-4</v>
      </c>
      <c r="BZ12">
        <f>'2012_2015'!BX12</f>
        <v>-5.8699999999999996E-4</v>
      </c>
      <c r="CA12">
        <f>'2012_2015'!BY12</f>
        <v>-5.9100000000000005E-4</v>
      </c>
      <c r="CB12">
        <f>'2012_2015'!BZ12</f>
        <v>-6.8800000000000003E-4</v>
      </c>
      <c r="CC12">
        <f>'2012_2015'!CA12</f>
        <v>-6.9800000000000005E-4</v>
      </c>
      <c r="CD12">
        <f>'2012_2015'!CB12</f>
        <v>-6.5899999999999997E-4</v>
      </c>
      <c r="CE12">
        <f>'2012_2015'!CC12</f>
        <v>-6.2200000000000005E-4</v>
      </c>
      <c r="CF12">
        <f>'2012_2015'!CD12</f>
        <v>-6.1499999999999999E-4</v>
      </c>
      <c r="CG12">
        <f>'2012_2015'!CE12</f>
        <v>-7.5900000000000002E-4</v>
      </c>
      <c r="CH12">
        <f>'2012_2015'!CF12</f>
        <v>-7.0200000000000004E-4</v>
      </c>
      <c r="CI12">
        <f>'2012_2015'!CG12</f>
        <v>-5.6999999999999998E-4</v>
      </c>
      <c r="CJ12">
        <f>'2012_2015'!CH12</f>
        <v>-4.9299999999999995E-4</v>
      </c>
      <c r="CK12">
        <f>'2012_2015'!CI12</f>
        <v>-6.4199999999999999E-4</v>
      </c>
      <c r="CL12">
        <f>'2012_2015'!CJ12</f>
        <v>-5.6899999999999995E-4</v>
      </c>
      <c r="CM12">
        <f>'2012_2015'!CK12</f>
        <v>-4.7600000000000002E-4</v>
      </c>
      <c r="CN12">
        <f>'2012_2015'!CL12</f>
        <v>-7.0299999999999996E-4</v>
      </c>
      <c r="CO12">
        <f>'2012_2015'!CM12</f>
        <v>-6.6500000000000001E-4</v>
      </c>
      <c r="CP12">
        <f>'2012_2015'!CN12</f>
        <v>-5.0100000000000003E-4</v>
      </c>
      <c r="CQ12">
        <f>'2012_2015'!CO12</f>
        <v>-6.5899999999999997E-4</v>
      </c>
      <c r="CR12">
        <f>'2012_2015'!CP12</f>
        <v>-7.6999999999999996E-4</v>
      </c>
      <c r="CS12">
        <f>'2012_2015'!CQ12</f>
        <v>-5.7399999999999997E-4</v>
      </c>
      <c r="CT12">
        <f>'2012_2015'!CR12</f>
        <v>-4.6799999999999999E-4</v>
      </c>
      <c r="CU12">
        <f>'2012_2015'!CS12</f>
        <v>-2.24E-4</v>
      </c>
      <c r="CV12">
        <f>'2012_2015'!CT12</f>
        <v>-3.19E-4</v>
      </c>
      <c r="CW12">
        <f>'2012_2015'!CU12</f>
        <v>-5.7600000000000001E-4</v>
      </c>
      <c r="CX12">
        <f>'2012_2015'!CV12</f>
        <v>-5.8600000000000004E-4</v>
      </c>
    </row>
    <row r="13" spans="1:102" x14ac:dyDescent="0.2">
      <c r="A13" t="s">
        <v>214</v>
      </c>
      <c r="B13" t="s">
        <v>218</v>
      </c>
      <c r="C13" t="s">
        <v>102</v>
      </c>
      <c r="D13">
        <f>'2012_2015'!B13</f>
        <v>5.3899999999999998E-4</v>
      </c>
      <c r="E13">
        <f>'2012_2015'!C13</f>
        <v>4.1100000000000002E-4</v>
      </c>
      <c r="F13">
        <f>'2012_2015'!D13</f>
        <v>3.2899999999999997E-4</v>
      </c>
      <c r="G13">
        <f>'2012_2015'!E13</f>
        <v>2.63E-4</v>
      </c>
      <c r="H13">
        <f>'2012_2015'!F13</f>
        <v>2.0900000000000001E-4</v>
      </c>
      <c r="I13">
        <f>'2012_2015'!G13</f>
        <v>1.2400000000000001E-4</v>
      </c>
      <c r="J13">
        <f>'2012_2015'!H13</f>
        <v>3.2199999999999997E-5</v>
      </c>
      <c r="K13">
        <f>'2012_2015'!I13</f>
        <v>-3.4999999999999997E-5</v>
      </c>
      <c r="L13">
        <f>'2012_2015'!J13</f>
        <v>1.04E-5</v>
      </c>
      <c r="M13">
        <f>'2012_2015'!K13</f>
        <v>-2.6999999999999999E-5</v>
      </c>
      <c r="N13">
        <f>'2012_2015'!L13</f>
        <v>-4.18E-5</v>
      </c>
      <c r="O13">
        <f>'2012_2015'!M13</f>
        <v>-3.1099999999999997E-5</v>
      </c>
      <c r="P13">
        <f>'2012_2015'!N13</f>
        <v>1.8399999999999999E-8</v>
      </c>
      <c r="Q13">
        <f>'2012_2015'!O13</f>
        <v>-6.0800000000000001E-5</v>
      </c>
      <c r="R13">
        <f>'2012_2015'!P13</f>
        <v>-3.8899999999999997E-5</v>
      </c>
      <c r="S13">
        <f>'2012_2015'!Q13</f>
        <v>1.81E-6</v>
      </c>
      <c r="T13">
        <f>'2012_2015'!R13</f>
        <v>-7.5599999999999994E-5</v>
      </c>
      <c r="U13">
        <f>'2012_2015'!S13</f>
        <v>-3.6600000000000002E-5</v>
      </c>
      <c r="V13">
        <f>'2012_2015'!T13</f>
        <v>-4.6400000000000003E-5</v>
      </c>
      <c r="W13">
        <f>'2012_2015'!U13</f>
        <v>-5.5399999999999998E-5</v>
      </c>
      <c r="X13">
        <f>'2012_2015'!V13</f>
        <v>-3.6000000000000001E-5</v>
      </c>
      <c r="Y13">
        <f>'2012_2015'!W13</f>
        <v>-5.5800000000000001E-5</v>
      </c>
      <c r="Z13">
        <f>'2012_2015'!X13</f>
        <v>-4.1300000000000001E-5</v>
      </c>
      <c r="AA13">
        <f>'2012_2015'!Y13</f>
        <v>-5.3600000000000002E-5</v>
      </c>
      <c r="AB13">
        <f>'2012_2015'!Z13</f>
        <v>-5.5800000000000001E-5</v>
      </c>
      <c r="AC13">
        <f>'2012_2015'!AA13</f>
        <v>-8.2200000000000006E-5</v>
      </c>
      <c r="AD13">
        <f>'2012_2015'!AB13</f>
        <v>-4.9299999999999999E-5</v>
      </c>
      <c r="AE13">
        <f>'2012_2015'!AC13</f>
        <v>-6.5099999999999997E-5</v>
      </c>
      <c r="AF13">
        <f>'2012_2015'!AD13</f>
        <v>-6.8499999999999998E-5</v>
      </c>
      <c r="AG13">
        <f>'2012_2015'!AE13</f>
        <v>3.6399999999999999E-6</v>
      </c>
      <c r="AH13">
        <f>'2012_2015'!AF13</f>
        <v>-2.2399999999999999E-5</v>
      </c>
      <c r="AI13">
        <f>'2012_2015'!AG13</f>
        <v>-4.9799999999999998E-5</v>
      </c>
      <c r="AJ13">
        <f>'2012_2015'!AH13</f>
        <v>-4.1600000000000002E-5</v>
      </c>
      <c r="AK13">
        <f>'2012_2015'!AI13</f>
        <v>-7.8499999999999997E-5</v>
      </c>
      <c r="AL13">
        <f>'2012_2015'!AJ13</f>
        <v>-4.7599999999999998E-5</v>
      </c>
      <c r="AM13">
        <f>'2012_2015'!AK13</f>
        <v>-3.1000000000000001E-5</v>
      </c>
      <c r="AN13">
        <f>'2012_2015'!AL13</f>
        <v>-6.7899999999999997E-5</v>
      </c>
      <c r="AO13">
        <f>'2012_2015'!AM13</f>
        <v>-3.65E-5</v>
      </c>
      <c r="AP13">
        <f>'2012_2015'!AN13</f>
        <v>-5.8400000000000003E-5</v>
      </c>
      <c r="AQ13">
        <f>'2012_2015'!AO13</f>
        <v>-3.93E-5</v>
      </c>
      <c r="AR13">
        <f>'2012_2015'!AP13</f>
        <v>-1.6099999999999998E-5</v>
      </c>
      <c r="AS13">
        <f>'2012_2015'!AQ13</f>
        <v>-5.3000000000000001E-5</v>
      </c>
      <c r="AT13">
        <f>'2012_2015'!AR13</f>
        <v>-5.1100000000000002E-5</v>
      </c>
      <c r="AU13">
        <f>'2012_2015'!AS13</f>
        <v>-4.8999999999999998E-5</v>
      </c>
      <c r="AV13">
        <f>'2012_2015'!AT13</f>
        <v>-5.1700000000000003E-5</v>
      </c>
      <c r="AW13">
        <f>'2012_2015'!AU13</f>
        <v>-1.3900000000000001E-5</v>
      </c>
      <c r="AX13">
        <f>'2012_2015'!AV13</f>
        <v>-6.6199999999999996E-5</v>
      </c>
      <c r="AY13">
        <f>'2012_2015'!AW13</f>
        <v>-2.5599999999999999E-5</v>
      </c>
      <c r="AZ13">
        <f>'2012_2015'!AX13</f>
        <v>1.84E-5</v>
      </c>
      <c r="BA13">
        <f>'2012_2015'!AY13</f>
        <v>-1.3200000000000001E-5</v>
      </c>
      <c r="BB13">
        <f>'2012_2015'!AZ13</f>
        <v>-8.1300000000000001E-6</v>
      </c>
      <c r="BC13">
        <f>'2012_2015'!BA13</f>
        <v>-5.31E-6</v>
      </c>
      <c r="BD13">
        <f>'2012_2015'!BB13</f>
        <v>-3.41E-6</v>
      </c>
      <c r="BE13">
        <f>'2012_2015'!BC13</f>
        <v>2.7300000000000001E-6</v>
      </c>
      <c r="BF13">
        <f>'2012_2015'!BD13</f>
        <v>2.4300000000000001E-5</v>
      </c>
      <c r="BG13">
        <f>'2012_2015'!BE13</f>
        <v>1.47E-5</v>
      </c>
      <c r="BH13">
        <f>'2012_2015'!BF13</f>
        <v>7.8099999999999998E-6</v>
      </c>
      <c r="BI13">
        <f>'2012_2015'!BG13</f>
        <v>1.5500000000000001E-5</v>
      </c>
      <c r="BJ13">
        <f>'2012_2015'!BH13</f>
        <v>-3.96E-5</v>
      </c>
      <c r="BK13">
        <f>'2012_2015'!BI13</f>
        <v>1.01E-4</v>
      </c>
      <c r="BL13">
        <f>'2012_2015'!BJ13</f>
        <v>2.1299999999999999E-5</v>
      </c>
      <c r="BM13">
        <f>'2012_2015'!BK13</f>
        <v>6.8200000000000004E-5</v>
      </c>
      <c r="BN13">
        <f>'2012_2015'!BL13</f>
        <v>8.9400000000000005E-5</v>
      </c>
      <c r="BO13">
        <f>'2012_2015'!BM13</f>
        <v>9.6500000000000001E-5</v>
      </c>
      <c r="BP13">
        <f>'2012_2015'!BN13</f>
        <v>8.1600000000000005E-5</v>
      </c>
      <c r="BQ13">
        <f>'2012_2015'!BO13</f>
        <v>7.1000000000000005E-5</v>
      </c>
      <c r="BR13">
        <f>'2012_2015'!BP13</f>
        <v>1.05E-4</v>
      </c>
      <c r="BS13">
        <f>'2012_2015'!BQ13</f>
        <v>5.1799999999999999E-5</v>
      </c>
      <c r="BT13">
        <f>'2012_2015'!BR13</f>
        <v>1.1400000000000001E-4</v>
      </c>
      <c r="BU13">
        <f>'2012_2015'!BS13</f>
        <v>1.15E-4</v>
      </c>
      <c r="BV13">
        <f>'2012_2015'!BT13</f>
        <v>7.8499999999999997E-5</v>
      </c>
      <c r="BW13">
        <f>'2012_2015'!BU13</f>
        <v>9.2E-5</v>
      </c>
      <c r="BX13">
        <f>'2012_2015'!BV13</f>
        <v>1.47E-4</v>
      </c>
      <c r="BY13">
        <f>'2012_2015'!BW13</f>
        <v>1.2300000000000001E-4</v>
      </c>
      <c r="BZ13">
        <f>'2012_2015'!BX13</f>
        <v>1.06E-4</v>
      </c>
      <c r="CA13">
        <f>'2012_2015'!BY13</f>
        <v>7.7100000000000004E-5</v>
      </c>
      <c r="CB13">
        <f>'2012_2015'!BZ13</f>
        <v>1.66E-4</v>
      </c>
      <c r="CC13">
        <f>'2012_2015'!CA13</f>
        <v>1.4799999999999999E-4</v>
      </c>
      <c r="CD13">
        <f>'2012_2015'!CB13</f>
        <v>1.95E-4</v>
      </c>
      <c r="CE13">
        <f>'2012_2015'!CC13</f>
        <v>2.0000000000000001E-4</v>
      </c>
      <c r="CF13">
        <f>'2012_2015'!CD13</f>
        <v>2.0799999999999999E-4</v>
      </c>
      <c r="CG13">
        <f>'2012_2015'!CE13</f>
        <v>2.1000000000000001E-4</v>
      </c>
      <c r="CH13">
        <f>'2012_2015'!CF13</f>
        <v>1.93E-4</v>
      </c>
      <c r="CI13">
        <f>'2012_2015'!CG13</f>
        <v>2.5799999999999998E-4</v>
      </c>
      <c r="CJ13">
        <f>'2012_2015'!CH13</f>
        <v>2.2900000000000001E-4</v>
      </c>
      <c r="CK13">
        <f>'2012_2015'!CI13</f>
        <v>3.19E-4</v>
      </c>
      <c r="CL13">
        <f>'2012_2015'!CJ13</f>
        <v>2.9799999999999998E-4</v>
      </c>
      <c r="CM13">
        <f>'2012_2015'!CK13</f>
        <v>2.3800000000000001E-4</v>
      </c>
      <c r="CN13">
        <f>'2012_2015'!CL13</f>
        <v>3.1500000000000001E-4</v>
      </c>
      <c r="CO13">
        <f>'2012_2015'!CM13</f>
        <v>3.19E-4</v>
      </c>
      <c r="CP13">
        <f>'2012_2015'!CN13</f>
        <v>3.5799999999999997E-4</v>
      </c>
      <c r="CQ13">
        <f>'2012_2015'!CO13</f>
        <v>4.26E-4</v>
      </c>
      <c r="CR13">
        <f>'2012_2015'!CP13</f>
        <v>4.75E-4</v>
      </c>
      <c r="CS13">
        <f>'2012_2015'!CQ13</f>
        <v>2.9700000000000001E-4</v>
      </c>
      <c r="CT13">
        <f>'2012_2015'!CR13</f>
        <v>5.0299999999999997E-4</v>
      </c>
      <c r="CU13">
        <f>'2012_2015'!CS13</f>
        <v>3.39E-4</v>
      </c>
      <c r="CV13">
        <f>'2012_2015'!CT13</f>
        <v>3.4699999999999998E-4</v>
      </c>
      <c r="CW13">
        <f>'2012_2015'!CU13</f>
        <v>2.34E-4</v>
      </c>
      <c r="CX13">
        <f>'2012_2015'!CV13</f>
        <v>2.1599999999999999E-4</v>
      </c>
    </row>
    <row r="14" spans="1:102" x14ac:dyDescent="0.2">
      <c r="A14" t="s">
        <v>215</v>
      </c>
      <c r="B14" t="s">
        <v>218</v>
      </c>
      <c r="C14" t="s">
        <v>102</v>
      </c>
      <c r="D14">
        <f>'2012_2015'!B14</f>
        <v>1.61E-2</v>
      </c>
      <c r="E14">
        <f>'2012_2015'!C14</f>
        <v>2.0500000000000001E-2</v>
      </c>
      <c r="F14">
        <f>'2012_2015'!D14</f>
        <v>1.9699999999999999E-2</v>
      </c>
      <c r="G14">
        <f>'2012_2015'!E14</f>
        <v>0.02</v>
      </c>
      <c r="H14">
        <f>'2012_2015'!F14</f>
        <v>1.7899999999999999E-2</v>
      </c>
      <c r="I14">
        <f>'2012_2015'!G14</f>
        <v>1.83E-2</v>
      </c>
      <c r="J14">
        <f>'2012_2015'!H14</f>
        <v>1.7399999999999999E-2</v>
      </c>
      <c r="K14">
        <f>'2012_2015'!I14</f>
        <v>1.5900000000000001E-2</v>
      </c>
      <c r="L14">
        <f>'2012_2015'!J14</f>
        <v>1.5900000000000001E-2</v>
      </c>
      <c r="M14">
        <f>'2012_2015'!K14</f>
        <v>1.2500000000000001E-2</v>
      </c>
      <c r="N14">
        <f>'2012_2015'!L14</f>
        <v>1.18E-2</v>
      </c>
      <c r="O14">
        <f>'2012_2015'!M14</f>
        <v>1.0999999999999999E-2</v>
      </c>
      <c r="P14">
        <f>'2012_2015'!N14</f>
        <v>9.8899999999999995E-3</v>
      </c>
      <c r="Q14">
        <f>'2012_2015'!O14</f>
        <v>8.6999999999999994E-3</v>
      </c>
      <c r="R14">
        <f>'2012_2015'!P14</f>
        <v>6.9300000000000004E-3</v>
      </c>
      <c r="S14">
        <f>'2012_2015'!Q14</f>
        <v>6.2599999999999999E-3</v>
      </c>
      <c r="T14">
        <f>'2012_2015'!R14</f>
        <v>5.7200000000000003E-3</v>
      </c>
      <c r="U14">
        <f>'2012_2015'!S14</f>
        <v>5.4999999999999997E-3</v>
      </c>
      <c r="V14">
        <f>'2012_2015'!T14</f>
        <v>5.1000000000000004E-3</v>
      </c>
      <c r="W14">
        <f>'2012_2015'!U14</f>
        <v>4.8700000000000002E-3</v>
      </c>
      <c r="X14">
        <f>'2012_2015'!V14</f>
        <v>4.6699999999999997E-3</v>
      </c>
      <c r="Y14">
        <f>'2012_2015'!W14</f>
        <v>4.5599999999999998E-3</v>
      </c>
      <c r="Z14">
        <f>'2012_2015'!X14</f>
        <v>4.4600000000000004E-3</v>
      </c>
      <c r="AA14">
        <f>'2012_2015'!Y14</f>
        <v>4.3499999999999997E-3</v>
      </c>
      <c r="AB14">
        <f>'2012_2015'!Z14</f>
        <v>4.2599999999999999E-3</v>
      </c>
      <c r="AC14">
        <f>'2012_2015'!AA14</f>
        <v>4.1099999999999999E-3</v>
      </c>
      <c r="AD14">
        <f>'2012_2015'!AB14</f>
        <v>3.9699999999999996E-3</v>
      </c>
      <c r="AE14">
        <f>'2012_2015'!AC14</f>
        <v>3.8600000000000001E-3</v>
      </c>
      <c r="AF14">
        <f>'2012_2015'!AD14</f>
        <v>3.79E-3</v>
      </c>
      <c r="AG14">
        <f>'2012_2015'!AE14</f>
        <v>3.79E-3</v>
      </c>
      <c r="AH14">
        <f>'2012_2015'!AF14</f>
        <v>3.7699999999999999E-3</v>
      </c>
      <c r="AI14">
        <f>'2012_2015'!AG14</f>
        <v>3.7100000000000002E-3</v>
      </c>
      <c r="AJ14">
        <f>'2012_2015'!AH14</f>
        <v>3.65E-3</v>
      </c>
      <c r="AK14">
        <f>'2012_2015'!AI14</f>
        <v>3.6800000000000001E-3</v>
      </c>
      <c r="AL14">
        <f>'2012_2015'!AJ14</f>
        <v>3.65E-3</v>
      </c>
      <c r="AM14">
        <f>'2012_2015'!AK14</f>
        <v>3.5999999999999999E-3</v>
      </c>
      <c r="AN14">
        <f>'2012_2015'!AL14</f>
        <v>3.5999999999999999E-3</v>
      </c>
      <c r="AO14">
        <f>'2012_2015'!AM14</f>
        <v>3.5599999999999998E-3</v>
      </c>
      <c r="AP14">
        <f>'2012_2015'!AN14</f>
        <v>3.5799999999999998E-3</v>
      </c>
      <c r="AQ14">
        <f>'2012_2015'!AO14</f>
        <v>3.5599999999999998E-3</v>
      </c>
      <c r="AR14">
        <f>'2012_2015'!AP14</f>
        <v>3.5500000000000002E-3</v>
      </c>
      <c r="AS14">
        <f>'2012_2015'!AQ14</f>
        <v>3.5000000000000001E-3</v>
      </c>
      <c r="AT14">
        <f>'2012_2015'!AR14</f>
        <v>3.47E-3</v>
      </c>
      <c r="AU14">
        <f>'2012_2015'!AS14</f>
        <v>3.3899999999999998E-3</v>
      </c>
      <c r="AV14">
        <f>'2012_2015'!AT14</f>
        <v>3.2299999999999998E-3</v>
      </c>
      <c r="AW14">
        <f>'2012_2015'!AU14</f>
        <v>3.1099999999999999E-3</v>
      </c>
      <c r="AX14">
        <f>'2012_2015'!AV14</f>
        <v>3.0999999999999999E-3</v>
      </c>
      <c r="AY14">
        <f>'2012_2015'!AW14</f>
        <v>3.0500000000000002E-3</v>
      </c>
      <c r="AZ14">
        <f>'2012_2015'!AX14</f>
        <v>2.8800000000000002E-3</v>
      </c>
      <c r="BA14">
        <f>'2012_2015'!AY14</f>
        <v>2.9099999999999998E-3</v>
      </c>
      <c r="BB14">
        <f>'2012_2015'!AZ14</f>
        <v>2.8500000000000001E-3</v>
      </c>
      <c r="BC14">
        <f>'2012_2015'!BA14</f>
        <v>2.9299999999999999E-3</v>
      </c>
      <c r="BD14">
        <f>'2012_2015'!BB14</f>
        <v>3.0000000000000001E-3</v>
      </c>
      <c r="BE14">
        <f>'2012_2015'!BC14</f>
        <v>2.9499999999999999E-3</v>
      </c>
      <c r="BF14">
        <f>'2012_2015'!BD14</f>
        <v>2.9399999999999999E-3</v>
      </c>
      <c r="BG14">
        <f>'2012_2015'!BE14</f>
        <v>2.8600000000000001E-3</v>
      </c>
      <c r="BH14">
        <f>'2012_2015'!BF14</f>
        <v>2.7200000000000002E-3</v>
      </c>
      <c r="BI14">
        <f>'2012_2015'!BG14</f>
        <v>2.5400000000000002E-3</v>
      </c>
      <c r="BJ14">
        <f>'2012_2015'!BH14</f>
        <v>2.4099999999999998E-3</v>
      </c>
      <c r="BK14">
        <f>'2012_2015'!BI14</f>
        <v>2.3700000000000001E-3</v>
      </c>
      <c r="BL14">
        <f>'2012_2015'!BJ14</f>
        <v>2.2200000000000002E-3</v>
      </c>
      <c r="BM14">
        <f>'2012_2015'!BK14</f>
        <v>2.1199999999999999E-3</v>
      </c>
      <c r="BN14">
        <f>'2012_2015'!BL14</f>
        <v>2.1800000000000001E-3</v>
      </c>
      <c r="BO14">
        <f>'2012_2015'!BM14</f>
        <v>2.1099999999999999E-3</v>
      </c>
      <c r="BP14">
        <f>'2012_2015'!BN14</f>
        <v>1.98E-3</v>
      </c>
      <c r="BQ14">
        <f>'2012_2015'!BO14</f>
        <v>1.8400000000000001E-3</v>
      </c>
      <c r="BR14">
        <f>'2012_2015'!BP14</f>
        <v>1.7700000000000001E-3</v>
      </c>
      <c r="BS14">
        <f>'2012_2015'!BQ14</f>
        <v>1.6900000000000001E-3</v>
      </c>
      <c r="BT14">
        <f>'2012_2015'!BR14</f>
        <v>1.4E-3</v>
      </c>
      <c r="BU14">
        <f>'2012_2015'!BS14</f>
        <v>1.2099999999999999E-3</v>
      </c>
      <c r="BV14">
        <f>'2012_2015'!BT14</f>
        <v>1.0300000000000001E-3</v>
      </c>
      <c r="BW14">
        <f>'2012_2015'!BU14</f>
        <v>8.7900000000000001E-4</v>
      </c>
      <c r="BX14">
        <f>'2012_2015'!BV14</f>
        <v>7.67E-4</v>
      </c>
      <c r="BY14">
        <f>'2012_2015'!BW14</f>
        <v>6.7299999999999999E-4</v>
      </c>
      <c r="BZ14">
        <f>'2012_2015'!BX14</f>
        <v>4.1300000000000001E-4</v>
      </c>
      <c r="CA14">
        <f>'2012_2015'!BY14</f>
        <v>3.1500000000000001E-4</v>
      </c>
      <c r="CB14">
        <f>'2012_2015'!BZ14</f>
        <v>1.2999999999999999E-4</v>
      </c>
      <c r="CC14">
        <f>'2012_2015'!CA14</f>
        <v>-1.1900000000000001E-4</v>
      </c>
      <c r="CD14">
        <f>'2012_2015'!CB14</f>
        <v>-3.9399999999999998E-4</v>
      </c>
      <c r="CE14">
        <f>'2012_2015'!CC14</f>
        <v>-8.1300000000000003E-4</v>
      </c>
      <c r="CF14">
        <f>'2012_2015'!CD14</f>
        <v>-1.07E-3</v>
      </c>
      <c r="CG14">
        <f>'2012_2015'!CE14</f>
        <v>-1.2099999999999999E-3</v>
      </c>
      <c r="CH14">
        <f>'2012_2015'!CF14</f>
        <v>-1.25E-3</v>
      </c>
      <c r="CI14">
        <f>'2012_2015'!CG14</f>
        <v>-1.4300000000000001E-3</v>
      </c>
      <c r="CJ14">
        <f>'2012_2015'!CH14</f>
        <v>-1.7600000000000001E-3</v>
      </c>
      <c r="CK14">
        <f>'2012_2015'!CI14</f>
        <v>-2.6800000000000001E-3</v>
      </c>
      <c r="CL14">
        <f>'2012_2015'!CJ14</f>
        <v>-3.0799999999999998E-3</v>
      </c>
      <c r="CM14">
        <f>'2012_2015'!CK14</f>
        <v>-3.16E-3</v>
      </c>
      <c r="CN14">
        <f>'2012_2015'!CL14</f>
        <v>-3.79E-3</v>
      </c>
      <c r="CO14">
        <f>'2012_2015'!CM14</f>
        <v>-3.9199999999999999E-3</v>
      </c>
      <c r="CP14">
        <f>'2012_2015'!CN14</f>
        <v>-3.8999999999999998E-3</v>
      </c>
      <c r="CQ14">
        <f>'2012_2015'!CO14</f>
        <v>-4.7999999999999996E-3</v>
      </c>
      <c r="CR14">
        <f>'2012_2015'!CP14</f>
        <v>-5.4200000000000003E-3</v>
      </c>
      <c r="CS14">
        <f>'2012_2015'!CQ14</f>
        <v>-4.4000000000000003E-3</v>
      </c>
      <c r="CT14">
        <f>'2012_2015'!CR14</f>
        <v>-5.5900000000000004E-3</v>
      </c>
      <c r="CU14">
        <f>'2012_2015'!CS14</f>
        <v>-4.9500000000000004E-3</v>
      </c>
      <c r="CV14">
        <f>'2012_2015'!CT14</f>
        <v>-6.3099999999999996E-3</v>
      </c>
      <c r="CW14">
        <f>'2012_2015'!CU14</f>
        <v>-6.9499999999999996E-3</v>
      </c>
      <c r="CX14">
        <f>'2012_2015'!CV14</f>
        <v>-7.9600000000000001E-3</v>
      </c>
    </row>
    <row r="15" spans="1:102" x14ac:dyDescent="0.2">
      <c r="A15" t="s">
        <v>208</v>
      </c>
      <c r="B15" t="s">
        <v>219</v>
      </c>
      <c r="C15" t="s">
        <v>102</v>
      </c>
      <c r="D15">
        <f>'2012_2015'!B15</f>
        <v>0.437</v>
      </c>
      <c r="E15">
        <f>'2012_2015'!C15</f>
        <v>0.20799999999999999</v>
      </c>
      <c r="F15">
        <f>'2012_2015'!D15</f>
        <v>-3.9399999999999998E-2</v>
      </c>
      <c r="G15">
        <f>'2012_2015'!E15</f>
        <v>-4.0899999999999999E-2</v>
      </c>
      <c r="H15">
        <f>'2012_2015'!F15</f>
        <v>-0.16800000000000001</v>
      </c>
      <c r="I15">
        <f>'2012_2015'!G15</f>
        <v>-9.2399999999999996E-2</v>
      </c>
      <c r="J15">
        <f>'2012_2015'!H15</f>
        <v>-0.19</v>
      </c>
      <c r="K15">
        <f>'2012_2015'!I15</f>
        <v>-0.16200000000000001</v>
      </c>
      <c r="L15">
        <f>'2012_2015'!J15</f>
        <v>-0.17699999999999999</v>
      </c>
      <c r="M15">
        <f>'2012_2015'!K15</f>
        <v>-0.13400000000000001</v>
      </c>
      <c r="N15">
        <f>'2012_2015'!L15</f>
        <v>-0.2</v>
      </c>
      <c r="O15">
        <f>'2012_2015'!M15</f>
        <v>-0.28000000000000003</v>
      </c>
      <c r="P15">
        <f>'2012_2015'!N15</f>
        <v>-0.26400000000000001</v>
      </c>
      <c r="Q15">
        <f>'2012_2015'!O15</f>
        <v>-0.21199999999999999</v>
      </c>
      <c r="R15">
        <f>'2012_2015'!P15</f>
        <v>-0.123</v>
      </c>
      <c r="S15">
        <f>'2012_2015'!Q15</f>
        <v>-9.3399999999999997E-2</v>
      </c>
      <c r="T15">
        <f>'2012_2015'!R15</f>
        <v>-9.1200000000000003E-2</v>
      </c>
      <c r="U15">
        <f>'2012_2015'!S15</f>
        <v>-9.11E-2</v>
      </c>
      <c r="V15">
        <f>'2012_2015'!T15</f>
        <v>-6.6600000000000006E-2</v>
      </c>
      <c r="W15">
        <f>'2012_2015'!U15</f>
        <v>-6.1699999999999998E-2</v>
      </c>
      <c r="X15">
        <f>'2012_2015'!V15</f>
        <v>-6.3700000000000007E-2</v>
      </c>
      <c r="Y15">
        <f>'2012_2015'!W15</f>
        <v>-7.3700000000000002E-2</v>
      </c>
      <c r="Z15">
        <f>'2012_2015'!X15</f>
        <v>-7.9399999999999998E-2</v>
      </c>
      <c r="AA15">
        <f>'2012_2015'!Y15</f>
        <v>-8.0399999999999999E-2</v>
      </c>
      <c r="AB15">
        <f>'2012_2015'!Z15</f>
        <v>-6.7500000000000004E-2</v>
      </c>
      <c r="AC15">
        <f>'2012_2015'!AA15</f>
        <v>-5.28E-2</v>
      </c>
      <c r="AD15">
        <f>'2012_2015'!AB15</f>
        <v>-4.2799999999999998E-2</v>
      </c>
      <c r="AE15">
        <f>'2012_2015'!AC15</f>
        <v>-3.9399999999999998E-2</v>
      </c>
      <c r="AF15">
        <f>'2012_2015'!AD15</f>
        <v>-3.3300000000000003E-2</v>
      </c>
      <c r="AG15">
        <f>'2012_2015'!AE15</f>
        <v>-2.9399999999999999E-2</v>
      </c>
      <c r="AH15">
        <f>'2012_2015'!AF15</f>
        <v>-2.8400000000000002E-2</v>
      </c>
      <c r="AI15">
        <f>'2012_2015'!AG15</f>
        <v>-2.1000000000000001E-2</v>
      </c>
      <c r="AJ15">
        <f>'2012_2015'!AH15</f>
        <v>-2.81E-3</v>
      </c>
      <c r="AK15">
        <f>'2012_2015'!AI15</f>
        <v>4.8500000000000001E-3</v>
      </c>
      <c r="AL15">
        <f>'2012_2015'!AJ15</f>
        <v>1.38E-2</v>
      </c>
      <c r="AM15">
        <f>'2012_2015'!AK15</f>
        <v>1.09E-2</v>
      </c>
      <c r="AN15">
        <f>'2012_2015'!AL15</f>
        <v>6.4400000000000004E-3</v>
      </c>
      <c r="AO15">
        <f>'2012_2015'!AM15</f>
        <v>-6.5900000000000004E-3</v>
      </c>
      <c r="AP15">
        <f>'2012_2015'!AN15</f>
        <v>-3.2000000000000001E-2</v>
      </c>
      <c r="AQ15">
        <f>'2012_2015'!AO15</f>
        <v>-5.8200000000000002E-2</v>
      </c>
      <c r="AR15">
        <f>'2012_2015'!AP15</f>
        <v>-6.7199999999999996E-2</v>
      </c>
      <c r="AS15">
        <f>'2012_2015'!AQ15</f>
        <v>-7.6999999999999999E-2</v>
      </c>
      <c r="AT15">
        <f>'2012_2015'!AR15</f>
        <v>-7.7799999999999994E-2</v>
      </c>
      <c r="AU15">
        <f>'2012_2015'!AS15</f>
        <v>-7.7200000000000005E-2</v>
      </c>
      <c r="AV15">
        <f>'2012_2015'!AT15</f>
        <v>-6.4899999999999999E-2</v>
      </c>
      <c r="AW15">
        <f>'2012_2015'!AU15</f>
        <v>-3.6400000000000002E-2</v>
      </c>
      <c r="AX15">
        <f>'2012_2015'!AV15</f>
        <v>-1.8800000000000001E-2</v>
      </c>
      <c r="AY15">
        <f>'2012_2015'!AW15</f>
        <v>-1.5299999999999999E-2</v>
      </c>
      <c r="AZ15">
        <f>'2012_2015'!AX15</f>
        <v>-7.11E-3</v>
      </c>
      <c r="BA15">
        <f>'2012_2015'!AY15</f>
        <v>-7.9900000000000006E-3</v>
      </c>
      <c r="BB15">
        <f>'2012_2015'!AZ15</f>
        <v>-2.2499999999999999E-2</v>
      </c>
      <c r="BC15">
        <f>'2012_2015'!BA15</f>
        <v>-6.3200000000000006E-2</v>
      </c>
      <c r="BD15">
        <f>'2012_2015'!BB15</f>
        <v>-9.1499999999999998E-2</v>
      </c>
      <c r="BE15">
        <f>'2012_2015'!BC15</f>
        <v>-0.111</v>
      </c>
      <c r="BF15">
        <f>'2012_2015'!BD15</f>
        <v>-0.11700000000000001</v>
      </c>
      <c r="BG15">
        <f>'2012_2015'!BE15</f>
        <v>-0.126</v>
      </c>
      <c r="BH15">
        <f>'2012_2015'!BF15</f>
        <v>-0.114</v>
      </c>
      <c r="BI15">
        <f>'2012_2015'!BG15</f>
        <v>-8.3799999999999999E-2</v>
      </c>
      <c r="BJ15">
        <f>'2012_2015'!BH15</f>
        <v>-6.5100000000000005E-2</v>
      </c>
      <c r="BK15">
        <f>'2012_2015'!BI15</f>
        <v>-4.6800000000000001E-2</v>
      </c>
      <c r="BL15">
        <f>'2012_2015'!BJ15</f>
        <v>-4.3499999999999997E-2</v>
      </c>
      <c r="BM15">
        <f>'2012_2015'!BK15</f>
        <v>-5.5599999999999997E-2</v>
      </c>
      <c r="BN15">
        <f>'2012_2015'!BL15</f>
        <v>-7.3599999999999999E-2</v>
      </c>
      <c r="BO15">
        <f>'2012_2015'!BM15</f>
        <v>-0.10100000000000001</v>
      </c>
      <c r="BP15">
        <f>'2012_2015'!BN15</f>
        <v>-0.124</v>
      </c>
      <c r="BQ15">
        <f>'2012_2015'!BO15</f>
        <v>-0.127</v>
      </c>
      <c r="BR15">
        <f>'2012_2015'!BP15</f>
        <v>-0.123</v>
      </c>
      <c r="BS15">
        <f>'2012_2015'!BQ15</f>
        <v>-9.8299999999999998E-2</v>
      </c>
      <c r="BT15">
        <f>'2012_2015'!BR15</f>
        <v>-7.5700000000000003E-2</v>
      </c>
      <c r="BU15">
        <f>'2012_2015'!BS15</f>
        <v>-4.9399999999999999E-2</v>
      </c>
      <c r="BV15">
        <f>'2012_2015'!BT15</f>
        <v>-6.0499999999999998E-2</v>
      </c>
      <c r="BW15">
        <f>'2012_2015'!BU15</f>
        <v>-5.1999999999999998E-2</v>
      </c>
      <c r="BX15">
        <f>'2012_2015'!BV15</f>
        <v>-6.0900000000000003E-2</v>
      </c>
      <c r="BY15">
        <f>'2012_2015'!BW15</f>
        <v>-9.1899999999999996E-2</v>
      </c>
      <c r="BZ15">
        <f>'2012_2015'!BX15</f>
        <v>-0.14399999999999999</v>
      </c>
      <c r="CA15">
        <f>'2012_2015'!BY15</f>
        <v>-0.16400000000000001</v>
      </c>
      <c r="CB15">
        <f>'2012_2015'!BZ15</f>
        <v>-0.158</v>
      </c>
      <c r="CC15">
        <f>'2012_2015'!CA15</f>
        <v>-0.188</v>
      </c>
      <c r="CD15">
        <f>'2012_2015'!CB15</f>
        <v>-0.20200000000000001</v>
      </c>
      <c r="CE15">
        <f>'2012_2015'!CC15</f>
        <v>-8.1299999999999997E-2</v>
      </c>
      <c r="CF15">
        <f>'2012_2015'!CD15</f>
        <v>-5.3199999999999997E-2</v>
      </c>
      <c r="CG15">
        <f>'2012_2015'!CE15</f>
        <v>-4.8000000000000001E-2</v>
      </c>
      <c r="CH15">
        <f>'2012_2015'!CF15</f>
        <v>-2.8500000000000001E-2</v>
      </c>
      <c r="CI15">
        <f>'2012_2015'!CG15</f>
        <v>-1.72E-2</v>
      </c>
      <c r="CJ15">
        <f>'2012_2015'!CH15</f>
        <v>-2.9700000000000001E-2</v>
      </c>
      <c r="CK15">
        <f>'2012_2015'!CI15</f>
        <v>-0.23100000000000001</v>
      </c>
      <c r="CL15">
        <f>'2012_2015'!CJ15</f>
        <v>-0.21199999999999999</v>
      </c>
      <c r="CM15">
        <f>'2012_2015'!CK15</f>
        <v>-0.14099999999999999</v>
      </c>
      <c r="CN15">
        <f>'2012_2015'!CL15</f>
        <v>-5.8099999999999999E-2</v>
      </c>
      <c r="CO15">
        <f>'2012_2015'!CM15</f>
        <v>-4.7199999999999999E-2</v>
      </c>
      <c r="CP15">
        <f>'2012_2015'!CN15</f>
        <v>-0.122</v>
      </c>
      <c r="CQ15">
        <f>'2012_2015'!CO15</f>
        <v>-0.255</v>
      </c>
      <c r="CR15">
        <f>'2012_2015'!CP15</f>
        <v>-0.159</v>
      </c>
      <c r="CS15">
        <f>'2012_2015'!CQ15</f>
        <v>-0.17499999999999999</v>
      </c>
      <c r="CT15">
        <f>'2012_2015'!CR15</f>
        <v>-0.14799999999999999</v>
      </c>
      <c r="CU15">
        <f>'2012_2015'!CS15</f>
        <v>3.4000000000000002E-2</v>
      </c>
      <c r="CV15">
        <f>'2012_2015'!CT15</f>
        <v>-0.105</v>
      </c>
      <c r="CW15">
        <f>'2012_2015'!CU15</f>
        <v>-4.2599999999999999E-2</v>
      </c>
      <c r="CX15">
        <f>'2012_2015'!CV15</f>
        <v>-2.86E-2</v>
      </c>
    </row>
    <row r="16" spans="1:102" x14ac:dyDescent="0.2">
      <c r="A16" t="s">
        <v>209</v>
      </c>
      <c r="B16" t="s">
        <v>219</v>
      </c>
      <c r="C16" t="s">
        <v>102</v>
      </c>
      <c r="D16">
        <f>'2012_2015'!B16</f>
        <v>-8.6099999999999996E-3</v>
      </c>
      <c r="E16">
        <f>'2012_2015'!C16</f>
        <v>4.9099999999999998E-2</v>
      </c>
      <c r="F16">
        <f>'2012_2015'!D16</f>
        <v>-0.115</v>
      </c>
      <c r="G16">
        <f>'2012_2015'!E16</f>
        <v>-9.8000000000000004E-2</v>
      </c>
      <c r="H16">
        <f>'2012_2015'!F16</f>
        <v>-0.127</v>
      </c>
      <c r="I16">
        <f>'2012_2015'!G16</f>
        <v>-0.105</v>
      </c>
      <c r="J16">
        <f>'2012_2015'!H16</f>
        <v>-0.13300000000000001</v>
      </c>
      <c r="K16">
        <f>'2012_2015'!I16</f>
        <v>-0.128</v>
      </c>
      <c r="L16">
        <f>'2012_2015'!J16</f>
        <v>-0.11799999999999999</v>
      </c>
      <c r="M16">
        <f>'2012_2015'!K16</f>
        <v>-0.10299999999999999</v>
      </c>
      <c r="N16">
        <f>'2012_2015'!L16</f>
        <v>-0.123</v>
      </c>
      <c r="O16">
        <f>'2012_2015'!M16</f>
        <v>-0.159</v>
      </c>
      <c r="P16">
        <f>'2012_2015'!N16</f>
        <v>-0.14699999999999999</v>
      </c>
      <c r="Q16">
        <f>'2012_2015'!O16</f>
        <v>-0.11600000000000001</v>
      </c>
      <c r="R16">
        <f>'2012_2015'!P16</f>
        <v>-6.3600000000000004E-2</v>
      </c>
      <c r="S16">
        <f>'2012_2015'!Q16</f>
        <v>-4.4699999999999997E-2</v>
      </c>
      <c r="T16">
        <f>'2012_2015'!R16</f>
        <v>-4.6100000000000002E-2</v>
      </c>
      <c r="U16">
        <f>'2012_2015'!S16</f>
        <v>-3.9100000000000003E-2</v>
      </c>
      <c r="V16">
        <f>'2012_2015'!T16</f>
        <v>-2.7E-2</v>
      </c>
      <c r="W16">
        <f>'2012_2015'!U16</f>
        <v>-1.7299999999999999E-2</v>
      </c>
      <c r="X16">
        <f>'2012_2015'!V16</f>
        <v>-1.9199999999999998E-2</v>
      </c>
      <c r="Y16">
        <f>'2012_2015'!W16</f>
        <v>-3.0499999999999999E-2</v>
      </c>
      <c r="Z16">
        <f>'2012_2015'!X16</f>
        <v>-3.61E-2</v>
      </c>
      <c r="AA16">
        <f>'2012_2015'!Y16</f>
        <v>-4.0099999999999997E-2</v>
      </c>
      <c r="AB16">
        <f>'2012_2015'!Z16</f>
        <v>-0.03</v>
      </c>
      <c r="AC16">
        <f>'2012_2015'!AA16</f>
        <v>-1.7500000000000002E-2</v>
      </c>
      <c r="AD16">
        <f>'2012_2015'!AB16</f>
        <v>-1.4200000000000001E-2</v>
      </c>
      <c r="AE16">
        <f>'2012_2015'!AC16</f>
        <v>-1.0200000000000001E-2</v>
      </c>
      <c r="AF16">
        <f>'2012_2015'!AD16</f>
        <v>2.0600000000000002E-3</v>
      </c>
      <c r="AG16">
        <f>'2012_2015'!AE16</f>
        <v>1.06E-2</v>
      </c>
      <c r="AH16">
        <f>'2012_2015'!AF16</f>
        <v>7.2399999999999999E-3</v>
      </c>
      <c r="AI16">
        <f>'2012_2015'!AG16</f>
        <v>1.5699999999999999E-2</v>
      </c>
      <c r="AJ16">
        <f>'2012_2015'!AH16</f>
        <v>3.5999999999999997E-2</v>
      </c>
      <c r="AK16">
        <f>'2012_2015'!AI16</f>
        <v>4.2599999999999999E-2</v>
      </c>
      <c r="AL16">
        <f>'2012_2015'!AJ16</f>
        <v>4.5100000000000001E-2</v>
      </c>
      <c r="AM16">
        <f>'2012_2015'!AK16</f>
        <v>5.04E-2</v>
      </c>
      <c r="AN16">
        <f>'2012_2015'!AL16</f>
        <v>4.8300000000000003E-2</v>
      </c>
      <c r="AO16">
        <f>'2012_2015'!AM16</f>
        <v>4.0800000000000003E-2</v>
      </c>
      <c r="AP16">
        <f>'2012_2015'!AN16</f>
        <v>1.83E-2</v>
      </c>
      <c r="AQ16">
        <f>'2012_2015'!AO16</f>
        <v>-4.0999999999999999E-4</v>
      </c>
      <c r="AR16">
        <f>'2012_2015'!AP16</f>
        <v>-4.0200000000000001E-3</v>
      </c>
      <c r="AS16">
        <f>'2012_2015'!AQ16</f>
        <v>-1.84E-2</v>
      </c>
      <c r="AT16">
        <f>'2012_2015'!AR16</f>
        <v>-1.37E-2</v>
      </c>
      <c r="AU16">
        <f>'2012_2015'!AS16</f>
        <v>-1.5900000000000001E-2</v>
      </c>
      <c r="AV16">
        <f>'2012_2015'!AT16</f>
        <v>3.0000000000000001E-3</v>
      </c>
      <c r="AW16">
        <f>'2012_2015'!AU16</f>
        <v>2.69E-2</v>
      </c>
      <c r="AX16">
        <f>'2012_2015'!AV16</f>
        <v>5.8299999999999998E-2</v>
      </c>
      <c r="AY16">
        <f>'2012_2015'!AW16</f>
        <v>5.7099999999999998E-2</v>
      </c>
      <c r="AZ16">
        <f>'2012_2015'!AX16</f>
        <v>6.4199999999999993E-2</v>
      </c>
      <c r="BA16">
        <f>'2012_2015'!AY16</f>
        <v>6.2799999999999995E-2</v>
      </c>
      <c r="BB16">
        <f>'2012_2015'!AZ16</f>
        <v>4.8899999999999999E-2</v>
      </c>
      <c r="BC16">
        <f>'2012_2015'!BA16</f>
        <v>1.38E-2</v>
      </c>
      <c r="BD16">
        <f>'2012_2015'!BB16</f>
        <v>-1.67E-2</v>
      </c>
      <c r="BE16">
        <f>'2012_2015'!BC16</f>
        <v>-2.64E-2</v>
      </c>
      <c r="BF16">
        <f>'2012_2015'!BD16</f>
        <v>-2.86E-2</v>
      </c>
      <c r="BG16">
        <f>'2012_2015'!BE16</f>
        <v>-3.1699999999999999E-2</v>
      </c>
      <c r="BH16">
        <f>'2012_2015'!BF16</f>
        <v>-2.2700000000000001E-2</v>
      </c>
      <c r="BI16">
        <f>'2012_2015'!BG16</f>
        <v>3.8899999999999998E-3</v>
      </c>
      <c r="BJ16">
        <f>'2012_2015'!BH16</f>
        <v>1.4999999999999999E-2</v>
      </c>
      <c r="BK16">
        <f>'2012_2015'!BI16</f>
        <v>1.8200000000000001E-2</v>
      </c>
      <c r="BL16">
        <f>'2012_2015'!BJ16</f>
        <v>2.3599999999999999E-2</v>
      </c>
      <c r="BM16">
        <f>'2012_2015'!BK16</f>
        <v>1.72E-2</v>
      </c>
      <c r="BN16">
        <f>'2012_2015'!BL16</f>
        <v>-8.9899999999999997E-3</v>
      </c>
      <c r="BO16">
        <f>'2012_2015'!BM16</f>
        <v>-3.3500000000000002E-2</v>
      </c>
      <c r="BP16">
        <f>'2012_2015'!BN16</f>
        <v>-5.7299999999999997E-2</v>
      </c>
      <c r="BQ16">
        <f>'2012_2015'!BO16</f>
        <v>-6.2799999999999995E-2</v>
      </c>
      <c r="BR16">
        <f>'2012_2015'!BP16</f>
        <v>-5.7599999999999998E-2</v>
      </c>
      <c r="BS16">
        <f>'2012_2015'!BQ16</f>
        <v>-3.3599999999999998E-2</v>
      </c>
      <c r="BT16">
        <f>'2012_2015'!BR16</f>
        <v>-1.3899999999999999E-2</v>
      </c>
      <c r="BU16">
        <f>'2012_2015'!BS16</f>
        <v>1.35E-2</v>
      </c>
      <c r="BV16">
        <f>'2012_2015'!BT16</f>
        <v>-2.82E-3</v>
      </c>
      <c r="BW16">
        <f>'2012_2015'!BU16</f>
        <v>2.6700000000000001E-3</v>
      </c>
      <c r="BX16">
        <f>'2012_2015'!BV16</f>
        <v>-2.8300000000000001E-3</v>
      </c>
      <c r="BY16">
        <f>'2012_2015'!BW16</f>
        <v>-3.2399999999999998E-2</v>
      </c>
      <c r="BZ16">
        <f>'2012_2015'!BX16</f>
        <v>-9.0999999999999998E-2</v>
      </c>
      <c r="CA16">
        <f>'2012_2015'!BY16</f>
        <v>-0.107</v>
      </c>
      <c r="CB16">
        <f>'2012_2015'!BZ16</f>
        <v>-0.10199999999999999</v>
      </c>
      <c r="CC16">
        <f>'2012_2015'!CA16</f>
        <v>-0.128</v>
      </c>
      <c r="CD16">
        <f>'2012_2015'!CB16</f>
        <v>-0.13400000000000001</v>
      </c>
      <c r="CE16">
        <f>'2012_2015'!CC16</f>
        <v>9.1500000000000001E-4</v>
      </c>
      <c r="CF16">
        <f>'2012_2015'!CD16</f>
        <v>1.5599999999999999E-2</v>
      </c>
      <c r="CG16">
        <f>'2012_2015'!CE16</f>
        <v>1.23E-2</v>
      </c>
      <c r="CH16">
        <f>'2012_2015'!CF16</f>
        <v>3.6400000000000002E-2</v>
      </c>
      <c r="CI16">
        <f>'2012_2015'!CG16</f>
        <v>2.9600000000000001E-2</v>
      </c>
      <c r="CJ16">
        <f>'2012_2015'!CH16</f>
        <v>2.52E-2</v>
      </c>
      <c r="CK16">
        <f>'2012_2015'!CI16</f>
        <v>-0.182</v>
      </c>
      <c r="CL16">
        <f>'2012_2015'!CJ16</f>
        <v>-0.16900000000000001</v>
      </c>
      <c r="CM16">
        <f>'2012_2015'!CK16</f>
        <v>-0.113</v>
      </c>
      <c r="CN16">
        <f>'2012_2015'!CL16</f>
        <v>-2.7799999999999998E-2</v>
      </c>
      <c r="CO16">
        <f>'2012_2015'!CM16</f>
        <v>-3.5200000000000001E-3</v>
      </c>
      <c r="CP16">
        <f>'2012_2015'!CN16</f>
        <v>-8.2900000000000001E-2</v>
      </c>
      <c r="CQ16">
        <f>'2012_2015'!CO16</f>
        <v>-0.224</v>
      </c>
      <c r="CR16">
        <f>'2012_2015'!CP16</f>
        <v>-0.14599999999999999</v>
      </c>
      <c r="CS16">
        <f>'2012_2015'!CQ16</f>
        <v>-0.16</v>
      </c>
      <c r="CT16">
        <f>'2012_2015'!CR16</f>
        <v>-0.155</v>
      </c>
      <c r="CU16">
        <f>'2012_2015'!CS16</f>
        <v>3.7199999999999997E-2</v>
      </c>
      <c r="CV16">
        <f>'2012_2015'!CT16</f>
        <v>-0.14599999999999999</v>
      </c>
      <c r="CW16">
        <f>'2012_2015'!CU16</f>
        <v>-9.2600000000000002E-2</v>
      </c>
      <c r="CX16">
        <f>'2012_2015'!CV16</f>
        <v>-1.32E-2</v>
      </c>
    </row>
    <row r="17" spans="1:102" x14ac:dyDescent="0.2">
      <c r="A17" t="s">
        <v>210</v>
      </c>
      <c r="B17" t="s">
        <v>219</v>
      </c>
      <c r="C17" t="s">
        <v>102</v>
      </c>
      <c r="D17">
        <f>'2012_2015'!B17</f>
        <v>-9.7000000000000003E-3</v>
      </c>
      <c r="E17">
        <f>'2012_2015'!C17</f>
        <v>-1.9400000000000001E-2</v>
      </c>
      <c r="F17">
        <f>'2012_2015'!D17</f>
        <v>8.6899999999999998E-3</v>
      </c>
      <c r="G17">
        <f>'2012_2015'!E17</f>
        <v>1.25E-3</v>
      </c>
      <c r="H17">
        <f>'2012_2015'!F17</f>
        <v>2.1899999999999999E-2</v>
      </c>
      <c r="I17">
        <f>'2012_2015'!G17</f>
        <v>1.0999999999999999E-2</v>
      </c>
      <c r="J17">
        <f>'2012_2015'!H17</f>
        <v>1.5699999999999999E-2</v>
      </c>
      <c r="K17">
        <f>'2012_2015'!I17</f>
        <v>1.3100000000000001E-2</v>
      </c>
      <c r="L17">
        <f>'2012_2015'!J17</f>
        <v>9.7000000000000003E-3</v>
      </c>
      <c r="M17">
        <f>'2012_2015'!K17</f>
        <v>5.3E-3</v>
      </c>
      <c r="N17">
        <f>'2012_2015'!L17</f>
        <v>1.23E-2</v>
      </c>
      <c r="O17">
        <f>'2012_2015'!M17</f>
        <v>1.8700000000000001E-2</v>
      </c>
      <c r="P17">
        <f>'2012_2015'!N17</f>
        <v>1.61E-2</v>
      </c>
      <c r="Q17">
        <f>'2012_2015'!O17</f>
        <v>9.11E-3</v>
      </c>
      <c r="R17">
        <f>'2012_2015'!P17</f>
        <v>1.6199999999999999E-3</v>
      </c>
      <c r="S17">
        <f>'2012_2015'!Q17</f>
        <v>-1.73E-3</v>
      </c>
      <c r="T17">
        <f>'2012_2015'!R17</f>
        <v>-1.6000000000000001E-3</v>
      </c>
      <c r="U17">
        <f>'2012_2015'!S17</f>
        <v>-2.4599999999999999E-3</v>
      </c>
      <c r="V17">
        <f>'2012_2015'!T17</f>
        <v>-4.6800000000000001E-3</v>
      </c>
      <c r="W17">
        <f>'2012_2015'!U17</f>
        <v>-4.3099999999999996E-3</v>
      </c>
      <c r="X17">
        <f>'2012_2015'!V17</f>
        <v>-1.3799999999999999E-3</v>
      </c>
      <c r="Y17">
        <f>'2012_2015'!W17</f>
        <v>5.52E-5</v>
      </c>
      <c r="Z17">
        <f>'2012_2015'!X17</f>
        <v>1.16E-3</v>
      </c>
      <c r="AA17">
        <f>'2012_2015'!Y17</f>
        <v>1.66E-3</v>
      </c>
      <c r="AB17">
        <f>'2012_2015'!Z17</f>
        <v>-1.3500000000000001E-3</v>
      </c>
      <c r="AC17">
        <f>'2012_2015'!AA17</f>
        <v>-2.8400000000000001E-3</v>
      </c>
      <c r="AD17">
        <f>'2012_2015'!AB17</f>
        <v>-3.48E-3</v>
      </c>
      <c r="AE17">
        <f>'2012_2015'!AC17</f>
        <v>-3.9300000000000003E-3</v>
      </c>
      <c r="AF17">
        <f>'2012_2015'!AD17</f>
        <v>-6.1900000000000002E-3</v>
      </c>
      <c r="AG17">
        <f>'2012_2015'!AE17</f>
        <v>-6.4200000000000004E-3</v>
      </c>
      <c r="AH17">
        <f>'2012_2015'!AF17</f>
        <v>-5.4200000000000003E-3</v>
      </c>
      <c r="AI17">
        <f>'2012_2015'!AG17</f>
        <v>-7.5599999999999999E-3</v>
      </c>
      <c r="AJ17">
        <f>'2012_2015'!AH17</f>
        <v>-1.2999999999999999E-2</v>
      </c>
      <c r="AK17">
        <f>'2012_2015'!AI17</f>
        <v>-1.44E-2</v>
      </c>
      <c r="AL17">
        <f>'2012_2015'!AJ17</f>
        <v>-1.6299999999999999E-2</v>
      </c>
      <c r="AM17">
        <f>'2012_2015'!AK17</f>
        <v>-1.61E-2</v>
      </c>
      <c r="AN17">
        <f>'2012_2015'!AL17</f>
        <v>-1.6899999999999998E-2</v>
      </c>
      <c r="AO17">
        <f>'2012_2015'!AM17</f>
        <v>-1.5900000000000001E-2</v>
      </c>
      <c r="AP17">
        <f>'2012_2015'!AN17</f>
        <v>-1.0800000000000001E-2</v>
      </c>
      <c r="AQ17">
        <f>'2012_2015'!AO17</f>
        <v>-3.82E-3</v>
      </c>
      <c r="AR17">
        <f>'2012_2015'!AP17</f>
        <v>-8.5400000000000005E-4</v>
      </c>
      <c r="AS17">
        <f>'2012_2015'!AQ17</f>
        <v>1.2099999999999999E-3</v>
      </c>
      <c r="AT17">
        <f>'2012_2015'!AR17</f>
        <v>1.5900000000000001E-3</v>
      </c>
      <c r="AU17">
        <f>'2012_2015'!AS17</f>
        <v>2.15E-3</v>
      </c>
      <c r="AV17">
        <f>'2012_2015'!AT17</f>
        <v>-2.97E-3</v>
      </c>
      <c r="AW17">
        <f>'2012_2015'!AU17</f>
        <v>-9.8300000000000002E-3</v>
      </c>
      <c r="AX17">
        <f>'2012_2015'!AV17</f>
        <v>-1.66E-2</v>
      </c>
      <c r="AY17">
        <f>'2012_2015'!AW17</f>
        <v>-1.7399999999999999E-2</v>
      </c>
      <c r="AZ17">
        <f>'2012_2015'!AX17</f>
        <v>-1.8499999999999999E-2</v>
      </c>
      <c r="BA17">
        <f>'2012_2015'!AY17</f>
        <v>-1.78E-2</v>
      </c>
      <c r="BB17">
        <f>'2012_2015'!AZ17</f>
        <v>-1.6199999999999999E-2</v>
      </c>
      <c r="BC17">
        <f>'2012_2015'!BA17</f>
        <v>-7.0299999999999998E-3</v>
      </c>
      <c r="BD17">
        <f>'2012_2015'!BB17</f>
        <v>-6.0400000000000004E-4</v>
      </c>
      <c r="BE17">
        <f>'2012_2015'!BC17</f>
        <v>2.0600000000000002E-3</v>
      </c>
      <c r="BF17">
        <f>'2012_2015'!BD17</f>
        <v>2.1800000000000001E-3</v>
      </c>
      <c r="BG17">
        <f>'2012_2015'!BE17</f>
        <v>3.81E-3</v>
      </c>
      <c r="BH17">
        <f>'2012_2015'!BF17</f>
        <v>3.9100000000000003E-3</v>
      </c>
      <c r="BI17">
        <f>'2012_2015'!BG17</f>
        <v>-1.56E-3</v>
      </c>
      <c r="BJ17">
        <f>'2012_2015'!BH17</f>
        <v>-3.63E-3</v>
      </c>
      <c r="BK17">
        <f>'2012_2015'!BI17</f>
        <v>-7.0400000000000003E-3</v>
      </c>
      <c r="BL17">
        <f>'2012_2015'!BJ17</f>
        <v>-7.0299999999999998E-3</v>
      </c>
      <c r="BM17">
        <f>'2012_2015'!BK17</f>
        <v>-4.7600000000000003E-3</v>
      </c>
      <c r="BN17">
        <f>'2012_2015'!BL17</f>
        <v>2.7299999999999998E-3</v>
      </c>
      <c r="BO17">
        <f>'2012_2015'!BM17</f>
        <v>5.8300000000000001E-3</v>
      </c>
      <c r="BP17">
        <f>'2012_2015'!BN17</f>
        <v>0.01</v>
      </c>
      <c r="BQ17">
        <f>'2012_2015'!BO17</f>
        <v>1.03E-2</v>
      </c>
      <c r="BR17">
        <f>'2012_2015'!BP17</f>
        <v>1.03E-2</v>
      </c>
      <c r="BS17">
        <f>'2012_2015'!BQ17</f>
        <v>3.8500000000000001E-3</v>
      </c>
      <c r="BT17">
        <f>'2012_2015'!BR17</f>
        <v>-2.4199999999999998E-3</v>
      </c>
      <c r="BU17">
        <f>'2012_2015'!BS17</f>
        <v>-8.0000000000000002E-3</v>
      </c>
      <c r="BV17">
        <f>'2012_2015'!BT17</f>
        <v>-3.14E-3</v>
      </c>
      <c r="BW17">
        <f>'2012_2015'!BU17</f>
        <v>-5.79E-3</v>
      </c>
      <c r="BX17">
        <f>'2012_2015'!BV17</f>
        <v>-5.5199999999999997E-3</v>
      </c>
      <c r="BY17">
        <f>'2012_2015'!BW17</f>
        <v>3.0599999999999998E-3</v>
      </c>
      <c r="BZ17">
        <f>'2012_2015'!BX17</f>
        <v>1.67E-2</v>
      </c>
      <c r="CA17">
        <f>'2012_2015'!BY17</f>
        <v>1.9E-2</v>
      </c>
      <c r="CB17">
        <f>'2012_2015'!BZ17</f>
        <v>1.43E-2</v>
      </c>
      <c r="CC17">
        <f>'2012_2015'!CA17</f>
        <v>2.2100000000000002E-2</v>
      </c>
      <c r="CD17">
        <f>'2012_2015'!CB17</f>
        <v>2.47E-2</v>
      </c>
      <c r="CE17">
        <f>'2012_2015'!CC17</f>
        <v>-7.1000000000000004E-3</v>
      </c>
      <c r="CF17">
        <f>'2012_2015'!CD17</f>
        <v>-9.8300000000000002E-3</v>
      </c>
      <c r="CG17">
        <f>'2012_2015'!CE17</f>
        <v>-9.8799999999999999E-3</v>
      </c>
      <c r="CH17">
        <f>'2012_2015'!CF17</f>
        <v>-9.7900000000000001E-3</v>
      </c>
      <c r="CI17">
        <f>'2012_2015'!CG17</f>
        <v>-1.54E-2</v>
      </c>
      <c r="CJ17">
        <f>'2012_2015'!CH17</f>
        <v>-1.4500000000000001E-2</v>
      </c>
      <c r="CK17">
        <f>'2012_2015'!CI17</f>
        <v>2.69E-2</v>
      </c>
      <c r="CL17">
        <f>'2012_2015'!CJ17</f>
        <v>2.75E-2</v>
      </c>
      <c r="CM17">
        <f>'2012_2015'!CK17</f>
        <v>1.9599999999999999E-2</v>
      </c>
      <c r="CN17">
        <f>'2012_2015'!CL17</f>
        <v>-1.47E-3</v>
      </c>
      <c r="CO17">
        <f>'2012_2015'!CM17</f>
        <v>-3.8E-3</v>
      </c>
      <c r="CP17">
        <f>'2012_2015'!CN17</f>
        <v>2.0199999999999999E-2</v>
      </c>
      <c r="CQ17">
        <f>'2012_2015'!CO17</f>
        <v>5.1999999999999998E-2</v>
      </c>
      <c r="CR17">
        <f>'2012_2015'!CP17</f>
        <v>2.3800000000000002E-2</v>
      </c>
      <c r="CS17">
        <f>'2012_2015'!CQ17</f>
        <v>2.7099999999999999E-2</v>
      </c>
      <c r="CT17">
        <f>'2012_2015'!CR17</f>
        <v>3.2199999999999999E-2</v>
      </c>
      <c r="CU17">
        <f>'2012_2015'!CS17</f>
        <v>-2.1000000000000001E-2</v>
      </c>
      <c r="CV17">
        <f>'2012_2015'!CT17</f>
        <v>6.0800000000000003E-3</v>
      </c>
      <c r="CW17">
        <f>'2012_2015'!CU17</f>
        <v>1.01E-2</v>
      </c>
      <c r="CX17">
        <f>'2012_2015'!CV17</f>
        <v>1.55E-2</v>
      </c>
    </row>
    <row r="18" spans="1:102" x14ac:dyDescent="0.2">
      <c r="A18" t="s">
        <v>211</v>
      </c>
      <c r="B18" t="s">
        <v>219</v>
      </c>
      <c r="C18" t="s">
        <v>102</v>
      </c>
      <c r="D18">
        <f>'2012_2015'!B18</f>
        <v>1.6500000000000001E-2</v>
      </c>
      <c r="E18">
        <f>'2012_2015'!C18</f>
        <v>1.12E-2</v>
      </c>
      <c r="F18">
        <f>'2012_2015'!D18</f>
        <v>2.5499999999999998E-2</v>
      </c>
      <c r="G18">
        <f>'2012_2015'!E18</f>
        <v>1.7899999999999999E-2</v>
      </c>
      <c r="H18">
        <f>'2012_2015'!F18</f>
        <v>2.06E-2</v>
      </c>
      <c r="I18">
        <f>'2012_2015'!G18</f>
        <v>1.6199999999999999E-2</v>
      </c>
      <c r="J18">
        <f>'2012_2015'!H18</f>
        <v>1.17E-2</v>
      </c>
      <c r="K18">
        <f>'2012_2015'!I18</f>
        <v>1.43E-2</v>
      </c>
      <c r="L18">
        <f>'2012_2015'!J18</f>
        <v>9.0500000000000008E-3</v>
      </c>
      <c r="M18">
        <f>'2012_2015'!K18</f>
        <v>8.1399999999999997E-3</v>
      </c>
      <c r="N18">
        <f>'2012_2015'!L18</f>
        <v>1.46E-2</v>
      </c>
      <c r="O18">
        <f>'2012_2015'!M18</f>
        <v>2.1499999999999998E-2</v>
      </c>
      <c r="P18">
        <f>'2012_2015'!N18</f>
        <v>1.8200000000000001E-2</v>
      </c>
      <c r="Q18">
        <f>'2012_2015'!O18</f>
        <v>1.46E-2</v>
      </c>
      <c r="R18">
        <f>'2012_2015'!P18</f>
        <v>1.0699999999999999E-2</v>
      </c>
      <c r="S18">
        <f>'2012_2015'!Q18</f>
        <v>1.21E-2</v>
      </c>
      <c r="T18">
        <f>'2012_2015'!R18</f>
        <v>8.3099999999999997E-3</v>
      </c>
      <c r="U18">
        <f>'2012_2015'!S18</f>
        <v>9.4000000000000004E-3</v>
      </c>
      <c r="V18">
        <f>'2012_2015'!T18</f>
        <v>6.8100000000000001E-3</v>
      </c>
      <c r="W18">
        <f>'2012_2015'!U18</f>
        <v>6.4900000000000001E-3</v>
      </c>
      <c r="X18">
        <f>'2012_2015'!V18</f>
        <v>8.6499999999999997E-3</v>
      </c>
      <c r="Y18">
        <f>'2012_2015'!W18</f>
        <v>8.9599999999999992E-3</v>
      </c>
      <c r="Z18">
        <f>'2012_2015'!X18</f>
        <v>9.0399999999999994E-3</v>
      </c>
      <c r="AA18">
        <f>'2012_2015'!Y18</f>
        <v>8.4799999999999997E-3</v>
      </c>
      <c r="AB18">
        <f>'2012_2015'!Z18</f>
        <v>3.1900000000000001E-3</v>
      </c>
      <c r="AC18">
        <f>'2012_2015'!AA18</f>
        <v>1.4E-3</v>
      </c>
      <c r="AD18">
        <f>'2012_2015'!AB18</f>
        <v>2.5300000000000001E-3</v>
      </c>
      <c r="AE18">
        <f>'2012_2015'!AC18</f>
        <v>2.1900000000000001E-3</v>
      </c>
      <c r="AF18">
        <f>'2012_2015'!AD18</f>
        <v>4.0200000000000001E-3</v>
      </c>
      <c r="AG18">
        <f>'2012_2015'!AE18</f>
        <v>5.7499999999999999E-3</v>
      </c>
      <c r="AH18">
        <f>'2012_2015'!AF18</f>
        <v>4.0699999999999998E-3</v>
      </c>
      <c r="AI18">
        <f>'2012_2015'!AG18</f>
        <v>3.0699999999999998E-3</v>
      </c>
      <c r="AJ18">
        <f>'2012_2015'!AH18</f>
        <v>1.31E-3</v>
      </c>
      <c r="AK18">
        <f>'2012_2015'!AI18</f>
        <v>-8.0199999999999998E-4</v>
      </c>
      <c r="AL18">
        <f>'2012_2015'!AJ18</f>
        <v>-1.7899999999999999E-3</v>
      </c>
      <c r="AM18">
        <f>'2012_2015'!AK18</f>
        <v>-2.8500000000000001E-3</v>
      </c>
      <c r="AN18">
        <f>'2012_2015'!AL18</f>
        <v>-2.7799999999999999E-3</v>
      </c>
      <c r="AO18">
        <f>'2012_2015'!AM18</f>
        <v>3.3300000000000001E-3</v>
      </c>
      <c r="AP18">
        <f>'2012_2015'!AN18</f>
        <v>5.3099999999999996E-3</v>
      </c>
      <c r="AQ18">
        <f>'2012_2015'!AO18</f>
        <v>6.3400000000000001E-3</v>
      </c>
      <c r="AR18">
        <f>'2012_2015'!AP18</f>
        <v>4.7800000000000004E-3</v>
      </c>
      <c r="AS18">
        <f>'2012_2015'!AQ18</f>
        <v>3.3400000000000001E-3</v>
      </c>
      <c r="AT18">
        <f>'2012_2015'!AR18</f>
        <v>3.7000000000000002E-3</v>
      </c>
      <c r="AU18">
        <f>'2012_2015'!AS18</f>
        <v>3.65E-3</v>
      </c>
      <c r="AV18">
        <f>'2012_2015'!AT18</f>
        <v>6.2899999999999996E-3</v>
      </c>
      <c r="AW18">
        <f>'2012_2015'!AU18</f>
        <v>5.1399999999999996E-3</v>
      </c>
      <c r="AX18">
        <f>'2012_2015'!AV18</f>
        <v>3.4099999999999998E-3</v>
      </c>
      <c r="AY18">
        <f>'2012_2015'!AW18</f>
        <v>-1.63E-4</v>
      </c>
      <c r="AZ18">
        <f>'2012_2015'!AX18</f>
        <v>7.0600000000000003E-4</v>
      </c>
      <c r="BA18">
        <f>'2012_2015'!AY18</f>
        <v>2.0300000000000001E-3</v>
      </c>
      <c r="BB18">
        <f>'2012_2015'!AZ18</f>
        <v>1.56E-3</v>
      </c>
      <c r="BC18">
        <f>'2012_2015'!BA18</f>
        <v>3.81E-3</v>
      </c>
      <c r="BD18">
        <f>'2012_2015'!BB18</f>
        <v>4.1700000000000001E-3</v>
      </c>
      <c r="BE18">
        <f>'2012_2015'!BC18</f>
        <v>8.4100000000000008E-3</v>
      </c>
      <c r="BF18">
        <f>'2012_2015'!BD18</f>
        <v>1.29E-2</v>
      </c>
      <c r="BG18">
        <f>'2012_2015'!BE18</f>
        <v>1.1599999999999999E-2</v>
      </c>
      <c r="BH18">
        <f>'2012_2015'!BF18</f>
        <v>1.15E-2</v>
      </c>
      <c r="BI18">
        <f>'2012_2015'!BG18</f>
        <v>8.1899999999999994E-3</v>
      </c>
      <c r="BJ18">
        <f>'2012_2015'!BH18</f>
        <v>8.26E-3</v>
      </c>
      <c r="BK18">
        <f>'2012_2015'!BI18</f>
        <v>4.7499999999999999E-3</v>
      </c>
      <c r="BL18">
        <f>'2012_2015'!BJ18</f>
        <v>4.5799999999999999E-3</v>
      </c>
      <c r="BM18">
        <f>'2012_2015'!BK18</f>
        <v>6.8700000000000002E-3</v>
      </c>
      <c r="BN18">
        <f>'2012_2015'!BL18</f>
        <v>1.2699999999999999E-2</v>
      </c>
      <c r="BO18">
        <f>'2012_2015'!BM18</f>
        <v>1.54E-2</v>
      </c>
      <c r="BP18">
        <f>'2012_2015'!BN18</f>
        <v>1.3100000000000001E-2</v>
      </c>
      <c r="BQ18">
        <f>'2012_2015'!BO18</f>
        <v>1.34E-2</v>
      </c>
      <c r="BR18">
        <f>'2012_2015'!BP18</f>
        <v>2.06E-2</v>
      </c>
      <c r="BS18">
        <f>'2012_2015'!BQ18</f>
        <v>1.5599999999999999E-2</v>
      </c>
      <c r="BT18">
        <f>'2012_2015'!BR18</f>
        <v>9.4999999999999998E-3</v>
      </c>
      <c r="BU18">
        <f>'2012_2015'!BS18</f>
        <v>8.1700000000000002E-3</v>
      </c>
      <c r="BV18">
        <f>'2012_2015'!BT18</f>
        <v>1.09E-2</v>
      </c>
      <c r="BW18">
        <f>'2012_2015'!BU18</f>
        <v>8.5699999999999995E-3</v>
      </c>
      <c r="BX18">
        <f>'2012_2015'!BV18</f>
        <v>5.0600000000000003E-3</v>
      </c>
      <c r="BY18">
        <f>'2012_2015'!BW18</f>
        <v>7.2700000000000004E-3</v>
      </c>
      <c r="BZ18">
        <f>'2012_2015'!BX18</f>
        <v>1.67E-2</v>
      </c>
      <c r="CA18">
        <f>'2012_2015'!BY18</f>
        <v>1.6299999999999999E-2</v>
      </c>
      <c r="CB18">
        <f>'2012_2015'!BZ18</f>
        <v>9.7400000000000004E-3</v>
      </c>
      <c r="CC18">
        <f>'2012_2015'!CA18</f>
        <v>1.46E-2</v>
      </c>
      <c r="CD18">
        <f>'2012_2015'!CB18</f>
        <v>2.46E-2</v>
      </c>
      <c r="CE18">
        <f>'2012_2015'!CC18</f>
        <v>5.8300000000000001E-3</v>
      </c>
      <c r="CF18">
        <f>'2012_2015'!CD18</f>
        <v>2.0300000000000001E-3</v>
      </c>
      <c r="CG18">
        <f>'2012_2015'!CE18</f>
        <v>2.14E-3</v>
      </c>
      <c r="CH18">
        <f>'2012_2015'!CF18</f>
        <v>-4.8399999999999997E-3</v>
      </c>
      <c r="CI18">
        <f>'2012_2015'!CG18</f>
        <v>-1.2200000000000001E-2</v>
      </c>
      <c r="CJ18">
        <f>'2012_2015'!CH18</f>
        <v>-1.1900000000000001E-2</v>
      </c>
      <c r="CK18">
        <f>'2012_2015'!CI18</f>
        <v>1.7299999999999999E-2</v>
      </c>
      <c r="CL18">
        <f>'2012_2015'!CJ18</f>
        <v>7.1700000000000002E-3</v>
      </c>
      <c r="CM18">
        <f>'2012_2015'!CK18</f>
        <v>4.8399999999999997E-3</v>
      </c>
      <c r="CN18">
        <f>'2012_2015'!CL18</f>
        <v>-1.7999999999999999E-2</v>
      </c>
      <c r="CO18">
        <f>'2012_2015'!CM18</f>
        <v>-2.7699999999999999E-2</v>
      </c>
      <c r="CP18">
        <f>'2012_2015'!CN18</f>
        <v>-1.84E-2</v>
      </c>
      <c r="CQ18">
        <f>'2012_2015'!CO18</f>
        <v>1.09E-2</v>
      </c>
      <c r="CR18">
        <f>'2012_2015'!CP18</f>
        <v>-1.03E-2</v>
      </c>
      <c r="CS18">
        <f>'2012_2015'!CQ18</f>
        <v>3.1099999999999999E-3</v>
      </c>
      <c r="CT18">
        <f>'2012_2015'!CR18</f>
        <v>-5.4599999999999996E-3</v>
      </c>
      <c r="CU18">
        <f>'2012_2015'!CS18</f>
        <v>-4.6600000000000003E-2</v>
      </c>
      <c r="CV18">
        <f>'2012_2015'!CT18</f>
        <v>-2.1000000000000001E-2</v>
      </c>
      <c r="CW18">
        <f>'2012_2015'!CU18</f>
        <v>-3.27E-2</v>
      </c>
      <c r="CX18">
        <f>'2012_2015'!CV18</f>
        <v>-4.9799999999999997E-2</v>
      </c>
    </row>
    <row r="19" spans="1:102" x14ac:dyDescent="0.2">
      <c r="A19" t="s">
        <v>212</v>
      </c>
      <c r="B19" t="s">
        <v>219</v>
      </c>
      <c r="C19" t="s">
        <v>102</v>
      </c>
      <c r="D19">
        <f>'2012_2015'!B19</f>
        <v>-3.8999999999999998E-3</v>
      </c>
      <c r="E19">
        <f>'2012_2015'!C19</f>
        <v>-7.0000000000000001E-3</v>
      </c>
      <c r="F19">
        <f>'2012_2015'!D19</f>
        <v>3.7399999999999998E-3</v>
      </c>
      <c r="G19">
        <f>'2012_2015'!E19</f>
        <v>-3.0000000000000001E-3</v>
      </c>
      <c r="H19">
        <f>'2012_2015'!F19</f>
        <v>4.9699999999999996E-3</v>
      </c>
      <c r="I19">
        <f>'2012_2015'!G19</f>
        <v>1.18E-4</v>
      </c>
      <c r="J19">
        <f>'2012_2015'!H19</f>
        <v>4.3E-3</v>
      </c>
      <c r="K19">
        <f>'2012_2015'!I19</f>
        <v>4.79E-3</v>
      </c>
      <c r="L19">
        <f>'2012_2015'!J19</f>
        <v>3.3899999999999998E-3</v>
      </c>
      <c r="M19">
        <f>'2012_2015'!K19</f>
        <v>3.1099999999999999E-3</v>
      </c>
      <c r="N19">
        <f>'2012_2015'!L19</f>
        <v>7.2500000000000004E-3</v>
      </c>
      <c r="O19">
        <f>'2012_2015'!M19</f>
        <v>1.0500000000000001E-2</v>
      </c>
      <c r="P19">
        <f>'2012_2015'!N19</f>
        <v>1.01E-2</v>
      </c>
      <c r="Q19">
        <f>'2012_2015'!O19</f>
        <v>7.1900000000000002E-3</v>
      </c>
      <c r="R19">
        <f>'2012_2015'!P19</f>
        <v>3.0500000000000002E-3</v>
      </c>
      <c r="S19">
        <f>'2012_2015'!Q19</f>
        <v>2.5000000000000001E-3</v>
      </c>
      <c r="T19">
        <f>'2012_2015'!R19</f>
        <v>2.47E-3</v>
      </c>
      <c r="U19">
        <f>'2012_2015'!S19</f>
        <v>2.8400000000000001E-3</v>
      </c>
      <c r="V19">
        <f>'2012_2015'!T19</f>
        <v>1.8699999999999999E-3</v>
      </c>
      <c r="W19">
        <f>'2012_2015'!U19</f>
        <v>1.57E-3</v>
      </c>
      <c r="X19">
        <f>'2012_2015'!V19</f>
        <v>1.8E-3</v>
      </c>
      <c r="Y19">
        <f>'2012_2015'!W19</f>
        <v>1.7799999999999999E-3</v>
      </c>
      <c r="Z19">
        <f>'2012_2015'!X19</f>
        <v>1.98E-3</v>
      </c>
      <c r="AA19">
        <f>'2012_2015'!Y19</f>
        <v>1.73E-3</v>
      </c>
      <c r="AB19">
        <f>'2012_2015'!Z19</f>
        <v>1.01E-3</v>
      </c>
      <c r="AC19">
        <f>'2012_2015'!AA19</f>
        <v>9.4899999999999997E-4</v>
      </c>
      <c r="AD19">
        <f>'2012_2015'!AB19</f>
        <v>5.9500000000000004E-4</v>
      </c>
      <c r="AE19">
        <f>'2012_2015'!AC19</f>
        <v>1.7799999999999999E-4</v>
      </c>
      <c r="AF19">
        <f>'2012_2015'!AD19</f>
        <v>3.86E-4</v>
      </c>
      <c r="AG19">
        <f>'2012_2015'!AE19</f>
        <v>1.46E-4</v>
      </c>
      <c r="AH19">
        <f>'2012_2015'!AF19</f>
        <v>-1.56E-4</v>
      </c>
      <c r="AI19">
        <f>'2012_2015'!AG19</f>
        <v>-4.95E-4</v>
      </c>
      <c r="AJ19">
        <f>'2012_2015'!AH19</f>
        <v>-1.17E-3</v>
      </c>
      <c r="AK19">
        <f>'2012_2015'!AI19</f>
        <v>-1.1999999999999999E-3</v>
      </c>
      <c r="AL19">
        <f>'2012_2015'!AJ19</f>
        <v>-6.8300000000000001E-4</v>
      </c>
      <c r="AM19">
        <f>'2012_2015'!AK19</f>
        <v>-5.7300000000000005E-4</v>
      </c>
      <c r="AN19">
        <f>'2012_2015'!AL19</f>
        <v>-4.5199999999999998E-4</v>
      </c>
      <c r="AO19">
        <f>'2012_2015'!AM19</f>
        <v>-6.3299999999999994E-5</v>
      </c>
      <c r="AP19">
        <f>'2012_2015'!AN19</f>
        <v>3.59E-4</v>
      </c>
      <c r="AQ19">
        <f>'2012_2015'!AO19</f>
        <v>2.8800000000000001E-4</v>
      </c>
      <c r="AR19">
        <f>'2012_2015'!AP19</f>
        <v>4.6700000000000002E-4</v>
      </c>
      <c r="AS19">
        <f>'2012_2015'!AQ19</f>
        <v>7.9900000000000001E-4</v>
      </c>
      <c r="AT19">
        <f>'2012_2015'!AR19</f>
        <v>7.2199999999999999E-4</v>
      </c>
      <c r="AU19">
        <f>'2012_2015'!AS19</f>
        <v>5.0600000000000005E-4</v>
      </c>
      <c r="AV19">
        <f>'2012_2015'!AT19</f>
        <v>9.3199999999999999E-4</v>
      </c>
      <c r="AW19">
        <f>'2012_2015'!AU19</f>
        <v>6.1799999999999995E-4</v>
      </c>
      <c r="AX19">
        <f>'2012_2015'!AV19</f>
        <v>1.2300000000000001E-4</v>
      </c>
      <c r="AY19">
        <f>'2012_2015'!AW19</f>
        <v>-3.9800000000000002E-4</v>
      </c>
      <c r="AZ19">
        <f>'2012_2015'!AX19</f>
        <v>-5.8100000000000003E-4</v>
      </c>
      <c r="BA19">
        <f>'2012_2015'!AY19</f>
        <v>-1.08E-3</v>
      </c>
      <c r="BB19">
        <f>'2012_2015'!AZ19</f>
        <v>-1.14E-3</v>
      </c>
      <c r="BC19">
        <f>'2012_2015'!BA19</f>
        <v>-4.0000000000000002E-4</v>
      </c>
      <c r="BD19">
        <f>'2012_2015'!BB19</f>
        <v>2.5799999999999998E-4</v>
      </c>
      <c r="BE19">
        <f>'2012_2015'!BC19</f>
        <v>5.0199999999999995E-4</v>
      </c>
      <c r="BF19">
        <f>'2012_2015'!BD19</f>
        <v>1.08E-3</v>
      </c>
      <c r="BG19">
        <f>'2012_2015'!BE19</f>
        <v>8.4099999999999995E-4</v>
      </c>
      <c r="BH19">
        <f>'2012_2015'!BF19</f>
        <v>4.55E-4</v>
      </c>
      <c r="BI19">
        <f>'2012_2015'!BG19</f>
        <v>1.83E-4</v>
      </c>
      <c r="BJ19">
        <f>'2012_2015'!BH19</f>
        <v>4.3899999999999999E-4</v>
      </c>
      <c r="BK19">
        <f>'2012_2015'!BI19</f>
        <v>-1.3100000000000001E-4</v>
      </c>
      <c r="BL19">
        <f>'2012_2015'!BJ19</f>
        <v>1.4300000000000001E-4</v>
      </c>
      <c r="BM19">
        <f>'2012_2015'!BK19</f>
        <v>2.3699999999999999E-4</v>
      </c>
      <c r="BN19">
        <f>'2012_2015'!BL19</f>
        <v>5.6899999999999995E-4</v>
      </c>
      <c r="BO19">
        <f>'2012_2015'!BM19</f>
        <v>5.4699999999999996E-4</v>
      </c>
      <c r="BP19">
        <f>'2012_2015'!BN19</f>
        <v>1.2700000000000001E-3</v>
      </c>
      <c r="BQ19">
        <f>'2012_2015'!BO19</f>
        <v>1.8E-3</v>
      </c>
      <c r="BR19">
        <f>'2012_2015'!BP19</f>
        <v>2.0100000000000001E-3</v>
      </c>
      <c r="BS19">
        <f>'2012_2015'!BQ19</f>
        <v>1.23E-3</v>
      </c>
      <c r="BT19">
        <f>'2012_2015'!BR19</f>
        <v>8.1700000000000002E-4</v>
      </c>
      <c r="BU19">
        <f>'2012_2015'!BS19</f>
        <v>9.0200000000000002E-4</v>
      </c>
      <c r="BV19">
        <f>'2012_2015'!BT19</f>
        <v>1.9400000000000001E-3</v>
      </c>
      <c r="BW19">
        <f>'2012_2015'!BU19</f>
        <v>1.6900000000000001E-3</v>
      </c>
      <c r="BX19">
        <f>'2012_2015'!BV19</f>
        <v>8.7200000000000005E-4</v>
      </c>
      <c r="BY19">
        <f>'2012_2015'!BW19</f>
        <v>1.8699999999999999E-3</v>
      </c>
      <c r="BZ19">
        <f>'2012_2015'!BX19</f>
        <v>2.3999999999999998E-3</v>
      </c>
      <c r="CA19">
        <f>'2012_2015'!BY19</f>
        <v>2.8900000000000002E-3</v>
      </c>
      <c r="CB19">
        <f>'2012_2015'!BZ19</f>
        <v>2.7899999999999999E-3</v>
      </c>
      <c r="CC19">
        <f>'2012_2015'!CA19</f>
        <v>3.0899999999999999E-3</v>
      </c>
      <c r="CD19">
        <f>'2012_2015'!CB19</f>
        <v>2.7299999999999998E-3</v>
      </c>
      <c r="CE19">
        <f>'2012_2015'!CC19</f>
        <v>3.4900000000000003E-4</v>
      </c>
      <c r="CF19">
        <f>'2012_2015'!CD19</f>
        <v>-3.0499999999999999E-4</v>
      </c>
      <c r="CG19">
        <f>'2012_2015'!CE19</f>
        <v>-3.0299999999999999E-4</v>
      </c>
      <c r="CH19">
        <f>'2012_2015'!CF19</f>
        <v>-3.8900000000000002E-4</v>
      </c>
      <c r="CI19">
        <f>'2012_2015'!CG19</f>
        <v>-6.9800000000000005E-4</v>
      </c>
      <c r="CJ19">
        <f>'2012_2015'!CH19</f>
        <v>-9.9599999999999992E-4</v>
      </c>
      <c r="CK19">
        <f>'2012_2015'!CI19</f>
        <v>1.9799999999999999E-4</v>
      </c>
      <c r="CL19">
        <f>'2012_2015'!CJ19</f>
        <v>1.14E-3</v>
      </c>
      <c r="CM19">
        <f>'2012_2015'!CK19</f>
        <v>4.2999999999999999E-4</v>
      </c>
      <c r="CN19">
        <f>'2012_2015'!CL19</f>
        <v>-1.9599999999999999E-5</v>
      </c>
      <c r="CO19">
        <f>'2012_2015'!CM19</f>
        <v>-1.23E-3</v>
      </c>
      <c r="CP19">
        <f>'2012_2015'!CN19</f>
        <v>-8.5099999999999998E-4</v>
      </c>
      <c r="CQ19">
        <f>'2012_2015'!CO19</f>
        <v>4.8999999999999998E-4</v>
      </c>
      <c r="CR19">
        <f>'2012_2015'!CP19</f>
        <v>-9.7300000000000002E-4</v>
      </c>
      <c r="CS19">
        <f>'2012_2015'!CQ19</f>
        <v>-4.1199999999999999E-5</v>
      </c>
      <c r="CT19">
        <f>'2012_2015'!CR19</f>
        <v>-8.0400000000000003E-4</v>
      </c>
      <c r="CU19">
        <f>'2012_2015'!CS19</f>
        <v>-1.5200000000000001E-3</v>
      </c>
      <c r="CV19">
        <f>'2012_2015'!CT19</f>
        <v>-1.6800000000000001E-3</v>
      </c>
      <c r="CW19">
        <f>'2012_2015'!CU19</f>
        <v>-3.79E-3</v>
      </c>
      <c r="CX19">
        <f>'2012_2015'!CV19</f>
        <v>-4.9899999999999996E-3</v>
      </c>
    </row>
    <row r="20" spans="1:102" x14ac:dyDescent="0.2">
      <c r="A20" t="s">
        <v>213</v>
      </c>
      <c r="B20" t="s">
        <v>219</v>
      </c>
      <c r="C20" t="s">
        <v>102</v>
      </c>
      <c r="D20">
        <f>'2012_2015'!B20</f>
        <v>7.6499999999999999E-2</v>
      </c>
      <c r="E20">
        <f>'2012_2015'!C20</f>
        <v>0.111</v>
      </c>
      <c r="F20">
        <f>'2012_2015'!D20</f>
        <v>2.5600000000000001E-2</v>
      </c>
      <c r="G20">
        <f>'2012_2015'!E20</f>
        <v>4.0899999999999999E-2</v>
      </c>
      <c r="H20">
        <f>'2012_2015'!F20</f>
        <v>-2.9000000000000001E-2</v>
      </c>
      <c r="I20">
        <f>'2012_2015'!G20</f>
        <v>1.2500000000000001E-2</v>
      </c>
      <c r="J20">
        <f>'2012_2015'!H20</f>
        <v>-2.7799999999999998E-2</v>
      </c>
      <c r="K20">
        <f>'2012_2015'!I20</f>
        <v>-2.3199999999999998E-2</v>
      </c>
      <c r="L20">
        <f>'2012_2015'!J20</f>
        <v>-2.5999999999999999E-2</v>
      </c>
      <c r="M20">
        <f>'2012_2015'!K20</f>
        <v>-2.3199999999999998E-2</v>
      </c>
      <c r="N20">
        <f>'2012_2015'!L20</f>
        <v>-8.0100000000000005E-2</v>
      </c>
      <c r="O20">
        <f>'2012_2015'!M20</f>
        <v>-0.13800000000000001</v>
      </c>
      <c r="P20">
        <f>'2012_2015'!N20</f>
        <v>-0.14000000000000001</v>
      </c>
      <c r="Q20">
        <f>'2012_2015'!O20</f>
        <v>-0.114</v>
      </c>
      <c r="R20">
        <f>'2012_2015'!P20</f>
        <v>-7.1999999999999995E-2</v>
      </c>
      <c r="S20">
        <f>'2012_2015'!Q20</f>
        <v>-5.4800000000000001E-2</v>
      </c>
      <c r="T20">
        <f>'2012_2015'!R20</f>
        <v>-5.5500000000000001E-2</v>
      </c>
      <c r="U20">
        <f>'2012_2015'!S20</f>
        <v>-5.67E-2</v>
      </c>
      <c r="V20">
        <f>'2012_2015'!T20</f>
        <v>-4.7300000000000002E-2</v>
      </c>
      <c r="W20">
        <f>'2012_2015'!U20</f>
        <v>-4.48E-2</v>
      </c>
      <c r="X20">
        <f>'2012_2015'!V20</f>
        <v>-4.8800000000000003E-2</v>
      </c>
      <c r="Y20">
        <f>'2012_2015'!W20</f>
        <v>-5.1200000000000002E-2</v>
      </c>
      <c r="Z20">
        <f>'2012_2015'!X20</f>
        <v>-5.0799999999999998E-2</v>
      </c>
      <c r="AA20">
        <f>'2012_2015'!Y20</f>
        <v>-4.6300000000000001E-2</v>
      </c>
      <c r="AB20">
        <f>'2012_2015'!Z20</f>
        <v>-4.1399999999999999E-2</v>
      </c>
      <c r="AC20">
        <f>'2012_2015'!AA20</f>
        <v>-3.3399999999999999E-2</v>
      </c>
      <c r="AD20">
        <f>'2012_2015'!AB20</f>
        <v>-2.6700000000000002E-2</v>
      </c>
      <c r="AE20">
        <f>'2012_2015'!AC20</f>
        <v>-2.9600000000000001E-2</v>
      </c>
      <c r="AF20">
        <f>'2012_2015'!AD20</f>
        <v>-2.41E-2</v>
      </c>
      <c r="AG20">
        <f>'2012_2015'!AE20</f>
        <v>-2.3400000000000001E-2</v>
      </c>
      <c r="AH20">
        <f>'2012_2015'!AF20</f>
        <v>-2.2499999999999999E-2</v>
      </c>
      <c r="AI20">
        <f>'2012_2015'!AG20</f>
        <v>-1.6299999999999999E-2</v>
      </c>
      <c r="AJ20">
        <f>'2012_2015'!AH20</f>
        <v>-1.2999999999999999E-2</v>
      </c>
      <c r="AK20">
        <f>'2012_2015'!AI20</f>
        <v>-9.6799999999999994E-3</v>
      </c>
      <c r="AL20">
        <f>'2012_2015'!AJ20</f>
        <v>-1.11E-2</v>
      </c>
      <c r="AM20">
        <f>'2012_2015'!AK20</f>
        <v>-1.3599999999999999E-2</v>
      </c>
      <c r="AN20">
        <f>'2012_2015'!AL20</f>
        <v>-2.0299999999999999E-2</v>
      </c>
      <c r="AO20">
        <f>'2012_2015'!AM20</f>
        <v>-2.52E-2</v>
      </c>
      <c r="AP20">
        <f>'2012_2015'!AN20</f>
        <v>-2.7199999999999998E-2</v>
      </c>
      <c r="AQ20">
        <f>'2012_2015'!AO20</f>
        <v>-2.6499999999999999E-2</v>
      </c>
      <c r="AR20">
        <f>'2012_2015'!AP20</f>
        <v>-2.4299999999999999E-2</v>
      </c>
      <c r="AS20">
        <f>'2012_2015'!AQ20</f>
        <v>-1.89E-2</v>
      </c>
      <c r="AT20">
        <f>'2012_2015'!AR20</f>
        <v>-1.6E-2</v>
      </c>
      <c r="AU20">
        <f>'2012_2015'!AS20</f>
        <v>-1.04E-2</v>
      </c>
      <c r="AV20">
        <f>'2012_2015'!AT20</f>
        <v>-6.2899999999999996E-3</v>
      </c>
      <c r="AW20">
        <f>'2012_2015'!AU20</f>
        <v>-3.3400000000000001E-3</v>
      </c>
      <c r="AX20">
        <f>'2012_2015'!AV20</f>
        <v>-1.7799999999999999E-3</v>
      </c>
      <c r="AY20">
        <f>'2012_2015'!AW20</f>
        <v>-3.6900000000000001E-3</v>
      </c>
      <c r="AZ20">
        <f>'2012_2015'!AX20</f>
        <v>-0.01</v>
      </c>
      <c r="BA20">
        <f>'2012_2015'!AY20</f>
        <v>-1.1599999999999999E-2</v>
      </c>
      <c r="BB20">
        <f>'2012_2015'!AZ20</f>
        <v>-1.1299999999999999E-2</v>
      </c>
      <c r="BC20">
        <f>'2012_2015'!BA20</f>
        <v>-1.35E-2</v>
      </c>
      <c r="BD20">
        <f>'2012_2015'!BB20</f>
        <v>-1.2999999999999999E-2</v>
      </c>
      <c r="BE20">
        <f>'2012_2015'!BC20</f>
        <v>-1.29E-2</v>
      </c>
      <c r="BF20">
        <f>'2012_2015'!BD20</f>
        <v>-1.26E-2</v>
      </c>
      <c r="BG20">
        <f>'2012_2015'!BE20</f>
        <v>-7.6099999999999996E-3</v>
      </c>
      <c r="BH20">
        <f>'2012_2015'!BF20</f>
        <v>-5.8999999999999999E-3</v>
      </c>
      <c r="BI20">
        <f>'2012_2015'!BG20</f>
        <v>-8.6800000000000002E-3</v>
      </c>
      <c r="BJ20">
        <f>'2012_2015'!BH20</f>
        <v>-1.2800000000000001E-2</v>
      </c>
      <c r="BK20">
        <f>'2012_2015'!BI20</f>
        <v>-9.6399999999999993E-3</v>
      </c>
      <c r="BL20">
        <f>'2012_2015'!BJ20</f>
        <v>-9.2700000000000005E-3</v>
      </c>
      <c r="BM20">
        <f>'2012_2015'!BK20</f>
        <v>-1.2999999999999999E-2</v>
      </c>
      <c r="BN20">
        <f>'2012_2015'!BL20</f>
        <v>-1.5100000000000001E-2</v>
      </c>
      <c r="BO20">
        <f>'2012_2015'!BM20</f>
        <v>-1.4500000000000001E-2</v>
      </c>
      <c r="BP20">
        <f>'2012_2015'!BN20</f>
        <v>-8.6700000000000006E-3</v>
      </c>
      <c r="BQ20">
        <f>'2012_2015'!BO20</f>
        <v>-7.1000000000000004E-3</v>
      </c>
      <c r="BR20">
        <f>'2012_2015'!BP20</f>
        <v>-6.8300000000000001E-3</v>
      </c>
      <c r="BS20">
        <f>'2012_2015'!BQ20</f>
        <v>-6.6699999999999997E-3</v>
      </c>
      <c r="BT20">
        <f>'2012_2015'!BR20</f>
        <v>-1.01E-3</v>
      </c>
      <c r="BU20">
        <f>'2012_2015'!BS20</f>
        <v>-1.56E-3</v>
      </c>
      <c r="BV20">
        <f>'2012_2015'!BT20</f>
        <v>1.32E-3</v>
      </c>
      <c r="BW20">
        <f>'2012_2015'!BU20</f>
        <v>2.4099999999999998E-3</v>
      </c>
      <c r="BX20">
        <f>'2012_2015'!BV20</f>
        <v>-3.64E-3</v>
      </c>
      <c r="BY20">
        <f>'2012_2015'!BW20</f>
        <v>-5.4099999999999999E-3</v>
      </c>
      <c r="BZ20">
        <f>'2012_2015'!BX20</f>
        <v>-5.8700000000000002E-3</v>
      </c>
      <c r="CA20">
        <f>'2012_2015'!BY20</f>
        <v>-6.3900000000000003E-4</v>
      </c>
      <c r="CB20">
        <f>'2012_2015'!BZ20</f>
        <v>1.06E-2</v>
      </c>
      <c r="CC20">
        <f>'2012_2015'!CA20</f>
        <v>1.0999999999999999E-2</v>
      </c>
      <c r="CD20">
        <f>'2012_2015'!CB20</f>
        <v>1.5100000000000001E-2</v>
      </c>
      <c r="CE20">
        <f>'2012_2015'!CC20</f>
        <v>1.11E-2</v>
      </c>
      <c r="CF20">
        <f>'2012_2015'!CD20</f>
        <v>7.8399999999999997E-3</v>
      </c>
      <c r="CG20">
        <f>'2012_2015'!CE20</f>
        <v>1.67E-2</v>
      </c>
      <c r="CH20">
        <f>'2012_2015'!CF20</f>
        <v>1.8100000000000002E-2</v>
      </c>
      <c r="CI20">
        <f>'2012_2015'!CG20</f>
        <v>1.5299999999999999E-2</v>
      </c>
      <c r="CJ20">
        <f>'2012_2015'!CH20</f>
        <v>1.9599999999999999E-2</v>
      </c>
      <c r="CK20">
        <f>'2012_2015'!CI20</f>
        <v>2.5499999999999998E-2</v>
      </c>
      <c r="CL20">
        <f>'2012_2015'!CJ20</f>
        <v>2.4500000000000001E-2</v>
      </c>
      <c r="CM20">
        <f>'2012_2015'!CK20</f>
        <v>2.2100000000000002E-2</v>
      </c>
      <c r="CN20">
        <f>'2012_2015'!CL20</f>
        <v>3.6799999999999999E-2</v>
      </c>
      <c r="CO20">
        <f>'2012_2015'!CM20</f>
        <v>4.2099999999999999E-2</v>
      </c>
      <c r="CP20">
        <f>'2012_2015'!CN20</f>
        <v>3.04E-2</v>
      </c>
      <c r="CQ20">
        <f>'2012_2015'!CO20</f>
        <v>4.4499999999999998E-2</v>
      </c>
      <c r="CR20">
        <f>'2012_2015'!CP20</f>
        <v>5.2999999999999999E-2</v>
      </c>
      <c r="CS20">
        <f>'2012_2015'!CQ20</f>
        <v>3.7199999999999997E-2</v>
      </c>
      <c r="CT20">
        <f>'2012_2015'!CR20</f>
        <v>4.8000000000000001E-2</v>
      </c>
      <c r="CU20">
        <f>'2012_2015'!CS20</f>
        <v>4.4400000000000002E-2</v>
      </c>
      <c r="CV20">
        <f>'2012_2015'!CT20</f>
        <v>4.8500000000000001E-2</v>
      </c>
      <c r="CW20">
        <f>'2012_2015'!CU20</f>
        <v>5.3999999999999999E-2</v>
      </c>
      <c r="CX20">
        <f>'2012_2015'!CV20</f>
        <v>5.5500000000000001E-2</v>
      </c>
    </row>
    <row r="21" spans="1:102" x14ac:dyDescent="0.2">
      <c r="A21" t="s">
        <v>214</v>
      </c>
      <c r="B21" t="s">
        <v>219</v>
      </c>
      <c r="C21" t="s">
        <v>102</v>
      </c>
      <c r="D21">
        <f>'2012_2015'!B21</f>
        <v>-5.3800000000000002E-3</v>
      </c>
      <c r="E21">
        <f>'2012_2015'!C21</f>
        <v>-2.5999999999999999E-3</v>
      </c>
      <c r="F21">
        <f>'2012_2015'!D21</f>
        <v>1.1299999999999999E-2</v>
      </c>
      <c r="G21">
        <f>'2012_2015'!E21</f>
        <v>1.49E-2</v>
      </c>
      <c r="H21">
        <f>'2012_2015'!F21</f>
        <v>1.4E-2</v>
      </c>
      <c r="I21">
        <f>'2012_2015'!G21</f>
        <v>7.6299999999999996E-3</v>
      </c>
      <c r="J21">
        <f>'2012_2015'!H21</f>
        <v>7.1300000000000001E-3</v>
      </c>
      <c r="K21">
        <f>'2012_2015'!I21</f>
        <v>2.6700000000000001E-3</v>
      </c>
      <c r="L21">
        <f>'2012_2015'!J21</f>
        <v>7.2100000000000003E-3</v>
      </c>
      <c r="M21">
        <f>'2012_2015'!K21</f>
        <v>5.7499999999999999E-3</v>
      </c>
      <c r="N21">
        <f>'2012_2015'!L21</f>
        <v>5.45E-3</v>
      </c>
      <c r="O21">
        <f>'2012_2015'!M21</f>
        <v>4.8599999999999997E-3</v>
      </c>
      <c r="P21">
        <f>'2012_2015'!N21</f>
        <v>3.5699999999999998E-3</v>
      </c>
      <c r="Q21">
        <f>'2012_2015'!O21</f>
        <v>3.1900000000000001E-3</v>
      </c>
      <c r="R21">
        <f>'2012_2015'!P21</f>
        <v>8.3099999999999997E-3</v>
      </c>
      <c r="S21">
        <f>'2012_2015'!Q21</f>
        <v>9.1299999999999992E-3</v>
      </c>
      <c r="T21">
        <f>'2012_2015'!R21</f>
        <v>1.57E-3</v>
      </c>
      <c r="U21">
        <f>'2012_2015'!S21</f>
        <v>3.5899999999999999E-3</v>
      </c>
      <c r="V21">
        <f>'2012_2015'!T21</f>
        <v>5.4200000000000003E-3</v>
      </c>
      <c r="W21">
        <f>'2012_2015'!U21</f>
        <v>6.1999999999999998E-3</v>
      </c>
      <c r="X21">
        <f>'2012_2015'!V21</f>
        <v>7.45E-3</v>
      </c>
      <c r="Y21">
        <f>'2012_2015'!W21</f>
        <v>5.7800000000000004E-3</v>
      </c>
      <c r="Z21">
        <f>'2012_2015'!X21</f>
        <v>6.3200000000000001E-3</v>
      </c>
      <c r="AA21">
        <f>'2012_2015'!Y21</f>
        <v>3.96E-3</v>
      </c>
      <c r="AB21">
        <f>'2012_2015'!Z21</f>
        <v>2.7100000000000002E-3</v>
      </c>
      <c r="AC21">
        <f>'2012_2015'!AA21</f>
        <v>8.4699999999999999E-4</v>
      </c>
      <c r="AD21">
        <f>'2012_2015'!AB21</f>
        <v>3.0699999999999998E-3</v>
      </c>
      <c r="AE21">
        <f>'2012_2015'!AC21</f>
        <v>3.6800000000000001E-3</v>
      </c>
      <c r="AF21">
        <f>'2012_2015'!AD21</f>
        <v>3.8099999999999999E-4</v>
      </c>
      <c r="AG21">
        <f>'2012_2015'!AE21</f>
        <v>8.0099999999999998E-3</v>
      </c>
      <c r="AH21">
        <f>'2012_2015'!AF21</f>
        <v>5.5799999999999999E-3</v>
      </c>
      <c r="AI21">
        <f>'2012_2015'!AG21</f>
        <v>1.4300000000000001E-3</v>
      </c>
      <c r="AJ21">
        <f>'2012_2015'!AH21</f>
        <v>3.2799999999999999E-3</v>
      </c>
      <c r="AK21">
        <f>'2012_2015'!AI21</f>
        <v>-4.57E-4</v>
      </c>
      <c r="AL21">
        <f>'2012_2015'!AJ21</f>
        <v>1.7799999999999999E-3</v>
      </c>
      <c r="AM21">
        <f>'2012_2015'!AK21</f>
        <v>6.3899999999999998E-3</v>
      </c>
      <c r="AN21">
        <f>'2012_2015'!AL21</f>
        <v>3.79E-4</v>
      </c>
      <c r="AO21">
        <f>'2012_2015'!AM21</f>
        <v>2.2000000000000001E-3</v>
      </c>
      <c r="AP21">
        <f>'2012_2015'!AN21</f>
        <v>1.7100000000000001E-4</v>
      </c>
      <c r="AQ21">
        <f>'2012_2015'!AO21</f>
        <v>2.15E-3</v>
      </c>
      <c r="AR21">
        <f>'2012_2015'!AP21</f>
        <v>-2.7299999999999998E-3</v>
      </c>
      <c r="AS21">
        <f>'2012_2015'!AQ21</f>
        <v>3.5599999999999998E-3</v>
      </c>
      <c r="AT21">
        <f>'2012_2015'!AR21</f>
        <v>2.7100000000000002E-3</v>
      </c>
      <c r="AU21">
        <f>'2012_2015'!AS21</f>
        <v>2.5500000000000002E-3</v>
      </c>
      <c r="AV21">
        <f>'2012_2015'!AT21</f>
        <v>-5.8199999999999997E-3</v>
      </c>
      <c r="AW21">
        <f>'2012_2015'!AU21</f>
        <v>-1.7699999999999999E-4</v>
      </c>
      <c r="AX21">
        <f>'2012_2015'!AV21</f>
        <v>-4.13E-3</v>
      </c>
      <c r="AY21">
        <f>'2012_2015'!AW21</f>
        <v>2.4499999999999999E-4</v>
      </c>
      <c r="AZ21">
        <f>'2012_2015'!AX21</f>
        <v>1.65E-3</v>
      </c>
      <c r="BA21">
        <f>'2012_2015'!AY21</f>
        <v>-8.0400000000000003E-4</v>
      </c>
      <c r="BB21">
        <f>'2012_2015'!AZ21</f>
        <v>2.12E-4</v>
      </c>
      <c r="BC21">
        <f>'2012_2015'!BA21</f>
        <v>5.2999999999999998E-4</v>
      </c>
      <c r="BD21">
        <f>'2012_2015'!BB21</f>
        <v>1.4799999999999999E-4</v>
      </c>
      <c r="BE21">
        <f>'2012_2015'!BC21</f>
        <v>5.3299999999999997E-3</v>
      </c>
      <c r="BF21">
        <f>'2012_2015'!BD21</f>
        <v>-6.8999999999999997E-4</v>
      </c>
      <c r="BG21">
        <f>'2012_2015'!BE21</f>
        <v>1.67E-3</v>
      </c>
      <c r="BH21">
        <f>'2012_2015'!BF21</f>
        <v>-2.1299999999999999E-3</v>
      </c>
      <c r="BI21">
        <f>'2012_2015'!BG21</f>
        <v>-5.8100000000000003E-4</v>
      </c>
      <c r="BJ21">
        <f>'2012_2015'!BH21</f>
        <v>-8.5199999999999998E-3</v>
      </c>
      <c r="BK21">
        <f>'2012_2015'!BI21</f>
        <v>7.11E-3</v>
      </c>
      <c r="BL21">
        <f>'2012_2015'!BJ21</f>
        <v>-1.83E-3</v>
      </c>
      <c r="BM21">
        <f>'2012_2015'!BK21</f>
        <v>2.7699999999999999E-3</v>
      </c>
      <c r="BN21">
        <f>'2012_2015'!BL21</f>
        <v>3.5999999999999999E-3</v>
      </c>
      <c r="BO21">
        <f>'2012_2015'!BM21</f>
        <v>4.7000000000000002E-3</v>
      </c>
      <c r="BP21">
        <f>'2012_2015'!BN21</f>
        <v>2.5000000000000001E-3</v>
      </c>
      <c r="BQ21">
        <f>'2012_2015'!BO21</f>
        <v>5.9500000000000004E-3</v>
      </c>
      <c r="BR21">
        <f>'2012_2015'!BP21</f>
        <v>1.2600000000000001E-3</v>
      </c>
      <c r="BS21">
        <f>'2012_2015'!BQ21</f>
        <v>-3.16E-3</v>
      </c>
      <c r="BT21">
        <f>'2012_2015'!BR21</f>
        <v>3.0999999999999999E-3</v>
      </c>
      <c r="BU21">
        <f>'2012_2015'!BS21</f>
        <v>-5.5699999999999999E-4</v>
      </c>
      <c r="BV21">
        <f>'2012_2015'!BT21</f>
        <v>7.1900000000000002E-4</v>
      </c>
      <c r="BW21">
        <f>'2012_2015'!BU21</f>
        <v>-2.66E-3</v>
      </c>
      <c r="BX21">
        <f>'2012_2015'!BV21</f>
        <v>8.1899999999999996E-4</v>
      </c>
      <c r="BY21">
        <f>'2012_2015'!BW21</f>
        <v>-7.9799999999999999E-4</v>
      </c>
      <c r="BZ21">
        <f>'2012_2015'!BX21</f>
        <v>8.3799999999999999E-4</v>
      </c>
      <c r="CA21">
        <f>'2012_2015'!BY21</f>
        <v>-4.8599999999999997E-3</v>
      </c>
      <c r="CB21">
        <f>'2012_2015'!BZ21</f>
        <v>1.4E-2</v>
      </c>
      <c r="CC21">
        <f>'2012_2015'!CA21</f>
        <v>1.29E-2</v>
      </c>
      <c r="CD21">
        <f>'2012_2015'!CB21</f>
        <v>2.4199999999999998E-3</v>
      </c>
      <c r="CE21">
        <f>'2012_2015'!CC21</f>
        <v>-9.810000000000001E-4</v>
      </c>
      <c r="CF21">
        <f>'2012_2015'!CD21</f>
        <v>-5.1900000000000004E-4</v>
      </c>
      <c r="CG21">
        <f>'2012_2015'!CE21</f>
        <v>6.4000000000000005E-4</v>
      </c>
      <c r="CH21">
        <f>'2012_2015'!CF21</f>
        <v>4.4600000000000004E-3</v>
      </c>
      <c r="CI21">
        <f>'2012_2015'!CG21</f>
        <v>2.5100000000000001E-3</v>
      </c>
      <c r="CJ21">
        <f>'2012_2015'!CH21</f>
        <v>-5.1699999999999999E-4</v>
      </c>
      <c r="CK21">
        <f>'2012_2015'!CI21</f>
        <v>6.6800000000000002E-3</v>
      </c>
      <c r="CL21">
        <f>'2012_2015'!CJ21</f>
        <v>1.23E-2</v>
      </c>
      <c r="CM21">
        <f>'2012_2015'!CK21</f>
        <v>-1.2800000000000001E-3</v>
      </c>
      <c r="CN21">
        <f>'2012_2015'!CL21</f>
        <v>5.4200000000000003E-3</v>
      </c>
      <c r="CO21">
        <f>'2012_2015'!CM21</f>
        <v>-5.8100000000000003E-4</v>
      </c>
      <c r="CP21">
        <f>'2012_2015'!CN21</f>
        <v>5.1200000000000004E-3</v>
      </c>
      <c r="CQ21">
        <f>'2012_2015'!CO21</f>
        <v>6.94E-3</v>
      </c>
      <c r="CR21">
        <f>'2012_2015'!CP21</f>
        <v>1.35E-2</v>
      </c>
      <c r="CS21">
        <f>'2012_2015'!CQ21</f>
        <v>8.8900000000000003E-3</v>
      </c>
      <c r="CT21">
        <f>'2012_2015'!CR21</f>
        <v>1.2200000000000001E-2</v>
      </c>
      <c r="CU21">
        <f>'2012_2015'!CS21</f>
        <v>-1.2999999999999999E-3</v>
      </c>
      <c r="CV21">
        <f>'2012_2015'!CT21</f>
        <v>7.2700000000000004E-3</v>
      </c>
      <c r="CW21">
        <f>'2012_2015'!CU21</f>
        <v>8.4000000000000003E-4</v>
      </c>
      <c r="CX21">
        <f>'2012_2015'!CV21</f>
        <v>1.3599999999999999E-2</v>
      </c>
    </row>
    <row r="22" spans="1:102" x14ac:dyDescent="0.2">
      <c r="A22" t="s">
        <v>215</v>
      </c>
      <c r="B22" t="s">
        <v>219</v>
      </c>
      <c r="C22" t="s">
        <v>102</v>
      </c>
      <c r="D22">
        <f>'2012_2015'!B22</f>
        <v>-3.1699999999999999E-2</v>
      </c>
      <c r="E22">
        <f>'2012_2015'!C22</f>
        <v>5.45E-2</v>
      </c>
      <c r="F22">
        <f>'2012_2015'!D22</f>
        <v>1.09E-2</v>
      </c>
      <c r="G22">
        <f>'2012_2015'!E22</f>
        <v>-6.2700000000000006E-2</v>
      </c>
      <c r="H22">
        <f>'2012_2015'!F22</f>
        <v>-5.9299999999999999E-2</v>
      </c>
      <c r="I22">
        <f>'2012_2015'!G22</f>
        <v>-6.83E-2</v>
      </c>
      <c r="J22">
        <f>'2012_2015'!H22</f>
        <v>-8.9800000000000005E-2</v>
      </c>
      <c r="K22">
        <f>'2012_2015'!I22</f>
        <v>-5.9400000000000001E-2</v>
      </c>
      <c r="L22">
        <f>'2012_2015'!J22</f>
        <v>-6.2899999999999998E-2</v>
      </c>
      <c r="M22">
        <f>'2012_2015'!K22</f>
        <v>-4.4900000000000002E-2</v>
      </c>
      <c r="N22">
        <f>'2012_2015'!L22</f>
        <v>-4.6199999999999998E-2</v>
      </c>
      <c r="O22">
        <f>'2012_2015'!M22</f>
        <v>-3.8199999999999998E-2</v>
      </c>
      <c r="P22">
        <f>'2012_2015'!N22</f>
        <v>-3.2800000000000003E-2</v>
      </c>
      <c r="Q22">
        <f>'2012_2015'!O22</f>
        <v>-2.5600000000000001E-2</v>
      </c>
      <c r="R22">
        <f>'2012_2015'!P22</f>
        <v>-1.9699999999999999E-2</v>
      </c>
      <c r="S22">
        <f>'2012_2015'!Q22</f>
        <v>-1.8599999999999998E-2</v>
      </c>
      <c r="T22">
        <f>'2012_2015'!R22</f>
        <v>-1.61E-2</v>
      </c>
      <c r="U22">
        <f>'2012_2015'!S22</f>
        <v>-1.67E-2</v>
      </c>
      <c r="V22">
        <f>'2012_2015'!T22</f>
        <v>-1.7500000000000002E-2</v>
      </c>
      <c r="W22">
        <f>'2012_2015'!U22</f>
        <v>-1.9E-2</v>
      </c>
      <c r="X22">
        <f>'2012_2015'!V22</f>
        <v>-1.43E-2</v>
      </c>
      <c r="Y22">
        <f>'2012_2015'!W22</f>
        <v>-1.5599999999999999E-2</v>
      </c>
      <c r="Z22">
        <f>'2012_2015'!X22</f>
        <v>-1.0999999999999999E-2</v>
      </c>
      <c r="AA22">
        <f>'2012_2015'!Y22</f>
        <v>-1.14E-2</v>
      </c>
      <c r="AB22">
        <f>'2012_2015'!Z22</f>
        <v>-1.1599999999999999E-2</v>
      </c>
      <c r="AC22">
        <f>'2012_2015'!AA22</f>
        <v>-1.14E-2</v>
      </c>
      <c r="AD22">
        <f>'2012_2015'!AB22</f>
        <v>-1.0800000000000001E-2</v>
      </c>
      <c r="AE22">
        <f>'2012_2015'!AC22</f>
        <v>-9.4999999999999998E-3</v>
      </c>
      <c r="AF22">
        <f>'2012_2015'!AD22</f>
        <v>-1.0699999999999999E-2</v>
      </c>
      <c r="AG22">
        <f>'2012_2015'!AE22</f>
        <v>-1.0999999999999999E-2</v>
      </c>
      <c r="AH22">
        <f>'2012_2015'!AF22</f>
        <v>-1.34E-2</v>
      </c>
      <c r="AI22">
        <f>'2012_2015'!AG22</f>
        <v>-1.4200000000000001E-2</v>
      </c>
      <c r="AJ22">
        <f>'2012_2015'!AH22</f>
        <v>-9.9100000000000004E-3</v>
      </c>
      <c r="AK22">
        <f>'2012_2015'!AI22</f>
        <v>4.1700000000000001E-3</v>
      </c>
      <c r="AL22">
        <f>'2012_2015'!AJ22</f>
        <v>1.3500000000000001E-3</v>
      </c>
      <c r="AM22">
        <f>'2012_2015'!AK22</f>
        <v>3.8200000000000002E-4</v>
      </c>
      <c r="AN22">
        <f>'2012_2015'!AL22</f>
        <v>-9.5600000000000004E-4</v>
      </c>
      <c r="AO22">
        <f>'2012_2015'!AM22</f>
        <v>-1.1800000000000001E-3</v>
      </c>
      <c r="AP22">
        <f>'2012_2015'!AN22</f>
        <v>6.45E-3</v>
      </c>
      <c r="AQ22">
        <f>'2012_2015'!AO22</f>
        <v>6.45E-3</v>
      </c>
      <c r="AR22">
        <f>'2012_2015'!AP22</f>
        <v>7.3299999999999997E-3</v>
      </c>
      <c r="AS22">
        <f>'2012_2015'!AQ22</f>
        <v>9.7999999999999997E-4</v>
      </c>
      <c r="AT22">
        <f>'2012_2015'!AR22</f>
        <v>1.47E-3</v>
      </c>
      <c r="AU22">
        <f>'2012_2015'!AS22</f>
        <v>2.6199999999999999E-3</v>
      </c>
      <c r="AV22">
        <f>'2012_2015'!AT22</f>
        <v>1.67E-3</v>
      </c>
      <c r="AW22">
        <f>'2012_2015'!AU22</f>
        <v>1.1999999999999999E-3</v>
      </c>
      <c r="AX22">
        <f>'2012_2015'!AV22</f>
        <v>-1.3799999999999999E-3</v>
      </c>
      <c r="AY22">
        <f>'2012_2015'!AW22</f>
        <v>-1.07E-3</v>
      </c>
      <c r="AZ22">
        <f>'2012_2015'!AX22</f>
        <v>-5.5100000000000001E-3</v>
      </c>
      <c r="BA22">
        <f>'2012_2015'!AY22</f>
        <v>-1.21E-2</v>
      </c>
      <c r="BB22">
        <f>'2012_2015'!AZ22</f>
        <v>-1.29E-2</v>
      </c>
      <c r="BC22">
        <f>'2012_2015'!BA22</f>
        <v>-1.38E-2</v>
      </c>
      <c r="BD22">
        <f>'2012_2015'!BB22</f>
        <v>-1.6299999999999999E-2</v>
      </c>
      <c r="BE22">
        <f>'2012_2015'!BC22</f>
        <v>-1.34E-2</v>
      </c>
      <c r="BF22">
        <f>'2012_2015'!BD22</f>
        <v>-1.61E-2</v>
      </c>
      <c r="BG22">
        <f>'2012_2015'!BE22</f>
        <v>-1.7000000000000001E-2</v>
      </c>
      <c r="BH22">
        <f>'2012_2015'!BF22</f>
        <v>-1.9400000000000001E-2</v>
      </c>
      <c r="BI22">
        <f>'2012_2015'!BG22</f>
        <v>6.0200000000000002E-3</v>
      </c>
      <c r="BJ22">
        <f>'2012_2015'!BH22</f>
        <v>1.0999999999999999E-2</v>
      </c>
      <c r="BK22">
        <f>'2012_2015'!BI22</f>
        <v>1.23E-2</v>
      </c>
      <c r="BL22">
        <f>'2012_2015'!BJ22</f>
        <v>1.06E-2</v>
      </c>
      <c r="BM22">
        <f>'2012_2015'!BK22</f>
        <v>2.06E-2</v>
      </c>
      <c r="BN22">
        <f>'2012_2015'!BL22</f>
        <v>2.1100000000000001E-2</v>
      </c>
      <c r="BO22">
        <f>'2012_2015'!BM22</f>
        <v>1.6799999999999999E-2</v>
      </c>
      <c r="BP22">
        <f>'2012_2015'!BN22</f>
        <v>1.37E-2</v>
      </c>
      <c r="BQ22">
        <f>'2012_2015'!BO22</f>
        <v>1.4200000000000001E-2</v>
      </c>
      <c r="BR22">
        <f>'2012_2015'!BP22</f>
        <v>1.34E-2</v>
      </c>
      <c r="BS22">
        <f>'2012_2015'!BQ22</f>
        <v>1.11E-2</v>
      </c>
      <c r="BT22">
        <f>'2012_2015'!BR22</f>
        <v>1.72E-2</v>
      </c>
      <c r="BU22">
        <f>'2012_2015'!BS22</f>
        <v>1.6299999999999999E-2</v>
      </c>
      <c r="BV22">
        <f>'2012_2015'!BT22</f>
        <v>1.6299999999999999E-2</v>
      </c>
      <c r="BW22">
        <f>'2012_2015'!BU22</f>
        <v>1.8700000000000001E-2</v>
      </c>
      <c r="BX22">
        <f>'2012_2015'!BV22</f>
        <v>1.47E-2</v>
      </c>
      <c r="BY22">
        <f>'2012_2015'!BW22</f>
        <v>1.2699999999999999E-2</v>
      </c>
      <c r="BZ22">
        <f>'2012_2015'!BX22</f>
        <v>9.1000000000000004E-3</v>
      </c>
      <c r="CA22">
        <f>'2012_2015'!BY22</f>
        <v>7.4700000000000001E-3</v>
      </c>
      <c r="CB22">
        <f>'2012_2015'!BZ22</f>
        <v>6.28E-3</v>
      </c>
      <c r="CC22">
        <f>'2012_2015'!CA22</f>
        <v>8.6800000000000002E-3</v>
      </c>
      <c r="CD22">
        <f>'2012_2015'!CB22</f>
        <v>1.5699999999999999E-2</v>
      </c>
      <c r="CE22">
        <f>'2012_2015'!CC22</f>
        <v>1.5699999999999999E-2</v>
      </c>
      <c r="CF22">
        <f>'2012_2015'!CD22</f>
        <v>1.3299999999999999E-2</v>
      </c>
      <c r="CG22">
        <f>'2012_2015'!CE22</f>
        <v>1.15E-2</v>
      </c>
      <c r="CH22">
        <f>'2012_2015'!CF22</f>
        <v>7.3000000000000001E-3</v>
      </c>
      <c r="CI22">
        <f>'2012_2015'!CG22</f>
        <v>6.4400000000000004E-3</v>
      </c>
      <c r="CJ22">
        <f>'2012_2015'!CH22</f>
        <v>3.0499999999999999E-2</v>
      </c>
      <c r="CK22">
        <f>'2012_2015'!CI22</f>
        <v>3.0599999999999999E-2</v>
      </c>
      <c r="CL22">
        <f>'2012_2015'!CJ22</f>
        <v>2.07E-2</v>
      </c>
      <c r="CM22">
        <f>'2012_2015'!CK22</f>
        <v>9.4800000000000006E-3</v>
      </c>
      <c r="CN22">
        <f>'2012_2015'!CL22</f>
        <v>5.8700000000000002E-3</v>
      </c>
      <c r="CO22">
        <f>'2012_2015'!CM22</f>
        <v>-7.6800000000000002E-3</v>
      </c>
      <c r="CP22">
        <f>'2012_2015'!CN22</f>
        <v>-6.5799999999999999E-3</v>
      </c>
      <c r="CQ22">
        <f>'2012_2015'!CO22</f>
        <v>-6.7499999999999999E-3</v>
      </c>
      <c r="CR22">
        <f>'2012_2015'!CP22</f>
        <v>-2.8500000000000001E-2</v>
      </c>
      <c r="CS22">
        <f>'2012_2015'!CQ22</f>
        <v>-2.53E-2</v>
      </c>
      <c r="CT22">
        <f>'2012_2015'!CR22</f>
        <v>6.7799999999999999E-2</v>
      </c>
      <c r="CU22">
        <f>'2012_2015'!CS22</f>
        <v>7.5399999999999995E-2</v>
      </c>
      <c r="CV22">
        <f>'2012_2015'!CT22</f>
        <v>7.1599999999999997E-2</v>
      </c>
      <c r="CW22">
        <f>'2012_2015'!CU22</f>
        <v>7.2499999999999995E-2</v>
      </c>
      <c r="CX22">
        <f>'2012_2015'!CV22</f>
        <v>6.9400000000000003E-2</v>
      </c>
    </row>
    <row r="23" spans="1:102" x14ac:dyDescent="0.2">
      <c r="A23" t="s">
        <v>216</v>
      </c>
      <c r="B23" t="s">
        <v>219</v>
      </c>
      <c r="C23" t="s">
        <v>102</v>
      </c>
      <c r="D23">
        <f>'2012_2015'!B23</f>
        <v>-0.24199999999999999</v>
      </c>
      <c r="E23">
        <f>'2012_2015'!C23</f>
        <v>-0.22900000000000001</v>
      </c>
      <c r="F23">
        <f>'2012_2015'!D23</f>
        <v>0.26900000000000002</v>
      </c>
      <c r="G23">
        <f>'2012_2015'!E23</f>
        <v>0.33200000000000002</v>
      </c>
      <c r="H23">
        <f>'2012_2015'!F23</f>
        <v>0.53300000000000003</v>
      </c>
      <c r="I23">
        <f>'2012_2015'!G23</f>
        <v>0.375</v>
      </c>
      <c r="J23">
        <f>'2012_2015'!H23</f>
        <v>0.59799999999999998</v>
      </c>
      <c r="K23">
        <f>'2012_2015'!I23</f>
        <v>0.49399999999999999</v>
      </c>
      <c r="L23">
        <f>'2012_2015'!J23</f>
        <v>0.50800000000000001</v>
      </c>
      <c r="M23">
        <f>'2012_2015'!K23</f>
        <v>0.43</v>
      </c>
      <c r="N23">
        <f>'2012_2015'!L23</f>
        <v>0.56699999999999995</v>
      </c>
      <c r="O23">
        <f>'2012_2015'!M23</f>
        <v>0.71799999999999997</v>
      </c>
      <c r="P23">
        <f>'2012_2015'!N23</f>
        <v>0.67900000000000005</v>
      </c>
      <c r="Q23">
        <f>'2012_2015'!O23</f>
        <v>0.56599999999999995</v>
      </c>
      <c r="R23">
        <f>'2012_2015'!P23</f>
        <v>0.36</v>
      </c>
      <c r="S23">
        <f>'2012_2015'!Q23</f>
        <v>0.29299999999999998</v>
      </c>
      <c r="T23">
        <f>'2012_2015'!R23</f>
        <v>0.31</v>
      </c>
      <c r="U23">
        <f>'2012_2015'!S23</f>
        <v>0.30399999999999999</v>
      </c>
      <c r="V23">
        <f>'2012_2015'!T23</f>
        <v>0.252</v>
      </c>
      <c r="W23">
        <f>'2012_2015'!U23</f>
        <v>0.23100000000000001</v>
      </c>
      <c r="X23">
        <f>'2012_2015'!V23</f>
        <v>0.22900000000000001</v>
      </c>
      <c r="Y23">
        <f>'2012_2015'!W23</f>
        <v>0.25800000000000001</v>
      </c>
      <c r="Z23">
        <f>'2012_2015'!X23</f>
        <v>0.27500000000000002</v>
      </c>
      <c r="AA23">
        <f>'2012_2015'!Y23</f>
        <v>0.27300000000000002</v>
      </c>
      <c r="AB23">
        <f>'2012_2015'!Z23</f>
        <v>0.24199999999999999</v>
      </c>
      <c r="AC23">
        <f>'2012_2015'!AA23</f>
        <v>0.20200000000000001</v>
      </c>
      <c r="AD23">
        <f>'2012_2015'!AB23</f>
        <v>0.16900000000000001</v>
      </c>
      <c r="AE23">
        <f>'2012_2015'!AC23</f>
        <v>0.153</v>
      </c>
      <c r="AF23">
        <f>'2012_2015'!AD23</f>
        <v>0.13400000000000001</v>
      </c>
      <c r="AG23">
        <f>'2012_2015'!AE23</f>
        <v>0.11700000000000001</v>
      </c>
      <c r="AH23">
        <f>'2012_2015'!AF23</f>
        <v>0.121</v>
      </c>
      <c r="AI23">
        <f>'2012_2015'!AG23</f>
        <v>0.112</v>
      </c>
      <c r="AJ23">
        <f>'2012_2015'!AH23</f>
        <v>8.7599999999999997E-2</v>
      </c>
      <c r="AK23">
        <f>'2012_2015'!AI23</f>
        <v>6.0499999999999998E-2</v>
      </c>
      <c r="AL23">
        <f>'2012_2015'!AJ23</f>
        <v>5.0900000000000001E-2</v>
      </c>
      <c r="AM23">
        <f>'2012_2015'!AK23</f>
        <v>4.8599999999999997E-2</v>
      </c>
      <c r="AN23">
        <f>'2012_2015'!AL23</f>
        <v>6.0699999999999997E-2</v>
      </c>
      <c r="AO23">
        <f>'2012_2015'!AM23</f>
        <v>7.4399999999999994E-2</v>
      </c>
      <c r="AP23">
        <f>'2012_2015'!AN23</f>
        <v>0.124</v>
      </c>
      <c r="AQ23">
        <f>'2012_2015'!AO23</f>
        <v>0.17699999999999999</v>
      </c>
      <c r="AR23">
        <f>'2012_2015'!AP23</f>
        <v>0.17799999999999999</v>
      </c>
      <c r="AS23">
        <f>'2012_2015'!AQ23</f>
        <v>0.186</v>
      </c>
      <c r="AT23">
        <f>'2012_2015'!AR23</f>
        <v>0.16700000000000001</v>
      </c>
      <c r="AU23">
        <f>'2012_2015'!AS23</f>
        <v>0.159</v>
      </c>
      <c r="AV23">
        <f>'2012_2015'!AT23</f>
        <v>0.108</v>
      </c>
      <c r="AW23">
        <f>'2012_2015'!AU23</f>
        <v>6.5699999999999995E-2</v>
      </c>
      <c r="AX23">
        <f>'2012_2015'!AV23</f>
        <v>3.7400000000000003E-2</v>
      </c>
      <c r="AY23">
        <f>'2012_2015'!AW23</f>
        <v>4.7199999999999999E-2</v>
      </c>
      <c r="AZ23">
        <f>'2012_2015'!AX23</f>
        <v>4.4900000000000002E-2</v>
      </c>
      <c r="BA23">
        <f>'2012_2015'!AY23</f>
        <v>5.1900000000000002E-2</v>
      </c>
      <c r="BB23">
        <f>'2012_2015'!AZ23</f>
        <v>0.10100000000000001</v>
      </c>
      <c r="BC23">
        <f>'2012_2015'!BA23</f>
        <v>0.16600000000000001</v>
      </c>
      <c r="BD23">
        <f>'2012_2015'!BB23</f>
        <v>0.19800000000000001</v>
      </c>
      <c r="BE23">
        <f>'2012_2015'!BC23</f>
        <v>0.21099999999999999</v>
      </c>
      <c r="BF23">
        <f>'2012_2015'!BD23</f>
        <v>0.20599999999999999</v>
      </c>
      <c r="BG23">
        <f>'2012_2015'!BE23</f>
        <v>0.218</v>
      </c>
      <c r="BH23">
        <f>'2012_2015'!BF23</f>
        <v>0.188</v>
      </c>
      <c r="BI23">
        <f>'2012_2015'!BG23</f>
        <v>0.11899999999999999</v>
      </c>
      <c r="BJ23">
        <f>'2012_2015'!BH23</f>
        <v>9.2600000000000002E-2</v>
      </c>
      <c r="BK23">
        <f>'2012_2015'!BI23</f>
        <v>7.8799999999999995E-2</v>
      </c>
      <c r="BL23">
        <f>'2012_2015'!BJ23</f>
        <v>7.7600000000000002E-2</v>
      </c>
      <c r="BM23">
        <f>'2012_2015'!BK23</f>
        <v>7.9500000000000001E-2</v>
      </c>
      <c r="BN23">
        <f>'2012_2015'!BL23</f>
        <v>0.105</v>
      </c>
      <c r="BO23">
        <f>'2012_2015'!BM23</f>
        <v>0.16400000000000001</v>
      </c>
      <c r="BP23">
        <f>'2012_2015'!BN23</f>
        <v>0.19700000000000001</v>
      </c>
      <c r="BQ23">
        <f>'2012_2015'!BO23</f>
        <v>0.182</v>
      </c>
      <c r="BR23">
        <f>'2012_2015'!BP23</f>
        <v>0.14699999999999999</v>
      </c>
      <c r="BS23">
        <f>'2012_2015'!BQ23</f>
        <v>0.129</v>
      </c>
      <c r="BT23">
        <f>'2012_2015'!BR23</f>
        <v>9.7299999999999998E-2</v>
      </c>
      <c r="BU23">
        <f>'2012_2015'!BS23</f>
        <v>4.9299999999999997E-2</v>
      </c>
      <c r="BV23">
        <f>'2012_2015'!BT23</f>
        <v>4.99E-2</v>
      </c>
      <c r="BW23">
        <f>'2012_2015'!BU23</f>
        <v>4.0300000000000002E-2</v>
      </c>
      <c r="BX23">
        <f>'2012_2015'!BV23</f>
        <v>7.3899999999999993E-2</v>
      </c>
      <c r="BY23">
        <f>'2012_2015'!BW23</f>
        <v>0.11</v>
      </c>
      <c r="BZ23">
        <f>'2012_2015'!BX23</f>
        <v>0.21299999999999999</v>
      </c>
      <c r="CA23">
        <f>'2012_2015'!BY23</f>
        <v>0.247</v>
      </c>
      <c r="CB23">
        <f>'2012_2015'!BZ23</f>
        <v>0.222</v>
      </c>
      <c r="CC23">
        <f>'2012_2015'!CA23</f>
        <v>0.23699999999999999</v>
      </c>
      <c r="CD23">
        <f>'2012_2015'!CB23</f>
        <v>0.21299999999999999</v>
      </c>
      <c r="CE23">
        <f>'2012_2015'!CC23</f>
        <v>3.9800000000000002E-2</v>
      </c>
      <c r="CF23">
        <f>'2012_2015'!CD23</f>
        <v>-5.5300000000000002E-3</v>
      </c>
      <c r="CG23">
        <f>'2012_2015'!CE23</f>
        <v>8.1200000000000005E-3</v>
      </c>
      <c r="CH23">
        <f>'2012_2015'!CF23</f>
        <v>-5.3100000000000001E-2</v>
      </c>
      <c r="CI23">
        <f>'2012_2015'!CG23</f>
        <v>-1.4200000000000001E-2</v>
      </c>
      <c r="CJ23">
        <f>'2012_2015'!CH23</f>
        <v>-1.4500000000000001E-2</v>
      </c>
      <c r="CK23">
        <f>'2012_2015'!CI23</f>
        <v>0.29499999999999998</v>
      </c>
      <c r="CL23">
        <f>'2012_2015'!CJ23</f>
        <v>0.24199999999999999</v>
      </c>
      <c r="CM23">
        <f>'2012_2015'!CK23</f>
        <v>0.14000000000000001</v>
      </c>
      <c r="CN23">
        <f>'2012_2015'!CL23</f>
        <v>2.2200000000000001E-2</v>
      </c>
      <c r="CO23">
        <f>'2012_2015'!CM23</f>
        <v>-3.3100000000000002E-4</v>
      </c>
      <c r="CP23">
        <f>'2012_2015'!CN23</f>
        <v>0.18099999999999999</v>
      </c>
      <c r="CQ23">
        <f>'2012_2015'!CO23</f>
        <v>0.30299999999999999</v>
      </c>
      <c r="CR23">
        <f>'2012_2015'!CP23</f>
        <v>0.2</v>
      </c>
      <c r="CS23">
        <f>'2012_2015'!CQ23</f>
        <v>0.21299999999999999</v>
      </c>
      <c r="CT23">
        <f>'2012_2015'!CR23</f>
        <v>5.5599999999999997E-2</v>
      </c>
      <c r="CU23">
        <f>'2012_2015'!CS23</f>
        <v>-0.16</v>
      </c>
      <c r="CV23">
        <f>'2012_2015'!CT23</f>
        <v>8.9599999999999999E-2</v>
      </c>
      <c r="CW23">
        <f>'2012_2015'!CU23</f>
        <v>-4.41E-2</v>
      </c>
      <c r="CX23">
        <f>'2012_2015'!CV23</f>
        <v>-0.11</v>
      </c>
    </row>
    <row r="24" spans="1:102" x14ac:dyDescent="0.2">
      <c r="A24" t="s">
        <v>208</v>
      </c>
      <c r="B24" t="s">
        <v>220</v>
      </c>
      <c r="C24" t="s">
        <v>102</v>
      </c>
      <c r="D24">
        <f>D7+D15</f>
        <v>0.4602</v>
      </c>
      <c r="E24">
        <f t="shared" ref="E24:BP28" si="0">E7+E15</f>
        <v>0.24009999999999998</v>
      </c>
      <c r="F24">
        <f t="shared" si="0"/>
        <v>-8.6999999999999959E-3</v>
      </c>
      <c r="G24">
        <f t="shared" si="0"/>
        <v>-1.15E-2</v>
      </c>
      <c r="H24">
        <f t="shared" si="0"/>
        <v>-0.14050000000000001</v>
      </c>
      <c r="I24">
        <f t="shared" si="0"/>
        <v>-6.2699999999999992E-2</v>
      </c>
      <c r="J24">
        <f t="shared" si="0"/>
        <v>-0.161</v>
      </c>
      <c r="K24">
        <f t="shared" si="0"/>
        <v>-0.1348</v>
      </c>
      <c r="L24">
        <f t="shared" si="0"/>
        <v>-0.14889999999999998</v>
      </c>
      <c r="M24">
        <f t="shared" si="0"/>
        <v>-0.11150000000000002</v>
      </c>
      <c r="N24">
        <f t="shared" si="0"/>
        <v>-0.1779</v>
      </c>
      <c r="O24">
        <f t="shared" si="0"/>
        <v>-0.25900000000000001</v>
      </c>
      <c r="P24">
        <f t="shared" si="0"/>
        <v>-0.24460000000000001</v>
      </c>
      <c r="Q24">
        <f t="shared" si="0"/>
        <v>-0.19400000000000001</v>
      </c>
      <c r="R24">
        <f t="shared" si="0"/>
        <v>-0.1076</v>
      </c>
      <c r="S24">
        <f t="shared" si="0"/>
        <v>-7.9199999999999993E-2</v>
      </c>
      <c r="T24">
        <f t="shared" si="0"/>
        <v>-7.7399999999999997E-2</v>
      </c>
      <c r="U24">
        <f t="shared" si="0"/>
        <v>-7.7300000000000008E-2</v>
      </c>
      <c r="V24">
        <f t="shared" si="0"/>
        <v>-5.3000000000000005E-2</v>
      </c>
      <c r="W24">
        <f t="shared" si="0"/>
        <v>-4.8099999999999997E-2</v>
      </c>
      <c r="X24">
        <f t="shared" si="0"/>
        <v>-0.05</v>
      </c>
      <c r="Y24">
        <f t="shared" si="0"/>
        <v>-5.9700000000000003E-2</v>
      </c>
      <c r="Z24">
        <f t="shared" si="0"/>
        <v>-6.5199999999999994E-2</v>
      </c>
      <c r="AA24">
        <f t="shared" si="0"/>
        <v>-6.5799999999999997E-2</v>
      </c>
      <c r="AB24">
        <f t="shared" si="0"/>
        <v>-5.2800000000000007E-2</v>
      </c>
      <c r="AC24">
        <f t="shared" si="0"/>
        <v>-3.7999999999999999E-2</v>
      </c>
      <c r="AD24">
        <f t="shared" si="0"/>
        <v>-2.7899999999999998E-2</v>
      </c>
      <c r="AE24">
        <f t="shared" si="0"/>
        <v>-2.4299999999999995E-2</v>
      </c>
      <c r="AF24">
        <f t="shared" si="0"/>
        <v>-1.7800000000000003E-2</v>
      </c>
      <c r="AG24">
        <f t="shared" si="0"/>
        <v>-1.3299999999999999E-2</v>
      </c>
      <c r="AH24">
        <f t="shared" si="0"/>
        <v>-1.1600000000000003E-2</v>
      </c>
      <c r="AI24">
        <f t="shared" si="0"/>
        <v>-3.4999999999999996E-3</v>
      </c>
      <c r="AJ24">
        <f t="shared" si="0"/>
        <v>1.5390000000000001E-2</v>
      </c>
      <c r="AK24">
        <f t="shared" si="0"/>
        <v>2.3949999999999999E-2</v>
      </c>
      <c r="AL24">
        <f t="shared" si="0"/>
        <v>3.3799999999999997E-2</v>
      </c>
      <c r="AM24">
        <f t="shared" si="0"/>
        <v>3.1600000000000003E-2</v>
      </c>
      <c r="AN24">
        <f t="shared" si="0"/>
        <v>2.794E-2</v>
      </c>
      <c r="AO24">
        <f t="shared" si="0"/>
        <v>1.6210000000000002E-2</v>
      </c>
      <c r="AP24">
        <f t="shared" si="0"/>
        <v>-8.3000000000000018E-3</v>
      </c>
      <c r="AQ24">
        <f t="shared" si="0"/>
        <v>-3.3600000000000005E-2</v>
      </c>
      <c r="AR24">
        <f t="shared" si="0"/>
        <v>-4.1799999999999997E-2</v>
      </c>
      <c r="AS24">
        <f t="shared" si="0"/>
        <v>-5.0699999999999995E-2</v>
      </c>
      <c r="AT24">
        <f t="shared" si="0"/>
        <v>-5.0899999999999994E-2</v>
      </c>
      <c r="AU24">
        <f t="shared" si="0"/>
        <v>-5.0100000000000006E-2</v>
      </c>
      <c r="AV24">
        <f t="shared" si="0"/>
        <v>-3.7599999999999995E-2</v>
      </c>
      <c r="AW24">
        <f t="shared" si="0"/>
        <v>-9.0000000000000011E-3</v>
      </c>
      <c r="AX24">
        <f t="shared" si="0"/>
        <v>8.7999999999999988E-3</v>
      </c>
      <c r="AY24">
        <f t="shared" si="0"/>
        <v>1.3100000000000002E-2</v>
      </c>
      <c r="AZ24">
        <f t="shared" si="0"/>
        <v>2.1789999999999997E-2</v>
      </c>
      <c r="BA24">
        <f t="shared" si="0"/>
        <v>2.2009999999999998E-2</v>
      </c>
      <c r="BB24">
        <f t="shared" si="0"/>
        <v>8.4000000000000012E-3</v>
      </c>
      <c r="BC24">
        <f t="shared" si="0"/>
        <v>-3.0300000000000007E-2</v>
      </c>
      <c r="BD24">
        <f t="shared" si="0"/>
        <v>-5.6499999999999995E-2</v>
      </c>
      <c r="BE24">
        <f t="shared" si="0"/>
        <v>-7.4500000000000011E-2</v>
      </c>
      <c r="BF24">
        <f t="shared" si="0"/>
        <v>-7.9500000000000015E-2</v>
      </c>
      <c r="BG24">
        <f t="shared" si="0"/>
        <v>-8.7999999999999995E-2</v>
      </c>
      <c r="BH24">
        <f t="shared" si="0"/>
        <v>-7.6200000000000004E-2</v>
      </c>
      <c r="BI24">
        <f t="shared" si="0"/>
        <v>-4.6399999999999997E-2</v>
      </c>
      <c r="BJ24">
        <f t="shared" si="0"/>
        <v>-2.7600000000000006E-2</v>
      </c>
      <c r="BK24">
        <f t="shared" si="0"/>
        <v>-9.1999999999999998E-3</v>
      </c>
      <c r="BL24">
        <f t="shared" si="0"/>
        <v>-5.4999999999999979E-3</v>
      </c>
      <c r="BM24">
        <f t="shared" si="0"/>
        <v>-1.5899999999999997E-2</v>
      </c>
      <c r="BN24">
        <f t="shared" si="0"/>
        <v>-3.1800000000000002E-2</v>
      </c>
      <c r="BO24">
        <f t="shared" si="0"/>
        <v>-5.7500000000000009E-2</v>
      </c>
      <c r="BP24">
        <f t="shared" si="0"/>
        <v>-7.9100000000000004E-2</v>
      </c>
      <c r="BQ24">
        <f t="shared" ref="BQ24:CX31" si="1">BQ7+BQ15</f>
        <v>-8.1100000000000005E-2</v>
      </c>
      <c r="BR24">
        <f t="shared" si="1"/>
        <v>-7.7199999999999991E-2</v>
      </c>
      <c r="BS24">
        <f t="shared" si="1"/>
        <v>-5.2499999999999998E-2</v>
      </c>
      <c r="BT24">
        <f t="shared" si="1"/>
        <v>-2.9700000000000004E-2</v>
      </c>
      <c r="BU24">
        <f t="shared" si="1"/>
        <v>-2.0000000000000018E-3</v>
      </c>
      <c r="BV24">
        <f t="shared" si="1"/>
        <v>-9.7999999999999962E-3</v>
      </c>
      <c r="BW24">
        <f t="shared" si="1"/>
        <v>1.5000000000000013E-3</v>
      </c>
      <c r="BX24">
        <f t="shared" si="1"/>
        <v>-5.6000000000000008E-3</v>
      </c>
      <c r="BY24">
        <f t="shared" si="1"/>
        <v>-3.4799999999999998E-2</v>
      </c>
      <c r="BZ24">
        <f t="shared" si="1"/>
        <v>-8.7099999999999983E-2</v>
      </c>
      <c r="CA24">
        <f t="shared" si="1"/>
        <v>-0.10750000000000001</v>
      </c>
      <c r="CB24">
        <f t="shared" si="1"/>
        <v>-0.1022</v>
      </c>
      <c r="CC24">
        <f t="shared" si="1"/>
        <v>-0.129</v>
      </c>
      <c r="CD24">
        <f t="shared" si="1"/>
        <v>-0.13930000000000001</v>
      </c>
      <c r="CE24">
        <f t="shared" si="1"/>
        <v>-1.5299999999999994E-2</v>
      </c>
      <c r="CF24">
        <f t="shared" si="1"/>
        <v>1.5600000000000003E-2</v>
      </c>
      <c r="CG24">
        <f t="shared" si="1"/>
        <v>1.7699999999999994E-2</v>
      </c>
      <c r="CH24">
        <f t="shared" si="1"/>
        <v>3.2299999999999995E-2</v>
      </c>
      <c r="CI24">
        <f t="shared" si="1"/>
        <v>4.2099999999999999E-2</v>
      </c>
      <c r="CJ24">
        <f t="shared" si="1"/>
        <v>3.3199999999999993E-2</v>
      </c>
      <c r="CK24">
        <f t="shared" si="1"/>
        <v>-0.15210000000000001</v>
      </c>
      <c r="CL24">
        <f t="shared" si="1"/>
        <v>-0.13550000000000001</v>
      </c>
      <c r="CM24">
        <f t="shared" si="1"/>
        <v>-6.8399999999999989E-2</v>
      </c>
      <c r="CN24">
        <f t="shared" si="1"/>
        <v>1.7600000000000005E-2</v>
      </c>
      <c r="CO24">
        <f t="shared" si="1"/>
        <v>2.7699999999999995E-2</v>
      </c>
      <c r="CP24">
        <f t="shared" si="1"/>
        <v>-5.2900000000000003E-2</v>
      </c>
      <c r="CQ24">
        <f t="shared" si="1"/>
        <v>-0.17549999999999999</v>
      </c>
      <c r="CR24">
        <f t="shared" si="1"/>
        <v>-7.1099999999999997E-2</v>
      </c>
      <c r="CS24">
        <f t="shared" si="1"/>
        <v>-9.9699999999999983E-2</v>
      </c>
      <c r="CT24">
        <f t="shared" si="1"/>
        <v>-6.0899999999999996E-2</v>
      </c>
      <c r="CU24">
        <f t="shared" si="1"/>
        <v>0.10110000000000001</v>
      </c>
      <c r="CV24">
        <f t="shared" si="1"/>
        <v>-2.7200000000000002E-2</v>
      </c>
      <c r="CW24">
        <f t="shared" si="1"/>
        <v>3.2200000000000006E-2</v>
      </c>
      <c r="CX24">
        <f t="shared" si="1"/>
        <v>3.7900000000000003E-2</v>
      </c>
    </row>
    <row r="25" spans="1:102" x14ac:dyDescent="0.2">
      <c r="A25" t="s">
        <v>209</v>
      </c>
      <c r="B25" t="s">
        <v>220</v>
      </c>
      <c r="C25" t="s">
        <v>102</v>
      </c>
      <c r="D25">
        <f t="shared" ref="D25:S31" si="2">D8+D16</f>
        <v>-5.4199999999999995E-3</v>
      </c>
      <c r="E25">
        <f t="shared" si="2"/>
        <v>5.5299999999999995E-2</v>
      </c>
      <c r="F25">
        <f t="shared" si="2"/>
        <v>-0.10747000000000001</v>
      </c>
      <c r="G25">
        <f t="shared" si="2"/>
        <v>-9.017E-2</v>
      </c>
      <c r="H25">
        <f t="shared" si="2"/>
        <v>-0.11928</v>
      </c>
      <c r="I25">
        <f t="shared" si="2"/>
        <v>-9.6279999999999991E-2</v>
      </c>
      <c r="J25">
        <f t="shared" si="2"/>
        <v>-0.12455000000000001</v>
      </c>
      <c r="K25">
        <f t="shared" si="2"/>
        <v>-0.11998</v>
      </c>
      <c r="L25">
        <f t="shared" si="2"/>
        <v>-0.10973999999999999</v>
      </c>
      <c r="M25">
        <f t="shared" si="2"/>
        <v>-9.620999999999999E-2</v>
      </c>
      <c r="N25">
        <f t="shared" si="2"/>
        <v>-0.11633</v>
      </c>
      <c r="O25">
        <f t="shared" si="2"/>
        <v>-0.15263000000000002</v>
      </c>
      <c r="P25">
        <f t="shared" si="2"/>
        <v>-0.14102999999999999</v>
      </c>
      <c r="Q25">
        <f t="shared" si="2"/>
        <v>-0.11042</v>
      </c>
      <c r="R25">
        <f t="shared" si="2"/>
        <v>-5.8780000000000006E-2</v>
      </c>
      <c r="S25">
        <f t="shared" si="2"/>
        <v>-4.0149999999999998E-2</v>
      </c>
      <c r="T25">
        <f t="shared" si="0"/>
        <v>-4.163E-2</v>
      </c>
      <c r="U25">
        <f t="shared" si="0"/>
        <v>-3.465E-2</v>
      </c>
      <c r="V25">
        <f t="shared" si="0"/>
        <v>-2.2599999999999999E-2</v>
      </c>
      <c r="W25">
        <f t="shared" si="0"/>
        <v>-1.2879999999999999E-2</v>
      </c>
      <c r="X25">
        <f t="shared" si="0"/>
        <v>-1.4809999999999999E-2</v>
      </c>
      <c r="Y25">
        <f t="shared" si="0"/>
        <v>-2.5999999999999999E-2</v>
      </c>
      <c r="Z25">
        <f t="shared" si="0"/>
        <v>-3.1539999999999999E-2</v>
      </c>
      <c r="AA25">
        <f t="shared" si="0"/>
        <v>-3.5439999999999999E-2</v>
      </c>
      <c r="AB25">
        <f t="shared" si="0"/>
        <v>-2.5219999999999999E-2</v>
      </c>
      <c r="AC25">
        <f t="shared" si="0"/>
        <v>-1.2700000000000003E-2</v>
      </c>
      <c r="AD25">
        <f t="shared" si="0"/>
        <v>-9.3200000000000019E-3</v>
      </c>
      <c r="AE25">
        <f t="shared" si="0"/>
        <v>-5.2400000000000007E-3</v>
      </c>
      <c r="AF25">
        <f t="shared" si="0"/>
        <v>7.11E-3</v>
      </c>
      <c r="AG25">
        <f t="shared" si="0"/>
        <v>1.5820000000000001E-2</v>
      </c>
      <c r="AH25">
        <f t="shared" si="0"/>
        <v>1.261E-2</v>
      </c>
      <c r="AI25">
        <f t="shared" si="0"/>
        <v>2.1249999999999998E-2</v>
      </c>
      <c r="AJ25">
        <f t="shared" si="0"/>
        <v>4.172E-2</v>
      </c>
      <c r="AK25">
        <f t="shared" si="0"/>
        <v>4.8649999999999999E-2</v>
      </c>
      <c r="AL25">
        <f t="shared" si="0"/>
        <v>5.1389999999999998E-2</v>
      </c>
      <c r="AM25">
        <f t="shared" si="0"/>
        <v>5.6870000000000004E-2</v>
      </c>
      <c r="AN25">
        <f t="shared" si="0"/>
        <v>5.5019999999999999E-2</v>
      </c>
      <c r="AO25">
        <f t="shared" si="0"/>
        <v>4.7850000000000004E-2</v>
      </c>
      <c r="AP25">
        <f t="shared" si="0"/>
        <v>2.563E-2</v>
      </c>
      <c r="AQ25">
        <f t="shared" si="0"/>
        <v>7.26E-3</v>
      </c>
      <c r="AR25">
        <f t="shared" si="0"/>
        <v>3.8599999999999997E-3</v>
      </c>
      <c r="AS25">
        <f t="shared" si="0"/>
        <v>-1.021E-2</v>
      </c>
      <c r="AT25">
        <f t="shared" si="0"/>
        <v>-5.340000000000001E-3</v>
      </c>
      <c r="AU25">
        <f t="shared" si="0"/>
        <v>-7.4600000000000014E-3</v>
      </c>
      <c r="AV25">
        <f t="shared" si="0"/>
        <v>1.1429999999999999E-2</v>
      </c>
      <c r="AW25">
        <f t="shared" si="0"/>
        <v>3.5339999999999996E-2</v>
      </c>
      <c r="AX25">
        <f t="shared" si="0"/>
        <v>6.6790000000000002E-2</v>
      </c>
      <c r="AY25">
        <f t="shared" si="0"/>
        <v>6.583E-2</v>
      </c>
      <c r="AZ25">
        <f t="shared" si="0"/>
        <v>7.3019999999999988E-2</v>
      </c>
      <c r="BA25">
        <f t="shared" si="0"/>
        <v>7.1929999999999994E-2</v>
      </c>
      <c r="BB25">
        <f t="shared" si="0"/>
        <v>5.824E-2</v>
      </c>
      <c r="BC25">
        <f t="shared" si="0"/>
        <v>2.368E-2</v>
      </c>
      <c r="BD25">
        <f t="shared" si="0"/>
        <v>-6.3E-3</v>
      </c>
      <c r="BE25">
        <f t="shared" si="0"/>
        <v>-1.5599999999999999E-2</v>
      </c>
      <c r="BF25">
        <f t="shared" si="0"/>
        <v>-1.7500000000000002E-2</v>
      </c>
      <c r="BG25">
        <f t="shared" si="0"/>
        <v>-2.0499999999999997E-2</v>
      </c>
      <c r="BH25">
        <f t="shared" si="0"/>
        <v>-1.1600000000000001E-2</v>
      </c>
      <c r="BI25">
        <f t="shared" si="0"/>
        <v>1.4789999999999999E-2</v>
      </c>
      <c r="BJ25">
        <f t="shared" si="0"/>
        <v>2.5899999999999999E-2</v>
      </c>
      <c r="BK25">
        <f t="shared" si="0"/>
        <v>2.9100000000000001E-2</v>
      </c>
      <c r="BL25">
        <f t="shared" si="0"/>
        <v>3.4500000000000003E-2</v>
      </c>
      <c r="BM25">
        <f t="shared" si="0"/>
        <v>2.8400000000000002E-2</v>
      </c>
      <c r="BN25">
        <f t="shared" si="0"/>
        <v>2.7100000000000006E-3</v>
      </c>
      <c r="BO25">
        <f t="shared" si="0"/>
        <v>-2.1299999999999999E-2</v>
      </c>
      <c r="BP25">
        <f t="shared" si="0"/>
        <v>-4.4899999999999995E-2</v>
      </c>
      <c r="BQ25">
        <f t="shared" si="1"/>
        <v>-5.0199999999999995E-2</v>
      </c>
      <c r="BR25">
        <f t="shared" si="1"/>
        <v>-4.5199999999999997E-2</v>
      </c>
      <c r="BS25">
        <f t="shared" si="1"/>
        <v>-2.1199999999999997E-2</v>
      </c>
      <c r="BT25">
        <f t="shared" si="1"/>
        <v>-1.3999999999999985E-3</v>
      </c>
      <c r="BU25">
        <f t="shared" si="1"/>
        <v>2.6099999999999998E-2</v>
      </c>
      <c r="BV25">
        <f t="shared" si="1"/>
        <v>1.0580000000000001E-2</v>
      </c>
      <c r="BW25">
        <f t="shared" si="1"/>
        <v>1.677E-2</v>
      </c>
      <c r="BX25">
        <f t="shared" si="1"/>
        <v>1.157E-2</v>
      </c>
      <c r="BY25">
        <f t="shared" si="1"/>
        <v>-1.7599999999999998E-2</v>
      </c>
      <c r="BZ25">
        <f t="shared" si="1"/>
        <v>-7.6399999999999996E-2</v>
      </c>
      <c r="CA25">
        <f t="shared" si="1"/>
        <v>-9.2600000000000002E-2</v>
      </c>
      <c r="CB25">
        <f t="shared" si="1"/>
        <v>-8.7799999999999989E-2</v>
      </c>
      <c r="CC25">
        <f t="shared" si="1"/>
        <v>-0.1132</v>
      </c>
      <c r="CD25">
        <f t="shared" si="1"/>
        <v>-0.11830000000000002</v>
      </c>
      <c r="CE25">
        <f t="shared" si="1"/>
        <v>1.7114999999999998E-2</v>
      </c>
      <c r="CF25">
        <f t="shared" si="1"/>
        <v>3.2500000000000001E-2</v>
      </c>
      <c r="CG25">
        <f t="shared" si="1"/>
        <v>2.8400000000000002E-2</v>
      </c>
      <c r="CH25">
        <f t="shared" si="1"/>
        <v>5.1299999999999998E-2</v>
      </c>
      <c r="CI25">
        <f t="shared" si="1"/>
        <v>4.4299999999999999E-2</v>
      </c>
      <c r="CJ25">
        <f t="shared" si="1"/>
        <v>4.07E-2</v>
      </c>
      <c r="CK25">
        <f t="shared" si="1"/>
        <v>-0.16259999999999999</v>
      </c>
      <c r="CL25">
        <f t="shared" si="1"/>
        <v>-0.1502</v>
      </c>
      <c r="CM25">
        <f t="shared" si="1"/>
        <v>-9.5200000000000007E-2</v>
      </c>
      <c r="CN25">
        <f t="shared" si="1"/>
        <v>-9.1999999999999998E-3</v>
      </c>
      <c r="CO25">
        <f t="shared" si="1"/>
        <v>1.468E-2</v>
      </c>
      <c r="CP25">
        <f t="shared" si="1"/>
        <v>-6.5700000000000008E-2</v>
      </c>
      <c r="CQ25">
        <f t="shared" si="1"/>
        <v>-0.2041</v>
      </c>
      <c r="CR25">
        <f t="shared" si="1"/>
        <v>-0.124</v>
      </c>
      <c r="CS25">
        <f t="shared" si="1"/>
        <v>-0.14119999999999999</v>
      </c>
      <c r="CT25">
        <f t="shared" si="1"/>
        <v>-0.1328</v>
      </c>
      <c r="CU25">
        <f t="shared" si="1"/>
        <v>5.4300000000000001E-2</v>
      </c>
      <c r="CV25">
        <f t="shared" si="1"/>
        <v>-0.12539999999999998</v>
      </c>
      <c r="CW25">
        <f t="shared" si="1"/>
        <v>-7.17E-2</v>
      </c>
      <c r="CX25">
        <f t="shared" si="1"/>
        <v>6.3999999999999994E-3</v>
      </c>
    </row>
    <row r="26" spans="1:102" x14ac:dyDescent="0.2">
      <c r="A26" t="s">
        <v>210</v>
      </c>
      <c r="B26" t="s">
        <v>220</v>
      </c>
      <c r="C26" t="s">
        <v>102</v>
      </c>
      <c r="D26">
        <f t="shared" si="2"/>
        <v>-1.2160000000000001E-2</v>
      </c>
      <c r="E26">
        <f t="shared" si="2"/>
        <v>-2.2360000000000001E-2</v>
      </c>
      <c r="F26">
        <f t="shared" si="2"/>
        <v>5.96E-3</v>
      </c>
      <c r="G26">
        <f t="shared" si="2"/>
        <v>-1.1599999999999998E-3</v>
      </c>
      <c r="H26">
        <f t="shared" si="2"/>
        <v>1.9740000000000001E-2</v>
      </c>
      <c r="I26">
        <f t="shared" si="2"/>
        <v>8.8099999999999984E-3</v>
      </c>
      <c r="J26">
        <f t="shared" si="2"/>
        <v>1.3779999999999999E-2</v>
      </c>
      <c r="K26">
        <f t="shared" si="2"/>
        <v>1.14E-2</v>
      </c>
      <c r="L26">
        <f t="shared" si="2"/>
        <v>8.0700000000000008E-3</v>
      </c>
      <c r="M26">
        <f t="shared" si="2"/>
        <v>4.0699999999999998E-3</v>
      </c>
      <c r="N26">
        <f t="shared" si="2"/>
        <v>1.1169999999999999E-2</v>
      </c>
      <c r="O26">
        <f t="shared" si="2"/>
        <v>1.77E-2</v>
      </c>
      <c r="P26">
        <f t="shared" si="2"/>
        <v>1.5214999999999999E-2</v>
      </c>
      <c r="Q26">
        <f t="shared" si="2"/>
        <v>8.3409999999999995E-3</v>
      </c>
      <c r="R26">
        <f t="shared" si="2"/>
        <v>9.8400000000000007E-4</v>
      </c>
      <c r="S26">
        <f t="shared" si="2"/>
        <v>-2.317E-3</v>
      </c>
      <c r="T26">
        <f t="shared" si="0"/>
        <v>-2.1740000000000002E-3</v>
      </c>
      <c r="U26">
        <f t="shared" si="0"/>
        <v>-3.0219999999999999E-3</v>
      </c>
      <c r="V26">
        <f t="shared" si="0"/>
        <v>-5.2459999999999998E-3</v>
      </c>
      <c r="W26">
        <f t="shared" si="0"/>
        <v>-4.8779999999999995E-3</v>
      </c>
      <c r="X26">
        <f t="shared" si="0"/>
        <v>-1.9849999999999998E-3</v>
      </c>
      <c r="Y26">
        <f t="shared" si="0"/>
        <v>-5.8079999999999991E-4</v>
      </c>
      <c r="Z26">
        <f t="shared" si="0"/>
        <v>5.0500000000000002E-4</v>
      </c>
      <c r="AA26">
        <f t="shared" si="0"/>
        <v>9.7500000000000006E-4</v>
      </c>
      <c r="AB26">
        <f t="shared" si="0"/>
        <v>-2.0460000000000001E-3</v>
      </c>
      <c r="AC26">
        <f t="shared" si="0"/>
        <v>-3.5560000000000001E-3</v>
      </c>
      <c r="AD26">
        <f t="shared" si="0"/>
        <v>-4.2209999999999999E-3</v>
      </c>
      <c r="AE26">
        <f t="shared" si="0"/>
        <v>-4.7070000000000002E-3</v>
      </c>
      <c r="AF26">
        <f t="shared" si="0"/>
        <v>-6.9960000000000005E-3</v>
      </c>
      <c r="AG26">
        <f t="shared" si="0"/>
        <v>-7.2700000000000004E-3</v>
      </c>
      <c r="AH26">
        <f t="shared" si="0"/>
        <v>-6.3310000000000007E-3</v>
      </c>
      <c r="AI26">
        <f t="shared" si="0"/>
        <v>-8.5140000000000007E-3</v>
      </c>
      <c r="AJ26">
        <f t="shared" si="0"/>
        <v>-1.3991E-2</v>
      </c>
      <c r="AK26">
        <f t="shared" si="0"/>
        <v>-1.545E-2</v>
      </c>
      <c r="AL26">
        <f t="shared" si="0"/>
        <v>-1.7409999999999998E-2</v>
      </c>
      <c r="AM26">
        <f t="shared" si="0"/>
        <v>-1.7260000000000001E-2</v>
      </c>
      <c r="AN26">
        <f t="shared" si="0"/>
        <v>-1.8099999999999998E-2</v>
      </c>
      <c r="AO26">
        <f t="shared" si="0"/>
        <v>-1.7180000000000001E-2</v>
      </c>
      <c r="AP26">
        <f t="shared" si="0"/>
        <v>-1.2140000000000001E-2</v>
      </c>
      <c r="AQ26">
        <f t="shared" si="0"/>
        <v>-5.2500000000000003E-3</v>
      </c>
      <c r="AR26">
        <f t="shared" si="0"/>
        <v>-2.3340000000000001E-3</v>
      </c>
      <c r="AS26">
        <f t="shared" si="0"/>
        <v>-3.1000000000000016E-4</v>
      </c>
      <c r="AT26">
        <f t="shared" si="0"/>
        <v>5.0000000000000131E-5</v>
      </c>
      <c r="AU26">
        <f t="shared" si="0"/>
        <v>6.0000000000000006E-4</v>
      </c>
      <c r="AV26">
        <f t="shared" si="0"/>
        <v>-4.5100000000000001E-3</v>
      </c>
      <c r="AW26">
        <f t="shared" si="0"/>
        <v>-1.1379999999999999E-2</v>
      </c>
      <c r="AX26">
        <f t="shared" si="0"/>
        <v>-1.8149999999999999E-2</v>
      </c>
      <c r="AY26">
        <f t="shared" si="0"/>
        <v>-1.9E-2</v>
      </c>
      <c r="AZ26">
        <f t="shared" si="0"/>
        <v>-2.0119999999999999E-2</v>
      </c>
      <c r="BA26">
        <f t="shared" si="0"/>
        <v>-1.949E-2</v>
      </c>
      <c r="BB26">
        <f t="shared" si="0"/>
        <v>-1.7919999999999998E-2</v>
      </c>
      <c r="BC26">
        <f t="shared" si="0"/>
        <v>-8.8500000000000002E-3</v>
      </c>
      <c r="BD26">
        <f t="shared" si="0"/>
        <v>-2.5240000000000002E-3</v>
      </c>
      <c r="BE26">
        <f t="shared" si="0"/>
        <v>1.0000000000000026E-4</v>
      </c>
      <c r="BF26">
        <f t="shared" si="0"/>
        <v>2.0000000000000009E-4</v>
      </c>
      <c r="BG26">
        <f t="shared" si="0"/>
        <v>1.82E-3</v>
      </c>
      <c r="BH26">
        <f t="shared" si="0"/>
        <v>1.9400000000000003E-3</v>
      </c>
      <c r="BI26">
        <f t="shared" si="0"/>
        <v>-3.48E-3</v>
      </c>
      <c r="BJ26">
        <f t="shared" si="0"/>
        <v>-5.5399999999999998E-3</v>
      </c>
      <c r="BK26">
        <f t="shared" si="0"/>
        <v>-8.94E-3</v>
      </c>
      <c r="BL26">
        <f t="shared" si="0"/>
        <v>-8.9300000000000004E-3</v>
      </c>
      <c r="BM26">
        <f t="shared" si="0"/>
        <v>-6.7100000000000007E-3</v>
      </c>
      <c r="BN26">
        <f t="shared" si="0"/>
        <v>6.7999999999999962E-4</v>
      </c>
      <c r="BO26">
        <f t="shared" si="0"/>
        <v>3.7699999999999999E-3</v>
      </c>
      <c r="BP26">
        <f t="shared" si="0"/>
        <v>7.8900000000000012E-3</v>
      </c>
      <c r="BQ26">
        <f t="shared" si="1"/>
        <v>8.1899999999999994E-3</v>
      </c>
      <c r="BR26">
        <f t="shared" si="1"/>
        <v>8.2199999999999999E-3</v>
      </c>
      <c r="BS26">
        <f t="shared" si="1"/>
        <v>1.7800000000000003E-3</v>
      </c>
      <c r="BT26">
        <f t="shared" si="1"/>
        <v>-4.47E-3</v>
      </c>
      <c r="BU26">
        <f t="shared" si="1"/>
        <v>-1.0059999999999999E-2</v>
      </c>
      <c r="BV26">
        <f t="shared" si="1"/>
        <v>-5.3299999999999997E-3</v>
      </c>
      <c r="BW26">
        <f t="shared" si="1"/>
        <v>-8.0700000000000008E-3</v>
      </c>
      <c r="BX26">
        <f t="shared" si="1"/>
        <v>-7.8300000000000002E-3</v>
      </c>
      <c r="BY26">
        <f t="shared" si="1"/>
        <v>6.7999999999999962E-4</v>
      </c>
      <c r="BZ26">
        <f t="shared" si="1"/>
        <v>1.435E-2</v>
      </c>
      <c r="CA26">
        <f t="shared" si="1"/>
        <v>1.668E-2</v>
      </c>
      <c r="CB26">
        <f t="shared" si="1"/>
        <v>1.2070000000000001E-2</v>
      </c>
      <c r="CC26">
        <f t="shared" si="1"/>
        <v>1.9740000000000001E-2</v>
      </c>
      <c r="CD26">
        <f t="shared" si="1"/>
        <v>2.2210000000000001E-2</v>
      </c>
      <c r="CE26">
        <f t="shared" si="1"/>
        <v>-9.6100000000000005E-3</v>
      </c>
      <c r="CF26">
        <f t="shared" si="1"/>
        <v>-1.244E-2</v>
      </c>
      <c r="CG26">
        <f t="shared" si="1"/>
        <v>-1.2359999999999999E-2</v>
      </c>
      <c r="CH26">
        <f t="shared" si="1"/>
        <v>-1.2109999999999999E-2</v>
      </c>
      <c r="CI26">
        <f t="shared" si="1"/>
        <v>-1.7649999999999999E-2</v>
      </c>
      <c r="CJ26">
        <f t="shared" si="1"/>
        <v>-1.6890000000000002E-2</v>
      </c>
      <c r="CK26">
        <f t="shared" si="1"/>
        <v>2.4E-2</v>
      </c>
      <c r="CL26">
        <f t="shared" si="1"/>
        <v>2.4680000000000001E-2</v>
      </c>
      <c r="CM26">
        <f t="shared" si="1"/>
        <v>1.6840000000000001E-2</v>
      </c>
      <c r="CN26">
        <f t="shared" si="1"/>
        <v>-4.3400000000000001E-3</v>
      </c>
      <c r="CO26">
        <f t="shared" si="1"/>
        <v>-6.6600000000000001E-3</v>
      </c>
      <c r="CP26">
        <f t="shared" si="1"/>
        <v>1.745E-2</v>
      </c>
      <c r="CQ26">
        <f t="shared" si="1"/>
        <v>4.8749999999999995E-2</v>
      </c>
      <c r="CR26">
        <f t="shared" si="1"/>
        <v>2.0230000000000001E-2</v>
      </c>
      <c r="CS26">
        <f t="shared" si="1"/>
        <v>2.4029999999999999E-2</v>
      </c>
      <c r="CT26">
        <f t="shared" si="1"/>
        <v>2.835E-2</v>
      </c>
      <c r="CU26">
        <f t="shared" si="1"/>
        <v>-2.4040000000000002E-2</v>
      </c>
      <c r="CV26">
        <f t="shared" si="1"/>
        <v>2.6000000000000003E-3</v>
      </c>
      <c r="CW26">
        <f t="shared" si="1"/>
        <v>6.4700000000000001E-3</v>
      </c>
      <c r="CX26">
        <f t="shared" si="1"/>
        <v>1.1979999999999999E-2</v>
      </c>
    </row>
    <row r="27" spans="1:102" x14ac:dyDescent="0.2">
      <c r="A27" t="s">
        <v>211</v>
      </c>
      <c r="B27" t="s">
        <v>220</v>
      </c>
      <c r="C27" t="s">
        <v>102</v>
      </c>
      <c r="D27">
        <f t="shared" si="2"/>
        <v>1.4350000000000002E-2</v>
      </c>
      <c r="E27">
        <f t="shared" si="0"/>
        <v>8.7299999999999999E-3</v>
      </c>
      <c r="F27">
        <f t="shared" si="0"/>
        <v>2.3189999999999999E-2</v>
      </c>
      <c r="G27">
        <f t="shared" si="0"/>
        <v>1.575E-2</v>
      </c>
      <c r="H27">
        <f t="shared" si="0"/>
        <v>1.8679999999999999E-2</v>
      </c>
      <c r="I27">
        <f t="shared" si="0"/>
        <v>1.4259999999999998E-2</v>
      </c>
      <c r="J27">
        <f t="shared" si="0"/>
        <v>9.8500000000000011E-3</v>
      </c>
      <c r="K27">
        <f t="shared" si="0"/>
        <v>1.2410000000000001E-2</v>
      </c>
      <c r="L27">
        <f t="shared" si="0"/>
        <v>7.2900000000000005E-3</v>
      </c>
      <c r="M27">
        <f t="shared" si="0"/>
        <v>6.6599999999999993E-3</v>
      </c>
      <c r="N27">
        <f t="shared" si="0"/>
        <v>1.308E-2</v>
      </c>
      <c r="O27">
        <f t="shared" si="0"/>
        <v>1.9999999999999997E-2</v>
      </c>
      <c r="P27">
        <f t="shared" si="0"/>
        <v>1.678E-2</v>
      </c>
      <c r="Q27">
        <f t="shared" si="0"/>
        <v>1.323E-2</v>
      </c>
      <c r="R27">
        <f t="shared" si="0"/>
        <v>9.5499999999999995E-3</v>
      </c>
      <c r="S27">
        <f t="shared" si="0"/>
        <v>1.098E-2</v>
      </c>
      <c r="T27">
        <f t="shared" si="0"/>
        <v>7.28E-3</v>
      </c>
      <c r="U27">
        <f t="shared" si="0"/>
        <v>8.320000000000001E-3</v>
      </c>
      <c r="V27">
        <f t="shared" si="0"/>
        <v>5.7600000000000004E-3</v>
      </c>
      <c r="W27">
        <f t="shared" si="0"/>
        <v>5.45E-3</v>
      </c>
      <c r="X27">
        <f t="shared" si="0"/>
        <v>7.6E-3</v>
      </c>
      <c r="Y27">
        <f t="shared" si="0"/>
        <v>7.8599999999999989E-3</v>
      </c>
      <c r="Z27">
        <f t="shared" si="0"/>
        <v>7.9499999999999987E-3</v>
      </c>
      <c r="AA27">
        <f t="shared" si="0"/>
        <v>7.3499999999999998E-3</v>
      </c>
      <c r="AB27">
        <f t="shared" si="0"/>
        <v>2.0899999999999998E-3</v>
      </c>
      <c r="AC27">
        <f t="shared" si="0"/>
        <v>2.9999999999999992E-4</v>
      </c>
      <c r="AD27">
        <f t="shared" si="0"/>
        <v>1.3900000000000002E-3</v>
      </c>
      <c r="AE27">
        <f t="shared" si="0"/>
        <v>1.0600000000000002E-3</v>
      </c>
      <c r="AF27">
        <f t="shared" si="0"/>
        <v>2.8600000000000001E-3</v>
      </c>
      <c r="AG27">
        <f t="shared" si="0"/>
        <v>4.45E-3</v>
      </c>
      <c r="AH27">
        <f t="shared" si="0"/>
        <v>2.7499999999999998E-3</v>
      </c>
      <c r="AI27">
        <f t="shared" si="0"/>
        <v>1.6999999999999999E-3</v>
      </c>
      <c r="AJ27">
        <f t="shared" si="0"/>
        <v>-1.3000000000000012E-4</v>
      </c>
      <c r="AK27">
        <f t="shared" si="0"/>
        <v>-2.2919999999999998E-3</v>
      </c>
      <c r="AL27">
        <f t="shared" si="0"/>
        <v>-3.3499999999999997E-3</v>
      </c>
      <c r="AM27">
        <f t="shared" si="0"/>
        <v>-4.45E-3</v>
      </c>
      <c r="AN27">
        <f t="shared" si="0"/>
        <v>-4.3899999999999998E-3</v>
      </c>
      <c r="AO27">
        <f t="shared" si="0"/>
        <v>1.57E-3</v>
      </c>
      <c r="AP27">
        <f t="shared" si="0"/>
        <v>3.4799999999999996E-3</v>
      </c>
      <c r="AQ27">
        <f t="shared" si="0"/>
        <v>4.4900000000000001E-3</v>
      </c>
      <c r="AR27">
        <f t="shared" si="0"/>
        <v>2.8500000000000001E-3</v>
      </c>
      <c r="AS27">
        <f t="shared" si="0"/>
        <v>1.3800000000000002E-3</v>
      </c>
      <c r="AT27">
        <f t="shared" si="0"/>
        <v>1.7200000000000002E-3</v>
      </c>
      <c r="AU27">
        <f t="shared" si="0"/>
        <v>1.67E-3</v>
      </c>
      <c r="AV27">
        <f t="shared" si="0"/>
        <v>4.3299999999999996E-3</v>
      </c>
      <c r="AW27">
        <f t="shared" si="0"/>
        <v>3.1299999999999995E-3</v>
      </c>
      <c r="AX27">
        <f t="shared" si="0"/>
        <v>1.3599999999999997E-3</v>
      </c>
      <c r="AY27">
        <f t="shared" si="0"/>
        <v>-2.183E-3</v>
      </c>
      <c r="AZ27">
        <f t="shared" si="0"/>
        <v>-1.3839999999999998E-3</v>
      </c>
      <c r="BA27">
        <f t="shared" si="0"/>
        <v>-1.0999999999999985E-4</v>
      </c>
      <c r="BB27">
        <f t="shared" si="0"/>
        <v>-6.1000000000000008E-4</v>
      </c>
      <c r="BC27">
        <f t="shared" si="0"/>
        <v>1.5400000000000001E-3</v>
      </c>
      <c r="BD27">
        <f t="shared" si="0"/>
        <v>1.7600000000000003E-3</v>
      </c>
      <c r="BE27">
        <f t="shared" si="0"/>
        <v>5.850000000000001E-3</v>
      </c>
      <c r="BF27">
        <f t="shared" si="0"/>
        <v>1.0330000000000001E-2</v>
      </c>
      <c r="BG27">
        <f t="shared" si="0"/>
        <v>8.9999999999999993E-3</v>
      </c>
      <c r="BH27">
        <f t="shared" si="0"/>
        <v>8.8999999999999999E-3</v>
      </c>
      <c r="BI27">
        <f t="shared" si="0"/>
        <v>5.5799999999999999E-3</v>
      </c>
      <c r="BJ27">
        <f t="shared" si="0"/>
        <v>5.5799999999999999E-3</v>
      </c>
      <c r="BK27">
        <f t="shared" si="0"/>
        <v>2.15E-3</v>
      </c>
      <c r="BL27">
        <f t="shared" si="0"/>
        <v>2.0100000000000001E-3</v>
      </c>
      <c r="BM27">
        <f t="shared" si="0"/>
        <v>4.1400000000000005E-3</v>
      </c>
      <c r="BN27">
        <f t="shared" si="0"/>
        <v>9.7900000000000001E-3</v>
      </c>
      <c r="BO27">
        <f t="shared" si="0"/>
        <v>1.238E-2</v>
      </c>
      <c r="BP27">
        <f t="shared" si="0"/>
        <v>0.01</v>
      </c>
      <c r="BQ27">
        <f t="shared" si="1"/>
        <v>1.0270000000000001E-2</v>
      </c>
      <c r="BR27">
        <f t="shared" si="1"/>
        <v>1.736E-2</v>
      </c>
      <c r="BS27">
        <f t="shared" si="1"/>
        <v>1.2359999999999999E-2</v>
      </c>
      <c r="BT27">
        <f t="shared" si="1"/>
        <v>6.3299999999999997E-3</v>
      </c>
      <c r="BU27">
        <f t="shared" si="1"/>
        <v>4.96E-3</v>
      </c>
      <c r="BV27">
        <f t="shared" si="1"/>
        <v>7.4099999999999999E-3</v>
      </c>
      <c r="BW27">
        <f t="shared" si="1"/>
        <v>4.9099999999999994E-3</v>
      </c>
      <c r="BX27">
        <f t="shared" si="1"/>
        <v>1.3500000000000001E-3</v>
      </c>
      <c r="BY27">
        <f t="shared" si="1"/>
        <v>3.5000000000000005E-3</v>
      </c>
      <c r="BZ27">
        <f t="shared" si="1"/>
        <v>1.294E-2</v>
      </c>
      <c r="CA27">
        <f t="shared" si="1"/>
        <v>1.2469999999999998E-2</v>
      </c>
      <c r="CB27">
        <f t="shared" si="1"/>
        <v>6.1200000000000004E-3</v>
      </c>
      <c r="CC27">
        <f t="shared" si="1"/>
        <v>1.0790000000000001E-2</v>
      </c>
      <c r="CD27">
        <f t="shared" si="1"/>
        <v>2.0639999999999999E-2</v>
      </c>
      <c r="CE27">
        <f t="shared" si="1"/>
        <v>1.7099999999999997E-3</v>
      </c>
      <c r="CF27">
        <f t="shared" si="1"/>
        <v>-2.2499999999999998E-3</v>
      </c>
      <c r="CG27">
        <f t="shared" si="1"/>
        <v>-1.97E-3</v>
      </c>
      <c r="CH27">
        <f t="shared" si="1"/>
        <v>-8.7399999999999995E-3</v>
      </c>
      <c r="CI27">
        <f t="shared" si="1"/>
        <v>-1.5790000000000002E-2</v>
      </c>
      <c r="CJ27">
        <f t="shared" si="1"/>
        <v>-1.5690000000000003E-2</v>
      </c>
      <c r="CK27">
        <f t="shared" si="1"/>
        <v>1.2559999999999998E-2</v>
      </c>
      <c r="CL27">
        <f t="shared" si="1"/>
        <v>2.5999999999999999E-3</v>
      </c>
      <c r="CM27">
        <f t="shared" si="1"/>
        <v>3.6000000000000008E-4</v>
      </c>
      <c r="CN27">
        <f t="shared" si="1"/>
        <v>-2.2579999999999999E-2</v>
      </c>
      <c r="CO27">
        <f t="shared" si="1"/>
        <v>-3.2099999999999997E-2</v>
      </c>
      <c r="CP27">
        <f t="shared" si="1"/>
        <v>-2.2589999999999999E-2</v>
      </c>
      <c r="CQ27">
        <f t="shared" si="1"/>
        <v>6.0000000000000001E-3</v>
      </c>
      <c r="CR27">
        <f t="shared" si="1"/>
        <v>-1.5900000000000001E-2</v>
      </c>
      <c r="CS27">
        <f t="shared" si="1"/>
        <v>-1.8500000000000001E-3</v>
      </c>
      <c r="CT27">
        <f t="shared" si="1"/>
        <v>-1.112E-2</v>
      </c>
      <c r="CU27">
        <f t="shared" si="1"/>
        <v>-5.1119999999999999E-2</v>
      </c>
      <c r="CV27">
        <f t="shared" si="1"/>
        <v>-2.6610000000000002E-2</v>
      </c>
      <c r="CW27">
        <f t="shared" si="1"/>
        <v>-3.8010000000000002E-2</v>
      </c>
      <c r="CX27">
        <f t="shared" si="1"/>
        <v>-5.4339999999999999E-2</v>
      </c>
    </row>
    <row r="28" spans="1:102" x14ac:dyDescent="0.2">
      <c r="A28" t="s">
        <v>212</v>
      </c>
      <c r="B28" t="s">
        <v>220</v>
      </c>
      <c r="C28" t="s">
        <v>102</v>
      </c>
      <c r="D28">
        <f t="shared" si="2"/>
        <v>-1.8599999999999997E-3</v>
      </c>
      <c r="E28">
        <f t="shared" si="0"/>
        <v>-4.5800000000000007E-3</v>
      </c>
      <c r="F28">
        <f t="shared" si="0"/>
        <v>5.9500000000000004E-3</v>
      </c>
      <c r="G28">
        <f t="shared" si="0"/>
        <v>-1.0400000000000001E-3</v>
      </c>
      <c r="H28">
        <f t="shared" si="0"/>
        <v>6.7099999999999998E-3</v>
      </c>
      <c r="I28">
        <f t="shared" si="0"/>
        <v>1.7880000000000001E-3</v>
      </c>
      <c r="J28">
        <f t="shared" si="0"/>
        <v>5.8700000000000002E-3</v>
      </c>
      <c r="K28">
        <f t="shared" si="0"/>
        <v>6.2500000000000003E-3</v>
      </c>
      <c r="L28">
        <f t="shared" si="0"/>
        <v>4.7699999999999999E-3</v>
      </c>
      <c r="M28">
        <f t="shared" si="0"/>
        <v>4.1900000000000001E-3</v>
      </c>
      <c r="N28">
        <f t="shared" si="0"/>
        <v>8.2360000000000003E-3</v>
      </c>
      <c r="O28">
        <f t="shared" si="0"/>
        <v>1.1368000000000001E-2</v>
      </c>
      <c r="P28">
        <f t="shared" si="0"/>
        <v>1.0877999999999999E-2</v>
      </c>
      <c r="Q28">
        <f t="shared" si="0"/>
        <v>7.8510000000000003E-3</v>
      </c>
      <c r="R28">
        <f t="shared" si="0"/>
        <v>3.5740000000000004E-3</v>
      </c>
      <c r="S28">
        <f t="shared" si="0"/>
        <v>2.9690000000000003E-3</v>
      </c>
      <c r="T28">
        <f t="shared" si="0"/>
        <v>2.898E-3</v>
      </c>
      <c r="U28">
        <f t="shared" si="0"/>
        <v>3.2469999999999999E-3</v>
      </c>
      <c r="V28">
        <f t="shared" si="0"/>
        <v>2.245E-3</v>
      </c>
      <c r="W28">
        <f t="shared" si="0"/>
        <v>1.9250000000000001E-3</v>
      </c>
      <c r="X28">
        <f t="shared" si="0"/>
        <v>2.1449999999999998E-3</v>
      </c>
      <c r="Y28">
        <f t="shared" si="0"/>
        <v>2.1099999999999999E-3</v>
      </c>
      <c r="Z28">
        <f t="shared" si="0"/>
        <v>2.3010000000000001E-3</v>
      </c>
      <c r="AA28">
        <f t="shared" si="0"/>
        <v>2.0460000000000001E-3</v>
      </c>
      <c r="AB28">
        <f t="shared" si="0"/>
        <v>1.312E-3</v>
      </c>
      <c r="AC28">
        <f t="shared" si="0"/>
        <v>1.2489999999999999E-3</v>
      </c>
      <c r="AD28">
        <f t="shared" si="0"/>
        <v>8.830000000000001E-4</v>
      </c>
      <c r="AE28">
        <f t="shared" si="0"/>
        <v>4.5399999999999998E-4</v>
      </c>
      <c r="AF28">
        <f t="shared" si="0"/>
        <v>6.6399999999999999E-4</v>
      </c>
      <c r="AG28">
        <f t="shared" si="0"/>
        <v>4.15E-4</v>
      </c>
      <c r="AH28">
        <f t="shared" ref="AH28:CS29" si="3">AH11+AH19</f>
        <v>1.1099999999999999E-4</v>
      </c>
      <c r="AI28">
        <f t="shared" si="3"/>
        <v>-2.3099999999999998E-4</v>
      </c>
      <c r="AJ28">
        <f t="shared" si="3"/>
        <v>-8.9900000000000006E-4</v>
      </c>
      <c r="AK28">
        <f t="shared" si="3"/>
        <v>-9.2499999999999982E-4</v>
      </c>
      <c r="AL28">
        <f t="shared" si="3"/>
        <v>-3.9600000000000003E-4</v>
      </c>
      <c r="AM28">
        <f t="shared" si="3"/>
        <v>-2.8800000000000006E-4</v>
      </c>
      <c r="AN28">
        <f t="shared" si="3"/>
        <v>-1.6799999999999996E-4</v>
      </c>
      <c r="AO28">
        <f t="shared" si="3"/>
        <v>2.2770000000000003E-4</v>
      </c>
      <c r="AP28">
        <f t="shared" si="3"/>
        <v>6.4799999999999992E-4</v>
      </c>
      <c r="AQ28">
        <f t="shared" si="3"/>
        <v>5.7799999999999995E-4</v>
      </c>
      <c r="AR28">
        <f t="shared" si="3"/>
        <v>7.5900000000000002E-4</v>
      </c>
      <c r="AS28">
        <f t="shared" si="3"/>
        <v>1.093E-3</v>
      </c>
      <c r="AT28">
        <f t="shared" si="3"/>
        <v>1.0119999999999999E-3</v>
      </c>
      <c r="AU28">
        <f t="shared" si="3"/>
        <v>7.9100000000000004E-4</v>
      </c>
      <c r="AV28">
        <f t="shared" si="3"/>
        <v>1.2079999999999999E-3</v>
      </c>
      <c r="AW28">
        <f t="shared" si="3"/>
        <v>8.9700000000000001E-4</v>
      </c>
      <c r="AX28">
        <f t="shared" si="3"/>
        <v>3.97E-4</v>
      </c>
      <c r="AY28">
        <f t="shared" si="3"/>
        <v>-1.3700000000000002E-4</v>
      </c>
      <c r="AZ28">
        <f t="shared" si="3"/>
        <v>-3.2400000000000001E-4</v>
      </c>
      <c r="BA28">
        <f t="shared" si="3"/>
        <v>-8.2799999999999996E-4</v>
      </c>
      <c r="BB28">
        <f t="shared" si="3"/>
        <v>-8.879999999999999E-4</v>
      </c>
      <c r="BC28">
        <f t="shared" si="3"/>
        <v>-1.36E-4</v>
      </c>
      <c r="BD28">
        <f t="shared" si="3"/>
        <v>5.3199999999999992E-4</v>
      </c>
      <c r="BE28">
        <f t="shared" si="3"/>
        <v>7.7799999999999994E-4</v>
      </c>
      <c r="BF28">
        <f t="shared" si="3"/>
        <v>1.356E-3</v>
      </c>
      <c r="BG28">
        <f t="shared" si="3"/>
        <v>1.111E-3</v>
      </c>
      <c r="BH28">
        <f t="shared" si="3"/>
        <v>7.1000000000000002E-4</v>
      </c>
      <c r="BI28">
        <f t="shared" si="3"/>
        <v>4.3399999999999998E-4</v>
      </c>
      <c r="BJ28">
        <f t="shared" si="3"/>
        <v>6.96E-4</v>
      </c>
      <c r="BK28">
        <f t="shared" si="3"/>
        <v>1.15E-4</v>
      </c>
      <c r="BL28">
        <f t="shared" si="3"/>
        <v>3.8699999999999997E-4</v>
      </c>
      <c r="BM28">
        <f t="shared" si="3"/>
        <v>4.8300000000000003E-4</v>
      </c>
      <c r="BN28">
        <f t="shared" si="3"/>
        <v>8.1700000000000002E-4</v>
      </c>
      <c r="BO28">
        <f t="shared" si="3"/>
        <v>7.9299999999999998E-4</v>
      </c>
      <c r="BP28">
        <f t="shared" si="3"/>
        <v>1.526E-3</v>
      </c>
      <c r="BQ28">
        <f t="shared" si="1"/>
        <v>2.0629999999999997E-3</v>
      </c>
      <c r="BR28">
        <f t="shared" si="1"/>
        <v>2.2620000000000001E-3</v>
      </c>
      <c r="BS28">
        <f t="shared" si="1"/>
        <v>1.475E-3</v>
      </c>
      <c r="BT28">
        <f t="shared" si="1"/>
        <v>1.065E-3</v>
      </c>
      <c r="BU28">
        <f t="shared" si="1"/>
        <v>1.1590000000000001E-3</v>
      </c>
      <c r="BV28">
        <f t="shared" si="1"/>
        <v>2.2240000000000003E-3</v>
      </c>
      <c r="BW28">
        <f t="shared" si="1"/>
        <v>1.99E-3</v>
      </c>
      <c r="BX28">
        <f t="shared" si="1"/>
        <v>1.1560000000000001E-3</v>
      </c>
      <c r="BY28">
        <f t="shared" si="1"/>
        <v>2.163E-3</v>
      </c>
      <c r="BZ28">
        <f t="shared" si="1"/>
        <v>2.6909999999999998E-3</v>
      </c>
      <c r="CA28">
        <f t="shared" si="1"/>
        <v>3.1780000000000003E-3</v>
      </c>
      <c r="CB28">
        <f t="shared" si="1"/>
        <v>3.0620000000000001E-3</v>
      </c>
      <c r="CC28">
        <f t="shared" si="1"/>
        <v>3.3709999999999999E-3</v>
      </c>
      <c r="CD28">
        <f t="shared" si="1"/>
        <v>2.9969999999999997E-3</v>
      </c>
      <c r="CE28">
        <f t="shared" si="1"/>
        <v>6.1000000000000008E-4</v>
      </c>
      <c r="CF28">
        <f t="shared" si="1"/>
        <v>-5.0999999999999993E-5</v>
      </c>
      <c r="CG28">
        <f t="shared" si="1"/>
        <v>-6.2999999999999986E-5</v>
      </c>
      <c r="CH28">
        <f t="shared" si="1"/>
        <v>-1.7400000000000003E-4</v>
      </c>
      <c r="CI28">
        <f t="shared" si="1"/>
        <v>-4.9800000000000007E-4</v>
      </c>
      <c r="CJ28">
        <f t="shared" si="1"/>
        <v>-8.209999999999999E-4</v>
      </c>
      <c r="CK28">
        <f t="shared" si="1"/>
        <v>4.1100000000000002E-4</v>
      </c>
      <c r="CL28">
        <f t="shared" si="1"/>
        <v>1.3519999999999999E-3</v>
      </c>
      <c r="CM28">
        <f t="shared" si="1"/>
        <v>6.2799999999999998E-4</v>
      </c>
      <c r="CN28">
        <f t="shared" si="1"/>
        <v>1.864E-4</v>
      </c>
      <c r="CO28">
        <f t="shared" si="1"/>
        <v>-1.0430000000000001E-3</v>
      </c>
      <c r="CP28">
        <f t="shared" si="1"/>
        <v>-6.7599999999999995E-4</v>
      </c>
      <c r="CQ28">
        <f t="shared" si="1"/>
        <v>6.7599999999999995E-4</v>
      </c>
      <c r="CR28">
        <f t="shared" si="1"/>
        <v>-7.7300000000000003E-4</v>
      </c>
      <c r="CS28">
        <f t="shared" si="1"/>
        <v>1.228E-4</v>
      </c>
      <c r="CT28">
        <f t="shared" si="1"/>
        <v>-6.3299999999999999E-4</v>
      </c>
      <c r="CU28">
        <f t="shared" si="1"/>
        <v>-1.395E-3</v>
      </c>
      <c r="CV28">
        <f t="shared" si="1"/>
        <v>-1.513E-3</v>
      </c>
      <c r="CW28">
        <f t="shared" si="1"/>
        <v>-3.6740000000000002E-3</v>
      </c>
      <c r="CX28">
        <f t="shared" si="1"/>
        <v>-4.8329999999999996E-3</v>
      </c>
    </row>
    <row r="29" spans="1:102" x14ac:dyDescent="0.2">
      <c r="A29" t="s">
        <v>213</v>
      </c>
      <c r="B29" t="s">
        <v>220</v>
      </c>
      <c r="C29" t="s">
        <v>102</v>
      </c>
      <c r="D29">
        <f t="shared" si="2"/>
        <v>8.4430000000000005E-2</v>
      </c>
      <c r="E29">
        <f t="shared" si="2"/>
        <v>0.12240000000000001</v>
      </c>
      <c r="F29">
        <f t="shared" si="2"/>
        <v>3.78E-2</v>
      </c>
      <c r="G29">
        <f t="shared" si="2"/>
        <v>5.3400000000000003E-2</v>
      </c>
      <c r="H29">
        <f t="shared" si="2"/>
        <v>-1.6600000000000004E-2</v>
      </c>
      <c r="I29">
        <f t="shared" si="2"/>
        <v>2.6200000000000001E-2</v>
      </c>
      <c r="J29">
        <f t="shared" si="2"/>
        <v>-1.4099999999999998E-2</v>
      </c>
      <c r="K29">
        <f t="shared" si="2"/>
        <v>-9.9999999999999985E-3</v>
      </c>
      <c r="L29">
        <f t="shared" si="2"/>
        <v>-1.2499999999999999E-2</v>
      </c>
      <c r="M29">
        <f t="shared" si="2"/>
        <v>-1.2299999999999998E-2</v>
      </c>
      <c r="N29">
        <f t="shared" si="2"/>
        <v>-6.9500000000000006E-2</v>
      </c>
      <c r="O29">
        <f t="shared" si="2"/>
        <v>-0.12806000000000001</v>
      </c>
      <c r="P29">
        <f t="shared" si="2"/>
        <v>-0.13103000000000001</v>
      </c>
      <c r="Q29">
        <f t="shared" si="2"/>
        <v>-0.10621</v>
      </c>
      <c r="R29">
        <f t="shared" si="2"/>
        <v>-6.5739999999999993E-2</v>
      </c>
      <c r="S29">
        <f t="shared" si="2"/>
        <v>-4.9250000000000002E-2</v>
      </c>
      <c r="T29">
        <f t="shared" ref="T29:BP31" si="4">T12+T20</f>
        <v>-5.0310000000000001E-2</v>
      </c>
      <c r="U29">
        <f t="shared" si="4"/>
        <v>-5.1700000000000003E-2</v>
      </c>
      <c r="V29">
        <f t="shared" si="4"/>
        <v>-4.292E-2</v>
      </c>
      <c r="W29">
        <f t="shared" si="4"/>
        <v>-4.0759999999999998E-2</v>
      </c>
      <c r="X29">
        <f t="shared" si="4"/>
        <v>-4.496E-2</v>
      </c>
      <c r="Y29">
        <f t="shared" si="4"/>
        <v>-4.7530000000000003E-2</v>
      </c>
      <c r="Z29">
        <f t="shared" si="4"/>
        <v>-4.7349999999999996E-2</v>
      </c>
      <c r="AA29">
        <f t="shared" si="4"/>
        <v>-4.3110000000000002E-2</v>
      </c>
      <c r="AB29">
        <f t="shared" si="4"/>
        <v>-3.8449999999999998E-2</v>
      </c>
      <c r="AC29">
        <f t="shared" si="4"/>
        <v>-3.066E-2</v>
      </c>
      <c r="AD29">
        <f t="shared" si="4"/>
        <v>-2.4100000000000003E-2</v>
      </c>
      <c r="AE29">
        <f t="shared" si="4"/>
        <v>-2.708E-2</v>
      </c>
      <c r="AF29">
        <f t="shared" si="4"/>
        <v>-2.1680000000000001E-2</v>
      </c>
      <c r="AG29">
        <f t="shared" si="4"/>
        <v>-2.102E-2</v>
      </c>
      <c r="AH29">
        <f t="shared" si="4"/>
        <v>-2.0219999999999998E-2</v>
      </c>
      <c r="AI29">
        <f t="shared" si="4"/>
        <v>-1.4159999999999999E-2</v>
      </c>
      <c r="AJ29">
        <f t="shared" si="4"/>
        <v>-1.095E-2</v>
      </c>
      <c r="AK29">
        <f t="shared" si="4"/>
        <v>-7.7099999999999998E-3</v>
      </c>
      <c r="AL29">
        <f t="shared" si="4"/>
        <v>-9.1800000000000007E-3</v>
      </c>
      <c r="AM29">
        <f t="shared" si="4"/>
        <v>-1.172E-2</v>
      </c>
      <c r="AN29">
        <f t="shared" si="4"/>
        <v>-1.8419999999999999E-2</v>
      </c>
      <c r="AO29">
        <f t="shared" si="4"/>
        <v>-2.3359999999999999E-2</v>
      </c>
      <c r="AP29">
        <f t="shared" si="4"/>
        <v>-2.5439999999999997E-2</v>
      </c>
      <c r="AQ29">
        <f t="shared" si="4"/>
        <v>-2.486E-2</v>
      </c>
      <c r="AR29">
        <f t="shared" si="4"/>
        <v>-2.273E-2</v>
      </c>
      <c r="AS29">
        <f t="shared" si="4"/>
        <v>-1.7469999999999999E-2</v>
      </c>
      <c r="AT29">
        <f t="shared" si="4"/>
        <v>-1.473E-2</v>
      </c>
      <c r="AU29">
        <f t="shared" si="4"/>
        <v>-9.2800000000000001E-3</v>
      </c>
      <c r="AV29">
        <f t="shared" si="4"/>
        <v>-5.3399999999999993E-3</v>
      </c>
      <c r="AW29">
        <f t="shared" si="4"/>
        <v>-2.4450000000000001E-3</v>
      </c>
      <c r="AX29">
        <f t="shared" si="4"/>
        <v>-8.9499999999999985E-4</v>
      </c>
      <c r="AY29">
        <f t="shared" si="4"/>
        <v>-2.8419999999999999E-3</v>
      </c>
      <c r="AZ29">
        <f t="shared" si="4"/>
        <v>-9.1490000000000009E-3</v>
      </c>
      <c r="BA29">
        <f t="shared" si="4"/>
        <v>-1.0856999999999999E-2</v>
      </c>
      <c r="BB29">
        <f t="shared" si="4"/>
        <v>-1.0598999999999999E-2</v>
      </c>
      <c r="BC29">
        <f t="shared" si="4"/>
        <v>-1.2881999999999999E-2</v>
      </c>
      <c r="BD29">
        <f t="shared" si="4"/>
        <v>-1.2433999999999999E-2</v>
      </c>
      <c r="BE29">
        <f t="shared" si="4"/>
        <v>-1.2411999999999999E-2</v>
      </c>
      <c r="BF29">
        <f t="shared" si="4"/>
        <v>-1.2279E-2</v>
      </c>
      <c r="BG29">
        <f t="shared" si="4"/>
        <v>-7.4289999999999998E-3</v>
      </c>
      <c r="BH29">
        <f t="shared" si="4"/>
        <v>-5.7879999999999997E-3</v>
      </c>
      <c r="BI29">
        <f t="shared" si="4"/>
        <v>-8.5979999999999997E-3</v>
      </c>
      <c r="BJ29">
        <f t="shared" si="4"/>
        <v>-1.2687E-2</v>
      </c>
      <c r="BK29">
        <f t="shared" si="4"/>
        <v>-9.575199999999999E-3</v>
      </c>
      <c r="BL29">
        <f t="shared" si="4"/>
        <v>-9.2011000000000003E-3</v>
      </c>
      <c r="BM29">
        <f t="shared" si="4"/>
        <v>-1.2921E-2</v>
      </c>
      <c r="BN29">
        <f t="shared" si="4"/>
        <v>-1.5032E-2</v>
      </c>
      <c r="BO29">
        <f t="shared" si="4"/>
        <v>-1.4500599000000001E-2</v>
      </c>
      <c r="BP29">
        <f t="shared" si="3"/>
        <v>-8.8140000000000007E-3</v>
      </c>
      <c r="BQ29">
        <f t="shared" si="3"/>
        <v>-7.3030000000000005E-3</v>
      </c>
      <c r="BR29">
        <f t="shared" si="3"/>
        <v>-7.0569999999999999E-3</v>
      </c>
      <c r="BS29">
        <f t="shared" si="3"/>
        <v>-6.927E-3</v>
      </c>
      <c r="BT29">
        <f t="shared" si="3"/>
        <v>-1.3619999999999999E-3</v>
      </c>
      <c r="BU29">
        <f t="shared" si="3"/>
        <v>-1.9689999999999998E-3</v>
      </c>
      <c r="BV29">
        <f t="shared" si="3"/>
        <v>8.5499999999999997E-4</v>
      </c>
      <c r="BW29">
        <f t="shared" si="3"/>
        <v>1.8479999999999998E-3</v>
      </c>
      <c r="BX29">
        <f t="shared" si="3"/>
        <v>-4.0889999999999998E-3</v>
      </c>
      <c r="BY29">
        <f t="shared" si="3"/>
        <v>-5.9899999999999997E-3</v>
      </c>
      <c r="BZ29">
        <f t="shared" si="3"/>
        <v>-6.4570000000000001E-3</v>
      </c>
      <c r="CA29">
        <f t="shared" si="3"/>
        <v>-1.2300000000000002E-3</v>
      </c>
      <c r="CB29">
        <f t="shared" si="3"/>
        <v>9.9120000000000007E-3</v>
      </c>
      <c r="CC29">
        <f t="shared" si="3"/>
        <v>1.0301999999999999E-2</v>
      </c>
      <c r="CD29">
        <f t="shared" si="3"/>
        <v>1.4441000000000001E-2</v>
      </c>
      <c r="CE29">
        <f t="shared" si="3"/>
        <v>1.0478000000000001E-2</v>
      </c>
      <c r="CF29">
        <f t="shared" si="3"/>
        <v>7.2249999999999997E-3</v>
      </c>
      <c r="CG29">
        <f t="shared" si="3"/>
        <v>1.5941E-2</v>
      </c>
      <c r="CH29">
        <f t="shared" si="3"/>
        <v>1.7398E-2</v>
      </c>
      <c r="CI29">
        <f t="shared" si="3"/>
        <v>1.473E-2</v>
      </c>
      <c r="CJ29">
        <f t="shared" si="3"/>
        <v>1.9106999999999999E-2</v>
      </c>
      <c r="CK29">
        <f t="shared" si="3"/>
        <v>2.4857999999999998E-2</v>
      </c>
      <c r="CL29">
        <f t="shared" si="3"/>
        <v>2.3931000000000001E-2</v>
      </c>
      <c r="CM29">
        <f t="shared" si="3"/>
        <v>2.1624000000000001E-2</v>
      </c>
      <c r="CN29">
        <f t="shared" si="3"/>
        <v>3.6096999999999997E-2</v>
      </c>
      <c r="CO29">
        <f t="shared" si="3"/>
        <v>4.1435E-2</v>
      </c>
      <c r="CP29">
        <f t="shared" si="3"/>
        <v>2.9898999999999998E-2</v>
      </c>
      <c r="CQ29">
        <f t="shared" si="3"/>
        <v>4.3840999999999998E-2</v>
      </c>
      <c r="CR29">
        <f t="shared" si="3"/>
        <v>5.2229999999999999E-2</v>
      </c>
      <c r="CS29">
        <f t="shared" si="3"/>
        <v>3.6625999999999999E-2</v>
      </c>
      <c r="CT29">
        <f t="shared" si="1"/>
        <v>4.7531999999999998E-2</v>
      </c>
      <c r="CU29">
        <f t="shared" si="1"/>
        <v>4.4176E-2</v>
      </c>
      <c r="CV29">
        <f t="shared" si="1"/>
        <v>4.8181000000000002E-2</v>
      </c>
      <c r="CW29">
        <f t="shared" si="1"/>
        <v>5.3423999999999999E-2</v>
      </c>
      <c r="CX29">
        <f t="shared" si="1"/>
        <v>5.4913999999999998E-2</v>
      </c>
    </row>
    <row r="30" spans="1:102" x14ac:dyDescent="0.2">
      <c r="A30" t="s">
        <v>214</v>
      </c>
      <c r="B30" t="s">
        <v>220</v>
      </c>
      <c r="C30" t="s">
        <v>102</v>
      </c>
      <c r="D30">
        <f t="shared" si="2"/>
        <v>-4.8409999999999998E-3</v>
      </c>
      <c r="E30">
        <f t="shared" si="2"/>
        <v>-2.189E-3</v>
      </c>
      <c r="F30">
        <f t="shared" si="2"/>
        <v>1.1628999999999999E-2</v>
      </c>
      <c r="G30">
        <f t="shared" si="2"/>
        <v>1.5162999999999999E-2</v>
      </c>
      <c r="H30">
        <f t="shared" si="2"/>
        <v>1.4209000000000001E-2</v>
      </c>
      <c r="I30">
        <f t="shared" si="2"/>
        <v>7.7539999999999996E-3</v>
      </c>
      <c r="J30">
        <f t="shared" si="2"/>
        <v>7.1621999999999996E-3</v>
      </c>
      <c r="K30">
        <f t="shared" si="2"/>
        <v>2.6350000000000002E-3</v>
      </c>
      <c r="L30">
        <f t="shared" si="2"/>
        <v>7.2204000000000001E-3</v>
      </c>
      <c r="M30">
        <f t="shared" si="2"/>
        <v>5.7229999999999998E-3</v>
      </c>
      <c r="N30">
        <f t="shared" si="2"/>
        <v>5.4082000000000002E-3</v>
      </c>
      <c r="O30">
        <f t="shared" si="2"/>
        <v>4.8288999999999997E-3</v>
      </c>
      <c r="P30">
        <f t="shared" si="2"/>
        <v>3.5700184E-3</v>
      </c>
      <c r="Q30">
        <f t="shared" si="2"/>
        <v>3.1292E-3</v>
      </c>
      <c r="R30">
        <f t="shared" si="2"/>
        <v>8.2711E-3</v>
      </c>
      <c r="S30">
        <f t="shared" si="2"/>
        <v>9.1318099999999989E-3</v>
      </c>
      <c r="T30">
        <f t="shared" si="4"/>
        <v>1.4943999999999999E-3</v>
      </c>
      <c r="U30">
        <f t="shared" si="4"/>
        <v>3.5534E-3</v>
      </c>
      <c r="V30">
        <f t="shared" si="4"/>
        <v>5.3736000000000001E-3</v>
      </c>
      <c r="W30">
        <f t="shared" si="4"/>
        <v>6.1446000000000001E-3</v>
      </c>
      <c r="X30">
        <f t="shared" si="4"/>
        <v>7.4140000000000005E-3</v>
      </c>
      <c r="Y30">
        <f t="shared" si="4"/>
        <v>5.7242000000000005E-3</v>
      </c>
      <c r="Z30">
        <f t="shared" si="4"/>
        <v>6.2786999999999999E-3</v>
      </c>
      <c r="AA30">
        <f t="shared" si="4"/>
        <v>3.9064E-3</v>
      </c>
      <c r="AB30">
        <f t="shared" si="4"/>
        <v>2.6542000000000002E-3</v>
      </c>
      <c r="AC30">
        <f t="shared" si="4"/>
        <v>7.6479999999999994E-4</v>
      </c>
      <c r="AD30">
        <f t="shared" si="4"/>
        <v>3.0206999999999999E-3</v>
      </c>
      <c r="AE30">
        <f t="shared" si="4"/>
        <v>3.6149000000000003E-3</v>
      </c>
      <c r="AF30">
        <f t="shared" si="4"/>
        <v>3.1250000000000001E-4</v>
      </c>
      <c r="AG30">
        <f t="shared" si="4"/>
        <v>8.013639999999999E-3</v>
      </c>
      <c r="AH30">
        <f t="shared" si="4"/>
        <v>5.5576000000000002E-3</v>
      </c>
      <c r="AI30">
        <f t="shared" si="4"/>
        <v>1.3802E-3</v>
      </c>
      <c r="AJ30">
        <f t="shared" si="4"/>
        <v>3.2383999999999998E-3</v>
      </c>
      <c r="AK30">
        <f t="shared" si="4"/>
        <v>-5.3549999999999995E-4</v>
      </c>
      <c r="AL30">
        <f t="shared" si="4"/>
        <v>1.7323999999999998E-3</v>
      </c>
      <c r="AM30">
        <f t="shared" si="4"/>
        <v>6.3590000000000001E-3</v>
      </c>
      <c r="AN30">
        <f t="shared" si="4"/>
        <v>3.1110000000000003E-4</v>
      </c>
      <c r="AO30">
        <f t="shared" si="4"/>
        <v>2.1635000000000001E-3</v>
      </c>
      <c r="AP30">
        <f t="shared" si="4"/>
        <v>1.126E-4</v>
      </c>
      <c r="AQ30">
        <f t="shared" si="4"/>
        <v>2.1107000000000001E-3</v>
      </c>
      <c r="AR30">
        <f t="shared" si="4"/>
        <v>-2.7460999999999996E-3</v>
      </c>
      <c r="AS30">
        <f t="shared" si="4"/>
        <v>3.5069999999999997E-3</v>
      </c>
      <c r="AT30">
        <f t="shared" si="4"/>
        <v>2.6589000000000001E-3</v>
      </c>
      <c r="AU30">
        <f t="shared" si="4"/>
        <v>2.5010000000000002E-3</v>
      </c>
      <c r="AV30">
        <f t="shared" si="4"/>
        <v>-5.8716999999999997E-3</v>
      </c>
      <c r="AW30">
        <f t="shared" si="4"/>
        <v>-1.9090000000000001E-4</v>
      </c>
      <c r="AX30">
        <f t="shared" si="4"/>
        <v>-4.1961999999999998E-3</v>
      </c>
      <c r="AY30">
        <f t="shared" si="4"/>
        <v>2.1939999999999999E-4</v>
      </c>
      <c r="AZ30">
        <f t="shared" si="4"/>
        <v>1.6684E-3</v>
      </c>
      <c r="BA30">
        <f t="shared" si="4"/>
        <v>-8.1720000000000002E-4</v>
      </c>
      <c r="BB30">
        <f t="shared" si="4"/>
        <v>2.0387000000000001E-4</v>
      </c>
      <c r="BC30">
        <f t="shared" si="4"/>
        <v>5.2468999999999997E-4</v>
      </c>
      <c r="BD30">
        <f t="shared" si="4"/>
        <v>1.4459E-4</v>
      </c>
      <c r="BE30">
        <f t="shared" si="4"/>
        <v>5.3327299999999999E-3</v>
      </c>
      <c r="BF30">
        <f t="shared" si="4"/>
        <v>-6.6569999999999997E-4</v>
      </c>
      <c r="BG30">
        <f t="shared" si="4"/>
        <v>1.6847000000000001E-3</v>
      </c>
      <c r="BH30">
        <f t="shared" si="4"/>
        <v>-2.1221899999999999E-3</v>
      </c>
      <c r="BI30">
        <f t="shared" si="4"/>
        <v>-5.6550000000000003E-4</v>
      </c>
      <c r="BJ30">
        <f t="shared" si="4"/>
        <v>-8.5596000000000005E-3</v>
      </c>
      <c r="BK30">
        <f t="shared" si="4"/>
        <v>7.2110000000000004E-3</v>
      </c>
      <c r="BL30">
        <f t="shared" si="4"/>
        <v>-1.8087000000000001E-3</v>
      </c>
      <c r="BM30">
        <f t="shared" si="4"/>
        <v>2.8381999999999999E-3</v>
      </c>
      <c r="BN30">
        <f t="shared" si="4"/>
        <v>3.6893999999999998E-3</v>
      </c>
      <c r="BO30">
        <f t="shared" si="4"/>
        <v>4.7965000000000004E-3</v>
      </c>
      <c r="BP30">
        <f t="shared" si="4"/>
        <v>2.5815999999999999E-3</v>
      </c>
      <c r="BQ30">
        <f t="shared" si="1"/>
        <v>6.0210000000000003E-3</v>
      </c>
      <c r="BR30">
        <f t="shared" si="1"/>
        <v>1.3650000000000001E-3</v>
      </c>
      <c r="BS30">
        <f t="shared" si="1"/>
        <v>-3.1082000000000002E-3</v>
      </c>
      <c r="BT30">
        <f t="shared" si="1"/>
        <v>3.2139999999999998E-3</v>
      </c>
      <c r="BU30">
        <f t="shared" si="1"/>
        <v>-4.4200000000000001E-4</v>
      </c>
      <c r="BV30">
        <f t="shared" si="1"/>
        <v>7.9750000000000003E-4</v>
      </c>
      <c r="BW30">
        <f t="shared" si="1"/>
        <v>-2.568E-3</v>
      </c>
      <c r="BX30">
        <f t="shared" si="1"/>
        <v>9.6599999999999995E-4</v>
      </c>
      <c r="BY30">
        <f t="shared" si="1"/>
        <v>-6.7500000000000004E-4</v>
      </c>
      <c r="BZ30">
        <f t="shared" si="1"/>
        <v>9.4399999999999996E-4</v>
      </c>
      <c r="CA30">
        <f t="shared" si="1"/>
        <v>-4.7828999999999997E-3</v>
      </c>
      <c r="CB30">
        <f t="shared" si="1"/>
        <v>1.4166E-2</v>
      </c>
      <c r="CC30">
        <f t="shared" si="1"/>
        <v>1.3048000000000001E-2</v>
      </c>
      <c r="CD30">
        <f t="shared" si="1"/>
        <v>2.6149999999999997E-3</v>
      </c>
      <c r="CE30">
        <f t="shared" si="1"/>
        <v>-7.8100000000000012E-4</v>
      </c>
      <c r="CF30">
        <f t="shared" si="1"/>
        <v>-3.1100000000000008E-4</v>
      </c>
      <c r="CG30">
        <f t="shared" si="1"/>
        <v>8.5000000000000006E-4</v>
      </c>
      <c r="CH30">
        <f t="shared" si="1"/>
        <v>4.653E-3</v>
      </c>
      <c r="CI30">
        <f t="shared" si="1"/>
        <v>2.7680000000000001E-3</v>
      </c>
      <c r="CJ30">
        <f t="shared" si="1"/>
        <v>-2.8799999999999995E-4</v>
      </c>
      <c r="CK30">
        <f t="shared" si="1"/>
        <v>6.999E-3</v>
      </c>
      <c r="CL30">
        <f t="shared" si="1"/>
        <v>1.2598E-2</v>
      </c>
      <c r="CM30">
        <f t="shared" si="1"/>
        <v>-1.0420000000000002E-3</v>
      </c>
      <c r="CN30">
        <f t="shared" si="1"/>
        <v>5.7350000000000005E-3</v>
      </c>
      <c r="CO30">
        <f t="shared" si="1"/>
        <v>-2.6200000000000003E-4</v>
      </c>
      <c r="CP30">
        <f t="shared" si="1"/>
        <v>5.4780000000000002E-3</v>
      </c>
      <c r="CQ30">
        <f t="shared" si="1"/>
        <v>7.3660000000000002E-3</v>
      </c>
      <c r="CR30">
        <f t="shared" si="1"/>
        <v>1.3975E-2</v>
      </c>
      <c r="CS30">
        <f t="shared" si="1"/>
        <v>9.1870000000000007E-3</v>
      </c>
      <c r="CT30">
        <f t="shared" si="1"/>
        <v>1.2703000000000001E-2</v>
      </c>
      <c r="CU30">
        <f t="shared" si="1"/>
        <v>-9.6099999999999994E-4</v>
      </c>
      <c r="CV30">
        <f t="shared" si="1"/>
        <v>7.6170000000000005E-3</v>
      </c>
      <c r="CW30">
        <f t="shared" si="1"/>
        <v>1.0740000000000001E-3</v>
      </c>
      <c r="CX30">
        <f t="shared" si="1"/>
        <v>1.3815999999999998E-2</v>
      </c>
    </row>
    <row r="31" spans="1:102" x14ac:dyDescent="0.2">
      <c r="A31" t="s">
        <v>215</v>
      </c>
      <c r="B31" t="s">
        <v>220</v>
      </c>
      <c r="C31" t="s">
        <v>102</v>
      </c>
      <c r="D31">
        <f t="shared" si="2"/>
        <v>-1.5599999999999999E-2</v>
      </c>
      <c r="E31">
        <f t="shared" si="2"/>
        <v>7.4999999999999997E-2</v>
      </c>
      <c r="F31">
        <f t="shared" si="2"/>
        <v>3.0599999999999999E-2</v>
      </c>
      <c r="G31">
        <f t="shared" si="2"/>
        <v>-4.2700000000000002E-2</v>
      </c>
      <c r="H31">
        <f t="shared" si="2"/>
        <v>-4.1399999999999999E-2</v>
      </c>
      <c r="I31">
        <f t="shared" si="2"/>
        <v>-0.05</v>
      </c>
      <c r="J31">
        <f t="shared" si="2"/>
        <v>-7.2400000000000006E-2</v>
      </c>
      <c r="K31">
        <f t="shared" si="2"/>
        <v>-4.3499999999999997E-2</v>
      </c>
      <c r="L31">
        <f t="shared" si="2"/>
        <v>-4.7E-2</v>
      </c>
      <c r="M31">
        <f t="shared" si="2"/>
        <v>-3.2399999999999998E-2</v>
      </c>
      <c r="N31">
        <f t="shared" si="2"/>
        <v>-3.44E-2</v>
      </c>
      <c r="O31">
        <f t="shared" si="2"/>
        <v>-2.7199999999999998E-2</v>
      </c>
      <c r="P31">
        <f t="shared" si="2"/>
        <v>-2.2910000000000003E-2</v>
      </c>
      <c r="Q31">
        <f t="shared" si="2"/>
        <v>-1.6900000000000002E-2</v>
      </c>
      <c r="R31">
        <f t="shared" si="2"/>
        <v>-1.2769999999999998E-2</v>
      </c>
      <c r="S31">
        <f t="shared" si="2"/>
        <v>-1.2339999999999999E-2</v>
      </c>
      <c r="T31">
        <f t="shared" si="4"/>
        <v>-1.038E-2</v>
      </c>
      <c r="U31">
        <f t="shared" si="4"/>
        <v>-1.12E-2</v>
      </c>
      <c r="V31">
        <f t="shared" si="4"/>
        <v>-1.2400000000000001E-2</v>
      </c>
      <c r="W31">
        <f t="shared" si="4"/>
        <v>-1.413E-2</v>
      </c>
      <c r="X31">
        <f t="shared" si="4"/>
        <v>-9.6299999999999997E-3</v>
      </c>
      <c r="Y31">
        <f t="shared" si="4"/>
        <v>-1.1039999999999999E-2</v>
      </c>
      <c r="Z31">
        <f t="shared" si="4"/>
        <v>-6.5399999999999989E-3</v>
      </c>
      <c r="AA31">
        <f t="shared" si="4"/>
        <v>-7.0500000000000007E-3</v>
      </c>
      <c r="AB31">
        <f t="shared" si="4"/>
        <v>-7.3399999999999993E-3</v>
      </c>
      <c r="AC31">
        <f t="shared" si="4"/>
        <v>-7.2900000000000005E-3</v>
      </c>
      <c r="AD31">
        <f t="shared" si="4"/>
        <v>-6.830000000000001E-3</v>
      </c>
      <c r="AE31">
        <f t="shared" si="4"/>
        <v>-5.6399999999999992E-3</v>
      </c>
      <c r="AF31">
        <f t="shared" si="4"/>
        <v>-6.9099999999999995E-3</v>
      </c>
      <c r="AG31">
        <f t="shared" si="4"/>
        <v>-7.2099999999999994E-3</v>
      </c>
      <c r="AH31">
        <f t="shared" si="4"/>
        <v>-9.6299999999999997E-3</v>
      </c>
      <c r="AI31">
        <f t="shared" si="4"/>
        <v>-1.0490000000000001E-2</v>
      </c>
      <c r="AJ31">
        <f t="shared" si="4"/>
        <v>-6.2599999999999999E-3</v>
      </c>
      <c r="AK31">
        <f t="shared" si="4"/>
        <v>7.8499999999999993E-3</v>
      </c>
      <c r="AL31">
        <f t="shared" si="4"/>
        <v>5.0000000000000001E-3</v>
      </c>
      <c r="AM31">
        <f t="shared" si="4"/>
        <v>3.9820000000000003E-3</v>
      </c>
      <c r="AN31">
        <f t="shared" si="4"/>
        <v>2.6439999999999996E-3</v>
      </c>
      <c r="AO31">
        <f t="shared" si="4"/>
        <v>2.3799999999999997E-3</v>
      </c>
      <c r="AP31">
        <f t="shared" si="4"/>
        <v>1.0030000000000001E-2</v>
      </c>
      <c r="AQ31">
        <f t="shared" si="4"/>
        <v>1.001E-2</v>
      </c>
      <c r="AR31">
        <f t="shared" si="4"/>
        <v>1.0880000000000001E-2</v>
      </c>
      <c r="AS31">
        <f t="shared" si="4"/>
        <v>4.4799999999999996E-3</v>
      </c>
      <c r="AT31">
        <f t="shared" si="4"/>
        <v>4.9399999999999999E-3</v>
      </c>
      <c r="AU31">
        <f t="shared" si="4"/>
        <v>6.0099999999999997E-3</v>
      </c>
      <c r="AV31">
        <f t="shared" si="4"/>
        <v>4.8999999999999998E-3</v>
      </c>
      <c r="AW31">
        <f t="shared" si="4"/>
        <v>4.3099999999999996E-3</v>
      </c>
      <c r="AX31">
        <f t="shared" si="4"/>
        <v>1.72E-3</v>
      </c>
      <c r="AY31">
        <f t="shared" si="4"/>
        <v>1.98E-3</v>
      </c>
      <c r="AZ31">
        <f t="shared" si="4"/>
        <v>-2.63E-3</v>
      </c>
      <c r="BA31">
        <f t="shared" si="4"/>
        <v>-9.1900000000000003E-3</v>
      </c>
      <c r="BB31">
        <f t="shared" si="4"/>
        <v>-1.005E-2</v>
      </c>
      <c r="BC31">
        <f t="shared" si="4"/>
        <v>-1.0869999999999999E-2</v>
      </c>
      <c r="BD31">
        <f t="shared" si="4"/>
        <v>-1.3299999999999999E-2</v>
      </c>
      <c r="BE31">
        <f t="shared" si="4"/>
        <v>-1.0450000000000001E-2</v>
      </c>
      <c r="BF31">
        <f t="shared" si="4"/>
        <v>-1.316E-2</v>
      </c>
      <c r="BG31">
        <f t="shared" si="4"/>
        <v>-1.4140000000000002E-2</v>
      </c>
      <c r="BH31">
        <f t="shared" si="4"/>
        <v>-1.668E-2</v>
      </c>
      <c r="BI31">
        <f t="shared" si="4"/>
        <v>8.5599999999999999E-3</v>
      </c>
      <c r="BJ31">
        <f t="shared" si="4"/>
        <v>1.3409999999999998E-2</v>
      </c>
      <c r="BK31">
        <f t="shared" si="4"/>
        <v>1.4670000000000001E-2</v>
      </c>
      <c r="BL31">
        <f t="shared" si="4"/>
        <v>1.282E-2</v>
      </c>
      <c r="BM31">
        <f t="shared" si="4"/>
        <v>2.2720000000000001E-2</v>
      </c>
      <c r="BN31">
        <f t="shared" si="4"/>
        <v>2.3280000000000002E-2</v>
      </c>
      <c r="BO31">
        <f t="shared" si="4"/>
        <v>1.891E-2</v>
      </c>
      <c r="BP31">
        <f t="shared" si="4"/>
        <v>1.5679999999999999E-2</v>
      </c>
      <c r="BQ31">
        <f t="shared" si="1"/>
        <v>1.6040000000000002E-2</v>
      </c>
      <c r="BR31">
        <f t="shared" si="1"/>
        <v>1.5170000000000001E-2</v>
      </c>
      <c r="BS31">
        <f t="shared" si="1"/>
        <v>1.2790000000000001E-2</v>
      </c>
      <c r="BT31">
        <f t="shared" si="1"/>
        <v>1.8599999999999998E-2</v>
      </c>
      <c r="BU31">
        <f t="shared" si="1"/>
        <v>1.7509999999999998E-2</v>
      </c>
      <c r="BV31">
        <f t="shared" si="1"/>
        <v>1.7329999999999998E-2</v>
      </c>
      <c r="BW31">
        <f t="shared" si="1"/>
        <v>1.9579000000000003E-2</v>
      </c>
      <c r="BX31">
        <f t="shared" si="1"/>
        <v>1.5467E-2</v>
      </c>
      <c r="BY31">
        <f t="shared" si="1"/>
        <v>1.3372999999999999E-2</v>
      </c>
      <c r="BZ31">
        <f t="shared" si="1"/>
        <v>9.5130000000000006E-3</v>
      </c>
      <c r="CA31">
        <f t="shared" si="1"/>
        <v>7.7850000000000003E-3</v>
      </c>
      <c r="CB31">
        <f t="shared" si="1"/>
        <v>6.4099999999999999E-3</v>
      </c>
      <c r="CC31">
        <f t="shared" si="1"/>
        <v>8.5610000000000009E-3</v>
      </c>
      <c r="CD31">
        <f t="shared" si="1"/>
        <v>1.5305999999999998E-2</v>
      </c>
      <c r="CE31">
        <f t="shared" si="1"/>
        <v>1.4886999999999999E-2</v>
      </c>
      <c r="CF31">
        <f t="shared" si="1"/>
        <v>1.223E-2</v>
      </c>
      <c r="CG31">
        <f t="shared" si="1"/>
        <v>1.0290000000000001E-2</v>
      </c>
      <c r="CH31">
        <f t="shared" si="1"/>
        <v>6.0499999999999998E-3</v>
      </c>
      <c r="CI31">
        <f t="shared" si="1"/>
        <v>5.0100000000000006E-3</v>
      </c>
      <c r="CJ31">
        <f t="shared" si="1"/>
        <v>2.8739999999999998E-2</v>
      </c>
      <c r="CK31">
        <f t="shared" si="1"/>
        <v>2.792E-2</v>
      </c>
      <c r="CL31">
        <f t="shared" si="1"/>
        <v>1.762E-2</v>
      </c>
      <c r="CM31">
        <f t="shared" si="1"/>
        <v>6.320000000000001E-3</v>
      </c>
      <c r="CN31">
        <f t="shared" si="1"/>
        <v>2.0800000000000003E-3</v>
      </c>
      <c r="CO31">
        <f t="shared" si="1"/>
        <v>-1.1599999999999999E-2</v>
      </c>
      <c r="CP31">
        <f t="shared" si="1"/>
        <v>-1.048E-2</v>
      </c>
      <c r="CQ31">
        <f t="shared" si="1"/>
        <v>-1.155E-2</v>
      </c>
      <c r="CR31">
        <f t="shared" si="1"/>
        <v>-3.3919999999999999E-2</v>
      </c>
      <c r="CS31">
        <f t="shared" si="1"/>
        <v>-2.9700000000000001E-2</v>
      </c>
      <c r="CT31">
        <f t="shared" si="1"/>
        <v>6.2210000000000001E-2</v>
      </c>
      <c r="CU31">
        <f t="shared" si="1"/>
        <v>7.0449999999999999E-2</v>
      </c>
      <c r="CV31">
        <f t="shared" si="1"/>
        <v>6.5290000000000001E-2</v>
      </c>
      <c r="CW31">
        <f t="shared" si="1"/>
        <v>6.5549999999999997E-2</v>
      </c>
      <c r="CX31">
        <f t="shared" si="1"/>
        <v>6.1440000000000002E-2</v>
      </c>
    </row>
    <row r="32" spans="1:102" x14ac:dyDescent="0.2">
      <c r="A32" t="s">
        <v>216</v>
      </c>
      <c r="B32" t="s">
        <v>220</v>
      </c>
      <c r="C32" t="s">
        <v>102</v>
      </c>
      <c r="D32">
        <f>D23</f>
        <v>-0.24199999999999999</v>
      </c>
      <c r="E32">
        <f t="shared" ref="E32:BP32" si="5">E23</f>
        <v>-0.22900000000000001</v>
      </c>
      <c r="F32">
        <f t="shared" si="5"/>
        <v>0.26900000000000002</v>
      </c>
      <c r="G32">
        <f t="shared" si="5"/>
        <v>0.33200000000000002</v>
      </c>
      <c r="H32">
        <f t="shared" si="5"/>
        <v>0.53300000000000003</v>
      </c>
      <c r="I32">
        <f t="shared" si="5"/>
        <v>0.375</v>
      </c>
      <c r="J32">
        <f t="shared" si="5"/>
        <v>0.59799999999999998</v>
      </c>
      <c r="K32">
        <f t="shared" si="5"/>
        <v>0.49399999999999999</v>
      </c>
      <c r="L32">
        <f t="shared" si="5"/>
        <v>0.50800000000000001</v>
      </c>
      <c r="M32">
        <f t="shared" si="5"/>
        <v>0.43</v>
      </c>
      <c r="N32">
        <f t="shared" si="5"/>
        <v>0.56699999999999995</v>
      </c>
      <c r="O32">
        <f t="shared" si="5"/>
        <v>0.71799999999999997</v>
      </c>
      <c r="P32">
        <f t="shared" si="5"/>
        <v>0.67900000000000005</v>
      </c>
      <c r="Q32">
        <f t="shared" si="5"/>
        <v>0.56599999999999995</v>
      </c>
      <c r="R32">
        <f t="shared" si="5"/>
        <v>0.36</v>
      </c>
      <c r="S32">
        <f t="shared" si="5"/>
        <v>0.29299999999999998</v>
      </c>
      <c r="T32">
        <f t="shared" si="5"/>
        <v>0.31</v>
      </c>
      <c r="U32">
        <f t="shared" si="5"/>
        <v>0.30399999999999999</v>
      </c>
      <c r="V32">
        <f t="shared" si="5"/>
        <v>0.252</v>
      </c>
      <c r="W32">
        <f t="shared" si="5"/>
        <v>0.23100000000000001</v>
      </c>
      <c r="X32">
        <f t="shared" si="5"/>
        <v>0.22900000000000001</v>
      </c>
      <c r="Y32">
        <f t="shared" si="5"/>
        <v>0.25800000000000001</v>
      </c>
      <c r="Z32">
        <f t="shared" si="5"/>
        <v>0.27500000000000002</v>
      </c>
      <c r="AA32">
        <f t="shared" si="5"/>
        <v>0.27300000000000002</v>
      </c>
      <c r="AB32">
        <f t="shared" si="5"/>
        <v>0.24199999999999999</v>
      </c>
      <c r="AC32">
        <f t="shared" si="5"/>
        <v>0.20200000000000001</v>
      </c>
      <c r="AD32">
        <f t="shared" si="5"/>
        <v>0.16900000000000001</v>
      </c>
      <c r="AE32">
        <f t="shared" si="5"/>
        <v>0.153</v>
      </c>
      <c r="AF32">
        <f t="shared" si="5"/>
        <v>0.13400000000000001</v>
      </c>
      <c r="AG32">
        <f t="shared" si="5"/>
        <v>0.11700000000000001</v>
      </c>
      <c r="AH32">
        <f t="shared" si="5"/>
        <v>0.121</v>
      </c>
      <c r="AI32">
        <f t="shared" si="5"/>
        <v>0.112</v>
      </c>
      <c r="AJ32">
        <f t="shared" si="5"/>
        <v>8.7599999999999997E-2</v>
      </c>
      <c r="AK32">
        <f t="shared" si="5"/>
        <v>6.0499999999999998E-2</v>
      </c>
      <c r="AL32">
        <f t="shared" si="5"/>
        <v>5.0900000000000001E-2</v>
      </c>
      <c r="AM32">
        <f t="shared" si="5"/>
        <v>4.8599999999999997E-2</v>
      </c>
      <c r="AN32">
        <f t="shared" si="5"/>
        <v>6.0699999999999997E-2</v>
      </c>
      <c r="AO32">
        <f t="shared" si="5"/>
        <v>7.4399999999999994E-2</v>
      </c>
      <c r="AP32">
        <f t="shared" si="5"/>
        <v>0.124</v>
      </c>
      <c r="AQ32">
        <f t="shared" si="5"/>
        <v>0.17699999999999999</v>
      </c>
      <c r="AR32">
        <f t="shared" si="5"/>
        <v>0.17799999999999999</v>
      </c>
      <c r="AS32">
        <f t="shared" si="5"/>
        <v>0.186</v>
      </c>
      <c r="AT32">
        <f t="shared" si="5"/>
        <v>0.16700000000000001</v>
      </c>
      <c r="AU32">
        <f t="shared" si="5"/>
        <v>0.159</v>
      </c>
      <c r="AV32">
        <f t="shared" si="5"/>
        <v>0.108</v>
      </c>
      <c r="AW32">
        <f t="shared" si="5"/>
        <v>6.5699999999999995E-2</v>
      </c>
      <c r="AX32">
        <f t="shared" si="5"/>
        <v>3.7400000000000003E-2</v>
      </c>
      <c r="AY32">
        <f t="shared" si="5"/>
        <v>4.7199999999999999E-2</v>
      </c>
      <c r="AZ32">
        <f t="shared" si="5"/>
        <v>4.4900000000000002E-2</v>
      </c>
      <c r="BA32">
        <f t="shared" si="5"/>
        <v>5.1900000000000002E-2</v>
      </c>
      <c r="BB32">
        <f t="shared" si="5"/>
        <v>0.10100000000000001</v>
      </c>
      <c r="BC32">
        <f t="shared" si="5"/>
        <v>0.16600000000000001</v>
      </c>
      <c r="BD32">
        <f t="shared" si="5"/>
        <v>0.19800000000000001</v>
      </c>
      <c r="BE32">
        <f t="shared" si="5"/>
        <v>0.21099999999999999</v>
      </c>
      <c r="BF32">
        <f t="shared" si="5"/>
        <v>0.20599999999999999</v>
      </c>
      <c r="BG32">
        <f t="shared" si="5"/>
        <v>0.218</v>
      </c>
      <c r="BH32">
        <f t="shared" si="5"/>
        <v>0.188</v>
      </c>
      <c r="BI32">
        <f t="shared" si="5"/>
        <v>0.11899999999999999</v>
      </c>
      <c r="BJ32">
        <f t="shared" si="5"/>
        <v>9.2600000000000002E-2</v>
      </c>
      <c r="BK32">
        <f t="shared" si="5"/>
        <v>7.8799999999999995E-2</v>
      </c>
      <c r="BL32">
        <f t="shared" si="5"/>
        <v>7.7600000000000002E-2</v>
      </c>
      <c r="BM32">
        <f t="shared" si="5"/>
        <v>7.9500000000000001E-2</v>
      </c>
      <c r="BN32">
        <f t="shared" si="5"/>
        <v>0.105</v>
      </c>
      <c r="BO32">
        <f t="shared" si="5"/>
        <v>0.16400000000000001</v>
      </c>
      <c r="BP32">
        <f t="shared" si="5"/>
        <v>0.19700000000000001</v>
      </c>
      <c r="BQ32">
        <f t="shared" ref="BQ32:CX32" si="6">BQ23</f>
        <v>0.182</v>
      </c>
      <c r="BR32">
        <f t="shared" si="6"/>
        <v>0.14699999999999999</v>
      </c>
      <c r="BS32">
        <f t="shared" si="6"/>
        <v>0.129</v>
      </c>
      <c r="BT32">
        <f t="shared" si="6"/>
        <v>9.7299999999999998E-2</v>
      </c>
      <c r="BU32">
        <f t="shared" si="6"/>
        <v>4.9299999999999997E-2</v>
      </c>
      <c r="BV32">
        <f t="shared" si="6"/>
        <v>4.99E-2</v>
      </c>
      <c r="BW32">
        <f t="shared" si="6"/>
        <v>4.0300000000000002E-2</v>
      </c>
      <c r="BX32">
        <f t="shared" si="6"/>
        <v>7.3899999999999993E-2</v>
      </c>
      <c r="BY32">
        <f t="shared" si="6"/>
        <v>0.11</v>
      </c>
      <c r="BZ32">
        <f t="shared" si="6"/>
        <v>0.21299999999999999</v>
      </c>
      <c r="CA32">
        <f t="shared" si="6"/>
        <v>0.247</v>
      </c>
      <c r="CB32">
        <f t="shared" si="6"/>
        <v>0.222</v>
      </c>
      <c r="CC32">
        <f t="shared" si="6"/>
        <v>0.23699999999999999</v>
      </c>
      <c r="CD32">
        <f t="shared" si="6"/>
        <v>0.21299999999999999</v>
      </c>
      <c r="CE32">
        <f t="shared" si="6"/>
        <v>3.9800000000000002E-2</v>
      </c>
      <c r="CF32">
        <f t="shared" si="6"/>
        <v>-5.5300000000000002E-3</v>
      </c>
      <c r="CG32">
        <f t="shared" si="6"/>
        <v>8.1200000000000005E-3</v>
      </c>
      <c r="CH32">
        <f t="shared" si="6"/>
        <v>-5.3100000000000001E-2</v>
      </c>
      <c r="CI32">
        <f t="shared" si="6"/>
        <v>-1.4200000000000001E-2</v>
      </c>
      <c r="CJ32">
        <f t="shared" si="6"/>
        <v>-1.4500000000000001E-2</v>
      </c>
      <c r="CK32">
        <f t="shared" si="6"/>
        <v>0.29499999999999998</v>
      </c>
      <c r="CL32">
        <f t="shared" si="6"/>
        <v>0.24199999999999999</v>
      </c>
      <c r="CM32">
        <f t="shared" si="6"/>
        <v>0.14000000000000001</v>
      </c>
      <c r="CN32">
        <f t="shared" si="6"/>
        <v>2.2200000000000001E-2</v>
      </c>
      <c r="CO32">
        <f t="shared" si="6"/>
        <v>-3.3100000000000002E-4</v>
      </c>
      <c r="CP32">
        <f t="shared" si="6"/>
        <v>0.18099999999999999</v>
      </c>
      <c r="CQ32">
        <f t="shared" si="6"/>
        <v>0.30299999999999999</v>
      </c>
      <c r="CR32">
        <f t="shared" si="6"/>
        <v>0.2</v>
      </c>
      <c r="CS32">
        <f t="shared" si="6"/>
        <v>0.21299999999999999</v>
      </c>
      <c r="CT32">
        <f t="shared" si="6"/>
        <v>5.5599999999999997E-2</v>
      </c>
      <c r="CU32">
        <f t="shared" si="6"/>
        <v>-0.16</v>
      </c>
      <c r="CV32">
        <f t="shared" si="6"/>
        <v>8.9599999999999999E-2</v>
      </c>
      <c r="CW32">
        <f t="shared" si="6"/>
        <v>-4.41E-2</v>
      </c>
      <c r="CX32">
        <f t="shared" si="6"/>
        <v>-0.11</v>
      </c>
    </row>
    <row r="33" spans="1:102" x14ac:dyDescent="0.2">
      <c r="A33" t="s">
        <v>203</v>
      </c>
      <c r="B33" t="s">
        <v>217</v>
      </c>
      <c r="C33" t="s">
        <v>221</v>
      </c>
      <c r="D33">
        <f>'2015_2020'!B2</f>
        <v>0.19</v>
      </c>
      <c r="E33">
        <f>'2015_2020'!C2</f>
        <v>0.48399999999999999</v>
      </c>
      <c r="F33">
        <f>'2015_2020'!D2</f>
        <v>0.70499999999999996</v>
      </c>
      <c r="G33">
        <f>'2015_2020'!E2</f>
        <v>0.88800000000000001</v>
      </c>
      <c r="H33">
        <f>'2015_2020'!F2</f>
        <v>0.997</v>
      </c>
      <c r="I33">
        <f>'2015_2020'!G2</f>
        <v>1.111</v>
      </c>
      <c r="J33">
        <f>'2015_2020'!H2</f>
        <v>1.1970000000000001</v>
      </c>
      <c r="K33">
        <f>'2015_2020'!I2</f>
        <v>1.292</v>
      </c>
      <c r="L33">
        <f>'2015_2020'!J2</f>
        <v>1.3879999999999999</v>
      </c>
      <c r="M33">
        <f>'2015_2020'!K2</f>
        <v>1.4219999999999999</v>
      </c>
      <c r="N33">
        <f>'2015_2020'!L2</f>
        <v>1.492</v>
      </c>
      <c r="O33">
        <f>'2015_2020'!M2</f>
        <v>1.575</v>
      </c>
      <c r="P33">
        <f>'2015_2020'!N2</f>
        <v>1.583</v>
      </c>
      <c r="Q33">
        <f>'2015_2020'!O2</f>
        <v>1.613</v>
      </c>
      <c r="R33">
        <f>'2015_2020'!P2</f>
        <v>1.647</v>
      </c>
      <c r="S33">
        <f>'2015_2020'!Q2</f>
        <v>1.6719999999999999</v>
      </c>
      <c r="T33">
        <f>'2015_2020'!R2</f>
        <v>1.704</v>
      </c>
      <c r="U33">
        <f>'2015_2020'!S2</f>
        <v>1.718</v>
      </c>
      <c r="V33">
        <f>'2015_2020'!T2</f>
        <v>1.744</v>
      </c>
      <c r="W33">
        <f>'2015_2020'!U2</f>
        <v>1.7509999999999999</v>
      </c>
      <c r="X33">
        <f>'2015_2020'!V2</f>
        <v>1.758</v>
      </c>
      <c r="Y33">
        <f>'2015_2020'!W2</f>
        <v>1.7949999999999999</v>
      </c>
      <c r="Z33">
        <f>'2015_2020'!X2</f>
        <v>1.802</v>
      </c>
      <c r="AA33">
        <f>'2015_2020'!Y2</f>
        <v>1.8009999999999999</v>
      </c>
      <c r="AB33">
        <f>'2015_2020'!Z2</f>
        <v>1.806</v>
      </c>
      <c r="AC33">
        <f>'2015_2020'!AA2</f>
        <v>1.8109999999999999</v>
      </c>
      <c r="AD33">
        <f>'2015_2020'!AB2</f>
        <v>1.839</v>
      </c>
      <c r="AE33">
        <f>'2015_2020'!AC2</f>
        <v>1.8440000000000001</v>
      </c>
      <c r="AF33">
        <f>'2015_2020'!AD2</f>
        <v>1.8520000000000001</v>
      </c>
      <c r="AG33">
        <f>'2015_2020'!AE2</f>
        <v>1.86</v>
      </c>
      <c r="AH33">
        <f>'2015_2020'!AF2</f>
        <v>1.881</v>
      </c>
      <c r="AI33">
        <f>'2015_2020'!AG2</f>
        <v>1.889</v>
      </c>
      <c r="AJ33">
        <f>'2015_2020'!AH2</f>
        <v>1.895</v>
      </c>
      <c r="AK33">
        <f>'2015_2020'!AI2</f>
        <v>1.9119999999999999</v>
      </c>
      <c r="AL33">
        <f>'2015_2020'!AJ2</f>
        <v>1.95</v>
      </c>
      <c r="AM33">
        <f>'2015_2020'!AK2</f>
        <v>1.9690000000000001</v>
      </c>
      <c r="AN33">
        <f>'2015_2020'!AL2</f>
        <v>1.9810000000000001</v>
      </c>
      <c r="AO33">
        <f>'2015_2020'!AM2</f>
        <v>1.9830000000000001</v>
      </c>
      <c r="AP33">
        <f>'2015_2020'!AN2</f>
        <v>1.9890000000000001</v>
      </c>
      <c r="AQ33">
        <f>'2015_2020'!AO2</f>
        <v>2.008</v>
      </c>
      <c r="AR33">
        <f>'2015_2020'!AP2</f>
        <v>2.028</v>
      </c>
      <c r="AS33">
        <f>'2015_2020'!AQ2</f>
        <v>2.0470000000000002</v>
      </c>
      <c r="AT33">
        <f>'2015_2020'!AR2</f>
        <v>2.0649999999999999</v>
      </c>
      <c r="AU33">
        <f>'2015_2020'!AS2</f>
        <v>2.089</v>
      </c>
      <c r="AV33">
        <f>'2015_2020'!AT2</f>
        <v>2.0950000000000002</v>
      </c>
      <c r="AW33">
        <f>'2015_2020'!AU2</f>
        <v>2.1139999999999999</v>
      </c>
      <c r="AX33">
        <f>'2015_2020'!AV2</f>
        <v>2.1160000000000001</v>
      </c>
      <c r="AY33">
        <f>'2015_2020'!AW2</f>
        <v>2.137</v>
      </c>
      <c r="AZ33">
        <f>'2015_2020'!AX2</f>
        <v>2.1469999999999998</v>
      </c>
      <c r="BA33">
        <f>'2015_2020'!AY2</f>
        <v>2.1760000000000002</v>
      </c>
      <c r="BB33">
        <f>'2015_2020'!AZ2</f>
        <v>2.2029999999999998</v>
      </c>
      <c r="BC33">
        <f>'2015_2020'!BA2</f>
        <v>2.2170000000000001</v>
      </c>
      <c r="BD33">
        <f>'2015_2020'!BB2</f>
        <v>2.2090000000000001</v>
      </c>
      <c r="BE33">
        <f>'2015_2020'!BC2</f>
        <v>2.2290000000000001</v>
      </c>
      <c r="BF33">
        <f>'2015_2020'!BD2</f>
        <v>2.2679999999999998</v>
      </c>
      <c r="BG33">
        <f>'2015_2020'!BE2</f>
        <v>2.2719999999999998</v>
      </c>
      <c r="BH33">
        <f>'2015_2020'!BF2</f>
        <v>2.2919999999999998</v>
      </c>
      <c r="BI33">
        <f>'2015_2020'!BG2</f>
        <v>2.3109999999999999</v>
      </c>
      <c r="BJ33">
        <f>'2015_2020'!BH2</f>
        <v>2.3180000000000001</v>
      </c>
      <c r="BK33">
        <f>'2015_2020'!BI2</f>
        <v>2.3490000000000002</v>
      </c>
      <c r="BL33">
        <f>'2015_2020'!BJ2</f>
        <v>2.39</v>
      </c>
      <c r="BM33">
        <f>'2015_2020'!BK2</f>
        <v>2.4</v>
      </c>
      <c r="BN33">
        <f>'2015_2020'!BL2</f>
        <v>2.4020000000000001</v>
      </c>
      <c r="BO33">
        <f>'2015_2020'!BM2</f>
        <v>2.4359999999999999</v>
      </c>
      <c r="BP33">
        <f>'2015_2020'!BN2</f>
        <v>2.4929999999999999</v>
      </c>
      <c r="BQ33">
        <f>'2015_2020'!BO2</f>
        <v>2.504</v>
      </c>
      <c r="BR33">
        <f>'2015_2020'!BP2</f>
        <v>2.496</v>
      </c>
      <c r="BS33">
        <f>'2015_2020'!BQ2</f>
        <v>2.5</v>
      </c>
      <c r="BT33">
        <f>'2015_2020'!BR2</f>
        <v>2.5030000000000001</v>
      </c>
      <c r="BU33">
        <f>'2015_2020'!BS2</f>
        <v>2.5379999999999998</v>
      </c>
      <c r="BV33">
        <f>'2015_2020'!BT2</f>
        <v>2.5840000000000001</v>
      </c>
      <c r="BW33">
        <f>'2015_2020'!BU2</f>
        <v>2.621</v>
      </c>
      <c r="BX33">
        <f>'2015_2020'!BV2</f>
        <v>2.6389999999999998</v>
      </c>
      <c r="BY33">
        <f>'2015_2020'!BW2</f>
        <v>2.6789999999999998</v>
      </c>
      <c r="BZ33">
        <f>'2015_2020'!BX2</f>
        <v>2.7170000000000001</v>
      </c>
      <c r="CA33">
        <f>'2015_2020'!BY2</f>
        <v>2.7210000000000001</v>
      </c>
      <c r="CB33">
        <f>'2015_2020'!BZ2</f>
        <v>2.7759999999999998</v>
      </c>
      <c r="CC33">
        <f>'2015_2020'!CA2</f>
        <v>2.8039999999999998</v>
      </c>
      <c r="CD33">
        <f>'2015_2020'!CB2</f>
        <v>2.8290000000000002</v>
      </c>
      <c r="CE33">
        <f>'2015_2020'!CC2</f>
        <v>2.8959999999999999</v>
      </c>
      <c r="CF33">
        <f>'2015_2020'!CD2</f>
        <v>2.899</v>
      </c>
      <c r="CG33">
        <f>'2015_2020'!CE2</f>
        <v>2.91</v>
      </c>
      <c r="CH33">
        <f>'2015_2020'!CF2</f>
        <v>2.9649999999999999</v>
      </c>
      <c r="CI33">
        <f>'2015_2020'!CG2</f>
        <v>3.012</v>
      </c>
      <c r="CJ33">
        <f>'2015_2020'!CH2</f>
        <v>3.0640000000000001</v>
      </c>
      <c r="CK33">
        <f>'2015_2020'!CI2</f>
        <v>3.1339999999999999</v>
      </c>
      <c r="CL33">
        <f>'2015_2020'!CJ2</f>
        <v>3.2040000000000002</v>
      </c>
      <c r="CM33">
        <f>'2015_2020'!CK2</f>
        <v>3.198</v>
      </c>
      <c r="CN33">
        <f>'2015_2020'!CL2</f>
        <v>3.2719999999999998</v>
      </c>
      <c r="CO33">
        <f>'2015_2020'!CM2</f>
        <v>3.335</v>
      </c>
      <c r="CP33">
        <f>'2015_2020'!CN2</f>
        <v>3.4140000000000001</v>
      </c>
      <c r="CQ33">
        <f>'2015_2020'!CO2</f>
        <v>3.44</v>
      </c>
      <c r="CR33">
        <f>'2015_2020'!CP2</f>
        <v>3.5590000000000002</v>
      </c>
      <c r="CS33">
        <f>'2015_2020'!CQ2</f>
        <v>3.6520000000000001</v>
      </c>
      <c r="CT33">
        <f>'2015_2020'!CR2</f>
        <v>3.76</v>
      </c>
      <c r="CU33">
        <f>'2015_2020'!CS2</f>
        <v>3.887</v>
      </c>
      <c r="CV33">
        <f>'2015_2020'!CT2</f>
        <v>4.1040000000000001</v>
      </c>
      <c r="CW33">
        <f>'2015_2020'!CU2</f>
        <v>4.2880000000000003</v>
      </c>
      <c r="CX33">
        <f>'2015_2020'!CV2</f>
        <v>4.609</v>
      </c>
    </row>
    <row r="34" spans="1:102" x14ac:dyDescent="0.2">
      <c r="A34" t="s">
        <v>204</v>
      </c>
      <c r="B34" t="s">
        <v>217</v>
      </c>
      <c r="C34" t="s">
        <v>221</v>
      </c>
      <c r="D34">
        <f>'2015_2020'!B3</f>
        <v>0.19900000000000001</v>
      </c>
      <c r="E34">
        <f>'2015_2020'!C3</f>
        <v>0.54900000000000004</v>
      </c>
      <c r="F34">
        <f>'2015_2020'!D3</f>
        <v>0.80400000000000005</v>
      </c>
      <c r="G34">
        <f>'2015_2020'!E3</f>
        <v>0.96</v>
      </c>
      <c r="H34">
        <f>'2015_2020'!F3</f>
        <v>1.1299999999999999</v>
      </c>
      <c r="I34">
        <f>'2015_2020'!G3</f>
        <v>1.1879999999999999</v>
      </c>
      <c r="J34">
        <f>'2015_2020'!H3</f>
        <v>1.3149999999999999</v>
      </c>
      <c r="K34">
        <f>'2015_2020'!I3</f>
        <v>1.3660000000000001</v>
      </c>
      <c r="L34">
        <f>'2015_2020'!J3</f>
        <v>1.4379999999999999</v>
      </c>
      <c r="M34">
        <f>'2015_2020'!K3</f>
        <v>1.5069999999999999</v>
      </c>
      <c r="N34">
        <f>'2015_2020'!L3</f>
        <v>1.5469999999999999</v>
      </c>
      <c r="O34">
        <f>'2015_2020'!M3</f>
        <v>1.5940000000000001</v>
      </c>
      <c r="P34">
        <f>'2015_2020'!N3</f>
        <v>1.6220000000000001</v>
      </c>
      <c r="Q34">
        <f>'2015_2020'!O3</f>
        <v>1.6379999999999999</v>
      </c>
      <c r="R34">
        <f>'2015_2020'!P3</f>
        <v>1.647</v>
      </c>
      <c r="S34">
        <f>'2015_2020'!Q3</f>
        <v>1.6679999999999999</v>
      </c>
      <c r="T34">
        <f>'2015_2020'!R3</f>
        <v>1.694</v>
      </c>
      <c r="U34">
        <f>'2015_2020'!S3</f>
        <v>1.7090000000000001</v>
      </c>
      <c r="V34">
        <f>'2015_2020'!T3</f>
        <v>1.7190000000000001</v>
      </c>
      <c r="W34">
        <f>'2015_2020'!U3</f>
        <v>1.73</v>
      </c>
      <c r="X34">
        <f>'2015_2020'!V3</f>
        <v>1.752</v>
      </c>
      <c r="Y34">
        <f>'2015_2020'!W3</f>
        <v>1.77</v>
      </c>
      <c r="Z34">
        <f>'2015_2020'!X3</f>
        <v>1.7949999999999999</v>
      </c>
      <c r="AA34">
        <f>'2015_2020'!Y3</f>
        <v>1.8069999999999999</v>
      </c>
      <c r="AB34">
        <f>'2015_2020'!Z3</f>
        <v>1.8069999999999999</v>
      </c>
      <c r="AC34">
        <f>'2015_2020'!AA3</f>
        <v>1.8180000000000001</v>
      </c>
      <c r="AD34">
        <f>'2015_2020'!AB3</f>
        <v>1.823</v>
      </c>
      <c r="AE34">
        <f>'2015_2020'!AC3</f>
        <v>1.827</v>
      </c>
      <c r="AF34">
        <f>'2015_2020'!AD3</f>
        <v>1.8380000000000001</v>
      </c>
      <c r="AG34">
        <f>'2015_2020'!AE3</f>
        <v>1.8520000000000001</v>
      </c>
      <c r="AH34">
        <f>'2015_2020'!AF3</f>
        <v>1.8620000000000001</v>
      </c>
      <c r="AI34">
        <f>'2015_2020'!AG3</f>
        <v>1.877</v>
      </c>
      <c r="AJ34">
        <f>'2015_2020'!AH3</f>
        <v>1.903</v>
      </c>
      <c r="AK34">
        <f>'2015_2020'!AI3</f>
        <v>1.9239999999999999</v>
      </c>
      <c r="AL34">
        <f>'2015_2020'!AJ3</f>
        <v>1.9370000000000001</v>
      </c>
      <c r="AM34">
        <f>'2015_2020'!AK3</f>
        <v>1.952</v>
      </c>
      <c r="AN34">
        <f>'2015_2020'!AL3</f>
        <v>1.96</v>
      </c>
      <c r="AO34">
        <f>'2015_2020'!AM3</f>
        <v>1.9750000000000001</v>
      </c>
      <c r="AP34">
        <f>'2015_2020'!AN3</f>
        <v>2.0059999999999998</v>
      </c>
      <c r="AQ34">
        <f>'2015_2020'!AO3</f>
        <v>2.0369999999999999</v>
      </c>
      <c r="AR34">
        <f>'2015_2020'!AP3</f>
        <v>2.0409999999999999</v>
      </c>
      <c r="AS34">
        <f>'2015_2020'!AQ3</f>
        <v>2.048</v>
      </c>
      <c r="AT34">
        <f>'2015_2020'!AR3</f>
        <v>2.0579999999999998</v>
      </c>
      <c r="AU34">
        <f>'2015_2020'!AS3</f>
        <v>2.0720000000000001</v>
      </c>
      <c r="AV34">
        <f>'2015_2020'!AT3</f>
        <v>2.0699999999999998</v>
      </c>
      <c r="AW34">
        <f>'2015_2020'!AU3</f>
        <v>2.097</v>
      </c>
      <c r="AX34">
        <f>'2015_2020'!AV3</f>
        <v>2.121</v>
      </c>
      <c r="AY34">
        <f>'2015_2020'!AW3</f>
        <v>2.1339999999999999</v>
      </c>
      <c r="AZ34">
        <f>'2015_2020'!AX3</f>
        <v>2.1469999999999998</v>
      </c>
      <c r="BA34">
        <f>'2015_2020'!AY3</f>
        <v>2.1629999999999998</v>
      </c>
      <c r="BB34">
        <f>'2015_2020'!AZ3</f>
        <v>2.1970000000000001</v>
      </c>
      <c r="BC34">
        <f>'2015_2020'!BA3</f>
        <v>2.222</v>
      </c>
      <c r="BD34">
        <f>'2015_2020'!BB3</f>
        <v>2.2269999999999999</v>
      </c>
      <c r="BE34">
        <f>'2015_2020'!BC3</f>
        <v>2.2469999999999999</v>
      </c>
      <c r="BF34">
        <f>'2015_2020'!BD3</f>
        <v>2.2450000000000001</v>
      </c>
      <c r="BG34">
        <f>'2015_2020'!BE3</f>
        <v>2.2719999999999998</v>
      </c>
      <c r="BH34">
        <f>'2015_2020'!BF3</f>
        <v>2.2890000000000001</v>
      </c>
      <c r="BI34">
        <f>'2015_2020'!BG3</f>
        <v>2.3130000000000002</v>
      </c>
      <c r="BJ34">
        <f>'2015_2020'!BH3</f>
        <v>2.3290000000000002</v>
      </c>
      <c r="BK34">
        <f>'2015_2020'!BI3</f>
        <v>2.35</v>
      </c>
      <c r="BL34">
        <f>'2015_2020'!BJ3</f>
        <v>2.3610000000000002</v>
      </c>
      <c r="BM34">
        <f>'2015_2020'!BK3</f>
        <v>2.3879999999999999</v>
      </c>
      <c r="BN34">
        <f>'2015_2020'!BL3</f>
        <v>2.41</v>
      </c>
      <c r="BO34">
        <f>'2015_2020'!BM3</f>
        <v>2.4409999999999998</v>
      </c>
      <c r="BP34">
        <f>'2015_2020'!BN3</f>
        <v>2.4500000000000002</v>
      </c>
      <c r="BQ34">
        <f>'2015_2020'!BO3</f>
        <v>2.472</v>
      </c>
      <c r="BR34">
        <f>'2015_2020'!BP3</f>
        <v>2.476</v>
      </c>
      <c r="BS34">
        <f>'2015_2020'!BQ3</f>
        <v>2.5110000000000001</v>
      </c>
      <c r="BT34">
        <f>'2015_2020'!BR3</f>
        <v>2.5310000000000001</v>
      </c>
      <c r="BU34">
        <f>'2015_2020'!BS3</f>
        <v>2.5529999999999999</v>
      </c>
      <c r="BV34">
        <f>'2015_2020'!BT3</f>
        <v>2.577</v>
      </c>
      <c r="BW34">
        <f>'2015_2020'!BU3</f>
        <v>2.6070000000000002</v>
      </c>
      <c r="BX34">
        <f>'2015_2020'!BV3</f>
        <v>2.6360000000000001</v>
      </c>
      <c r="BY34">
        <f>'2015_2020'!BW3</f>
        <v>2.657</v>
      </c>
      <c r="BZ34">
        <f>'2015_2020'!BX3</f>
        <v>2.71</v>
      </c>
      <c r="CA34">
        <f>'2015_2020'!BY3</f>
        <v>2.7410000000000001</v>
      </c>
      <c r="CB34">
        <f>'2015_2020'!BZ3</f>
        <v>2.7519999999999998</v>
      </c>
      <c r="CC34">
        <f>'2015_2020'!CA3</f>
        <v>2.7789999999999999</v>
      </c>
      <c r="CD34">
        <f>'2015_2020'!CB3</f>
        <v>2.7829999999999999</v>
      </c>
      <c r="CE34">
        <f>'2015_2020'!CC3</f>
        <v>2.84</v>
      </c>
      <c r="CF34">
        <f>'2015_2020'!CD3</f>
        <v>2.879</v>
      </c>
      <c r="CG34">
        <f>'2015_2020'!CE3</f>
        <v>2.9359999999999999</v>
      </c>
      <c r="CH34">
        <f>'2015_2020'!CF3</f>
        <v>2.9710000000000001</v>
      </c>
      <c r="CI34">
        <f>'2015_2020'!CG3</f>
        <v>3.0030000000000001</v>
      </c>
      <c r="CJ34">
        <f>'2015_2020'!CH3</f>
        <v>3.0510000000000002</v>
      </c>
      <c r="CK34">
        <f>'2015_2020'!CI3</f>
        <v>3.1179999999999999</v>
      </c>
      <c r="CL34">
        <f>'2015_2020'!CJ3</f>
        <v>3.1560000000000001</v>
      </c>
      <c r="CM34">
        <f>'2015_2020'!CK3</f>
        <v>3.1930000000000001</v>
      </c>
      <c r="CN34">
        <f>'2015_2020'!CL3</f>
        <v>3.27</v>
      </c>
      <c r="CO34">
        <f>'2015_2020'!CM3</f>
        <v>3.3290000000000002</v>
      </c>
      <c r="CP34">
        <f>'2015_2020'!CN3</f>
        <v>3.427</v>
      </c>
      <c r="CQ34">
        <f>'2015_2020'!CO3</f>
        <v>3.4489999999999998</v>
      </c>
      <c r="CR34">
        <f>'2015_2020'!CP3</f>
        <v>3.5630000000000002</v>
      </c>
      <c r="CS34">
        <f>'2015_2020'!CQ3</f>
        <v>3.66</v>
      </c>
      <c r="CT34">
        <f>'2015_2020'!CR3</f>
        <v>3.7480000000000002</v>
      </c>
      <c r="CU34">
        <f>'2015_2020'!CS3</f>
        <v>3.8969999999999998</v>
      </c>
      <c r="CV34">
        <f>'2015_2020'!CT3</f>
        <v>4.0730000000000004</v>
      </c>
      <c r="CW34">
        <f>'2015_2020'!CU3</f>
        <v>4.2949999999999999</v>
      </c>
      <c r="CX34">
        <f>'2015_2020'!CV3</f>
        <v>4.6260000000000003</v>
      </c>
    </row>
    <row r="35" spans="1:102" x14ac:dyDescent="0.2">
      <c r="A35" t="s">
        <v>205</v>
      </c>
      <c r="B35" t="s">
        <v>217</v>
      </c>
      <c r="C35" t="s">
        <v>221</v>
      </c>
      <c r="D35">
        <f>'2015_2020'!B4</f>
        <v>-9.3200000000000002E-3</v>
      </c>
      <c r="E35">
        <f>'2015_2020'!C4</f>
        <v>-6.4600000000000005E-2</v>
      </c>
      <c r="F35">
        <f>'2015_2020'!D4</f>
        <v>-9.9500000000000005E-2</v>
      </c>
      <c r="G35">
        <f>'2015_2020'!E4</f>
        <v>-7.2300000000000003E-2</v>
      </c>
      <c r="H35">
        <f>'2015_2020'!F4</f>
        <v>-0.13300000000000001</v>
      </c>
      <c r="I35">
        <f>'2015_2020'!G4</f>
        <v>-7.6799999999999993E-2</v>
      </c>
      <c r="J35">
        <f>'2015_2020'!H4</f>
        <v>-0.11799999999999999</v>
      </c>
      <c r="K35">
        <f>'2015_2020'!I4</f>
        <v>-7.3999999999999996E-2</v>
      </c>
      <c r="L35">
        <f>'2015_2020'!J4</f>
        <v>-5.04E-2</v>
      </c>
      <c r="M35">
        <f>'2015_2020'!K4</f>
        <v>-8.5300000000000001E-2</v>
      </c>
      <c r="N35">
        <f>'2015_2020'!L4</f>
        <v>-5.45E-2</v>
      </c>
      <c r="O35">
        <f>'2015_2020'!M4</f>
        <v>-1.8800000000000001E-2</v>
      </c>
      <c r="P35">
        <f>'2015_2020'!N4</f>
        <v>-3.8800000000000001E-2</v>
      </c>
      <c r="Q35">
        <f>'2015_2020'!O4</f>
        <v>-2.4199999999999999E-2</v>
      </c>
      <c r="R35">
        <f>'2015_2020'!P4</f>
        <v>-8.25E-4</v>
      </c>
      <c r="S35">
        <f>'2015_2020'!Q4</f>
        <v>3.2100000000000002E-3</v>
      </c>
      <c r="T35">
        <f>'2015_2020'!R4</f>
        <v>9.7199999999999995E-3</v>
      </c>
      <c r="U35">
        <f>'2015_2020'!S4</f>
        <v>8.7200000000000003E-3</v>
      </c>
      <c r="V35">
        <f>'2015_2020'!T4</f>
        <v>2.5100000000000001E-2</v>
      </c>
      <c r="W35">
        <f>'2015_2020'!U4</f>
        <v>2.1499999999999998E-2</v>
      </c>
      <c r="X35">
        <f>'2015_2020'!V4</f>
        <v>6.7099999999999998E-3</v>
      </c>
      <c r="Y35">
        <f>'2015_2020'!W4</f>
        <v>2.5399999999999999E-2</v>
      </c>
      <c r="Z35">
        <f>'2015_2020'!X4</f>
        <v>7.4999999999999997E-3</v>
      </c>
      <c r="AA35">
        <f>'2015_2020'!Y4</f>
        <v>-5.2100000000000002E-3</v>
      </c>
      <c r="AB35">
        <f>'2015_2020'!Z4</f>
        <v>-8.4699999999999999E-4</v>
      </c>
      <c r="AC35">
        <f>'2015_2020'!AA4</f>
        <v>-6.6600000000000001E-3</v>
      </c>
      <c r="AD35">
        <f>'2015_2020'!AB4</f>
        <v>1.6299999999999999E-2</v>
      </c>
      <c r="AE35">
        <f>'2015_2020'!AC4</f>
        <v>1.6799999999999999E-2</v>
      </c>
      <c r="AF35">
        <f>'2015_2020'!AD4</f>
        <v>1.4E-2</v>
      </c>
      <c r="AG35">
        <f>'2015_2020'!AE4</f>
        <v>7.3200000000000001E-3</v>
      </c>
      <c r="AH35">
        <f>'2015_2020'!AF4</f>
        <v>1.9099999999999999E-2</v>
      </c>
      <c r="AI35">
        <f>'2015_2020'!AG4</f>
        <v>1.1900000000000001E-2</v>
      </c>
      <c r="AJ35">
        <f>'2015_2020'!AH4</f>
        <v>-8.09E-3</v>
      </c>
      <c r="AK35">
        <f>'2015_2020'!AI4</f>
        <v>-1.21E-2</v>
      </c>
      <c r="AL35">
        <f>'2015_2020'!AJ4</f>
        <v>1.26E-2</v>
      </c>
      <c r="AM35">
        <f>'2015_2020'!AK4</f>
        <v>1.7100000000000001E-2</v>
      </c>
      <c r="AN35">
        <f>'2015_2020'!AL4</f>
        <v>2.1299999999999999E-2</v>
      </c>
      <c r="AO35">
        <f>'2015_2020'!AM4</f>
        <v>8.6E-3</v>
      </c>
      <c r="AP35">
        <f>'2015_2020'!AN4</f>
        <v>-1.67E-2</v>
      </c>
      <c r="AQ35">
        <f>'2015_2020'!AO4</f>
        <v>-2.8199999999999999E-2</v>
      </c>
      <c r="AR35">
        <f>'2015_2020'!AP4</f>
        <v>-1.23E-2</v>
      </c>
      <c r="AS35">
        <f>'2015_2020'!AQ4</f>
        <v>-1.1299999999999999E-3</v>
      </c>
      <c r="AT35">
        <f>'2015_2020'!AR4</f>
        <v>7.0200000000000002E-3</v>
      </c>
      <c r="AU35">
        <f>'2015_2020'!AS4</f>
        <v>1.6500000000000001E-2</v>
      </c>
      <c r="AV35">
        <f>'2015_2020'!AT4</f>
        <v>2.4799999999999999E-2</v>
      </c>
      <c r="AW35">
        <f>'2015_2020'!AU4</f>
        <v>1.77E-2</v>
      </c>
      <c r="AX35">
        <f>'2015_2020'!AV4</f>
        <v>-4.9899999999999996E-3</v>
      </c>
      <c r="AY35">
        <f>'2015_2020'!AW4</f>
        <v>2.31E-3</v>
      </c>
      <c r="AZ35">
        <f>'2015_2020'!AX4</f>
        <v>7.4100000000000001E-4</v>
      </c>
      <c r="BA35">
        <f>'2015_2020'!AY4</f>
        <v>1.2699999999999999E-2</v>
      </c>
      <c r="BB35">
        <f>'2015_2020'!AZ4</f>
        <v>5.8199999999999997E-3</v>
      </c>
      <c r="BC35">
        <f>'2015_2020'!BA4</f>
        <v>-5.3800000000000002E-3</v>
      </c>
      <c r="BD35">
        <f>'2015_2020'!BB4</f>
        <v>-1.7999999999999999E-2</v>
      </c>
      <c r="BE35">
        <f>'2015_2020'!BC4</f>
        <v>-1.7999999999999999E-2</v>
      </c>
      <c r="BF35">
        <f>'2015_2020'!BD4</f>
        <v>2.3400000000000001E-2</v>
      </c>
      <c r="BG35">
        <f>'2015_2020'!BE4</f>
        <v>3.3300000000000002E-4</v>
      </c>
      <c r="BH35">
        <f>'2015_2020'!BF4</f>
        <v>3.2399999999999998E-3</v>
      </c>
      <c r="BI35">
        <f>'2015_2020'!BG4</f>
        <v>-2.33E-3</v>
      </c>
      <c r="BJ35">
        <f>'2015_2020'!BH4</f>
        <v>-1.0200000000000001E-2</v>
      </c>
      <c r="BK35">
        <f>'2015_2020'!BI4</f>
        <v>-1.39E-3</v>
      </c>
      <c r="BL35">
        <f>'2015_2020'!BJ4</f>
        <v>2.8299999999999999E-2</v>
      </c>
      <c r="BM35">
        <f>'2015_2020'!BK4</f>
        <v>1.2800000000000001E-2</v>
      </c>
      <c r="BN35">
        <f>'2015_2020'!BL4</f>
        <v>-8.3000000000000001E-3</v>
      </c>
      <c r="BO35">
        <f>'2015_2020'!BM4</f>
        <v>-4.1000000000000003E-3</v>
      </c>
      <c r="BP35">
        <f>'2015_2020'!BN4</f>
        <v>4.2500000000000003E-2</v>
      </c>
      <c r="BQ35">
        <f>'2015_2020'!BO4</f>
        <v>3.2199999999999999E-2</v>
      </c>
      <c r="BR35">
        <f>'2015_2020'!BP4</f>
        <v>1.9099999999999999E-2</v>
      </c>
      <c r="BS35">
        <f>'2015_2020'!BQ4</f>
        <v>-1.09E-2</v>
      </c>
      <c r="BT35">
        <f>'2015_2020'!BR4</f>
        <v>-2.8199999999999999E-2</v>
      </c>
      <c r="BU35">
        <f>'2015_2020'!BS4</f>
        <v>-1.47E-2</v>
      </c>
      <c r="BV35">
        <f>'2015_2020'!BT4</f>
        <v>6.2500000000000003E-3</v>
      </c>
      <c r="BW35">
        <f>'2015_2020'!BU4</f>
        <v>1.41E-2</v>
      </c>
      <c r="BX35">
        <f>'2015_2020'!BV4</f>
        <v>2.64E-3</v>
      </c>
      <c r="BY35">
        <f>'2015_2020'!BW4</f>
        <v>2.2499999999999999E-2</v>
      </c>
      <c r="BZ35">
        <f>'2015_2020'!BX4</f>
        <v>7.6800000000000002E-3</v>
      </c>
      <c r="CA35">
        <f>'2015_2020'!BY4</f>
        <v>-2.01E-2</v>
      </c>
      <c r="CB35">
        <f>'2015_2020'!BZ4</f>
        <v>2.4199999999999999E-2</v>
      </c>
      <c r="CC35">
        <f>'2015_2020'!CA4</f>
        <v>2.52E-2</v>
      </c>
      <c r="CD35">
        <f>'2015_2020'!CB4</f>
        <v>4.5900000000000003E-2</v>
      </c>
      <c r="CE35">
        <f>'2015_2020'!CC4</f>
        <v>5.5599999999999997E-2</v>
      </c>
      <c r="CF35">
        <f>'2015_2020'!CD4</f>
        <v>0.02</v>
      </c>
      <c r="CG35">
        <f>'2015_2020'!CE4</f>
        <v>-2.5600000000000001E-2</v>
      </c>
      <c r="CH35">
        <f>'2015_2020'!CF4</f>
        <v>-6.2599999999999999E-3</v>
      </c>
      <c r="CI35">
        <f>'2015_2020'!CG4</f>
        <v>9.5999999999999992E-3</v>
      </c>
      <c r="CJ35">
        <f>'2015_2020'!CH4</f>
        <v>1.26E-2</v>
      </c>
      <c r="CK35">
        <f>'2015_2020'!CI4</f>
        <v>1.55E-2</v>
      </c>
      <c r="CL35">
        <f>'2015_2020'!CJ4</f>
        <v>4.7500000000000001E-2</v>
      </c>
      <c r="CM35">
        <f>'2015_2020'!CK4</f>
        <v>5.4900000000000001E-3</v>
      </c>
      <c r="CN35">
        <f>'2015_2020'!CL4</f>
        <v>1.5E-3</v>
      </c>
      <c r="CO35">
        <f>'2015_2020'!CM4</f>
        <v>6.5500000000000003E-3</v>
      </c>
      <c r="CP35">
        <f>'2015_2020'!CN4</f>
        <v>-1.32E-2</v>
      </c>
      <c r="CQ35">
        <f>'2015_2020'!CO4</f>
        <v>-8.5900000000000004E-3</v>
      </c>
      <c r="CR35">
        <f>'2015_2020'!CP4</f>
        <v>-4.0800000000000003E-3</v>
      </c>
      <c r="CS35">
        <f>'2015_2020'!CQ4</f>
        <v>-8.2799999999999992E-3</v>
      </c>
      <c r="CT35">
        <f>'2015_2020'!CR4</f>
        <v>1.23E-2</v>
      </c>
      <c r="CU35">
        <f>'2015_2020'!CS4</f>
        <v>-9.8600000000000007E-3</v>
      </c>
      <c r="CV35">
        <f>'2015_2020'!CT4</f>
        <v>3.09E-2</v>
      </c>
      <c r="CW35">
        <f>'2015_2020'!CU4</f>
        <v>-6.3600000000000002E-3</v>
      </c>
      <c r="CX35">
        <f>'2015_2020'!CV4</f>
        <v>-1.7600000000000001E-2</v>
      </c>
    </row>
    <row r="36" spans="1:102" x14ac:dyDescent="0.2">
      <c r="A36" t="s">
        <v>206</v>
      </c>
      <c r="B36" t="s">
        <v>217</v>
      </c>
      <c r="C36" t="s">
        <v>221</v>
      </c>
      <c r="D36">
        <f>'2015_2020'!B5</f>
        <v>4.1799999999999997E-2</v>
      </c>
      <c r="E36">
        <f>'2015_2020'!C5</f>
        <v>4.9799999999999997E-2</v>
      </c>
      <c r="F36">
        <f>'2015_2020'!D5</f>
        <v>3.9100000000000003E-2</v>
      </c>
      <c r="G36">
        <f>'2015_2020'!E5</f>
        <v>3.73E-2</v>
      </c>
      <c r="H36">
        <f>'2015_2020'!F5</f>
        <v>2.98E-2</v>
      </c>
      <c r="I36">
        <f>'2015_2020'!G5</f>
        <v>3.3300000000000003E-2</v>
      </c>
      <c r="J36">
        <f>'2015_2020'!H5</f>
        <v>2.75E-2</v>
      </c>
      <c r="K36">
        <f>'2015_2020'!I5</f>
        <v>2.5999999999999999E-2</v>
      </c>
      <c r="L36">
        <f>'2015_2020'!J5</f>
        <v>2.6200000000000001E-2</v>
      </c>
      <c r="M36">
        <f>'2015_2020'!K5</f>
        <v>2.12E-2</v>
      </c>
      <c r="N36">
        <f>'2015_2020'!L5</f>
        <v>1.89E-2</v>
      </c>
      <c r="O36">
        <f>'2015_2020'!M5</f>
        <v>1.6199999999999999E-2</v>
      </c>
      <c r="P36">
        <f>'2015_2020'!N5</f>
        <v>1.6E-2</v>
      </c>
      <c r="Q36">
        <f>'2015_2020'!O5</f>
        <v>1.6299999999999999E-2</v>
      </c>
      <c r="R36">
        <f>'2015_2020'!P5</f>
        <v>1.7899999999999999E-2</v>
      </c>
      <c r="S36">
        <f>'2015_2020'!Q5</f>
        <v>1.78E-2</v>
      </c>
      <c r="T36">
        <f>'2015_2020'!R5</f>
        <v>1.8100000000000002E-2</v>
      </c>
      <c r="U36">
        <f>'2015_2020'!S5</f>
        <v>1.9400000000000001E-2</v>
      </c>
      <c r="V36">
        <f>'2015_2020'!T5</f>
        <v>2.12E-2</v>
      </c>
      <c r="W36">
        <f>'2015_2020'!U5</f>
        <v>2.2599999999999999E-2</v>
      </c>
      <c r="X36">
        <f>'2015_2020'!V5</f>
        <v>2.3199999999999998E-2</v>
      </c>
      <c r="Y36">
        <f>'2015_2020'!W5</f>
        <v>2.35E-2</v>
      </c>
      <c r="Z36">
        <f>'2015_2020'!X5</f>
        <v>2.3599999999999999E-2</v>
      </c>
      <c r="AA36">
        <f>'2015_2020'!Y5</f>
        <v>2.46E-2</v>
      </c>
      <c r="AB36">
        <f>'2015_2020'!Z5</f>
        <v>2.64E-2</v>
      </c>
      <c r="AC36">
        <f>'2015_2020'!AA5</f>
        <v>2.76E-2</v>
      </c>
      <c r="AD36">
        <f>'2015_2020'!AB5</f>
        <v>2.8199999999999999E-2</v>
      </c>
      <c r="AE36">
        <f>'2015_2020'!AC5</f>
        <v>3.0700000000000002E-2</v>
      </c>
      <c r="AF36">
        <f>'2015_2020'!AD5</f>
        <v>3.2199999999999999E-2</v>
      </c>
      <c r="AG36">
        <f>'2015_2020'!AE5</f>
        <v>3.39E-2</v>
      </c>
      <c r="AH36">
        <f>'2015_2020'!AF5</f>
        <v>3.6299999999999999E-2</v>
      </c>
      <c r="AI36">
        <f>'2015_2020'!AG5</f>
        <v>3.8699999999999998E-2</v>
      </c>
      <c r="AJ36">
        <f>'2015_2020'!AH5</f>
        <v>4.2999999999999997E-2</v>
      </c>
      <c r="AK36">
        <f>'2015_2020'!AI5</f>
        <v>4.6100000000000002E-2</v>
      </c>
      <c r="AL36">
        <f>'2015_2020'!AJ5</f>
        <v>4.8899999999999999E-2</v>
      </c>
      <c r="AM36">
        <f>'2015_2020'!AK5</f>
        <v>5.0799999999999998E-2</v>
      </c>
      <c r="AN36">
        <f>'2015_2020'!AL5</f>
        <v>5.2900000000000003E-2</v>
      </c>
      <c r="AO36">
        <f>'2015_2020'!AM5</f>
        <v>5.4899999999999997E-2</v>
      </c>
      <c r="AP36">
        <f>'2015_2020'!AN5</f>
        <v>5.45E-2</v>
      </c>
      <c r="AQ36">
        <f>'2015_2020'!AO5</f>
        <v>5.4100000000000002E-2</v>
      </c>
      <c r="AR36">
        <f>'2015_2020'!AP5</f>
        <v>5.4699999999999999E-2</v>
      </c>
      <c r="AS36">
        <f>'2015_2020'!AQ5</f>
        <v>5.4800000000000001E-2</v>
      </c>
      <c r="AT36">
        <f>'2015_2020'!AR5</f>
        <v>5.6300000000000003E-2</v>
      </c>
      <c r="AU36">
        <f>'2015_2020'!AS5</f>
        <v>5.6300000000000003E-2</v>
      </c>
      <c r="AV36">
        <f>'2015_2020'!AT5</f>
        <v>5.9400000000000001E-2</v>
      </c>
      <c r="AW36">
        <f>'2015_2020'!AU5</f>
        <v>6.25E-2</v>
      </c>
      <c r="AX36">
        <f>'2015_2020'!AV5</f>
        <v>6.6400000000000001E-2</v>
      </c>
      <c r="AY36">
        <f>'2015_2020'!AW5</f>
        <v>6.93E-2</v>
      </c>
      <c r="AZ36">
        <f>'2015_2020'!AX5</f>
        <v>7.22E-2</v>
      </c>
      <c r="BA36">
        <f>'2015_2020'!AY5</f>
        <v>7.51E-2</v>
      </c>
      <c r="BB36">
        <f>'2015_2020'!AZ5</f>
        <v>7.5899999999999995E-2</v>
      </c>
      <c r="BC36">
        <f>'2015_2020'!BA5</f>
        <v>7.6100000000000001E-2</v>
      </c>
      <c r="BD36">
        <f>'2015_2020'!BB5</f>
        <v>7.6499999999999999E-2</v>
      </c>
      <c r="BE36">
        <f>'2015_2020'!BC5</f>
        <v>7.7100000000000002E-2</v>
      </c>
      <c r="BF36">
        <f>'2015_2020'!BD5</f>
        <v>7.9299999999999995E-2</v>
      </c>
      <c r="BG36">
        <f>'2015_2020'!BE5</f>
        <v>7.9799999999999996E-2</v>
      </c>
      <c r="BH36">
        <f>'2015_2020'!BF5</f>
        <v>8.1199999999999994E-2</v>
      </c>
      <c r="BI36">
        <f>'2015_2020'!BG5</f>
        <v>8.4400000000000003E-2</v>
      </c>
      <c r="BJ36">
        <f>'2015_2020'!BH5</f>
        <v>8.6900000000000005E-2</v>
      </c>
      <c r="BK36">
        <f>'2015_2020'!BI5</f>
        <v>8.8599999999999998E-2</v>
      </c>
      <c r="BL36">
        <f>'2015_2020'!BJ5</f>
        <v>8.9899999999999994E-2</v>
      </c>
      <c r="BM36">
        <f>'2015_2020'!BK5</f>
        <v>9.1999999999999998E-2</v>
      </c>
      <c r="BN36">
        <f>'2015_2020'!BL5</f>
        <v>9.3299999999999994E-2</v>
      </c>
      <c r="BO36">
        <f>'2015_2020'!BM5</f>
        <v>9.35E-2</v>
      </c>
      <c r="BP36">
        <f>'2015_2020'!BN5</f>
        <v>9.3100000000000002E-2</v>
      </c>
      <c r="BQ36">
        <f>'2015_2020'!BO5</f>
        <v>9.3700000000000006E-2</v>
      </c>
      <c r="BR36">
        <f>'2015_2020'!BP5</f>
        <v>9.4700000000000006E-2</v>
      </c>
      <c r="BS36">
        <f>'2015_2020'!BQ5</f>
        <v>9.98E-2</v>
      </c>
      <c r="BT36">
        <f>'2015_2020'!BR5</f>
        <v>0.10299999999999999</v>
      </c>
      <c r="BU36">
        <f>'2015_2020'!BS5</f>
        <v>0.11</v>
      </c>
      <c r="BV36">
        <f>'2015_2020'!BT5</f>
        <v>0.114</v>
      </c>
      <c r="BW36">
        <f>'2015_2020'!BU5</f>
        <v>0.124</v>
      </c>
      <c r="BX36">
        <f>'2015_2020'!BV5</f>
        <v>0.127</v>
      </c>
      <c r="BY36">
        <f>'2015_2020'!BW5</f>
        <v>0.126</v>
      </c>
      <c r="BZ36">
        <f>'2015_2020'!BX5</f>
        <v>0.11600000000000001</v>
      </c>
      <c r="CA36">
        <f>'2015_2020'!BY5</f>
        <v>0.113</v>
      </c>
      <c r="CB36">
        <f>'2015_2020'!BZ5</f>
        <v>0.111</v>
      </c>
      <c r="CC36">
        <f>'2015_2020'!CA5</f>
        <v>0.111</v>
      </c>
      <c r="CD36">
        <f>'2015_2020'!CB5</f>
        <v>0.11700000000000001</v>
      </c>
      <c r="CE36">
        <f>'2015_2020'!CC5</f>
        <v>0.14699999999999999</v>
      </c>
      <c r="CF36">
        <f>'2015_2020'!CD5</f>
        <v>0.159</v>
      </c>
      <c r="CG36">
        <f>'2015_2020'!CE5</f>
        <v>0.154</v>
      </c>
      <c r="CH36">
        <f>'2015_2020'!CF5</f>
        <v>0.14799999999999999</v>
      </c>
      <c r="CI36">
        <f>'2015_2020'!CG5</f>
        <v>0.14799999999999999</v>
      </c>
      <c r="CJ36">
        <f>'2015_2020'!CH5</f>
        <v>0.152</v>
      </c>
      <c r="CK36">
        <f>'2015_2020'!CI5</f>
        <v>0.14599999999999999</v>
      </c>
      <c r="CL36">
        <f>'2015_2020'!CJ5</f>
        <v>0.14000000000000001</v>
      </c>
      <c r="CM36">
        <f>'2015_2020'!CK5</f>
        <v>0.14399999999999999</v>
      </c>
      <c r="CN36">
        <f>'2015_2020'!CL5</f>
        <v>0.16700000000000001</v>
      </c>
      <c r="CO36">
        <f>'2015_2020'!CM5</f>
        <v>0.16800000000000001</v>
      </c>
      <c r="CP36">
        <f>'2015_2020'!CN5</f>
        <v>0.14199999999999999</v>
      </c>
      <c r="CQ36">
        <f>'2015_2020'!CO5</f>
        <v>0.13100000000000001</v>
      </c>
      <c r="CR36">
        <f>'2015_2020'!CP5</f>
        <v>0.16700000000000001</v>
      </c>
      <c r="CS36">
        <f>'2015_2020'!CQ5</f>
        <v>0.13600000000000001</v>
      </c>
      <c r="CT36">
        <f>'2015_2020'!CR5</f>
        <v>0.16</v>
      </c>
      <c r="CU36">
        <f>'2015_2020'!CS5</f>
        <v>0.16</v>
      </c>
      <c r="CV36">
        <f>'2015_2020'!CT5</f>
        <v>0.14799999999999999</v>
      </c>
      <c r="CW36">
        <f>'2015_2020'!CU5</f>
        <v>0.152</v>
      </c>
      <c r="CX36">
        <f>'2015_2020'!CV5</f>
        <v>0.14899999999999999</v>
      </c>
    </row>
    <row r="37" spans="1:102" x14ac:dyDescent="0.2">
      <c r="A37" t="s">
        <v>207</v>
      </c>
      <c r="B37" t="s">
        <v>217</v>
      </c>
      <c r="C37" t="s">
        <v>221</v>
      </c>
      <c r="D37">
        <f>'2015_2020'!B6</f>
        <v>-5.11E-2</v>
      </c>
      <c r="E37">
        <f>'2015_2020'!C6</f>
        <v>-0.114</v>
      </c>
      <c r="F37">
        <f>'2015_2020'!D6</f>
        <v>-0.13900000000000001</v>
      </c>
      <c r="G37">
        <f>'2015_2020'!E6</f>
        <v>-0.11</v>
      </c>
      <c r="H37">
        <f>'2015_2020'!F6</f>
        <v>-0.16300000000000001</v>
      </c>
      <c r="I37">
        <f>'2015_2020'!G6</f>
        <v>-0.11</v>
      </c>
      <c r="J37">
        <f>'2015_2020'!H6</f>
        <v>-0.14499999999999999</v>
      </c>
      <c r="K37">
        <f>'2015_2020'!I6</f>
        <v>-0.1</v>
      </c>
      <c r="L37">
        <f>'2015_2020'!J6</f>
        <v>-7.6600000000000001E-2</v>
      </c>
      <c r="M37">
        <f>'2015_2020'!K6</f>
        <v>-0.107</v>
      </c>
      <c r="N37">
        <f>'2015_2020'!L6</f>
        <v>-7.3400000000000007E-2</v>
      </c>
      <c r="O37">
        <f>'2015_2020'!M6</f>
        <v>-3.5000000000000003E-2</v>
      </c>
      <c r="P37">
        <f>'2015_2020'!N6</f>
        <v>-5.4800000000000001E-2</v>
      </c>
      <c r="Q37">
        <f>'2015_2020'!O6</f>
        <v>-4.0500000000000001E-2</v>
      </c>
      <c r="R37">
        <f>'2015_2020'!P6</f>
        <v>-1.8700000000000001E-2</v>
      </c>
      <c r="S37">
        <f>'2015_2020'!Q6</f>
        <v>-1.46E-2</v>
      </c>
      <c r="T37">
        <f>'2015_2020'!R6</f>
        <v>-8.3899999999999999E-3</v>
      </c>
      <c r="U37">
        <f>'2015_2020'!S6</f>
        <v>-1.06E-2</v>
      </c>
      <c r="V37">
        <f>'2015_2020'!T6</f>
        <v>3.8700000000000002E-3</v>
      </c>
      <c r="W37">
        <f>'2015_2020'!U6</f>
        <v>-1.08E-3</v>
      </c>
      <c r="X37">
        <f>'2015_2020'!V6</f>
        <v>-1.6500000000000001E-2</v>
      </c>
      <c r="Y37">
        <f>'2015_2020'!W6</f>
        <v>1.97E-3</v>
      </c>
      <c r="Z37">
        <f>'2015_2020'!X6</f>
        <v>-1.61E-2</v>
      </c>
      <c r="AA37">
        <f>'2015_2020'!Y6</f>
        <v>-2.98E-2</v>
      </c>
      <c r="AB37">
        <f>'2015_2020'!Z6</f>
        <v>-2.7199999999999998E-2</v>
      </c>
      <c r="AC37">
        <f>'2015_2020'!AA6</f>
        <v>-3.4299999999999997E-2</v>
      </c>
      <c r="AD37">
        <f>'2015_2020'!AB6</f>
        <v>-1.1900000000000001E-2</v>
      </c>
      <c r="AE37">
        <f>'2015_2020'!AC6</f>
        <v>-1.38E-2</v>
      </c>
      <c r="AF37">
        <f>'2015_2020'!AD6</f>
        <v>-1.8200000000000001E-2</v>
      </c>
      <c r="AG37">
        <f>'2015_2020'!AE6</f>
        <v>-2.6599999999999999E-2</v>
      </c>
      <c r="AH37">
        <f>'2015_2020'!AF6</f>
        <v>-1.7100000000000001E-2</v>
      </c>
      <c r="AI37">
        <f>'2015_2020'!AG6</f>
        <v>-2.69E-2</v>
      </c>
      <c r="AJ37">
        <f>'2015_2020'!AH6</f>
        <v>-5.11E-2</v>
      </c>
      <c r="AK37">
        <f>'2015_2020'!AI6</f>
        <v>-5.8200000000000002E-2</v>
      </c>
      <c r="AL37">
        <f>'2015_2020'!AJ6</f>
        <v>-3.6299999999999999E-2</v>
      </c>
      <c r="AM37">
        <f>'2015_2020'!AK6</f>
        <v>-3.3599999999999998E-2</v>
      </c>
      <c r="AN37">
        <f>'2015_2020'!AL6</f>
        <v>-3.1600000000000003E-2</v>
      </c>
      <c r="AO37">
        <f>'2015_2020'!AM6</f>
        <v>-4.6300000000000001E-2</v>
      </c>
      <c r="AP37">
        <f>'2015_2020'!AN6</f>
        <v>-7.1199999999999999E-2</v>
      </c>
      <c r="AQ37">
        <f>'2015_2020'!AO6</f>
        <v>-8.2299999999999998E-2</v>
      </c>
      <c r="AR37">
        <f>'2015_2020'!AP6</f>
        <v>-6.7000000000000004E-2</v>
      </c>
      <c r="AS37">
        <f>'2015_2020'!AQ6</f>
        <v>-5.5899999999999998E-2</v>
      </c>
      <c r="AT37">
        <f>'2015_2020'!AR6</f>
        <v>-4.9299999999999997E-2</v>
      </c>
      <c r="AU37">
        <f>'2015_2020'!AS6</f>
        <v>-3.9800000000000002E-2</v>
      </c>
      <c r="AV37">
        <f>'2015_2020'!AT6</f>
        <v>-3.4599999999999999E-2</v>
      </c>
      <c r="AW37">
        <f>'2015_2020'!AU6</f>
        <v>-4.48E-2</v>
      </c>
      <c r="AX37">
        <f>'2015_2020'!AV6</f>
        <v>-7.1400000000000005E-2</v>
      </c>
      <c r="AY37">
        <f>'2015_2020'!AW6</f>
        <v>-6.7000000000000004E-2</v>
      </c>
      <c r="AZ37">
        <f>'2015_2020'!AX6</f>
        <v>-7.1400000000000005E-2</v>
      </c>
      <c r="BA37">
        <f>'2015_2020'!AY6</f>
        <v>-6.2399999999999997E-2</v>
      </c>
      <c r="BB37">
        <f>'2015_2020'!AZ6</f>
        <v>-7.0099999999999996E-2</v>
      </c>
      <c r="BC37">
        <f>'2015_2020'!BA6</f>
        <v>-8.1500000000000003E-2</v>
      </c>
      <c r="BD37">
        <f>'2015_2020'!BB6</f>
        <v>-9.4600000000000004E-2</v>
      </c>
      <c r="BE37">
        <f>'2015_2020'!BC6</f>
        <v>-9.5100000000000004E-2</v>
      </c>
      <c r="BF37">
        <f>'2015_2020'!BD6</f>
        <v>-5.5800000000000002E-2</v>
      </c>
      <c r="BG37">
        <f>'2015_2020'!BE6</f>
        <v>-7.9399999999999998E-2</v>
      </c>
      <c r="BH37">
        <f>'2015_2020'!BF6</f>
        <v>-7.8E-2</v>
      </c>
      <c r="BI37">
        <f>'2015_2020'!BG6</f>
        <v>-8.6699999999999999E-2</v>
      </c>
      <c r="BJ37">
        <f>'2015_2020'!BH6</f>
        <v>-9.7199999999999995E-2</v>
      </c>
      <c r="BK37">
        <f>'2015_2020'!BI6</f>
        <v>-0.09</v>
      </c>
      <c r="BL37">
        <f>'2015_2020'!BJ6</f>
        <v>-6.1499999999999999E-2</v>
      </c>
      <c r="BM37">
        <f>'2015_2020'!BK6</f>
        <v>-7.9200000000000007E-2</v>
      </c>
      <c r="BN37">
        <f>'2015_2020'!BL6</f>
        <v>-0.10199999999999999</v>
      </c>
      <c r="BO37">
        <f>'2015_2020'!BM6</f>
        <v>-9.7600000000000006E-2</v>
      </c>
      <c r="BP37">
        <f>'2015_2020'!BN6</f>
        <v>-5.0599999999999999E-2</v>
      </c>
      <c r="BQ37">
        <f>'2015_2020'!BO6</f>
        <v>-6.1499999999999999E-2</v>
      </c>
      <c r="BR37">
        <f>'2015_2020'!BP6</f>
        <v>-7.5600000000000001E-2</v>
      </c>
      <c r="BS37">
        <f>'2015_2020'!BQ6</f>
        <v>-0.111</v>
      </c>
      <c r="BT37">
        <f>'2015_2020'!BR6</f>
        <v>-0.13100000000000001</v>
      </c>
      <c r="BU37">
        <f>'2015_2020'!BS6</f>
        <v>-0.125</v>
      </c>
      <c r="BV37">
        <f>'2015_2020'!BT6</f>
        <v>-0.108</v>
      </c>
      <c r="BW37">
        <f>'2015_2020'!BU6</f>
        <v>-0.11</v>
      </c>
      <c r="BX37">
        <f>'2015_2020'!BV6</f>
        <v>-0.124</v>
      </c>
      <c r="BY37">
        <f>'2015_2020'!BW6</f>
        <v>-0.10299999999999999</v>
      </c>
      <c r="BZ37">
        <f>'2015_2020'!BX6</f>
        <v>-0.109</v>
      </c>
      <c r="CA37">
        <f>'2015_2020'!BY6</f>
        <v>-0.13300000000000001</v>
      </c>
      <c r="CB37">
        <f>'2015_2020'!BZ6</f>
        <v>-8.6999999999999994E-2</v>
      </c>
      <c r="CC37">
        <f>'2015_2020'!CA6</f>
        <v>-8.5900000000000004E-2</v>
      </c>
      <c r="CD37">
        <f>'2015_2020'!CB6</f>
        <v>-7.0999999999999994E-2</v>
      </c>
      <c r="CE37">
        <f>'2015_2020'!CC6</f>
        <v>-9.1200000000000003E-2</v>
      </c>
      <c r="CF37">
        <f>'2015_2020'!CD6</f>
        <v>-0.13900000000000001</v>
      </c>
      <c r="CG37">
        <f>'2015_2020'!CE6</f>
        <v>-0.18</v>
      </c>
      <c r="CH37">
        <f>'2015_2020'!CF6</f>
        <v>-0.154</v>
      </c>
      <c r="CI37">
        <f>'2015_2020'!CG6</f>
        <v>-0.13800000000000001</v>
      </c>
      <c r="CJ37">
        <f>'2015_2020'!CH6</f>
        <v>-0.14000000000000001</v>
      </c>
      <c r="CK37">
        <f>'2015_2020'!CI6</f>
        <v>-0.13</v>
      </c>
      <c r="CL37">
        <f>'2015_2020'!CJ6</f>
        <v>-9.2299999999999993E-2</v>
      </c>
      <c r="CM37">
        <f>'2015_2020'!CK6</f>
        <v>-0.13800000000000001</v>
      </c>
      <c r="CN37">
        <f>'2015_2020'!CL6</f>
        <v>-0.16600000000000001</v>
      </c>
      <c r="CO37">
        <f>'2015_2020'!CM6</f>
        <v>-0.16200000000000001</v>
      </c>
      <c r="CP37">
        <f>'2015_2020'!CN6</f>
        <v>-0.155</v>
      </c>
      <c r="CQ37">
        <f>'2015_2020'!CO6</f>
        <v>-0.13900000000000001</v>
      </c>
      <c r="CR37">
        <f>'2015_2020'!CP6</f>
        <v>-0.17100000000000001</v>
      </c>
      <c r="CS37">
        <f>'2015_2020'!CQ6</f>
        <v>-0.14499999999999999</v>
      </c>
      <c r="CT37">
        <f>'2015_2020'!CR6</f>
        <v>-0.14699999999999999</v>
      </c>
      <c r="CU37">
        <f>'2015_2020'!CS6</f>
        <v>-0.17</v>
      </c>
      <c r="CV37">
        <f>'2015_2020'!CT6</f>
        <v>-0.11799999999999999</v>
      </c>
      <c r="CW37">
        <f>'2015_2020'!CU6</f>
        <v>-0.158</v>
      </c>
      <c r="CX37">
        <f>'2015_2020'!CV6</f>
        <v>-0.16700000000000001</v>
      </c>
    </row>
    <row r="38" spans="1:102" x14ac:dyDescent="0.2">
      <c r="A38" t="s">
        <v>208</v>
      </c>
      <c r="B38" t="s">
        <v>218</v>
      </c>
      <c r="C38" t="s">
        <v>221</v>
      </c>
      <c r="D38">
        <f>'2015_2020'!B7</f>
        <v>4.1700000000000001E-2</v>
      </c>
      <c r="E38">
        <f>'2015_2020'!C7</f>
        <v>5.1999999999999998E-2</v>
      </c>
      <c r="F38">
        <f>'2015_2020'!D7</f>
        <v>4.41E-2</v>
      </c>
      <c r="G38">
        <f>'2015_2020'!E7</f>
        <v>4.53E-2</v>
      </c>
      <c r="H38">
        <f>'2015_2020'!F7</f>
        <v>3.7900000000000003E-2</v>
      </c>
      <c r="I38">
        <f>'2015_2020'!G7</f>
        <v>4.4499999999999998E-2</v>
      </c>
      <c r="J38">
        <f>'2015_2020'!H7</f>
        <v>4.0099999999999997E-2</v>
      </c>
      <c r="K38">
        <f>'2015_2020'!I7</f>
        <v>3.9800000000000002E-2</v>
      </c>
      <c r="L38">
        <f>'2015_2020'!J7</f>
        <v>4.0300000000000002E-2</v>
      </c>
      <c r="M38">
        <f>'2015_2020'!K7</f>
        <v>3.3799999999999997E-2</v>
      </c>
      <c r="N38">
        <f>'2015_2020'!L7</f>
        <v>2.9399999999999999E-2</v>
      </c>
      <c r="O38">
        <f>'2015_2020'!M7</f>
        <v>2.3400000000000001E-2</v>
      </c>
      <c r="P38">
        <f>'2015_2020'!N7</f>
        <v>2.18E-2</v>
      </c>
      <c r="Q38">
        <f>'2015_2020'!O7</f>
        <v>2.1700000000000001E-2</v>
      </c>
      <c r="R38">
        <f>'2015_2020'!P7</f>
        <v>2.24E-2</v>
      </c>
      <c r="S38">
        <f>'2015_2020'!Q7</f>
        <v>2.1999999999999999E-2</v>
      </c>
      <c r="T38">
        <f>'2015_2020'!R7</f>
        <v>2.1499999999999998E-2</v>
      </c>
      <c r="U38">
        <f>'2015_2020'!S7</f>
        <v>2.18E-2</v>
      </c>
      <c r="V38">
        <f>'2015_2020'!T7</f>
        <v>2.2800000000000001E-2</v>
      </c>
      <c r="W38">
        <f>'2015_2020'!U7</f>
        <v>2.3199999999999998E-2</v>
      </c>
      <c r="X38">
        <f>'2015_2020'!V7</f>
        <v>2.3E-2</v>
      </c>
      <c r="Y38">
        <f>'2015_2020'!W7</f>
        <v>2.3099999999999999E-2</v>
      </c>
      <c r="Z38">
        <f>'2015_2020'!X7</f>
        <v>2.3E-2</v>
      </c>
      <c r="AA38">
        <f>'2015_2020'!Y7</f>
        <v>2.3599999999999999E-2</v>
      </c>
      <c r="AB38">
        <f>'2015_2020'!Z7</f>
        <v>2.53E-2</v>
      </c>
      <c r="AC38">
        <f>'2015_2020'!AA7</f>
        <v>2.6499999999999999E-2</v>
      </c>
      <c r="AD38">
        <f>'2015_2020'!AB7</f>
        <v>2.7300000000000001E-2</v>
      </c>
      <c r="AE38">
        <f>'2015_2020'!AC7</f>
        <v>2.8799999999999999E-2</v>
      </c>
      <c r="AF38">
        <f>'2015_2020'!AD7</f>
        <v>3.0200000000000001E-2</v>
      </c>
      <c r="AG38">
        <f>'2015_2020'!AE7</f>
        <v>3.1600000000000003E-2</v>
      </c>
      <c r="AH38">
        <f>'2015_2020'!AF7</f>
        <v>3.3500000000000002E-2</v>
      </c>
      <c r="AI38">
        <f>'2015_2020'!AG7</f>
        <v>3.5799999999999998E-2</v>
      </c>
      <c r="AJ38">
        <f>'2015_2020'!AH7</f>
        <v>3.9600000000000003E-2</v>
      </c>
      <c r="AK38">
        <f>'2015_2020'!AI7</f>
        <v>4.2700000000000002E-2</v>
      </c>
      <c r="AL38">
        <f>'2015_2020'!AJ7</f>
        <v>4.5100000000000001E-2</v>
      </c>
      <c r="AM38">
        <f>'2015_2020'!AK7</f>
        <v>4.65E-2</v>
      </c>
      <c r="AN38">
        <f>'2015_2020'!AL7</f>
        <v>4.8099999999999997E-2</v>
      </c>
      <c r="AO38">
        <f>'2015_2020'!AM7</f>
        <v>4.9399999999999999E-2</v>
      </c>
      <c r="AP38">
        <f>'2015_2020'!AN7</f>
        <v>4.9099999999999998E-2</v>
      </c>
      <c r="AQ38">
        <f>'2015_2020'!AO7</f>
        <v>4.87E-2</v>
      </c>
      <c r="AR38">
        <f>'2015_2020'!AP7</f>
        <v>4.9299999999999997E-2</v>
      </c>
      <c r="AS38">
        <f>'2015_2020'!AQ7</f>
        <v>4.99E-2</v>
      </c>
      <c r="AT38">
        <f>'2015_2020'!AR7</f>
        <v>5.11E-2</v>
      </c>
      <c r="AU38">
        <f>'2015_2020'!AS7</f>
        <v>5.11E-2</v>
      </c>
      <c r="AV38">
        <f>'2015_2020'!AT7</f>
        <v>5.3400000000000003E-2</v>
      </c>
      <c r="AW38">
        <f>'2015_2020'!AU7</f>
        <v>5.6599999999999998E-2</v>
      </c>
      <c r="AX38">
        <f>'2015_2020'!AV7</f>
        <v>6.0199999999999997E-2</v>
      </c>
      <c r="AY38">
        <f>'2015_2020'!AW7</f>
        <v>6.2600000000000003E-2</v>
      </c>
      <c r="AZ38">
        <f>'2015_2020'!AX7</f>
        <v>6.4899999999999999E-2</v>
      </c>
      <c r="BA38">
        <f>'2015_2020'!AY7</f>
        <v>6.7100000000000007E-2</v>
      </c>
      <c r="BB38">
        <f>'2015_2020'!AZ7</f>
        <v>6.83E-2</v>
      </c>
      <c r="BC38">
        <f>'2015_2020'!BA7</f>
        <v>6.8099999999999994E-2</v>
      </c>
      <c r="BD38">
        <f>'2015_2020'!BB7</f>
        <v>6.8599999999999994E-2</v>
      </c>
      <c r="BE38">
        <f>'2015_2020'!BC7</f>
        <v>6.8900000000000003E-2</v>
      </c>
      <c r="BF38">
        <f>'2015_2020'!BD7</f>
        <v>7.0199999999999999E-2</v>
      </c>
      <c r="BG38">
        <f>'2015_2020'!BE7</f>
        <v>7.0900000000000005E-2</v>
      </c>
      <c r="BH38">
        <f>'2015_2020'!BF7</f>
        <v>7.2300000000000003E-2</v>
      </c>
      <c r="BI38">
        <f>'2015_2020'!BG7</f>
        <v>7.4899999999999994E-2</v>
      </c>
      <c r="BJ38">
        <f>'2015_2020'!BH7</f>
        <v>7.7200000000000005E-2</v>
      </c>
      <c r="BK38">
        <f>'2015_2020'!BI7</f>
        <v>7.9299999999999995E-2</v>
      </c>
      <c r="BL38">
        <f>'2015_2020'!BJ7</f>
        <v>8.0699999999999994E-2</v>
      </c>
      <c r="BM38">
        <f>'2015_2020'!BK7</f>
        <v>8.2400000000000001E-2</v>
      </c>
      <c r="BN38">
        <f>'2015_2020'!BL7</f>
        <v>8.3500000000000005E-2</v>
      </c>
      <c r="BO38">
        <f>'2015_2020'!BM7</f>
        <v>8.3799999999999999E-2</v>
      </c>
      <c r="BP38">
        <f>'2015_2020'!BN7</f>
        <v>8.3699999999999997E-2</v>
      </c>
      <c r="BQ38">
        <f>'2015_2020'!BO7</f>
        <v>8.4099999999999994E-2</v>
      </c>
      <c r="BR38">
        <f>'2015_2020'!BP7</f>
        <v>8.4400000000000003E-2</v>
      </c>
      <c r="BS38">
        <f>'2015_2020'!BQ7</f>
        <v>8.9300000000000004E-2</v>
      </c>
      <c r="BT38">
        <f>'2015_2020'!BR7</f>
        <v>9.2799999999999994E-2</v>
      </c>
      <c r="BU38">
        <f>'2015_2020'!BS7</f>
        <v>9.8900000000000002E-2</v>
      </c>
      <c r="BV38">
        <f>'2015_2020'!BT7</f>
        <v>0.10299999999999999</v>
      </c>
      <c r="BW38">
        <f>'2015_2020'!BU7</f>
        <v>0.113</v>
      </c>
      <c r="BX38">
        <f>'2015_2020'!BV7</f>
        <v>0.115</v>
      </c>
      <c r="BY38">
        <f>'2015_2020'!BW7</f>
        <v>0.114</v>
      </c>
      <c r="BZ38">
        <f>'2015_2020'!BX7</f>
        <v>0.105</v>
      </c>
      <c r="CA38">
        <f>'2015_2020'!BY7</f>
        <v>0.10299999999999999</v>
      </c>
      <c r="CB38">
        <f>'2015_2020'!BZ7</f>
        <v>0.10199999999999999</v>
      </c>
      <c r="CC38">
        <f>'2015_2020'!CA7</f>
        <v>0.10199999999999999</v>
      </c>
      <c r="CD38">
        <f>'2015_2020'!CB7</f>
        <v>0.107</v>
      </c>
      <c r="CE38">
        <f>'2015_2020'!CC7</f>
        <v>0.13500000000000001</v>
      </c>
      <c r="CF38">
        <f>'2015_2020'!CD7</f>
        <v>0.14699999999999999</v>
      </c>
      <c r="CG38">
        <f>'2015_2020'!CE7</f>
        <v>0.14299999999999999</v>
      </c>
      <c r="CH38">
        <f>'2015_2020'!CF7</f>
        <v>0.13800000000000001</v>
      </c>
      <c r="CI38">
        <f>'2015_2020'!CG7</f>
        <v>0.13800000000000001</v>
      </c>
      <c r="CJ38">
        <f>'2015_2020'!CH7</f>
        <v>0.14399999999999999</v>
      </c>
      <c r="CK38">
        <f>'2015_2020'!CI7</f>
        <v>0.13800000000000001</v>
      </c>
      <c r="CL38">
        <f>'2015_2020'!CJ7</f>
        <v>0.13400000000000001</v>
      </c>
      <c r="CM38">
        <f>'2015_2020'!CK7</f>
        <v>0.13700000000000001</v>
      </c>
      <c r="CN38">
        <f>'2015_2020'!CL7</f>
        <v>0.16200000000000001</v>
      </c>
      <c r="CO38">
        <f>'2015_2020'!CM7</f>
        <v>0.16400000000000001</v>
      </c>
      <c r="CP38">
        <f>'2015_2020'!CN7</f>
        <v>0.13900000000000001</v>
      </c>
      <c r="CQ38">
        <f>'2015_2020'!CO7</f>
        <v>0.13</v>
      </c>
      <c r="CR38">
        <f>'2015_2020'!CP7</f>
        <v>0.16600000000000001</v>
      </c>
      <c r="CS38">
        <f>'2015_2020'!CQ7</f>
        <v>0.13700000000000001</v>
      </c>
      <c r="CT38">
        <f>'2015_2020'!CR7</f>
        <v>0.161</v>
      </c>
      <c r="CU38">
        <f>'2015_2020'!CS7</f>
        <v>0.16400000000000001</v>
      </c>
      <c r="CV38">
        <f>'2015_2020'!CT7</f>
        <v>0.153</v>
      </c>
      <c r="CW38">
        <f>'2015_2020'!CU7</f>
        <v>0.153</v>
      </c>
      <c r="CX38">
        <f>'2015_2020'!CV7</f>
        <v>0.14899999999999999</v>
      </c>
    </row>
    <row r="39" spans="1:102" x14ac:dyDescent="0.2">
      <c r="A39" t="s">
        <v>209</v>
      </c>
      <c r="B39" t="s">
        <v>218</v>
      </c>
      <c r="C39" t="s">
        <v>221</v>
      </c>
      <c r="D39">
        <f>'2015_2020'!B8</f>
        <v>2.8700000000000002E-3</v>
      </c>
      <c r="E39">
        <f>'2015_2020'!C8</f>
        <v>6.1700000000000001E-3</v>
      </c>
      <c r="F39">
        <f>'2015_2020'!D8</f>
        <v>6.11E-3</v>
      </c>
      <c r="G39">
        <f>'2015_2020'!E8</f>
        <v>6.4599999999999996E-3</v>
      </c>
      <c r="H39">
        <f>'2015_2020'!F8</f>
        <v>5.7200000000000003E-3</v>
      </c>
      <c r="I39">
        <f>'2015_2020'!G8</f>
        <v>7.1399999999999996E-3</v>
      </c>
      <c r="J39">
        <f>'2015_2020'!H8</f>
        <v>6.2599999999999999E-3</v>
      </c>
      <c r="K39">
        <f>'2015_2020'!I8</f>
        <v>6.2700000000000004E-3</v>
      </c>
      <c r="L39">
        <f>'2015_2020'!J8</f>
        <v>6.3800000000000003E-3</v>
      </c>
      <c r="M39">
        <f>'2015_2020'!K8</f>
        <v>5.1399999999999996E-3</v>
      </c>
      <c r="N39">
        <f>'2015_2020'!L8</f>
        <v>4.5599999999999998E-3</v>
      </c>
      <c r="O39">
        <f>'2015_2020'!M8</f>
        <v>3.6800000000000001E-3</v>
      </c>
      <c r="P39">
        <f>'2015_2020'!N8</f>
        <v>3.4099999999999998E-3</v>
      </c>
      <c r="Q39">
        <f>'2015_2020'!O8</f>
        <v>3.48E-3</v>
      </c>
      <c r="R39">
        <f>'2015_2020'!P8</f>
        <v>3.6600000000000001E-3</v>
      </c>
      <c r="S39">
        <f>'2015_2020'!Q8</f>
        <v>3.64E-3</v>
      </c>
      <c r="T39">
        <f>'2015_2020'!R8</f>
        <v>3.5799999999999998E-3</v>
      </c>
      <c r="U39">
        <f>'2015_2020'!S8</f>
        <v>3.6900000000000001E-3</v>
      </c>
      <c r="V39">
        <f>'2015_2020'!T8</f>
        <v>3.8800000000000002E-3</v>
      </c>
      <c r="W39">
        <f>'2015_2020'!U8</f>
        <v>3.9899999999999996E-3</v>
      </c>
      <c r="X39">
        <f>'2015_2020'!V8</f>
        <v>3.9399999999999999E-3</v>
      </c>
      <c r="Y39">
        <f>'2015_2020'!W8</f>
        <v>3.9100000000000003E-3</v>
      </c>
      <c r="Z39">
        <f>'2015_2020'!X8</f>
        <v>3.9399999999999999E-3</v>
      </c>
      <c r="AA39">
        <f>'2015_2020'!Y8</f>
        <v>3.9300000000000003E-3</v>
      </c>
      <c r="AB39">
        <f>'2015_2020'!Z8</f>
        <v>4.1200000000000004E-3</v>
      </c>
      <c r="AC39">
        <f>'2015_2020'!AA8</f>
        <v>4.3200000000000001E-3</v>
      </c>
      <c r="AD39">
        <f>'2015_2020'!AB8</f>
        <v>4.3899999999999998E-3</v>
      </c>
      <c r="AE39">
        <f>'2015_2020'!AC8</f>
        <v>4.5599999999999998E-3</v>
      </c>
      <c r="AF39">
        <f>'2015_2020'!AD8</f>
        <v>4.7400000000000003E-3</v>
      </c>
      <c r="AG39">
        <f>'2015_2020'!AE8</f>
        <v>5.0000000000000001E-3</v>
      </c>
      <c r="AH39">
        <f>'2015_2020'!AF8</f>
        <v>5.2199999999999998E-3</v>
      </c>
      <c r="AI39">
        <f>'2015_2020'!AG8</f>
        <v>5.5500000000000002E-3</v>
      </c>
      <c r="AJ39">
        <f>'2015_2020'!AH8</f>
        <v>6.0400000000000002E-3</v>
      </c>
      <c r="AK39">
        <f>'2015_2020'!AI8</f>
        <v>6.45E-3</v>
      </c>
      <c r="AL39">
        <f>'2015_2020'!AJ8</f>
        <v>6.7799999999999996E-3</v>
      </c>
      <c r="AM39">
        <f>'2015_2020'!AK8</f>
        <v>7.0600000000000003E-3</v>
      </c>
      <c r="AN39">
        <f>'2015_2020'!AL8</f>
        <v>7.2399999999999999E-3</v>
      </c>
      <c r="AO39">
        <f>'2015_2020'!AM8</f>
        <v>7.4200000000000004E-3</v>
      </c>
      <c r="AP39">
        <f>'2015_2020'!AN8</f>
        <v>7.3299999999999997E-3</v>
      </c>
      <c r="AQ39">
        <f>'2015_2020'!AO8</f>
        <v>7.28E-3</v>
      </c>
      <c r="AR39">
        <f>'2015_2020'!AP8</f>
        <v>7.3000000000000001E-3</v>
      </c>
      <c r="AS39">
        <f>'2015_2020'!AQ8</f>
        <v>7.3400000000000002E-3</v>
      </c>
      <c r="AT39">
        <f>'2015_2020'!AR8</f>
        <v>7.5700000000000003E-3</v>
      </c>
      <c r="AU39">
        <f>'2015_2020'!AS8</f>
        <v>7.5700000000000003E-3</v>
      </c>
      <c r="AV39">
        <f>'2015_2020'!AT8</f>
        <v>7.8399999999999997E-3</v>
      </c>
      <c r="AW39">
        <f>'2015_2020'!AU8</f>
        <v>8.1899999999999994E-3</v>
      </c>
      <c r="AX39">
        <f>'2015_2020'!AV8</f>
        <v>8.6999999999999994E-3</v>
      </c>
      <c r="AY39">
        <f>'2015_2020'!AW8</f>
        <v>9.0100000000000006E-3</v>
      </c>
      <c r="AZ39">
        <f>'2015_2020'!AX8</f>
        <v>9.3200000000000002E-3</v>
      </c>
      <c r="BA39">
        <f>'2015_2020'!AY8</f>
        <v>9.5999999999999992E-3</v>
      </c>
      <c r="BB39">
        <f>'2015_2020'!AZ8</f>
        <v>9.58E-3</v>
      </c>
      <c r="BC39">
        <f>'2015_2020'!BA8</f>
        <v>9.4699999999999993E-3</v>
      </c>
      <c r="BD39">
        <f>'2015_2020'!BB8</f>
        <v>9.4599999999999997E-3</v>
      </c>
      <c r="BE39">
        <f>'2015_2020'!BC8</f>
        <v>9.4999999999999998E-3</v>
      </c>
      <c r="BF39">
        <f>'2015_2020'!BD8</f>
        <v>9.6500000000000006E-3</v>
      </c>
      <c r="BG39">
        <f>'2015_2020'!BE8</f>
        <v>9.6200000000000001E-3</v>
      </c>
      <c r="BH39">
        <f>'2015_2020'!BF8</f>
        <v>9.7099999999999999E-3</v>
      </c>
      <c r="BI39">
        <f>'2015_2020'!BG8</f>
        <v>0.01</v>
      </c>
      <c r="BJ39">
        <f>'2015_2020'!BH8</f>
        <v>1.03E-2</v>
      </c>
      <c r="BK39">
        <f>'2015_2020'!BI8</f>
        <v>1.04E-2</v>
      </c>
      <c r="BL39">
        <f>'2015_2020'!BJ8</f>
        <v>1.0500000000000001E-2</v>
      </c>
      <c r="BM39">
        <f>'2015_2020'!BK8</f>
        <v>1.06E-2</v>
      </c>
      <c r="BN39">
        <f>'2015_2020'!BL8</f>
        <v>1.0699999999999999E-2</v>
      </c>
      <c r="BO39">
        <f>'2015_2020'!BM8</f>
        <v>1.06E-2</v>
      </c>
      <c r="BP39">
        <f>'2015_2020'!BN8</f>
        <v>1.0500000000000001E-2</v>
      </c>
      <c r="BQ39">
        <f>'2015_2020'!BO8</f>
        <v>1.0500000000000001E-2</v>
      </c>
      <c r="BR39">
        <f>'2015_2020'!BP8</f>
        <v>1.0500000000000001E-2</v>
      </c>
      <c r="BS39">
        <f>'2015_2020'!BQ8</f>
        <v>1.0999999999999999E-2</v>
      </c>
      <c r="BT39">
        <f>'2015_2020'!BR8</f>
        <v>1.14E-2</v>
      </c>
      <c r="BU39">
        <f>'2015_2020'!BS8</f>
        <v>1.2200000000000001E-2</v>
      </c>
      <c r="BV39">
        <f>'2015_2020'!BT8</f>
        <v>1.2500000000000001E-2</v>
      </c>
      <c r="BW39">
        <f>'2015_2020'!BU8</f>
        <v>1.3299999999999999E-2</v>
      </c>
      <c r="BX39">
        <f>'2015_2020'!BV8</f>
        <v>1.3599999999999999E-2</v>
      </c>
      <c r="BY39">
        <f>'2015_2020'!BW8</f>
        <v>1.34E-2</v>
      </c>
      <c r="BZ39">
        <f>'2015_2020'!BX8</f>
        <v>1.2200000000000001E-2</v>
      </c>
      <c r="CA39">
        <f>'2015_2020'!BY8</f>
        <v>1.1900000000000001E-2</v>
      </c>
      <c r="CB39">
        <f>'2015_2020'!BZ8</f>
        <v>1.17E-2</v>
      </c>
      <c r="CC39">
        <f>'2015_2020'!CA8</f>
        <v>1.17E-2</v>
      </c>
      <c r="CD39">
        <f>'2015_2020'!CB8</f>
        <v>1.2200000000000001E-2</v>
      </c>
      <c r="CE39">
        <f>'2015_2020'!CC8</f>
        <v>1.5299999999999999E-2</v>
      </c>
      <c r="CF39">
        <f>'2015_2020'!CD8</f>
        <v>1.6400000000000001E-2</v>
      </c>
      <c r="CG39">
        <f>'2015_2020'!CE8</f>
        <v>1.5900000000000001E-2</v>
      </c>
      <c r="CH39">
        <f>'2015_2020'!CF8</f>
        <v>1.52E-2</v>
      </c>
      <c r="CI39">
        <f>'2015_2020'!CG8</f>
        <v>1.4999999999999999E-2</v>
      </c>
      <c r="CJ39">
        <f>'2015_2020'!CH8</f>
        <v>1.55E-2</v>
      </c>
      <c r="CK39">
        <f>'2015_2020'!CI8</f>
        <v>1.4800000000000001E-2</v>
      </c>
      <c r="CL39">
        <f>'2015_2020'!CJ8</f>
        <v>1.43E-2</v>
      </c>
      <c r="CM39">
        <f>'2015_2020'!CK8</f>
        <v>1.4800000000000001E-2</v>
      </c>
      <c r="CN39">
        <f>'2015_2020'!CL8</f>
        <v>1.7399999999999999E-2</v>
      </c>
      <c r="CO39">
        <f>'2015_2020'!CM8</f>
        <v>1.7600000000000001E-2</v>
      </c>
      <c r="CP39">
        <f>'2015_2020'!CN8</f>
        <v>1.4800000000000001E-2</v>
      </c>
      <c r="CQ39">
        <f>'2015_2020'!CO8</f>
        <v>1.43E-2</v>
      </c>
      <c r="CR39">
        <f>'2015_2020'!CP8</f>
        <v>1.8100000000000002E-2</v>
      </c>
      <c r="CS39">
        <f>'2015_2020'!CQ8</f>
        <v>1.5100000000000001E-2</v>
      </c>
      <c r="CT39">
        <f>'2015_2020'!CR8</f>
        <v>1.7999999999999999E-2</v>
      </c>
      <c r="CU39">
        <f>'2015_2020'!CS8</f>
        <v>1.8499999999999999E-2</v>
      </c>
      <c r="CV39">
        <f>'2015_2020'!CT8</f>
        <v>1.7899999999999999E-2</v>
      </c>
      <c r="CW39">
        <f>'2015_2020'!CU8</f>
        <v>1.9300000000000001E-2</v>
      </c>
      <c r="CX39">
        <f>'2015_2020'!CV8</f>
        <v>2.01E-2</v>
      </c>
    </row>
    <row r="40" spans="1:102" x14ac:dyDescent="0.2">
      <c r="A40" t="s">
        <v>210</v>
      </c>
      <c r="B40" t="s">
        <v>218</v>
      </c>
      <c r="C40" t="s">
        <v>221</v>
      </c>
      <c r="D40">
        <f>'2015_2020'!B9</f>
        <v>-4.4299999999999999E-3</v>
      </c>
      <c r="E40">
        <f>'2015_2020'!C9</f>
        <v>-5.4400000000000004E-3</v>
      </c>
      <c r="F40">
        <f>'2015_2020'!D9</f>
        <v>-4.3699999999999998E-3</v>
      </c>
      <c r="G40">
        <f>'2015_2020'!E9</f>
        <v>-4.0499999999999998E-3</v>
      </c>
      <c r="H40">
        <f>'2015_2020'!F9</f>
        <v>-3.0699999999999998E-3</v>
      </c>
      <c r="I40">
        <f>'2015_2020'!G9</f>
        <v>-3.3999999999999998E-3</v>
      </c>
      <c r="J40">
        <f>'2015_2020'!H9</f>
        <v>-2.81E-3</v>
      </c>
      <c r="K40">
        <f>'2015_2020'!I9</f>
        <v>-2.5100000000000001E-3</v>
      </c>
      <c r="L40">
        <f>'2015_2020'!J9</f>
        <v>-2.4499999999999999E-3</v>
      </c>
      <c r="M40">
        <f>'2015_2020'!K9</f>
        <v>-1.91E-3</v>
      </c>
      <c r="N40">
        <f>'2015_2020'!L9</f>
        <v>-1.5499999999999999E-3</v>
      </c>
      <c r="O40">
        <f>'2015_2020'!M9</f>
        <v>-1.17E-3</v>
      </c>
      <c r="P40">
        <f>'2015_2020'!N9</f>
        <v>-1.0399999999999999E-3</v>
      </c>
      <c r="Q40">
        <f>'2015_2020'!O9</f>
        <v>-1.0499999999999999E-3</v>
      </c>
      <c r="R40">
        <f>'2015_2020'!P9</f>
        <v>-1.0300000000000001E-3</v>
      </c>
      <c r="S40">
        <f>'2015_2020'!Q9</f>
        <v>-1.0399999999999999E-3</v>
      </c>
      <c r="T40">
        <f>'2015_2020'!R9</f>
        <v>-1.01E-3</v>
      </c>
      <c r="U40">
        <f>'2015_2020'!S9</f>
        <v>-1.0200000000000001E-3</v>
      </c>
      <c r="V40">
        <f>'2015_2020'!T9</f>
        <v>-1.09E-3</v>
      </c>
      <c r="W40">
        <f>'2015_2020'!U9</f>
        <v>-1.08E-3</v>
      </c>
      <c r="X40">
        <f>'2015_2020'!V9</f>
        <v>-1.06E-3</v>
      </c>
      <c r="Y40">
        <f>'2015_2020'!W9</f>
        <v>-1.08E-3</v>
      </c>
      <c r="Z40">
        <f>'2015_2020'!X9</f>
        <v>-1.08E-3</v>
      </c>
      <c r="AA40">
        <f>'2015_2020'!Y9</f>
        <v>-1.1199999999999999E-3</v>
      </c>
      <c r="AB40">
        <f>'2015_2020'!Z9</f>
        <v>-1.23E-3</v>
      </c>
      <c r="AC40">
        <f>'2015_2020'!AA9</f>
        <v>-1.2999999999999999E-3</v>
      </c>
      <c r="AD40">
        <f>'2015_2020'!AB9</f>
        <v>-1.3699999999999999E-3</v>
      </c>
      <c r="AE40">
        <f>'2015_2020'!AC9</f>
        <v>-1.4400000000000001E-3</v>
      </c>
      <c r="AF40">
        <f>'2015_2020'!AD9</f>
        <v>-1.5499999999999999E-3</v>
      </c>
      <c r="AG40">
        <f>'2015_2020'!AE9</f>
        <v>-1.6299999999999999E-3</v>
      </c>
      <c r="AH40">
        <f>'2015_2020'!AF9</f>
        <v>-1.6999999999999999E-3</v>
      </c>
      <c r="AI40">
        <f>'2015_2020'!AG9</f>
        <v>-1.83E-3</v>
      </c>
      <c r="AJ40">
        <f>'2015_2020'!AH9</f>
        <v>-2.0300000000000001E-3</v>
      </c>
      <c r="AK40">
        <f>'2015_2020'!AI9</f>
        <v>-2.1700000000000001E-3</v>
      </c>
      <c r="AL40">
        <f>'2015_2020'!AJ9</f>
        <v>-2.31E-3</v>
      </c>
      <c r="AM40">
        <f>'2015_2020'!AK9</f>
        <v>-2.3999999999999998E-3</v>
      </c>
      <c r="AN40">
        <f>'2015_2020'!AL9</f>
        <v>-2.48E-3</v>
      </c>
      <c r="AO40">
        <f>'2015_2020'!AM9</f>
        <v>-2.5899999999999999E-3</v>
      </c>
      <c r="AP40">
        <f>'2015_2020'!AN9</f>
        <v>-2.5600000000000002E-3</v>
      </c>
      <c r="AQ40">
        <f>'2015_2020'!AO9</f>
        <v>-2.5400000000000002E-3</v>
      </c>
      <c r="AR40">
        <f>'2015_2020'!AP9</f>
        <v>-2.5300000000000001E-3</v>
      </c>
      <c r="AS40">
        <f>'2015_2020'!AQ9</f>
        <v>-2.5500000000000002E-3</v>
      </c>
      <c r="AT40">
        <f>'2015_2020'!AR9</f>
        <v>-2.5899999999999999E-3</v>
      </c>
      <c r="AU40">
        <f>'2015_2020'!AS9</f>
        <v>-2.5899999999999999E-3</v>
      </c>
      <c r="AV40">
        <f>'2015_2020'!AT9</f>
        <v>-2.7100000000000002E-3</v>
      </c>
      <c r="AW40">
        <f>'2015_2020'!AU9</f>
        <v>-2.8999999999999998E-3</v>
      </c>
      <c r="AX40">
        <f>'2015_2020'!AV9</f>
        <v>-3.0799999999999998E-3</v>
      </c>
      <c r="AY40">
        <f>'2015_2020'!AW9</f>
        <v>-3.1700000000000001E-3</v>
      </c>
      <c r="AZ40">
        <f>'2015_2020'!AX9</f>
        <v>-3.2399999999999998E-3</v>
      </c>
      <c r="BA40">
        <f>'2015_2020'!AY9</f>
        <v>-3.3300000000000001E-3</v>
      </c>
      <c r="BB40">
        <f>'2015_2020'!AZ9</f>
        <v>-3.3600000000000001E-3</v>
      </c>
      <c r="BC40">
        <f>'2015_2020'!BA9</f>
        <v>-3.2799999999999999E-3</v>
      </c>
      <c r="BD40">
        <f>'2015_2020'!BB9</f>
        <v>-3.2599999999999999E-3</v>
      </c>
      <c r="BE40">
        <f>'2015_2020'!BC9</f>
        <v>-3.2699999999999999E-3</v>
      </c>
      <c r="BF40">
        <f>'2015_2020'!BD9</f>
        <v>-3.3E-3</v>
      </c>
      <c r="BG40">
        <f>'2015_2020'!BE9</f>
        <v>-3.2699999999999999E-3</v>
      </c>
      <c r="BH40">
        <f>'2015_2020'!BF9</f>
        <v>-3.2200000000000002E-3</v>
      </c>
      <c r="BI40">
        <f>'2015_2020'!BG9</f>
        <v>-3.29E-3</v>
      </c>
      <c r="BJ40">
        <f>'2015_2020'!BH9</f>
        <v>-3.3300000000000001E-3</v>
      </c>
      <c r="BK40">
        <f>'2015_2020'!BI9</f>
        <v>-3.3899999999999998E-3</v>
      </c>
      <c r="BL40">
        <f>'2015_2020'!BJ9</f>
        <v>-3.3999999999999998E-3</v>
      </c>
      <c r="BM40">
        <f>'2015_2020'!BK9</f>
        <v>-3.4099999999999998E-3</v>
      </c>
      <c r="BN40">
        <f>'2015_2020'!BL9</f>
        <v>-3.3899999999999998E-3</v>
      </c>
      <c r="BO40">
        <f>'2015_2020'!BM9</f>
        <v>-3.3300000000000001E-3</v>
      </c>
      <c r="BP40">
        <f>'2015_2020'!BN9</f>
        <v>-3.29E-3</v>
      </c>
      <c r="BQ40">
        <f>'2015_2020'!BO9</f>
        <v>-3.29E-3</v>
      </c>
      <c r="BR40">
        <f>'2015_2020'!BP9</f>
        <v>-3.2399999999999998E-3</v>
      </c>
      <c r="BS40">
        <f>'2015_2020'!BQ9</f>
        <v>-3.3999999999999998E-3</v>
      </c>
      <c r="BT40">
        <f>'2015_2020'!BR9</f>
        <v>-3.5300000000000002E-3</v>
      </c>
      <c r="BU40">
        <f>'2015_2020'!BS9</f>
        <v>-3.7000000000000002E-3</v>
      </c>
      <c r="BV40">
        <f>'2015_2020'!BT9</f>
        <v>-3.7699999999999999E-3</v>
      </c>
      <c r="BW40">
        <f>'2015_2020'!BU9</f>
        <v>-3.98E-3</v>
      </c>
      <c r="BX40">
        <f>'2015_2020'!BV9</f>
        <v>-4.0099999999999997E-3</v>
      </c>
      <c r="BY40">
        <f>'2015_2020'!BW9</f>
        <v>-3.8899999999999998E-3</v>
      </c>
      <c r="BZ40">
        <f>'2015_2020'!BX9</f>
        <v>-3.5100000000000001E-3</v>
      </c>
      <c r="CA40">
        <f>'2015_2020'!BY9</f>
        <v>-3.4199999999999999E-3</v>
      </c>
      <c r="CB40">
        <f>'2015_2020'!BZ9</f>
        <v>-3.4099999999999998E-3</v>
      </c>
      <c r="CC40">
        <f>'2015_2020'!CA9</f>
        <v>-3.4099999999999998E-3</v>
      </c>
      <c r="CD40">
        <f>'2015_2020'!CB9</f>
        <v>-3.5300000000000002E-3</v>
      </c>
      <c r="CE40">
        <f>'2015_2020'!CC9</f>
        <v>-4.3800000000000002E-3</v>
      </c>
      <c r="CF40">
        <f>'2015_2020'!CD9</f>
        <v>-4.6299999999999996E-3</v>
      </c>
      <c r="CG40">
        <f>'2015_2020'!CE9</f>
        <v>-4.47E-3</v>
      </c>
      <c r="CH40">
        <f>'2015_2020'!CF9</f>
        <v>-4.2199999999999998E-3</v>
      </c>
      <c r="CI40">
        <f>'2015_2020'!CG9</f>
        <v>-4.2500000000000003E-3</v>
      </c>
      <c r="CJ40">
        <f>'2015_2020'!CH9</f>
        <v>-4.4099999999999999E-3</v>
      </c>
      <c r="CK40">
        <f>'2015_2020'!CI9</f>
        <v>-4.1700000000000001E-3</v>
      </c>
      <c r="CL40">
        <f>'2015_2020'!CJ9</f>
        <v>-4.0299999999999997E-3</v>
      </c>
      <c r="CM40">
        <f>'2015_2020'!CK9</f>
        <v>-4.1200000000000004E-3</v>
      </c>
      <c r="CN40">
        <f>'2015_2020'!CL9</f>
        <v>-4.8700000000000002E-3</v>
      </c>
      <c r="CO40">
        <f>'2015_2020'!CM9</f>
        <v>-4.9100000000000003E-3</v>
      </c>
      <c r="CP40">
        <f>'2015_2020'!CN9</f>
        <v>-4.13E-3</v>
      </c>
      <c r="CQ40">
        <f>'2015_2020'!CO9</f>
        <v>-4.0800000000000003E-3</v>
      </c>
      <c r="CR40">
        <f>'2015_2020'!CP9</f>
        <v>-5.2700000000000004E-3</v>
      </c>
      <c r="CS40">
        <f>'2015_2020'!CQ9</f>
        <v>-4.4900000000000001E-3</v>
      </c>
      <c r="CT40">
        <f>'2015_2020'!CR9</f>
        <v>-5.5199999999999997E-3</v>
      </c>
      <c r="CU40">
        <f>'2015_2020'!CS9</f>
        <v>-5.7200000000000003E-3</v>
      </c>
      <c r="CV40">
        <f>'2015_2020'!CT9</f>
        <v>-5.6699999999999997E-3</v>
      </c>
      <c r="CW40">
        <f>'2015_2020'!CU9</f>
        <v>-5.8100000000000001E-3</v>
      </c>
      <c r="CX40">
        <f>'2015_2020'!CV9</f>
        <v>-5.4799999999999996E-3</v>
      </c>
    </row>
    <row r="41" spans="1:102" x14ac:dyDescent="0.2">
      <c r="A41" t="s">
        <v>211</v>
      </c>
      <c r="B41" t="s">
        <v>218</v>
      </c>
      <c r="C41" t="s">
        <v>221</v>
      </c>
      <c r="D41">
        <f>'2015_2020'!B10</f>
        <v>-1.4E-3</v>
      </c>
      <c r="E41">
        <f>'2015_2020'!C10</f>
        <v>-1.8500000000000001E-3</v>
      </c>
      <c r="F41">
        <f>'2015_2020'!D10</f>
        <v>-1.2099999999999999E-3</v>
      </c>
      <c r="G41">
        <f>'2015_2020'!E10</f>
        <v>-1.3500000000000001E-3</v>
      </c>
      <c r="H41">
        <f>'2015_2020'!F10</f>
        <v>-1.0399999999999999E-3</v>
      </c>
      <c r="I41">
        <f>'2015_2020'!G10</f>
        <v>-1.2099999999999999E-3</v>
      </c>
      <c r="J41">
        <f>'2015_2020'!H10</f>
        <v>-1.2899999999999999E-3</v>
      </c>
      <c r="K41">
        <f>'2015_2020'!I10</f>
        <v>-1.24E-3</v>
      </c>
      <c r="L41">
        <f>'2015_2020'!J10</f>
        <v>-1.2899999999999999E-3</v>
      </c>
      <c r="M41">
        <f>'2015_2020'!K10</f>
        <v>-1.06E-3</v>
      </c>
      <c r="N41">
        <f>'2015_2020'!L10</f>
        <v>-8.6899999999999998E-4</v>
      </c>
      <c r="O41">
        <f>'2015_2020'!M10</f>
        <v>-6.0599999999999998E-4</v>
      </c>
      <c r="P41">
        <f>'2015_2020'!N10</f>
        <v>-6.5399999999999996E-4</v>
      </c>
      <c r="Q41">
        <f>'2015_2020'!O10</f>
        <v>-7.3700000000000002E-4</v>
      </c>
      <c r="R41">
        <f>'2015_2020'!P10</f>
        <v>-6.8000000000000005E-4</v>
      </c>
      <c r="S41">
        <f>'2015_2020'!Q10</f>
        <v>-6.0300000000000002E-4</v>
      </c>
      <c r="T41">
        <f>'2015_2020'!R10</f>
        <v>-6.5099999999999999E-4</v>
      </c>
      <c r="U41">
        <f>'2015_2020'!S10</f>
        <v>-6.5899999999999997E-4</v>
      </c>
      <c r="V41">
        <f>'2015_2020'!T10</f>
        <v>-7.2400000000000003E-4</v>
      </c>
      <c r="W41">
        <f>'2015_2020'!U10</f>
        <v>-7.2900000000000005E-4</v>
      </c>
      <c r="X41">
        <f>'2015_2020'!V10</f>
        <v>-6.6200000000000005E-4</v>
      </c>
      <c r="Y41">
        <f>'2015_2020'!W10</f>
        <v>-6.9499999999999998E-4</v>
      </c>
      <c r="Z41">
        <f>'2015_2020'!X10</f>
        <v>-6.9200000000000002E-4</v>
      </c>
      <c r="AA41">
        <f>'2015_2020'!Y10</f>
        <v>-7.5100000000000004E-4</v>
      </c>
      <c r="AB41">
        <f>'2015_2020'!Z10</f>
        <v>-9.1100000000000003E-4</v>
      </c>
      <c r="AC41">
        <f>'2015_2020'!AA10</f>
        <v>-9.7900000000000005E-4</v>
      </c>
      <c r="AD41">
        <f>'2015_2020'!AB10</f>
        <v>-9.7400000000000004E-4</v>
      </c>
      <c r="AE41">
        <f>'2015_2020'!AC10</f>
        <v>-9.7499999999999996E-4</v>
      </c>
      <c r="AF41">
        <f>'2015_2020'!AD10</f>
        <v>-9.3999999999999997E-4</v>
      </c>
      <c r="AG41">
        <f>'2015_2020'!AE10</f>
        <v>-1E-3</v>
      </c>
      <c r="AH41">
        <f>'2015_2020'!AF10</f>
        <v>-1.08E-3</v>
      </c>
      <c r="AI41">
        <f>'2015_2020'!AG10</f>
        <v>-1.16E-3</v>
      </c>
      <c r="AJ41">
        <f>'2015_2020'!AH10</f>
        <v>-1.2899999999999999E-3</v>
      </c>
      <c r="AK41">
        <f>'2015_2020'!AI10</f>
        <v>-1.4E-3</v>
      </c>
      <c r="AL41">
        <f>'2015_2020'!AJ10</f>
        <v>-1.5E-3</v>
      </c>
      <c r="AM41">
        <f>'2015_2020'!AK10</f>
        <v>-1.57E-3</v>
      </c>
      <c r="AN41">
        <f>'2015_2020'!AL10</f>
        <v>-1.5900000000000001E-3</v>
      </c>
      <c r="AO41">
        <f>'2015_2020'!AM10</f>
        <v>-1.5E-3</v>
      </c>
      <c r="AP41">
        <f>'2015_2020'!AN10</f>
        <v>-1.5100000000000001E-3</v>
      </c>
      <c r="AQ41">
        <f>'2015_2020'!AO10</f>
        <v>-1.5E-3</v>
      </c>
      <c r="AR41">
        <f>'2015_2020'!AP10</f>
        <v>-1.6299999999999999E-3</v>
      </c>
      <c r="AS41">
        <f>'2015_2020'!AQ10</f>
        <v>-1.7099999999999999E-3</v>
      </c>
      <c r="AT41">
        <f>'2015_2020'!AR10</f>
        <v>-1.72E-3</v>
      </c>
      <c r="AU41">
        <f>'2015_2020'!AS10</f>
        <v>-1.72E-3</v>
      </c>
      <c r="AV41">
        <f>'2015_2020'!AT10</f>
        <v>-1.6000000000000001E-3</v>
      </c>
      <c r="AW41">
        <f>'2015_2020'!AU10</f>
        <v>-1.6900000000000001E-3</v>
      </c>
      <c r="AX41">
        <f>'2015_2020'!AV10</f>
        <v>-1.7700000000000001E-3</v>
      </c>
      <c r="AY41">
        <f>'2015_2020'!AW10</f>
        <v>-1.8699999999999999E-3</v>
      </c>
      <c r="AZ41">
        <f>'2015_2020'!AX10</f>
        <v>-1.9E-3</v>
      </c>
      <c r="BA41">
        <f>'2015_2020'!AY10</f>
        <v>-1.89E-3</v>
      </c>
      <c r="BB41">
        <f>'2015_2020'!AZ10</f>
        <v>-1.9499999999999999E-3</v>
      </c>
      <c r="BC41">
        <f>'2015_2020'!BA10</f>
        <v>-1.97E-3</v>
      </c>
      <c r="BD41">
        <f>'2015_2020'!BB10</f>
        <v>-2.0799999999999998E-3</v>
      </c>
      <c r="BE41">
        <f>'2015_2020'!BC10</f>
        <v>-2.0799999999999998E-3</v>
      </c>
      <c r="BF41">
        <f>'2015_2020'!BD10</f>
        <v>-1.92E-3</v>
      </c>
      <c r="BG41">
        <f>'2015_2020'!BE10</f>
        <v>-2E-3</v>
      </c>
      <c r="BH41">
        <f>'2015_2020'!BF10</f>
        <v>-2E-3</v>
      </c>
      <c r="BI41">
        <f>'2015_2020'!BG10</f>
        <v>-2.1199999999999999E-3</v>
      </c>
      <c r="BJ41">
        <f>'2015_2020'!BH10</f>
        <v>-2.1800000000000001E-3</v>
      </c>
      <c r="BK41">
        <f>'2015_2020'!BI10</f>
        <v>-2.2300000000000002E-3</v>
      </c>
      <c r="BL41">
        <f>'2015_2020'!BJ10</f>
        <v>-2.2100000000000002E-3</v>
      </c>
      <c r="BM41">
        <f>'2015_2020'!BK10</f>
        <v>-2.2699999999999999E-3</v>
      </c>
      <c r="BN41">
        <f>'2015_2020'!BL10</f>
        <v>-2.2300000000000002E-3</v>
      </c>
      <c r="BO41">
        <f>'2015_2020'!BM10</f>
        <v>-2.2399999999999998E-3</v>
      </c>
      <c r="BP41">
        <f>'2015_2020'!BN10</f>
        <v>-2.4099999999999998E-3</v>
      </c>
      <c r="BQ41">
        <f>'2015_2020'!BO10</f>
        <v>-2.4199999999999998E-3</v>
      </c>
      <c r="BR41">
        <f>'2015_2020'!BP10</f>
        <v>-2.2699999999999999E-3</v>
      </c>
      <c r="BS41">
        <f>'2015_2020'!BQ10</f>
        <v>-2.4499999999999999E-3</v>
      </c>
      <c r="BT41">
        <f>'2015_2020'!BR10</f>
        <v>-2.5999999999999999E-3</v>
      </c>
      <c r="BU41">
        <f>'2015_2020'!BS10</f>
        <v>-2.6700000000000001E-3</v>
      </c>
      <c r="BV41">
        <f>'2015_2020'!BT10</f>
        <v>-2.8400000000000001E-3</v>
      </c>
      <c r="BW41">
        <f>'2015_2020'!BU10</f>
        <v>-3.0599999999999998E-3</v>
      </c>
      <c r="BX41">
        <f>'2015_2020'!BV10</f>
        <v>-3.2200000000000002E-3</v>
      </c>
      <c r="BY41">
        <f>'2015_2020'!BW10</f>
        <v>-3.2100000000000002E-3</v>
      </c>
      <c r="BZ41">
        <f>'2015_2020'!BX10</f>
        <v>-2.8999999999999998E-3</v>
      </c>
      <c r="CA41">
        <f>'2015_2020'!BY10</f>
        <v>-3.0000000000000001E-3</v>
      </c>
      <c r="CB41">
        <f>'2015_2020'!BZ10</f>
        <v>-3.0500000000000002E-3</v>
      </c>
      <c r="CC41">
        <f>'2015_2020'!CA10</f>
        <v>-3.0500000000000002E-3</v>
      </c>
      <c r="CD41">
        <f>'2015_2020'!CB10</f>
        <v>-2.8E-3</v>
      </c>
      <c r="CE41">
        <f>'2015_2020'!CC10</f>
        <v>-3.5599999999999998E-3</v>
      </c>
      <c r="CF41">
        <f>'2015_2020'!CD10</f>
        <v>-3.8500000000000001E-3</v>
      </c>
      <c r="CG41">
        <f>'2015_2020'!CE10</f>
        <v>-3.7499999999999999E-3</v>
      </c>
      <c r="CH41">
        <f>'2015_2020'!CF10</f>
        <v>-3.82E-3</v>
      </c>
      <c r="CI41">
        <f>'2015_2020'!CG10</f>
        <v>-3.79E-3</v>
      </c>
      <c r="CJ41">
        <f>'2015_2020'!CH10</f>
        <v>-3.9300000000000003E-3</v>
      </c>
      <c r="CK41">
        <f>'2015_2020'!CI10</f>
        <v>-3.79E-3</v>
      </c>
      <c r="CL41">
        <f>'2015_2020'!CJ10</f>
        <v>-4.0200000000000001E-3</v>
      </c>
      <c r="CM41">
        <f>'2015_2020'!CK10</f>
        <v>-3.9899999999999996E-3</v>
      </c>
      <c r="CN41">
        <f>'2015_2020'!CL10</f>
        <v>-4.8700000000000002E-3</v>
      </c>
      <c r="CO41">
        <f>'2015_2020'!CM10</f>
        <v>-5.0600000000000003E-3</v>
      </c>
      <c r="CP41">
        <f>'2015_2020'!CN10</f>
        <v>-4.62E-3</v>
      </c>
      <c r="CQ41">
        <f>'2015_2020'!CO10</f>
        <v>-4.2100000000000002E-3</v>
      </c>
      <c r="CR41">
        <f>'2015_2020'!CP10</f>
        <v>-5.4900000000000001E-3</v>
      </c>
      <c r="CS41">
        <f>'2015_2020'!CQ10</f>
        <v>-4.5500000000000002E-3</v>
      </c>
      <c r="CT41">
        <f>'2015_2020'!CR10</f>
        <v>-5.3800000000000002E-3</v>
      </c>
      <c r="CU41">
        <f>'2015_2020'!CS10</f>
        <v>-5.8799999999999998E-3</v>
      </c>
      <c r="CV41">
        <f>'2015_2020'!CT10</f>
        <v>-5.94E-3</v>
      </c>
      <c r="CW41">
        <f>'2015_2020'!CU10</f>
        <v>-6.0899999999999999E-3</v>
      </c>
      <c r="CX41">
        <f>'2015_2020'!CV10</f>
        <v>-5.9899999999999997E-3</v>
      </c>
    </row>
    <row r="42" spans="1:102" x14ac:dyDescent="0.2">
      <c r="A42" t="s">
        <v>212</v>
      </c>
      <c r="B42" t="s">
        <v>218</v>
      </c>
      <c r="C42" t="s">
        <v>221</v>
      </c>
      <c r="D42">
        <f>'2015_2020'!B11</f>
        <v>7.3499999999999998E-3</v>
      </c>
      <c r="E42">
        <f>'2015_2020'!C11</f>
        <v>8.7399999999999995E-3</v>
      </c>
      <c r="F42">
        <f>'2015_2020'!D11</f>
        <v>7.1999999999999998E-3</v>
      </c>
      <c r="G42">
        <f>'2015_2020'!E11</f>
        <v>7.0099999999999997E-3</v>
      </c>
      <c r="H42">
        <f>'2015_2020'!F11</f>
        <v>5.5399999999999998E-3</v>
      </c>
      <c r="I42">
        <f>'2015_2020'!G11</f>
        <v>5.7299999999999999E-3</v>
      </c>
      <c r="J42">
        <f>'2015_2020'!H11</f>
        <v>4.9899999999999996E-3</v>
      </c>
      <c r="K42">
        <f>'2015_2020'!I11</f>
        <v>4.5799999999999999E-3</v>
      </c>
      <c r="L42">
        <f>'2015_2020'!J11</f>
        <v>4.3600000000000002E-3</v>
      </c>
      <c r="M42">
        <f>'2015_2020'!K11</f>
        <v>3.3800000000000002E-3</v>
      </c>
      <c r="N42">
        <f>'2015_2020'!L11</f>
        <v>2.6800000000000001E-3</v>
      </c>
      <c r="O42">
        <f>'2015_2020'!M11</f>
        <v>2.0100000000000001E-3</v>
      </c>
      <c r="P42">
        <f>'2015_2020'!N11</f>
        <v>1.75E-3</v>
      </c>
      <c r="Q42">
        <f>'2015_2020'!O11</f>
        <v>1.6100000000000001E-3</v>
      </c>
      <c r="R42">
        <f>'2015_2020'!P11</f>
        <v>1.5200000000000001E-3</v>
      </c>
      <c r="S42">
        <f>'2015_2020'!Q11</f>
        <v>1.3799999999999999E-3</v>
      </c>
      <c r="T42">
        <f>'2015_2020'!R11</f>
        <v>1.24E-3</v>
      </c>
      <c r="U42">
        <f>'2015_2020'!S11</f>
        <v>1.1299999999999999E-3</v>
      </c>
      <c r="V42">
        <f>'2015_2020'!T11</f>
        <v>1.1100000000000001E-3</v>
      </c>
      <c r="W42">
        <f>'2015_2020'!U11</f>
        <v>1.07E-3</v>
      </c>
      <c r="X42">
        <f>'2015_2020'!V11</f>
        <v>1.0200000000000001E-3</v>
      </c>
      <c r="Y42">
        <f>'2015_2020'!W11</f>
        <v>9.7099999999999997E-4</v>
      </c>
      <c r="Z42">
        <f>'2015_2020'!X11</f>
        <v>9.2299999999999999E-4</v>
      </c>
      <c r="AA42">
        <f>'2015_2020'!Y11</f>
        <v>9.3099999999999997E-4</v>
      </c>
      <c r="AB42">
        <f>'2015_2020'!Z11</f>
        <v>9.5100000000000002E-4</v>
      </c>
      <c r="AC42">
        <f>'2015_2020'!AA11</f>
        <v>9.5E-4</v>
      </c>
      <c r="AD42">
        <f>'2015_2020'!AB11</f>
        <v>9.3999999999999997E-4</v>
      </c>
      <c r="AE42">
        <f>'2015_2020'!AC11</f>
        <v>9.3800000000000003E-4</v>
      </c>
      <c r="AF42">
        <f>'2015_2020'!AD11</f>
        <v>9.2299999999999999E-4</v>
      </c>
      <c r="AG42">
        <f>'2015_2020'!AE11</f>
        <v>9.1399999999999999E-4</v>
      </c>
      <c r="AH42">
        <f>'2015_2020'!AF11</f>
        <v>9.3199999999999999E-4</v>
      </c>
      <c r="AI42">
        <f>'2015_2020'!AG11</f>
        <v>9.4799999999999995E-4</v>
      </c>
      <c r="AJ42">
        <f>'2015_2020'!AH11</f>
        <v>1.0300000000000001E-3</v>
      </c>
      <c r="AK42">
        <f>'2015_2020'!AI11</f>
        <v>1.0399999999999999E-3</v>
      </c>
      <c r="AL42">
        <f>'2015_2020'!AJ11</f>
        <v>1.0300000000000001E-3</v>
      </c>
      <c r="AM42">
        <f>'2015_2020'!AK11</f>
        <v>1.0200000000000001E-3</v>
      </c>
      <c r="AN42">
        <f>'2015_2020'!AL11</f>
        <v>1E-3</v>
      </c>
      <c r="AO42">
        <f>'2015_2020'!AM11</f>
        <v>9.9400000000000009E-4</v>
      </c>
      <c r="AP42">
        <f>'2015_2020'!AN11</f>
        <v>9.5500000000000001E-4</v>
      </c>
      <c r="AQ42">
        <f>'2015_2020'!AO11</f>
        <v>9.7199999999999999E-4</v>
      </c>
      <c r="AR42">
        <f>'2015_2020'!AP11</f>
        <v>9.6400000000000001E-4</v>
      </c>
      <c r="AS42">
        <f>'2015_2020'!AQ11</f>
        <v>9.41E-4</v>
      </c>
      <c r="AT42">
        <f>'2015_2020'!AR11</f>
        <v>9.3499999999999996E-4</v>
      </c>
      <c r="AU42">
        <f>'2015_2020'!AS11</f>
        <v>9.3499999999999996E-4</v>
      </c>
      <c r="AV42">
        <f>'2015_2020'!AT11</f>
        <v>8.6399999999999997E-4</v>
      </c>
      <c r="AW42">
        <f>'2015_2020'!AU11</f>
        <v>8.9899999999999995E-4</v>
      </c>
      <c r="AX42">
        <f>'2015_2020'!AV11</f>
        <v>9.2199999999999997E-4</v>
      </c>
      <c r="AY42">
        <f>'2015_2020'!AW11</f>
        <v>9.2400000000000002E-4</v>
      </c>
      <c r="AZ42">
        <f>'2015_2020'!AX11</f>
        <v>9.2400000000000002E-4</v>
      </c>
      <c r="BA42">
        <f>'2015_2020'!AY11</f>
        <v>9.5299999999999996E-4</v>
      </c>
      <c r="BB42">
        <f>'2015_2020'!AZ11</f>
        <v>9.6199999999999996E-4</v>
      </c>
      <c r="BC42">
        <f>'2015_2020'!BA11</f>
        <v>9.4200000000000002E-4</v>
      </c>
      <c r="BD42">
        <f>'2015_2020'!BB11</f>
        <v>9.1600000000000004E-4</v>
      </c>
      <c r="BE42">
        <f>'2015_2020'!BC11</f>
        <v>9.0300000000000005E-4</v>
      </c>
      <c r="BF42">
        <f>'2015_2020'!BD11</f>
        <v>8.4900000000000004E-4</v>
      </c>
      <c r="BG42">
        <f>'2015_2020'!BE11</f>
        <v>8.4999999999999995E-4</v>
      </c>
      <c r="BH42">
        <f>'2015_2020'!BF11</f>
        <v>8.34E-4</v>
      </c>
      <c r="BI42">
        <f>'2015_2020'!BG11</f>
        <v>8.4199999999999998E-4</v>
      </c>
      <c r="BJ42">
        <f>'2015_2020'!BH11</f>
        <v>8.3900000000000001E-4</v>
      </c>
      <c r="BK42">
        <f>'2015_2020'!BI11</f>
        <v>8.5099999999999998E-4</v>
      </c>
      <c r="BL42">
        <f>'2015_2020'!BJ11</f>
        <v>8.1999999999999998E-4</v>
      </c>
      <c r="BM42">
        <f>'2015_2020'!BK11</f>
        <v>8.1800000000000004E-4</v>
      </c>
      <c r="BN42">
        <f>'2015_2020'!BL11</f>
        <v>7.9299999999999998E-4</v>
      </c>
      <c r="BO42">
        <f>'2015_2020'!BM11</f>
        <v>7.9500000000000003E-4</v>
      </c>
      <c r="BP42">
        <f>'2015_2020'!BN11</f>
        <v>7.6199999999999998E-4</v>
      </c>
      <c r="BQ42">
        <f>'2015_2020'!BO11</f>
        <v>7.3999999999999999E-4</v>
      </c>
      <c r="BR42">
        <f>'2015_2020'!BP11</f>
        <v>6.8499999999999995E-4</v>
      </c>
      <c r="BS42">
        <f>'2015_2020'!BQ11</f>
        <v>7.2999999999999996E-4</v>
      </c>
      <c r="BT42">
        <f>'2015_2020'!BR11</f>
        <v>7.7399999999999995E-4</v>
      </c>
      <c r="BU42">
        <f>'2015_2020'!BS11</f>
        <v>7.9600000000000005E-4</v>
      </c>
      <c r="BV42">
        <f>'2015_2020'!BT11</f>
        <v>7.94E-4</v>
      </c>
      <c r="BW42">
        <f>'2015_2020'!BU11</f>
        <v>8.6700000000000004E-4</v>
      </c>
      <c r="BX42">
        <f>'2015_2020'!BV11</f>
        <v>8.8500000000000004E-4</v>
      </c>
      <c r="BY42">
        <f>'2015_2020'!BW11</f>
        <v>8.2600000000000002E-4</v>
      </c>
      <c r="BZ42">
        <f>'2015_2020'!BX11</f>
        <v>7.8200000000000003E-4</v>
      </c>
      <c r="CA42">
        <f>'2015_2020'!BY11</f>
        <v>7.2999999999999996E-4</v>
      </c>
      <c r="CB42">
        <f>'2015_2020'!BZ11</f>
        <v>6.8800000000000003E-4</v>
      </c>
      <c r="CC42">
        <f>'2015_2020'!CA11</f>
        <v>6.8800000000000003E-4</v>
      </c>
      <c r="CD42">
        <f>'2015_2020'!CB11</f>
        <v>6.7000000000000002E-4</v>
      </c>
      <c r="CE42">
        <f>'2015_2020'!CC11</f>
        <v>8.4900000000000004E-4</v>
      </c>
      <c r="CF42">
        <f>'2015_2020'!CD11</f>
        <v>8.8500000000000004E-4</v>
      </c>
      <c r="CG42">
        <f>'2015_2020'!CE11</f>
        <v>8.52E-4</v>
      </c>
      <c r="CH42">
        <f>'2015_2020'!CF11</f>
        <v>7.7700000000000002E-4</v>
      </c>
      <c r="CI42">
        <f>'2015_2020'!CG11</f>
        <v>7.4799999999999997E-4</v>
      </c>
      <c r="CJ42">
        <f>'2015_2020'!CH11</f>
        <v>6.8499999999999995E-4</v>
      </c>
      <c r="CK42">
        <f>'2015_2020'!CI11</f>
        <v>7.1400000000000001E-4</v>
      </c>
      <c r="CL42">
        <f>'2015_2020'!CJ11</f>
        <v>6.2799999999999998E-4</v>
      </c>
      <c r="CM42">
        <f>'2015_2020'!CK11</f>
        <v>6.38E-4</v>
      </c>
      <c r="CN42">
        <f>'2015_2020'!CL11</f>
        <v>7.0299999999999996E-4</v>
      </c>
      <c r="CO42">
        <f>'2015_2020'!CM11</f>
        <v>7.4600000000000003E-4</v>
      </c>
      <c r="CP42">
        <f>'2015_2020'!CN11</f>
        <v>6.8499999999999995E-4</v>
      </c>
      <c r="CQ42">
        <f>'2015_2020'!CO11</f>
        <v>5.9900000000000003E-4</v>
      </c>
      <c r="CR42">
        <f>'2015_2020'!CP11</f>
        <v>7.6000000000000004E-4</v>
      </c>
      <c r="CS42">
        <f>'2015_2020'!CQ11</f>
        <v>5.7200000000000003E-4</v>
      </c>
      <c r="CT42">
        <f>'2015_2020'!CR11</f>
        <v>6.4899999999999995E-4</v>
      </c>
      <c r="CU42">
        <f>'2015_2020'!CS11</f>
        <v>5.6400000000000005E-4</v>
      </c>
      <c r="CV42">
        <f>'2015_2020'!CT11</f>
        <v>7.1900000000000002E-4</v>
      </c>
      <c r="CW42">
        <f>'2015_2020'!CU11</f>
        <v>7.3700000000000002E-4</v>
      </c>
      <c r="CX42">
        <f>'2015_2020'!CV11</f>
        <v>9.8499999999999998E-4</v>
      </c>
    </row>
    <row r="43" spans="1:102" x14ac:dyDescent="0.2">
      <c r="A43" t="s">
        <v>213</v>
      </c>
      <c r="B43" t="s">
        <v>218</v>
      </c>
      <c r="C43" t="s">
        <v>221</v>
      </c>
      <c r="D43">
        <f>'2015_2020'!B12</f>
        <v>-2.5899999999999999E-2</v>
      </c>
      <c r="E43">
        <f>'2015_2020'!C12</f>
        <v>-3.6700000000000003E-2</v>
      </c>
      <c r="F43">
        <f>'2015_2020'!D12</f>
        <v>-3.3399999999999999E-2</v>
      </c>
      <c r="G43">
        <f>'2015_2020'!E12</f>
        <v>-3.56E-2</v>
      </c>
      <c r="H43">
        <f>'2015_2020'!F12</f>
        <v>-3.0700000000000002E-2</v>
      </c>
      <c r="I43">
        <f>'2015_2020'!G12</f>
        <v>-3.6700000000000003E-2</v>
      </c>
      <c r="J43">
        <f>'2015_2020'!H12</f>
        <v>-3.3799999999999997E-2</v>
      </c>
      <c r="K43">
        <f>'2015_2020'!I12</f>
        <v>-3.32E-2</v>
      </c>
      <c r="L43">
        <f>'2015_2020'!J12</f>
        <v>-3.3099999999999997E-2</v>
      </c>
      <c r="M43">
        <f>'2015_2020'!K12</f>
        <v>-2.6499999999999999E-2</v>
      </c>
      <c r="N43">
        <f>'2015_2020'!L12</f>
        <v>-2.18E-2</v>
      </c>
      <c r="O43">
        <f>'2015_2020'!M12</f>
        <v>-1.6400000000000001E-2</v>
      </c>
      <c r="P43">
        <f>'2015_2020'!N12</f>
        <v>-1.37E-2</v>
      </c>
      <c r="Q43">
        <f>'2015_2020'!O12</f>
        <v>-1.2500000000000001E-2</v>
      </c>
      <c r="R43">
        <f>'2015_2020'!P12</f>
        <v>-1.14E-2</v>
      </c>
      <c r="S43">
        <f>'2015_2020'!Q12</f>
        <v>-1.0699999999999999E-2</v>
      </c>
      <c r="T43">
        <f>'2015_2020'!R12</f>
        <v>-9.7000000000000003E-3</v>
      </c>
      <c r="U43">
        <f>'2015_2020'!S12</f>
        <v>-9.11E-3</v>
      </c>
      <c r="V43">
        <f>'2015_2020'!T12</f>
        <v>-8.1399999999999997E-3</v>
      </c>
      <c r="W43">
        <f>'2015_2020'!U12</f>
        <v>-7.43E-3</v>
      </c>
      <c r="X43">
        <f>'2015_2020'!V12</f>
        <v>-6.6299999999999996E-3</v>
      </c>
      <c r="Y43">
        <f>'2015_2020'!W12</f>
        <v>-6.0400000000000002E-3</v>
      </c>
      <c r="Z43">
        <f>'2015_2020'!X12</f>
        <v>-5.5399999999999998E-3</v>
      </c>
      <c r="AA43">
        <f>'2015_2020'!Y12</f>
        <v>-5.1700000000000001E-3</v>
      </c>
      <c r="AB43">
        <f>'2015_2020'!Z12</f>
        <v>-4.8799999999999998E-3</v>
      </c>
      <c r="AC43">
        <f>'2015_2020'!AA12</f>
        <v>-4.8900000000000002E-3</v>
      </c>
      <c r="AD43">
        <f>'2015_2020'!AB12</f>
        <v>-4.9800000000000001E-3</v>
      </c>
      <c r="AE43">
        <f>'2015_2020'!AC12</f>
        <v>-4.5700000000000003E-3</v>
      </c>
      <c r="AF43">
        <f>'2015_2020'!AD12</f>
        <v>-4.7000000000000002E-3</v>
      </c>
      <c r="AG43">
        <f>'2015_2020'!AE12</f>
        <v>-4.6299999999999996E-3</v>
      </c>
      <c r="AH43">
        <f>'2015_2020'!AF12</f>
        <v>-4.4200000000000003E-3</v>
      </c>
      <c r="AI43">
        <f>'2015_2020'!AG12</f>
        <v>-4.4600000000000004E-3</v>
      </c>
      <c r="AJ43">
        <f>'2015_2020'!AH12</f>
        <v>-4.4200000000000003E-3</v>
      </c>
      <c r="AK43">
        <f>'2015_2020'!AI12</f>
        <v>-4.4400000000000004E-3</v>
      </c>
      <c r="AL43">
        <f>'2015_2020'!AJ12</f>
        <v>-4.1900000000000001E-3</v>
      </c>
      <c r="AM43">
        <f>'2015_2020'!AK12</f>
        <v>-3.9399999999999999E-3</v>
      </c>
      <c r="AN43">
        <f>'2015_2020'!AL12</f>
        <v>-3.48E-3</v>
      </c>
      <c r="AO43">
        <f>'2015_2020'!AM12</f>
        <v>-3.0400000000000002E-3</v>
      </c>
      <c r="AP43">
        <f>'2015_2020'!AN12</f>
        <v>-2.7200000000000002E-3</v>
      </c>
      <c r="AQ43">
        <f>'2015_2020'!AO12</f>
        <v>-2.4499999999999999E-3</v>
      </c>
      <c r="AR43">
        <f>'2015_2020'!AP12</f>
        <v>-2.4299999999999999E-3</v>
      </c>
      <c r="AS43">
        <f>'2015_2020'!AQ12</f>
        <v>-2.4399999999999999E-3</v>
      </c>
      <c r="AT43">
        <f>'2015_2020'!AR12</f>
        <v>-2.2200000000000002E-3</v>
      </c>
      <c r="AU43">
        <f>'2015_2020'!AS12</f>
        <v>-2.2200000000000002E-3</v>
      </c>
      <c r="AV43">
        <f>'2015_2020'!AT12</f>
        <v>-2.0600000000000002E-3</v>
      </c>
      <c r="AW43">
        <f>'2015_2020'!AU12</f>
        <v>-2.1099999999999999E-3</v>
      </c>
      <c r="AX43">
        <f>'2015_2020'!AV12</f>
        <v>-2.1800000000000001E-3</v>
      </c>
      <c r="AY43">
        <f>'2015_2020'!AW12</f>
        <v>-1.9400000000000001E-3</v>
      </c>
      <c r="AZ43">
        <f>'2015_2020'!AX12</f>
        <v>-1.5200000000000001E-3</v>
      </c>
      <c r="BA43">
        <f>'2015_2020'!AY12</f>
        <v>-1.1299999999999999E-3</v>
      </c>
      <c r="BB43">
        <f>'2015_2020'!AZ12</f>
        <v>-1.0499999999999999E-3</v>
      </c>
      <c r="BC43">
        <f>'2015_2020'!BA12</f>
        <v>-6.7900000000000002E-4</v>
      </c>
      <c r="BD43">
        <f>'2015_2020'!BB12</f>
        <v>-5.8E-4</v>
      </c>
      <c r="BE43">
        <f>'2015_2020'!BC12</f>
        <v>-3.8000000000000002E-4</v>
      </c>
      <c r="BF43">
        <f>'2015_2020'!BD12</f>
        <v>3.3699999999999999E-5</v>
      </c>
      <c r="BG43">
        <f>'2015_2020'!BE12</f>
        <v>5.3300000000000001E-5</v>
      </c>
      <c r="BH43">
        <f>'2015_2020'!BF12</f>
        <v>1.1400000000000001E-4</v>
      </c>
      <c r="BI43">
        <f>'2015_2020'!BG12</f>
        <v>3.8400000000000001E-4</v>
      </c>
      <c r="BJ43">
        <f>'2015_2020'!BH12</f>
        <v>5.8399999999999999E-4</v>
      </c>
      <c r="BK43">
        <f>'2015_2020'!BI12</f>
        <v>4.9399999999999997E-4</v>
      </c>
      <c r="BL43">
        <f>'2015_2020'!BJ12</f>
        <v>4.57E-4</v>
      </c>
      <c r="BM43">
        <f>'2015_2020'!BK12</f>
        <v>6.87E-4</v>
      </c>
      <c r="BN43">
        <f>'2015_2020'!BL12</f>
        <v>8.61E-4</v>
      </c>
      <c r="BO43">
        <f>'2015_2020'!BM12</f>
        <v>1E-3</v>
      </c>
      <c r="BP43">
        <f>'2015_2020'!BN12</f>
        <v>9.7400000000000004E-4</v>
      </c>
      <c r="BQ43">
        <f>'2015_2020'!BO12</f>
        <v>1.0200000000000001E-3</v>
      </c>
      <c r="BR43">
        <f>'2015_2020'!BP12</f>
        <v>1.07E-3</v>
      </c>
      <c r="BS43">
        <f>'2015_2020'!BQ12</f>
        <v>1.1299999999999999E-3</v>
      </c>
      <c r="BT43">
        <f>'2015_2020'!BR12</f>
        <v>9.8799999999999995E-4</v>
      </c>
      <c r="BU43">
        <f>'2015_2020'!BS12</f>
        <v>1.17E-3</v>
      </c>
      <c r="BV43">
        <f>'2015_2020'!BT12</f>
        <v>1.1199999999999999E-3</v>
      </c>
      <c r="BW43">
        <f>'2015_2020'!BU12</f>
        <v>1.2899999999999999E-3</v>
      </c>
      <c r="BX43">
        <f>'2015_2020'!BV12</f>
        <v>1.41E-3</v>
      </c>
      <c r="BY43">
        <f>'2015_2020'!BW12</f>
        <v>1.8699999999999999E-3</v>
      </c>
      <c r="BZ43">
        <f>'2015_2020'!BX12</f>
        <v>1.9499999999999999E-3</v>
      </c>
      <c r="CA43">
        <f>'2015_2020'!BY12</f>
        <v>1.6000000000000001E-3</v>
      </c>
      <c r="CB43">
        <f>'2015_2020'!BZ12</f>
        <v>1.08E-3</v>
      </c>
      <c r="CC43">
        <f>'2015_2020'!CA12</f>
        <v>1.08E-3</v>
      </c>
      <c r="CD43">
        <f>'2015_2020'!CB12</f>
        <v>6.8300000000000001E-4</v>
      </c>
      <c r="CE43">
        <f>'2015_2020'!CC12</f>
        <v>8.4400000000000002E-4</v>
      </c>
      <c r="CF43">
        <f>'2015_2020'!CD12</f>
        <v>1.0499999999999999E-3</v>
      </c>
      <c r="CG43">
        <f>'2015_2020'!CE12</f>
        <v>8.2600000000000002E-4</v>
      </c>
      <c r="CH43">
        <f>'2015_2020'!CF12</f>
        <v>5.8200000000000005E-4</v>
      </c>
      <c r="CI43">
        <f>'2015_2020'!CG12</f>
        <v>4.2900000000000002E-4</v>
      </c>
      <c r="CJ43">
        <f>'2015_2020'!CH12</f>
        <v>-6.2799999999999995E-5</v>
      </c>
      <c r="CK43">
        <f>'2015_2020'!CI12</f>
        <v>-8.3200000000000003E-5</v>
      </c>
      <c r="CL43">
        <f>'2015_2020'!CJ12</f>
        <v>-2.05E-4</v>
      </c>
      <c r="CM43">
        <f>'2015_2020'!CK12</f>
        <v>-2.8299999999999999E-4</v>
      </c>
      <c r="CN43">
        <f>'2015_2020'!CL12</f>
        <v>-6.9700000000000003E-4</v>
      </c>
      <c r="CO43">
        <f>'2015_2020'!CM12</f>
        <v>-1.16E-3</v>
      </c>
      <c r="CP43">
        <f>'2015_2020'!CN12</f>
        <v>-7.9500000000000003E-4</v>
      </c>
      <c r="CQ43">
        <f>'2015_2020'!CO12</f>
        <v>-1.3600000000000001E-3</v>
      </c>
      <c r="CR43">
        <f>'2015_2020'!CP12</f>
        <v>-1.6100000000000001E-3</v>
      </c>
      <c r="CS43">
        <f>'2015_2020'!CQ12</f>
        <v>-1.08E-3</v>
      </c>
      <c r="CT43">
        <f>'2015_2020'!CR12</f>
        <v>-2.0600000000000002E-3</v>
      </c>
      <c r="CU43">
        <f>'2015_2020'!CS12</f>
        <v>-2.47E-3</v>
      </c>
      <c r="CV43">
        <f>'2015_2020'!CT12</f>
        <v>-2.49E-3</v>
      </c>
      <c r="CW43">
        <f>'2015_2020'!CU12</f>
        <v>-2.2100000000000002E-3</v>
      </c>
      <c r="CX43">
        <f>'2015_2020'!CV12</f>
        <v>-2.2799999999999999E-3</v>
      </c>
    </row>
    <row r="44" spans="1:102" x14ac:dyDescent="0.2">
      <c r="A44" t="s">
        <v>214</v>
      </c>
      <c r="B44" t="s">
        <v>218</v>
      </c>
      <c r="C44" t="s">
        <v>221</v>
      </c>
      <c r="D44">
        <f>'2015_2020'!B13</f>
        <v>1.2200000000000001E-2</v>
      </c>
      <c r="E44">
        <f>'2015_2020'!C13</f>
        <v>1.5100000000000001E-2</v>
      </c>
      <c r="F44">
        <f>'2015_2020'!D13</f>
        <v>1.24E-2</v>
      </c>
      <c r="G44">
        <f>'2015_2020'!E13</f>
        <v>1.17E-2</v>
      </c>
      <c r="H44">
        <f>'2015_2020'!F13</f>
        <v>1.0200000000000001E-2</v>
      </c>
      <c r="I44">
        <f>'2015_2020'!G13</f>
        <v>1.1299999999999999E-2</v>
      </c>
      <c r="J44">
        <f>'2015_2020'!H13</f>
        <v>9.7699999999999992E-3</v>
      </c>
      <c r="K44">
        <f>'2015_2020'!I13</f>
        <v>8.4600000000000005E-3</v>
      </c>
      <c r="L44">
        <f>'2015_2020'!J13</f>
        <v>8.5299999999999994E-3</v>
      </c>
      <c r="M44">
        <f>'2015_2020'!K13</f>
        <v>6.5900000000000004E-3</v>
      </c>
      <c r="N44">
        <f>'2015_2020'!L13</f>
        <v>5.1599999999999997E-3</v>
      </c>
      <c r="O44">
        <f>'2015_2020'!M13</f>
        <v>4.2199999999999998E-3</v>
      </c>
      <c r="P44">
        <f>'2015_2020'!N13</f>
        <v>3.7799999999999999E-3</v>
      </c>
      <c r="Q44">
        <f>'2015_2020'!O13</f>
        <v>3.3800000000000002E-3</v>
      </c>
      <c r="R44">
        <f>'2015_2020'!P13</f>
        <v>3.4099999999999998E-3</v>
      </c>
      <c r="S44">
        <f>'2015_2020'!Q13</f>
        <v>3.2799999999999999E-3</v>
      </c>
      <c r="T44">
        <f>'2015_2020'!R13</f>
        <v>3.2200000000000002E-3</v>
      </c>
      <c r="U44">
        <f>'2015_2020'!S13</f>
        <v>3.3500000000000001E-3</v>
      </c>
      <c r="V44">
        <f>'2015_2020'!T13</f>
        <v>3.0999999999999999E-3</v>
      </c>
      <c r="W44">
        <f>'2015_2020'!U13</f>
        <v>3.15E-3</v>
      </c>
      <c r="X44">
        <f>'2015_2020'!V13</f>
        <v>3.16E-3</v>
      </c>
      <c r="Y44">
        <f>'2015_2020'!W13</f>
        <v>3.0400000000000002E-3</v>
      </c>
      <c r="Z44">
        <f>'2015_2020'!X13</f>
        <v>2.9299999999999999E-3</v>
      </c>
      <c r="AA44">
        <f>'2015_2020'!Y13</f>
        <v>3.1700000000000001E-3</v>
      </c>
      <c r="AB44">
        <f>'2015_2020'!Z13</f>
        <v>2.8600000000000001E-3</v>
      </c>
      <c r="AC44">
        <f>'2015_2020'!AA13</f>
        <v>2.82E-3</v>
      </c>
      <c r="AD44">
        <f>'2015_2020'!AB13</f>
        <v>2.64E-3</v>
      </c>
      <c r="AE44">
        <f>'2015_2020'!AC13</f>
        <v>3.0599999999999998E-3</v>
      </c>
      <c r="AF44">
        <f>'2015_2020'!AD13</f>
        <v>3.0699999999999998E-3</v>
      </c>
      <c r="AG44">
        <f>'2015_2020'!AE13</f>
        <v>3.1700000000000001E-3</v>
      </c>
      <c r="AH44">
        <f>'2015_2020'!AF13</f>
        <v>3.3899999999999998E-3</v>
      </c>
      <c r="AI44">
        <f>'2015_2020'!AG13</f>
        <v>3.5300000000000002E-3</v>
      </c>
      <c r="AJ44">
        <f>'2015_2020'!AH13</f>
        <v>3.7799999999999999E-3</v>
      </c>
      <c r="AK44">
        <f>'2015_2020'!AI13</f>
        <v>3.9399999999999999E-3</v>
      </c>
      <c r="AL44">
        <f>'2015_2020'!AJ13</f>
        <v>3.9699999999999996E-3</v>
      </c>
      <c r="AM44">
        <f>'2015_2020'!AK13</f>
        <v>3.8700000000000002E-3</v>
      </c>
      <c r="AN44">
        <f>'2015_2020'!AL13</f>
        <v>3.8999999999999998E-3</v>
      </c>
      <c r="AO44">
        <f>'2015_2020'!AM13</f>
        <v>3.8500000000000001E-3</v>
      </c>
      <c r="AP44">
        <f>'2015_2020'!AN13</f>
        <v>3.7299999999999998E-3</v>
      </c>
      <c r="AQ44">
        <f>'2015_2020'!AO13</f>
        <v>3.5300000000000002E-3</v>
      </c>
      <c r="AR44">
        <f>'2015_2020'!AP13</f>
        <v>3.5799999999999998E-3</v>
      </c>
      <c r="AS44">
        <f>'2015_2020'!AQ13</f>
        <v>3.2100000000000002E-3</v>
      </c>
      <c r="AT44">
        <f>'2015_2020'!AR13</f>
        <v>3.0899999999999999E-3</v>
      </c>
      <c r="AU44">
        <f>'2015_2020'!AS13</f>
        <v>3.0899999999999999E-3</v>
      </c>
      <c r="AV44">
        <f>'2015_2020'!AT13</f>
        <v>3.2599999999999999E-3</v>
      </c>
      <c r="AW44">
        <f>'2015_2020'!AU13</f>
        <v>3.3500000000000001E-3</v>
      </c>
      <c r="AX44">
        <f>'2015_2020'!AV13</f>
        <v>3.47E-3</v>
      </c>
      <c r="AY44">
        <f>'2015_2020'!AW13</f>
        <v>3.4299999999999999E-3</v>
      </c>
      <c r="AZ44">
        <f>'2015_2020'!AX13</f>
        <v>3.4099999999999998E-3</v>
      </c>
      <c r="BA44">
        <f>'2015_2020'!AY13</f>
        <v>3.4099999999999998E-3</v>
      </c>
      <c r="BB44">
        <f>'2015_2020'!AZ13</f>
        <v>3.3500000000000001E-3</v>
      </c>
      <c r="BC44">
        <f>'2015_2020'!BA13</f>
        <v>3.3300000000000001E-3</v>
      </c>
      <c r="BD44">
        <f>'2015_2020'!BB13</f>
        <v>3.0500000000000002E-3</v>
      </c>
      <c r="BE44">
        <f>'2015_2020'!BC13</f>
        <v>2.8999999999999998E-3</v>
      </c>
      <c r="BF44">
        <f>'2015_2020'!BD13</f>
        <v>2.8999999999999998E-3</v>
      </c>
      <c r="BG44">
        <f>'2015_2020'!BE13</f>
        <v>2.8E-3</v>
      </c>
      <c r="BH44">
        <f>'2015_2020'!BF13</f>
        <v>2.8700000000000002E-3</v>
      </c>
      <c r="BI44">
        <f>'2015_2020'!BG13</f>
        <v>2.8900000000000002E-3</v>
      </c>
      <c r="BJ44">
        <f>'2015_2020'!BH13</f>
        <v>2.8900000000000002E-3</v>
      </c>
      <c r="BK44">
        <f>'2015_2020'!BI13</f>
        <v>2.7699999999999999E-3</v>
      </c>
      <c r="BL44">
        <f>'2015_2020'!BJ13</f>
        <v>2.7499999999999998E-3</v>
      </c>
      <c r="BM44">
        <f>'2015_2020'!BK13</f>
        <v>2.7200000000000002E-3</v>
      </c>
      <c r="BN44">
        <f>'2015_2020'!BL13</f>
        <v>2.65E-3</v>
      </c>
      <c r="BO44">
        <f>'2015_2020'!BM13</f>
        <v>2.5500000000000002E-3</v>
      </c>
      <c r="BP44">
        <f>'2015_2020'!BN13</f>
        <v>2.3800000000000002E-3</v>
      </c>
      <c r="BQ44">
        <f>'2015_2020'!BO13</f>
        <v>2.2499999999999998E-3</v>
      </c>
      <c r="BR44">
        <f>'2015_2020'!BP13</f>
        <v>2.2399999999999998E-3</v>
      </c>
      <c r="BS44">
        <f>'2015_2020'!BQ13</f>
        <v>2.3500000000000001E-3</v>
      </c>
      <c r="BT44">
        <f>'2015_2020'!BR13</f>
        <v>2.3E-3</v>
      </c>
      <c r="BU44">
        <f>'2015_2020'!BS13</f>
        <v>2.48E-3</v>
      </c>
      <c r="BV44">
        <f>'2015_2020'!BT13</f>
        <v>2.3600000000000001E-3</v>
      </c>
      <c r="BW44">
        <f>'2015_2020'!BU13</f>
        <v>2.47E-3</v>
      </c>
      <c r="BX44">
        <f>'2015_2020'!BV13</f>
        <v>2.3500000000000001E-3</v>
      </c>
      <c r="BY44">
        <f>'2015_2020'!BW13</f>
        <v>2.2000000000000001E-3</v>
      </c>
      <c r="BZ44">
        <f>'2015_2020'!BX13</f>
        <v>1.98E-3</v>
      </c>
      <c r="CA44">
        <f>'2015_2020'!BY13</f>
        <v>1.97E-3</v>
      </c>
      <c r="CB44">
        <f>'2015_2020'!BZ13</f>
        <v>1.4599999999999999E-3</v>
      </c>
      <c r="CC44">
        <f>'2015_2020'!CA13</f>
        <v>1.4599999999999999E-3</v>
      </c>
      <c r="CD44">
        <f>'2015_2020'!CB13</f>
        <v>1.5900000000000001E-3</v>
      </c>
      <c r="CE44">
        <f>'2015_2020'!CC13</f>
        <v>1.9E-3</v>
      </c>
      <c r="CF44">
        <f>'2015_2020'!CD13</f>
        <v>1.89E-3</v>
      </c>
      <c r="CG44">
        <f>'2015_2020'!CE13</f>
        <v>1.73E-3</v>
      </c>
      <c r="CH44">
        <f>'2015_2020'!CF13</f>
        <v>1.47E-3</v>
      </c>
      <c r="CI44">
        <f>'2015_2020'!CG13</f>
        <v>1.41E-3</v>
      </c>
      <c r="CJ44">
        <f>'2015_2020'!CH13</f>
        <v>1.39E-3</v>
      </c>
      <c r="CK44">
        <f>'2015_2020'!CI13</f>
        <v>1.2700000000000001E-3</v>
      </c>
      <c r="CL44">
        <f>'2015_2020'!CJ13</f>
        <v>8.7699999999999996E-4</v>
      </c>
      <c r="CM44">
        <f>'2015_2020'!CK13</f>
        <v>1.1199999999999999E-3</v>
      </c>
      <c r="CN44">
        <f>'2015_2020'!CL13</f>
        <v>1.1100000000000001E-3</v>
      </c>
      <c r="CO44">
        <f>'2015_2020'!CM13</f>
        <v>1.07E-3</v>
      </c>
      <c r="CP44">
        <f>'2015_2020'!CN13</f>
        <v>9.4200000000000002E-4</v>
      </c>
      <c r="CQ44">
        <f>'2015_2020'!CO13</f>
        <v>4.3199999999999998E-4</v>
      </c>
      <c r="CR44">
        <f>'2015_2020'!CP13</f>
        <v>5.3799999999999996E-4</v>
      </c>
      <c r="CS44">
        <f>'2015_2020'!CQ13</f>
        <v>2.1800000000000001E-4</v>
      </c>
      <c r="CT44">
        <f>'2015_2020'!CR13</f>
        <v>3.6999999999999999E-4</v>
      </c>
      <c r="CU44">
        <f>'2015_2020'!CS13</f>
        <v>2.9599999999999998E-4</v>
      </c>
      <c r="CV44">
        <f>'2015_2020'!CT13</f>
        <v>-2.5199999999999999E-5</v>
      </c>
      <c r="CW44">
        <f>'2015_2020'!CU13</f>
        <v>-2.34E-4</v>
      </c>
      <c r="CX44">
        <f>'2015_2020'!CV13</f>
        <v>-7.6600000000000005E-5</v>
      </c>
    </row>
    <row r="45" spans="1:102" x14ac:dyDescent="0.2">
      <c r="A45" t="s">
        <v>215</v>
      </c>
      <c r="B45" t="s">
        <v>218</v>
      </c>
      <c r="C45" t="s">
        <v>221</v>
      </c>
      <c r="D45">
        <f>'2015_2020'!B14</f>
        <v>9.4599999999999997E-3</v>
      </c>
      <c r="E45">
        <f>'2015_2020'!C14</f>
        <v>1.17E-2</v>
      </c>
      <c r="F45">
        <f>'2015_2020'!D14</f>
        <v>8.2299999999999995E-3</v>
      </c>
      <c r="G45">
        <f>'2015_2020'!E14</f>
        <v>7.77E-3</v>
      </c>
      <c r="H45">
        <f>'2015_2020'!F14</f>
        <v>5.2599999999999999E-3</v>
      </c>
      <c r="I45">
        <f>'2015_2020'!G14</f>
        <v>5.9699999999999996E-3</v>
      </c>
      <c r="J45">
        <f>'2015_2020'!H14</f>
        <v>4.28E-3</v>
      </c>
      <c r="K45">
        <f>'2015_2020'!I14</f>
        <v>3.82E-3</v>
      </c>
      <c r="L45">
        <f>'2015_2020'!J14</f>
        <v>3.4399999999999999E-3</v>
      </c>
      <c r="M45">
        <f>'2015_2020'!K14</f>
        <v>1.74E-3</v>
      </c>
      <c r="N45">
        <f>'2015_2020'!L14</f>
        <v>1.31E-3</v>
      </c>
      <c r="O45">
        <f>'2015_2020'!M14</f>
        <v>1.01E-3</v>
      </c>
      <c r="P45">
        <f>'2015_2020'!N14</f>
        <v>6.8199999999999999E-4</v>
      </c>
      <c r="Q45">
        <f>'2015_2020'!O14</f>
        <v>4.0299999999999998E-4</v>
      </c>
      <c r="R45">
        <f>'2015_2020'!P14</f>
        <v>3.0199999999999999E-5</v>
      </c>
      <c r="S45">
        <f>'2015_2020'!Q14</f>
        <v>-1.35E-4</v>
      </c>
      <c r="T45">
        <f>'2015_2020'!R14</f>
        <v>-2.8799999999999999E-5</v>
      </c>
      <c r="U45">
        <f>'2015_2020'!S14</f>
        <v>1.7200000000000001E-4</v>
      </c>
      <c r="V45">
        <f>'2015_2020'!T14</f>
        <v>2.7399999999999999E-4</v>
      </c>
      <c r="W45">
        <f>'2015_2020'!U14</f>
        <v>4.08E-4</v>
      </c>
      <c r="X45">
        <f>'2015_2020'!V14</f>
        <v>4.4700000000000002E-4</v>
      </c>
      <c r="Y45">
        <f>'2015_2020'!W14</f>
        <v>3.0499999999999999E-4</v>
      </c>
      <c r="Z45">
        <f>'2015_2020'!X14</f>
        <v>1.16E-4</v>
      </c>
      <c r="AA45">
        <f>'2015_2020'!Y14</f>
        <v>9.8599999999999998E-5</v>
      </c>
      <c r="AB45">
        <f>'2015_2020'!Z14</f>
        <v>1.36E-4</v>
      </c>
      <c r="AC45">
        <f>'2015_2020'!AA14</f>
        <v>2.0900000000000001E-4</v>
      </c>
      <c r="AD45">
        <f>'2015_2020'!AB14</f>
        <v>2.8200000000000002E-4</v>
      </c>
      <c r="AE45">
        <f>'2015_2020'!AC14</f>
        <v>3.0899999999999998E-4</v>
      </c>
      <c r="AF45">
        <f>'2015_2020'!AD14</f>
        <v>3.9800000000000002E-4</v>
      </c>
      <c r="AG45">
        <f>'2015_2020'!AE14</f>
        <v>4.7600000000000002E-4</v>
      </c>
      <c r="AH45">
        <f>'2015_2020'!AF14</f>
        <v>3.9800000000000002E-4</v>
      </c>
      <c r="AI45">
        <f>'2015_2020'!AG14</f>
        <v>3.68E-4</v>
      </c>
      <c r="AJ45">
        <f>'2015_2020'!AH14</f>
        <v>2.8899999999999998E-4</v>
      </c>
      <c r="AK45">
        <f>'2015_2020'!AI14</f>
        <v>2.5899999999999999E-5</v>
      </c>
      <c r="AL45">
        <f>'2015_2020'!AJ14</f>
        <v>3.54E-5</v>
      </c>
      <c r="AM45">
        <f>'2015_2020'!AK14</f>
        <v>1.7899999999999999E-4</v>
      </c>
      <c r="AN45">
        <f>'2015_2020'!AL14</f>
        <v>2.1499999999999999E-4</v>
      </c>
      <c r="AO45">
        <f>'2015_2020'!AM14</f>
        <v>3.7500000000000001E-4</v>
      </c>
      <c r="AP45">
        <f>'2015_2020'!AN14</f>
        <v>2.0100000000000001E-4</v>
      </c>
      <c r="AQ45">
        <f>'2015_2020'!AO14</f>
        <v>1.0399999999999999E-4</v>
      </c>
      <c r="AR45">
        <f>'2015_2020'!AP14</f>
        <v>7.1000000000000005E-5</v>
      </c>
      <c r="AS45">
        <f>'2015_2020'!AQ14</f>
        <v>1.36E-4</v>
      </c>
      <c r="AT45">
        <f>'2015_2020'!AR14</f>
        <v>1.1E-4</v>
      </c>
      <c r="AU45">
        <f>'2015_2020'!AS14</f>
        <v>1.1E-4</v>
      </c>
      <c r="AV45">
        <f>'2015_2020'!AT14</f>
        <v>4.4299999999999998E-4</v>
      </c>
      <c r="AW45">
        <f>'2015_2020'!AU14</f>
        <v>1.8000000000000001E-4</v>
      </c>
      <c r="AX45">
        <f>'2015_2020'!AV14</f>
        <v>1.02E-4</v>
      </c>
      <c r="AY45">
        <f>'2015_2020'!AW14</f>
        <v>3.0600000000000001E-4</v>
      </c>
      <c r="AZ45">
        <f>'2015_2020'!AX14</f>
        <v>3.0699999999999998E-4</v>
      </c>
      <c r="BA45">
        <f>'2015_2020'!AY14</f>
        <v>3.5799999999999997E-4</v>
      </c>
      <c r="BB45">
        <f>'2015_2020'!AZ14</f>
        <v>7.9300000000000003E-5</v>
      </c>
      <c r="BC45">
        <f>'2015_2020'!BA14</f>
        <v>1.83E-4</v>
      </c>
      <c r="BD45">
        <f>'2015_2020'!BB14</f>
        <v>4.6799999999999999E-4</v>
      </c>
      <c r="BE45">
        <f>'2015_2020'!BC14</f>
        <v>5.8799999999999998E-4</v>
      </c>
      <c r="BF45">
        <f>'2015_2020'!BD14</f>
        <v>8.7100000000000003E-4</v>
      </c>
      <c r="BG45">
        <f>'2015_2020'!BE14</f>
        <v>7.6199999999999998E-4</v>
      </c>
      <c r="BH45">
        <f>'2015_2020'!BF14</f>
        <v>5.5599999999999996E-4</v>
      </c>
      <c r="BI45">
        <f>'2015_2020'!BG14</f>
        <v>6.87E-4</v>
      </c>
      <c r="BJ45">
        <f>'2015_2020'!BH14</f>
        <v>6.5399999999999996E-4</v>
      </c>
      <c r="BK45">
        <f>'2015_2020'!BI14</f>
        <v>3.9500000000000001E-4</v>
      </c>
      <c r="BL45">
        <f>'2015_2020'!BJ14</f>
        <v>1.93E-4</v>
      </c>
      <c r="BM45">
        <f>'2015_2020'!BK14</f>
        <v>4.1800000000000002E-4</v>
      </c>
      <c r="BN45">
        <f>'2015_2020'!BL14</f>
        <v>4.0099999999999999E-4</v>
      </c>
      <c r="BO45">
        <f>'2015_2020'!BM14</f>
        <v>3.1100000000000002E-4</v>
      </c>
      <c r="BP45">
        <f>'2015_2020'!BN14</f>
        <v>5.1400000000000003E-4</v>
      </c>
      <c r="BQ45">
        <f>'2015_2020'!BO14</f>
        <v>7.0299999999999996E-4</v>
      </c>
      <c r="BR45">
        <f>'2015_2020'!BP14</f>
        <v>1.24E-3</v>
      </c>
      <c r="BS45">
        <f>'2015_2020'!BQ14</f>
        <v>1.14E-3</v>
      </c>
      <c r="BT45">
        <f>'2015_2020'!BR14</f>
        <v>8.5099999999999998E-4</v>
      </c>
      <c r="BU45">
        <f>'2015_2020'!BS14</f>
        <v>1.01E-3</v>
      </c>
      <c r="BV45">
        <f>'2015_2020'!BT14</f>
        <v>7.1299999999999998E-4</v>
      </c>
      <c r="BW45">
        <f>'2015_2020'!BU14</f>
        <v>3.1599999999999998E-4</v>
      </c>
      <c r="BX45">
        <f>'2015_2020'!BV14</f>
        <v>5.9900000000000003E-4</v>
      </c>
      <c r="BY45">
        <f>'2015_2020'!BW14</f>
        <v>9.1399999999999999E-4</v>
      </c>
      <c r="BZ45">
        <f>'2015_2020'!BX14</f>
        <v>5.5999999999999995E-4</v>
      </c>
      <c r="CA45">
        <f>'2015_2020'!BY14</f>
        <v>6.6500000000000001E-4</v>
      </c>
      <c r="CB45">
        <f>'2015_2020'!BZ14</f>
        <v>7.9900000000000001E-4</v>
      </c>
      <c r="CC45">
        <f>'2015_2020'!CA14</f>
        <v>7.9900000000000001E-4</v>
      </c>
      <c r="CD45">
        <f>'2015_2020'!CB14</f>
        <v>9.810000000000001E-4</v>
      </c>
      <c r="CE45">
        <f>'2015_2020'!CC14</f>
        <v>8.8900000000000003E-4</v>
      </c>
      <c r="CF45">
        <f>'2015_2020'!CD14</f>
        <v>8.5599999999999999E-4</v>
      </c>
      <c r="CG45">
        <f>'2015_2020'!CE14</f>
        <v>3.2299999999999999E-4</v>
      </c>
      <c r="CH45">
        <f>'2015_2020'!CF14</f>
        <v>1.38E-5</v>
      </c>
      <c r="CI45">
        <f>'2015_2020'!CG14</f>
        <v>1.2999999999999999E-4</v>
      </c>
      <c r="CJ45">
        <f>'2015_2020'!CH14</f>
        <v>-6.3699999999999998E-4</v>
      </c>
      <c r="CK45">
        <f>'2015_2020'!CI14</f>
        <v>-1.4400000000000001E-3</v>
      </c>
      <c r="CL45">
        <f>'2015_2020'!CJ14</f>
        <v>-1.5E-3</v>
      </c>
      <c r="CM45">
        <f>'2015_2020'!CK14</f>
        <v>-1.56E-3</v>
      </c>
      <c r="CN45">
        <f>'2015_2020'!CL14</f>
        <v>-3.0000000000000001E-3</v>
      </c>
      <c r="CO45">
        <f>'2015_2020'!CM14</f>
        <v>-3.65E-3</v>
      </c>
      <c r="CP45">
        <f>'2015_2020'!CN14</f>
        <v>-3.9300000000000003E-3</v>
      </c>
      <c r="CQ45">
        <f>'2015_2020'!CO14</f>
        <v>-4.3400000000000001E-3</v>
      </c>
      <c r="CR45">
        <f>'2015_2020'!CP14</f>
        <v>-6.4999999999999997E-3</v>
      </c>
      <c r="CS45">
        <f>'2015_2020'!CQ14</f>
        <v>-5.9300000000000004E-3</v>
      </c>
      <c r="CT45">
        <f>'2015_2020'!CR14</f>
        <v>-7.1599999999999997E-3</v>
      </c>
      <c r="CU45">
        <f>'2015_2020'!CS14</f>
        <v>-9.1000000000000004E-3</v>
      </c>
      <c r="CV45">
        <f>'2015_2020'!CT14</f>
        <v>-8.6099999999999996E-3</v>
      </c>
      <c r="CW45">
        <f>'2015_2020'!CU14</f>
        <v>-7.4400000000000004E-3</v>
      </c>
      <c r="CX45">
        <f>'2015_2020'!CV14</f>
        <v>-6.7999999999999996E-3</v>
      </c>
    </row>
    <row r="46" spans="1:102" x14ac:dyDescent="0.2">
      <c r="A46" t="s">
        <v>208</v>
      </c>
      <c r="B46" t="s">
        <v>219</v>
      </c>
      <c r="C46" t="s">
        <v>221</v>
      </c>
      <c r="D46">
        <f>'2015_2020'!B15</f>
        <v>-0.41299999999999998</v>
      </c>
      <c r="E46">
        <f>'2015_2020'!C15</f>
        <v>0.24199999999999999</v>
      </c>
      <c r="F46">
        <f>'2015_2020'!D15</f>
        <v>0.77</v>
      </c>
      <c r="G46">
        <f>'2015_2020'!E15</f>
        <v>5.96E-2</v>
      </c>
      <c r="H46">
        <f>'2015_2020'!F15</f>
        <v>1.026</v>
      </c>
      <c r="I46">
        <f>'2015_2020'!G15</f>
        <v>0.35599999999999998</v>
      </c>
      <c r="J46">
        <f>'2015_2020'!H15</f>
        <v>0.65500000000000003</v>
      </c>
      <c r="K46">
        <f>'2015_2020'!I15</f>
        <v>0.51500000000000001</v>
      </c>
      <c r="L46">
        <f>'2015_2020'!J15</f>
        <v>0.374</v>
      </c>
      <c r="M46">
        <f>'2015_2020'!K15</f>
        <v>0.59399999999999997</v>
      </c>
      <c r="N46">
        <f>'2015_2020'!L15</f>
        <v>0.57499999999999996</v>
      </c>
      <c r="O46">
        <f>'2015_2020'!M15</f>
        <v>0.31</v>
      </c>
      <c r="P46">
        <f>'2015_2020'!N15</f>
        <v>0.35699999999999998</v>
      </c>
      <c r="Q46">
        <f>'2015_2020'!O15</f>
        <v>0.29899999999999999</v>
      </c>
      <c r="R46">
        <f>'2015_2020'!P15</f>
        <v>0.23699999999999999</v>
      </c>
      <c r="S46">
        <f>'2015_2020'!Q15</f>
        <v>0.20300000000000001</v>
      </c>
      <c r="T46">
        <f>'2015_2020'!R15</f>
        <v>0.14000000000000001</v>
      </c>
      <c r="U46">
        <f>'2015_2020'!S15</f>
        <v>0.112</v>
      </c>
      <c r="V46">
        <f>'2015_2020'!T15</f>
        <v>5.3999999999999999E-2</v>
      </c>
      <c r="W46">
        <f>'2015_2020'!U15</f>
        <v>4.7100000000000003E-2</v>
      </c>
      <c r="X46">
        <f>'2015_2020'!V15</f>
        <v>5.5100000000000003E-2</v>
      </c>
      <c r="Y46">
        <f>'2015_2020'!W15</f>
        <v>2.4299999999999999E-2</v>
      </c>
      <c r="Z46">
        <f>'2015_2020'!X15</f>
        <v>3.5000000000000003E-2</v>
      </c>
      <c r="AA46">
        <f>'2015_2020'!Y15</f>
        <v>4.1300000000000003E-2</v>
      </c>
      <c r="AB46">
        <f>'2015_2020'!Z15</f>
        <v>3.15E-2</v>
      </c>
      <c r="AC46">
        <f>'2015_2020'!AA15</f>
        <v>1.7899999999999999E-2</v>
      </c>
      <c r="AD46">
        <f>'2015_2020'!AB15</f>
        <v>1.6299999999999999E-2</v>
      </c>
      <c r="AE46">
        <f>'2015_2020'!AC15</f>
        <v>1.9800000000000002E-2</v>
      </c>
      <c r="AF46">
        <f>'2015_2020'!AD15</f>
        <v>1.34E-2</v>
      </c>
      <c r="AG46">
        <f>'2015_2020'!AE15</f>
        <v>9.0900000000000009E-3</v>
      </c>
      <c r="AH46">
        <f>'2015_2020'!AF15</f>
        <v>1.03E-2</v>
      </c>
      <c r="AI46">
        <f>'2015_2020'!AG15</f>
        <v>8.6800000000000002E-3</v>
      </c>
      <c r="AJ46">
        <f>'2015_2020'!AH15</f>
        <v>-5.8700000000000002E-3</v>
      </c>
      <c r="AK46">
        <f>'2015_2020'!AI15</f>
        <v>-1.18E-2</v>
      </c>
      <c r="AL46">
        <f>'2015_2020'!AJ15</f>
        <v>-2.0500000000000002E-3</v>
      </c>
      <c r="AM46">
        <f>'2015_2020'!AK15</f>
        <v>8.1600000000000006E-3</v>
      </c>
      <c r="AN46">
        <f>'2015_2020'!AL15</f>
        <v>4.0600000000000002E-3</v>
      </c>
      <c r="AO46">
        <f>'2015_2020'!AM15</f>
        <v>4.17E-4</v>
      </c>
      <c r="AP46">
        <f>'2015_2020'!AN15</f>
        <v>1.2200000000000001E-2</v>
      </c>
      <c r="AQ46">
        <f>'2015_2020'!AO15</f>
        <v>2.4500000000000001E-2</v>
      </c>
      <c r="AR46">
        <f>'2015_2020'!AP15</f>
        <v>2.9399999999999999E-2</v>
      </c>
      <c r="AS46">
        <f>'2015_2020'!AQ15</f>
        <v>2.5000000000000001E-2</v>
      </c>
      <c r="AT46">
        <f>'2015_2020'!AR15</f>
        <v>2.24E-2</v>
      </c>
      <c r="AU46">
        <f>'2015_2020'!AS15</f>
        <v>2.29E-2</v>
      </c>
      <c r="AV46">
        <f>'2015_2020'!AT15</f>
        <v>1.0200000000000001E-2</v>
      </c>
      <c r="AW46">
        <f>'2015_2020'!AU15</f>
        <v>-1.2E-2</v>
      </c>
      <c r="AX46">
        <f>'2015_2020'!AV15</f>
        <v>-2.69E-2</v>
      </c>
      <c r="AY46">
        <f>'2015_2020'!AW15</f>
        <v>-4.07E-2</v>
      </c>
      <c r="AZ46">
        <f>'2015_2020'!AX15</f>
        <v>-4.6800000000000001E-2</v>
      </c>
      <c r="BA46">
        <f>'2015_2020'!AY15</f>
        <v>-5.8099999999999999E-2</v>
      </c>
      <c r="BB46">
        <f>'2015_2020'!AZ15</f>
        <v>-4.7899999999999998E-2</v>
      </c>
      <c r="BC46">
        <f>'2015_2020'!BA15</f>
        <v>-3.5700000000000003E-2</v>
      </c>
      <c r="BD46">
        <f>'2015_2020'!BB15</f>
        <v>-3.7199999999999997E-2</v>
      </c>
      <c r="BE46">
        <f>'2015_2020'!BC15</f>
        <v>-3.6200000000000003E-2</v>
      </c>
      <c r="BF46">
        <f>'2015_2020'!BD15</f>
        <v>-9.4699999999999993E-3</v>
      </c>
      <c r="BG46">
        <f>'2015_2020'!BE15</f>
        <v>-3.3600000000000001E-3</v>
      </c>
      <c r="BH46">
        <f>'2015_2020'!BF15</f>
        <v>4.3299999999999996E-3</v>
      </c>
      <c r="BI46">
        <f>'2015_2020'!BG15</f>
        <v>-9.6900000000000003E-4</v>
      </c>
      <c r="BJ46">
        <f>'2015_2020'!BH15</f>
        <v>-9.1199999999999996E-3</v>
      </c>
      <c r="BK46">
        <f>'2015_2020'!BI15</f>
        <v>-6.3400000000000001E-3</v>
      </c>
      <c r="BL46">
        <f>'2015_2020'!BJ15</f>
        <v>-4.15E-3</v>
      </c>
      <c r="BM46">
        <f>'2015_2020'!BK15</f>
        <v>-2.07E-2</v>
      </c>
      <c r="BN46">
        <f>'2015_2020'!BL15</f>
        <v>-3.9699999999999999E-2</v>
      </c>
      <c r="BO46">
        <f>'2015_2020'!BM15</f>
        <v>-6.0499999999999998E-2</v>
      </c>
      <c r="BP46">
        <f>'2015_2020'!BN15</f>
        <v>-7.0699999999999999E-2</v>
      </c>
      <c r="BQ46">
        <f>'2015_2020'!BO15</f>
        <v>-7.9000000000000001E-2</v>
      </c>
      <c r="BR46">
        <f>'2015_2020'!BP15</f>
        <v>-7.8200000000000006E-2</v>
      </c>
      <c r="BS46">
        <f>'2015_2020'!BQ15</f>
        <v>-0.11700000000000001</v>
      </c>
      <c r="BT46">
        <f>'2015_2020'!BR15</f>
        <v>-0.14799999999999999</v>
      </c>
      <c r="BU46">
        <f>'2015_2020'!BS15</f>
        <v>-0.14000000000000001</v>
      </c>
      <c r="BV46">
        <f>'2015_2020'!BT15</f>
        <v>-4.7199999999999999E-2</v>
      </c>
      <c r="BW46">
        <f>'2015_2020'!BU15</f>
        <v>-3.0099999999999998E-2</v>
      </c>
      <c r="BX46">
        <f>'2015_2020'!BV15</f>
        <v>-4.8599999999999997E-2</v>
      </c>
      <c r="BY46">
        <f>'2015_2020'!BW15</f>
        <v>-7.2499999999999995E-2</v>
      </c>
      <c r="BZ46">
        <f>'2015_2020'!BX15</f>
        <v>-3.5700000000000003E-2</v>
      </c>
      <c r="CA46">
        <f>'2015_2020'!BY15</f>
        <v>-3.1300000000000001E-2</v>
      </c>
      <c r="CB46">
        <f>'2015_2020'!BZ15</f>
        <v>-1.23E-2</v>
      </c>
      <c r="CC46">
        <f>'2015_2020'!CA15</f>
        <v>-0.02</v>
      </c>
      <c r="CD46">
        <f>'2015_2020'!CB15</f>
        <v>-5.9200000000000003E-2</v>
      </c>
      <c r="CE46">
        <f>'2015_2020'!CC15</f>
        <v>-0.23699999999999999</v>
      </c>
      <c r="CF46">
        <f>'2015_2020'!CD15</f>
        <v>-0.31900000000000001</v>
      </c>
      <c r="CG46">
        <f>'2015_2020'!CE15</f>
        <v>-0.30299999999999999</v>
      </c>
      <c r="CH46">
        <f>'2015_2020'!CF15</f>
        <v>-0.183</v>
      </c>
      <c r="CI46">
        <f>'2015_2020'!CG15</f>
        <v>-0.106</v>
      </c>
      <c r="CJ46">
        <f>'2015_2020'!CH15</f>
        <v>-0.10199999999999999</v>
      </c>
      <c r="CK46">
        <f>'2015_2020'!CI15</f>
        <v>-0.15</v>
      </c>
      <c r="CL46">
        <f>'2015_2020'!CJ15</f>
        <v>-0.183</v>
      </c>
      <c r="CM46">
        <f>'2015_2020'!CK15</f>
        <v>-0.245</v>
      </c>
      <c r="CN46">
        <f>'2015_2020'!CL15</f>
        <v>-0.29399999999999998</v>
      </c>
      <c r="CO46">
        <f>'2015_2020'!CM15</f>
        <v>-0.309</v>
      </c>
      <c r="CP46">
        <f>'2015_2020'!CN15</f>
        <v>-0.22800000000000001</v>
      </c>
      <c r="CQ46">
        <f>'2015_2020'!CO15</f>
        <v>-0.215</v>
      </c>
      <c r="CR46">
        <f>'2015_2020'!CP15</f>
        <v>-0.24</v>
      </c>
      <c r="CS46">
        <f>'2015_2020'!CQ15</f>
        <v>-0.11600000000000001</v>
      </c>
      <c r="CT46">
        <f>'2015_2020'!CR15</f>
        <v>-0.23899999999999999</v>
      </c>
      <c r="CU46">
        <f>'2015_2020'!CS15</f>
        <v>-0.28299999999999997</v>
      </c>
      <c r="CV46">
        <f>'2015_2020'!CT15</f>
        <v>-0.31900000000000001</v>
      </c>
      <c r="CW46">
        <f>'2015_2020'!CU15</f>
        <v>-0.217</v>
      </c>
      <c r="CX46">
        <f>'2015_2020'!CV15</f>
        <v>-0.27400000000000002</v>
      </c>
    </row>
    <row r="47" spans="1:102" x14ac:dyDescent="0.2">
      <c r="A47" t="s">
        <v>209</v>
      </c>
      <c r="B47" t="s">
        <v>219</v>
      </c>
      <c r="C47" t="s">
        <v>221</v>
      </c>
      <c r="D47">
        <f>'2015_2020'!B16</f>
        <v>-0.10199999999999999</v>
      </c>
      <c r="E47">
        <f>'2015_2020'!C16</f>
        <v>-0.122</v>
      </c>
      <c r="F47">
        <f>'2015_2020'!D16</f>
        <v>3.8899999999999997E-2</v>
      </c>
      <c r="G47">
        <f>'2015_2020'!E16</f>
        <v>-0.14000000000000001</v>
      </c>
      <c r="H47">
        <f>'2015_2020'!F16</f>
        <v>0.13</v>
      </c>
      <c r="I47">
        <f>'2015_2020'!G16</f>
        <v>-6.7400000000000002E-2</v>
      </c>
      <c r="J47">
        <f>'2015_2020'!H16</f>
        <v>6.6900000000000001E-2</v>
      </c>
      <c r="K47">
        <f>'2015_2020'!I16</f>
        <v>0.08</v>
      </c>
      <c r="L47">
        <f>'2015_2020'!J16</f>
        <v>3.2099999999999997E-2</v>
      </c>
      <c r="M47">
        <f>'2015_2020'!K16</f>
        <v>0.14399999999999999</v>
      </c>
      <c r="N47">
        <f>'2015_2020'!L16</f>
        <v>0.19</v>
      </c>
      <c r="O47">
        <f>'2015_2020'!M16</f>
        <v>9.5399999999999999E-2</v>
      </c>
      <c r="P47">
        <f>'2015_2020'!N16</f>
        <v>0.14199999999999999</v>
      </c>
      <c r="Q47">
        <f>'2015_2020'!O16</f>
        <v>0.11700000000000001</v>
      </c>
      <c r="R47">
        <f>'2015_2020'!P16</f>
        <v>7.8100000000000003E-2</v>
      </c>
      <c r="S47">
        <f>'2015_2020'!Q16</f>
        <v>5.9799999999999999E-2</v>
      </c>
      <c r="T47">
        <f>'2015_2020'!R16</f>
        <v>3.1600000000000003E-2</v>
      </c>
      <c r="U47">
        <f>'2015_2020'!S16</f>
        <v>2.07E-2</v>
      </c>
      <c r="V47">
        <f>'2015_2020'!T16</f>
        <v>2.3500000000000001E-3</v>
      </c>
      <c r="W47">
        <f>'2015_2020'!U16</f>
        <v>5.5700000000000003E-3</v>
      </c>
      <c r="X47">
        <f>'2015_2020'!V16</f>
        <v>1.2500000000000001E-2</v>
      </c>
      <c r="Y47">
        <f>'2015_2020'!W16</f>
        <v>-3.62E-3</v>
      </c>
      <c r="Z47">
        <f>'2015_2020'!X16</f>
        <v>-6.2100000000000002E-4</v>
      </c>
      <c r="AA47">
        <f>'2015_2020'!Y16</f>
        <v>1.54E-2</v>
      </c>
      <c r="AB47">
        <f>'2015_2020'!Z16</f>
        <v>1.37E-2</v>
      </c>
      <c r="AC47">
        <f>'2015_2020'!AA16</f>
        <v>7.4999999999999997E-3</v>
      </c>
      <c r="AD47">
        <f>'2015_2020'!AB16</f>
        <v>1.06E-2</v>
      </c>
      <c r="AE47">
        <f>'2015_2020'!AC16</f>
        <v>1.15E-2</v>
      </c>
      <c r="AF47">
        <f>'2015_2020'!AD16</f>
        <v>3.1199999999999999E-3</v>
      </c>
      <c r="AG47">
        <f>'2015_2020'!AE16</f>
        <v>1.2600000000000001E-3</v>
      </c>
      <c r="AH47">
        <f>'2015_2020'!AF16</f>
        <v>2.07E-2</v>
      </c>
      <c r="AI47">
        <f>'2015_2020'!AG16</f>
        <v>1.9300000000000001E-2</v>
      </c>
      <c r="AJ47">
        <f>'2015_2020'!AH16</f>
        <v>1.11E-2</v>
      </c>
      <c r="AK47">
        <f>'2015_2020'!AI16</f>
        <v>1.4500000000000001E-2</v>
      </c>
      <c r="AL47">
        <f>'2015_2020'!AJ16</f>
        <v>2.7199999999999998E-2</v>
      </c>
      <c r="AM47">
        <f>'2015_2020'!AK16</f>
        <v>2.18E-2</v>
      </c>
      <c r="AN47">
        <f>'2015_2020'!AL16</f>
        <v>2.5999999999999999E-2</v>
      </c>
      <c r="AO47">
        <f>'2015_2020'!AM16</f>
        <v>2.5700000000000001E-2</v>
      </c>
      <c r="AP47">
        <f>'2015_2020'!AN16</f>
        <v>4.65E-2</v>
      </c>
      <c r="AQ47">
        <f>'2015_2020'!AO16</f>
        <v>6.0900000000000003E-2</v>
      </c>
      <c r="AR47">
        <f>'2015_2020'!AP16</f>
        <v>6.4000000000000001E-2</v>
      </c>
      <c r="AS47">
        <f>'2015_2020'!AQ16</f>
        <v>6.0699999999999997E-2</v>
      </c>
      <c r="AT47">
        <f>'2015_2020'!AR16</f>
        <v>5.6099999999999997E-2</v>
      </c>
      <c r="AU47">
        <f>'2015_2020'!AS16</f>
        <v>5.8299999999999998E-2</v>
      </c>
      <c r="AV47">
        <f>'2015_2020'!AT16</f>
        <v>4.6600000000000003E-2</v>
      </c>
      <c r="AW47">
        <f>'2015_2020'!AU16</f>
        <v>2.3599999999999999E-2</v>
      </c>
      <c r="AX47">
        <f>'2015_2020'!AV16</f>
        <v>-8.6800000000000002E-3</v>
      </c>
      <c r="AY47">
        <f>'2015_2020'!AW16</f>
        <v>-1.5699999999999999E-2</v>
      </c>
      <c r="AZ47">
        <f>'2015_2020'!AX16</f>
        <v>-1.6299999999999999E-2</v>
      </c>
      <c r="BA47">
        <f>'2015_2020'!AY16</f>
        <v>-2.23E-2</v>
      </c>
      <c r="BB47">
        <f>'2015_2020'!AZ16</f>
        <v>-1.5299999999999999E-3</v>
      </c>
      <c r="BC47">
        <f>'2015_2020'!BA16</f>
        <v>5.3600000000000002E-3</v>
      </c>
      <c r="BD47">
        <f>'2015_2020'!BB16</f>
        <v>1.3899999999999999E-2</v>
      </c>
      <c r="BE47">
        <f>'2015_2020'!BC16</f>
        <v>2.1399999999999999E-2</v>
      </c>
      <c r="BF47">
        <f>'2015_2020'!BD16</f>
        <v>3.6600000000000001E-2</v>
      </c>
      <c r="BG47">
        <f>'2015_2020'!BE16</f>
        <v>4.9399999999999999E-2</v>
      </c>
      <c r="BH47">
        <f>'2015_2020'!BF16</f>
        <v>6.0100000000000001E-2</v>
      </c>
      <c r="BI47">
        <f>'2015_2020'!BG16</f>
        <v>5.91E-2</v>
      </c>
      <c r="BJ47">
        <f>'2015_2020'!BH16</f>
        <v>5.0500000000000003E-2</v>
      </c>
      <c r="BK47">
        <f>'2015_2020'!BI16</f>
        <v>6.2199999999999998E-2</v>
      </c>
      <c r="BL47">
        <f>'2015_2020'!BJ16</f>
        <v>6.4199999999999993E-2</v>
      </c>
      <c r="BM47">
        <f>'2015_2020'!BK16</f>
        <v>6.0400000000000002E-2</v>
      </c>
      <c r="BN47">
        <f>'2015_2020'!BL16</f>
        <v>3.8699999999999998E-2</v>
      </c>
      <c r="BO47">
        <f>'2015_2020'!BM16</f>
        <v>1.6899999999999998E-2</v>
      </c>
      <c r="BP47">
        <f>'2015_2020'!BN16</f>
        <v>1.23E-2</v>
      </c>
      <c r="BQ47">
        <f>'2015_2020'!BO16</f>
        <v>1.01E-2</v>
      </c>
      <c r="BR47">
        <f>'2015_2020'!BP16</f>
        <v>7.2399999999999999E-3</v>
      </c>
      <c r="BS47">
        <f>'2015_2020'!BQ16</f>
        <v>-2.2800000000000001E-2</v>
      </c>
      <c r="BT47">
        <f>'2015_2020'!BR16</f>
        <v>-4.8599999999999997E-2</v>
      </c>
      <c r="BU47">
        <f>'2015_2020'!BS16</f>
        <v>-2.5499999999999998E-2</v>
      </c>
      <c r="BV47">
        <f>'2015_2020'!BT16</f>
        <v>9.5100000000000004E-2</v>
      </c>
      <c r="BW47">
        <f>'2015_2020'!BU16</f>
        <v>0.128</v>
      </c>
      <c r="BX47">
        <f>'2015_2020'!BV16</f>
        <v>0.108</v>
      </c>
      <c r="BY47">
        <f>'2015_2020'!BW16</f>
        <v>9.8599999999999993E-2</v>
      </c>
      <c r="BZ47">
        <f>'2015_2020'!BX16</f>
        <v>0.13</v>
      </c>
      <c r="CA47">
        <f>'2015_2020'!BY16</f>
        <v>0.125</v>
      </c>
      <c r="CB47">
        <f>'2015_2020'!BZ16</f>
        <v>0.153</v>
      </c>
      <c r="CC47">
        <f>'2015_2020'!CA16</f>
        <v>0.14899999999999999</v>
      </c>
      <c r="CD47">
        <f>'2015_2020'!CB16</f>
        <v>0.10199999999999999</v>
      </c>
      <c r="CE47">
        <f>'2015_2020'!CC16</f>
        <v>-4.4299999999999999E-2</v>
      </c>
      <c r="CF47">
        <f>'2015_2020'!CD16</f>
        <v>-9.7600000000000006E-2</v>
      </c>
      <c r="CG47">
        <f>'2015_2020'!CE16</f>
        <v>-7.7899999999999997E-2</v>
      </c>
      <c r="CH47">
        <f>'2015_2020'!CF16</f>
        <v>2.6800000000000001E-2</v>
      </c>
      <c r="CI47">
        <f>'2015_2020'!CG16</f>
        <v>0.11799999999999999</v>
      </c>
      <c r="CJ47">
        <f>'2015_2020'!CH16</f>
        <v>0.154</v>
      </c>
      <c r="CK47">
        <f>'2015_2020'!CI16</f>
        <v>0.111</v>
      </c>
      <c r="CL47">
        <f>'2015_2020'!CJ16</f>
        <v>6.2600000000000003E-2</v>
      </c>
      <c r="CM47">
        <f>'2015_2020'!CK16</f>
        <v>8.1099999999999992E-3</v>
      </c>
      <c r="CN47">
        <f>'2015_2020'!CL16</f>
        <v>1.5299999999999999E-2</v>
      </c>
      <c r="CO47">
        <f>'2015_2020'!CM16</f>
        <v>-6.8700000000000002E-3</v>
      </c>
      <c r="CP47">
        <f>'2015_2020'!CN16</f>
        <v>3.8199999999999998E-2</v>
      </c>
      <c r="CQ47">
        <f>'2015_2020'!CO16</f>
        <v>5.8799999999999998E-2</v>
      </c>
      <c r="CR47">
        <f>'2015_2020'!CP16</f>
        <v>0.129</v>
      </c>
      <c r="CS47">
        <f>'2015_2020'!CQ16</f>
        <v>0.22500000000000001</v>
      </c>
      <c r="CT47">
        <f>'2015_2020'!CR16</f>
        <v>0.14000000000000001</v>
      </c>
      <c r="CU47">
        <f>'2015_2020'!CS16</f>
        <v>3.5700000000000003E-2</v>
      </c>
      <c r="CV47">
        <f>'2015_2020'!CT16</f>
        <v>-9.4000000000000004E-3</v>
      </c>
      <c r="CW47">
        <f>'2015_2020'!CU16</f>
        <v>0.123</v>
      </c>
      <c r="CX47">
        <f>'2015_2020'!CV16</f>
        <v>-4.7699999999999999E-2</v>
      </c>
    </row>
    <row r="48" spans="1:102" x14ac:dyDescent="0.2">
      <c r="A48" t="s">
        <v>210</v>
      </c>
      <c r="B48" t="s">
        <v>219</v>
      </c>
      <c r="C48" t="s">
        <v>221</v>
      </c>
      <c r="D48">
        <f>'2015_2020'!B17</f>
        <v>8.7499999999999994E-2</v>
      </c>
      <c r="E48">
        <f>'2015_2020'!C17</f>
        <v>8.5500000000000007E-2</v>
      </c>
      <c r="F48">
        <f>'2015_2020'!D17</f>
        <v>3.04E-2</v>
      </c>
      <c r="G48">
        <f>'2015_2020'!E17</f>
        <v>6.0299999999999999E-2</v>
      </c>
      <c r="H48">
        <f>'2015_2020'!F17</f>
        <v>-3.0800000000000001E-2</v>
      </c>
      <c r="I48">
        <f>'2015_2020'!G17</f>
        <v>2.1499999999999998E-2</v>
      </c>
      <c r="J48">
        <f>'2015_2020'!H17</f>
        <v>-6.0499999999999998E-3</v>
      </c>
      <c r="K48">
        <f>'2015_2020'!I17</f>
        <v>-8.5699999999999995E-3</v>
      </c>
      <c r="L48">
        <f>'2015_2020'!J17</f>
        <v>1.6899999999999999E-4</v>
      </c>
      <c r="M48">
        <f>'2015_2020'!K17</f>
        <v>-2.2599999999999999E-2</v>
      </c>
      <c r="N48">
        <f>'2015_2020'!L17</f>
        <v>-2.6499999999999999E-2</v>
      </c>
      <c r="O48">
        <f>'2015_2020'!M17</f>
        <v>-1.0200000000000001E-2</v>
      </c>
      <c r="P48">
        <f>'2015_2020'!N17</f>
        <v>-1.54E-2</v>
      </c>
      <c r="Q48">
        <f>'2015_2020'!O17</f>
        <v>-1.06E-2</v>
      </c>
      <c r="R48">
        <f>'2015_2020'!P17</f>
        <v>-5.7099999999999998E-3</v>
      </c>
      <c r="S48">
        <f>'2015_2020'!Q17</f>
        <v>-2E-3</v>
      </c>
      <c r="T48">
        <f>'2015_2020'!R17</f>
        <v>3.3300000000000001E-3</v>
      </c>
      <c r="U48">
        <f>'2015_2020'!S17</f>
        <v>4.47E-3</v>
      </c>
      <c r="V48">
        <f>'2015_2020'!T17</f>
        <v>9.4400000000000005E-3</v>
      </c>
      <c r="W48">
        <f>'2015_2020'!U17</f>
        <v>7.6800000000000002E-3</v>
      </c>
      <c r="X48">
        <f>'2015_2020'!V17</f>
        <v>5.4200000000000003E-3</v>
      </c>
      <c r="Y48">
        <f>'2015_2020'!W17</f>
        <v>8.5800000000000008E-3</v>
      </c>
      <c r="Z48">
        <f>'2015_2020'!X17</f>
        <v>7.2899999999999996E-3</v>
      </c>
      <c r="AA48">
        <f>'2015_2020'!Y17</f>
        <v>7.2700000000000004E-3</v>
      </c>
      <c r="AB48">
        <f>'2015_2020'!Z17</f>
        <v>9.75E-3</v>
      </c>
      <c r="AC48">
        <f>'2015_2020'!AA17</f>
        <v>1.1900000000000001E-2</v>
      </c>
      <c r="AD48">
        <f>'2015_2020'!AB17</f>
        <v>1.2800000000000001E-2</v>
      </c>
      <c r="AE48">
        <f>'2015_2020'!AC17</f>
        <v>1.2699999999999999E-2</v>
      </c>
      <c r="AF48">
        <f>'2015_2020'!AD17</f>
        <v>1.47E-2</v>
      </c>
      <c r="AG48">
        <f>'2015_2020'!AE17</f>
        <v>1.43E-2</v>
      </c>
      <c r="AH48">
        <f>'2015_2020'!AF17</f>
        <v>1.34E-2</v>
      </c>
      <c r="AI48">
        <f>'2015_2020'!AG17</f>
        <v>1.5100000000000001E-2</v>
      </c>
      <c r="AJ48">
        <f>'2015_2020'!AH17</f>
        <v>1.9400000000000001E-2</v>
      </c>
      <c r="AK48">
        <f>'2015_2020'!AI17</f>
        <v>1.89E-2</v>
      </c>
      <c r="AL48">
        <f>'2015_2020'!AJ17</f>
        <v>1.8100000000000002E-2</v>
      </c>
      <c r="AM48">
        <f>'2015_2020'!AK17</f>
        <v>1.8499999999999999E-2</v>
      </c>
      <c r="AN48">
        <f>'2015_2020'!AL17</f>
        <v>2.01E-2</v>
      </c>
      <c r="AO48">
        <f>'2015_2020'!AM17</f>
        <v>2.07E-2</v>
      </c>
      <c r="AP48">
        <f>'2015_2020'!AN17</f>
        <v>1.7999999999999999E-2</v>
      </c>
      <c r="AQ48">
        <f>'2015_2020'!AO17</f>
        <v>1.46E-2</v>
      </c>
      <c r="AR48">
        <f>'2015_2020'!AP17</f>
        <v>1.46E-2</v>
      </c>
      <c r="AS48">
        <f>'2015_2020'!AQ17</f>
        <v>1.5299999999999999E-2</v>
      </c>
      <c r="AT48">
        <f>'2015_2020'!AR17</f>
        <v>1.47E-2</v>
      </c>
      <c r="AU48">
        <f>'2015_2020'!AS17</f>
        <v>1.38E-2</v>
      </c>
      <c r="AV48">
        <f>'2015_2020'!AT17</f>
        <v>1.66E-2</v>
      </c>
      <c r="AW48">
        <f>'2015_2020'!AU17</f>
        <v>2.3300000000000001E-2</v>
      </c>
      <c r="AX48">
        <f>'2015_2020'!AV17</f>
        <v>2.9000000000000001E-2</v>
      </c>
      <c r="AY48">
        <f>'2015_2020'!AW17</f>
        <v>2.9899999999999999E-2</v>
      </c>
      <c r="AZ48">
        <f>'2015_2020'!AX17</f>
        <v>2.8400000000000002E-2</v>
      </c>
      <c r="BA48">
        <f>'2015_2020'!AY17</f>
        <v>2.8299999999999999E-2</v>
      </c>
      <c r="BB48">
        <f>'2015_2020'!AZ17</f>
        <v>2.6599999999999999E-2</v>
      </c>
      <c r="BC48">
        <f>'2015_2020'!BA17</f>
        <v>2.3699999999999999E-2</v>
      </c>
      <c r="BD48">
        <f>'2015_2020'!BB17</f>
        <v>1.9300000000000001E-2</v>
      </c>
      <c r="BE48">
        <f>'2015_2020'!BC17</f>
        <v>1.8200000000000001E-2</v>
      </c>
      <c r="BF48">
        <f>'2015_2020'!BD17</f>
        <v>1.4800000000000001E-2</v>
      </c>
      <c r="BG48">
        <f>'2015_2020'!BE17</f>
        <v>1.17E-2</v>
      </c>
      <c r="BH48">
        <f>'2015_2020'!BF17</f>
        <v>7.3400000000000002E-3</v>
      </c>
      <c r="BI48">
        <f>'2015_2020'!BG17</f>
        <v>9.4900000000000002E-3</v>
      </c>
      <c r="BJ48">
        <f>'2015_2020'!BH17</f>
        <v>1.2800000000000001E-2</v>
      </c>
      <c r="BK48">
        <f>'2015_2020'!BI17</f>
        <v>1.2200000000000001E-2</v>
      </c>
      <c r="BL48">
        <f>'2015_2020'!BJ17</f>
        <v>1.03E-2</v>
      </c>
      <c r="BM48">
        <f>'2015_2020'!BK17</f>
        <v>1.3100000000000001E-2</v>
      </c>
      <c r="BN48">
        <f>'2015_2020'!BL17</f>
        <v>1.55E-2</v>
      </c>
      <c r="BO48">
        <f>'2015_2020'!BM17</f>
        <v>1.95E-2</v>
      </c>
      <c r="BP48">
        <f>'2015_2020'!BN17</f>
        <v>2.2200000000000001E-2</v>
      </c>
      <c r="BQ48">
        <f>'2015_2020'!BO17</f>
        <v>2.23E-2</v>
      </c>
      <c r="BR48">
        <f>'2015_2020'!BP17</f>
        <v>2.07E-2</v>
      </c>
      <c r="BS48">
        <f>'2015_2020'!BQ17</f>
        <v>2.6200000000000001E-2</v>
      </c>
      <c r="BT48">
        <f>'2015_2020'!BR17</f>
        <v>3.0800000000000001E-2</v>
      </c>
      <c r="BU48">
        <f>'2015_2020'!BS17</f>
        <v>2.7400000000000001E-2</v>
      </c>
      <c r="BV48">
        <f>'2015_2020'!BT17</f>
        <v>5.2500000000000003E-3</v>
      </c>
      <c r="BW48">
        <f>'2015_2020'!BU17</f>
        <v>1.81E-3</v>
      </c>
      <c r="BX48">
        <f>'2015_2020'!BV17</f>
        <v>5.9699999999999996E-3</v>
      </c>
      <c r="BY48">
        <f>'2015_2020'!BW17</f>
        <v>8.5699999999999995E-3</v>
      </c>
      <c r="BZ48">
        <f>'2015_2020'!BX17</f>
        <v>1.25E-3</v>
      </c>
      <c r="CA48">
        <f>'2015_2020'!BY17</f>
        <v>2.5799999999999998E-4</v>
      </c>
      <c r="CB48">
        <f>'2015_2020'!BZ17</f>
        <v>-5.64E-3</v>
      </c>
      <c r="CC48">
        <f>'2015_2020'!CA17</f>
        <v>-9.9699999999999997E-3</v>
      </c>
      <c r="CD48">
        <f>'2015_2020'!CB17</f>
        <v>-1.6999999999999999E-3</v>
      </c>
      <c r="CE48">
        <f>'2015_2020'!CC17</f>
        <v>3.0599999999999999E-2</v>
      </c>
      <c r="CF48">
        <f>'2015_2020'!CD17</f>
        <v>4.1599999999999998E-2</v>
      </c>
      <c r="CG48">
        <f>'2015_2020'!CE17</f>
        <v>3.6600000000000001E-2</v>
      </c>
      <c r="CH48">
        <f>'2015_2020'!CF17</f>
        <v>1.18E-2</v>
      </c>
      <c r="CI48">
        <f>'2015_2020'!CG17</f>
        <v>-2.98E-3</v>
      </c>
      <c r="CJ48">
        <f>'2015_2020'!CH17</f>
        <v>-1.15E-2</v>
      </c>
      <c r="CK48">
        <f>'2015_2020'!CI17</f>
        <v>-1.49E-3</v>
      </c>
      <c r="CL48">
        <f>'2015_2020'!CJ17</f>
        <v>7.0899999999999999E-3</v>
      </c>
      <c r="CM48">
        <f>'2015_2020'!CK17</f>
        <v>1.2200000000000001E-2</v>
      </c>
      <c r="CN48">
        <f>'2015_2020'!CL17</f>
        <v>1.1299999999999999E-2</v>
      </c>
      <c r="CO48">
        <f>'2015_2020'!CM17</f>
        <v>1.7399999999999999E-2</v>
      </c>
      <c r="CP48">
        <f>'2015_2020'!CN17</f>
        <v>-1.8699999999999999E-3</v>
      </c>
      <c r="CQ48">
        <f>'2015_2020'!CO17</f>
        <v>-9.1699999999999993E-3</v>
      </c>
      <c r="CR48">
        <f>'2015_2020'!CP17</f>
        <v>-2.4199999999999999E-2</v>
      </c>
      <c r="CS48">
        <f>'2015_2020'!CQ17</f>
        <v>-5.5399999999999998E-2</v>
      </c>
      <c r="CT48">
        <f>'2015_2020'!CR17</f>
        <v>-2.9399999999999999E-2</v>
      </c>
      <c r="CU48">
        <f>'2015_2020'!CS17</f>
        <v>-1.7399999999999999E-2</v>
      </c>
      <c r="CV48">
        <f>'2015_2020'!CT17</f>
        <v>8.0499999999999999E-3</v>
      </c>
      <c r="CW48">
        <f>'2015_2020'!CU17</f>
        <v>-4.0599999999999997E-2</v>
      </c>
      <c r="CX48">
        <f>'2015_2020'!CV17</f>
        <v>2.5399999999999999E-2</v>
      </c>
    </row>
    <row r="49" spans="1:102" x14ac:dyDescent="0.2">
      <c r="A49" t="s">
        <v>211</v>
      </c>
      <c r="B49" t="s">
        <v>219</v>
      </c>
      <c r="C49" t="s">
        <v>221</v>
      </c>
      <c r="D49">
        <f>'2015_2020'!B18</f>
        <v>4.3099999999999996E-3</v>
      </c>
      <c r="E49">
        <f>'2015_2020'!C18</f>
        <v>9.5699999999999995E-4</v>
      </c>
      <c r="F49">
        <f>'2015_2020'!D18</f>
        <v>-1.04E-2</v>
      </c>
      <c r="G49">
        <f>'2015_2020'!E18</f>
        <v>1.03E-2</v>
      </c>
      <c r="H49">
        <f>'2015_2020'!F18</f>
        <v>-1.54E-2</v>
      </c>
      <c r="I49">
        <f>'2015_2020'!G18</f>
        <v>-1.2199999999999999E-3</v>
      </c>
      <c r="J49">
        <f>'2015_2020'!H18</f>
        <v>-5.5900000000000004E-3</v>
      </c>
      <c r="K49">
        <f>'2015_2020'!I18</f>
        <v>-1.65E-3</v>
      </c>
      <c r="L49">
        <f>'2015_2020'!J18</f>
        <v>7.7400000000000004E-3</v>
      </c>
      <c r="M49">
        <f>'2015_2020'!K18</f>
        <v>-1.31E-3</v>
      </c>
      <c r="N49">
        <f>'2015_2020'!L18</f>
        <v>-5.1399999999999996E-3</v>
      </c>
      <c r="O49">
        <f>'2015_2020'!M18</f>
        <v>-3.4499999999999999E-3</v>
      </c>
      <c r="P49">
        <f>'2015_2020'!N18</f>
        <v>-3.5100000000000001E-3</v>
      </c>
      <c r="Q49">
        <f>'2015_2020'!O18</f>
        <v>7.6300000000000001E-4</v>
      </c>
      <c r="R49">
        <f>'2015_2020'!P18</f>
        <v>1.47E-3</v>
      </c>
      <c r="S49">
        <f>'2015_2020'!Q18</f>
        <v>-1.82E-3</v>
      </c>
      <c r="T49">
        <f>'2015_2020'!R18</f>
        <v>4.3399999999999998E-4</v>
      </c>
      <c r="U49">
        <f>'2015_2020'!S18</f>
        <v>1.3600000000000001E-3</v>
      </c>
      <c r="V49">
        <f>'2015_2020'!T18</f>
        <v>3.1199999999999999E-3</v>
      </c>
      <c r="W49">
        <f>'2015_2020'!U18</f>
        <v>2.5100000000000001E-3</v>
      </c>
      <c r="X49">
        <f>'2015_2020'!V18</f>
        <v>-3.9300000000000001E-4</v>
      </c>
      <c r="Y49">
        <f>'2015_2020'!W18</f>
        <v>2.5000000000000001E-3</v>
      </c>
      <c r="Z49">
        <f>'2015_2020'!X18</f>
        <v>6.5099999999999999E-4</v>
      </c>
      <c r="AA49">
        <f>'2015_2020'!Y18</f>
        <v>2.8500000000000001E-3</v>
      </c>
      <c r="AB49">
        <f>'2015_2020'!Z18</f>
        <v>7.1900000000000002E-3</v>
      </c>
      <c r="AC49">
        <f>'2015_2020'!AA18</f>
        <v>7.9699999999999997E-3</v>
      </c>
      <c r="AD49">
        <f>'2015_2020'!AB18</f>
        <v>7.5799999999999999E-3</v>
      </c>
      <c r="AE49">
        <f>'2015_2020'!AC18</f>
        <v>6.3099999999999996E-3</v>
      </c>
      <c r="AF49">
        <f>'2015_2020'!AD18</f>
        <v>4.4600000000000004E-3</v>
      </c>
      <c r="AG49">
        <f>'2015_2020'!AE18</f>
        <v>4.6899999999999997E-3</v>
      </c>
      <c r="AH49">
        <f>'2015_2020'!AF18</f>
        <v>4.4900000000000001E-3</v>
      </c>
      <c r="AI49">
        <f>'2015_2020'!AG18</f>
        <v>4.6699999999999997E-3</v>
      </c>
      <c r="AJ49">
        <f>'2015_2020'!AH18</f>
        <v>5.7800000000000004E-3</v>
      </c>
      <c r="AK49">
        <f>'2015_2020'!AI18</f>
        <v>4.6499999999999996E-3</v>
      </c>
      <c r="AL49">
        <f>'2015_2020'!AJ18</f>
        <v>3.5799999999999998E-3</v>
      </c>
      <c r="AM49">
        <f>'2015_2020'!AK18</f>
        <v>4.5900000000000003E-3</v>
      </c>
      <c r="AN49">
        <f>'2015_2020'!AL18</f>
        <v>1.8600000000000001E-3</v>
      </c>
      <c r="AO49">
        <f>'2015_2020'!AM18</f>
        <v>6.4899999999999995E-4</v>
      </c>
      <c r="AP49">
        <f>'2015_2020'!AN18</f>
        <v>2.9300000000000002E-4</v>
      </c>
      <c r="AQ49">
        <f>'2015_2020'!AO18</f>
        <v>-2.5500000000000002E-3</v>
      </c>
      <c r="AR49">
        <f>'2015_2020'!AP18</f>
        <v>1.0900000000000001E-4</v>
      </c>
      <c r="AS49">
        <f>'2015_2020'!AQ18</f>
        <v>9.7099999999999997E-4</v>
      </c>
      <c r="AT49">
        <f>'2015_2020'!AR18</f>
        <v>-4.75E-4</v>
      </c>
      <c r="AU49">
        <f>'2015_2020'!AS18</f>
        <v>-2.4599999999999999E-3</v>
      </c>
      <c r="AV49">
        <f>'2015_2020'!AT18</f>
        <v>-4.8999999999999998E-3</v>
      </c>
      <c r="AW49">
        <f>'2015_2020'!AU18</f>
        <v>-3.5000000000000001E-3</v>
      </c>
      <c r="AX49">
        <f>'2015_2020'!AV18</f>
        <v>-5.6599999999999999E-4</v>
      </c>
      <c r="AY49">
        <f>'2015_2020'!AW18</f>
        <v>-1.25E-4</v>
      </c>
      <c r="AZ49">
        <f>'2015_2020'!AX18</f>
        <v>-5.4699999999999996E-4</v>
      </c>
      <c r="BA49">
        <f>'2015_2020'!AY18</f>
        <v>-3.65E-3</v>
      </c>
      <c r="BB49">
        <f>'2015_2020'!AZ18</f>
        <v>-4.7999999999999996E-3</v>
      </c>
      <c r="BC49">
        <f>'2015_2020'!BA18</f>
        <v>-6.2199999999999998E-3</v>
      </c>
      <c r="BD49">
        <f>'2015_2020'!BB18</f>
        <v>-1.4300000000000001E-3</v>
      </c>
      <c r="BE49">
        <f>'2015_2020'!BC18</f>
        <v>-4.3499999999999997E-3</v>
      </c>
      <c r="BF49">
        <f>'2015_2020'!BD18</f>
        <v>-1.37E-2</v>
      </c>
      <c r="BG49">
        <f>'2015_2020'!BE18</f>
        <v>-1.0699999999999999E-2</v>
      </c>
      <c r="BH49">
        <f>'2015_2020'!BF18</f>
        <v>-1.54E-2</v>
      </c>
      <c r="BI49">
        <f>'2015_2020'!BG18</f>
        <v>-1.5299999999999999E-2</v>
      </c>
      <c r="BJ49">
        <f>'2015_2020'!BH18</f>
        <v>-1.3599999999999999E-2</v>
      </c>
      <c r="BK49">
        <f>'2015_2020'!BI18</f>
        <v>-1.4999999999999999E-2</v>
      </c>
      <c r="BL49">
        <f>'2015_2020'!BJ18</f>
        <v>-1.78E-2</v>
      </c>
      <c r="BM49">
        <f>'2015_2020'!BK18</f>
        <v>-1.6199999999999999E-2</v>
      </c>
      <c r="BN49">
        <f>'2015_2020'!BL18</f>
        <v>-1.43E-2</v>
      </c>
      <c r="BO49">
        <f>'2015_2020'!BM18</f>
        <v>-1.11E-2</v>
      </c>
      <c r="BP49">
        <f>'2015_2020'!BN18</f>
        <v>-3.5500000000000002E-3</v>
      </c>
      <c r="BQ49">
        <f>'2015_2020'!BO18</f>
        <v>-6.2599999999999999E-3</v>
      </c>
      <c r="BR49">
        <f>'2015_2020'!BP18</f>
        <v>-3.9899999999999996E-3</v>
      </c>
      <c r="BS49">
        <f>'2015_2020'!BQ18</f>
        <v>3.79E-3</v>
      </c>
      <c r="BT49">
        <f>'2015_2020'!BR18</f>
        <v>3.6099999999999999E-3</v>
      </c>
      <c r="BU49">
        <f>'2015_2020'!BS18</f>
        <v>-2.1900000000000001E-3</v>
      </c>
      <c r="BV49">
        <f>'2015_2020'!BT18</f>
        <v>-1.7000000000000001E-2</v>
      </c>
      <c r="BW49">
        <f>'2015_2020'!BU18</f>
        <v>-2.3099999999999999E-2</v>
      </c>
      <c r="BX49">
        <f>'2015_2020'!BV18</f>
        <v>-1.8499999999999999E-2</v>
      </c>
      <c r="BY49">
        <f>'2015_2020'!BW18</f>
        <v>-1.6E-2</v>
      </c>
      <c r="BZ49">
        <f>'2015_2020'!BX18</f>
        <v>-2.3099999999999999E-2</v>
      </c>
      <c r="CA49">
        <f>'2015_2020'!BY18</f>
        <v>-1.5900000000000001E-2</v>
      </c>
      <c r="CB49">
        <f>'2015_2020'!BZ18</f>
        <v>-2.24E-2</v>
      </c>
      <c r="CC49">
        <f>'2015_2020'!CA18</f>
        <v>-2.3199999999999998E-2</v>
      </c>
      <c r="CD49">
        <f>'2015_2020'!CB18</f>
        <v>-3.0200000000000001E-2</v>
      </c>
      <c r="CE49">
        <f>'2015_2020'!CC18</f>
        <v>-8.4700000000000001E-3</v>
      </c>
      <c r="CF49">
        <f>'2015_2020'!CD18</f>
        <v>5.1999999999999998E-3</v>
      </c>
      <c r="CG49">
        <f>'2015_2020'!CE18</f>
        <v>1.73E-3</v>
      </c>
      <c r="CH49">
        <f>'2015_2020'!CF18</f>
        <v>-9.2499999999999995E-3</v>
      </c>
      <c r="CI49">
        <f>'2015_2020'!CG18</f>
        <v>-2.2700000000000001E-2</v>
      </c>
      <c r="CJ49">
        <f>'2015_2020'!CH18</f>
        <v>-3.1300000000000001E-2</v>
      </c>
      <c r="CK49">
        <f>'2015_2020'!CI18</f>
        <v>-2.2800000000000001E-2</v>
      </c>
      <c r="CL49">
        <f>'2015_2020'!CJ18</f>
        <v>-6.8199999999999997E-3</v>
      </c>
      <c r="CM49">
        <f>'2015_2020'!CK18</f>
        <v>-2.5200000000000001E-3</v>
      </c>
      <c r="CN49">
        <f>'2015_2020'!CL18</f>
        <v>-1.15E-2</v>
      </c>
      <c r="CO49">
        <f>'2015_2020'!CM18</f>
        <v>-3.15E-3</v>
      </c>
      <c r="CP49">
        <f>'2015_2020'!CN18</f>
        <v>-7.8799999999999996E-4</v>
      </c>
      <c r="CQ49">
        <f>'2015_2020'!CO18</f>
        <v>-1.0800000000000001E-2</v>
      </c>
      <c r="CR49">
        <f>'2015_2020'!CP18</f>
        <v>-1.7600000000000001E-2</v>
      </c>
      <c r="CS49">
        <f>'2015_2020'!CQ18</f>
        <v>-4.41E-2</v>
      </c>
      <c r="CT49">
        <f>'2015_2020'!CR18</f>
        <v>-3.3599999999999998E-2</v>
      </c>
      <c r="CU49">
        <f>'2015_2020'!CS18</f>
        <v>-1.6299999999999999E-2</v>
      </c>
      <c r="CV49">
        <f>'2015_2020'!CT18</f>
        <v>2.6099999999999999E-3</v>
      </c>
      <c r="CW49">
        <f>'2015_2020'!CU18</f>
        <v>-2.92E-2</v>
      </c>
      <c r="CX49">
        <f>'2015_2020'!CV18</f>
        <v>1.4E-2</v>
      </c>
    </row>
    <row r="50" spans="1:102" x14ac:dyDescent="0.2">
      <c r="A50" t="s">
        <v>212</v>
      </c>
      <c r="B50" t="s">
        <v>219</v>
      </c>
      <c r="C50" t="s">
        <v>221</v>
      </c>
      <c r="D50">
        <f>'2015_2020'!B19</f>
        <v>3.5099999999999999E-2</v>
      </c>
      <c r="E50">
        <f>'2015_2020'!C19</f>
        <v>1.6199999999999999E-2</v>
      </c>
      <c r="F50">
        <f>'2015_2020'!D19</f>
        <v>-8.1700000000000002E-3</v>
      </c>
      <c r="G50">
        <f>'2015_2020'!E19</f>
        <v>2.2499999999999999E-2</v>
      </c>
      <c r="H50">
        <f>'2015_2020'!F19</f>
        <v>-1.72E-2</v>
      </c>
      <c r="I50">
        <f>'2015_2020'!G19</f>
        <v>3.7299999999999998E-3</v>
      </c>
      <c r="J50">
        <f>'2015_2020'!H19</f>
        <v>-6.2500000000000003E-3</v>
      </c>
      <c r="K50">
        <f>'2015_2020'!I19</f>
        <v>-6.2700000000000004E-3</v>
      </c>
      <c r="L50">
        <f>'2015_2020'!J19</f>
        <v>-1.7899999999999999E-3</v>
      </c>
      <c r="M50">
        <f>'2015_2020'!K19</f>
        <v>-1.1900000000000001E-2</v>
      </c>
      <c r="N50">
        <f>'2015_2020'!L19</f>
        <v>-1.32E-2</v>
      </c>
      <c r="O50">
        <f>'2015_2020'!M19</f>
        <v>-4.45E-3</v>
      </c>
      <c r="P50">
        <f>'2015_2020'!N19</f>
        <v>-6.4400000000000004E-3</v>
      </c>
      <c r="Q50">
        <f>'2015_2020'!O19</f>
        <v>-4.5500000000000002E-3</v>
      </c>
      <c r="R50">
        <f>'2015_2020'!P19</f>
        <v>-3.3700000000000002E-3</v>
      </c>
      <c r="S50">
        <f>'2015_2020'!Q19</f>
        <v>-2.8600000000000001E-3</v>
      </c>
      <c r="T50">
        <f>'2015_2020'!R19</f>
        <v>-1.7700000000000001E-3</v>
      </c>
      <c r="U50">
        <f>'2015_2020'!S19</f>
        <v>-1.5E-3</v>
      </c>
      <c r="V50">
        <f>'2015_2020'!T19</f>
        <v>1.3E-6</v>
      </c>
      <c r="W50">
        <f>'2015_2020'!U19</f>
        <v>-1.6899999999999999E-4</v>
      </c>
      <c r="X50">
        <f>'2015_2020'!V19</f>
        <v>2.87E-5</v>
      </c>
      <c r="Y50">
        <f>'2015_2020'!W19</f>
        <v>7.9600000000000005E-4</v>
      </c>
      <c r="Z50">
        <f>'2015_2020'!X19</f>
        <v>4.5100000000000001E-4</v>
      </c>
      <c r="AA50">
        <f>'2015_2020'!Y19</f>
        <v>6.7500000000000004E-4</v>
      </c>
      <c r="AB50">
        <f>'2015_2020'!Z19</f>
        <v>1.1199999999999999E-3</v>
      </c>
      <c r="AC50">
        <f>'2015_2020'!AA19</f>
        <v>1.0300000000000001E-3</v>
      </c>
      <c r="AD50">
        <f>'2015_2020'!AB19</f>
        <v>9.1500000000000001E-4</v>
      </c>
      <c r="AE50">
        <f>'2015_2020'!AC19</f>
        <v>6.5799999999999995E-4</v>
      </c>
      <c r="AF50">
        <f>'2015_2020'!AD19</f>
        <v>2.9599999999999998E-4</v>
      </c>
      <c r="AG50">
        <f>'2015_2020'!AE19</f>
        <v>-6.6E-4</v>
      </c>
      <c r="AH50">
        <f>'2015_2020'!AF19</f>
        <v>-8.1700000000000002E-4</v>
      </c>
      <c r="AI50">
        <f>'2015_2020'!AG19</f>
        <v>-5.31E-4</v>
      </c>
      <c r="AJ50">
        <f>'2015_2020'!AH19</f>
        <v>4.2499999999999998E-4</v>
      </c>
      <c r="AK50">
        <f>'2015_2020'!AI19</f>
        <v>4.35E-4</v>
      </c>
      <c r="AL50">
        <f>'2015_2020'!AJ19</f>
        <v>-1.02E-4</v>
      </c>
      <c r="AM50">
        <f>'2015_2020'!AK19</f>
        <v>-2.4499999999999999E-4</v>
      </c>
      <c r="AN50">
        <f>'2015_2020'!AL19</f>
        <v>-4.4299999999999998E-4</v>
      </c>
      <c r="AO50">
        <f>'2015_2020'!AM19</f>
        <v>-3.4900000000000003E-4</v>
      </c>
      <c r="AP50">
        <f>'2015_2020'!AN19</f>
        <v>-2.32E-4</v>
      </c>
      <c r="AQ50">
        <f>'2015_2020'!AO19</f>
        <v>2.34E-4</v>
      </c>
      <c r="AR50">
        <f>'2015_2020'!AP19</f>
        <v>4.26E-4</v>
      </c>
      <c r="AS50">
        <f>'2015_2020'!AQ19</f>
        <v>-1.3200000000000001E-5</v>
      </c>
      <c r="AT50">
        <f>'2015_2020'!AR19</f>
        <v>1.07E-4</v>
      </c>
      <c r="AU50">
        <f>'2015_2020'!AS19</f>
        <v>3.4200000000000002E-4</v>
      </c>
      <c r="AV50">
        <f>'2015_2020'!AT19</f>
        <v>-2.9500000000000001E-4</v>
      </c>
      <c r="AW50">
        <f>'2015_2020'!AU19</f>
        <v>8.7899999999999995E-5</v>
      </c>
      <c r="AX50">
        <f>'2015_2020'!AV19</f>
        <v>5.0000000000000001E-4</v>
      </c>
      <c r="AY50">
        <f>'2015_2020'!AW19</f>
        <v>5.1999999999999995E-4</v>
      </c>
      <c r="AZ50">
        <f>'2015_2020'!AX19</f>
        <v>3.9399999999999998E-4</v>
      </c>
      <c r="BA50">
        <f>'2015_2020'!AY19</f>
        <v>3.9300000000000001E-4</v>
      </c>
      <c r="BB50">
        <f>'2015_2020'!AZ19</f>
        <v>2.0699999999999999E-4</v>
      </c>
      <c r="BC50">
        <f>'2015_2020'!BA19</f>
        <v>4.6300000000000001E-5</v>
      </c>
      <c r="BD50">
        <f>'2015_2020'!BB19</f>
        <v>2.1699999999999999E-4</v>
      </c>
      <c r="BE50">
        <f>'2015_2020'!BC19</f>
        <v>1.01E-4</v>
      </c>
      <c r="BF50">
        <f>'2015_2020'!BD19</f>
        <v>-5.9900000000000003E-4</v>
      </c>
      <c r="BG50">
        <f>'2015_2020'!BE19</f>
        <v>-2.13E-4</v>
      </c>
      <c r="BH50">
        <f>'2015_2020'!BF19</f>
        <v>-1.85E-4</v>
      </c>
      <c r="BI50">
        <f>'2015_2020'!BG19</f>
        <v>-1.54E-4</v>
      </c>
      <c r="BJ50">
        <f>'2015_2020'!BH19</f>
        <v>-2.34E-4</v>
      </c>
      <c r="BK50">
        <f>'2015_2020'!BI19</f>
        <v>1.2400000000000001E-4</v>
      </c>
      <c r="BL50">
        <f>'2015_2020'!BJ19</f>
        <v>-1.3300000000000001E-4</v>
      </c>
      <c r="BM50">
        <f>'2015_2020'!BK19</f>
        <v>2.1100000000000001E-4</v>
      </c>
      <c r="BN50">
        <f>'2015_2020'!BL19</f>
        <v>4.3399999999999998E-4</v>
      </c>
      <c r="BO50">
        <f>'2015_2020'!BM19</f>
        <v>1.23E-3</v>
      </c>
      <c r="BP50">
        <f>'2015_2020'!BN19</f>
        <v>1.1199999999999999E-3</v>
      </c>
      <c r="BQ50">
        <f>'2015_2020'!BO19</f>
        <v>1.07E-3</v>
      </c>
      <c r="BR50">
        <f>'2015_2020'!BP19</f>
        <v>9.1500000000000001E-4</v>
      </c>
      <c r="BS50">
        <f>'2015_2020'!BQ19</f>
        <v>9.3000000000000005E-4</v>
      </c>
      <c r="BT50">
        <f>'2015_2020'!BR19</f>
        <v>1.9499999999999999E-3</v>
      </c>
      <c r="BU50">
        <f>'2015_2020'!BS19</f>
        <v>1.6999999999999999E-3</v>
      </c>
      <c r="BV50">
        <f>'2015_2020'!BT19</f>
        <v>-3.1599999999999998E-4</v>
      </c>
      <c r="BW50">
        <f>'2015_2020'!BU19</f>
        <v>2.4000000000000001E-4</v>
      </c>
      <c r="BX50">
        <f>'2015_2020'!BV19</f>
        <v>4.6299999999999998E-4</v>
      </c>
      <c r="BY50">
        <f>'2015_2020'!BW19</f>
        <v>2.5300000000000002E-4</v>
      </c>
      <c r="BZ50">
        <f>'2015_2020'!BX19</f>
        <v>3.6299999999999999E-4</v>
      </c>
      <c r="CA50">
        <f>'2015_2020'!BY19</f>
        <v>8.3500000000000002E-4</v>
      </c>
      <c r="CB50">
        <f>'2015_2020'!BZ19</f>
        <v>7.2300000000000001E-4</v>
      </c>
      <c r="CC50">
        <f>'2015_2020'!CA19</f>
        <v>5.6300000000000002E-4</v>
      </c>
      <c r="CD50">
        <f>'2015_2020'!CB19</f>
        <v>9.5199999999999997E-5</v>
      </c>
      <c r="CE50">
        <f>'2015_2020'!CC19</f>
        <v>1.89E-3</v>
      </c>
      <c r="CF50">
        <f>'2015_2020'!CD19</f>
        <v>2.4099999999999998E-3</v>
      </c>
      <c r="CG50">
        <f>'2015_2020'!CE19</f>
        <v>2.5799999999999998E-3</v>
      </c>
      <c r="CH50">
        <f>'2015_2020'!CF19</f>
        <v>1.17E-3</v>
      </c>
      <c r="CI50">
        <f>'2015_2020'!CG19</f>
        <v>-1.26E-6</v>
      </c>
      <c r="CJ50">
        <f>'2015_2020'!CH19</f>
        <v>-1.01E-3</v>
      </c>
      <c r="CK50">
        <f>'2015_2020'!CI19</f>
        <v>1.37E-4</v>
      </c>
      <c r="CL50">
        <f>'2015_2020'!CJ19</f>
        <v>-2.03E-4</v>
      </c>
      <c r="CM50">
        <f>'2015_2020'!CK19</f>
        <v>7.0299999999999996E-4</v>
      </c>
      <c r="CN50">
        <f>'2015_2020'!CL19</f>
        <v>6.4899999999999995E-4</v>
      </c>
      <c r="CO50">
        <f>'2015_2020'!CM19</f>
        <v>9.2400000000000002E-4</v>
      </c>
      <c r="CP50">
        <f>'2015_2020'!CN19</f>
        <v>-3.1900000000000003E-5</v>
      </c>
      <c r="CQ50">
        <f>'2015_2020'!CO19</f>
        <v>-3.1700000000000001E-4</v>
      </c>
      <c r="CR50">
        <f>'2015_2020'!CP19</f>
        <v>-1.07E-3</v>
      </c>
      <c r="CS50">
        <f>'2015_2020'!CQ19</f>
        <v>-3.15E-3</v>
      </c>
      <c r="CT50">
        <f>'2015_2020'!CR19</f>
        <v>-2.5300000000000001E-3</v>
      </c>
      <c r="CU50">
        <f>'2015_2020'!CS19</f>
        <v>-2.8800000000000002E-3</v>
      </c>
      <c r="CV50">
        <f>'2015_2020'!CT19</f>
        <v>-1.8799999999999999E-3</v>
      </c>
      <c r="CW50">
        <f>'2015_2020'!CU19</f>
        <v>-1.39E-3</v>
      </c>
      <c r="CX50">
        <f>'2015_2020'!CV19</f>
        <v>4.0099999999999997E-3</v>
      </c>
    </row>
    <row r="51" spans="1:102" x14ac:dyDescent="0.2">
      <c r="A51" t="s">
        <v>213</v>
      </c>
      <c r="B51" t="s">
        <v>219</v>
      </c>
      <c r="C51" t="s">
        <v>221</v>
      </c>
      <c r="D51">
        <f>'2015_2020'!B20</f>
        <v>-0.13900000000000001</v>
      </c>
      <c r="E51">
        <f>'2015_2020'!C20</f>
        <v>-0.126</v>
      </c>
      <c r="F51">
        <f>'2015_2020'!D20</f>
        <v>6.2300000000000003E-3</v>
      </c>
      <c r="G51">
        <f>'2015_2020'!E20</f>
        <v>-0.14799999999999999</v>
      </c>
      <c r="H51">
        <f>'2015_2020'!F20</f>
        <v>0.13</v>
      </c>
      <c r="I51">
        <f>'2015_2020'!G20</f>
        <v>-6.3399999999999998E-2</v>
      </c>
      <c r="J51">
        <f>'2015_2020'!H20</f>
        <v>5.21E-2</v>
      </c>
      <c r="K51">
        <f>'2015_2020'!I20</f>
        <v>4.2500000000000003E-2</v>
      </c>
      <c r="L51">
        <f>'2015_2020'!J20</f>
        <v>1.49E-2</v>
      </c>
      <c r="M51">
        <f>'2015_2020'!K20</f>
        <v>0.14099999999999999</v>
      </c>
      <c r="N51">
        <f>'2015_2020'!L20</f>
        <v>0.18099999999999999</v>
      </c>
      <c r="O51">
        <f>'2015_2020'!M20</f>
        <v>9.3200000000000005E-2</v>
      </c>
      <c r="P51">
        <f>'2015_2020'!N20</f>
        <v>0.14399999999999999</v>
      </c>
      <c r="Q51">
        <f>'2015_2020'!O20</f>
        <v>0.13800000000000001</v>
      </c>
      <c r="R51">
        <f>'2015_2020'!P20</f>
        <v>0.12</v>
      </c>
      <c r="S51">
        <f>'2015_2020'!Q20</f>
        <v>8.7800000000000003E-2</v>
      </c>
      <c r="T51">
        <f>'2015_2020'!R20</f>
        <v>6.6100000000000006E-2</v>
      </c>
      <c r="U51">
        <f>'2015_2020'!S20</f>
        <v>5.6899999999999999E-2</v>
      </c>
      <c r="V51">
        <f>'2015_2020'!T20</f>
        <v>4.3799999999999999E-2</v>
      </c>
      <c r="W51">
        <f>'2015_2020'!U20</f>
        <v>3.8600000000000002E-2</v>
      </c>
      <c r="X51">
        <f>'2015_2020'!V20</f>
        <v>3.4700000000000002E-2</v>
      </c>
      <c r="Y51">
        <f>'2015_2020'!W20</f>
        <v>2.23E-2</v>
      </c>
      <c r="Z51">
        <f>'2015_2020'!X20</f>
        <v>2.9000000000000001E-2</v>
      </c>
      <c r="AA51">
        <f>'2015_2020'!Y20</f>
        <v>3.6999999999999998E-2</v>
      </c>
      <c r="AB51">
        <f>'2015_2020'!Z20</f>
        <v>4.2999999999999997E-2</v>
      </c>
      <c r="AC51">
        <f>'2015_2020'!AA20</f>
        <v>4.4299999999999999E-2</v>
      </c>
      <c r="AD51">
        <f>'2015_2020'!AB20</f>
        <v>4.0300000000000002E-2</v>
      </c>
      <c r="AE51">
        <f>'2015_2020'!AC20</f>
        <v>4.1399999999999999E-2</v>
      </c>
      <c r="AF51">
        <f>'2015_2020'!AD20</f>
        <v>3.6700000000000003E-2</v>
      </c>
      <c r="AG51">
        <f>'2015_2020'!AE20</f>
        <v>3.1899999999999998E-2</v>
      </c>
      <c r="AH51">
        <f>'2015_2020'!AF20</f>
        <v>3.9699999999999999E-2</v>
      </c>
      <c r="AI51">
        <f>'2015_2020'!AG20</f>
        <v>3.2199999999999999E-2</v>
      </c>
      <c r="AJ51">
        <f>'2015_2020'!AH20</f>
        <v>2.5999999999999999E-2</v>
      </c>
      <c r="AK51">
        <f>'2015_2020'!AI20</f>
        <v>2.4799999999999999E-2</v>
      </c>
      <c r="AL51">
        <f>'2015_2020'!AJ20</f>
        <v>2.9000000000000001E-2</v>
      </c>
      <c r="AM51">
        <f>'2015_2020'!AK20</f>
        <v>2.4899999999999999E-2</v>
      </c>
      <c r="AN51">
        <f>'2015_2020'!AL20</f>
        <v>2.6200000000000001E-2</v>
      </c>
      <c r="AO51">
        <f>'2015_2020'!AM20</f>
        <v>3.0599999999999999E-2</v>
      </c>
      <c r="AP51">
        <f>'2015_2020'!AN20</f>
        <v>3.6400000000000002E-2</v>
      </c>
      <c r="AQ51">
        <f>'2015_2020'!AO20</f>
        <v>3.7900000000000003E-2</v>
      </c>
      <c r="AR51">
        <f>'2015_2020'!AP20</f>
        <v>3.4500000000000003E-2</v>
      </c>
      <c r="AS51">
        <f>'2015_2020'!AQ20</f>
        <v>2.7199999999999998E-2</v>
      </c>
      <c r="AT51">
        <f>'2015_2020'!AR20</f>
        <v>2.3900000000000001E-2</v>
      </c>
      <c r="AU51">
        <f>'2015_2020'!AS20</f>
        <v>2.2100000000000002E-2</v>
      </c>
      <c r="AV51">
        <f>'2015_2020'!AT20</f>
        <v>3.0599999999999999E-2</v>
      </c>
      <c r="AW51">
        <f>'2015_2020'!AU20</f>
        <v>3.0800000000000001E-2</v>
      </c>
      <c r="AX51">
        <f>'2015_2020'!AV20</f>
        <v>1.9900000000000001E-2</v>
      </c>
      <c r="AY51">
        <f>'2015_2020'!AW20</f>
        <v>0.02</v>
      </c>
      <c r="AZ51">
        <f>'2015_2020'!AX20</f>
        <v>2.23E-2</v>
      </c>
      <c r="BA51">
        <f>'2015_2020'!AY20</f>
        <v>2.52E-2</v>
      </c>
      <c r="BB51">
        <f>'2015_2020'!AZ20</f>
        <v>2.06E-2</v>
      </c>
      <c r="BC51">
        <f>'2015_2020'!BA20</f>
        <v>2.5700000000000001E-2</v>
      </c>
      <c r="BD51">
        <f>'2015_2020'!BB20</f>
        <v>2.18E-2</v>
      </c>
      <c r="BE51">
        <f>'2015_2020'!BC20</f>
        <v>2.3699999999999999E-2</v>
      </c>
      <c r="BF51">
        <f>'2015_2020'!BD20</f>
        <v>2.4E-2</v>
      </c>
      <c r="BG51">
        <f>'2015_2020'!BE20</f>
        <v>2.7199999999999998E-2</v>
      </c>
      <c r="BH51">
        <f>'2015_2020'!BF20</f>
        <v>3.0499999999999999E-2</v>
      </c>
      <c r="BI51">
        <f>'2015_2020'!BG20</f>
        <v>2.6599999999999999E-2</v>
      </c>
      <c r="BJ51">
        <f>'2015_2020'!BH20</f>
        <v>0.03</v>
      </c>
      <c r="BK51">
        <f>'2015_2020'!BI20</f>
        <v>2.46E-2</v>
      </c>
      <c r="BL51">
        <f>'2015_2020'!BJ20</f>
        <v>2.3099999999999999E-2</v>
      </c>
      <c r="BM51">
        <f>'2015_2020'!BK20</f>
        <v>2.0899999999999998E-2</v>
      </c>
      <c r="BN51">
        <f>'2015_2020'!BL20</f>
        <v>1.8100000000000002E-2</v>
      </c>
      <c r="BO51">
        <f>'2015_2020'!BM20</f>
        <v>1.5299999999999999E-2</v>
      </c>
      <c r="BP51">
        <f>'2015_2020'!BN20</f>
        <v>9.7800000000000005E-3</v>
      </c>
      <c r="BQ51">
        <f>'2015_2020'!BO20</f>
        <v>1.4E-2</v>
      </c>
      <c r="BR51">
        <f>'2015_2020'!BP20</f>
        <v>1.9900000000000001E-2</v>
      </c>
      <c r="BS51">
        <f>'2015_2020'!BQ20</f>
        <v>2.4799999999999999E-2</v>
      </c>
      <c r="BT51">
        <f>'2015_2020'!BR20</f>
        <v>2.9899999999999999E-2</v>
      </c>
      <c r="BU51">
        <f>'2015_2020'!BS20</f>
        <v>3.32E-2</v>
      </c>
      <c r="BV51">
        <f>'2015_2020'!BT20</f>
        <v>3.5299999999999998E-2</v>
      </c>
      <c r="BW51">
        <f>'2015_2020'!BU20</f>
        <v>3.6600000000000001E-2</v>
      </c>
      <c r="BX51">
        <f>'2015_2020'!BV20</f>
        <v>2.7099999999999999E-2</v>
      </c>
      <c r="BY51">
        <f>'2015_2020'!BW20</f>
        <v>3.9199999999999999E-2</v>
      </c>
      <c r="BZ51">
        <f>'2015_2020'!BX20</f>
        <v>4.0500000000000001E-2</v>
      </c>
      <c r="CA51">
        <f>'2015_2020'!BY20</f>
        <v>3.3300000000000003E-2</v>
      </c>
      <c r="CB51">
        <f>'2015_2020'!BZ20</f>
        <v>2.3599999999999999E-2</v>
      </c>
      <c r="CC51">
        <f>'2015_2020'!CA20</f>
        <v>3.49E-2</v>
      </c>
      <c r="CD51">
        <f>'2015_2020'!CB20</f>
        <v>1.9699999999999999E-2</v>
      </c>
      <c r="CE51">
        <f>'2015_2020'!CC20</f>
        <v>2.06E-2</v>
      </c>
      <c r="CF51">
        <f>'2015_2020'!CD20</f>
        <v>2.41E-2</v>
      </c>
      <c r="CG51">
        <f>'2015_2020'!CE20</f>
        <v>2.5999999999999999E-2</v>
      </c>
      <c r="CH51">
        <f>'2015_2020'!CF20</f>
        <v>2.01E-2</v>
      </c>
      <c r="CI51">
        <f>'2015_2020'!CG20</f>
        <v>2.4899999999999999E-2</v>
      </c>
      <c r="CJ51">
        <f>'2015_2020'!CH20</f>
        <v>1.4E-2</v>
      </c>
      <c r="CK51">
        <f>'2015_2020'!CI20</f>
        <v>6.1599999999999997E-3</v>
      </c>
      <c r="CL51">
        <f>'2015_2020'!CJ20</f>
        <v>2.31E-3</v>
      </c>
      <c r="CM51">
        <f>'2015_2020'!CK20</f>
        <v>1.6500000000000001E-2</v>
      </c>
      <c r="CN51">
        <f>'2015_2020'!CL20</f>
        <v>1.9699999999999999E-2</v>
      </c>
      <c r="CO51">
        <f>'2015_2020'!CM20</f>
        <v>7.6899999999999998E-3</v>
      </c>
      <c r="CP51">
        <f>'2015_2020'!CN20</f>
        <v>1.8200000000000001E-2</v>
      </c>
      <c r="CQ51">
        <f>'2015_2020'!CO20</f>
        <v>9.8200000000000006E-3</v>
      </c>
      <c r="CR51">
        <f>'2015_2020'!CP20</f>
        <v>1.38E-2</v>
      </c>
      <c r="CS51">
        <f>'2015_2020'!CQ20</f>
        <v>2.63E-2</v>
      </c>
      <c r="CT51">
        <f>'2015_2020'!CR20</f>
        <v>1.9900000000000001E-2</v>
      </c>
      <c r="CU51">
        <f>'2015_2020'!CS20</f>
        <v>1.5299999999999999E-2</v>
      </c>
      <c r="CV51">
        <f>'2015_2020'!CT20</f>
        <v>-6.6499999999999997E-3</v>
      </c>
      <c r="CW51">
        <f>'2015_2020'!CU20</f>
        <v>1.6199999999999999E-2</v>
      </c>
      <c r="CX51">
        <f>'2015_2020'!CV20</f>
        <v>1.52E-2</v>
      </c>
    </row>
    <row r="52" spans="1:102" x14ac:dyDescent="0.2">
      <c r="A52" t="s">
        <v>214</v>
      </c>
      <c r="B52" t="s">
        <v>219</v>
      </c>
      <c r="C52" t="s">
        <v>221</v>
      </c>
      <c r="D52">
        <f>'2015_2020'!B21</f>
        <v>3.6400000000000002E-2</v>
      </c>
      <c r="E52">
        <f>'2015_2020'!C21</f>
        <v>4.3700000000000003E-2</v>
      </c>
      <c r="F52">
        <f>'2015_2020'!D21</f>
        <v>2.6499999999999999E-2</v>
      </c>
      <c r="G52">
        <f>'2015_2020'!E21</f>
        <v>1.3899999999999999E-2</v>
      </c>
      <c r="H52">
        <f>'2015_2020'!F21</f>
        <v>4.0099999999999997E-2</v>
      </c>
      <c r="I52">
        <f>'2015_2020'!G21</f>
        <v>3.4099999999999998E-2</v>
      </c>
      <c r="J52">
        <f>'2015_2020'!H21</f>
        <v>2.7400000000000001E-2</v>
      </c>
      <c r="K52">
        <f>'2015_2020'!I21</f>
        <v>2.24E-2</v>
      </c>
      <c r="L52">
        <f>'2015_2020'!J21</f>
        <v>1.72E-2</v>
      </c>
      <c r="M52">
        <f>'2015_2020'!K21</f>
        <v>1.5699999999999999E-2</v>
      </c>
      <c r="N52">
        <f>'2015_2020'!L21</f>
        <v>1.2E-2</v>
      </c>
      <c r="O52">
        <f>'2015_2020'!M21</f>
        <v>1.2899999999999999E-3</v>
      </c>
      <c r="P52">
        <f>'2015_2020'!N21</f>
        <v>1.5800000000000002E-2</v>
      </c>
      <c r="Q52">
        <f>'2015_2020'!O21</f>
        <v>1.3500000000000001E-3</v>
      </c>
      <c r="R52">
        <f>'2015_2020'!P21</f>
        <v>-2.7599999999999999E-3</v>
      </c>
      <c r="S52">
        <f>'2015_2020'!Q21</f>
        <v>-1.25E-4</v>
      </c>
      <c r="T52">
        <f>'2015_2020'!R21</f>
        <v>-1.91E-3</v>
      </c>
      <c r="U52">
        <f>'2015_2020'!S21</f>
        <v>1.47E-3</v>
      </c>
      <c r="V52">
        <f>'2015_2020'!T21</f>
        <v>-2.4599999999999999E-3</v>
      </c>
      <c r="W52">
        <f>'2015_2020'!U21</f>
        <v>-3.8999999999999998E-3</v>
      </c>
      <c r="X52">
        <f>'2015_2020'!V21</f>
        <v>-3.98E-3</v>
      </c>
      <c r="Y52">
        <f>'2015_2020'!W21</f>
        <v>-5.3200000000000001E-3</v>
      </c>
      <c r="Z52">
        <f>'2015_2020'!X21</f>
        <v>-7.8300000000000002E-3</v>
      </c>
      <c r="AA52">
        <f>'2015_2020'!Y21</f>
        <v>-9.0799999999999995E-3</v>
      </c>
      <c r="AB52">
        <f>'2015_2020'!Z21</f>
        <v>2.1099999999999999E-3</v>
      </c>
      <c r="AC52">
        <f>'2015_2020'!AA21</f>
        <v>-3.4099999999999998E-3</v>
      </c>
      <c r="AD52">
        <f>'2015_2020'!AB21</f>
        <v>-3.3700000000000002E-3</v>
      </c>
      <c r="AE52">
        <f>'2015_2020'!AC21</f>
        <v>-5.7600000000000004E-3</v>
      </c>
      <c r="AF52">
        <f>'2015_2020'!AD21</f>
        <v>4.2900000000000004E-3</v>
      </c>
      <c r="AG52">
        <f>'2015_2020'!AE21</f>
        <v>-1.42E-3</v>
      </c>
      <c r="AH52">
        <f>'2015_2020'!AF21</f>
        <v>-3.1E-4</v>
      </c>
      <c r="AI52">
        <f>'2015_2020'!AG21</f>
        <v>-8.1599999999999999E-4</v>
      </c>
      <c r="AJ52">
        <f>'2015_2020'!AH21</f>
        <v>1.9799999999999999E-4</v>
      </c>
      <c r="AK52">
        <f>'2015_2020'!AI21</f>
        <v>-3.6600000000000002E-5</v>
      </c>
      <c r="AL52">
        <f>'2015_2020'!AJ21</f>
        <v>1.83E-4</v>
      </c>
      <c r="AM52">
        <f>'2015_2020'!AK21</f>
        <v>-4.0699999999999998E-3</v>
      </c>
      <c r="AN52">
        <f>'2015_2020'!AL21</f>
        <v>-2.1199999999999999E-3</v>
      </c>
      <c r="AO52">
        <f>'2015_2020'!AM21</f>
        <v>-4.47E-3</v>
      </c>
      <c r="AP52">
        <f>'2015_2020'!AN21</f>
        <v>3.7499999999999999E-3</v>
      </c>
      <c r="AQ52">
        <f>'2015_2020'!AO21</f>
        <v>4.4700000000000002E-4</v>
      </c>
      <c r="AR52">
        <f>'2015_2020'!AP21</f>
        <v>6.6800000000000002E-3</v>
      </c>
      <c r="AS52">
        <f>'2015_2020'!AQ21</f>
        <v>-3.47E-3</v>
      </c>
      <c r="AT52">
        <f>'2015_2020'!AR21</f>
        <v>-2.98E-3</v>
      </c>
      <c r="AU52">
        <f>'2015_2020'!AS21</f>
        <v>-3.7499999999999999E-3</v>
      </c>
      <c r="AV52">
        <f>'2015_2020'!AT21</f>
        <v>6.4200000000000004E-3</v>
      </c>
      <c r="AW52">
        <f>'2015_2020'!AU21</f>
        <v>6.0999999999999997E-4</v>
      </c>
      <c r="AX52">
        <f>'2015_2020'!AV21</f>
        <v>3.2399999999999998E-3</v>
      </c>
      <c r="AY52">
        <f>'2015_2020'!AW21</f>
        <v>3.86E-4</v>
      </c>
      <c r="AZ52">
        <f>'2015_2020'!AX21</f>
        <v>2.3999999999999998E-3</v>
      </c>
      <c r="BA52">
        <f>'2015_2020'!AY21</f>
        <v>1.9499999999999999E-3</v>
      </c>
      <c r="BB52">
        <f>'2015_2020'!AZ21</f>
        <v>1.49E-3</v>
      </c>
      <c r="BC52">
        <f>'2015_2020'!BA21</f>
        <v>-7.4600000000000003E-4</v>
      </c>
      <c r="BD52">
        <f>'2015_2020'!BB21</f>
        <v>5.4500000000000002E-4</v>
      </c>
      <c r="BE52">
        <f>'2015_2020'!BC21</f>
        <v>-4.1399999999999996E-3</v>
      </c>
      <c r="BF52">
        <f>'2015_2020'!BD21</f>
        <v>3.5699999999999998E-3</v>
      </c>
      <c r="BG52">
        <f>'2015_2020'!BE21</f>
        <v>5.2499999999999997E-4</v>
      </c>
      <c r="BH52">
        <f>'2015_2020'!BF21</f>
        <v>3.6700000000000001E-3</v>
      </c>
      <c r="BI52">
        <f>'2015_2020'!BG21</f>
        <v>2.3600000000000001E-3</v>
      </c>
      <c r="BJ52">
        <f>'2015_2020'!BH21</f>
        <v>6.2500000000000003E-3</v>
      </c>
      <c r="BK52">
        <f>'2015_2020'!BI21</f>
        <v>8.0000000000000004E-4</v>
      </c>
      <c r="BL52">
        <f>'2015_2020'!BJ21</f>
        <v>2.8600000000000001E-3</v>
      </c>
      <c r="BM52">
        <f>'2015_2020'!BK21</f>
        <v>9.6500000000000004E-4</v>
      </c>
      <c r="BN52">
        <f>'2015_2020'!BL21</f>
        <v>1.7700000000000001E-3</v>
      </c>
      <c r="BO52">
        <f>'2015_2020'!BM21</f>
        <v>2.4199999999999998E-3</v>
      </c>
      <c r="BP52">
        <f>'2015_2020'!BN21</f>
        <v>3.7699999999999999E-3</v>
      </c>
      <c r="BQ52">
        <f>'2015_2020'!BO21</f>
        <v>-4.0699999999999998E-3</v>
      </c>
      <c r="BR52">
        <f>'2015_2020'!BP21</f>
        <v>-9.8399999999999998E-3</v>
      </c>
      <c r="BS52">
        <f>'2015_2020'!BQ21</f>
        <v>5.1400000000000003E-4</v>
      </c>
      <c r="BT52">
        <f>'2015_2020'!BR21</f>
        <v>2.3999999999999998E-3</v>
      </c>
      <c r="BU52">
        <f>'2015_2020'!BS21</f>
        <v>6.1900000000000002E-3</v>
      </c>
      <c r="BV52">
        <f>'2015_2020'!BT21</f>
        <v>3.3999999999999998E-3</v>
      </c>
      <c r="BW52">
        <f>'2015_2020'!BU21</f>
        <v>5.0499999999999998E-3</v>
      </c>
      <c r="BX52">
        <f>'2015_2020'!BV21</f>
        <v>6.6299999999999996E-3</v>
      </c>
      <c r="BY52">
        <f>'2015_2020'!BW21</f>
        <v>6.1000000000000004E-3</v>
      </c>
      <c r="BZ52">
        <f>'2015_2020'!BX21</f>
        <v>1.3999999999999999E-4</v>
      </c>
      <c r="CA52">
        <f>'2015_2020'!BY21</f>
        <v>8.1399999999999997E-3</v>
      </c>
      <c r="CB52">
        <f>'2015_2020'!BZ21</f>
        <v>-3.0300000000000001E-3</v>
      </c>
      <c r="CC52">
        <f>'2015_2020'!CA21</f>
        <v>-5.4900000000000001E-3</v>
      </c>
      <c r="CD52">
        <f>'2015_2020'!CB21</f>
        <v>1.03E-2</v>
      </c>
      <c r="CE52">
        <f>'2015_2020'!CC21</f>
        <v>1.34E-2</v>
      </c>
      <c r="CF52">
        <f>'2015_2020'!CD21</f>
        <v>-4.8999999999999998E-4</v>
      </c>
      <c r="CG52">
        <f>'2015_2020'!CE21</f>
        <v>1.14E-2</v>
      </c>
      <c r="CH52">
        <f>'2015_2020'!CF21</f>
        <v>4.2199999999999998E-3</v>
      </c>
      <c r="CI52">
        <f>'2015_2020'!CG21</f>
        <v>1.3100000000000001E-2</v>
      </c>
      <c r="CJ52">
        <f>'2015_2020'!CH21</f>
        <v>1.01E-2</v>
      </c>
      <c r="CK52">
        <f>'2015_2020'!CI21</f>
        <v>1.1299999999999999E-2</v>
      </c>
      <c r="CL52">
        <f>'2015_2020'!CJ21</f>
        <v>2.0999999999999999E-3</v>
      </c>
      <c r="CM52">
        <f>'2015_2020'!CK21</f>
        <v>1.77E-2</v>
      </c>
      <c r="CN52">
        <f>'2015_2020'!CL21</f>
        <v>1.14E-2</v>
      </c>
      <c r="CO52">
        <f>'2015_2020'!CM21</f>
        <v>1.5900000000000001E-2</v>
      </c>
      <c r="CP52">
        <f>'2015_2020'!CN21</f>
        <v>1.03E-2</v>
      </c>
      <c r="CQ52">
        <f>'2015_2020'!CO21</f>
        <v>2.0799999999999999E-2</v>
      </c>
      <c r="CR52">
        <f>'2015_2020'!CP21</f>
        <v>1.6899999999999998E-2</v>
      </c>
      <c r="CS52">
        <f>'2015_2020'!CQ21</f>
        <v>1.2500000000000001E-2</v>
      </c>
      <c r="CT52">
        <f>'2015_2020'!CR21</f>
        <v>2.9499999999999998E-2</v>
      </c>
      <c r="CU52">
        <f>'2015_2020'!CS21</f>
        <v>3.8199999999999998E-2</v>
      </c>
      <c r="CV52">
        <f>'2015_2020'!CT21</f>
        <v>3.15E-2</v>
      </c>
      <c r="CW52">
        <f>'2015_2020'!CU21</f>
        <v>3.9199999999999999E-2</v>
      </c>
      <c r="CX52">
        <f>'2015_2020'!CV21</f>
        <v>2.9000000000000001E-2</v>
      </c>
    </row>
    <row r="53" spans="1:102" x14ac:dyDescent="0.2">
      <c r="A53" t="s">
        <v>215</v>
      </c>
      <c r="B53" t="s">
        <v>219</v>
      </c>
      <c r="C53" t="s">
        <v>221</v>
      </c>
      <c r="D53">
        <f>'2015_2020'!B22</f>
        <v>-1.24E-2</v>
      </c>
      <c r="E53">
        <f>'2015_2020'!C22</f>
        <v>-0.113</v>
      </c>
      <c r="F53">
        <f>'2015_2020'!D22</f>
        <v>-6.3700000000000007E-2</v>
      </c>
      <c r="G53">
        <f>'2015_2020'!E22</f>
        <v>-2.6100000000000002E-2</v>
      </c>
      <c r="H53">
        <f>'2015_2020'!F22</f>
        <v>3.2199999999999999E-2</v>
      </c>
      <c r="I53">
        <f>'2015_2020'!G22</f>
        <v>4.1700000000000001E-2</v>
      </c>
      <c r="J53">
        <f>'2015_2020'!H22</f>
        <v>4.07E-2</v>
      </c>
      <c r="K53">
        <f>'2015_2020'!I22</f>
        <v>1.23E-2</v>
      </c>
      <c r="L53">
        <f>'2015_2020'!J22</f>
        <v>1.3599999999999999E-2</v>
      </c>
      <c r="M53">
        <f>'2015_2020'!K22</f>
        <v>1.15E-2</v>
      </c>
      <c r="N53">
        <f>'2015_2020'!L22</f>
        <v>2.6599999999999999E-2</v>
      </c>
      <c r="O53">
        <f>'2015_2020'!M22</f>
        <v>1.5100000000000001E-2</v>
      </c>
      <c r="P53">
        <f>'2015_2020'!N22</f>
        <v>2.4E-2</v>
      </c>
      <c r="Q53">
        <f>'2015_2020'!O22</f>
        <v>2.0299999999999999E-2</v>
      </c>
      <c r="R53">
        <f>'2015_2020'!P22</f>
        <v>2.2499999999999999E-2</v>
      </c>
      <c r="S53">
        <f>'2015_2020'!Q22</f>
        <v>1.9599999999999999E-2</v>
      </c>
      <c r="T53">
        <f>'2015_2020'!R22</f>
        <v>1.9599999999999999E-2</v>
      </c>
      <c r="U53">
        <f>'2015_2020'!S22</f>
        <v>1.66E-2</v>
      </c>
      <c r="V53">
        <f>'2015_2020'!T22</f>
        <v>1.8100000000000002E-2</v>
      </c>
      <c r="W53">
        <f>'2015_2020'!U22</f>
        <v>1.7000000000000001E-2</v>
      </c>
      <c r="X53">
        <f>'2015_2020'!V22</f>
        <v>1.2500000000000001E-2</v>
      </c>
      <c r="Y53">
        <f>'2015_2020'!W22</f>
        <v>1.2699999999999999E-2</v>
      </c>
      <c r="Z53">
        <f>'2015_2020'!X22</f>
        <v>1.23E-2</v>
      </c>
      <c r="AA53">
        <f>'2015_2020'!Y22</f>
        <v>1.18E-2</v>
      </c>
      <c r="AB53">
        <f>'2015_2020'!Z22</f>
        <v>1.3299999999999999E-2</v>
      </c>
      <c r="AC53">
        <f>'2015_2020'!AA22</f>
        <v>1.2999999999999999E-2</v>
      </c>
      <c r="AD53">
        <f>'2015_2020'!AB22</f>
        <v>1.43E-2</v>
      </c>
      <c r="AE53">
        <f>'2015_2020'!AC22</f>
        <v>1.4200000000000001E-2</v>
      </c>
      <c r="AF53">
        <f>'2015_2020'!AD22</f>
        <v>1.35E-2</v>
      </c>
      <c r="AG53">
        <f>'2015_2020'!AE22</f>
        <v>1.4E-2</v>
      </c>
      <c r="AH53">
        <f>'2015_2020'!AF22</f>
        <v>1.7299999999999999E-2</v>
      </c>
      <c r="AI53">
        <f>'2015_2020'!AG22</f>
        <v>1.77E-2</v>
      </c>
      <c r="AJ53">
        <f>'2015_2020'!AH22</f>
        <v>1.23E-2</v>
      </c>
      <c r="AK53">
        <f>'2015_2020'!AI22</f>
        <v>1.64E-3</v>
      </c>
      <c r="AL53">
        <f>'2015_2020'!AJ22</f>
        <v>3.47E-3</v>
      </c>
      <c r="AM53">
        <f>'2015_2020'!AK22</f>
        <v>3.3300000000000001E-3</v>
      </c>
      <c r="AN53">
        <f>'2015_2020'!AL22</f>
        <v>2.9199999999999999E-3</v>
      </c>
      <c r="AO53">
        <f>'2015_2020'!AM22</f>
        <v>4.7600000000000003E-3</v>
      </c>
      <c r="AP53">
        <f>'2015_2020'!AN22</f>
        <v>-3.0699999999999998E-3</v>
      </c>
      <c r="AQ53">
        <f>'2015_2020'!AO22</f>
        <v>-1.6800000000000001E-3</v>
      </c>
      <c r="AR53">
        <f>'2015_2020'!AP22</f>
        <v>2.16E-3</v>
      </c>
      <c r="AS53">
        <f>'2015_2020'!AQ22</f>
        <v>2.7799999999999999E-3</v>
      </c>
      <c r="AT53">
        <f>'2015_2020'!AR22</f>
        <v>3.1099999999999999E-3</v>
      </c>
      <c r="AU53">
        <f>'2015_2020'!AS22</f>
        <v>3.6800000000000001E-3</v>
      </c>
      <c r="AV53">
        <f>'2015_2020'!AT22</f>
        <v>6.2100000000000002E-3</v>
      </c>
      <c r="AW53">
        <f>'2015_2020'!AU22</f>
        <v>6.8100000000000001E-3</v>
      </c>
      <c r="AX53">
        <f>'2015_2020'!AV22</f>
        <v>6.6E-3</v>
      </c>
      <c r="AY53">
        <f>'2015_2020'!AW22</f>
        <v>6.4999999999999997E-3</v>
      </c>
      <c r="AZ53">
        <f>'2015_2020'!AX22</f>
        <v>9.0100000000000006E-3</v>
      </c>
      <c r="BA53">
        <f>'2015_2020'!AY22</f>
        <v>1.24E-2</v>
      </c>
      <c r="BB53">
        <f>'2015_2020'!AZ22</f>
        <v>1.17E-2</v>
      </c>
      <c r="BC53">
        <f>'2015_2020'!BA22</f>
        <v>1.2699999999999999E-2</v>
      </c>
      <c r="BD53">
        <f>'2015_2020'!BB22</f>
        <v>1.6199999999999999E-2</v>
      </c>
      <c r="BE53">
        <f>'2015_2020'!BC22</f>
        <v>1.37E-2</v>
      </c>
      <c r="BF53">
        <f>'2015_2020'!BD22</f>
        <v>1.66E-2</v>
      </c>
      <c r="BG53">
        <f>'2015_2020'!BE22</f>
        <v>1.8599999999999998E-2</v>
      </c>
      <c r="BH53">
        <f>'2015_2020'!BF22</f>
        <v>2.1399999999999999E-2</v>
      </c>
      <c r="BI53">
        <f>'2015_2020'!BG22</f>
        <v>-1.0200000000000001E-2</v>
      </c>
      <c r="BJ53">
        <f>'2015_2020'!BH22</f>
        <v>-1.61E-2</v>
      </c>
      <c r="BK53">
        <f>'2015_2020'!BI22</f>
        <v>-1.5100000000000001E-2</v>
      </c>
      <c r="BL53">
        <f>'2015_2020'!BJ22</f>
        <v>-1.21E-2</v>
      </c>
      <c r="BM53">
        <f>'2015_2020'!BK22</f>
        <v>-2.1299999999999999E-2</v>
      </c>
      <c r="BN53">
        <f>'2015_2020'!BL22</f>
        <v>-2.4400000000000002E-2</v>
      </c>
      <c r="BO53">
        <f>'2015_2020'!BM22</f>
        <v>-2.4400000000000002E-2</v>
      </c>
      <c r="BP53">
        <f>'2015_2020'!BN22</f>
        <v>-2.0899999999999998E-2</v>
      </c>
      <c r="BQ53">
        <f>'2015_2020'!BO22</f>
        <v>-2.0899999999999998E-2</v>
      </c>
      <c r="BR53">
        <f>'2015_2020'!BP22</f>
        <v>-2.0500000000000001E-2</v>
      </c>
      <c r="BS53">
        <f>'2015_2020'!BQ22</f>
        <v>-1.55E-2</v>
      </c>
      <c r="BT53">
        <f>'2015_2020'!BR22</f>
        <v>-1.7299999999999999E-2</v>
      </c>
      <c r="BU53">
        <f>'2015_2020'!BS22</f>
        <v>-1.7100000000000001E-2</v>
      </c>
      <c r="BV53">
        <f>'2015_2020'!BT22</f>
        <v>-1.8499999999999999E-2</v>
      </c>
      <c r="BW53">
        <f>'2015_2020'!BU22</f>
        <v>-2.0500000000000001E-2</v>
      </c>
      <c r="BX53">
        <f>'2015_2020'!BV22</f>
        <v>-2.1899999999999999E-2</v>
      </c>
      <c r="BY53">
        <f>'2015_2020'!BW22</f>
        <v>-2.0899999999999998E-2</v>
      </c>
      <c r="BZ53">
        <f>'2015_2020'!BX22</f>
        <v>-1.7899999999999999E-2</v>
      </c>
      <c r="CA53">
        <f>'2015_2020'!BY22</f>
        <v>-3.0500000000000002E-3</v>
      </c>
      <c r="CB53">
        <f>'2015_2020'!BZ22</f>
        <v>-7.6100000000000007E-5</v>
      </c>
      <c r="CC53">
        <f>'2015_2020'!CA22</f>
        <v>1.5900000000000001E-3</v>
      </c>
      <c r="CD53">
        <f>'2015_2020'!CB22</f>
        <v>-5.9899999999999997E-3</v>
      </c>
      <c r="CE53">
        <f>'2015_2020'!CC22</f>
        <v>-4.7999999999999996E-3</v>
      </c>
      <c r="CF53">
        <f>'2015_2020'!CD22</f>
        <v>-2.7299999999999998E-3</v>
      </c>
      <c r="CG53">
        <f>'2015_2020'!CE22</f>
        <v>-2.0200000000000001E-3</v>
      </c>
      <c r="CH53">
        <f>'2015_2020'!CF22</f>
        <v>5.9100000000000005E-4</v>
      </c>
      <c r="CI53">
        <f>'2015_2020'!CG22</f>
        <v>2.98E-3</v>
      </c>
      <c r="CJ53">
        <f>'2015_2020'!CH22</f>
        <v>-1.4999999999999999E-2</v>
      </c>
      <c r="CK53">
        <f>'2015_2020'!CI22</f>
        <v>-8.0800000000000004E-3</v>
      </c>
      <c r="CL53">
        <f>'2015_2020'!CJ22</f>
        <v>-3.2499999999999999E-3</v>
      </c>
      <c r="CM53">
        <f>'2015_2020'!CK22</f>
        <v>-2.2599999999999999E-3</v>
      </c>
      <c r="CN53">
        <f>'2015_2020'!CL22</f>
        <v>-6.4900000000000005E-5</v>
      </c>
      <c r="CO53">
        <f>'2015_2020'!CM22</f>
        <v>5.3800000000000002E-3</v>
      </c>
      <c r="CP53">
        <f>'2015_2020'!CN22</f>
        <v>6.6499999999999997E-3</v>
      </c>
      <c r="CQ53">
        <f>'2015_2020'!CO22</f>
        <v>9.7400000000000004E-3</v>
      </c>
      <c r="CR53">
        <f>'2015_2020'!CP22</f>
        <v>1.78E-2</v>
      </c>
      <c r="CS53">
        <f>'2015_2020'!CQ22</f>
        <v>1.83E-2</v>
      </c>
      <c r="CT53">
        <f>'2015_2020'!CR22</f>
        <v>-7.3800000000000004E-2</v>
      </c>
      <c r="CU53">
        <f>'2015_2020'!CS22</f>
        <v>-7.9000000000000001E-2</v>
      </c>
      <c r="CV53">
        <f>'2015_2020'!CT22</f>
        <v>-6.6299999999999998E-2</v>
      </c>
      <c r="CW53">
        <f>'2015_2020'!CU22</f>
        <v>-7.6499999999999999E-2</v>
      </c>
      <c r="CX53">
        <f>'2015_2020'!CV22</f>
        <v>-7.5999999999999998E-2</v>
      </c>
    </row>
    <row r="54" spans="1:102" x14ac:dyDescent="0.2">
      <c r="A54" t="s">
        <v>216</v>
      </c>
      <c r="B54" t="s">
        <v>219</v>
      </c>
      <c r="C54" t="s">
        <v>221</v>
      </c>
      <c r="D54">
        <f>'2015_2020'!B23</f>
        <v>0.45200000000000001</v>
      </c>
      <c r="E54">
        <f>'2015_2020'!C23</f>
        <v>-0.14199999999999999</v>
      </c>
      <c r="F54">
        <f>'2015_2020'!D23</f>
        <v>-0.92800000000000005</v>
      </c>
      <c r="G54">
        <f>'2015_2020'!E23</f>
        <v>3.7900000000000003E-2</v>
      </c>
      <c r="H54">
        <f>'2015_2020'!F23</f>
        <v>-1.458</v>
      </c>
      <c r="I54">
        <f>'2015_2020'!G23</f>
        <v>-0.435</v>
      </c>
      <c r="J54">
        <f>'2015_2020'!H23</f>
        <v>-0.97</v>
      </c>
      <c r="K54">
        <f>'2015_2020'!I23</f>
        <v>-0.75600000000000001</v>
      </c>
      <c r="L54">
        <f>'2015_2020'!J23</f>
        <v>-0.53400000000000003</v>
      </c>
      <c r="M54">
        <f>'2015_2020'!K23</f>
        <v>-0.97699999999999998</v>
      </c>
      <c r="N54">
        <f>'2015_2020'!L23</f>
        <v>-1.0129999999999999</v>
      </c>
      <c r="O54">
        <f>'2015_2020'!M23</f>
        <v>-0.53200000000000003</v>
      </c>
      <c r="P54">
        <f>'2015_2020'!N23</f>
        <v>-0.71199999999999997</v>
      </c>
      <c r="Q54">
        <f>'2015_2020'!O23</f>
        <v>-0.60199999999999998</v>
      </c>
      <c r="R54">
        <f>'2015_2020'!P23</f>
        <v>-0.46600000000000003</v>
      </c>
      <c r="S54">
        <f>'2015_2020'!Q23</f>
        <v>-0.378</v>
      </c>
      <c r="T54">
        <f>'2015_2020'!R23</f>
        <v>-0.26500000000000001</v>
      </c>
      <c r="U54">
        <f>'2015_2020'!S23</f>
        <v>-0.222</v>
      </c>
      <c r="V54">
        <f>'2015_2020'!T23</f>
        <v>-0.124</v>
      </c>
      <c r="W54">
        <f>'2015_2020'!U23</f>
        <v>-0.115</v>
      </c>
      <c r="X54">
        <f>'2015_2020'!V23</f>
        <v>-0.13200000000000001</v>
      </c>
      <c r="Y54">
        <f>'2015_2020'!W23</f>
        <v>-6.0299999999999999E-2</v>
      </c>
      <c r="Z54">
        <f>'2015_2020'!X23</f>
        <v>-9.2499999999999999E-2</v>
      </c>
      <c r="AA54">
        <f>'2015_2020'!Y23</f>
        <v>-0.13700000000000001</v>
      </c>
      <c r="AB54">
        <f>'2015_2020'!Z23</f>
        <v>-0.14899999999999999</v>
      </c>
      <c r="AC54">
        <f>'2015_2020'!AA23</f>
        <v>-0.13400000000000001</v>
      </c>
      <c r="AD54">
        <f>'2015_2020'!AB23</f>
        <v>-0.111</v>
      </c>
      <c r="AE54">
        <f>'2015_2020'!AC23</f>
        <v>-0.115</v>
      </c>
      <c r="AF54">
        <f>'2015_2020'!AD23</f>
        <v>-0.109</v>
      </c>
      <c r="AG54">
        <f>'2015_2020'!AE23</f>
        <v>-9.98E-2</v>
      </c>
      <c r="AH54">
        <f>'2015_2020'!AF23</f>
        <v>-0.122</v>
      </c>
      <c r="AI54">
        <f>'2015_2020'!AG23</f>
        <v>-0.123</v>
      </c>
      <c r="AJ54">
        <f>'2015_2020'!AH23</f>
        <v>-0.12</v>
      </c>
      <c r="AK54">
        <f>'2015_2020'!AI23</f>
        <v>-0.111</v>
      </c>
      <c r="AL54">
        <f>'2015_2020'!AJ23</f>
        <v>-0.11600000000000001</v>
      </c>
      <c r="AM54">
        <f>'2015_2020'!AK23</f>
        <v>-0.111</v>
      </c>
      <c r="AN54">
        <f>'2015_2020'!AL23</f>
        <v>-0.11</v>
      </c>
      <c r="AO54">
        <f>'2015_2020'!AM23</f>
        <v>-0.124</v>
      </c>
      <c r="AP54">
        <f>'2015_2020'!AN23</f>
        <v>-0.185</v>
      </c>
      <c r="AQ54">
        <f>'2015_2020'!AO23</f>
        <v>-0.217</v>
      </c>
      <c r="AR54">
        <f>'2015_2020'!AP23</f>
        <v>-0.219</v>
      </c>
      <c r="AS54">
        <f>'2015_2020'!AQ23</f>
        <v>-0.184</v>
      </c>
      <c r="AT54">
        <f>'2015_2020'!AR23</f>
        <v>-0.16600000000000001</v>
      </c>
      <c r="AU54">
        <f>'2015_2020'!AS23</f>
        <v>-0.155</v>
      </c>
      <c r="AV54">
        <f>'2015_2020'!AT23</f>
        <v>-0.14599999999999999</v>
      </c>
      <c r="AW54">
        <f>'2015_2020'!AU23</f>
        <v>-0.114</v>
      </c>
      <c r="AX54">
        <f>'2015_2020'!AV23</f>
        <v>-9.4399999999999998E-2</v>
      </c>
      <c r="AY54">
        <f>'2015_2020'!AW23</f>
        <v>-6.7699999999999996E-2</v>
      </c>
      <c r="AZ54">
        <f>'2015_2020'!AX23</f>
        <v>-7.0400000000000004E-2</v>
      </c>
      <c r="BA54">
        <f>'2015_2020'!AY23</f>
        <v>-4.6600000000000003E-2</v>
      </c>
      <c r="BB54">
        <f>'2015_2020'!AZ23</f>
        <v>-7.6300000000000007E-2</v>
      </c>
      <c r="BC54">
        <f>'2015_2020'!BA23</f>
        <v>-0.106</v>
      </c>
      <c r="BD54">
        <f>'2015_2020'!BB23</f>
        <v>-0.128</v>
      </c>
      <c r="BE54">
        <f>'2015_2020'!BC23</f>
        <v>-0.128</v>
      </c>
      <c r="BF54">
        <f>'2015_2020'!BD23</f>
        <v>-0.128</v>
      </c>
      <c r="BG54">
        <f>'2015_2020'!BE23</f>
        <v>-0.17199999999999999</v>
      </c>
      <c r="BH54">
        <f>'2015_2020'!BF23</f>
        <v>-0.19</v>
      </c>
      <c r="BI54">
        <f>'2015_2020'!BG23</f>
        <v>-0.158</v>
      </c>
      <c r="BJ54">
        <f>'2015_2020'!BH23</f>
        <v>-0.158</v>
      </c>
      <c r="BK54">
        <f>'2015_2020'!BI23</f>
        <v>-0.153</v>
      </c>
      <c r="BL54">
        <f>'2015_2020'!BJ23</f>
        <v>-0.128</v>
      </c>
      <c r="BM54">
        <f>'2015_2020'!BK23</f>
        <v>-0.11700000000000001</v>
      </c>
      <c r="BN54">
        <f>'2015_2020'!BL23</f>
        <v>-9.7799999999999998E-2</v>
      </c>
      <c r="BO54">
        <f>'2015_2020'!BM23</f>
        <v>-5.7000000000000002E-2</v>
      </c>
      <c r="BP54">
        <f>'2015_2020'!BN23</f>
        <v>-4.7600000000000003E-3</v>
      </c>
      <c r="BQ54">
        <f>'2015_2020'!BO23</f>
        <v>1.3500000000000001E-3</v>
      </c>
      <c r="BR54">
        <f>'2015_2020'!BP23</f>
        <v>-1.17E-2</v>
      </c>
      <c r="BS54">
        <f>'2015_2020'!BQ23</f>
        <v>-1.18E-2</v>
      </c>
      <c r="BT54">
        <f>'2015_2020'!BR23</f>
        <v>1.3899999999999999E-2</v>
      </c>
      <c r="BU54">
        <f>'2015_2020'!BS23</f>
        <v>-9.0299999999999998E-3</v>
      </c>
      <c r="BV54">
        <f>'2015_2020'!BT23</f>
        <v>-0.16400000000000001</v>
      </c>
      <c r="BW54">
        <f>'2015_2020'!BU23</f>
        <v>-0.20799999999999999</v>
      </c>
      <c r="BX54">
        <f>'2015_2020'!BV23</f>
        <v>-0.183</v>
      </c>
      <c r="BY54">
        <f>'2015_2020'!BW23</f>
        <v>-0.14699999999999999</v>
      </c>
      <c r="BZ54">
        <f>'2015_2020'!BX23</f>
        <v>-0.20499999999999999</v>
      </c>
      <c r="CA54">
        <f>'2015_2020'!BY23</f>
        <v>-0.25</v>
      </c>
      <c r="CB54">
        <f>'2015_2020'!BZ23</f>
        <v>-0.221</v>
      </c>
      <c r="CC54">
        <f>'2015_2020'!CA23</f>
        <v>-0.21299999999999999</v>
      </c>
      <c r="CD54">
        <f>'2015_2020'!CB23</f>
        <v>-0.106</v>
      </c>
      <c r="CE54">
        <f>'2015_2020'!CC23</f>
        <v>0.13700000000000001</v>
      </c>
      <c r="CF54">
        <f>'2015_2020'!CD23</f>
        <v>0.20699999999999999</v>
      </c>
      <c r="CG54">
        <f>'2015_2020'!CE23</f>
        <v>0.124</v>
      </c>
      <c r="CH54">
        <f>'2015_2020'!CF23</f>
        <v>-2.63E-2</v>
      </c>
      <c r="CI54">
        <f>'2015_2020'!CG23</f>
        <v>-0.16500000000000001</v>
      </c>
      <c r="CJ54">
        <f>'2015_2020'!CH23</f>
        <v>-0.157</v>
      </c>
      <c r="CK54">
        <f>'2015_2020'!CI23</f>
        <v>-7.6499999999999999E-2</v>
      </c>
      <c r="CL54">
        <f>'2015_2020'!CJ23</f>
        <v>2.6499999999999999E-2</v>
      </c>
      <c r="CM54">
        <f>'2015_2020'!CK23</f>
        <v>5.6000000000000001E-2</v>
      </c>
      <c r="CN54">
        <f>'2015_2020'!CL23</f>
        <v>8.1500000000000003E-2</v>
      </c>
      <c r="CO54">
        <f>'2015_2020'!CM23</f>
        <v>0.11</v>
      </c>
      <c r="CP54">
        <f>'2015_2020'!CN23</f>
        <v>2.4099999999999998E-3</v>
      </c>
      <c r="CQ54">
        <f>'2015_2020'!CO23</f>
        <v>-3.1700000000000001E-3</v>
      </c>
      <c r="CR54">
        <f>'2015_2020'!CP23</f>
        <v>-6.5500000000000003E-2</v>
      </c>
      <c r="CS54">
        <f>'2015_2020'!CQ23</f>
        <v>-0.20899999999999999</v>
      </c>
      <c r="CT54">
        <f>'2015_2020'!CR23</f>
        <v>4.1000000000000002E-2</v>
      </c>
      <c r="CU54">
        <f>'2015_2020'!CS23</f>
        <v>0.14000000000000001</v>
      </c>
      <c r="CV54">
        <f>'2015_2020'!CT23</f>
        <v>0.24399999999999999</v>
      </c>
      <c r="CW54">
        <f>'2015_2020'!CU23</f>
        <v>2.87E-2</v>
      </c>
      <c r="CX54">
        <f>'2015_2020'!CV23</f>
        <v>0.14299999999999999</v>
      </c>
    </row>
    <row r="55" spans="1:102" x14ac:dyDescent="0.2">
      <c r="A55" t="s">
        <v>208</v>
      </c>
      <c r="B55" t="s">
        <v>220</v>
      </c>
      <c r="C55" t="s">
        <v>221</v>
      </c>
      <c r="D55">
        <f>D38+D46</f>
        <v>-0.37129999999999996</v>
      </c>
      <c r="E55">
        <f t="shared" ref="E55:BP62" si="7">E38+E46</f>
        <v>0.29399999999999998</v>
      </c>
      <c r="F55">
        <f t="shared" si="7"/>
        <v>0.81410000000000005</v>
      </c>
      <c r="G55">
        <f t="shared" si="7"/>
        <v>0.10489999999999999</v>
      </c>
      <c r="H55">
        <f t="shared" si="7"/>
        <v>1.0639000000000001</v>
      </c>
      <c r="I55">
        <f t="shared" si="7"/>
        <v>0.40049999999999997</v>
      </c>
      <c r="J55">
        <f t="shared" si="7"/>
        <v>0.69510000000000005</v>
      </c>
      <c r="K55">
        <f t="shared" si="7"/>
        <v>0.55479999999999996</v>
      </c>
      <c r="L55">
        <f t="shared" si="7"/>
        <v>0.4143</v>
      </c>
      <c r="M55">
        <f t="shared" si="7"/>
        <v>0.62779999999999991</v>
      </c>
      <c r="N55">
        <f t="shared" si="7"/>
        <v>0.60439999999999994</v>
      </c>
      <c r="O55">
        <f t="shared" si="7"/>
        <v>0.33339999999999997</v>
      </c>
      <c r="P55">
        <f t="shared" si="7"/>
        <v>0.37879999999999997</v>
      </c>
      <c r="Q55">
        <f t="shared" si="7"/>
        <v>0.32069999999999999</v>
      </c>
      <c r="R55">
        <f t="shared" si="7"/>
        <v>0.25939999999999996</v>
      </c>
      <c r="S55">
        <f t="shared" si="7"/>
        <v>0.22500000000000001</v>
      </c>
      <c r="T55">
        <f t="shared" si="7"/>
        <v>0.1615</v>
      </c>
      <c r="U55">
        <f t="shared" si="7"/>
        <v>0.1338</v>
      </c>
      <c r="V55">
        <f t="shared" si="7"/>
        <v>7.6800000000000007E-2</v>
      </c>
      <c r="W55">
        <f t="shared" si="7"/>
        <v>7.0300000000000001E-2</v>
      </c>
      <c r="X55">
        <f t="shared" si="7"/>
        <v>7.8100000000000003E-2</v>
      </c>
      <c r="Y55">
        <f t="shared" si="7"/>
        <v>4.7399999999999998E-2</v>
      </c>
      <c r="Z55">
        <f t="shared" si="7"/>
        <v>5.8000000000000003E-2</v>
      </c>
      <c r="AA55">
        <f t="shared" si="7"/>
        <v>6.4899999999999999E-2</v>
      </c>
      <c r="AB55">
        <f t="shared" si="7"/>
        <v>5.6800000000000003E-2</v>
      </c>
      <c r="AC55">
        <f t="shared" si="7"/>
        <v>4.4399999999999995E-2</v>
      </c>
      <c r="AD55">
        <f t="shared" si="7"/>
        <v>4.36E-2</v>
      </c>
      <c r="AE55">
        <f t="shared" si="7"/>
        <v>4.8600000000000004E-2</v>
      </c>
      <c r="AF55">
        <f t="shared" si="7"/>
        <v>4.36E-2</v>
      </c>
      <c r="AG55">
        <f t="shared" si="7"/>
        <v>4.0690000000000004E-2</v>
      </c>
      <c r="AH55">
        <f t="shared" si="7"/>
        <v>4.3800000000000006E-2</v>
      </c>
      <c r="AI55">
        <f t="shared" si="7"/>
        <v>4.4479999999999999E-2</v>
      </c>
      <c r="AJ55">
        <f t="shared" si="7"/>
        <v>3.3730000000000003E-2</v>
      </c>
      <c r="AK55">
        <f t="shared" si="7"/>
        <v>3.0900000000000004E-2</v>
      </c>
      <c r="AL55">
        <f t="shared" si="7"/>
        <v>4.3049999999999998E-2</v>
      </c>
      <c r="AM55">
        <f t="shared" si="7"/>
        <v>5.466E-2</v>
      </c>
      <c r="AN55">
        <f t="shared" si="7"/>
        <v>5.2159999999999998E-2</v>
      </c>
      <c r="AO55">
        <f t="shared" si="7"/>
        <v>4.9817E-2</v>
      </c>
      <c r="AP55">
        <f t="shared" si="7"/>
        <v>6.13E-2</v>
      </c>
      <c r="AQ55">
        <f t="shared" si="7"/>
        <v>7.3200000000000001E-2</v>
      </c>
      <c r="AR55">
        <f t="shared" si="7"/>
        <v>7.8699999999999992E-2</v>
      </c>
      <c r="AS55">
        <f t="shared" si="7"/>
        <v>7.4899999999999994E-2</v>
      </c>
      <c r="AT55">
        <f t="shared" si="7"/>
        <v>7.3499999999999996E-2</v>
      </c>
      <c r="AU55">
        <f t="shared" si="7"/>
        <v>7.3999999999999996E-2</v>
      </c>
      <c r="AV55">
        <f t="shared" si="7"/>
        <v>6.3600000000000004E-2</v>
      </c>
      <c r="AW55">
        <f t="shared" si="7"/>
        <v>4.4600000000000001E-2</v>
      </c>
      <c r="AX55">
        <f t="shared" si="7"/>
        <v>3.3299999999999996E-2</v>
      </c>
      <c r="AY55">
        <f t="shared" si="7"/>
        <v>2.1900000000000003E-2</v>
      </c>
      <c r="AZ55">
        <f t="shared" si="7"/>
        <v>1.8099999999999998E-2</v>
      </c>
      <c r="BA55">
        <f t="shared" si="7"/>
        <v>9.000000000000008E-3</v>
      </c>
      <c r="BB55">
        <f t="shared" si="7"/>
        <v>2.0400000000000001E-2</v>
      </c>
      <c r="BC55">
        <f t="shared" si="7"/>
        <v>3.2399999999999991E-2</v>
      </c>
      <c r="BD55">
        <f t="shared" si="7"/>
        <v>3.1399999999999997E-2</v>
      </c>
      <c r="BE55">
        <f t="shared" si="7"/>
        <v>3.27E-2</v>
      </c>
      <c r="BF55">
        <f t="shared" si="7"/>
        <v>6.0729999999999999E-2</v>
      </c>
      <c r="BG55">
        <f t="shared" si="7"/>
        <v>6.7540000000000003E-2</v>
      </c>
      <c r="BH55">
        <f t="shared" si="7"/>
        <v>7.6630000000000004E-2</v>
      </c>
      <c r="BI55">
        <f t="shared" si="7"/>
        <v>7.3930999999999997E-2</v>
      </c>
      <c r="BJ55">
        <f t="shared" si="7"/>
        <v>6.8080000000000002E-2</v>
      </c>
      <c r="BK55">
        <f t="shared" si="7"/>
        <v>7.2959999999999997E-2</v>
      </c>
      <c r="BL55">
        <f t="shared" si="7"/>
        <v>7.6549999999999993E-2</v>
      </c>
      <c r="BM55">
        <f t="shared" si="7"/>
        <v>6.1700000000000005E-2</v>
      </c>
      <c r="BN55">
        <f t="shared" si="7"/>
        <v>4.3800000000000006E-2</v>
      </c>
      <c r="BO55">
        <f t="shared" si="7"/>
        <v>2.3300000000000001E-2</v>
      </c>
      <c r="BP55">
        <f t="shared" si="7"/>
        <v>1.2999999999999998E-2</v>
      </c>
      <c r="BQ55">
        <f t="shared" ref="BQ55:CX62" si="8">BQ38+BQ46</f>
        <v>5.0999999999999934E-3</v>
      </c>
      <c r="BR55">
        <f t="shared" si="8"/>
        <v>6.1999999999999972E-3</v>
      </c>
      <c r="BS55">
        <f t="shared" si="8"/>
        <v>-2.7700000000000002E-2</v>
      </c>
      <c r="BT55">
        <f t="shared" si="8"/>
        <v>-5.5199999999999999E-2</v>
      </c>
      <c r="BU55">
        <f t="shared" si="8"/>
        <v>-4.1100000000000012E-2</v>
      </c>
      <c r="BV55">
        <f t="shared" si="8"/>
        <v>5.5799999999999995E-2</v>
      </c>
      <c r="BW55">
        <f t="shared" si="8"/>
        <v>8.2900000000000001E-2</v>
      </c>
      <c r="BX55">
        <f t="shared" si="8"/>
        <v>6.6400000000000015E-2</v>
      </c>
      <c r="BY55">
        <f t="shared" si="8"/>
        <v>4.1500000000000009E-2</v>
      </c>
      <c r="BZ55">
        <f t="shared" si="8"/>
        <v>6.93E-2</v>
      </c>
      <c r="CA55">
        <f t="shared" si="8"/>
        <v>7.1699999999999986E-2</v>
      </c>
      <c r="CB55">
        <f t="shared" si="8"/>
        <v>8.9699999999999988E-2</v>
      </c>
      <c r="CC55">
        <f t="shared" si="8"/>
        <v>8.199999999999999E-2</v>
      </c>
      <c r="CD55">
        <f t="shared" si="8"/>
        <v>4.7799999999999995E-2</v>
      </c>
      <c r="CE55">
        <f t="shared" si="8"/>
        <v>-0.10199999999999998</v>
      </c>
      <c r="CF55">
        <f t="shared" si="8"/>
        <v>-0.17200000000000001</v>
      </c>
      <c r="CG55">
        <f t="shared" si="8"/>
        <v>-0.16</v>
      </c>
      <c r="CH55">
        <f t="shared" si="8"/>
        <v>-4.4999999999999984E-2</v>
      </c>
      <c r="CI55">
        <f t="shared" si="8"/>
        <v>3.2000000000000015E-2</v>
      </c>
      <c r="CJ55">
        <f t="shared" si="8"/>
        <v>4.1999999999999996E-2</v>
      </c>
      <c r="CK55">
        <f t="shared" si="8"/>
        <v>-1.1999999999999983E-2</v>
      </c>
      <c r="CL55">
        <f t="shared" si="8"/>
        <v>-4.8999999999999988E-2</v>
      </c>
      <c r="CM55">
        <f t="shared" si="8"/>
        <v>-0.10799999999999998</v>
      </c>
      <c r="CN55">
        <f t="shared" si="8"/>
        <v>-0.13199999999999998</v>
      </c>
      <c r="CO55">
        <f t="shared" si="8"/>
        <v>-0.14499999999999999</v>
      </c>
      <c r="CP55">
        <f t="shared" si="8"/>
        <v>-8.8999999999999996E-2</v>
      </c>
      <c r="CQ55">
        <f t="shared" si="8"/>
        <v>-8.4999999999999992E-2</v>
      </c>
      <c r="CR55">
        <f t="shared" si="8"/>
        <v>-7.3999999999999982E-2</v>
      </c>
      <c r="CS55">
        <f t="shared" si="8"/>
        <v>2.1000000000000005E-2</v>
      </c>
      <c r="CT55">
        <f t="shared" si="8"/>
        <v>-7.7999999999999986E-2</v>
      </c>
      <c r="CU55">
        <f t="shared" si="8"/>
        <v>-0.11899999999999997</v>
      </c>
      <c r="CV55">
        <f t="shared" si="8"/>
        <v>-0.16600000000000001</v>
      </c>
      <c r="CW55">
        <f t="shared" si="8"/>
        <v>-6.4000000000000001E-2</v>
      </c>
      <c r="CX55">
        <f t="shared" si="8"/>
        <v>-0.12500000000000003</v>
      </c>
    </row>
    <row r="56" spans="1:102" x14ac:dyDescent="0.2">
      <c r="A56" t="s">
        <v>209</v>
      </c>
      <c r="B56" t="s">
        <v>220</v>
      </c>
      <c r="C56" t="s">
        <v>221</v>
      </c>
      <c r="D56">
        <f t="shared" ref="D56:BO59" si="9">D39+D47</f>
        <v>-9.9129999999999996E-2</v>
      </c>
      <c r="E56">
        <f t="shared" si="9"/>
        <v>-0.11583</v>
      </c>
      <c r="F56">
        <f t="shared" si="9"/>
        <v>4.5009999999999994E-2</v>
      </c>
      <c r="G56">
        <f t="shared" si="9"/>
        <v>-0.13354000000000002</v>
      </c>
      <c r="H56">
        <f t="shared" si="9"/>
        <v>0.13572000000000001</v>
      </c>
      <c r="I56">
        <f t="shared" si="9"/>
        <v>-6.0260000000000001E-2</v>
      </c>
      <c r="J56">
        <f t="shared" si="9"/>
        <v>7.3160000000000003E-2</v>
      </c>
      <c r="K56">
        <f t="shared" si="9"/>
        <v>8.6269999999999999E-2</v>
      </c>
      <c r="L56">
        <f t="shared" si="9"/>
        <v>3.848E-2</v>
      </c>
      <c r="M56">
        <f t="shared" si="9"/>
        <v>0.14913999999999999</v>
      </c>
      <c r="N56">
        <f t="shared" si="9"/>
        <v>0.19456000000000001</v>
      </c>
      <c r="O56">
        <f t="shared" si="9"/>
        <v>9.9080000000000001E-2</v>
      </c>
      <c r="P56">
        <f t="shared" si="9"/>
        <v>0.14540999999999998</v>
      </c>
      <c r="Q56">
        <f t="shared" si="9"/>
        <v>0.12048</v>
      </c>
      <c r="R56">
        <f t="shared" si="9"/>
        <v>8.1759999999999999E-2</v>
      </c>
      <c r="S56">
        <f t="shared" si="9"/>
        <v>6.3439999999999996E-2</v>
      </c>
      <c r="T56">
        <f t="shared" si="9"/>
        <v>3.5180000000000003E-2</v>
      </c>
      <c r="U56">
        <f t="shared" si="9"/>
        <v>2.4389999999999998E-2</v>
      </c>
      <c r="V56">
        <f t="shared" si="9"/>
        <v>6.2300000000000003E-3</v>
      </c>
      <c r="W56">
        <f t="shared" si="9"/>
        <v>9.5599999999999991E-3</v>
      </c>
      <c r="X56">
        <f t="shared" si="9"/>
        <v>1.644E-2</v>
      </c>
      <c r="Y56">
        <f t="shared" si="9"/>
        <v>2.9000000000000033E-4</v>
      </c>
      <c r="Z56">
        <f t="shared" si="9"/>
        <v>3.3189999999999999E-3</v>
      </c>
      <c r="AA56">
        <f t="shared" si="9"/>
        <v>1.933E-2</v>
      </c>
      <c r="AB56">
        <f t="shared" si="9"/>
        <v>1.7820000000000003E-2</v>
      </c>
      <c r="AC56">
        <f t="shared" si="9"/>
        <v>1.1820000000000001E-2</v>
      </c>
      <c r="AD56">
        <f t="shared" si="9"/>
        <v>1.499E-2</v>
      </c>
      <c r="AE56">
        <f t="shared" si="9"/>
        <v>1.6059999999999998E-2</v>
      </c>
      <c r="AF56">
        <f t="shared" si="9"/>
        <v>7.8600000000000007E-3</v>
      </c>
      <c r="AG56">
        <f t="shared" si="9"/>
        <v>6.2599999999999999E-3</v>
      </c>
      <c r="AH56">
        <f t="shared" si="9"/>
        <v>2.5919999999999999E-2</v>
      </c>
      <c r="AI56">
        <f t="shared" si="9"/>
        <v>2.4850000000000001E-2</v>
      </c>
      <c r="AJ56">
        <f t="shared" si="9"/>
        <v>1.7140000000000002E-2</v>
      </c>
      <c r="AK56">
        <f t="shared" si="9"/>
        <v>2.095E-2</v>
      </c>
      <c r="AL56">
        <f t="shared" si="9"/>
        <v>3.3979999999999996E-2</v>
      </c>
      <c r="AM56">
        <f t="shared" si="9"/>
        <v>2.886E-2</v>
      </c>
      <c r="AN56">
        <f t="shared" si="9"/>
        <v>3.3239999999999999E-2</v>
      </c>
      <c r="AO56">
        <f t="shared" si="9"/>
        <v>3.3120000000000004E-2</v>
      </c>
      <c r="AP56">
        <f t="shared" si="9"/>
        <v>5.3830000000000003E-2</v>
      </c>
      <c r="AQ56">
        <f t="shared" si="9"/>
        <v>6.8180000000000004E-2</v>
      </c>
      <c r="AR56">
        <f t="shared" si="9"/>
        <v>7.1300000000000002E-2</v>
      </c>
      <c r="AS56">
        <f t="shared" si="9"/>
        <v>6.8040000000000003E-2</v>
      </c>
      <c r="AT56">
        <f t="shared" si="9"/>
        <v>6.3670000000000004E-2</v>
      </c>
      <c r="AU56">
        <f t="shared" si="9"/>
        <v>6.5869999999999998E-2</v>
      </c>
      <c r="AV56">
        <f t="shared" si="9"/>
        <v>5.4440000000000002E-2</v>
      </c>
      <c r="AW56">
        <f t="shared" si="9"/>
        <v>3.1789999999999999E-2</v>
      </c>
      <c r="AX56">
        <f t="shared" si="9"/>
        <v>1.9999999999999185E-5</v>
      </c>
      <c r="AY56">
        <f t="shared" si="9"/>
        <v>-6.689999999999998E-3</v>
      </c>
      <c r="AZ56">
        <f t="shared" si="9"/>
        <v>-6.9799999999999984E-3</v>
      </c>
      <c r="BA56">
        <f t="shared" si="9"/>
        <v>-1.2700000000000001E-2</v>
      </c>
      <c r="BB56">
        <f t="shared" si="9"/>
        <v>8.0499999999999999E-3</v>
      </c>
      <c r="BC56">
        <f t="shared" si="9"/>
        <v>1.4829999999999999E-2</v>
      </c>
      <c r="BD56">
        <f t="shared" si="9"/>
        <v>2.3359999999999999E-2</v>
      </c>
      <c r="BE56">
        <f t="shared" si="9"/>
        <v>3.0899999999999997E-2</v>
      </c>
      <c r="BF56">
        <f t="shared" si="9"/>
        <v>4.6249999999999999E-2</v>
      </c>
      <c r="BG56">
        <f t="shared" si="9"/>
        <v>5.9020000000000003E-2</v>
      </c>
      <c r="BH56">
        <f t="shared" si="9"/>
        <v>6.9809999999999997E-2</v>
      </c>
      <c r="BI56">
        <f t="shared" si="9"/>
        <v>6.9099999999999995E-2</v>
      </c>
      <c r="BJ56">
        <f t="shared" si="9"/>
        <v>6.0800000000000007E-2</v>
      </c>
      <c r="BK56">
        <f t="shared" si="9"/>
        <v>7.2599999999999998E-2</v>
      </c>
      <c r="BL56">
        <f t="shared" si="9"/>
        <v>7.4699999999999989E-2</v>
      </c>
      <c r="BM56">
        <f t="shared" si="9"/>
        <v>7.1000000000000008E-2</v>
      </c>
      <c r="BN56">
        <f t="shared" si="9"/>
        <v>4.9399999999999999E-2</v>
      </c>
      <c r="BO56">
        <f t="shared" si="9"/>
        <v>2.7499999999999997E-2</v>
      </c>
      <c r="BP56">
        <f t="shared" si="7"/>
        <v>2.2800000000000001E-2</v>
      </c>
      <c r="BQ56">
        <f t="shared" si="8"/>
        <v>2.06E-2</v>
      </c>
      <c r="BR56">
        <f t="shared" si="8"/>
        <v>1.7739999999999999E-2</v>
      </c>
      <c r="BS56">
        <f t="shared" si="8"/>
        <v>-1.1800000000000001E-2</v>
      </c>
      <c r="BT56">
        <f t="shared" si="8"/>
        <v>-3.7199999999999997E-2</v>
      </c>
      <c r="BU56">
        <f t="shared" si="8"/>
        <v>-1.3299999999999998E-2</v>
      </c>
      <c r="BV56">
        <f t="shared" si="8"/>
        <v>0.1076</v>
      </c>
      <c r="BW56">
        <f t="shared" si="8"/>
        <v>0.14130000000000001</v>
      </c>
      <c r="BX56">
        <f t="shared" si="8"/>
        <v>0.1216</v>
      </c>
      <c r="BY56">
        <f t="shared" si="8"/>
        <v>0.11199999999999999</v>
      </c>
      <c r="BZ56">
        <f t="shared" si="8"/>
        <v>0.14219999999999999</v>
      </c>
      <c r="CA56">
        <f t="shared" si="8"/>
        <v>0.13689999999999999</v>
      </c>
      <c r="CB56">
        <f t="shared" si="8"/>
        <v>0.16469999999999999</v>
      </c>
      <c r="CC56">
        <f t="shared" si="8"/>
        <v>0.16069999999999998</v>
      </c>
      <c r="CD56">
        <f t="shared" si="8"/>
        <v>0.1142</v>
      </c>
      <c r="CE56">
        <f t="shared" si="8"/>
        <v>-2.8999999999999998E-2</v>
      </c>
      <c r="CF56">
        <f t="shared" si="8"/>
        <v>-8.1200000000000008E-2</v>
      </c>
      <c r="CG56">
        <f t="shared" si="8"/>
        <v>-6.2E-2</v>
      </c>
      <c r="CH56">
        <f t="shared" si="8"/>
        <v>4.2000000000000003E-2</v>
      </c>
      <c r="CI56">
        <f t="shared" si="8"/>
        <v>0.13300000000000001</v>
      </c>
      <c r="CJ56">
        <f t="shared" si="8"/>
        <v>0.16949999999999998</v>
      </c>
      <c r="CK56">
        <f t="shared" si="8"/>
        <v>0.1258</v>
      </c>
      <c r="CL56">
        <f t="shared" si="8"/>
        <v>7.6899999999999996E-2</v>
      </c>
      <c r="CM56">
        <f t="shared" si="8"/>
        <v>2.291E-2</v>
      </c>
      <c r="CN56">
        <f t="shared" si="8"/>
        <v>3.27E-2</v>
      </c>
      <c r="CO56">
        <f t="shared" si="8"/>
        <v>1.073E-2</v>
      </c>
      <c r="CP56">
        <f t="shared" si="8"/>
        <v>5.2999999999999999E-2</v>
      </c>
      <c r="CQ56">
        <f t="shared" si="8"/>
        <v>7.3099999999999998E-2</v>
      </c>
      <c r="CR56">
        <f t="shared" si="8"/>
        <v>0.14710000000000001</v>
      </c>
      <c r="CS56">
        <f t="shared" si="8"/>
        <v>0.24010000000000001</v>
      </c>
      <c r="CT56">
        <f t="shared" si="8"/>
        <v>0.158</v>
      </c>
      <c r="CU56">
        <f t="shared" si="8"/>
        <v>5.4199999999999998E-2</v>
      </c>
      <c r="CV56">
        <f t="shared" si="8"/>
        <v>8.4999999999999989E-3</v>
      </c>
      <c r="CW56">
        <f t="shared" si="8"/>
        <v>0.14230000000000001</v>
      </c>
      <c r="CX56">
        <f t="shared" si="8"/>
        <v>-2.76E-2</v>
      </c>
    </row>
    <row r="57" spans="1:102" x14ac:dyDescent="0.2">
      <c r="A57" t="s">
        <v>210</v>
      </c>
      <c r="B57" t="s">
        <v>220</v>
      </c>
      <c r="C57" t="s">
        <v>221</v>
      </c>
      <c r="D57">
        <f t="shared" si="9"/>
        <v>8.3069999999999991E-2</v>
      </c>
      <c r="E57">
        <f t="shared" si="9"/>
        <v>8.0060000000000006E-2</v>
      </c>
      <c r="F57">
        <f t="shared" si="9"/>
        <v>2.6030000000000001E-2</v>
      </c>
      <c r="G57">
        <f t="shared" si="9"/>
        <v>5.6250000000000001E-2</v>
      </c>
      <c r="H57">
        <f t="shared" si="9"/>
        <v>-3.3869999999999997E-2</v>
      </c>
      <c r="I57">
        <f t="shared" si="9"/>
        <v>1.8099999999999998E-2</v>
      </c>
      <c r="J57">
        <f t="shared" si="9"/>
        <v>-8.8599999999999998E-3</v>
      </c>
      <c r="K57">
        <f t="shared" si="9"/>
        <v>-1.108E-2</v>
      </c>
      <c r="L57">
        <f t="shared" si="9"/>
        <v>-2.281E-3</v>
      </c>
      <c r="M57">
        <f t="shared" si="9"/>
        <v>-2.4509999999999997E-2</v>
      </c>
      <c r="N57">
        <f t="shared" si="9"/>
        <v>-2.8049999999999999E-2</v>
      </c>
      <c r="O57">
        <f t="shared" si="9"/>
        <v>-1.1370000000000002E-2</v>
      </c>
      <c r="P57">
        <f t="shared" si="9"/>
        <v>-1.644E-2</v>
      </c>
      <c r="Q57">
        <f t="shared" si="9"/>
        <v>-1.1650000000000001E-2</v>
      </c>
      <c r="R57">
        <f t="shared" si="9"/>
        <v>-6.7399999999999995E-3</v>
      </c>
      <c r="S57">
        <f t="shared" si="9"/>
        <v>-3.0400000000000002E-3</v>
      </c>
      <c r="T57">
        <f t="shared" si="9"/>
        <v>2.32E-3</v>
      </c>
      <c r="U57">
        <f t="shared" si="9"/>
        <v>3.4499999999999999E-3</v>
      </c>
      <c r="V57">
        <f t="shared" si="9"/>
        <v>8.3499999999999998E-3</v>
      </c>
      <c r="W57">
        <f t="shared" si="9"/>
        <v>6.6E-3</v>
      </c>
      <c r="X57">
        <f t="shared" si="9"/>
        <v>4.3600000000000002E-3</v>
      </c>
      <c r="Y57">
        <f t="shared" si="9"/>
        <v>7.5000000000000006E-3</v>
      </c>
      <c r="Z57">
        <f t="shared" si="9"/>
        <v>6.2099999999999994E-3</v>
      </c>
      <c r="AA57">
        <f t="shared" si="9"/>
        <v>6.150000000000001E-3</v>
      </c>
      <c r="AB57">
        <f t="shared" si="9"/>
        <v>8.5199999999999998E-3</v>
      </c>
      <c r="AC57">
        <f t="shared" si="9"/>
        <v>1.0600000000000002E-2</v>
      </c>
      <c r="AD57">
        <f t="shared" si="9"/>
        <v>1.1430000000000001E-2</v>
      </c>
      <c r="AE57">
        <f t="shared" si="9"/>
        <v>1.1259999999999999E-2</v>
      </c>
      <c r="AF57">
        <f t="shared" si="9"/>
        <v>1.315E-2</v>
      </c>
      <c r="AG57">
        <f t="shared" si="9"/>
        <v>1.2670000000000001E-2</v>
      </c>
      <c r="AH57">
        <f t="shared" si="9"/>
        <v>1.17E-2</v>
      </c>
      <c r="AI57">
        <f t="shared" si="9"/>
        <v>1.3270000000000001E-2</v>
      </c>
      <c r="AJ57">
        <f t="shared" si="9"/>
        <v>1.737E-2</v>
      </c>
      <c r="AK57">
        <f t="shared" si="9"/>
        <v>1.6730000000000002E-2</v>
      </c>
      <c r="AL57">
        <f t="shared" si="9"/>
        <v>1.5790000000000002E-2</v>
      </c>
      <c r="AM57">
        <f t="shared" si="9"/>
        <v>1.61E-2</v>
      </c>
      <c r="AN57">
        <f t="shared" si="9"/>
        <v>1.762E-2</v>
      </c>
      <c r="AO57">
        <f t="shared" si="9"/>
        <v>1.8110000000000001E-2</v>
      </c>
      <c r="AP57">
        <f t="shared" si="9"/>
        <v>1.5439999999999999E-2</v>
      </c>
      <c r="AQ57">
        <f t="shared" si="9"/>
        <v>1.206E-2</v>
      </c>
      <c r="AR57">
        <f t="shared" si="9"/>
        <v>1.2070000000000001E-2</v>
      </c>
      <c r="AS57">
        <f t="shared" si="9"/>
        <v>1.2749999999999999E-2</v>
      </c>
      <c r="AT57">
        <f t="shared" si="9"/>
        <v>1.2109999999999999E-2</v>
      </c>
      <c r="AU57">
        <f t="shared" si="9"/>
        <v>1.1209999999999999E-2</v>
      </c>
      <c r="AV57">
        <f t="shared" si="9"/>
        <v>1.389E-2</v>
      </c>
      <c r="AW57">
        <f t="shared" si="9"/>
        <v>2.0400000000000001E-2</v>
      </c>
      <c r="AX57">
        <f t="shared" si="9"/>
        <v>2.5920000000000002E-2</v>
      </c>
      <c r="AY57">
        <f t="shared" si="9"/>
        <v>2.673E-2</v>
      </c>
      <c r="AZ57">
        <f t="shared" si="9"/>
        <v>2.5160000000000002E-2</v>
      </c>
      <c r="BA57">
        <f t="shared" si="9"/>
        <v>2.4969999999999999E-2</v>
      </c>
      <c r="BB57">
        <f t="shared" si="9"/>
        <v>2.3239999999999997E-2</v>
      </c>
      <c r="BC57">
        <f t="shared" si="9"/>
        <v>2.0420000000000001E-2</v>
      </c>
      <c r="BD57">
        <f t="shared" si="9"/>
        <v>1.6040000000000002E-2</v>
      </c>
      <c r="BE57">
        <f t="shared" si="9"/>
        <v>1.4930000000000001E-2</v>
      </c>
      <c r="BF57">
        <f t="shared" si="9"/>
        <v>1.15E-2</v>
      </c>
      <c r="BG57">
        <f t="shared" si="9"/>
        <v>8.43E-3</v>
      </c>
      <c r="BH57">
        <f t="shared" si="9"/>
        <v>4.1200000000000004E-3</v>
      </c>
      <c r="BI57">
        <f t="shared" si="9"/>
        <v>6.2000000000000006E-3</v>
      </c>
      <c r="BJ57">
        <f t="shared" si="9"/>
        <v>9.470000000000001E-3</v>
      </c>
      <c r="BK57">
        <f t="shared" si="9"/>
        <v>8.8100000000000019E-3</v>
      </c>
      <c r="BL57">
        <f t="shared" si="9"/>
        <v>6.8999999999999999E-3</v>
      </c>
      <c r="BM57">
        <f t="shared" si="9"/>
        <v>9.6900000000000007E-3</v>
      </c>
      <c r="BN57">
        <f t="shared" si="9"/>
        <v>1.2109999999999999E-2</v>
      </c>
      <c r="BO57">
        <f t="shared" si="9"/>
        <v>1.617E-2</v>
      </c>
      <c r="BP57">
        <f t="shared" si="7"/>
        <v>1.891E-2</v>
      </c>
      <c r="BQ57">
        <f t="shared" si="8"/>
        <v>1.9009999999999999E-2</v>
      </c>
      <c r="BR57">
        <f t="shared" si="8"/>
        <v>1.746E-2</v>
      </c>
      <c r="BS57">
        <f t="shared" si="8"/>
        <v>2.2800000000000001E-2</v>
      </c>
      <c r="BT57">
        <f t="shared" si="8"/>
        <v>2.7270000000000003E-2</v>
      </c>
      <c r="BU57">
        <f t="shared" si="8"/>
        <v>2.3699999999999999E-2</v>
      </c>
      <c r="BV57">
        <f t="shared" si="8"/>
        <v>1.4800000000000004E-3</v>
      </c>
      <c r="BW57">
        <f t="shared" si="8"/>
        <v>-2.1700000000000001E-3</v>
      </c>
      <c r="BX57">
        <f t="shared" si="8"/>
        <v>1.9599999999999999E-3</v>
      </c>
      <c r="BY57">
        <f t="shared" si="8"/>
        <v>4.6800000000000001E-3</v>
      </c>
      <c r="BZ57">
        <f t="shared" si="8"/>
        <v>-2.2599999999999999E-3</v>
      </c>
      <c r="CA57">
        <f t="shared" si="8"/>
        <v>-3.1619999999999999E-3</v>
      </c>
      <c r="CB57">
        <f t="shared" si="8"/>
        <v>-9.049999999999999E-3</v>
      </c>
      <c r="CC57">
        <f t="shared" si="8"/>
        <v>-1.338E-2</v>
      </c>
      <c r="CD57">
        <f t="shared" si="8"/>
        <v>-5.2300000000000003E-3</v>
      </c>
      <c r="CE57">
        <f t="shared" si="8"/>
        <v>2.622E-2</v>
      </c>
      <c r="CF57">
        <f t="shared" si="8"/>
        <v>3.6969999999999996E-2</v>
      </c>
      <c r="CG57">
        <f t="shared" si="8"/>
        <v>3.2129999999999999E-2</v>
      </c>
      <c r="CH57">
        <f t="shared" si="8"/>
        <v>7.5799999999999999E-3</v>
      </c>
      <c r="CI57">
        <f t="shared" si="8"/>
        <v>-7.2300000000000003E-3</v>
      </c>
      <c r="CJ57">
        <f t="shared" si="8"/>
        <v>-1.5910000000000001E-2</v>
      </c>
      <c r="CK57">
        <f t="shared" si="8"/>
        <v>-5.6600000000000001E-3</v>
      </c>
      <c r="CL57">
        <f t="shared" si="8"/>
        <v>3.0600000000000002E-3</v>
      </c>
      <c r="CM57">
        <f t="shared" si="8"/>
        <v>8.0800000000000004E-3</v>
      </c>
      <c r="CN57">
        <f t="shared" si="8"/>
        <v>6.4299999999999991E-3</v>
      </c>
      <c r="CO57">
        <f t="shared" si="8"/>
        <v>1.2489999999999998E-2</v>
      </c>
      <c r="CP57">
        <f t="shared" si="8"/>
        <v>-6.0000000000000001E-3</v>
      </c>
      <c r="CQ57">
        <f t="shared" si="8"/>
        <v>-1.325E-2</v>
      </c>
      <c r="CR57">
        <f t="shared" si="8"/>
        <v>-2.947E-2</v>
      </c>
      <c r="CS57">
        <f t="shared" si="8"/>
        <v>-5.9889999999999999E-2</v>
      </c>
      <c r="CT57">
        <f t="shared" si="8"/>
        <v>-3.492E-2</v>
      </c>
      <c r="CU57">
        <f t="shared" si="8"/>
        <v>-2.3119999999999998E-2</v>
      </c>
      <c r="CV57">
        <f t="shared" si="8"/>
        <v>2.3800000000000002E-3</v>
      </c>
      <c r="CW57">
        <f t="shared" si="8"/>
        <v>-4.641E-2</v>
      </c>
      <c r="CX57">
        <f t="shared" si="8"/>
        <v>1.992E-2</v>
      </c>
    </row>
    <row r="58" spans="1:102" x14ac:dyDescent="0.2">
      <c r="A58" t="s">
        <v>211</v>
      </c>
      <c r="B58" t="s">
        <v>220</v>
      </c>
      <c r="C58" t="s">
        <v>221</v>
      </c>
      <c r="D58">
        <f t="shared" si="9"/>
        <v>2.9099999999999994E-3</v>
      </c>
      <c r="E58">
        <f t="shared" si="9"/>
        <v>-8.9300000000000013E-4</v>
      </c>
      <c r="F58">
        <f t="shared" si="9"/>
        <v>-1.1609999999999999E-2</v>
      </c>
      <c r="G58">
        <f t="shared" si="9"/>
        <v>8.9499999999999996E-3</v>
      </c>
      <c r="H58">
        <f t="shared" si="9"/>
        <v>-1.644E-2</v>
      </c>
      <c r="I58">
        <f t="shared" si="9"/>
        <v>-2.4299999999999999E-3</v>
      </c>
      <c r="J58">
        <f t="shared" si="9"/>
        <v>-6.8800000000000007E-3</v>
      </c>
      <c r="K58">
        <f t="shared" si="9"/>
        <v>-2.8900000000000002E-3</v>
      </c>
      <c r="L58">
        <f t="shared" si="9"/>
        <v>6.4500000000000009E-3</v>
      </c>
      <c r="M58">
        <f t="shared" si="9"/>
        <v>-2.3699999999999997E-3</v>
      </c>
      <c r="N58">
        <f t="shared" si="9"/>
        <v>-6.0089999999999996E-3</v>
      </c>
      <c r="O58">
        <f t="shared" si="9"/>
        <v>-4.0559999999999997E-3</v>
      </c>
      <c r="P58">
        <f t="shared" si="9"/>
        <v>-4.1640000000000002E-3</v>
      </c>
      <c r="Q58">
        <f t="shared" si="9"/>
        <v>2.5999999999999981E-5</v>
      </c>
      <c r="R58">
        <f t="shared" si="9"/>
        <v>7.899999999999999E-4</v>
      </c>
      <c r="S58">
        <f t="shared" si="9"/>
        <v>-2.4229999999999998E-3</v>
      </c>
      <c r="T58">
        <f t="shared" si="9"/>
        <v>-2.1700000000000002E-4</v>
      </c>
      <c r="U58">
        <f t="shared" si="9"/>
        <v>7.0100000000000013E-4</v>
      </c>
      <c r="V58">
        <f t="shared" si="9"/>
        <v>2.3959999999999997E-3</v>
      </c>
      <c r="W58">
        <f t="shared" si="9"/>
        <v>1.781E-3</v>
      </c>
      <c r="X58">
        <f t="shared" si="9"/>
        <v>-1.0549999999999999E-3</v>
      </c>
      <c r="Y58">
        <f t="shared" si="9"/>
        <v>1.8050000000000002E-3</v>
      </c>
      <c r="Z58">
        <f t="shared" si="9"/>
        <v>-4.1000000000000021E-5</v>
      </c>
      <c r="AA58">
        <f t="shared" si="9"/>
        <v>2.0990000000000002E-3</v>
      </c>
      <c r="AB58">
        <f t="shared" si="9"/>
        <v>6.2789999999999999E-3</v>
      </c>
      <c r="AC58">
        <f t="shared" si="9"/>
        <v>6.9909999999999998E-3</v>
      </c>
      <c r="AD58">
        <f t="shared" si="9"/>
        <v>6.6059999999999999E-3</v>
      </c>
      <c r="AE58">
        <f t="shared" si="9"/>
        <v>5.3349999999999995E-3</v>
      </c>
      <c r="AF58">
        <f t="shared" si="9"/>
        <v>3.5200000000000006E-3</v>
      </c>
      <c r="AG58">
        <f t="shared" si="9"/>
        <v>3.6899999999999997E-3</v>
      </c>
      <c r="AH58">
        <f t="shared" si="9"/>
        <v>3.4099999999999998E-3</v>
      </c>
      <c r="AI58">
        <f t="shared" si="9"/>
        <v>3.5099999999999997E-3</v>
      </c>
      <c r="AJ58">
        <f t="shared" si="9"/>
        <v>4.4900000000000009E-3</v>
      </c>
      <c r="AK58">
        <f t="shared" si="9"/>
        <v>3.2499999999999994E-3</v>
      </c>
      <c r="AL58">
        <f t="shared" si="9"/>
        <v>2.0799999999999998E-3</v>
      </c>
      <c r="AM58">
        <f t="shared" si="9"/>
        <v>3.0200000000000001E-3</v>
      </c>
      <c r="AN58">
        <f t="shared" si="9"/>
        <v>2.7000000000000006E-4</v>
      </c>
      <c r="AO58">
        <f t="shared" si="9"/>
        <v>-8.5100000000000009E-4</v>
      </c>
      <c r="AP58">
        <f t="shared" si="9"/>
        <v>-1.217E-3</v>
      </c>
      <c r="AQ58">
        <f t="shared" si="9"/>
        <v>-4.0499999999999998E-3</v>
      </c>
      <c r="AR58">
        <f t="shared" si="9"/>
        <v>-1.521E-3</v>
      </c>
      <c r="AS58">
        <f t="shared" si="9"/>
        <v>-7.3899999999999997E-4</v>
      </c>
      <c r="AT58">
        <f t="shared" si="9"/>
        <v>-2.1949999999999999E-3</v>
      </c>
      <c r="AU58">
        <f t="shared" si="9"/>
        <v>-4.1799999999999997E-3</v>
      </c>
      <c r="AV58">
        <f t="shared" si="9"/>
        <v>-6.4999999999999997E-3</v>
      </c>
      <c r="AW58">
        <f t="shared" si="9"/>
        <v>-5.1900000000000002E-3</v>
      </c>
      <c r="AX58">
        <f t="shared" si="9"/>
        <v>-2.336E-3</v>
      </c>
      <c r="AY58">
        <f t="shared" si="9"/>
        <v>-1.9949999999999998E-3</v>
      </c>
      <c r="AZ58">
        <f t="shared" si="9"/>
        <v>-2.447E-3</v>
      </c>
      <c r="BA58">
        <f t="shared" si="9"/>
        <v>-5.5399999999999998E-3</v>
      </c>
      <c r="BB58">
        <f t="shared" si="9"/>
        <v>-6.7499999999999991E-3</v>
      </c>
      <c r="BC58">
        <f t="shared" si="9"/>
        <v>-8.1899999999999994E-3</v>
      </c>
      <c r="BD58">
        <f t="shared" si="9"/>
        <v>-3.5100000000000001E-3</v>
      </c>
      <c r="BE58">
        <f t="shared" si="9"/>
        <v>-6.43E-3</v>
      </c>
      <c r="BF58">
        <f t="shared" si="9"/>
        <v>-1.562E-2</v>
      </c>
      <c r="BG58">
        <f t="shared" si="9"/>
        <v>-1.2699999999999999E-2</v>
      </c>
      <c r="BH58">
        <f t="shared" si="9"/>
        <v>-1.7399999999999999E-2</v>
      </c>
      <c r="BI58">
        <f t="shared" si="9"/>
        <v>-1.7419999999999998E-2</v>
      </c>
      <c r="BJ58">
        <f t="shared" si="9"/>
        <v>-1.5779999999999999E-2</v>
      </c>
      <c r="BK58">
        <f t="shared" si="9"/>
        <v>-1.7229999999999999E-2</v>
      </c>
      <c r="BL58">
        <f t="shared" si="9"/>
        <v>-2.001E-2</v>
      </c>
      <c r="BM58">
        <f t="shared" si="9"/>
        <v>-1.847E-2</v>
      </c>
      <c r="BN58">
        <f t="shared" si="9"/>
        <v>-1.653E-2</v>
      </c>
      <c r="BO58">
        <f t="shared" si="9"/>
        <v>-1.3340000000000001E-2</v>
      </c>
      <c r="BP58">
        <f t="shared" si="7"/>
        <v>-5.96E-3</v>
      </c>
      <c r="BQ58">
        <f t="shared" si="8"/>
        <v>-8.6800000000000002E-3</v>
      </c>
      <c r="BR58">
        <f t="shared" si="8"/>
        <v>-6.2599999999999999E-3</v>
      </c>
      <c r="BS58">
        <f t="shared" si="8"/>
        <v>1.34E-3</v>
      </c>
      <c r="BT58">
        <f t="shared" si="8"/>
        <v>1.01E-3</v>
      </c>
      <c r="BU58">
        <f t="shared" si="8"/>
        <v>-4.8599999999999997E-3</v>
      </c>
      <c r="BV58">
        <f t="shared" si="8"/>
        <v>-1.984E-2</v>
      </c>
      <c r="BW58">
        <f t="shared" si="8"/>
        <v>-2.6159999999999999E-2</v>
      </c>
      <c r="BX58">
        <f t="shared" si="8"/>
        <v>-2.172E-2</v>
      </c>
      <c r="BY58">
        <f t="shared" si="8"/>
        <v>-1.9210000000000001E-2</v>
      </c>
      <c r="BZ58">
        <f t="shared" si="8"/>
        <v>-2.5999999999999999E-2</v>
      </c>
      <c r="CA58">
        <f t="shared" si="8"/>
        <v>-1.89E-2</v>
      </c>
      <c r="CB58">
        <f t="shared" si="8"/>
        <v>-2.545E-2</v>
      </c>
      <c r="CC58">
        <f t="shared" si="8"/>
        <v>-2.6249999999999999E-2</v>
      </c>
      <c r="CD58">
        <f t="shared" si="8"/>
        <v>-3.3000000000000002E-2</v>
      </c>
      <c r="CE58">
        <f t="shared" si="8"/>
        <v>-1.2029999999999999E-2</v>
      </c>
      <c r="CF58">
        <f t="shared" si="8"/>
        <v>1.3499999999999996E-3</v>
      </c>
      <c r="CG58">
        <f t="shared" si="8"/>
        <v>-2.0200000000000001E-3</v>
      </c>
      <c r="CH58">
        <f t="shared" si="8"/>
        <v>-1.307E-2</v>
      </c>
      <c r="CI58">
        <f t="shared" si="8"/>
        <v>-2.649E-2</v>
      </c>
      <c r="CJ58">
        <f t="shared" si="8"/>
        <v>-3.5230000000000004E-2</v>
      </c>
      <c r="CK58">
        <f t="shared" si="8"/>
        <v>-2.6590000000000003E-2</v>
      </c>
      <c r="CL58">
        <f t="shared" si="8"/>
        <v>-1.0839999999999999E-2</v>
      </c>
      <c r="CM58">
        <f t="shared" si="8"/>
        <v>-6.5100000000000002E-3</v>
      </c>
      <c r="CN58">
        <f t="shared" si="8"/>
        <v>-1.6369999999999999E-2</v>
      </c>
      <c r="CO58">
        <f t="shared" si="8"/>
        <v>-8.2100000000000003E-3</v>
      </c>
      <c r="CP58">
        <f t="shared" si="8"/>
        <v>-5.4079999999999996E-3</v>
      </c>
      <c r="CQ58">
        <f t="shared" si="8"/>
        <v>-1.5010000000000001E-2</v>
      </c>
      <c r="CR58">
        <f t="shared" si="8"/>
        <v>-2.3089999999999999E-2</v>
      </c>
      <c r="CS58">
        <f t="shared" si="8"/>
        <v>-4.8649999999999999E-2</v>
      </c>
      <c r="CT58">
        <f t="shared" si="8"/>
        <v>-3.8980000000000001E-2</v>
      </c>
      <c r="CU58">
        <f t="shared" si="8"/>
        <v>-2.2179999999999998E-2</v>
      </c>
      <c r="CV58">
        <f t="shared" si="8"/>
        <v>-3.3300000000000001E-3</v>
      </c>
      <c r="CW58">
        <f t="shared" si="8"/>
        <v>-3.5290000000000002E-2</v>
      </c>
      <c r="CX58">
        <f t="shared" si="8"/>
        <v>8.0099999999999998E-3</v>
      </c>
    </row>
    <row r="59" spans="1:102" x14ac:dyDescent="0.2">
      <c r="A59" t="s">
        <v>212</v>
      </c>
      <c r="B59" t="s">
        <v>220</v>
      </c>
      <c r="C59" t="s">
        <v>221</v>
      </c>
      <c r="D59">
        <f t="shared" si="9"/>
        <v>4.2450000000000002E-2</v>
      </c>
      <c r="E59">
        <f t="shared" si="9"/>
        <v>2.4939999999999997E-2</v>
      </c>
      <c r="F59">
        <f t="shared" si="9"/>
        <v>-9.7000000000000038E-4</v>
      </c>
      <c r="G59">
        <f t="shared" si="9"/>
        <v>2.9509999999999998E-2</v>
      </c>
      <c r="H59">
        <f t="shared" si="9"/>
        <v>-1.166E-2</v>
      </c>
      <c r="I59">
        <f t="shared" si="9"/>
        <v>9.4599999999999997E-3</v>
      </c>
      <c r="J59">
        <f t="shared" si="9"/>
        <v>-1.2600000000000007E-3</v>
      </c>
      <c r="K59">
        <f t="shared" si="9"/>
        <v>-1.6900000000000005E-3</v>
      </c>
      <c r="L59">
        <f t="shared" si="9"/>
        <v>2.5700000000000002E-3</v>
      </c>
      <c r="M59">
        <f t="shared" si="9"/>
        <v>-8.5199999999999998E-3</v>
      </c>
      <c r="N59">
        <f t="shared" si="9"/>
        <v>-1.052E-2</v>
      </c>
      <c r="O59">
        <f t="shared" si="9"/>
        <v>-2.4399999999999999E-3</v>
      </c>
      <c r="P59">
        <f t="shared" si="9"/>
        <v>-4.6900000000000006E-3</v>
      </c>
      <c r="Q59">
        <f t="shared" si="9"/>
        <v>-2.9399999999999999E-3</v>
      </c>
      <c r="R59">
        <f t="shared" si="9"/>
        <v>-1.8500000000000001E-3</v>
      </c>
      <c r="S59">
        <f t="shared" si="9"/>
        <v>-1.4800000000000002E-3</v>
      </c>
      <c r="T59">
        <f t="shared" si="9"/>
        <v>-5.3000000000000009E-4</v>
      </c>
      <c r="U59">
        <f t="shared" si="9"/>
        <v>-3.700000000000001E-4</v>
      </c>
      <c r="V59">
        <f t="shared" si="9"/>
        <v>1.1113000000000002E-3</v>
      </c>
      <c r="W59">
        <f t="shared" si="9"/>
        <v>9.01E-4</v>
      </c>
      <c r="X59">
        <f t="shared" si="9"/>
        <v>1.0487000000000001E-3</v>
      </c>
      <c r="Y59">
        <f t="shared" si="9"/>
        <v>1.7669999999999999E-3</v>
      </c>
      <c r="Z59">
        <f t="shared" si="9"/>
        <v>1.374E-3</v>
      </c>
      <c r="AA59">
        <f t="shared" si="9"/>
        <v>1.606E-3</v>
      </c>
      <c r="AB59">
        <f t="shared" si="9"/>
        <v>2.0709999999999999E-3</v>
      </c>
      <c r="AC59">
        <f t="shared" si="9"/>
        <v>1.98E-3</v>
      </c>
      <c r="AD59">
        <f t="shared" si="9"/>
        <v>1.8549999999999999E-3</v>
      </c>
      <c r="AE59">
        <f t="shared" si="9"/>
        <v>1.596E-3</v>
      </c>
      <c r="AF59">
        <f t="shared" si="9"/>
        <v>1.219E-3</v>
      </c>
      <c r="AG59">
        <f t="shared" si="9"/>
        <v>2.5399999999999999E-4</v>
      </c>
      <c r="AH59">
        <f t="shared" si="9"/>
        <v>1.1499999999999998E-4</v>
      </c>
      <c r="AI59">
        <f t="shared" si="9"/>
        <v>4.1699999999999994E-4</v>
      </c>
      <c r="AJ59">
        <f t="shared" si="9"/>
        <v>1.4550000000000001E-3</v>
      </c>
      <c r="AK59">
        <f t="shared" si="9"/>
        <v>1.475E-3</v>
      </c>
      <c r="AL59">
        <f t="shared" si="9"/>
        <v>9.2800000000000011E-4</v>
      </c>
      <c r="AM59">
        <f t="shared" si="9"/>
        <v>7.7500000000000008E-4</v>
      </c>
      <c r="AN59">
        <f t="shared" si="9"/>
        <v>5.5699999999999999E-4</v>
      </c>
      <c r="AO59">
        <f t="shared" si="9"/>
        <v>6.4500000000000007E-4</v>
      </c>
      <c r="AP59">
        <f t="shared" si="9"/>
        <v>7.2300000000000001E-4</v>
      </c>
      <c r="AQ59">
        <f t="shared" si="9"/>
        <v>1.206E-3</v>
      </c>
      <c r="AR59">
        <f t="shared" si="9"/>
        <v>1.39E-3</v>
      </c>
      <c r="AS59">
        <f t="shared" si="9"/>
        <v>9.278E-4</v>
      </c>
      <c r="AT59">
        <f t="shared" si="9"/>
        <v>1.042E-3</v>
      </c>
      <c r="AU59">
        <f t="shared" si="9"/>
        <v>1.2769999999999999E-3</v>
      </c>
      <c r="AV59">
        <f t="shared" si="9"/>
        <v>5.6899999999999995E-4</v>
      </c>
      <c r="AW59">
        <f t="shared" si="9"/>
        <v>9.8689999999999997E-4</v>
      </c>
      <c r="AX59">
        <f t="shared" si="9"/>
        <v>1.4220000000000001E-3</v>
      </c>
      <c r="AY59">
        <f t="shared" si="9"/>
        <v>1.444E-3</v>
      </c>
      <c r="AZ59">
        <f t="shared" si="9"/>
        <v>1.3179999999999999E-3</v>
      </c>
      <c r="BA59">
        <f t="shared" si="9"/>
        <v>1.346E-3</v>
      </c>
      <c r="BB59">
        <f t="shared" si="9"/>
        <v>1.1689999999999999E-3</v>
      </c>
      <c r="BC59">
        <f t="shared" si="9"/>
        <v>9.8830000000000012E-4</v>
      </c>
      <c r="BD59">
        <f t="shared" si="9"/>
        <v>1.1330000000000001E-3</v>
      </c>
      <c r="BE59">
        <f t="shared" si="9"/>
        <v>1.0040000000000001E-3</v>
      </c>
      <c r="BF59">
        <f t="shared" si="9"/>
        <v>2.5000000000000001E-4</v>
      </c>
      <c r="BG59">
        <f t="shared" si="9"/>
        <v>6.3699999999999998E-4</v>
      </c>
      <c r="BH59">
        <f t="shared" si="9"/>
        <v>6.4900000000000005E-4</v>
      </c>
      <c r="BI59">
        <f t="shared" si="9"/>
        <v>6.8800000000000003E-4</v>
      </c>
      <c r="BJ59">
        <f t="shared" si="9"/>
        <v>6.0500000000000007E-4</v>
      </c>
      <c r="BK59">
        <f t="shared" si="9"/>
        <v>9.7499999999999996E-4</v>
      </c>
      <c r="BL59">
        <f t="shared" si="9"/>
        <v>6.87E-4</v>
      </c>
      <c r="BM59">
        <f t="shared" si="9"/>
        <v>1.029E-3</v>
      </c>
      <c r="BN59">
        <f t="shared" si="9"/>
        <v>1.227E-3</v>
      </c>
      <c r="BO59">
        <f t="shared" ref="BO59" si="10">BO42+BO50</f>
        <v>2.0249999999999999E-3</v>
      </c>
      <c r="BP59">
        <f t="shared" si="7"/>
        <v>1.882E-3</v>
      </c>
      <c r="BQ59">
        <f t="shared" si="8"/>
        <v>1.81E-3</v>
      </c>
      <c r="BR59">
        <f t="shared" si="8"/>
        <v>1.5999999999999999E-3</v>
      </c>
      <c r="BS59">
        <f t="shared" si="8"/>
        <v>1.66E-3</v>
      </c>
      <c r="BT59">
        <f t="shared" si="8"/>
        <v>2.7239999999999999E-3</v>
      </c>
      <c r="BU59">
        <f t="shared" si="8"/>
        <v>2.496E-3</v>
      </c>
      <c r="BV59">
        <f t="shared" si="8"/>
        <v>4.7800000000000002E-4</v>
      </c>
      <c r="BW59">
        <f t="shared" si="8"/>
        <v>1.1070000000000001E-3</v>
      </c>
      <c r="BX59">
        <f t="shared" si="8"/>
        <v>1.348E-3</v>
      </c>
      <c r="BY59">
        <f t="shared" si="8"/>
        <v>1.0790000000000001E-3</v>
      </c>
      <c r="BZ59">
        <f t="shared" si="8"/>
        <v>1.145E-3</v>
      </c>
      <c r="CA59">
        <f t="shared" si="8"/>
        <v>1.565E-3</v>
      </c>
      <c r="CB59">
        <f t="shared" si="8"/>
        <v>1.4109999999999999E-3</v>
      </c>
      <c r="CC59">
        <f t="shared" si="8"/>
        <v>1.2509999999999999E-3</v>
      </c>
      <c r="CD59">
        <f t="shared" si="8"/>
        <v>7.6520000000000006E-4</v>
      </c>
      <c r="CE59">
        <f t="shared" si="8"/>
        <v>2.7390000000000001E-3</v>
      </c>
      <c r="CF59">
        <f t="shared" si="8"/>
        <v>3.2949999999999998E-3</v>
      </c>
      <c r="CG59">
        <f t="shared" si="8"/>
        <v>3.4319999999999997E-3</v>
      </c>
      <c r="CH59">
        <f t="shared" si="8"/>
        <v>1.9469999999999999E-3</v>
      </c>
      <c r="CI59">
        <f t="shared" si="8"/>
        <v>7.4673999999999997E-4</v>
      </c>
      <c r="CJ59">
        <f t="shared" si="8"/>
        <v>-3.2500000000000009E-4</v>
      </c>
      <c r="CK59">
        <f t="shared" si="8"/>
        <v>8.5099999999999998E-4</v>
      </c>
      <c r="CL59">
        <f t="shared" si="8"/>
        <v>4.2499999999999998E-4</v>
      </c>
      <c r="CM59">
        <f t="shared" si="8"/>
        <v>1.341E-3</v>
      </c>
      <c r="CN59">
        <f t="shared" si="8"/>
        <v>1.3519999999999999E-3</v>
      </c>
      <c r="CO59">
        <f t="shared" si="8"/>
        <v>1.67E-3</v>
      </c>
      <c r="CP59">
        <f t="shared" si="8"/>
        <v>6.5309999999999999E-4</v>
      </c>
      <c r="CQ59">
        <f t="shared" si="8"/>
        <v>2.8200000000000002E-4</v>
      </c>
      <c r="CR59">
        <f t="shared" si="8"/>
        <v>-3.0999999999999995E-4</v>
      </c>
      <c r="CS59">
        <f t="shared" si="8"/>
        <v>-2.578E-3</v>
      </c>
      <c r="CT59">
        <f t="shared" si="8"/>
        <v>-1.8810000000000003E-3</v>
      </c>
      <c r="CU59">
        <f t="shared" si="8"/>
        <v>-2.3160000000000004E-3</v>
      </c>
      <c r="CV59">
        <f t="shared" si="8"/>
        <v>-1.1609999999999999E-3</v>
      </c>
      <c r="CW59">
        <f t="shared" si="8"/>
        <v>-6.5299999999999993E-4</v>
      </c>
      <c r="CX59">
        <f t="shared" si="8"/>
        <v>4.9949999999999994E-3</v>
      </c>
    </row>
    <row r="60" spans="1:102" x14ac:dyDescent="0.2">
      <c r="A60" t="s">
        <v>213</v>
      </c>
      <c r="B60" t="s">
        <v>220</v>
      </c>
      <c r="C60" t="s">
        <v>221</v>
      </c>
      <c r="D60">
        <f t="shared" ref="D60:BO62" si="11">D43+D51</f>
        <v>-0.16490000000000002</v>
      </c>
      <c r="E60">
        <f t="shared" si="11"/>
        <v>-0.16270000000000001</v>
      </c>
      <c r="F60">
        <f t="shared" si="11"/>
        <v>-2.717E-2</v>
      </c>
      <c r="G60">
        <f t="shared" si="11"/>
        <v>-0.18359999999999999</v>
      </c>
      <c r="H60">
        <f t="shared" si="11"/>
        <v>9.9299999999999999E-2</v>
      </c>
      <c r="I60">
        <f t="shared" si="11"/>
        <v>-0.10009999999999999</v>
      </c>
      <c r="J60">
        <f t="shared" si="11"/>
        <v>1.8300000000000004E-2</v>
      </c>
      <c r="K60">
        <f t="shared" si="11"/>
        <v>9.3000000000000027E-3</v>
      </c>
      <c r="L60">
        <f t="shared" si="11"/>
        <v>-1.8199999999999997E-2</v>
      </c>
      <c r="M60">
        <f t="shared" si="11"/>
        <v>0.11449999999999999</v>
      </c>
      <c r="N60">
        <f t="shared" si="11"/>
        <v>0.15920000000000001</v>
      </c>
      <c r="O60">
        <f t="shared" si="11"/>
        <v>7.6800000000000007E-2</v>
      </c>
      <c r="P60">
        <f t="shared" si="11"/>
        <v>0.1303</v>
      </c>
      <c r="Q60">
        <f t="shared" si="11"/>
        <v>0.1255</v>
      </c>
      <c r="R60">
        <f t="shared" si="11"/>
        <v>0.1086</v>
      </c>
      <c r="S60">
        <f t="shared" si="11"/>
        <v>7.7100000000000002E-2</v>
      </c>
      <c r="T60">
        <f t="shared" si="11"/>
        <v>5.6400000000000006E-2</v>
      </c>
      <c r="U60">
        <f t="shared" si="11"/>
        <v>4.7789999999999999E-2</v>
      </c>
      <c r="V60">
        <f t="shared" si="11"/>
        <v>3.5659999999999997E-2</v>
      </c>
      <c r="W60">
        <f t="shared" si="11"/>
        <v>3.1170000000000003E-2</v>
      </c>
      <c r="X60">
        <f t="shared" si="11"/>
        <v>2.8070000000000001E-2</v>
      </c>
      <c r="Y60">
        <f t="shared" si="11"/>
        <v>1.626E-2</v>
      </c>
      <c r="Z60">
        <f t="shared" si="11"/>
        <v>2.3460000000000002E-2</v>
      </c>
      <c r="AA60">
        <f t="shared" si="11"/>
        <v>3.1829999999999997E-2</v>
      </c>
      <c r="AB60">
        <f t="shared" si="11"/>
        <v>3.8119999999999994E-2</v>
      </c>
      <c r="AC60">
        <f t="shared" si="11"/>
        <v>3.9410000000000001E-2</v>
      </c>
      <c r="AD60">
        <f t="shared" si="11"/>
        <v>3.5320000000000004E-2</v>
      </c>
      <c r="AE60">
        <f t="shared" si="11"/>
        <v>3.6830000000000002E-2</v>
      </c>
      <c r="AF60">
        <f t="shared" si="11"/>
        <v>3.2000000000000001E-2</v>
      </c>
      <c r="AG60">
        <f t="shared" si="11"/>
        <v>2.7269999999999999E-2</v>
      </c>
      <c r="AH60">
        <f t="shared" si="11"/>
        <v>3.5279999999999999E-2</v>
      </c>
      <c r="AI60">
        <f t="shared" si="11"/>
        <v>2.7740000000000001E-2</v>
      </c>
      <c r="AJ60">
        <f t="shared" si="11"/>
        <v>2.1579999999999998E-2</v>
      </c>
      <c r="AK60">
        <f t="shared" si="11"/>
        <v>2.036E-2</v>
      </c>
      <c r="AL60">
        <f t="shared" si="11"/>
        <v>2.4810000000000002E-2</v>
      </c>
      <c r="AM60">
        <f t="shared" si="11"/>
        <v>2.0959999999999999E-2</v>
      </c>
      <c r="AN60">
        <f t="shared" si="11"/>
        <v>2.2720000000000001E-2</v>
      </c>
      <c r="AO60">
        <f t="shared" si="11"/>
        <v>2.7559999999999998E-2</v>
      </c>
      <c r="AP60">
        <f t="shared" si="11"/>
        <v>3.3680000000000002E-2</v>
      </c>
      <c r="AQ60">
        <f t="shared" si="11"/>
        <v>3.5450000000000002E-2</v>
      </c>
      <c r="AR60">
        <f t="shared" si="11"/>
        <v>3.2070000000000001E-2</v>
      </c>
      <c r="AS60">
        <f t="shared" si="11"/>
        <v>2.4759999999999997E-2</v>
      </c>
      <c r="AT60">
        <f t="shared" si="11"/>
        <v>2.1680000000000001E-2</v>
      </c>
      <c r="AU60">
        <f t="shared" si="11"/>
        <v>1.9880000000000002E-2</v>
      </c>
      <c r="AV60">
        <f t="shared" si="11"/>
        <v>2.8539999999999999E-2</v>
      </c>
      <c r="AW60">
        <f t="shared" si="11"/>
        <v>2.869E-2</v>
      </c>
      <c r="AX60">
        <f t="shared" si="11"/>
        <v>1.772E-2</v>
      </c>
      <c r="AY60">
        <f t="shared" si="11"/>
        <v>1.806E-2</v>
      </c>
      <c r="AZ60">
        <f t="shared" si="11"/>
        <v>2.078E-2</v>
      </c>
      <c r="BA60">
        <f t="shared" si="11"/>
        <v>2.4070000000000001E-2</v>
      </c>
      <c r="BB60">
        <f t="shared" si="11"/>
        <v>1.9550000000000001E-2</v>
      </c>
      <c r="BC60">
        <f t="shared" si="11"/>
        <v>2.5021000000000002E-2</v>
      </c>
      <c r="BD60">
        <f t="shared" si="11"/>
        <v>2.1219999999999999E-2</v>
      </c>
      <c r="BE60">
        <f t="shared" si="11"/>
        <v>2.332E-2</v>
      </c>
      <c r="BF60">
        <f t="shared" si="11"/>
        <v>2.4033700000000002E-2</v>
      </c>
      <c r="BG60">
        <f t="shared" si="11"/>
        <v>2.7253299999999998E-2</v>
      </c>
      <c r="BH60">
        <f t="shared" si="11"/>
        <v>3.0613999999999999E-2</v>
      </c>
      <c r="BI60">
        <f t="shared" si="11"/>
        <v>2.6983999999999998E-2</v>
      </c>
      <c r="BJ60">
        <f t="shared" si="11"/>
        <v>3.0584E-2</v>
      </c>
      <c r="BK60">
        <f t="shared" si="11"/>
        <v>2.5094000000000002E-2</v>
      </c>
      <c r="BL60">
        <f t="shared" si="11"/>
        <v>2.3556999999999998E-2</v>
      </c>
      <c r="BM60">
        <f t="shared" si="11"/>
        <v>2.1586999999999999E-2</v>
      </c>
      <c r="BN60">
        <f t="shared" si="11"/>
        <v>1.8961000000000002E-2</v>
      </c>
      <c r="BO60">
        <f t="shared" si="11"/>
        <v>1.6299999999999999E-2</v>
      </c>
      <c r="BP60">
        <f t="shared" si="7"/>
        <v>1.0754E-2</v>
      </c>
      <c r="BQ60">
        <f t="shared" si="8"/>
        <v>1.502E-2</v>
      </c>
      <c r="BR60">
        <f t="shared" si="8"/>
        <v>2.0970000000000003E-2</v>
      </c>
      <c r="BS60">
        <f t="shared" si="8"/>
        <v>2.5929999999999998E-2</v>
      </c>
      <c r="BT60">
        <f t="shared" si="8"/>
        <v>3.0887999999999999E-2</v>
      </c>
      <c r="BU60">
        <f t="shared" si="8"/>
        <v>3.4369999999999998E-2</v>
      </c>
      <c r="BV60">
        <f t="shared" si="8"/>
        <v>3.6420000000000001E-2</v>
      </c>
      <c r="BW60">
        <f t="shared" si="8"/>
        <v>3.789E-2</v>
      </c>
      <c r="BX60">
        <f t="shared" si="8"/>
        <v>2.8510000000000001E-2</v>
      </c>
      <c r="BY60">
        <f t="shared" si="8"/>
        <v>4.1069999999999995E-2</v>
      </c>
      <c r="BZ60">
        <f t="shared" si="8"/>
        <v>4.2450000000000002E-2</v>
      </c>
      <c r="CA60">
        <f t="shared" si="8"/>
        <v>3.49E-2</v>
      </c>
      <c r="CB60">
        <f t="shared" si="8"/>
        <v>2.4680000000000001E-2</v>
      </c>
      <c r="CC60">
        <f t="shared" si="8"/>
        <v>3.5979999999999998E-2</v>
      </c>
      <c r="CD60">
        <f t="shared" si="8"/>
        <v>2.0382999999999998E-2</v>
      </c>
      <c r="CE60">
        <f t="shared" si="8"/>
        <v>2.1444000000000001E-2</v>
      </c>
      <c r="CF60">
        <f t="shared" si="8"/>
        <v>2.5149999999999999E-2</v>
      </c>
      <c r="CG60">
        <f t="shared" si="8"/>
        <v>2.6825999999999999E-2</v>
      </c>
      <c r="CH60">
        <f t="shared" si="8"/>
        <v>2.0681999999999999E-2</v>
      </c>
      <c r="CI60">
        <f t="shared" si="8"/>
        <v>2.5328999999999997E-2</v>
      </c>
      <c r="CJ60">
        <f t="shared" si="8"/>
        <v>1.39372E-2</v>
      </c>
      <c r="CK60">
        <f t="shared" si="8"/>
        <v>6.0767999999999994E-3</v>
      </c>
      <c r="CL60">
        <f t="shared" si="8"/>
        <v>2.1050000000000001E-3</v>
      </c>
      <c r="CM60">
        <f t="shared" si="8"/>
        <v>1.6217000000000002E-2</v>
      </c>
      <c r="CN60">
        <f t="shared" si="8"/>
        <v>1.9002999999999999E-2</v>
      </c>
      <c r="CO60">
        <f t="shared" si="8"/>
        <v>6.5299999999999993E-3</v>
      </c>
      <c r="CP60">
        <f t="shared" si="8"/>
        <v>1.7405E-2</v>
      </c>
      <c r="CQ60">
        <f t="shared" si="8"/>
        <v>8.4600000000000005E-3</v>
      </c>
      <c r="CR60">
        <f t="shared" si="8"/>
        <v>1.2189999999999999E-2</v>
      </c>
      <c r="CS60">
        <f t="shared" si="8"/>
        <v>2.5219999999999999E-2</v>
      </c>
      <c r="CT60">
        <f t="shared" si="8"/>
        <v>1.7840000000000002E-2</v>
      </c>
      <c r="CU60">
        <f t="shared" si="8"/>
        <v>1.2829999999999999E-2</v>
      </c>
      <c r="CV60">
        <f t="shared" si="8"/>
        <v>-9.1399999999999988E-3</v>
      </c>
      <c r="CW60">
        <f t="shared" si="8"/>
        <v>1.3989999999999999E-2</v>
      </c>
      <c r="CX60">
        <f t="shared" si="8"/>
        <v>1.2920000000000001E-2</v>
      </c>
    </row>
    <row r="61" spans="1:102" x14ac:dyDescent="0.2">
      <c r="A61" t="s">
        <v>214</v>
      </c>
      <c r="B61" t="s">
        <v>220</v>
      </c>
      <c r="C61" t="s">
        <v>221</v>
      </c>
      <c r="D61">
        <f t="shared" si="11"/>
        <v>4.8600000000000004E-2</v>
      </c>
      <c r="E61">
        <f t="shared" si="11"/>
        <v>5.8800000000000005E-2</v>
      </c>
      <c r="F61">
        <f t="shared" si="11"/>
        <v>3.8899999999999997E-2</v>
      </c>
      <c r="G61">
        <f t="shared" si="11"/>
        <v>2.5599999999999998E-2</v>
      </c>
      <c r="H61">
        <f t="shared" si="11"/>
        <v>5.0299999999999997E-2</v>
      </c>
      <c r="I61">
        <f t="shared" si="11"/>
        <v>4.5399999999999996E-2</v>
      </c>
      <c r="J61">
        <f t="shared" si="11"/>
        <v>3.7170000000000002E-2</v>
      </c>
      <c r="K61">
        <f t="shared" si="11"/>
        <v>3.0859999999999999E-2</v>
      </c>
      <c r="L61">
        <f t="shared" si="11"/>
        <v>2.5729999999999999E-2</v>
      </c>
      <c r="M61">
        <f t="shared" si="11"/>
        <v>2.2289999999999997E-2</v>
      </c>
      <c r="N61">
        <f t="shared" si="11"/>
        <v>1.7160000000000002E-2</v>
      </c>
      <c r="O61">
        <f t="shared" si="11"/>
        <v>5.5099999999999993E-3</v>
      </c>
      <c r="P61">
        <f t="shared" si="11"/>
        <v>1.958E-2</v>
      </c>
      <c r="Q61">
        <f t="shared" si="11"/>
        <v>4.7299999999999998E-3</v>
      </c>
      <c r="R61">
        <f t="shared" si="11"/>
        <v>6.4999999999999997E-4</v>
      </c>
      <c r="S61">
        <f t="shared" si="11"/>
        <v>3.1549999999999998E-3</v>
      </c>
      <c r="T61">
        <f t="shared" si="11"/>
        <v>1.3100000000000002E-3</v>
      </c>
      <c r="U61">
        <f t="shared" si="11"/>
        <v>4.8199999999999996E-3</v>
      </c>
      <c r="V61">
        <f t="shared" si="11"/>
        <v>6.3999999999999994E-4</v>
      </c>
      <c r="W61">
        <f t="shared" si="11"/>
        <v>-7.499999999999998E-4</v>
      </c>
      <c r="X61">
        <f t="shared" si="11"/>
        <v>-8.1999999999999998E-4</v>
      </c>
      <c r="Y61">
        <f t="shared" si="11"/>
        <v>-2.2799999999999999E-3</v>
      </c>
      <c r="Z61">
        <f t="shared" si="11"/>
        <v>-4.8999999999999998E-3</v>
      </c>
      <c r="AA61">
        <f t="shared" si="11"/>
        <v>-5.9099999999999995E-3</v>
      </c>
      <c r="AB61">
        <f t="shared" si="11"/>
        <v>4.9700000000000005E-3</v>
      </c>
      <c r="AC61">
        <f t="shared" si="11"/>
        <v>-5.8999999999999981E-4</v>
      </c>
      <c r="AD61">
        <f t="shared" si="11"/>
        <v>-7.3000000000000018E-4</v>
      </c>
      <c r="AE61">
        <f t="shared" si="11"/>
        <v>-2.7000000000000006E-3</v>
      </c>
      <c r="AF61">
        <f t="shared" si="11"/>
        <v>7.3600000000000002E-3</v>
      </c>
      <c r="AG61">
        <f t="shared" si="11"/>
        <v>1.75E-3</v>
      </c>
      <c r="AH61">
        <f t="shared" si="11"/>
        <v>3.0799999999999998E-3</v>
      </c>
      <c r="AI61">
        <f t="shared" si="11"/>
        <v>2.7140000000000003E-3</v>
      </c>
      <c r="AJ61">
        <f t="shared" si="11"/>
        <v>3.9779999999999998E-3</v>
      </c>
      <c r="AK61">
        <f t="shared" si="11"/>
        <v>3.9034E-3</v>
      </c>
      <c r="AL61">
        <f t="shared" si="11"/>
        <v>4.1529999999999996E-3</v>
      </c>
      <c r="AM61">
        <f t="shared" si="11"/>
        <v>-1.9999999999999966E-4</v>
      </c>
      <c r="AN61">
        <f t="shared" si="11"/>
        <v>1.7799999999999999E-3</v>
      </c>
      <c r="AO61">
        <f t="shared" si="11"/>
        <v>-6.1999999999999989E-4</v>
      </c>
      <c r="AP61">
        <f t="shared" si="11"/>
        <v>7.4799999999999997E-3</v>
      </c>
      <c r="AQ61">
        <f t="shared" si="11"/>
        <v>3.9770000000000005E-3</v>
      </c>
      <c r="AR61">
        <f t="shared" si="11"/>
        <v>1.026E-2</v>
      </c>
      <c r="AS61">
        <f t="shared" si="11"/>
        <v>-2.5999999999999981E-4</v>
      </c>
      <c r="AT61">
        <f t="shared" si="11"/>
        <v>1.0999999999999985E-4</v>
      </c>
      <c r="AU61">
        <f t="shared" si="11"/>
        <v>-6.6E-4</v>
      </c>
      <c r="AV61">
        <f t="shared" si="11"/>
        <v>9.6800000000000011E-3</v>
      </c>
      <c r="AW61">
        <f t="shared" si="11"/>
        <v>3.96E-3</v>
      </c>
      <c r="AX61">
        <f t="shared" si="11"/>
        <v>6.7099999999999998E-3</v>
      </c>
      <c r="AY61">
        <f t="shared" si="11"/>
        <v>3.8159999999999999E-3</v>
      </c>
      <c r="AZ61">
        <f t="shared" si="11"/>
        <v>5.8099999999999992E-3</v>
      </c>
      <c r="BA61">
        <f t="shared" si="11"/>
        <v>5.3600000000000002E-3</v>
      </c>
      <c r="BB61">
        <f t="shared" si="11"/>
        <v>4.8400000000000006E-3</v>
      </c>
      <c r="BC61">
        <f t="shared" si="11"/>
        <v>2.5839999999999999E-3</v>
      </c>
      <c r="BD61">
        <f t="shared" si="11"/>
        <v>3.5950000000000001E-3</v>
      </c>
      <c r="BE61">
        <f t="shared" si="11"/>
        <v>-1.2399999999999998E-3</v>
      </c>
      <c r="BF61">
        <f t="shared" si="11"/>
        <v>6.4700000000000001E-3</v>
      </c>
      <c r="BG61">
        <f t="shared" si="11"/>
        <v>3.3249999999999998E-3</v>
      </c>
      <c r="BH61">
        <f t="shared" si="11"/>
        <v>6.5400000000000007E-3</v>
      </c>
      <c r="BI61">
        <f t="shared" si="11"/>
        <v>5.2500000000000003E-3</v>
      </c>
      <c r="BJ61">
        <f t="shared" si="11"/>
        <v>9.1400000000000006E-3</v>
      </c>
      <c r="BK61">
        <f t="shared" si="11"/>
        <v>3.5699999999999998E-3</v>
      </c>
      <c r="BL61">
        <f t="shared" si="11"/>
        <v>5.6100000000000004E-3</v>
      </c>
      <c r="BM61">
        <f t="shared" si="11"/>
        <v>3.6850000000000003E-3</v>
      </c>
      <c r="BN61">
        <f t="shared" si="11"/>
        <v>4.4200000000000003E-3</v>
      </c>
      <c r="BO61">
        <f t="shared" si="11"/>
        <v>4.9700000000000005E-3</v>
      </c>
      <c r="BP61">
        <f t="shared" si="7"/>
        <v>6.1500000000000001E-3</v>
      </c>
      <c r="BQ61">
        <f t="shared" si="8"/>
        <v>-1.82E-3</v>
      </c>
      <c r="BR61">
        <f t="shared" si="8"/>
        <v>-7.6E-3</v>
      </c>
      <c r="BS61">
        <f t="shared" si="8"/>
        <v>2.8640000000000002E-3</v>
      </c>
      <c r="BT61">
        <f t="shared" si="8"/>
        <v>4.6999999999999993E-3</v>
      </c>
      <c r="BU61">
        <f t="shared" si="8"/>
        <v>8.6700000000000006E-3</v>
      </c>
      <c r="BV61">
        <f t="shared" si="8"/>
        <v>5.7599999999999995E-3</v>
      </c>
      <c r="BW61">
        <f t="shared" si="8"/>
        <v>7.5199999999999998E-3</v>
      </c>
      <c r="BX61">
        <f t="shared" si="8"/>
        <v>8.9800000000000001E-3</v>
      </c>
      <c r="BY61">
        <f t="shared" si="8"/>
        <v>8.3000000000000001E-3</v>
      </c>
      <c r="BZ61">
        <f t="shared" si="8"/>
        <v>2.1199999999999999E-3</v>
      </c>
      <c r="CA61">
        <f t="shared" si="8"/>
        <v>1.0109999999999999E-2</v>
      </c>
      <c r="CB61">
        <f t="shared" si="8"/>
        <v>-1.5700000000000002E-3</v>
      </c>
      <c r="CC61">
        <f t="shared" si="8"/>
        <v>-4.0300000000000006E-3</v>
      </c>
      <c r="CD61">
        <f t="shared" si="8"/>
        <v>1.189E-2</v>
      </c>
      <c r="CE61">
        <f t="shared" si="8"/>
        <v>1.5300000000000001E-2</v>
      </c>
      <c r="CF61">
        <f t="shared" si="8"/>
        <v>1.4E-3</v>
      </c>
      <c r="CG61">
        <f t="shared" si="8"/>
        <v>1.3130000000000001E-2</v>
      </c>
      <c r="CH61">
        <f t="shared" si="8"/>
        <v>5.6899999999999997E-3</v>
      </c>
      <c r="CI61">
        <f t="shared" si="8"/>
        <v>1.451E-2</v>
      </c>
      <c r="CJ61">
        <f t="shared" si="8"/>
        <v>1.149E-2</v>
      </c>
      <c r="CK61">
        <f t="shared" si="8"/>
        <v>1.257E-2</v>
      </c>
      <c r="CL61">
        <f t="shared" si="8"/>
        <v>2.9769999999999996E-3</v>
      </c>
      <c r="CM61">
        <f t="shared" si="8"/>
        <v>1.882E-2</v>
      </c>
      <c r="CN61">
        <f t="shared" si="8"/>
        <v>1.251E-2</v>
      </c>
      <c r="CO61">
        <f t="shared" si="8"/>
        <v>1.6970000000000002E-2</v>
      </c>
      <c r="CP61">
        <f t="shared" si="8"/>
        <v>1.1242E-2</v>
      </c>
      <c r="CQ61">
        <f t="shared" si="8"/>
        <v>2.1231999999999997E-2</v>
      </c>
      <c r="CR61">
        <f t="shared" si="8"/>
        <v>1.7437999999999999E-2</v>
      </c>
      <c r="CS61">
        <f t="shared" si="8"/>
        <v>1.2718E-2</v>
      </c>
      <c r="CT61">
        <f t="shared" si="8"/>
        <v>2.9869999999999997E-2</v>
      </c>
      <c r="CU61">
        <f t="shared" si="8"/>
        <v>3.8495999999999996E-2</v>
      </c>
      <c r="CV61">
        <f t="shared" si="8"/>
        <v>3.1474799999999997E-2</v>
      </c>
      <c r="CW61">
        <f t="shared" si="8"/>
        <v>3.8966000000000001E-2</v>
      </c>
      <c r="CX61">
        <f t="shared" si="8"/>
        <v>2.8923400000000002E-2</v>
      </c>
    </row>
    <row r="62" spans="1:102" x14ac:dyDescent="0.2">
      <c r="A62" t="s">
        <v>215</v>
      </c>
      <c r="B62" t="s">
        <v>220</v>
      </c>
      <c r="C62" t="s">
        <v>221</v>
      </c>
      <c r="D62">
        <f t="shared" si="11"/>
        <v>-2.9399999999999999E-3</v>
      </c>
      <c r="E62">
        <f t="shared" si="11"/>
        <v>-0.1013</v>
      </c>
      <c r="F62">
        <f t="shared" si="11"/>
        <v>-5.5470000000000005E-2</v>
      </c>
      <c r="G62">
        <f t="shared" si="11"/>
        <v>-1.8330000000000003E-2</v>
      </c>
      <c r="H62">
        <f t="shared" si="11"/>
        <v>3.746E-2</v>
      </c>
      <c r="I62">
        <f t="shared" si="11"/>
        <v>4.7670000000000004E-2</v>
      </c>
      <c r="J62">
        <f t="shared" si="11"/>
        <v>4.4979999999999999E-2</v>
      </c>
      <c r="K62">
        <f t="shared" si="11"/>
        <v>1.6119999999999999E-2</v>
      </c>
      <c r="L62">
        <f t="shared" si="11"/>
        <v>1.704E-2</v>
      </c>
      <c r="M62">
        <f t="shared" si="11"/>
        <v>1.324E-2</v>
      </c>
      <c r="N62">
        <f t="shared" si="11"/>
        <v>2.7909999999999997E-2</v>
      </c>
      <c r="O62">
        <f t="shared" si="11"/>
        <v>1.6109999999999999E-2</v>
      </c>
      <c r="P62">
        <f t="shared" si="11"/>
        <v>2.4681999999999999E-2</v>
      </c>
      <c r="Q62">
        <f t="shared" si="11"/>
        <v>2.0702999999999999E-2</v>
      </c>
      <c r="R62">
        <f t="shared" si="11"/>
        <v>2.25302E-2</v>
      </c>
      <c r="S62">
        <f t="shared" si="11"/>
        <v>1.9465E-2</v>
      </c>
      <c r="T62">
        <f t="shared" si="11"/>
        <v>1.95712E-2</v>
      </c>
      <c r="U62">
        <f t="shared" si="11"/>
        <v>1.6771999999999999E-2</v>
      </c>
      <c r="V62">
        <f t="shared" si="11"/>
        <v>1.8374000000000001E-2</v>
      </c>
      <c r="W62">
        <f t="shared" si="11"/>
        <v>1.7408E-2</v>
      </c>
      <c r="X62">
        <f t="shared" si="11"/>
        <v>1.2947E-2</v>
      </c>
      <c r="Y62">
        <f t="shared" si="11"/>
        <v>1.3004999999999999E-2</v>
      </c>
      <c r="Z62">
        <f t="shared" si="11"/>
        <v>1.2416E-2</v>
      </c>
      <c r="AA62">
        <f t="shared" si="11"/>
        <v>1.18986E-2</v>
      </c>
      <c r="AB62">
        <f t="shared" si="11"/>
        <v>1.3436E-2</v>
      </c>
      <c r="AC62">
        <f t="shared" si="11"/>
        <v>1.3209E-2</v>
      </c>
      <c r="AD62">
        <f t="shared" si="11"/>
        <v>1.4581999999999999E-2</v>
      </c>
      <c r="AE62">
        <f t="shared" si="11"/>
        <v>1.4509000000000001E-2</v>
      </c>
      <c r="AF62">
        <f t="shared" si="11"/>
        <v>1.3898000000000001E-2</v>
      </c>
      <c r="AG62">
        <f t="shared" si="11"/>
        <v>1.4476000000000001E-2</v>
      </c>
      <c r="AH62">
        <f t="shared" si="11"/>
        <v>1.7697999999999998E-2</v>
      </c>
      <c r="AI62">
        <f t="shared" si="11"/>
        <v>1.8068000000000001E-2</v>
      </c>
      <c r="AJ62">
        <f t="shared" si="11"/>
        <v>1.2588999999999999E-2</v>
      </c>
      <c r="AK62">
        <f t="shared" si="11"/>
        <v>1.6658999999999999E-3</v>
      </c>
      <c r="AL62">
        <f t="shared" si="11"/>
        <v>3.5054000000000001E-3</v>
      </c>
      <c r="AM62">
        <f t="shared" si="11"/>
        <v>3.509E-3</v>
      </c>
      <c r="AN62">
        <f t="shared" si="11"/>
        <v>3.1349999999999998E-3</v>
      </c>
      <c r="AO62">
        <f t="shared" si="11"/>
        <v>5.1350000000000007E-3</v>
      </c>
      <c r="AP62">
        <f t="shared" si="11"/>
        <v>-2.869E-3</v>
      </c>
      <c r="AQ62">
        <f t="shared" si="11"/>
        <v>-1.5760000000000001E-3</v>
      </c>
      <c r="AR62">
        <f t="shared" si="11"/>
        <v>2.2309999999999999E-3</v>
      </c>
      <c r="AS62">
        <f t="shared" si="11"/>
        <v>2.9159999999999998E-3</v>
      </c>
      <c r="AT62">
        <f t="shared" si="11"/>
        <v>3.2199999999999998E-3</v>
      </c>
      <c r="AU62">
        <f t="shared" si="11"/>
        <v>3.79E-3</v>
      </c>
      <c r="AV62">
        <f t="shared" si="11"/>
        <v>6.6530000000000001E-3</v>
      </c>
      <c r="AW62">
        <f t="shared" si="11"/>
        <v>6.9899999999999997E-3</v>
      </c>
      <c r="AX62">
        <f t="shared" si="11"/>
        <v>6.7019999999999996E-3</v>
      </c>
      <c r="AY62">
        <f t="shared" si="11"/>
        <v>6.8059999999999996E-3</v>
      </c>
      <c r="AZ62">
        <f t="shared" si="11"/>
        <v>9.3170000000000006E-3</v>
      </c>
      <c r="BA62">
        <f t="shared" si="11"/>
        <v>1.2758E-2</v>
      </c>
      <c r="BB62">
        <f t="shared" si="11"/>
        <v>1.1779299999999999E-2</v>
      </c>
      <c r="BC62">
        <f t="shared" si="11"/>
        <v>1.2882999999999999E-2</v>
      </c>
      <c r="BD62">
        <f t="shared" si="11"/>
        <v>1.6667999999999999E-2</v>
      </c>
      <c r="BE62">
        <f t="shared" si="11"/>
        <v>1.4288E-2</v>
      </c>
      <c r="BF62">
        <f t="shared" si="11"/>
        <v>1.7471E-2</v>
      </c>
      <c r="BG62">
        <f t="shared" si="11"/>
        <v>1.9361999999999997E-2</v>
      </c>
      <c r="BH62">
        <f t="shared" si="11"/>
        <v>2.1956E-2</v>
      </c>
      <c r="BI62">
        <f t="shared" si="11"/>
        <v>-9.5130000000000006E-3</v>
      </c>
      <c r="BJ62">
        <f t="shared" si="11"/>
        <v>-1.5446E-2</v>
      </c>
      <c r="BK62">
        <f t="shared" si="11"/>
        <v>-1.4705000000000001E-2</v>
      </c>
      <c r="BL62">
        <f t="shared" si="11"/>
        <v>-1.1906999999999999E-2</v>
      </c>
      <c r="BM62">
        <f t="shared" si="11"/>
        <v>-2.0881999999999998E-2</v>
      </c>
      <c r="BN62">
        <f t="shared" si="11"/>
        <v>-2.3999000000000003E-2</v>
      </c>
      <c r="BO62">
        <f t="shared" si="11"/>
        <v>-2.4089000000000003E-2</v>
      </c>
      <c r="BP62">
        <f t="shared" si="7"/>
        <v>-2.0385999999999998E-2</v>
      </c>
      <c r="BQ62">
        <f t="shared" si="8"/>
        <v>-2.0197E-2</v>
      </c>
      <c r="BR62">
        <f t="shared" si="8"/>
        <v>-1.9259999999999999E-2</v>
      </c>
      <c r="BS62">
        <f t="shared" si="8"/>
        <v>-1.436E-2</v>
      </c>
      <c r="BT62">
        <f t="shared" si="8"/>
        <v>-1.6448999999999998E-2</v>
      </c>
      <c r="BU62">
        <f t="shared" si="8"/>
        <v>-1.609E-2</v>
      </c>
      <c r="BV62">
        <f t="shared" si="8"/>
        <v>-1.7787000000000001E-2</v>
      </c>
      <c r="BW62">
        <f t="shared" si="8"/>
        <v>-2.0184000000000001E-2</v>
      </c>
      <c r="BX62">
        <f t="shared" si="8"/>
        <v>-2.1301E-2</v>
      </c>
      <c r="BY62">
        <f t="shared" si="8"/>
        <v>-1.9985999999999997E-2</v>
      </c>
      <c r="BZ62">
        <f t="shared" si="8"/>
        <v>-1.7339999999999998E-2</v>
      </c>
      <c r="CA62">
        <f t="shared" si="8"/>
        <v>-2.385E-3</v>
      </c>
      <c r="CB62">
        <f t="shared" si="8"/>
        <v>7.2290000000000006E-4</v>
      </c>
      <c r="CC62">
        <f t="shared" si="8"/>
        <v>2.3890000000000001E-3</v>
      </c>
      <c r="CD62">
        <f t="shared" si="8"/>
        <v>-5.0089999999999996E-3</v>
      </c>
      <c r="CE62">
        <f t="shared" si="8"/>
        <v>-3.9109999999999995E-3</v>
      </c>
      <c r="CF62">
        <f t="shared" si="8"/>
        <v>-1.8739999999999998E-3</v>
      </c>
      <c r="CG62">
        <f t="shared" si="8"/>
        <v>-1.6970000000000002E-3</v>
      </c>
      <c r="CH62">
        <f t="shared" ref="CH62:CX62" si="12">CH45+CH53</f>
        <v>6.0480000000000006E-4</v>
      </c>
      <c r="CI62">
        <f t="shared" si="12"/>
        <v>3.1099999999999999E-3</v>
      </c>
      <c r="CJ62">
        <f t="shared" si="12"/>
        <v>-1.5636999999999998E-2</v>
      </c>
      <c r="CK62">
        <f t="shared" si="12"/>
        <v>-9.5200000000000007E-3</v>
      </c>
      <c r="CL62">
        <f t="shared" si="12"/>
        <v>-4.7499999999999999E-3</v>
      </c>
      <c r="CM62">
        <f t="shared" si="12"/>
        <v>-3.8199999999999996E-3</v>
      </c>
      <c r="CN62">
        <f t="shared" si="12"/>
        <v>-3.0649000000000002E-3</v>
      </c>
      <c r="CO62">
        <f t="shared" si="12"/>
        <v>1.7300000000000002E-3</v>
      </c>
      <c r="CP62">
        <f t="shared" si="12"/>
        <v>2.7199999999999993E-3</v>
      </c>
      <c r="CQ62">
        <f t="shared" si="12"/>
        <v>5.4000000000000003E-3</v>
      </c>
      <c r="CR62">
        <f t="shared" si="12"/>
        <v>1.1300000000000001E-2</v>
      </c>
      <c r="CS62">
        <f t="shared" si="12"/>
        <v>1.2369999999999999E-2</v>
      </c>
      <c r="CT62">
        <f t="shared" si="12"/>
        <v>-8.0960000000000004E-2</v>
      </c>
      <c r="CU62">
        <f t="shared" si="12"/>
        <v>-8.8099999999999998E-2</v>
      </c>
      <c r="CV62">
        <f t="shared" si="12"/>
        <v>-7.4910000000000004E-2</v>
      </c>
      <c r="CW62">
        <f t="shared" si="12"/>
        <v>-8.3940000000000001E-2</v>
      </c>
      <c r="CX62">
        <f t="shared" si="12"/>
        <v>-8.2799999999999999E-2</v>
      </c>
    </row>
    <row r="63" spans="1:102" x14ac:dyDescent="0.2">
      <c r="A63" t="s">
        <v>216</v>
      </c>
      <c r="B63" t="s">
        <v>220</v>
      </c>
      <c r="C63" t="s">
        <v>221</v>
      </c>
      <c r="D63">
        <f>D54</f>
        <v>0.45200000000000001</v>
      </c>
      <c r="E63">
        <f t="shared" ref="E63:BP63" si="13">E54</f>
        <v>-0.14199999999999999</v>
      </c>
      <c r="F63">
        <f t="shared" si="13"/>
        <v>-0.92800000000000005</v>
      </c>
      <c r="G63">
        <f t="shared" si="13"/>
        <v>3.7900000000000003E-2</v>
      </c>
      <c r="H63">
        <f t="shared" si="13"/>
        <v>-1.458</v>
      </c>
      <c r="I63">
        <f t="shared" si="13"/>
        <v>-0.435</v>
      </c>
      <c r="J63">
        <f t="shared" si="13"/>
        <v>-0.97</v>
      </c>
      <c r="K63">
        <f t="shared" si="13"/>
        <v>-0.75600000000000001</v>
      </c>
      <c r="L63">
        <f t="shared" si="13"/>
        <v>-0.53400000000000003</v>
      </c>
      <c r="M63">
        <f t="shared" si="13"/>
        <v>-0.97699999999999998</v>
      </c>
      <c r="N63">
        <f t="shared" si="13"/>
        <v>-1.0129999999999999</v>
      </c>
      <c r="O63">
        <f t="shared" si="13"/>
        <v>-0.53200000000000003</v>
      </c>
      <c r="P63">
        <f t="shared" si="13"/>
        <v>-0.71199999999999997</v>
      </c>
      <c r="Q63">
        <f t="shared" si="13"/>
        <v>-0.60199999999999998</v>
      </c>
      <c r="R63">
        <f t="shared" si="13"/>
        <v>-0.46600000000000003</v>
      </c>
      <c r="S63">
        <f t="shared" si="13"/>
        <v>-0.378</v>
      </c>
      <c r="T63">
        <f t="shared" si="13"/>
        <v>-0.26500000000000001</v>
      </c>
      <c r="U63">
        <f t="shared" si="13"/>
        <v>-0.222</v>
      </c>
      <c r="V63">
        <f t="shared" si="13"/>
        <v>-0.124</v>
      </c>
      <c r="W63">
        <f t="shared" si="13"/>
        <v>-0.115</v>
      </c>
      <c r="X63">
        <f t="shared" si="13"/>
        <v>-0.13200000000000001</v>
      </c>
      <c r="Y63">
        <f t="shared" si="13"/>
        <v>-6.0299999999999999E-2</v>
      </c>
      <c r="Z63">
        <f t="shared" si="13"/>
        <v>-9.2499999999999999E-2</v>
      </c>
      <c r="AA63">
        <f t="shared" si="13"/>
        <v>-0.13700000000000001</v>
      </c>
      <c r="AB63">
        <f t="shared" si="13"/>
        <v>-0.14899999999999999</v>
      </c>
      <c r="AC63">
        <f t="shared" si="13"/>
        <v>-0.13400000000000001</v>
      </c>
      <c r="AD63">
        <f t="shared" si="13"/>
        <v>-0.111</v>
      </c>
      <c r="AE63">
        <f t="shared" si="13"/>
        <v>-0.115</v>
      </c>
      <c r="AF63">
        <f t="shared" si="13"/>
        <v>-0.109</v>
      </c>
      <c r="AG63">
        <f t="shared" si="13"/>
        <v>-9.98E-2</v>
      </c>
      <c r="AH63">
        <f t="shared" si="13"/>
        <v>-0.122</v>
      </c>
      <c r="AI63">
        <f t="shared" si="13"/>
        <v>-0.123</v>
      </c>
      <c r="AJ63">
        <f t="shared" si="13"/>
        <v>-0.12</v>
      </c>
      <c r="AK63">
        <f t="shared" si="13"/>
        <v>-0.111</v>
      </c>
      <c r="AL63">
        <f t="shared" si="13"/>
        <v>-0.11600000000000001</v>
      </c>
      <c r="AM63">
        <f t="shared" si="13"/>
        <v>-0.111</v>
      </c>
      <c r="AN63">
        <f t="shared" si="13"/>
        <v>-0.11</v>
      </c>
      <c r="AO63">
        <f t="shared" si="13"/>
        <v>-0.124</v>
      </c>
      <c r="AP63">
        <f t="shared" si="13"/>
        <v>-0.185</v>
      </c>
      <c r="AQ63">
        <f t="shared" si="13"/>
        <v>-0.217</v>
      </c>
      <c r="AR63">
        <f t="shared" si="13"/>
        <v>-0.219</v>
      </c>
      <c r="AS63">
        <f t="shared" si="13"/>
        <v>-0.184</v>
      </c>
      <c r="AT63">
        <f t="shared" si="13"/>
        <v>-0.16600000000000001</v>
      </c>
      <c r="AU63">
        <f t="shared" si="13"/>
        <v>-0.155</v>
      </c>
      <c r="AV63">
        <f t="shared" si="13"/>
        <v>-0.14599999999999999</v>
      </c>
      <c r="AW63">
        <f t="shared" si="13"/>
        <v>-0.114</v>
      </c>
      <c r="AX63">
        <f t="shared" si="13"/>
        <v>-9.4399999999999998E-2</v>
      </c>
      <c r="AY63">
        <f t="shared" si="13"/>
        <v>-6.7699999999999996E-2</v>
      </c>
      <c r="AZ63">
        <f t="shared" si="13"/>
        <v>-7.0400000000000004E-2</v>
      </c>
      <c r="BA63">
        <f t="shared" si="13"/>
        <v>-4.6600000000000003E-2</v>
      </c>
      <c r="BB63">
        <f t="shared" si="13"/>
        <v>-7.6300000000000007E-2</v>
      </c>
      <c r="BC63">
        <f t="shared" si="13"/>
        <v>-0.106</v>
      </c>
      <c r="BD63">
        <f t="shared" si="13"/>
        <v>-0.128</v>
      </c>
      <c r="BE63">
        <f t="shared" si="13"/>
        <v>-0.128</v>
      </c>
      <c r="BF63">
        <f t="shared" si="13"/>
        <v>-0.128</v>
      </c>
      <c r="BG63">
        <f t="shared" si="13"/>
        <v>-0.17199999999999999</v>
      </c>
      <c r="BH63">
        <f t="shared" si="13"/>
        <v>-0.19</v>
      </c>
      <c r="BI63">
        <f t="shared" si="13"/>
        <v>-0.158</v>
      </c>
      <c r="BJ63">
        <f t="shared" si="13"/>
        <v>-0.158</v>
      </c>
      <c r="BK63">
        <f t="shared" si="13"/>
        <v>-0.153</v>
      </c>
      <c r="BL63">
        <f t="shared" si="13"/>
        <v>-0.128</v>
      </c>
      <c r="BM63">
        <f t="shared" si="13"/>
        <v>-0.11700000000000001</v>
      </c>
      <c r="BN63">
        <f t="shared" si="13"/>
        <v>-9.7799999999999998E-2</v>
      </c>
      <c r="BO63">
        <f t="shared" si="13"/>
        <v>-5.7000000000000002E-2</v>
      </c>
      <c r="BP63">
        <f t="shared" si="13"/>
        <v>-4.7600000000000003E-3</v>
      </c>
      <c r="BQ63">
        <f t="shared" ref="BQ63:CX63" si="14">BQ54</f>
        <v>1.3500000000000001E-3</v>
      </c>
      <c r="BR63">
        <f t="shared" si="14"/>
        <v>-1.17E-2</v>
      </c>
      <c r="BS63">
        <f t="shared" si="14"/>
        <v>-1.18E-2</v>
      </c>
      <c r="BT63">
        <f t="shared" si="14"/>
        <v>1.3899999999999999E-2</v>
      </c>
      <c r="BU63">
        <f t="shared" si="14"/>
        <v>-9.0299999999999998E-3</v>
      </c>
      <c r="BV63">
        <f t="shared" si="14"/>
        <v>-0.16400000000000001</v>
      </c>
      <c r="BW63">
        <f t="shared" si="14"/>
        <v>-0.20799999999999999</v>
      </c>
      <c r="BX63">
        <f t="shared" si="14"/>
        <v>-0.183</v>
      </c>
      <c r="BY63">
        <f t="shared" si="14"/>
        <v>-0.14699999999999999</v>
      </c>
      <c r="BZ63">
        <f t="shared" si="14"/>
        <v>-0.20499999999999999</v>
      </c>
      <c r="CA63">
        <f t="shared" si="14"/>
        <v>-0.25</v>
      </c>
      <c r="CB63">
        <f t="shared" si="14"/>
        <v>-0.221</v>
      </c>
      <c r="CC63">
        <f t="shared" si="14"/>
        <v>-0.21299999999999999</v>
      </c>
      <c r="CD63">
        <f t="shared" si="14"/>
        <v>-0.106</v>
      </c>
      <c r="CE63">
        <f t="shared" si="14"/>
        <v>0.13700000000000001</v>
      </c>
      <c r="CF63">
        <f t="shared" si="14"/>
        <v>0.20699999999999999</v>
      </c>
      <c r="CG63">
        <f t="shared" si="14"/>
        <v>0.124</v>
      </c>
      <c r="CH63">
        <f t="shared" si="14"/>
        <v>-2.63E-2</v>
      </c>
      <c r="CI63">
        <f t="shared" si="14"/>
        <v>-0.16500000000000001</v>
      </c>
      <c r="CJ63">
        <f t="shared" si="14"/>
        <v>-0.157</v>
      </c>
      <c r="CK63">
        <f t="shared" si="14"/>
        <v>-7.6499999999999999E-2</v>
      </c>
      <c r="CL63">
        <f t="shared" si="14"/>
        <v>2.6499999999999999E-2</v>
      </c>
      <c r="CM63">
        <f t="shared" si="14"/>
        <v>5.6000000000000001E-2</v>
      </c>
      <c r="CN63">
        <f t="shared" si="14"/>
        <v>8.1500000000000003E-2</v>
      </c>
      <c r="CO63">
        <f t="shared" si="14"/>
        <v>0.11</v>
      </c>
      <c r="CP63">
        <f t="shared" si="14"/>
        <v>2.4099999999999998E-3</v>
      </c>
      <c r="CQ63">
        <f t="shared" si="14"/>
        <v>-3.1700000000000001E-3</v>
      </c>
      <c r="CR63">
        <f t="shared" si="14"/>
        <v>-6.5500000000000003E-2</v>
      </c>
      <c r="CS63">
        <f t="shared" si="14"/>
        <v>-0.20899999999999999</v>
      </c>
      <c r="CT63">
        <f t="shared" si="14"/>
        <v>4.1000000000000002E-2</v>
      </c>
      <c r="CU63">
        <f t="shared" si="14"/>
        <v>0.14000000000000001</v>
      </c>
      <c r="CV63">
        <f t="shared" si="14"/>
        <v>0.24399999999999999</v>
      </c>
      <c r="CW63">
        <f t="shared" si="14"/>
        <v>2.87E-2</v>
      </c>
      <c r="CX63">
        <f t="shared" si="14"/>
        <v>0.14299999999999999</v>
      </c>
    </row>
    <row r="64" spans="1:102" x14ac:dyDescent="0.2">
      <c r="A64" t="s">
        <v>203</v>
      </c>
      <c r="B64" t="s">
        <v>217</v>
      </c>
      <c r="C64" t="s">
        <v>222</v>
      </c>
      <c r="D64">
        <f>'2012_2020'!B2</f>
        <v>0.19</v>
      </c>
      <c r="E64">
        <f>'2012_2020'!C2</f>
        <v>0.48399999999999999</v>
      </c>
      <c r="F64">
        <f>'2012_2020'!D2</f>
        <v>0.70499999999999996</v>
      </c>
      <c r="G64">
        <f>'2012_2020'!E2</f>
        <v>0.88800000000000001</v>
      </c>
      <c r="H64">
        <f>'2012_2020'!F2</f>
        <v>0.997</v>
      </c>
      <c r="I64">
        <f>'2012_2020'!G2</f>
        <v>1.111</v>
      </c>
      <c r="J64">
        <f>'2012_2020'!H2</f>
        <v>1.1970000000000001</v>
      </c>
      <c r="K64">
        <f>'2012_2020'!I2</f>
        <v>1.292</v>
      </c>
      <c r="L64">
        <f>'2012_2020'!J2</f>
        <v>1.3879999999999999</v>
      </c>
      <c r="M64">
        <f>'2012_2020'!K2</f>
        <v>1.4219999999999999</v>
      </c>
      <c r="N64">
        <f>'2012_2020'!L2</f>
        <v>1.492</v>
      </c>
      <c r="O64">
        <f>'2012_2020'!M2</f>
        <v>1.575</v>
      </c>
      <c r="P64">
        <f>'2012_2020'!N2</f>
        <v>1.583</v>
      </c>
      <c r="Q64">
        <f>'2012_2020'!O2</f>
        <v>1.613</v>
      </c>
      <c r="R64">
        <f>'2012_2020'!P2</f>
        <v>1.647</v>
      </c>
      <c r="S64">
        <f>'2012_2020'!Q2</f>
        <v>1.6719999999999999</v>
      </c>
      <c r="T64">
        <f>'2012_2020'!R2</f>
        <v>1.704</v>
      </c>
      <c r="U64">
        <f>'2012_2020'!S2</f>
        <v>1.718</v>
      </c>
      <c r="V64">
        <f>'2012_2020'!T2</f>
        <v>1.744</v>
      </c>
      <c r="W64">
        <f>'2012_2020'!U2</f>
        <v>1.7509999999999999</v>
      </c>
      <c r="X64">
        <f>'2012_2020'!V2</f>
        <v>1.758</v>
      </c>
      <c r="Y64">
        <f>'2012_2020'!W2</f>
        <v>1.7949999999999999</v>
      </c>
      <c r="Z64">
        <f>'2012_2020'!X2</f>
        <v>1.802</v>
      </c>
      <c r="AA64">
        <f>'2012_2020'!Y2</f>
        <v>1.8009999999999999</v>
      </c>
      <c r="AB64">
        <f>'2012_2020'!Z2</f>
        <v>1.806</v>
      </c>
      <c r="AC64">
        <f>'2012_2020'!AA2</f>
        <v>1.8109999999999999</v>
      </c>
      <c r="AD64">
        <f>'2012_2020'!AB2</f>
        <v>1.839</v>
      </c>
      <c r="AE64">
        <f>'2012_2020'!AC2</f>
        <v>1.8440000000000001</v>
      </c>
      <c r="AF64">
        <f>'2012_2020'!AD2</f>
        <v>1.8520000000000001</v>
      </c>
      <c r="AG64">
        <f>'2012_2020'!AE2</f>
        <v>1.86</v>
      </c>
      <c r="AH64">
        <f>'2012_2020'!AF2</f>
        <v>1.881</v>
      </c>
      <c r="AI64">
        <f>'2012_2020'!AG2</f>
        <v>1.889</v>
      </c>
      <c r="AJ64">
        <f>'2012_2020'!AH2</f>
        <v>1.895</v>
      </c>
      <c r="AK64">
        <f>'2012_2020'!AI2</f>
        <v>1.9119999999999999</v>
      </c>
      <c r="AL64">
        <f>'2012_2020'!AJ2</f>
        <v>1.95</v>
      </c>
      <c r="AM64">
        <f>'2012_2020'!AK2</f>
        <v>1.9690000000000001</v>
      </c>
      <c r="AN64">
        <f>'2012_2020'!AL2</f>
        <v>1.9810000000000001</v>
      </c>
      <c r="AO64">
        <f>'2012_2020'!AM2</f>
        <v>1.9830000000000001</v>
      </c>
      <c r="AP64">
        <f>'2012_2020'!AN2</f>
        <v>1.9890000000000001</v>
      </c>
      <c r="AQ64">
        <f>'2012_2020'!AO2</f>
        <v>2.008</v>
      </c>
      <c r="AR64">
        <f>'2012_2020'!AP2</f>
        <v>2.028</v>
      </c>
      <c r="AS64">
        <f>'2012_2020'!AQ2</f>
        <v>2.0470000000000002</v>
      </c>
      <c r="AT64">
        <f>'2012_2020'!AR2</f>
        <v>2.0649999999999999</v>
      </c>
      <c r="AU64">
        <f>'2012_2020'!AS2</f>
        <v>2.089</v>
      </c>
      <c r="AV64">
        <f>'2012_2020'!AT2</f>
        <v>2.0950000000000002</v>
      </c>
      <c r="AW64">
        <f>'2012_2020'!AU2</f>
        <v>2.1139999999999999</v>
      </c>
      <c r="AX64">
        <f>'2012_2020'!AV2</f>
        <v>2.1160000000000001</v>
      </c>
      <c r="AY64">
        <f>'2012_2020'!AW2</f>
        <v>2.137</v>
      </c>
      <c r="AZ64">
        <f>'2012_2020'!AX2</f>
        <v>2.1469999999999998</v>
      </c>
      <c r="BA64">
        <f>'2012_2020'!AY2</f>
        <v>2.1760000000000002</v>
      </c>
      <c r="BB64">
        <f>'2012_2020'!AZ2</f>
        <v>2.2029999999999998</v>
      </c>
      <c r="BC64">
        <f>'2012_2020'!BA2</f>
        <v>2.2170000000000001</v>
      </c>
      <c r="BD64">
        <f>'2012_2020'!BB2</f>
        <v>2.2090000000000001</v>
      </c>
      <c r="BE64">
        <f>'2012_2020'!BC2</f>
        <v>2.2290000000000001</v>
      </c>
      <c r="BF64">
        <f>'2012_2020'!BD2</f>
        <v>2.2679999999999998</v>
      </c>
      <c r="BG64">
        <f>'2012_2020'!BE2</f>
        <v>2.2719999999999998</v>
      </c>
      <c r="BH64">
        <f>'2012_2020'!BF2</f>
        <v>2.2919999999999998</v>
      </c>
      <c r="BI64">
        <f>'2012_2020'!BG2</f>
        <v>2.3109999999999999</v>
      </c>
      <c r="BJ64">
        <f>'2012_2020'!BH2</f>
        <v>2.3180000000000001</v>
      </c>
      <c r="BK64">
        <f>'2012_2020'!BI2</f>
        <v>2.3490000000000002</v>
      </c>
      <c r="BL64">
        <f>'2012_2020'!BJ2</f>
        <v>2.39</v>
      </c>
      <c r="BM64">
        <f>'2012_2020'!BK2</f>
        <v>2.4</v>
      </c>
      <c r="BN64">
        <f>'2012_2020'!BL2</f>
        <v>2.4020000000000001</v>
      </c>
      <c r="BO64">
        <f>'2012_2020'!BM2</f>
        <v>2.4359999999999999</v>
      </c>
      <c r="BP64">
        <f>'2012_2020'!BN2</f>
        <v>2.4929999999999999</v>
      </c>
      <c r="BQ64">
        <f>'2012_2020'!BO2</f>
        <v>2.504</v>
      </c>
      <c r="BR64">
        <f>'2012_2020'!BP2</f>
        <v>2.496</v>
      </c>
      <c r="BS64">
        <f>'2012_2020'!BQ2</f>
        <v>2.5</v>
      </c>
      <c r="BT64">
        <f>'2012_2020'!BR2</f>
        <v>2.5030000000000001</v>
      </c>
      <c r="BU64">
        <f>'2012_2020'!BS2</f>
        <v>2.5379999999999998</v>
      </c>
      <c r="BV64">
        <f>'2012_2020'!BT2</f>
        <v>2.5840000000000001</v>
      </c>
      <c r="BW64">
        <f>'2012_2020'!BU2</f>
        <v>2.621</v>
      </c>
      <c r="BX64">
        <f>'2012_2020'!BV2</f>
        <v>2.6389999999999998</v>
      </c>
      <c r="BY64">
        <f>'2012_2020'!BW2</f>
        <v>2.6789999999999998</v>
      </c>
      <c r="BZ64">
        <f>'2012_2020'!BX2</f>
        <v>2.7170000000000001</v>
      </c>
      <c r="CA64">
        <f>'2012_2020'!BY2</f>
        <v>2.7210000000000001</v>
      </c>
      <c r="CB64">
        <f>'2012_2020'!BZ2</f>
        <v>2.7759999999999998</v>
      </c>
      <c r="CC64">
        <f>'2012_2020'!CA2</f>
        <v>2.8039999999999998</v>
      </c>
      <c r="CD64">
        <f>'2012_2020'!CB2</f>
        <v>2.8290000000000002</v>
      </c>
      <c r="CE64">
        <f>'2012_2020'!CC2</f>
        <v>2.8959999999999999</v>
      </c>
      <c r="CF64">
        <f>'2012_2020'!CD2</f>
        <v>2.899</v>
      </c>
      <c r="CG64">
        <f>'2012_2020'!CE2</f>
        <v>2.91</v>
      </c>
      <c r="CH64">
        <f>'2012_2020'!CF2</f>
        <v>2.9649999999999999</v>
      </c>
      <c r="CI64">
        <f>'2012_2020'!CG2</f>
        <v>3.012</v>
      </c>
      <c r="CJ64">
        <f>'2012_2020'!CH2</f>
        <v>3.0640000000000001</v>
      </c>
      <c r="CK64">
        <f>'2012_2020'!CI2</f>
        <v>3.1339999999999999</v>
      </c>
      <c r="CL64">
        <f>'2012_2020'!CJ2</f>
        <v>3.2040000000000002</v>
      </c>
      <c r="CM64">
        <f>'2012_2020'!CK2</f>
        <v>3.198</v>
      </c>
      <c r="CN64">
        <f>'2012_2020'!CL2</f>
        <v>3.2719999999999998</v>
      </c>
      <c r="CO64">
        <f>'2012_2020'!CM2</f>
        <v>3.335</v>
      </c>
      <c r="CP64">
        <f>'2012_2020'!CN2</f>
        <v>3.4140000000000001</v>
      </c>
      <c r="CQ64">
        <f>'2012_2020'!CO2</f>
        <v>3.44</v>
      </c>
      <c r="CR64">
        <f>'2012_2020'!CP2</f>
        <v>3.5590000000000002</v>
      </c>
      <c r="CS64">
        <f>'2012_2020'!CQ2</f>
        <v>3.6520000000000001</v>
      </c>
      <c r="CT64">
        <f>'2012_2020'!CR2</f>
        <v>3.76</v>
      </c>
      <c r="CU64">
        <f>'2012_2020'!CS2</f>
        <v>3.887</v>
      </c>
      <c r="CV64">
        <f>'2012_2020'!CT2</f>
        <v>4.1040000000000001</v>
      </c>
      <c r="CW64">
        <f>'2012_2020'!CU2</f>
        <v>4.2880000000000003</v>
      </c>
      <c r="CX64">
        <f>'2012_2020'!CV2</f>
        <v>4.609</v>
      </c>
    </row>
    <row r="65" spans="1:102" x14ac:dyDescent="0.2">
      <c r="A65" t="s">
        <v>204</v>
      </c>
      <c r="B65" t="s">
        <v>217</v>
      </c>
      <c r="C65" t="s">
        <v>222</v>
      </c>
      <c r="D65">
        <f>'2012_2020'!B3</f>
        <v>-7.6999999999999999E-2</v>
      </c>
      <c r="E65">
        <f>'2012_2020'!C3</f>
        <v>0.30599999999999999</v>
      </c>
      <c r="F65">
        <f>'2012_2020'!D3</f>
        <v>0.53600000000000003</v>
      </c>
      <c r="G65">
        <f>'2012_2020'!E3</f>
        <v>0.69099999999999995</v>
      </c>
      <c r="H65">
        <f>'2012_2020'!F3</f>
        <v>0.85599999999999998</v>
      </c>
      <c r="I65">
        <f>'2012_2020'!G3</f>
        <v>0.96299999999999997</v>
      </c>
      <c r="J65">
        <f>'2012_2020'!H3</f>
        <v>1.0529999999999999</v>
      </c>
      <c r="K65">
        <f>'2012_2020'!I3</f>
        <v>1.149</v>
      </c>
      <c r="L65">
        <f>'2012_2020'!J3</f>
        <v>1.22</v>
      </c>
      <c r="M65">
        <f>'2012_2020'!K3</f>
        <v>1.3089999999999999</v>
      </c>
      <c r="N65">
        <f>'2012_2020'!L3</f>
        <v>1.34</v>
      </c>
      <c r="O65">
        <f>'2012_2020'!M3</f>
        <v>1.389</v>
      </c>
      <c r="P65">
        <f>'2012_2020'!N3</f>
        <v>1.4359999999999999</v>
      </c>
      <c r="Q65">
        <f>'2012_2020'!O3</f>
        <v>1.468</v>
      </c>
      <c r="R65">
        <f>'2012_2020'!P3</f>
        <v>1.5089999999999999</v>
      </c>
      <c r="S65">
        <f>'2012_2020'!Q3</f>
        <v>1.536</v>
      </c>
      <c r="T65">
        <f>'2012_2020'!R3</f>
        <v>1.5549999999999999</v>
      </c>
      <c r="U65">
        <f>'2012_2020'!S3</f>
        <v>1.5680000000000001</v>
      </c>
      <c r="V65">
        <f>'2012_2020'!T3</f>
        <v>1.59</v>
      </c>
      <c r="W65">
        <f>'2012_2020'!U3</f>
        <v>1.6060000000000001</v>
      </c>
      <c r="X65">
        <f>'2012_2020'!V3</f>
        <v>1.627</v>
      </c>
      <c r="Y65">
        <f>'2012_2020'!W3</f>
        <v>1.641</v>
      </c>
      <c r="Z65">
        <f>'2012_2020'!X3</f>
        <v>1.653</v>
      </c>
      <c r="AA65">
        <f>'2012_2020'!Y3</f>
        <v>1.671</v>
      </c>
      <c r="AB65">
        <f>'2012_2020'!Z3</f>
        <v>1.6850000000000001</v>
      </c>
      <c r="AC65">
        <f>'2012_2020'!AA3</f>
        <v>1.7050000000000001</v>
      </c>
      <c r="AD65">
        <f>'2012_2020'!AB3</f>
        <v>1.7210000000000001</v>
      </c>
      <c r="AE65">
        <f>'2012_2020'!AC3</f>
        <v>1.736</v>
      </c>
      <c r="AF65">
        <f>'2012_2020'!AD3</f>
        <v>1.7470000000000001</v>
      </c>
      <c r="AG65">
        <f>'2012_2020'!AE3</f>
        <v>1.756</v>
      </c>
      <c r="AH65">
        <f>'2012_2020'!AF3</f>
        <v>1.7669999999999999</v>
      </c>
      <c r="AI65">
        <f>'2012_2020'!AG3</f>
        <v>1.7769999999999999</v>
      </c>
      <c r="AJ65">
        <f>'2012_2020'!AH3</f>
        <v>1.7869999999999999</v>
      </c>
      <c r="AK65">
        <f>'2012_2020'!AI3</f>
        <v>1.81</v>
      </c>
      <c r="AL65">
        <f>'2012_2020'!AJ3</f>
        <v>1.825</v>
      </c>
      <c r="AM65">
        <f>'2012_2020'!AK3</f>
        <v>1.8380000000000001</v>
      </c>
      <c r="AN65">
        <f>'2012_2020'!AL3</f>
        <v>1.8540000000000001</v>
      </c>
      <c r="AO65">
        <f>'2012_2020'!AM3</f>
        <v>1.87</v>
      </c>
      <c r="AP65">
        <f>'2012_2020'!AN3</f>
        <v>1.8879999999999999</v>
      </c>
      <c r="AQ65">
        <f>'2012_2020'!AO3</f>
        <v>1.899</v>
      </c>
      <c r="AR65">
        <f>'2012_2020'!AP3</f>
        <v>1.9139999999999999</v>
      </c>
      <c r="AS65">
        <f>'2012_2020'!AQ3</f>
        <v>1.93</v>
      </c>
      <c r="AT65">
        <f>'2012_2020'!AR3</f>
        <v>1.952</v>
      </c>
      <c r="AU65">
        <f>'2012_2020'!AS3</f>
        <v>1.9690000000000001</v>
      </c>
      <c r="AV65">
        <f>'2012_2020'!AT3</f>
        <v>1.9930000000000001</v>
      </c>
      <c r="AW65">
        <f>'2012_2020'!AU3</f>
        <v>2.0099999999999998</v>
      </c>
      <c r="AX65">
        <f>'2012_2020'!AV3</f>
        <v>2.028</v>
      </c>
      <c r="AY65">
        <f>'2012_2020'!AW3</f>
        <v>2.0299999999999998</v>
      </c>
      <c r="AZ65">
        <f>'2012_2020'!AX3</f>
        <v>2.0390000000000001</v>
      </c>
      <c r="BA65">
        <f>'2012_2020'!AY3</f>
        <v>2.0579999999999998</v>
      </c>
      <c r="BB65">
        <f>'2012_2020'!AZ3</f>
        <v>2.0699999999999998</v>
      </c>
      <c r="BC65">
        <f>'2012_2020'!BA3</f>
        <v>2.093</v>
      </c>
      <c r="BD65">
        <f>'2012_2020'!BB3</f>
        <v>2.1179999999999999</v>
      </c>
      <c r="BE65">
        <f>'2012_2020'!BC3</f>
        <v>2.1379999999999999</v>
      </c>
      <c r="BF65">
        <f>'2012_2020'!BD3</f>
        <v>2.15</v>
      </c>
      <c r="BG65">
        <f>'2012_2020'!BE3</f>
        <v>2.17</v>
      </c>
      <c r="BH65">
        <f>'2012_2020'!BF3</f>
        <v>2.2010000000000001</v>
      </c>
      <c r="BI65">
        <f>'2012_2020'!BG3</f>
        <v>2.2240000000000002</v>
      </c>
      <c r="BJ65">
        <f>'2012_2020'!BH3</f>
        <v>2.2450000000000001</v>
      </c>
      <c r="BK65">
        <f>'2012_2020'!BI3</f>
        <v>2.246</v>
      </c>
      <c r="BL65">
        <f>'2012_2020'!BJ3</f>
        <v>2.2589999999999999</v>
      </c>
      <c r="BM65">
        <f>'2012_2020'!BK3</f>
        <v>2.2850000000000001</v>
      </c>
      <c r="BN65">
        <f>'2012_2020'!BL3</f>
        <v>2.3109999999999999</v>
      </c>
      <c r="BO65">
        <f>'2012_2020'!BM3</f>
        <v>2.3290000000000002</v>
      </c>
      <c r="BP65">
        <f>'2012_2020'!BN3</f>
        <v>2.3479999999999999</v>
      </c>
      <c r="BQ65">
        <f>'2012_2020'!BO3</f>
        <v>2.3860000000000001</v>
      </c>
      <c r="BR65">
        <f>'2012_2020'!BP3</f>
        <v>2.4140000000000001</v>
      </c>
      <c r="BS65">
        <f>'2012_2020'!BQ3</f>
        <v>2.4369999999999998</v>
      </c>
      <c r="BT65">
        <f>'2012_2020'!BR3</f>
        <v>2.4409999999999998</v>
      </c>
      <c r="BU65">
        <f>'2012_2020'!BS3</f>
        <v>2.468</v>
      </c>
      <c r="BV65">
        <f>'2012_2020'!BT3</f>
        <v>2.5030000000000001</v>
      </c>
      <c r="BW65">
        <f>'2012_2020'!BU3</f>
        <v>2.5310000000000001</v>
      </c>
      <c r="BX65">
        <f>'2012_2020'!BV3</f>
        <v>2.5499999999999998</v>
      </c>
      <c r="BY65">
        <f>'2012_2020'!BW3</f>
        <v>2.5859999999999999</v>
      </c>
      <c r="BZ65">
        <f>'2012_2020'!BX3</f>
        <v>2.6269999999999998</v>
      </c>
      <c r="CA65">
        <f>'2012_2020'!BY3</f>
        <v>2.66</v>
      </c>
      <c r="CB65">
        <f>'2012_2020'!BZ3</f>
        <v>2.6669999999999998</v>
      </c>
      <c r="CC65">
        <f>'2012_2020'!CA3</f>
        <v>2.7189999999999999</v>
      </c>
      <c r="CD65">
        <f>'2012_2020'!CB3</f>
        <v>2.7490000000000001</v>
      </c>
      <c r="CE65">
        <f>'2012_2020'!CC3</f>
        <v>2.7810000000000001</v>
      </c>
      <c r="CF65">
        <f>'2012_2020'!CD3</f>
        <v>2.8330000000000002</v>
      </c>
      <c r="CG65">
        <f>'2012_2020'!CE3</f>
        <v>2.8690000000000002</v>
      </c>
      <c r="CH65">
        <f>'2012_2020'!CF3</f>
        <v>2.9329999999999998</v>
      </c>
      <c r="CI65">
        <f>'2012_2020'!CG3</f>
        <v>2.9420000000000002</v>
      </c>
      <c r="CJ65">
        <f>'2012_2020'!CH3</f>
        <v>2.9780000000000002</v>
      </c>
      <c r="CK65">
        <f>'2012_2020'!CI3</f>
        <v>3.0419999999999998</v>
      </c>
      <c r="CL65">
        <f>'2012_2020'!CJ3</f>
        <v>3.117</v>
      </c>
      <c r="CM65">
        <f>'2012_2020'!CK3</f>
        <v>3.1720000000000002</v>
      </c>
      <c r="CN65">
        <f>'2012_2020'!CL3</f>
        <v>3.222</v>
      </c>
      <c r="CO65">
        <f>'2012_2020'!CM3</f>
        <v>3.2970000000000002</v>
      </c>
      <c r="CP65">
        <f>'2012_2020'!CN3</f>
        <v>3.3460000000000001</v>
      </c>
      <c r="CQ65">
        <f>'2012_2020'!CO3</f>
        <v>3.4289999999999998</v>
      </c>
      <c r="CR65">
        <f>'2012_2020'!CP3</f>
        <v>3.5230000000000001</v>
      </c>
      <c r="CS65">
        <f>'2012_2020'!CQ3</f>
        <v>3.6509999999999998</v>
      </c>
      <c r="CT65">
        <f>'2012_2020'!CR3</f>
        <v>3.7469999999999999</v>
      </c>
      <c r="CU65">
        <f>'2012_2020'!CS3</f>
        <v>3.8639999999999999</v>
      </c>
      <c r="CV65">
        <f>'2012_2020'!CT3</f>
        <v>4.0410000000000004</v>
      </c>
      <c r="CW65">
        <f>'2012_2020'!CU3</f>
        <v>4.2939999999999996</v>
      </c>
      <c r="CX65">
        <f>'2012_2020'!CV3</f>
        <v>4.609</v>
      </c>
    </row>
    <row r="66" spans="1:102" x14ac:dyDescent="0.2">
      <c r="A66" t="s">
        <v>205</v>
      </c>
      <c r="B66" t="s">
        <v>217</v>
      </c>
      <c r="C66" t="s">
        <v>222</v>
      </c>
      <c r="D66">
        <f>'2012_2020'!B4</f>
        <v>0.26700000000000002</v>
      </c>
      <c r="E66">
        <f>'2012_2020'!C4</f>
        <v>0.17799999999999999</v>
      </c>
      <c r="F66">
        <f>'2012_2020'!D4</f>
        <v>0.16900000000000001</v>
      </c>
      <c r="G66">
        <f>'2012_2020'!E4</f>
        <v>0.19700000000000001</v>
      </c>
      <c r="H66">
        <f>'2012_2020'!F4</f>
        <v>0.14099999999999999</v>
      </c>
      <c r="I66">
        <f>'2012_2020'!G4</f>
        <v>0.14899999999999999</v>
      </c>
      <c r="J66">
        <f>'2012_2020'!H4</f>
        <v>0.14499999999999999</v>
      </c>
      <c r="K66">
        <f>'2012_2020'!I4</f>
        <v>0.14299999999999999</v>
      </c>
      <c r="L66">
        <f>'2012_2020'!J4</f>
        <v>0.16700000000000001</v>
      </c>
      <c r="M66">
        <f>'2012_2020'!K4</f>
        <v>0.113</v>
      </c>
      <c r="N66">
        <f>'2012_2020'!L4</f>
        <v>0.152</v>
      </c>
      <c r="O66">
        <f>'2012_2020'!M4</f>
        <v>0.186</v>
      </c>
      <c r="P66">
        <f>'2012_2020'!N4</f>
        <v>0.14799999999999999</v>
      </c>
      <c r="Q66">
        <f>'2012_2020'!O4</f>
        <v>0.14599999999999999</v>
      </c>
      <c r="R66">
        <f>'2012_2020'!P4</f>
        <v>0.13700000000000001</v>
      </c>
      <c r="S66">
        <f>'2012_2020'!Q4</f>
        <v>0.13600000000000001</v>
      </c>
      <c r="T66">
        <f>'2012_2020'!R4</f>
        <v>0.15</v>
      </c>
      <c r="U66">
        <f>'2012_2020'!S4</f>
        <v>0.15</v>
      </c>
      <c r="V66">
        <f>'2012_2020'!T4</f>
        <v>0.154</v>
      </c>
      <c r="W66">
        <f>'2012_2020'!U4</f>
        <v>0.14599999999999999</v>
      </c>
      <c r="X66">
        <f>'2012_2020'!V4</f>
        <v>0.13100000000000001</v>
      </c>
      <c r="Y66">
        <f>'2012_2020'!W4</f>
        <v>0.154</v>
      </c>
      <c r="Z66">
        <f>'2012_2020'!X4</f>
        <v>0.14899999999999999</v>
      </c>
      <c r="AA66">
        <f>'2012_2020'!Y4</f>
        <v>0.13100000000000001</v>
      </c>
      <c r="AB66">
        <f>'2012_2020'!Z4</f>
        <v>0.121</v>
      </c>
      <c r="AC66">
        <f>'2012_2020'!AA4</f>
        <v>0.105</v>
      </c>
      <c r="AD66">
        <f>'2012_2020'!AB4</f>
        <v>0.11799999999999999</v>
      </c>
      <c r="AE66">
        <f>'2012_2020'!AC4</f>
        <v>0.108</v>
      </c>
      <c r="AF66">
        <f>'2012_2020'!AD4</f>
        <v>0.105</v>
      </c>
      <c r="AG66">
        <f>'2012_2020'!AE4</f>
        <v>0.104</v>
      </c>
      <c r="AH66">
        <f>'2012_2020'!AF4</f>
        <v>0.114</v>
      </c>
      <c r="AI66">
        <f>'2012_2020'!AG4</f>
        <v>0.112</v>
      </c>
      <c r="AJ66">
        <f>'2012_2020'!AH4</f>
        <v>0.108</v>
      </c>
      <c r="AK66">
        <f>'2012_2020'!AI4</f>
        <v>0.10199999999999999</v>
      </c>
      <c r="AL66">
        <f>'2012_2020'!AJ4</f>
        <v>0.125</v>
      </c>
      <c r="AM66">
        <f>'2012_2020'!AK4</f>
        <v>0.13100000000000001</v>
      </c>
      <c r="AN66">
        <f>'2012_2020'!AL4</f>
        <v>0.127</v>
      </c>
      <c r="AO66">
        <f>'2012_2020'!AM4</f>
        <v>0.113</v>
      </c>
      <c r="AP66">
        <f>'2012_2020'!AN4</f>
        <v>0.10100000000000001</v>
      </c>
      <c r="AQ66">
        <f>'2012_2020'!AO4</f>
        <v>0.11</v>
      </c>
      <c r="AR66">
        <f>'2012_2020'!AP4</f>
        <v>0.115</v>
      </c>
      <c r="AS66">
        <f>'2012_2020'!AQ4</f>
        <v>0.11700000000000001</v>
      </c>
      <c r="AT66">
        <f>'2012_2020'!AR4</f>
        <v>0.113</v>
      </c>
      <c r="AU66">
        <f>'2012_2020'!AS4</f>
        <v>0.12</v>
      </c>
      <c r="AV66">
        <f>'2012_2020'!AT4</f>
        <v>0.10199999999999999</v>
      </c>
      <c r="AW66">
        <f>'2012_2020'!AU4</f>
        <v>0.104</v>
      </c>
      <c r="AX66">
        <f>'2012_2020'!AV4</f>
        <v>8.8200000000000001E-2</v>
      </c>
      <c r="AY66">
        <f>'2012_2020'!AW4</f>
        <v>0.107</v>
      </c>
      <c r="AZ66">
        <f>'2012_2020'!AX4</f>
        <v>0.108</v>
      </c>
      <c r="BA66">
        <f>'2012_2020'!AY4</f>
        <v>0.11700000000000001</v>
      </c>
      <c r="BB66">
        <f>'2012_2020'!AZ4</f>
        <v>0.13300000000000001</v>
      </c>
      <c r="BC66">
        <f>'2012_2020'!BA4</f>
        <v>0.124</v>
      </c>
      <c r="BD66">
        <f>'2012_2020'!BB4</f>
        <v>9.11E-2</v>
      </c>
      <c r="BE66">
        <f>'2012_2020'!BC4</f>
        <v>9.1600000000000001E-2</v>
      </c>
      <c r="BF66">
        <f>'2012_2020'!BD4</f>
        <v>0.11799999999999999</v>
      </c>
      <c r="BG66">
        <f>'2012_2020'!BE4</f>
        <v>0.10199999999999999</v>
      </c>
      <c r="BH66">
        <f>'2012_2020'!BF4</f>
        <v>9.0700000000000003E-2</v>
      </c>
      <c r="BI66">
        <f>'2012_2020'!BG4</f>
        <v>8.6599999999999996E-2</v>
      </c>
      <c r="BJ66">
        <f>'2012_2020'!BH4</f>
        <v>7.3599999999999999E-2</v>
      </c>
      <c r="BK66">
        <f>'2012_2020'!BI4</f>
        <v>0.10299999999999999</v>
      </c>
      <c r="BL66">
        <f>'2012_2020'!BJ4</f>
        <v>0.13</v>
      </c>
      <c r="BM66">
        <f>'2012_2020'!BK4</f>
        <v>0.115</v>
      </c>
      <c r="BN66">
        <f>'2012_2020'!BL4</f>
        <v>9.0999999999999998E-2</v>
      </c>
      <c r="BO66">
        <f>'2012_2020'!BM4</f>
        <v>0.108</v>
      </c>
      <c r="BP66">
        <f>'2012_2020'!BN4</f>
        <v>0.14399999999999999</v>
      </c>
      <c r="BQ66">
        <f>'2012_2020'!BO4</f>
        <v>0.11799999999999999</v>
      </c>
      <c r="BR66">
        <f>'2012_2020'!BP4</f>
        <v>8.1199999999999994E-2</v>
      </c>
      <c r="BS66">
        <f>'2012_2020'!BQ4</f>
        <v>6.2700000000000006E-2</v>
      </c>
      <c r="BT66">
        <f>'2012_2020'!BR4</f>
        <v>6.1400000000000003E-2</v>
      </c>
      <c r="BU66">
        <f>'2012_2020'!BS4</f>
        <v>6.9800000000000001E-2</v>
      </c>
      <c r="BV66">
        <f>'2012_2020'!BT4</f>
        <v>8.0199999999999994E-2</v>
      </c>
      <c r="BW66">
        <f>'2012_2020'!BU4</f>
        <v>9.0399999999999994E-2</v>
      </c>
      <c r="BX66">
        <f>'2012_2020'!BV4</f>
        <v>8.9499999999999996E-2</v>
      </c>
      <c r="BY66">
        <f>'2012_2020'!BW4</f>
        <v>9.3299999999999994E-2</v>
      </c>
      <c r="BZ66">
        <f>'2012_2020'!BX4</f>
        <v>9.0300000000000005E-2</v>
      </c>
      <c r="CA66">
        <f>'2012_2020'!BY4</f>
        <v>6.0999999999999999E-2</v>
      </c>
      <c r="CB66">
        <f>'2012_2020'!BZ4</f>
        <v>0.109</v>
      </c>
      <c r="CC66">
        <f>'2012_2020'!CA4</f>
        <v>8.5699999999999998E-2</v>
      </c>
      <c r="CD66">
        <f>'2012_2020'!CB4</f>
        <v>8.0299999999999996E-2</v>
      </c>
      <c r="CE66">
        <f>'2012_2020'!CC4</f>
        <v>0.114</v>
      </c>
      <c r="CF66">
        <f>'2012_2020'!CD4</f>
        <v>6.6900000000000001E-2</v>
      </c>
      <c r="CG66">
        <f>'2012_2020'!CE4</f>
        <v>4.1399999999999999E-2</v>
      </c>
      <c r="CH66">
        <f>'2012_2020'!CF4</f>
        <v>3.1399999999999997E-2</v>
      </c>
      <c r="CI66">
        <f>'2012_2020'!CG4</f>
        <v>7.0499999999999993E-2</v>
      </c>
      <c r="CJ66">
        <f>'2012_2020'!CH4</f>
        <v>8.6099999999999996E-2</v>
      </c>
      <c r="CK66">
        <f>'2012_2020'!CI4</f>
        <v>9.1800000000000007E-2</v>
      </c>
      <c r="CL66">
        <f>'2012_2020'!CJ4</f>
        <v>8.6800000000000002E-2</v>
      </c>
      <c r="CM66">
        <f>'2012_2020'!CK4</f>
        <v>2.64E-2</v>
      </c>
      <c r="CN66">
        <f>'2012_2020'!CL4</f>
        <v>4.9099999999999998E-2</v>
      </c>
      <c r="CO66">
        <f>'2012_2020'!CM4</f>
        <v>3.8399999999999997E-2</v>
      </c>
      <c r="CP66">
        <f>'2012_2020'!CN4</f>
        <v>6.8099999999999994E-2</v>
      </c>
      <c r="CQ66">
        <f>'2012_2020'!CO4</f>
        <v>1.12E-2</v>
      </c>
      <c r="CR66">
        <f>'2012_2020'!CP4</f>
        <v>3.5900000000000001E-2</v>
      </c>
      <c r="CS66">
        <f>'2012_2020'!CQ4</f>
        <v>1.3699999999999999E-3</v>
      </c>
      <c r="CT66">
        <f>'2012_2020'!CR4</f>
        <v>1.3100000000000001E-2</v>
      </c>
      <c r="CU66">
        <f>'2012_2020'!CS4</f>
        <v>2.2499999999999999E-2</v>
      </c>
      <c r="CV66">
        <f>'2012_2020'!CT4</f>
        <v>6.3299999999999995E-2</v>
      </c>
      <c r="CW66">
        <f>'2012_2020'!CU4</f>
        <v>-5.1200000000000004E-3</v>
      </c>
      <c r="CX66">
        <f>'2012_2020'!CV4</f>
        <v>-2.2900000000000001E-4</v>
      </c>
    </row>
    <row r="67" spans="1:102" x14ac:dyDescent="0.2">
      <c r="A67" t="s">
        <v>206</v>
      </c>
      <c r="B67" t="s">
        <v>217</v>
      </c>
      <c r="C67" t="s">
        <v>222</v>
      </c>
      <c r="D67">
        <f>'2012_2020'!B5</f>
        <v>8.0299999999999996E-2</v>
      </c>
      <c r="E67">
        <f>'2012_2020'!C5</f>
        <v>0.109</v>
      </c>
      <c r="F67">
        <f>'2012_2020'!D5</f>
        <v>0.106</v>
      </c>
      <c r="G67">
        <f>'2012_2020'!E5</f>
        <v>0.105</v>
      </c>
      <c r="H67">
        <f>'2012_2020'!F5</f>
        <v>9.7500000000000003E-2</v>
      </c>
      <c r="I67">
        <f>'2012_2020'!G5</f>
        <v>0.10299999999999999</v>
      </c>
      <c r="J67">
        <f>'2012_2020'!H5</f>
        <v>9.9299999999999999E-2</v>
      </c>
      <c r="K67">
        <f>'2012_2020'!I5</f>
        <v>9.1700000000000004E-2</v>
      </c>
      <c r="L67">
        <f>'2012_2020'!J5</f>
        <v>9.3799999999999994E-2</v>
      </c>
      <c r="M67">
        <f>'2012_2020'!K5</f>
        <v>7.6200000000000004E-2</v>
      </c>
      <c r="N67">
        <f>'2012_2020'!L5</f>
        <v>7.4200000000000002E-2</v>
      </c>
      <c r="O67">
        <f>'2012_2020'!M5</f>
        <v>7.0300000000000001E-2</v>
      </c>
      <c r="P67">
        <f>'2012_2020'!N5</f>
        <v>6.4899999999999999E-2</v>
      </c>
      <c r="Q67">
        <f>'2012_2020'!O5</f>
        <v>6.0499999999999998E-2</v>
      </c>
      <c r="R67">
        <f>'2012_2020'!P5</f>
        <v>5.2200000000000003E-2</v>
      </c>
      <c r="S67">
        <f>'2012_2020'!Q5</f>
        <v>4.87E-2</v>
      </c>
      <c r="T67">
        <f>'2012_2020'!R5</f>
        <v>4.7199999999999999E-2</v>
      </c>
      <c r="U67">
        <f>'2012_2020'!S5</f>
        <v>4.7399999999999998E-2</v>
      </c>
      <c r="V67">
        <f>'2012_2020'!T5</f>
        <v>4.6800000000000001E-2</v>
      </c>
      <c r="W67">
        <f>'2012_2020'!U5</f>
        <v>4.7500000000000001E-2</v>
      </c>
      <c r="X67">
        <f>'2012_2020'!V5</f>
        <v>4.7600000000000003E-2</v>
      </c>
      <c r="Y67">
        <f>'2012_2020'!W5</f>
        <v>4.8800000000000003E-2</v>
      </c>
      <c r="Z67">
        <f>'2012_2020'!X5</f>
        <v>5.0200000000000002E-2</v>
      </c>
      <c r="AA67">
        <f>'2012_2020'!Y5</f>
        <v>5.16E-2</v>
      </c>
      <c r="AB67">
        <f>'2012_2020'!Z5</f>
        <v>5.2999999999999999E-2</v>
      </c>
      <c r="AC67">
        <f>'2012_2020'!AA5</f>
        <v>5.3400000000000003E-2</v>
      </c>
      <c r="AD67">
        <f>'2012_2020'!AB5</f>
        <v>5.3999999999999999E-2</v>
      </c>
      <c r="AE67">
        <f>'2012_2020'!AC5</f>
        <v>5.4899999999999997E-2</v>
      </c>
      <c r="AF67">
        <f>'2012_2020'!AD5</f>
        <v>5.67E-2</v>
      </c>
      <c r="AG67">
        <f>'2012_2020'!AE5</f>
        <v>5.8799999999999998E-2</v>
      </c>
      <c r="AH67">
        <f>'2012_2020'!AF5</f>
        <v>6.0999999999999999E-2</v>
      </c>
      <c r="AI67">
        <f>'2012_2020'!AG5</f>
        <v>6.3700000000000007E-2</v>
      </c>
      <c r="AJ67">
        <f>'2012_2020'!AH5</f>
        <v>6.6199999999999995E-2</v>
      </c>
      <c r="AK67">
        <f>'2012_2020'!AI5</f>
        <v>6.9699999999999998E-2</v>
      </c>
      <c r="AL67">
        <f>'2012_2020'!AJ5</f>
        <v>7.2800000000000004E-2</v>
      </c>
      <c r="AM67">
        <f>'2012_2020'!AK5</f>
        <v>7.5200000000000003E-2</v>
      </c>
      <c r="AN67">
        <f>'2012_2020'!AL5</f>
        <v>7.7899999999999997E-2</v>
      </c>
      <c r="AO67">
        <f>'2012_2020'!AM5</f>
        <v>8.2000000000000003E-2</v>
      </c>
      <c r="AP67">
        <f>'2012_2020'!AN5</f>
        <v>8.5099999999999995E-2</v>
      </c>
      <c r="AQ67">
        <f>'2012_2020'!AO5</f>
        <v>8.8900000000000007E-2</v>
      </c>
      <c r="AR67">
        <f>'2012_2020'!AP5</f>
        <v>9.1499999999999998E-2</v>
      </c>
      <c r="AS67">
        <f>'2012_2020'!AQ5</f>
        <v>9.4600000000000004E-2</v>
      </c>
      <c r="AT67">
        <f>'2012_2020'!AR5</f>
        <v>9.7100000000000006E-2</v>
      </c>
      <c r="AU67">
        <f>'2012_2020'!AS5</f>
        <v>9.8400000000000001E-2</v>
      </c>
      <c r="AV67">
        <f>'2012_2020'!AT5</f>
        <v>9.9299999999999999E-2</v>
      </c>
      <c r="AW67">
        <f>'2012_2020'!AU5</f>
        <v>9.9900000000000003E-2</v>
      </c>
      <c r="AX67">
        <f>'2012_2020'!AV5</f>
        <v>0.10100000000000001</v>
      </c>
      <c r="AY67">
        <f>'2012_2020'!AW5</f>
        <v>0.104</v>
      </c>
      <c r="AZ67">
        <f>'2012_2020'!AX5</f>
        <v>0.105</v>
      </c>
      <c r="BA67">
        <f>'2012_2020'!AY5</f>
        <v>0.109</v>
      </c>
      <c r="BB67">
        <f>'2012_2020'!AZ5</f>
        <v>0.112</v>
      </c>
      <c r="BC67">
        <f>'2012_2020'!BA5</f>
        <v>0.11899999999999999</v>
      </c>
      <c r="BD67">
        <f>'2012_2020'!BB5</f>
        <v>0.126</v>
      </c>
      <c r="BE67">
        <f>'2012_2020'!BC5</f>
        <v>0.13200000000000001</v>
      </c>
      <c r="BF67">
        <f>'2012_2020'!BD5</f>
        <v>0.13500000000000001</v>
      </c>
      <c r="BG67">
        <f>'2012_2020'!BE5</f>
        <v>0.13800000000000001</v>
      </c>
      <c r="BH67">
        <f>'2012_2020'!BF5</f>
        <v>0.13700000000000001</v>
      </c>
      <c r="BI67">
        <f>'2012_2020'!BG5</f>
        <v>0.13600000000000001</v>
      </c>
      <c r="BJ67">
        <f>'2012_2020'!BH5</f>
        <v>0.13700000000000001</v>
      </c>
      <c r="BK67">
        <f>'2012_2020'!BI5</f>
        <v>0.13700000000000001</v>
      </c>
      <c r="BL67">
        <f>'2012_2020'!BJ5</f>
        <v>0.13900000000000001</v>
      </c>
      <c r="BM67">
        <f>'2012_2020'!BK5</f>
        <v>0.14399999999999999</v>
      </c>
      <c r="BN67">
        <f>'2012_2020'!BL5</f>
        <v>0.151</v>
      </c>
      <c r="BO67">
        <f>'2012_2020'!BM5</f>
        <v>0.156</v>
      </c>
      <c r="BP67">
        <f>'2012_2020'!BN5</f>
        <v>0.161</v>
      </c>
      <c r="BQ67">
        <f>'2012_2020'!BO5</f>
        <v>0.16500000000000001</v>
      </c>
      <c r="BR67">
        <f>'2012_2020'!BP5</f>
        <v>0.16500000000000001</v>
      </c>
      <c r="BS67">
        <f>'2012_2020'!BQ5</f>
        <v>0.16500000000000001</v>
      </c>
      <c r="BT67">
        <f>'2012_2020'!BR5</f>
        <v>0.16700000000000001</v>
      </c>
      <c r="BU67">
        <f>'2012_2020'!BS5</f>
        <v>0.17100000000000001</v>
      </c>
      <c r="BV67">
        <f>'2012_2020'!BT5</f>
        <v>0.182</v>
      </c>
      <c r="BW67">
        <f>'2012_2020'!BU5</f>
        <v>0.191</v>
      </c>
      <c r="BX67">
        <f>'2012_2020'!BV5</f>
        <v>0.19600000000000001</v>
      </c>
      <c r="BY67">
        <f>'2012_2020'!BW5</f>
        <v>0.20300000000000001</v>
      </c>
      <c r="BZ67">
        <f>'2012_2020'!BX5</f>
        <v>0.20200000000000001</v>
      </c>
      <c r="CA67">
        <f>'2012_2020'!BY5</f>
        <v>0.20100000000000001</v>
      </c>
      <c r="CB67">
        <f>'2012_2020'!BZ5</f>
        <v>0.2</v>
      </c>
      <c r="CC67">
        <f>'2012_2020'!CA5</f>
        <v>0.21</v>
      </c>
      <c r="CD67">
        <f>'2012_2020'!CB5</f>
        <v>0.222</v>
      </c>
      <c r="CE67">
        <f>'2012_2020'!CC5</f>
        <v>0.23100000000000001</v>
      </c>
      <c r="CF67">
        <f>'2012_2020'!CD5</f>
        <v>0.24</v>
      </c>
      <c r="CG67">
        <f>'2012_2020'!CE5</f>
        <v>0.23</v>
      </c>
      <c r="CH67">
        <f>'2012_2020'!CF5</f>
        <v>0.216</v>
      </c>
      <c r="CI67">
        <f>'2012_2020'!CG5</f>
        <v>0.21099999999999999</v>
      </c>
      <c r="CJ67">
        <f>'2012_2020'!CH5</f>
        <v>0.221</v>
      </c>
      <c r="CK67">
        <f>'2012_2020'!CI5</f>
        <v>0.27100000000000002</v>
      </c>
      <c r="CL67">
        <f>'2012_2020'!CJ5</f>
        <v>0.26600000000000001</v>
      </c>
      <c r="CM67">
        <f>'2012_2020'!CK5</f>
        <v>0.252</v>
      </c>
      <c r="CN67">
        <f>'2012_2020'!CL5</f>
        <v>0.25900000000000001</v>
      </c>
      <c r="CO67">
        <f>'2012_2020'!CM5</f>
        <v>0.25700000000000001</v>
      </c>
      <c r="CP67">
        <f>'2012_2020'!CN5</f>
        <v>0.23799999999999999</v>
      </c>
      <c r="CQ67">
        <f>'2012_2020'!CO5</f>
        <v>0.27</v>
      </c>
      <c r="CR67">
        <f>'2012_2020'!CP5</f>
        <v>0.29599999999999999</v>
      </c>
      <c r="CS67">
        <f>'2012_2020'!CQ5</f>
        <v>0.25700000000000001</v>
      </c>
      <c r="CT67">
        <f>'2012_2020'!CR5</f>
        <v>0.28999999999999998</v>
      </c>
      <c r="CU67">
        <f>'2012_2020'!CS5</f>
        <v>0.22700000000000001</v>
      </c>
      <c r="CV67">
        <f>'2012_2020'!CT5</f>
        <v>0.26100000000000001</v>
      </c>
      <c r="CW67">
        <f>'2012_2020'!CU5</f>
        <v>0.25</v>
      </c>
      <c r="CX67">
        <f>'2012_2020'!CV5</f>
        <v>0.22</v>
      </c>
    </row>
    <row r="68" spans="1:102" x14ac:dyDescent="0.2">
      <c r="A68" t="s">
        <v>207</v>
      </c>
      <c r="B68" t="s">
        <v>217</v>
      </c>
      <c r="C68" t="s">
        <v>222</v>
      </c>
      <c r="D68">
        <f>'2012_2020'!B6</f>
        <v>0.187</v>
      </c>
      <c r="E68">
        <f>'2012_2020'!C6</f>
        <v>6.9400000000000003E-2</v>
      </c>
      <c r="F68">
        <f>'2012_2020'!D6</f>
        <v>6.2300000000000001E-2</v>
      </c>
      <c r="G68">
        <f>'2012_2020'!E6</f>
        <v>9.2299999999999993E-2</v>
      </c>
      <c r="H68">
        <f>'2012_2020'!F6</f>
        <v>4.3200000000000002E-2</v>
      </c>
      <c r="I68">
        <f>'2012_2020'!G6</f>
        <v>4.5699999999999998E-2</v>
      </c>
      <c r="J68">
        <f>'2012_2020'!H6</f>
        <v>4.53E-2</v>
      </c>
      <c r="K68">
        <f>'2012_2020'!I6</f>
        <v>5.1700000000000003E-2</v>
      </c>
      <c r="L68">
        <f>'2012_2020'!J6</f>
        <v>7.3300000000000004E-2</v>
      </c>
      <c r="M68">
        <f>'2012_2020'!K6</f>
        <v>3.6900000000000002E-2</v>
      </c>
      <c r="N68">
        <f>'2012_2020'!L6</f>
        <v>7.8E-2</v>
      </c>
      <c r="O68">
        <f>'2012_2020'!M6</f>
        <v>0.11600000000000001</v>
      </c>
      <c r="P68">
        <f>'2012_2020'!N6</f>
        <v>8.2900000000000001E-2</v>
      </c>
      <c r="Q68">
        <f>'2012_2020'!O6</f>
        <v>8.5199999999999998E-2</v>
      </c>
      <c r="R68">
        <f>'2012_2020'!P6</f>
        <v>8.5099999999999995E-2</v>
      </c>
      <c r="S68">
        <f>'2012_2020'!Q6</f>
        <v>8.7300000000000003E-2</v>
      </c>
      <c r="T68">
        <f>'2012_2020'!R6</f>
        <v>0.10199999999999999</v>
      </c>
      <c r="U68">
        <f>'2012_2020'!S6</f>
        <v>0.10199999999999999</v>
      </c>
      <c r="V68">
        <f>'2012_2020'!T6</f>
        <v>0.107</v>
      </c>
      <c r="W68">
        <f>'2012_2020'!U6</f>
        <v>9.8299999999999998E-2</v>
      </c>
      <c r="X68">
        <f>'2012_2020'!V6</f>
        <v>8.3699999999999997E-2</v>
      </c>
      <c r="Y68">
        <f>'2012_2020'!W6</f>
        <v>0.106</v>
      </c>
      <c r="Z68">
        <f>'2012_2020'!X6</f>
        <v>9.8500000000000004E-2</v>
      </c>
      <c r="AA68">
        <f>'2012_2020'!Y6</f>
        <v>7.8899999999999998E-2</v>
      </c>
      <c r="AB68">
        <f>'2012_2020'!Z6</f>
        <v>6.7900000000000002E-2</v>
      </c>
      <c r="AC68">
        <f>'2012_2020'!AA6</f>
        <v>5.21E-2</v>
      </c>
      <c r="AD68">
        <f>'2012_2020'!AB6</f>
        <v>6.3899999999999998E-2</v>
      </c>
      <c r="AE68">
        <f>'2012_2020'!AC6</f>
        <v>5.2600000000000001E-2</v>
      </c>
      <c r="AF68">
        <f>'2012_2020'!AD6</f>
        <v>4.82E-2</v>
      </c>
      <c r="AG68">
        <f>'2012_2020'!AE6</f>
        <v>4.4999999999999998E-2</v>
      </c>
      <c r="AH68">
        <f>'2012_2020'!AF6</f>
        <v>5.2499999999999998E-2</v>
      </c>
      <c r="AI68">
        <f>'2012_2020'!AG6</f>
        <v>4.8000000000000001E-2</v>
      </c>
      <c r="AJ68">
        <f>'2012_2020'!AH6</f>
        <v>4.1399999999999999E-2</v>
      </c>
      <c r="AK68">
        <f>'2012_2020'!AI6</f>
        <v>3.2199999999999999E-2</v>
      </c>
      <c r="AL68">
        <f>'2012_2020'!AJ6</f>
        <v>5.2200000000000003E-2</v>
      </c>
      <c r="AM68">
        <f>'2012_2020'!AK6</f>
        <v>5.57E-2</v>
      </c>
      <c r="AN68">
        <f>'2012_2020'!AL6</f>
        <v>4.9099999999999998E-2</v>
      </c>
      <c r="AO68">
        <f>'2012_2020'!AM6</f>
        <v>3.09E-2</v>
      </c>
      <c r="AP68">
        <f>'2012_2020'!AN6</f>
        <v>1.6299999999999999E-2</v>
      </c>
      <c r="AQ68">
        <f>'2012_2020'!AO6</f>
        <v>2.1000000000000001E-2</v>
      </c>
      <c r="AR68">
        <f>'2012_2020'!AP6</f>
        <v>2.3199999999999998E-2</v>
      </c>
      <c r="AS68">
        <f>'2012_2020'!AQ6</f>
        <v>2.1899999999999999E-2</v>
      </c>
      <c r="AT68">
        <f>'2012_2020'!AR6</f>
        <v>1.5699999999999999E-2</v>
      </c>
      <c r="AU68">
        <f>'2012_2020'!AS6</f>
        <v>2.1499999999999998E-2</v>
      </c>
      <c r="AV68">
        <f>'2012_2020'!AT6</f>
        <v>2.2599999999999999E-3</v>
      </c>
      <c r="AW68">
        <f>'2012_2020'!AU6</f>
        <v>4.0000000000000001E-3</v>
      </c>
      <c r="AX68">
        <f>'2012_2020'!AV6</f>
        <v>-1.2500000000000001E-2</v>
      </c>
      <c r="AY68">
        <f>'2012_2020'!AW6</f>
        <v>2.7200000000000002E-3</v>
      </c>
      <c r="AZ68">
        <f>'2012_2020'!AX6</f>
        <v>3.2100000000000002E-3</v>
      </c>
      <c r="BA68">
        <f>'2012_2020'!AY6</f>
        <v>7.8799999999999999E-3</v>
      </c>
      <c r="BB68">
        <f>'2012_2020'!AZ6</f>
        <v>2.0799999999999999E-2</v>
      </c>
      <c r="BC68">
        <f>'2012_2020'!BA6</f>
        <v>4.7099999999999998E-3</v>
      </c>
      <c r="BD68">
        <f>'2012_2020'!BB6</f>
        <v>-3.5400000000000001E-2</v>
      </c>
      <c r="BE68">
        <f>'2012_2020'!BC6</f>
        <v>-0.04</v>
      </c>
      <c r="BF68">
        <f>'2012_2020'!BD6</f>
        <v>-1.7100000000000001E-2</v>
      </c>
      <c r="BG68">
        <f>'2012_2020'!BE6</f>
        <v>-3.5499999999999997E-2</v>
      </c>
      <c r="BH68">
        <f>'2012_2020'!BF6</f>
        <v>-4.65E-2</v>
      </c>
      <c r="BI68">
        <f>'2012_2020'!BG6</f>
        <v>-4.9700000000000001E-2</v>
      </c>
      <c r="BJ68">
        <f>'2012_2020'!BH6</f>
        <v>-6.2899999999999998E-2</v>
      </c>
      <c r="BK68">
        <f>'2012_2020'!BI6</f>
        <v>-3.4500000000000003E-2</v>
      </c>
      <c r="BL68">
        <f>'2012_2020'!BJ6</f>
        <v>-8.5400000000000007E-3</v>
      </c>
      <c r="BM68">
        <f>'2012_2020'!BK6</f>
        <v>-2.86E-2</v>
      </c>
      <c r="BN68">
        <f>'2012_2020'!BL6</f>
        <v>-5.9700000000000003E-2</v>
      </c>
      <c r="BO68">
        <f>'2012_2020'!BM6</f>
        <v>-4.87E-2</v>
      </c>
      <c r="BP68">
        <f>'2012_2020'!BN6</f>
        <v>-1.6899999999999998E-2</v>
      </c>
      <c r="BQ68">
        <f>'2012_2020'!BO6</f>
        <v>-4.7100000000000003E-2</v>
      </c>
      <c r="BR68">
        <f>'2012_2020'!BP6</f>
        <v>-8.3699999999999997E-2</v>
      </c>
      <c r="BS68">
        <f>'2012_2020'!BQ6</f>
        <v>-0.10299999999999999</v>
      </c>
      <c r="BT68">
        <f>'2012_2020'!BR6</f>
        <v>-0.105</v>
      </c>
      <c r="BU68">
        <f>'2012_2020'!BS6</f>
        <v>-0.10100000000000001</v>
      </c>
      <c r="BV68">
        <f>'2012_2020'!BT6</f>
        <v>-0.10100000000000001</v>
      </c>
      <c r="BW68">
        <f>'2012_2020'!BU6</f>
        <v>-0.10100000000000001</v>
      </c>
      <c r="BX68">
        <f>'2012_2020'!BV6</f>
        <v>-0.106</v>
      </c>
      <c r="BY68">
        <f>'2012_2020'!BW6</f>
        <v>-0.11</v>
      </c>
      <c r="BZ68">
        <f>'2012_2020'!BX6</f>
        <v>-0.112</v>
      </c>
      <c r="CA68">
        <f>'2012_2020'!BY6</f>
        <v>-0.14000000000000001</v>
      </c>
      <c r="CB68">
        <f>'2012_2020'!BZ6</f>
        <v>-9.0999999999999998E-2</v>
      </c>
      <c r="CC68">
        <f>'2012_2020'!CA6</f>
        <v>-0.124</v>
      </c>
      <c r="CD68">
        <f>'2012_2020'!CB6</f>
        <v>-0.14099999999999999</v>
      </c>
      <c r="CE68">
        <f>'2012_2020'!CC6</f>
        <v>-0.11700000000000001</v>
      </c>
      <c r="CF68">
        <f>'2012_2020'!CD6</f>
        <v>-0.17299999999999999</v>
      </c>
      <c r="CG68">
        <f>'2012_2020'!CE6</f>
        <v>-0.189</v>
      </c>
      <c r="CH68">
        <f>'2012_2020'!CF6</f>
        <v>-0.184</v>
      </c>
      <c r="CI68">
        <f>'2012_2020'!CG6</f>
        <v>-0.14000000000000001</v>
      </c>
      <c r="CJ68">
        <f>'2012_2020'!CH6</f>
        <v>-0.13500000000000001</v>
      </c>
      <c r="CK68">
        <f>'2012_2020'!CI6</f>
        <v>-0.17899999999999999</v>
      </c>
      <c r="CL68">
        <f>'2012_2020'!CJ6</f>
        <v>-0.17899999999999999</v>
      </c>
      <c r="CM68">
        <f>'2012_2020'!CK6</f>
        <v>-0.22600000000000001</v>
      </c>
      <c r="CN68">
        <f>'2012_2020'!CL6</f>
        <v>-0.21</v>
      </c>
      <c r="CO68">
        <f>'2012_2020'!CM6</f>
        <v>-0.218</v>
      </c>
      <c r="CP68">
        <f>'2012_2020'!CN6</f>
        <v>-0.17</v>
      </c>
      <c r="CQ68">
        <f>'2012_2020'!CO6</f>
        <v>-0.25900000000000001</v>
      </c>
      <c r="CR68">
        <f>'2012_2020'!CP6</f>
        <v>-0.26</v>
      </c>
      <c r="CS68">
        <f>'2012_2020'!CQ6</f>
        <v>-0.25600000000000001</v>
      </c>
      <c r="CT68">
        <f>'2012_2020'!CR6</f>
        <v>-0.27700000000000002</v>
      </c>
      <c r="CU68">
        <f>'2012_2020'!CS6</f>
        <v>-0.20399999999999999</v>
      </c>
      <c r="CV68">
        <f>'2012_2020'!CT6</f>
        <v>-0.19800000000000001</v>
      </c>
      <c r="CW68">
        <f>'2012_2020'!CU6</f>
        <v>-0.255</v>
      </c>
      <c r="CX68">
        <f>'2012_2020'!CV6</f>
        <v>-0.22</v>
      </c>
    </row>
    <row r="69" spans="1:102" x14ac:dyDescent="0.2">
      <c r="A69" t="s">
        <v>208</v>
      </c>
      <c r="B69" t="s">
        <v>218</v>
      </c>
      <c r="C69" t="s">
        <v>222</v>
      </c>
      <c r="D69">
        <f>'2012_2020'!B7</f>
        <v>5.1700000000000003E-2</v>
      </c>
      <c r="E69">
        <f>'2012_2020'!C7</f>
        <v>7.2599999999999998E-2</v>
      </c>
      <c r="F69">
        <f>'2012_2020'!D7</f>
        <v>7.0300000000000001E-2</v>
      </c>
      <c r="G69">
        <f>'2012_2020'!E7</f>
        <v>6.9000000000000006E-2</v>
      </c>
      <c r="H69">
        <f>'2012_2020'!F7</f>
        <v>6.6500000000000004E-2</v>
      </c>
      <c r="I69">
        <f>'2012_2020'!G7</f>
        <v>7.1900000000000006E-2</v>
      </c>
      <c r="J69">
        <f>'2012_2020'!H7</f>
        <v>7.1300000000000002E-2</v>
      </c>
      <c r="K69">
        <f>'2012_2020'!I7</f>
        <v>6.7699999999999996E-2</v>
      </c>
      <c r="L69">
        <f>'2012_2020'!J7</f>
        <v>7.0199999999999999E-2</v>
      </c>
      <c r="M69">
        <f>'2012_2020'!K7</f>
        <v>5.79E-2</v>
      </c>
      <c r="N69">
        <f>'2012_2020'!L7</f>
        <v>5.7299999999999997E-2</v>
      </c>
      <c r="O69">
        <f>'2012_2020'!M7</f>
        <v>5.4699999999999999E-2</v>
      </c>
      <c r="P69">
        <f>'2012_2020'!N7</f>
        <v>5.0700000000000002E-2</v>
      </c>
      <c r="Q69">
        <f>'2012_2020'!O7</f>
        <v>4.7800000000000002E-2</v>
      </c>
      <c r="R69">
        <f>'2012_2020'!P7</f>
        <v>4.1500000000000002E-2</v>
      </c>
      <c r="S69">
        <f>'2012_2020'!Q7</f>
        <v>3.8399999999999997E-2</v>
      </c>
      <c r="T69">
        <f>'2012_2020'!R7</f>
        <v>3.78E-2</v>
      </c>
      <c r="U69">
        <f>'2012_2020'!S7</f>
        <v>3.7999999999999999E-2</v>
      </c>
      <c r="V69">
        <f>'2012_2020'!T7</f>
        <v>3.78E-2</v>
      </c>
      <c r="W69">
        <f>'2012_2020'!U7</f>
        <v>3.8199999999999998E-2</v>
      </c>
      <c r="X69">
        <f>'2012_2020'!V7</f>
        <v>3.8600000000000002E-2</v>
      </c>
      <c r="Y69">
        <f>'2012_2020'!W7</f>
        <v>3.9800000000000002E-2</v>
      </c>
      <c r="Z69">
        <f>'2012_2020'!X7</f>
        <v>4.0599999999999997E-2</v>
      </c>
      <c r="AA69">
        <f>'2012_2020'!Y7</f>
        <v>4.1799999999999997E-2</v>
      </c>
      <c r="AB69">
        <f>'2012_2020'!Z7</f>
        <v>4.2599999999999999E-2</v>
      </c>
      <c r="AC69">
        <f>'2012_2020'!AA7</f>
        <v>4.2999999999999997E-2</v>
      </c>
      <c r="AD69">
        <f>'2012_2020'!AB7</f>
        <v>4.3499999999999997E-2</v>
      </c>
      <c r="AE69">
        <f>'2012_2020'!AC7</f>
        <v>4.4400000000000002E-2</v>
      </c>
      <c r="AF69">
        <f>'2012_2020'!AD7</f>
        <v>4.58E-2</v>
      </c>
      <c r="AG69">
        <f>'2012_2020'!AE7</f>
        <v>4.7800000000000002E-2</v>
      </c>
      <c r="AH69">
        <f>'2012_2020'!AF7</f>
        <v>0.05</v>
      </c>
      <c r="AI69">
        <f>'2012_2020'!AG7</f>
        <v>5.2299999999999999E-2</v>
      </c>
      <c r="AJ69">
        <f>'2012_2020'!AH7</f>
        <v>5.45E-2</v>
      </c>
      <c r="AK69">
        <f>'2012_2020'!AI7</f>
        <v>5.7299999999999997E-2</v>
      </c>
      <c r="AL69">
        <f>'2012_2020'!AJ7</f>
        <v>5.9900000000000002E-2</v>
      </c>
      <c r="AM69">
        <f>'2012_2020'!AK7</f>
        <v>6.2300000000000001E-2</v>
      </c>
      <c r="AN69">
        <f>'2012_2020'!AL7</f>
        <v>6.4799999999999996E-2</v>
      </c>
      <c r="AO69">
        <f>'2012_2020'!AM7</f>
        <v>6.8699999999999997E-2</v>
      </c>
      <c r="AP69">
        <f>'2012_2020'!AN7</f>
        <v>7.1400000000000005E-2</v>
      </c>
      <c r="AQ69">
        <f>'2012_2020'!AO7</f>
        <v>7.4499999999999997E-2</v>
      </c>
      <c r="AR69">
        <f>'2012_2020'!AP7</f>
        <v>7.6799999999999993E-2</v>
      </c>
      <c r="AS69">
        <f>'2012_2020'!AQ7</f>
        <v>7.9500000000000001E-2</v>
      </c>
      <c r="AT69">
        <f>'2012_2020'!AR7</f>
        <v>8.1500000000000003E-2</v>
      </c>
      <c r="AU69">
        <f>'2012_2020'!AS7</f>
        <v>8.2600000000000007E-2</v>
      </c>
      <c r="AV69">
        <f>'2012_2020'!AT7</f>
        <v>8.3799999999999999E-2</v>
      </c>
      <c r="AW69">
        <f>'2012_2020'!AU7</f>
        <v>8.4400000000000003E-2</v>
      </c>
      <c r="AX69">
        <f>'2012_2020'!AV7</f>
        <v>8.5099999999999995E-2</v>
      </c>
      <c r="AY69">
        <f>'2012_2020'!AW7</f>
        <v>8.7800000000000003E-2</v>
      </c>
      <c r="AZ69">
        <f>'2012_2020'!AX7</f>
        <v>8.9399999999999993E-2</v>
      </c>
      <c r="BA69">
        <f>'2012_2020'!AY7</f>
        <v>9.2899999999999996E-2</v>
      </c>
      <c r="BB69">
        <f>'2012_2020'!AZ7</f>
        <v>9.5799999999999996E-2</v>
      </c>
      <c r="BC69">
        <f>'2012_2020'!BA7</f>
        <v>0.10199999999999999</v>
      </c>
      <c r="BD69">
        <f>'2012_2020'!BB7</f>
        <v>0.108</v>
      </c>
      <c r="BE69">
        <f>'2012_2020'!BC7</f>
        <v>0.113</v>
      </c>
      <c r="BF69">
        <f>'2012_2020'!BD7</f>
        <v>0.115</v>
      </c>
      <c r="BG69">
        <f>'2012_2020'!BE7</f>
        <v>0.11799999999999999</v>
      </c>
      <c r="BH69">
        <f>'2012_2020'!BF7</f>
        <v>0.11700000000000001</v>
      </c>
      <c r="BI69">
        <f>'2012_2020'!BG7</f>
        <v>0.11700000000000001</v>
      </c>
      <c r="BJ69">
        <f>'2012_2020'!BH7</f>
        <v>0.11799999999999999</v>
      </c>
      <c r="BK69">
        <f>'2012_2020'!BI7</f>
        <v>0.11799999999999999</v>
      </c>
      <c r="BL69">
        <f>'2012_2020'!BJ7</f>
        <v>0.12</v>
      </c>
      <c r="BM69">
        <f>'2012_2020'!BK7</f>
        <v>0.125</v>
      </c>
      <c r="BN69">
        <f>'2012_2020'!BL7</f>
        <v>0.13100000000000001</v>
      </c>
      <c r="BO69">
        <f>'2012_2020'!BM7</f>
        <v>0.13600000000000001</v>
      </c>
      <c r="BP69">
        <f>'2012_2020'!BN7</f>
        <v>0.14000000000000001</v>
      </c>
      <c r="BQ69">
        <f>'2012_2020'!BO7</f>
        <v>0.14399999999999999</v>
      </c>
      <c r="BR69">
        <f>'2012_2020'!BP7</f>
        <v>0.14499999999999999</v>
      </c>
      <c r="BS69">
        <f>'2012_2020'!BQ7</f>
        <v>0.14499999999999999</v>
      </c>
      <c r="BT69">
        <f>'2012_2020'!BR7</f>
        <v>0.14599999999999999</v>
      </c>
      <c r="BU69">
        <f>'2012_2020'!BS7</f>
        <v>0.151</v>
      </c>
      <c r="BV69">
        <f>'2012_2020'!BT7</f>
        <v>0.161</v>
      </c>
      <c r="BW69">
        <f>'2012_2020'!BU7</f>
        <v>0.16900000000000001</v>
      </c>
      <c r="BX69">
        <f>'2012_2020'!BV7</f>
        <v>0.17399999999999999</v>
      </c>
      <c r="BY69">
        <f>'2012_2020'!BW7</f>
        <v>0.18099999999999999</v>
      </c>
      <c r="BZ69">
        <f>'2012_2020'!BX7</f>
        <v>0.18099999999999999</v>
      </c>
      <c r="CA69">
        <f>'2012_2020'!BY7</f>
        <v>0.18</v>
      </c>
      <c r="CB69">
        <f>'2012_2020'!BZ7</f>
        <v>0.17799999999999999</v>
      </c>
      <c r="CC69">
        <f>'2012_2020'!CA7</f>
        <v>0.188</v>
      </c>
      <c r="CD69">
        <f>'2012_2020'!CB7</f>
        <v>0.2</v>
      </c>
      <c r="CE69">
        <f>'2012_2020'!CC7</f>
        <v>0.21</v>
      </c>
      <c r="CF69">
        <f>'2012_2020'!CD7</f>
        <v>0.218</v>
      </c>
      <c r="CG69">
        <f>'2012_2020'!CE7</f>
        <v>0.20899999999999999</v>
      </c>
      <c r="CH69">
        <f>'2012_2020'!CF7</f>
        <v>0.19700000000000001</v>
      </c>
      <c r="CI69">
        <f>'2012_2020'!CG7</f>
        <v>0.192</v>
      </c>
      <c r="CJ69">
        <f>'2012_2020'!CH7</f>
        <v>0.20300000000000001</v>
      </c>
      <c r="CK69">
        <f>'2012_2020'!CI7</f>
        <v>0.249</v>
      </c>
      <c r="CL69">
        <f>'2012_2020'!CJ7</f>
        <v>0.246</v>
      </c>
      <c r="CM69">
        <f>'2012_2020'!CK7</f>
        <v>0.23499999999999999</v>
      </c>
      <c r="CN69">
        <f>'2012_2020'!CL7</f>
        <v>0.24199999999999999</v>
      </c>
      <c r="CO69">
        <f>'2012_2020'!CM7</f>
        <v>0.24099999999999999</v>
      </c>
      <c r="CP69">
        <f>'2012_2020'!CN7</f>
        <v>0.224</v>
      </c>
      <c r="CQ69">
        <f>'2012_2020'!CO7</f>
        <v>0.254</v>
      </c>
      <c r="CR69">
        <f>'2012_2020'!CP7</f>
        <v>0.28000000000000003</v>
      </c>
      <c r="CS69">
        <f>'2012_2020'!CQ7</f>
        <v>0.245</v>
      </c>
      <c r="CT69">
        <f>'2012_2020'!CR7</f>
        <v>0.27600000000000002</v>
      </c>
      <c r="CU69">
        <f>'2012_2020'!CS7</f>
        <v>0.218</v>
      </c>
      <c r="CV69">
        <f>'2012_2020'!CT7</f>
        <v>0.251</v>
      </c>
      <c r="CW69">
        <f>'2012_2020'!CU7</f>
        <v>0.24099999999999999</v>
      </c>
      <c r="CX69">
        <f>'2012_2020'!CV7</f>
        <v>0.21299999999999999</v>
      </c>
    </row>
    <row r="70" spans="1:102" x14ac:dyDescent="0.2">
      <c r="A70" t="s">
        <v>209</v>
      </c>
      <c r="B70" t="s">
        <v>218</v>
      </c>
      <c r="C70" t="s">
        <v>222</v>
      </c>
      <c r="D70">
        <f>'2012_2020'!B8</f>
        <v>5.4999999999999997E-3</v>
      </c>
      <c r="E70">
        <f>'2012_2020'!C8</f>
        <v>1.14E-2</v>
      </c>
      <c r="F70">
        <f>'2012_2020'!D8</f>
        <v>1.43E-2</v>
      </c>
      <c r="G70">
        <f>'2012_2020'!E8</f>
        <v>1.4999999999999999E-2</v>
      </c>
      <c r="H70">
        <f>'2012_2020'!F8</f>
        <v>1.5100000000000001E-2</v>
      </c>
      <c r="I70">
        <f>'2012_2020'!G8</f>
        <v>1.6899999999999998E-2</v>
      </c>
      <c r="J70">
        <f>'2012_2020'!H8</f>
        <v>1.6500000000000001E-2</v>
      </c>
      <c r="K70">
        <f>'2012_2020'!I8</f>
        <v>1.5699999999999999E-2</v>
      </c>
      <c r="L70">
        <f>'2012_2020'!J8</f>
        <v>1.6E-2</v>
      </c>
      <c r="M70">
        <f>'2012_2020'!K8</f>
        <v>1.34E-2</v>
      </c>
      <c r="N70">
        <f>'2012_2020'!L8</f>
        <v>1.3100000000000001E-2</v>
      </c>
      <c r="O70">
        <f>'2012_2020'!M8</f>
        <v>1.2500000000000001E-2</v>
      </c>
      <c r="P70">
        <f>'2012_2020'!N8</f>
        <v>1.17E-2</v>
      </c>
      <c r="Q70">
        <f>'2012_2020'!O8</f>
        <v>1.09E-2</v>
      </c>
      <c r="R70">
        <f>'2012_2020'!P8</f>
        <v>9.4900000000000002E-3</v>
      </c>
      <c r="S70">
        <f>'2012_2020'!Q8</f>
        <v>9.0100000000000006E-3</v>
      </c>
      <c r="T70">
        <f>'2012_2020'!R8</f>
        <v>8.8699999999999994E-3</v>
      </c>
      <c r="U70">
        <f>'2012_2020'!S8</f>
        <v>8.8400000000000006E-3</v>
      </c>
      <c r="V70">
        <f>'2012_2020'!T8</f>
        <v>8.7299999999999999E-3</v>
      </c>
      <c r="W70">
        <f>'2012_2020'!U8</f>
        <v>8.7600000000000004E-3</v>
      </c>
      <c r="X70">
        <f>'2012_2020'!V8</f>
        <v>8.6800000000000002E-3</v>
      </c>
      <c r="Y70">
        <f>'2012_2020'!W8</f>
        <v>8.8900000000000003E-3</v>
      </c>
      <c r="Z70">
        <f>'2012_2020'!X8</f>
        <v>8.9999999999999993E-3</v>
      </c>
      <c r="AA70">
        <f>'2012_2020'!Y8</f>
        <v>9.1800000000000007E-3</v>
      </c>
      <c r="AB70">
        <f>'2012_2020'!Z8</f>
        <v>9.4299999999999991E-3</v>
      </c>
      <c r="AC70">
        <f>'2012_2020'!AA8</f>
        <v>9.4800000000000006E-3</v>
      </c>
      <c r="AD70">
        <f>'2012_2020'!AB8</f>
        <v>9.6799999999999994E-3</v>
      </c>
      <c r="AE70">
        <f>'2012_2020'!AC8</f>
        <v>9.8300000000000002E-3</v>
      </c>
      <c r="AF70">
        <f>'2012_2020'!AD8</f>
        <v>0.01</v>
      </c>
      <c r="AG70">
        <f>'2012_2020'!AE8</f>
        <v>1.03E-2</v>
      </c>
      <c r="AH70">
        <f>'2012_2020'!AF8</f>
        <v>1.06E-2</v>
      </c>
      <c r="AI70">
        <f>'2012_2020'!AG8</f>
        <v>1.0999999999999999E-2</v>
      </c>
      <c r="AJ70">
        <f>'2012_2020'!AH8</f>
        <v>1.1299999999999999E-2</v>
      </c>
      <c r="AK70">
        <f>'2012_2020'!AI8</f>
        <v>1.1900000000000001E-2</v>
      </c>
      <c r="AL70">
        <f>'2012_2020'!AJ8</f>
        <v>1.24E-2</v>
      </c>
      <c r="AM70">
        <f>'2012_2020'!AK8</f>
        <v>1.2699999999999999E-2</v>
      </c>
      <c r="AN70">
        <f>'2012_2020'!AL8</f>
        <v>1.32E-2</v>
      </c>
      <c r="AO70">
        <f>'2012_2020'!AM8</f>
        <v>1.3899999999999999E-2</v>
      </c>
      <c r="AP70">
        <f>'2012_2020'!AN8</f>
        <v>1.44E-2</v>
      </c>
      <c r="AQ70">
        <f>'2012_2020'!AO8</f>
        <v>1.4999999999999999E-2</v>
      </c>
      <c r="AR70">
        <f>'2012_2020'!AP8</f>
        <v>1.54E-2</v>
      </c>
      <c r="AS70">
        <f>'2012_2020'!AQ8</f>
        <v>1.6E-2</v>
      </c>
      <c r="AT70">
        <f>'2012_2020'!AR8</f>
        <v>1.6400000000000001E-2</v>
      </c>
      <c r="AU70">
        <f>'2012_2020'!AS8</f>
        <v>1.6500000000000001E-2</v>
      </c>
      <c r="AV70">
        <f>'2012_2020'!AT8</f>
        <v>1.66E-2</v>
      </c>
      <c r="AW70">
        <f>'2012_2020'!AU8</f>
        <v>1.66E-2</v>
      </c>
      <c r="AX70">
        <f>'2012_2020'!AV8</f>
        <v>1.67E-2</v>
      </c>
      <c r="AY70">
        <f>'2012_2020'!AW8</f>
        <v>1.72E-2</v>
      </c>
      <c r="AZ70">
        <f>'2012_2020'!AX8</f>
        <v>1.7399999999999999E-2</v>
      </c>
      <c r="BA70">
        <f>'2012_2020'!AY8</f>
        <v>1.7999999999999999E-2</v>
      </c>
      <c r="BB70">
        <f>'2012_2020'!AZ8</f>
        <v>1.83E-2</v>
      </c>
      <c r="BC70">
        <f>'2012_2020'!BA8</f>
        <v>1.9300000000000001E-2</v>
      </c>
      <c r="BD70">
        <f>'2012_2020'!BB8</f>
        <v>2.0400000000000001E-2</v>
      </c>
      <c r="BE70">
        <f>'2012_2020'!BC8</f>
        <v>2.1100000000000001E-2</v>
      </c>
      <c r="BF70">
        <f>'2012_2020'!BD8</f>
        <v>2.1600000000000001E-2</v>
      </c>
      <c r="BG70">
        <f>'2012_2020'!BE8</f>
        <v>2.18E-2</v>
      </c>
      <c r="BH70">
        <f>'2012_2020'!BF8</f>
        <v>2.1700000000000001E-2</v>
      </c>
      <c r="BI70">
        <f>'2012_2020'!BG8</f>
        <v>2.1399999999999999E-2</v>
      </c>
      <c r="BJ70">
        <f>'2012_2020'!BH8</f>
        <v>2.1499999999999998E-2</v>
      </c>
      <c r="BK70">
        <f>'2012_2020'!BI8</f>
        <v>2.1399999999999999E-2</v>
      </c>
      <c r="BL70">
        <f>'2012_2020'!BJ8</f>
        <v>2.1499999999999998E-2</v>
      </c>
      <c r="BM70">
        <f>'2012_2020'!BK8</f>
        <v>2.1999999999999999E-2</v>
      </c>
      <c r="BN70">
        <f>'2012_2020'!BL8</f>
        <v>2.29E-2</v>
      </c>
      <c r="BO70">
        <f>'2012_2020'!BM8</f>
        <v>2.3699999999999999E-2</v>
      </c>
      <c r="BP70">
        <f>'2012_2020'!BN8</f>
        <v>2.4199999999999999E-2</v>
      </c>
      <c r="BQ70">
        <f>'2012_2020'!BO8</f>
        <v>2.4500000000000001E-2</v>
      </c>
      <c r="BR70">
        <f>'2012_2020'!BP8</f>
        <v>2.4299999999999999E-2</v>
      </c>
      <c r="BS70">
        <f>'2012_2020'!BQ8</f>
        <v>2.4400000000000002E-2</v>
      </c>
      <c r="BT70">
        <f>'2012_2020'!BR8</f>
        <v>2.4400000000000002E-2</v>
      </c>
      <c r="BU70">
        <f>'2012_2020'!BS8</f>
        <v>2.4799999999999999E-2</v>
      </c>
      <c r="BV70">
        <f>'2012_2020'!BT8</f>
        <v>2.6200000000000001E-2</v>
      </c>
      <c r="BW70">
        <f>'2012_2020'!BU8</f>
        <v>2.7400000000000001E-2</v>
      </c>
      <c r="BX70">
        <f>'2012_2020'!BV8</f>
        <v>2.81E-2</v>
      </c>
      <c r="BY70">
        <f>'2012_2020'!BW8</f>
        <v>2.8799999999999999E-2</v>
      </c>
      <c r="BZ70">
        <f>'2012_2020'!BX8</f>
        <v>2.8500000000000001E-2</v>
      </c>
      <c r="CA70">
        <f>'2012_2020'!BY8</f>
        <v>2.8400000000000002E-2</v>
      </c>
      <c r="CB70">
        <f>'2012_2020'!BZ8</f>
        <v>2.7799999999999998E-2</v>
      </c>
      <c r="CC70">
        <f>'2012_2020'!CA8</f>
        <v>2.9000000000000001E-2</v>
      </c>
      <c r="CD70">
        <f>'2012_2020'!CB8</f>
        <v>3.0599999999999999E-2</v>
      </c>
      <c r="CE70">
        <f>'2012_2020'!CC8</f>
        <v>3.15E-2</v>
      </c>
      <c r="CF70">
        <f>'2012_2020'!CD8</f>
        <v>3.27E-2</v>
      </c>
      <c r="CG70">
        <f>'2012_2020'!CE8</f>
        <v>3.1199999999999999E-2</v>
      </c>
      <c r="CH70">
        <f>'2012_2020'!CF8</f>
        <v>2.93E-2</v>
      </c>
      <c r="CI70">
        <f>'2012_2020'!CG8</f>
        <v>2.8899999999999999E-2</v>
      </c>
      <c r="CJ70">
        <f>'2012_2020'!CH8</f>
        <v>3.0300000000000001E-2</v>
      </c>
      <c r="CK70">
        <f>'2012_2020'!CI8</f>
        <v>3.7199999999999997E-2</v>
      </c>
      <c r="CL70">
        <f>'2012_2020'!CJ8</f>
        <v>3.6600000000000001E-2</v>
      </c>
      <c r="CM70">
        <f>'2012_2020'!CK8</f>
        <v>3.4799999999999998E-2</v>
      </c>
      <c r="CN70">
        <f>'2012_2020'!CL8</f>
        <v>3.5900000000000001E-2</v>
      </c>
      <c r="CO70">
        <f>'2012_2020'!CM8</f>
        <v>3.5400000000000001E-2</v>
      </c>
      <c r="CP70">
        <f>'2012_2020'!CN8</f>
        <v>3.3599999999999998E-2</v>
      </c>
      <c r="CQ70">
        <f>'2012_2020'!CO8</f>
        <v>3.8399999999999997E-2</v>
      </c>
      <c r="CR70">
        <f>'2012_2020'!CP8</f>
        <v>4.24E-2</v>
      </c>
      <c r="CS70">
        <f>'2012_2020'!CQ8</f>
        <v>3.6999999999999998E-2</v>
      </c>
      <c r="CT70">
        <f>'2012_2020'!CR8</f>
        <v>4.2599999999999999E-2</v>
      </c>
      <c r="CU70">
        <f>'2012_2020'!CS8</f>
        <v>3.3700000000000001E-2</v>
      </c>
      <c r="CV70">
        <f>'2012_2020'!CT8</f>
        <v>4.0099999999999997E-2</v>
      </c>
      <c r="CW70">
        <f>'2012_2020'!CU8</f>
        <v>4.0500000000000001E-2</v>
      </c>
      <c r="CX70">
        <f>'2012_2020'!CV8</f>
        <v>3.78E-2</v>
      </c>
    </row>
    <row r="71" spans="1:102" x14ac:dyDescent="0.2">
      <c r="A71" t="s">
        <v>210</v>
      </c>
      <c r="B71" t="s">
        <v>218</v>
      </c>
      <c r="C71" t="s">
        <v>222</v>
      </c>
      <c r="D71">
        <f>'2012_2020'!B9</f>
        <v>-6.6899999999999998E-3</v>
      </c>
      <c r="E71">
        <f>'2012_2020'!C9</f>
        <v>-7.92E-3</v>
      </c>
      <c r="F71">
        <f>'2012_2020'!D9</f>
        <v>-7.2700000000000004E-3</v>
      </c>
      <c r="G71">
        <f>'2012_2020'!E9</f>
        <v>-6.4700000000000001E-3</v>
      </c>
      <c r="H71">
        <f>'2012_2020'!F9</f>
        <v>-5.8599999999999998E-3</v>
      </c>
      <c r="I71">
        <f>'2012_2020'!G9</f>
        <v>-5.8700000000000002E-3</v>
      </c>
      <c r="J71">
        <f>'2012_2020'!H9</f>
        <v>-5.1700000000000001E-3</v>
      </c>
      <c r="K71">
        <f>'2012_2020'!I9</f>
        <v>-4.5700000000000003E-3</v>
      </c>
      <c r="L71">
        <f>'2012_2020'!J9</f>
        <v>-4.3400000000000001E-3</v>
      </c>
      <c r="M71">
        <f>'2012_2020'!K9</f>
        <v>-3.31E-3</v>
      </c>
      <c r="N71">
        <f>'2012_2020'!L9</f>
        <v>-3.0500000000000002E-3</v>
      </c>
      <c r="O71">
        <f>'2012_2020'!M9</f>
        <v>-2.6900000000000001E-3</v>
      </c>
      <c r="P71">
        <f>'2012_2020'!N9</f>
        <v>-2.3600000000000001E-3</v>
      </c>
      <c r="Q71">
        <f>'2012_2020'!O9</f>
        <v>-2.0500000000000002E-3</v>
      </c>
      <c r="R71">
        <f>'2012_2020'!P9</f>
        <v>-1.6999999999999999E-3</v>
      </c>
      <c r="S71">
        <f>'2012_2020'!Q9</f>
        <v>-1.58E-3</v>
      </c>
      <c r="T71">
        <f>'2012_2020'!R9</f>
        <v>-1.5499999999999999E-3</v>
      </c>
      <c r="U71">
        <f>'2012_2020'!S9</f>
        <v>-1.5200000000000001E-3</v>
      </c>
      <c r="V71">
        <f>'2012_2020'!T9</f>
        <v>-1.5299999999999999E-3</v>
      </c>
      <c r="W71">
        <f>'2012_2020'!U9</f>
        <v>-1.5299999999999999E-3</v>
      </c>
      <c r="X71">
        <f>'2012_2020'!V9</f>
        <v>-1.6299999999999999E-3</v>
      </c>
      <c r="Y71">
        <f>'2012_2020'!W9</f>
        <v>-1.7099999999999999E-3</v>
      </c>
      <c r="Z71">
        <f>'2012_2020'!X9</f>
        <v>-1.7600000000000001E-3</v>
      </c>
      <c r="AA71">
        <f>'2012_2020'!Y9</f>
        <v>-1.8400000000000001E-3</v>
      </c>
      <c r="AB71">
        <f>'2012_2020'!Z9</f>
        <v>-1.8699999999999999E-3</v>
      </c>
      <c r="AC71">
        <f>'2012_2020'!AA9</f>
        <v>-1.9300000000000001E-3</v>
      </c>
      <c r="AD71">
        <f>'2012_2020'!AB9</f>
        <v>-2E-3</v>
      </c>
      <c r="AE71">
        <f>'2012_2020'!AC9</f>
        <v>-2.0999999999999999E-3</v>
      </c>
      <c r="AF71">
        <f>'2012_2020'!AD9</f>
        <v>-2.1800000000000001E-3</v>
      </c>
      <c r="AG71">
        <f>'2012_2020'!AE9</f>
        <v>-2.3E-3</v>
      </c>
      <c r="AH71">
        <f>'2012_2020'!AF9</f>
        <v>-2.4599999999999999E-3</v>
      </c>
      <c r="AI71">
        <f>'2012_2020'!AG9</f>
        <v>-2.5799999999999998E-3</v>
      </c>
      <c r="AJ71">
        <f>'2012_2020'!AH9</f>
        <v>-2.6800000000000001E-3</v>
      </c>
      <c r="AK71">
        <f>'2012_2020'!AI9</f>
        <v>-2.8400000000000001E-3</v>
      </c>
      <c r="AL71">
        <f>'2012_2020'!AJ9</f>
        <v>-2.98E-3</v>
      </c>
      <c r="AM71">
        <f>'2012_2020'!AK9</f>
        <v>-3.13E-3</v>
      </c>
      <c r="AN71">
        <f>'2012_2020'!AL9</f>
        <v>-3.2200000000000002E-3</v>
      </c>
      <c r="AO71">
        <f>'2012_2020'!AM9</f>
        <v>-3.4399999999999999E-3</v>
      </c>
      <c r="AP71">
        <f>'2012_2020'!AN9</f>
        <v>-3.5899999999999999E-3</v>
      </c>
      <c r="AQ71">
        <f>'2012_2020'!AO9</f>
        <v>-3.8400000000000001E-3</v>
      </c>
      <c r="AR71">
        <f>'2012_2020'!AP9</f>
        <v>-3.9500000000000004E-3</v>
      </c>
      <c r="AS71">
        <f>'2012_2020'!AQ9</f>
        <v>-4.0699999999999998E-3</v>
      </c>
      <c r="AT71">
        <f>'2012_2020'!AR9</f>
        <v>-4.1399999999999996E-3</v>
      </c>
      <c r="AU71">
        <f>'2012_2020'!AS9</f>
        <v>-4.1700000000000001E-3</v>
      </c>
      <c r="AV71">
        <f>'2012_2020'!AT9</f>
        <v>-4.1599999999999996E-3</v>
      </c>
      <c r="AW71">
        <f>'2012_2020'!AU9</f>
        <v>-4.1799999999999997E-3</v>
      </c>
      <c r="AX71">
        <f>'2012_2020'!AV9</f>
        <v>-4.1999999999999997E-3</v>
      </c>
      <c r="AY71">
        <f>'2012_2020'!AW9</f>
        <v>-4.3200000000000001E-3</v>
      </c>
      <c r="AZ71">
        <f>'2012_2020'!AX9</f>
        <v>-4.4000000000000003E-3</v>
      </c>
      <c r="BA71">
        <f>'2012_2020'!AY9</f>
        <v>-4.5599999999999998E-3</v>
      </c>
      <c r="BB71">
        <f>'2012_2020'!AZ9</f>
        <v>-4.6499999999999996E-3</v>
      </c>
      <c r="BC71">
        <f>'2012_2020'!BA9</f>
        <v>-4.8999999999999998E-3</v>
      </c>
      <c r="BD71">
        <f>'2012_2020'!BB9</f>
        <v>-5.13E-3</v>
      </c>
      <c r="BE71">
        <f>'2012_2020'!BC9</f>
        <v>-5.2399999999999999E-3</v>
      </c>
      <c r="BF71">
        <f>'2012_2020'!BD9</f>
        <v>-5.2900000000000004E-3</v>
      </c>
      <c r="BG71">
        <f>'2012_2020'!BE9</f>
        <v>-5.3200000000000001E-3</v>
      </c>
      <c r="BH71">
        <f>'2012_2020'!BF9</f>
        <v>-5.28E-3</v>
      </c>
      <c r="BI71">
        <f>'2012_2020'!BG9</f>
        <v>-5.1799999999999997E-3</v>
      </c>
      <c r="BJ71">
        <f>'2012_2020'!BH9</f>
        <v>-5.1700000000000001E-3</v>
      </c>
      <c r="BK71">
        <f>'2012_2020'!BI9</f>
        <v>-5.13E-3</v>
      </c>
      <c r="BL71">
        <f>'2012_2020'!BJ9</f>
        <v>-5.1500000000000001E-3</v>
      </c>
      <c r="BM71">
        <f>'2012_2020'!BK9</f>
        <v>-5.2500000000000003E-3</v>
      </c>
      <c r="BN71">
        <f>'2012_2020'!BL9</f>
        <v>-5.5100000000000001E-3</v>
      </c>
      <c r="BO71">
        <f>'2012_2020'!BM9</f>
        <v>-5.5199999999999997E-3</v>
      </c>
      <c r="BP71">
        <f>'2012_2020'!BN9</f>
        <v>-5.64E-3</v>
      </c>
      <c r="BQ71">
        <f>'2012_2020'!BO9</f>
        <v>-5.6600000000000001E-3</v>
      </c>
      <c r="BR71">
        <f>'2012_2020'!BP9</f>
        <v>-5.6100000000000004E-3</v>
      </c>
      <c r="BS71">
        <f>'2012_2020'!BQ9</f>
        <v>-5.5900000000000004E-3</v>
      </c>
      <c r="BT71">
        <f>'2012_2020'!BR9</f>
        <v>-5.5300000000000002E-3</v>
      </c>
      <c r="BU71">
        <f>'2012_2020'!BS9</f>
        <v>-5.5599999999999998E-3</v>
      </c>
      <c r="BV71">
        <f>'2012_2020'!BT9</f>
        <v>-5.8799999999999998E-3</v>
      </c>
      <c r="BW71">
        <f>'2012_2020'!BU9</f>
        <v>-6.1000000000000004E-3</v>
      </c>
      <c r="BX71">
        <f>'2012_2020'!BV9</f>
        <v>-6.1700000000000001E-3</v>
      </c>
      <c r="BY71">
        <f>'2012_2020'!BW9</f>
        <v>-6.3600000000000002E-3</v>
      </c>
      <c r="BZ71">
        <f>'2012_2020'!BX9</f>
        <v>-6.3099999999999996E-3</v>
      </c>
      <c r="CA71">
        <f>'2012_2020'!BY9</f>
        <v>-6.2500000000000003E-3</v>
      </c>
      <c r="CB71">
        <f>'2012_2020'!BZ9</f>
        <v>-6.0099999999999997E-3</v>
      </c>
      <c r="CC71">
        <f>'2012_2020'!CA9</f>
        <v>-6.3499999999999997E-3</v>
      </c>
      <c r="CD71">
        <f>'2012_2020'!CB9</f>
        <v>-6.6800000000000002E-3</v>
      </c>
      <c r="CE71">
        <f>'2012_2020'!CC9</f>
        <v>-6.7299999999999999E-3</v>
      </c>
      <c r="CF71">
        <f>'2012_2020'!CD9</f>
        <v>-6.9800000000000001E-3</v>
      </c>
      <c r="CG71">
        <f>'2012_2020'!CE9</f>
        <v>-6.6299999999999996E-3</v>
      </c>
      <c r="CH71">
        <f>'2012_2020'!CF9</f>
        <v>-6.3E-3</v>
      </c>
      <c r="CI71">
        <f>'2012_2020'!CG9</f>
        <v>-6.1199999999999996E-3</v>
      </c>
      <c r="CJ71">
        <f>'2012_2020'!CH9</f>
        <v>-6.45E-3</v>
      </c>
      <c r="CK71">
        <f>'2012_2020'!CI9</f>
        <v>-7.7099999999999998E-3</v>
      </c>
      <c r="CL71">
        <f>'2012_2020'!CJ9</f>
        <v>-7.5900000000000004E-3</v>
      </c>
      <c r="CM71">
        <f>'2012_2020'!CK9</f>
        <v>-7.4700000000000001E-3</v>
      </c>
      <c r="CN71">
        <f>'2012_2020'!CL9</f>
        <v>-7.7000000000000002E-3</v>
      </c>
      <c r="CO71">
        <f>'2012_2020'!CM9</f>
        <v>-7.7000000000000002E-3</v>
      </c>
      <c r="CP71">
        <f>'2012_2020'!CN9</f>
        <v>-7.4599999999999996E-3</v>
      </c>
      <c r="CQ71">
        <f>'2012_2020'!CO9</f>
        <v>-8.6999999999999994E-3</v>
      </c>
      <c r="CR71">
        <f>'2012_2020'!CP9</f>
        <v>-9.5200000000000007E-3</v>
      </c>
      <c r="CS71">
        <f>'2012_2020'!CQ9</f>
        <v>-8.3499999999999998E-3</v>
      </c>
      <c r="CT71">
        <f>'2012_2020'!CR9</f>
        <v>-1.0200000000000001E-2</v>
      </c>
      <c r="CU71">
        <f>'2012_2020'!CS9</f>
        <v>-8.2900000000000005E-3</v>
      </c>
      <c r="CV71">
        <f>'2012_2020'!CT9</f>
        <v>-9.3900000000000008E-3</v>
      </c>
      <c r="CW71">
        <f>'2012_2020'!CU9</f>
        <v>-9.7900000000000001E-3</v>
      </c>
      <c r="CX71">
        <f>'2012_2020'!CV9</f>
        <v>-9.4500000000000001E-3</v>
      </c>
    </row>
    <row r="72" spans="1:102" x14ac:dyDescent="0.2">
      <c r="A72" t="s">
        <v>211</v>
      </c>
      <c r="B72" t="s">
        <v>218</v>
      </c>
      <c r="C72" t="s">
        <v>222</v>
      </c>
      <c r="D72">
        <f>'2012_2020'!B10</f>
        <v>-4.1999999999999997E-3</v>
      </c>
      <c r="E72">
        <f>'2012_2020'!C10</f>
        <v>-4.7400000000000003E-3</v>
      </c>
      <c r="F72">
        <f>'2012_2020'!D10</f>
        <v>-4.4000000000000003E-3</v>
      </c>
      <c r="G72">
        <f>'2012_2020'!E10</f>
        <v>-4.15E-3</v>
      </c>
      <c r="H72">
        <f>'2012_2020'!F10</f>
        <v>-3.7299999999999998E-3</v>
      </c>
      <c r="I72">
        <f>'2012_2020'!G10</f>
        <v>-3.7200000000000002E-3</v>
      </c>
      <c r="J72">
        <f>'2012_2020'!H10</f>
        <v>-3.5699999999999998E-3</v>
      </c>
      <c r="K72">
        <f>'2012_2020'!I10</f>
        <v>-3.64E-3</v>
      </c>
      <c r="L72">
        <f>'2012_2020'!J10</f>
        <v>-3.3700000000000002E-3</v>
      </c>
      <c r="M72">
        <f>'2012_2020'!K10</f>
        <v>-2.8500000000000001E-3</v>
      </c>
      <c r="N72">
        <f>'2012_2020'!L10</f>
        <v>-2.9399999999999999E-3</v>
      </c>
      <c r="O72">
        <f>'2012_2020'!M10</f>
        <v>-2.8800000000000002E-3</v>
      </c>
      <c r="P72">
        <f>'2012_2020'!N10</f>
        <v>-2.7100000000000002E-3</v>
      </c>
      <c r="Q72">
        <f>'2012_2020'!O10</f>
        <v>-2.6099999999999999E-3</v>
      </c>
      <c r="R72">
        <f>'2012_2020'!P10</f>
        <v>-2.2100000000000002E-3</v>
      </c>
      <c r="S72">
        <f>'2012_2020'!Q10</f>
        <v>-2.1700000000000001E-3</v>
      </c>
      <c r="T72">
        <f>'2012_2020'!R10</f>
        <v>-1.99E-3</v>
      </c>
      <c r="U72">
        <f>'2012_2020'!S10</f>
        <v>-2.0899999999999998E-3</v>
      </c>
      <c r="V72">
        <f>'2012_2020'!T10</f>
        <v>-2.0300000000000001E-3</v>
      </c>
      <c r="W72">
        <f>'2012_2020'!U10</f>
        <v>-2.0200000000000001E-3</v>
      </c>
      <c r="X72">
        <f>'2012_2020'!V10</f>
        <v>-2.0400000000000001E-3</v>
      </c>
      <c r="Y72">
        <f>'2012_2020'!W10</f>
        <v>-2.1199999999999999E-3</v>
      </c>
      <c r="Z72">
        <f>'2012_2020'!X10</f>
        <v>-2.1099999999999999E-3</v>
      </c>
      <c r="AA72">
        <f>'2012_2020'!Y10</f>
        <v>-2.1900000000000001E-3</v>
      </c>
      <c r="AB72">
        <f>'2012_2020'!Z10</f>
        <v>-2.1199999999999999E-3</v>
      </c>
      <c r="AC72">
        <f>'2012_2020'!AA10</f>
        <v>-2.1199999999999999E-3</v>
      </c>
      <c r="AD72">
        <f>'2012_2020'!AB10</f>
        <v>-2.2000000000000001E-3</v>
      </c>
      <c r="AE72">
        <f>'2012_2020'!AC10</f>
        <v>-2.1800000000000001E-3</v>
      </c>
      <c r="AF72">
        <f>'2012_2020'!AD10</f>
        <v>-2.2499999999999998E-3</v>
      </c>
      <c r="AG72">
        <f>'2012_2020'!AE10</f>
        <v>-2.5200000000000001E-3</v>
      </c>
      <c r="AH72">
        <f>'2012_2020'!AF10</f>
        <v>-2.5500000000000002E-3</v>
      </c>
      <c r="AI72">
        <f>'2012_2020'!AG10</f>
        <v>-2.65E-3</v>
      </c>
      <c r="AJ72">
        <f>'2012_2020'!AH10</f>
        <v>-2.8E-3</v>
      </c>
      <c r="AK72">
        <f>'2012_2020'!AI10</f>
        <v>-2.8700000000000002E-3</v>
      </c>
      <c r="AL72">
        <f>'2012_2020'!AJ10</f>
        <v>-3.0100000000000001E-3</v>
      </c>
      <c r="AM72">
        <f>'2012_2020'!AK10</f>
        <v>-3.0799999999999998E-3</v>
      </c>
      <c r="AN72">
        <f>'2012_2020'!AL10</f>
        <v>-3.1099999999999999E-3</v>
      </c>
      <c r="AO72">
        <f>'2012_2020'!AM10</f>
        <v>-3.3800000000000002E-3</v>
      </c>
      <c r="AP72">
        <f>'2012_2020'!AN10</f>
        <v>-3.5300000000000002E-3</v>
      </c>
      <c r="AQ72">
        <f>'2012_2020'!AO10</f>
        <v>-3.5699999999999998E-3</v>
      </c>
      <c r="AR72">
        <f>'2012_2020'!AP10</f>
        <v>-3.7200000000000002E-3</v>
      </c>
      <c r="AS72">
        <f>'2012_2020'!AQ10</f>
        <v>-3.7499999999999999E-3</v>
      </c>
      <c r="AT72">
        <f>'2012_2020'!AR10</f>
        <v>-3.8E-3</v>
      </c>
      <c r="AU72">
        <f>'2012_2020'!AS10</f>
        <v>-3.8E-3</v>
      </c>
      <c r="AV72">
        <f>'2012_2020'!AT10</f>
        <v>-3.79E-3</v>
      </c>
      <c r="AW72">
        <f>'2012_2020'!AU10</f>
        <v>-3.8999999999999998E-3</v>
      </c>
      <c r="AX72">
        <f>'2012_2020'!AV10</f>
        <v>-3.9699999999999996E-3</v>
      </c>
      <c r="AY72">
        <f>'2012_2020'!AW10</f>
        <v>-3.9199999999999999E-3</v>
      </c>
      <c r="AZ72">
        <f>'2012_2020'!AX10</f>
        <v>-4.0499999999999998E-3</v>
      </c>
      <c r="BA72">
        <f>'2012_2020'!AY10</f>
        <v>-4.1399999999999996E-3</v>
      </c>
      <c r="BB72">
        <f>'2012_2020'!AZ10</f>
        <v>-4.1999999999999997E-3</v>
      </c>
      <c r="BC72">
        <f>'2012_2020'!BA10</f>
        <v>-4.3800000000000002E-3</v>
      </c>
      <c r="BD72">
        <f>'2012_2020'!BB10</f>
        <v>-4.62E-3</v>
      </c>
      <c r="BE72">
        <f>'2012_2020'!BC10</f>
        <v>-4.9100000000000003E-3</v>
      </c>
      <c r="BF72">
        <f>'2012_2020'!BD10</f>
        <v>-4.9199999999999999E-3</v>
      </c>
      <c r="BG72">
        <f>'2012_2020'!BE10</f>
        <v>-4.9800000000000001E-3</v>
      </c>
      <c r="BH72">
        <f>'2012_2020'!BF10</f>
        <v>-5.0099999999999997E-3</v>
      </c>
      <c r="BI72">
        <f>'2012_2020'!BG10</f>
        <v>-5.0499999999999998E-3</v>
      </c>
      <c r="BJ72">
        <f>'2012_2020'!BH10</f>
        <v>-5.1999999999999998E-3</v>
      </c>
      <c r="BK72">
        <f>'2012_2020'!BI10</f>
        <v>-5.0400000000000002E-3</v>
      </c>
      <c r="BL72">
        <f>'2012_2020'!BJ10</f>
        <v>-4.9800000000000001E-3</v>
      </c>
      <c r="BM72">
        <f>'2012_2020'!BK10</f>
        <v>-5.2700000000000004E-3</v>
      </c>
      <c r="BN72">
        <f>'2012_2020'!BL10</f>
        <v>-5.5999999999999999E-3</v>
      </c>
      <c r="BO72">
        <f>'2012_2020'!BM10</f>
        <v>-5.79E-3</v>
      </c>
      <c r="BP72">
        <f>'2012_2020'!BN10</f>
        <v>-5.94E-3</v>
      </c>
      <c r="BQ72">
        <f>'2012_2020'!BO10</f>
        <v>-6.0099999999999997E-3</v>
      </c>
      <c r="BR72">
        <f>'2012_2020'!BP10</f>
        <v>-6.2599999999999999E-3</v>
      </c>
      <c r="BS72">
        <f>'2012_2020'!BQ10</f>
        <v>-6.2700000000000004E-3</v>
      </c>
      <c r="BT72">
        <f>'2012_2020'!BR10</f>
        <v>-6.13E-3</v>
      </c>
      <c r="BU72">
        <f>'2012_2020'!BS10</f>
        <v>-6.2100000000000002E-3</v>
      </c>
      <c r="BV72">
        <f>'2012_2020'!BT10</f>
        <v>-6.7400000000000003E-3</v>
      </c>
      <c r="BW72">
        <f>'2012_2020'!BU10</f>
        <v>-7.0299999999999998E-3</v>
      </c>
      <c r="BX72">
        <f>'2012_2020'!BV10</f>
        <v>-7.11E-3</v>
      </c>
      <c r="BY72">
        <f>'2012_2020'!BW10</f>
        <v>-7.2399999999999999E-3</v>
      </c>
      <c r="BZ72">
        <f>'2012_2020'!BX10</f>
        <v>-7.26E-3</v>
      </c>
      <c r="CA72">
        <f>'2012_2020'!BY10</f>
        <v>-7.4099999999999999E-3</v>
      </c>
      <c r="CB72">
        <f>'2012_2020'!BZ10</f>
        <v>-7.0099999999999997E-3</v>
      </c>
      <c r="CC72">
        <f>'2012_2020'!CA10</f>
        <v>-7.3600000000000002E-3</v>
      </c>
      <c r="CD72">
        <f>'2012_2020'!CB10</f>
        <v>-7.6299999999999996E-3</v>
      </c>
      <c r="CE72">
        <f>'2012_2020'!CC10</f>
        <v>-7.9100000000000004E-3</v>
      </c>
      <c r="CF72">
        <f>'2012_2020'!CD10</f>
        <v>-8.2000000000000007E-3</v>
      </c>
      <c r="CG72">
        <f>'2012_2020'!CE10</f>
        <v>-7.9000000000000008E-3</v>
      </c>
      <c r="CH72">
        <f>'2012_2020'!CF10</f>
        <v>-7.6099999999999996E-3</v>
      </c>
      <c r="CI72">
        <f>'2012_2020'!CG10</f>
        <v>-7.0099999999999997E-3</v>
      </c>
      <c r="CJ72">
        <f>'2012_2020'!CH10</f>
        <v>-7.3499999999999998E-3</v>
      </c>
      <c r="CK72">
        <f>'2012_2020'!CI10</f>
        <v>-9.0200000000000002E-3</v>
      </c>
      <c r="CL72">
        <f>'2012_2020'!CJ10</f>
        <v>-8.8299999999999993E-3</v>
      </c>
      <c r="CM72">
        <f>'2012_2020'!CK10</f>
        <v>-8.7100000000000007E-3</v>
      </c>
      <c r="CN72">
        <f>'2012_2020'!CL10</f>
        <v>-8.7899999999999992E-3</v>
      </c>
      <c r="CO72">
        <f>'2012_2020'!CM10</f>
        <v>-8.4799999999999997E-3</v>
      </c>
      <c r="CP72">
        <f>'2012_2020'!CN10</f>
        <v>-8.1399999999999997E-3</v>
      </c>
      <c r="CQ72">
        <f>'2012_2020'!CO10</f>
        <v>-9.41E-3</v>
      </c>
      <c r="CR72">
        <f>'2012_2020'!CP10</f>
        <v>-1.0699999999999999E-2</v>
      </c>
      <c r="CS72">
        <f>'2012_2020'!CQ10</f>
        <v>-9.6799999999999994E-3</v>
      </c>
      <c r="CT72">
        <f>'2012_2020'!CR10</f>
        <v>-1.0800000000000001E-2</v>
      </c>
      <c r="CU72">
        <f>'2012_2020'!CS10</f>
        <v>-8.8100000000000001E-3</v>
      </c>
      <c r="CV72">
        <f>'2012_2020'!CT10</f>
        <v>-1.09E-2</v>
      </c>
      <c r="CW72">
        <f>'2012_2020'!CU10</f>
        <v>-1.03E-2</v>
      </c>
      <c r="CX72">
        <f>'2012_2020'!CV10</f>
        <v>-8.7299999999999999E-3</v>
      </c>
    </row>
    <row r="73" spans="1:102" x14ac:dyDescent="0.2">
      <c r="A73" t="s">
        <v>212</v>
      </c>
      <c r="B73" t="s">
        <v>218</v>
      </c>
      <c r="C73" t="s">
        <v>222</v>
      </c>
      <c r="D73">
        <f>'2012_2020'!B11</f>
        <v>9.1500000000000001E-3</v>
      </c>
      <c r="E73">
        <f>'2012_2020'!C11</f>
        <v>1.06E-2</v>
      </c>
      <c r="F73">
        <f>'2012_2020'!D11</f>
        <v>9.6500000000000006E-3</v>
      </c>
      <c r="G73">
        <f>'2012_2020'!E11</f>
        <v>8.6700000000000006E-3</v>
      </c>
      <c r="H73">
        <f>'2012_2020'!F11</f>
        <v>7.7200000000000003E-3</v>
      </c>
      <c r="I73">
        <f>'2012_2020'!G11</f>
        <v>7.3699999999999998E-3</v>
      </c>
      <c r="J73">
        <f>'2012_2020'!H11</f>
        <v>6.94E-3</v>
      </c>
      <c r="K73">
        <f>'2012_2020'!I11</f>
        <v>6.4599999999999996E-3</v>
      </c>
      <c r="L73">
        <f>'2012_2020'!J11</f>
        <v>6.0499999999999998E-3</v>
      </c>
      <c r="M73">
        <f>'2012_2020'!K11</f>
        <v>4.79E-3</v>
      </c>
      <c r="N73">
        <f>'2012_2020'!L11</f>
        <v>4.3699999999999998E-3</v>
      </c>
      <c r="O73">
        <f>'2012_2020'!M11</f>
        <v>3.82E-3</v>
      </c>
      <c r="P73">
        <f>'2012_2020'!N11</f>
        <v>3.4099999999999998E-3</v>
      </c>
      <c r="Q73">
        <f>'2012_2020'!O11</f>
        <v>2.8999999999999998E-3</v>
      </c>
      <c r="R73">
        <f>'2012_2020'!P11</f>
        <v>2.31E-3</v>
      </c>
      <c r="S73">
        <f>'2012_2020'!Q11</f>
        <v>2.0699999999999998E-3</v>
      </c>
      <c r="T73">
        <f>'2012_2020'!R11</f>
        <v>1.9E-3</v>
      </c>
      <c r="U73">
        <f>'2012_2020'!S11</f>
        <v>1.8E-3</v>
      </c>
      <c r="V73">
        <f>'2012_2020'!T11</f>
        <v>1.66E-3</v>
      </c>
      <c r="W73">
        <f>'2012_2020'!U11</f>
        <v>1.57E-3</v>
      </c>
      <c r="X73">
        <f>'2012_2020'!V11</f>
        <v>1.5299999999999999E-3</v>
      </c>
      <c r="Y73">
        <f>'2012_2020'!W11</f>
        <v>1.4599999999999999E-3</v>
      </c>
      <c r="Z73">
        <f>'2012_2020'!X11</f>
        <v>1.42E-3</v>
      </c>
      <c r="AA73">
        <f>'2012_2020'!Y11</f>
        <v>1.39E-3</v>
      </c>
      <c r="AB73">
        <f>'2012_2020'!Z11</f>
        <v>1.34E-3</v>
      </c>
      <c r="AC73">
        <f>'2012_2020'!AA11</f>
        <v>1.33E-3</v>
      </c>
      <c r="AD73">
        <f>'2012_2020'!AB11</f>
        <v>1.2700000000000001E-3</v>
      </c>
      <c r="AE73">
        <f>'2012_2020'!AC11</f>
        <v>1.23E-3</v>
      </c>
      <c r="AF73">
        <f>'2012_2020'!AD11</f>
        <v>1.23E-3</v>
      </c>
      <c r="AG73">
        <f>'2012_2020'!AE11</f>
        <v>1.1999999999999999E-3</v>
      </c>
      <c r="AH73">
        <f>'2012_2020'!AF11</f>
        <v>1.1900000000000001E-3</v>
      </c>
      <c r="AI73">
        <f>'2012_2020'!AG11</f>
        <v>1.17E-3</v>
      </c>
      <c r="AJ73">
        <f>'2012_2020'!AH11</f>
        <v>1.1999999999999999E-3</v>
      </c>
      <c r="AK73">
        <f>'2012_2020'!AI11</f>
        <v>1.2199999999999999E-3</v>
      </c>
      <c r="AL73">
        <f>'2012_2020'!AJ11</f>
        <v>1.2700000000000001E-3</v>
      </c>
      <c r="AM73">
        <f>'2012_2020'!AK11</f>
        <v>1.2600000000000001E-3</v>
      </c>
      <c r="AN73">
        <f>'2012_2020'!AL11</f>
        <v>1.25E-3</v>
      </c>
      <c r="AO73">
        <f>'2012_2020'!AM11</f>
        <v>1.2800000000000001E-3</v>
      </c>
      <c r="AP73">
        <f>'2012_2020'!AN11</f>
        <v>1.2700000000000001E-3</v>
      </c>
      <c r="AQ73">
        <f>'2012_2020'!AO11</f>
        <v>1.2800000000000001E-3</v>
      </c>
      <c r="AR73">
        <f>'2012_2020'!AP11</f>
        <v>1.2899999999999999E-3</v>
      </c>
      <c r="AS73">
        <f>'2012_2020'!AQ11</f>
        <v>1.2999999999999999E-3</v>
      </c>
      <c r="AT73">
        <f>'2012_2020'!AR11</f>
        <v>1.2800000000000001E-3</v>
      </c>
      <c r="AU73">
        <f>'2012_2020'!AS11</f>
        <v>1.25E-3</v>
      </c>
      <c r="AV73">
        <f>'2012_2020'!AT11</f>
        <v>1.2199999999999999E-3</v>
      </c>
      <c r="AW73">
        <f>'2012_2020'!AU11</f>
        <v>1.24E-3</v>
      </c>
      <c r="AX73">
        <f>'2012_2020'!AV11</f>
        <v>1.2199999999999999E-3</v>
      </c>
      <c r="AY73">
        <f>'2012_2020'!AW11</f>
        <v>1.16E-3</v>
      </c>
      <c r="AZ73">
        <f>'2012_2020'!AX11</f>
        <v>1.14E-3</v>
      </c>
      <c r="BA73">
        <f>'2012_2020'!AY11</f>
        <v>1.1199999999999999E-3</v>
      </c>
      <c r="BB73">
        <f>'2012_2020'!AZ11</f>
        <v>1.1199999999999999E-3</v>
      </c>
      <c r="BC73">
        <f>'2012_2020'!BA11</f>
        <v>1.17E-3</v>
      </c>
      <c r="BD73">
        <f>'2012_2020'!BB11</f>
        <v>1.2099999999999999E-3</v>
      </c>
      <c r="BE73">
        <f>'2012_2020'!BC11</f>
        <v>1.2099999999999999E-3</v>
      </c>
      <c r="BF73">
        <f>'2012_2020'!BD11</f>
        <v>1.2099999999999999E-3</v>
      </c>
      <c r="BG73">
        <f>'2012_2020'!BE11</f>
        <v>1.1900000000000001E-3</v>
      </c>
      <c r="BH73">
        <f>'2012_2020'!BF11</f>
        <v>1.1299999999999999E-3</v>
      </c>
      <c r="BI73">
        <f>'2012_2020'!BG11</f>
        <v>1.1100000000000001E-3</v>
      </c>
      <c r="BJ73">
        <f>'2012_2020'!BH11</f>
        <v>1.14E-3</v>
      </c>
      <c r="BK73">
        <f>'2012_2020'!BI11</f>
        <v>1.09E-3</v>
      </c>
      <c r="BL73">
        <f>'2012_2020'!BJ11</f>
        <v>1.09E-3</v>
      </c>
      <c r="BM73">
        <f>'2012_2020'!BK11</f>
        <v>1.09E-3</v>
      </c>
      <c r="BN73">
        <f>'2012_2020'!BL11</f>
        <v>1.09E-3</v>
      </c>
      <c r="BO73">
        <f>'2012_2020'!BM11</f>
        <v>1.08E-3</v>
      </c>
      <c r="BP73">
        <f>'2012_2020'!BN11</f>
        <v>1.1199999999999999E-3</v>
      </c>
      <c r="BQ73">
        <f>'2012_2020'!BO11</f>
        <v>1.16E-3</v>
      </c>
      <c r="BR73">
        <f>'2012_2020'!BP11</f>
        <v>1.1199999999999999E-3</v>
      </c>
      <c r="BS73">
        <f>'2012_2020'!BQ11</f>
        <v>1.09E-3</v>
      </c>
      <c r="BT73">
        <f>'2012_2020'!BR11</f>
        <v>1.1000000000000001E-3</v>
      </c>
      <c r="BU73">
        <f>'2012_2020'!BS11</f>
        <v>1.14E-3</v>
      </c>
      <c r="BV73">
        <f>'2012_2020'!BT11</f>
        <v>1.2600000000000001E-3</v>
      </c>
      <c r="BW73">
        <f>'2012_2020'!BU11</f>
        <v>1.32E-3</v>
      </c>
      <c r="BX73">
        <f>'2012_2020'!BV11</f>
        <v>1.25E-3</v>
      </c>
      <c r="BY73">
        <f>'2012_2020'!BW11</f>
        <v>1.2899999999999999E-3</v>
      </c>
      <c r="BZ73">
        <f>'2012_2020'!BX11</f>
        <v>1.2899999999999999E-3</v>
      </c>
      <c r="CA73">
        <f>'2012_2020'!BY11</f>
        <v>1.2800000000000001E-3</v>
      </c>
      <c r="CB73">
        <f>'2012_2020'!BZ11</f>
        <v>1.2099999999999999E-3</v>
      </c>
      <c r="CC73">
        <f>'2012_2020'!CA11</f>
        <v>1.24E-3</v>
      </c>
      <c r="CD73">
        <f>'2012_2020'!CB11</f>
        <v>1.1800000000000001E-3</v>
      </c>
      <c r="CE73">
        <f>'2012_2020'!CC11</f>
        <v>1.15E-3</v>
      </c>
      <c r="CF73">
        <f>'2012_2020'!CD11</f>
        <v>1.1100000000000001E-3</v>
      </c>
      <c r="CG73">
        <f>'2012_2020'!CE11</f>
        <v>1.06E-3</v>
      </c>
      <c r="CH73">
        <f>'2012_2020'!CF11</f>
        <v>9.6299999999999999E-4</v>
      </c>
      <c r="CI73">
        <f>'2012_2020'!CG11</f>
        <v>8.92E-4</v>
      </c>
      <c r="CJ73">
        <f>'2012_2020'!CH11</f>
        <v>7.7899999999999996E-4</v>
      </c>
      <c r="CK73">
        <f>'2012_2020'!CI11</f>
        <v>9.3000000000000005E-4</v>
      </c>
      <c r="CL73">
        <f>'2012_2020'!CJ11</f>
        <v>9.3999999999999997E-4</v>
      </c>
      <c r="CM73">
        <f>'2012_2020'!CK11</f>
        <v>8.8000000000000003E-4</v>
      </c>
      <c r="CN73">
        <f>'2012_2020'!CL11</f>
        <v>9.0799999999999995E-4</v>
      </c>
      <c r="CO73">
        <f>'2012_2020'!CM11</f>
        <v>8.2600000000000002E-4</v>
      </c>
      <c r="CP73">
        <f>'2012_2020'!CN11</f>
        <v>7.7999999999999999E-4</v>
      </c>
      <c r="CQ73">
        <f>'2012_2020'!CO11</f>
        <v>8.1700000000000002E-4</v>
      </c>
      <c r="CR73">
        <f>'2012_2020'!CP11</f>
        <v>8.7699999999999996E-4</v>
      </c>
      <c r="CS73">
        <f>'2012_2020'!CQ11</f>
        <v>7.3300000000000004E-4</v>
      </c>
      <c r="CT73">
        <f>'2012_2020'!CR11</f>
        <v>7.45E-4</v>
      </c>
      <c r="CU73">
        <f>'2012_2020'!CS11</f>
        <v>5.5800000000000001E-4</v>
      </c>
      <c r="CV73">
        <f>'2012_2020'!CT11</f>
        <v>7.3999999999999999E-4</v>
      </c>
      <c r="CW73">
        <f>'2012_2020'!CU11</f>
        <v>5.13E-4</v>
      </c>
      <c r="CX73">
        <f>'2012_2020'!CV11</f>
        <v>6.9200000000000002E-4</v>
      </c>
    </row>
    <row r="74" spans="1:102" x14ac:dyDescent="0.2">
      <c r="A74" t="s">
        <v>213</v>
      </c>
      <c r="B74" t="s">
        <v>218</v>
      </c>
      <c r="C74" t="s">
        <v>222</v>
      </c>
      <c r="D74">
        <f>'2012_2020'!B12</f>
        <v>-1.29E-2</v>
      </c>
      <c r="E74">
        <f>'2012_2020'!C12</f>
        <v>-1.83E-2</v>
      </c>
      <c r="F74">
        <f>'2012_2020'!D12</f>
        <v>-1.9300000000000001E-2</v>
      </c>
      <c r="G74">
        <f>'2012_2020'!E12</f>
        <v>-2.01E-2</v>
      </c>
      <c r="H74">
        <f>'2012_2020'!F12</f>
        <v>-2.01E-2</v>
      </c>
      <c r="I74">
        <f>'2012_2020'!G12</f>
        <v>-2.1999999999999999E-2</v>
      </c>
      <c r="J74">
        <f>'2012_2020'!H12</f>
        <v>-2.1999999999999999E-2</v>
      </c>
      <c r="K74">
        <f>'2012_2020'!I12</f>
        <v>-2.1299999999999999E-2</v>
      </c>
      <c r="L74">
        <f>'2012_2020'!J12</f>
        <v>-2.1600000000000001E-2</v>
      </c>
      <c r="M74">
        <f>'2012_2020'!K12</f>
        <v>-1.7500000000000002E-2</v>
      </c>
      <c r="N74">
        <f>'2012_2020'!L12</f>
        <v>-1.7000000000000001E-2</v>
      </c>
      <c r="O74">
        <f>'2012_2020'!M12</f>
        <v>-1.5900000000000001E-2</v>
      </c>
      <c r="P74">
        <f>'2012_2020'!N12</f>
        <v>-1.43E-2</v>
      </c>
      <c r="Q74">
        <f>'2012_2020'!O12</f>
        <v>-1.24E-2</v>
      </c>
      <c r="R74">
        <f>'2012_2020'!P12</f>
        <v>-0.01</v>
      </c>
      <c r="S74">
        <f>'2012_2020'!Q12</f>
        <v>-8.9099999999999995E-3</v>
      </c>
      <c r="T74">
        <f>'2012_2020'!R12</f>
        <v>-8.3499999999999998E-3</v>
      </c>
      <c r="U74">
        <f>'2012_2020'!S12</f>
        <v>-8.0499999999999999E-3</v>
      </c>
      <c r="V74">
        <f>'2012_2020'!T12</f>
        <v>-7.0600000000000003E-3</v>
      </c>
      <c r="W74">
        <f>'2012_2020'!U12</f>
        <v>-6.5100000000000002E-3</v>
      </c>
      <c r="X74">
        <f>'2012_2020'!V12</f>
        <v>-6.1599999999999997E-3</v>
      </c>
      <c r="Y74">
        <f>'2012_2020'!W12</f>
        <v>-5.8799999999999998E-3</v>
      </c>
      <c r="Z74">
        <f>'2012_2020'!X12</f>
        <v>-5.5399999999999998E-3</v>
      </c>
      <c r="AA74">
        <f>'2012_2020'!Y12</f>
        <v>-5.11E-3</v>
      </c>
      <c r="AB74">
        <f>'2012_2020'!Z12</f>
        <v>-4.7299999999999998E-3</v>
      </c>
      <c r="AC74">
        <f>'2012_2020'!AA12</f>
        <v>-4.4000000000000003E-3</v>
      </c>
      <c r="AD74">
        <f>'2012_2020'!AB12</f>
        <v>-4.1799999999999997E-3</v>
      </c>
      <c r="AE74">
        <f>'2012_2020'!AC12</f>
        <v>-4.0600000000000002E-3</v>
      </c>
      <c r="AF74">
        <f>'2012_2020'!AD12</f>
        <v>-3.9100000000000003E-3</v>
      </c>
      <c r="AG74">
        <f>'2012_2020'!AE12</f>
        <v>-3.8400000000000001E-3</v>
      </c>
      <c r="AH74">
        <f>'2012_2020'!AF12</f>
        <v>-3.6800000000000001E-3</v>
      </c>
      <c r="AI74">
        <f>'2012_2020'!AG12</f>
        <v>-3.4499999999999999E-3</v>
      </c>
      <c r="AJ74">
        <f>'2012_2020'!AH12</f>
        <v>-3.3E-3</v>
      </c>
      <c r="AK74">
        <f>'2012_2020'!AI12</f>
        <v>-3.1700000000000001E-3</v>
      </c>
      <c r="AL74">
        <f>'2012_2020'!AJ12</f>
        <v>-3.0699999999999998E-3</v>
      </c>
      <c r="AM74">
        <f>'2012_2020'!AK12</f>
        <v>-3.0200000000000001E-3</v>
      </c>
      <c r="AN74">
        <f>'2012_2020'!AL12</f>
        <v>-3.0200000000000001E-3</v>
      </c>
      <c r="AO74">
        <f>'2012_2020'!AM12</f>
        <v>-2.9499999999999999E-3</v>
      </c>
      <c r="AP74">
        <f>'2012_2020'!AN12</f>
        <v>-2.82E-3</v>
      </c>
      <c r="AQ74">
        <f>'2012_2020'!AO12</f>
        <v>-2.6199999999999999E-3</v>
      </c>
      <c r="AR74">
        <f>'2012_2020'!AP12</f>
        <v>-2.5000000000000001E-3</v>
      </c>
      <c r="AS74">
        <f>'2012_2020'!AQ12</f>
        <v>-2.2799999999999999E-3</v>
      </c>
      <c r="AT74">
        <f>'2012_2020'!AR12</f>
        <v>-2.0300000000000001E-3</v>
      </c>
      <c r="AU74">
        <f>'2012_2020'!AS12</f>
        <v>-1.7899999999999999E-3</v>
      </c>
      <c r="AV74">
        <f>'2012_2020'!AT12</f>
        <v>-1.5299999999999999E-3</v>
      </c>
      <c r="AW74">
        <f>'2012_2020'!AU12</f>
        <v>-1.4400000000000001E-3</v>
      </c>
      <c r="AX74">
        <f>'2012_2020'!AV12</f>
        <v>-1.4300000000000001E-3</v>
      </c>
      <c r="AY74">
        <f>'2012_2020'!AW12</f>
        <v>-1.3699999999999999E-3</v>
      </c>
      <c r="AZ74">
        <f>'2012_2020'!AX12</f>
        <v>-1.3699999999999999E-3</v>
      </c>
      <c r="BA74">
        <f>'2012_2020'!AY12</f>
        <v>-1.1999999999999999E-3</v>
      </c>
      <c r="BB74">
        <f>'2012_2020'!AZ12</f>
        <v>-1.1299999999999999E-3</v>
      </c>
      <c r="BC74">
        <f>'2012_2020'!BA12</f>
        <v>-9.8999999999999999E-4</v>
      </c>
      <c r="BD74">
        <f>'2012_2020'!BB12</f>
        <v>-9.0399999999999996E-4</v>
      </c>
      <c r="BE74">
        <f>'2012_2020'!BC12</f>
        <v>-7.7700000000000002E-4</v>
      </c>
      <c r="BF74">
        <f>'2012_2020'!BD12</f>
        <v>-5.1099999999999995E-4</v>
      </c>
      <c r="BG74">
        <f>'2012_2020'!BE12</f>
        <v>-2.8800000000000001E-4</v>
      </c>
      <c r="BH74">
        <f>'2012_2020'!BF12</f>
        <v>-1.8000000000000001E-4</v>
      </c>
      <c r="BI74">
        <f>'2012_2020'!BG12</f>
        <v>-1.3200000000000001E-4</v>
      </c>
      <c r="BJ74">
        <f>'2012_2020'!BH12</f>
        <v>-1.83E-4</v>
      </c>
      <c r="BK74">
        <f>'2012_2020'!BI12</f>
        <v>-1.05E-4</v>
      </c>
      <c r="BL74">
        <f>'2012_2020'!BJ12</f>
        <v>-1.11E-4</v>
      </c>
      <c r="BM74">
        <f>'2012_2020'!BK12</f>
        <v>-1.27E-4</v>
      </c>
      <c r="BN74">
        <f>'2012_2020'!BL12</f>
        <v>-1.0900000000000001E-4</v>
      </c>
      <c r="BO74">
        <f>'2012_2020'!BM12</f>
        <v>9.5600000000000004E-7</v>
      </c>
      <c r="BP74">
        <f>'2012_2020'!BN12</f>
        <v>2.2900000000000001E-4</v>
      </c>
      <c r="BQ74">
        <f>'2012_2020'!BO12</f>
        <v>3.2499999999999999E-4</v>
      </c>
      <c r="BR74">
        <f>'2012_2020'!BP12</f>
        <v>3.6400000000000001E-4</v>
      </c>
      <c r="BS74">
        <f>'2012_2020'!BQ12</f>
        <v>4.1399999999999998E-4</v>
      </c>
      <c r="BT74">
        <f>'2012_2020'!BR12</f>
        <v>5.6700000000000001E-4</v>
      </c>
      <c r="BU74">
        <f>'2012_2020'!BS12</f>
        <v>6.5899999999999997E-4</v>
      </c>
      <c r="BV74">
        <f>'2012_2020'!BT12</f>
        <v>7.4600000000000003E-4</v>
      </c>
      <c r="BW74">
        <f>'2012_2020'!BU12</f>
        <v>8.9800000000000004E-4</v>
      </c>
      <c r="BX74">
        <f>'2012_2020'!BV12</f>
        <v>7.1699999999999997E-4</v>
      </c>
      <c r="BY74">
        <f>'2012_2020'!BW12</f>
        <v>9.2500000000000004E-4</v>
      </c>
      <c r="BZ74">
        <f>'2012_2020'!BX12</f>
        <v>9.4300000000000004E-4</v>
      </c>
      <c r="CA74">
        <f>'2012_2020'!BY12</f>
        <v>9.5E-4</v>
      </c>
      <c r="CB74">
        <f>'2012_2020'!BZ12</f>
        <v>1.1100000000000001E-3</v>
      </c>
      <c r="CC74">
        <f>'2012_2020'!CA12</f>
        <v>1.1199999999999999E-3</v>
      </c>
      <c r="CD74">
        <f>'2012_2020'!CB12</f>
        <v>1.06E-3</v>
      </c>
      <c r="CE74">
        <f>'2012_2020'!CC12</f>
        <v>9.9400000000000009E-4</v>
      </c>
      <c r="CF74">
        <f>'2012_2020'!CD12</f>
        <v>9.7900000000000005E-4</v>
      </c>
      <c r="CG74">
        <f>'2012_2020'!CE12</f>
        <v>1.2099999999999999E-3</v>
      </c>
      <c r="CH74">
        <f>'2012_2020'!CF12</f>
        <v>1.14E-3</v>
      </c>
      <c r="CI74">
        <f>'2012_2020'!CG12</f>
        <v>9.2500000000000004E-4</v>
      </c>
      <c r="CJ74">
        <f>'2012_2020'!CH12</f>
        <v>7.9500000000000003E-4</v>
      </c>
      <c r="CK74">
        <f>'2012_2020'!CI12</f>
        <v>1.0200000000000001E-3</v>
      </c>
      <c r="CL74">
        <f>'2012_2020'!CJ12</f>
        <v>9.1299999999999997E-4</v>
      </c>
      <c r="CM74">
        <f>'2012_2020'!CK12</f>
        <v>7.6999999999999996E-4</v>
      </c>
      <c r="CN74">
        <f>'2012_2020'!CL12</f>
        <v>1.1199999999999999E-3</v>
      </c>
      <c r="CO74">
        <f>'2012_2020'!CM12</f>
        <v>1.07E-3</v>
      </c>
      <c r="CP74">
        <f>'2012_2020'!CN12</f>
        <v>8.1099999999999998E-4</v>
      </c>
      <c r="CQ74">
        <f>'2012_2020'!CO12</f>
        <v>1.0499999999999999E-3</v>
      </c>
      <c r="CR74">
        <f>'2012_2020'!CP12</f>
        <v>1.23E-3</v>
      </c>
      <c r="CS74">
        <f>'2012_2020'!CQ12</f>
        <v>9.3000000000000005E-4</v>
      </c>
      <c r="CT74">
        <f>'2012_2020'!CR12</f>
        <v>7.3999999999999999E-4</v>
      </c>
      <c r="CU74">
        <f>'2012_2020'!CS12</f>
        <v>3.6299999999999999E-4</v>
      </c>
      <c r="CV74">
        <f>'2012_2020'!CT12</f>
        <v>5.1400000000000003E-4</v>
      </c>
      <c r="CW74">
        <f>'2012_2020'!CU12</f>
        <v>9.2699999999999998E-4</v>
      </c>
      <c r="CX74">
        <f>'2012_2020'!CV12</f>
        <v>9.3700000000000001E-4</v>
      </c>
    </row>
    <row r="75" spans="1:102" x14ac:dyDescent="0.2">
      <c r="A75" t="s">
        <v>214</v>
      </c>
      <c r="B75" t="s">
        <v>218</v>
      </c>
      <c r="C75" t="s">
        <v>222</v>
      </c>
      <c r="D75">
        <f>'2012_2020'!B13</f>
        <v>1.2200000000000001E-2</v>
      </c>
      <c r="E75">
        <f>'2012_2020'!C13</f>
        <v>1.37E-2</v>
      </c>
      <c r="F75">
        <f>'2012_2020'!D13</f>
        <v>1.34E-2</v>
      </c>
      <c r="G75">
        <f>'2012_2020'!E13</f>
        <v>1.2800000000000001E-2</v>
      </c>
      <c r="H75">
        <f>'2012_2020'!F13</f>
        <v>1.14E-2</v>
      </c>
      <c r="I75">
        <f>'2012_2020'!G13</f>
        <v>1.17E-2</v>
      </c>
      <c r="J75">
        <f>'2012_2020'!H13</f>
        <v>1.0999999999999999E-2</v>
      </c>
      <c r="K75">
        <f>'2012_2020'!I13</f>
        <v>9.6900000000000007E-3</v>
      </c>
      <c r="L75">
        <f>'2012_2020'!J13</f>
        <v>1.01E-2</v>
      </c>
      <c r="M75">
        <f>'2012_2020'!K13</f>
        <v>7.9399999999999991E-3</v>
      </c>
      <c r="N75">
        <f>'2012_2020'!L13</f>
        <v>7.4400000000000004E-3</v>
      </c>
      <c r="O75">
        <f>'2012_2020'!M13</f>
        <v>6.96E-3</v>
      </c>
      <c r="P75">
        <f>'2012_2020'!N13</f>
        <v>6.2899999999999996E-3</v>
      </c>
      <c r="Q75">
        <f>'2012_2020'!O13</f>
        <v>5.4200000000000003E-3</v>
      </c>
      <c r="R75">
        <f>'2012_2020'!P13</f>
        <v>4.5700000000000003E-3</v>
      </c>
      <c r="S75">
        <f>'2012_2020'!Q13</f>
        <v>4.2100000000000002E-3</v>
      </c>
      <c r="T75">
        <f>'2012_2020'!R13</f>
        <v>3.5599999999999998E-3</v>
      </c>
      <c r="U75">
        <f>'2012_2020'!S13</f>
        <v>3.81E-3</v>
      </c>
      <c r="V75">
        <f>'2012_2020'!T13</f>
        <v>3.3999999999999998E-3</v>
      </c>
      <c r="W75">
        <f>'2012_2020'!U13</f>
        <v>3.5300000000000002E-3</v>
      </c>
      <c r="X75">
        <f>'2012_2020'!V13</f>
        <v>3.3999999999999998E-3</v>
      </c>
      <c r="Y75">
        <f>'2012_2020'!W13</f>
        <v>3.2699999999999999E-3</v>
      </c>
      <c r="Z75">
        <f>'2012_2020'!X13</f>
        <v>3.4299999999999999E-3</v>
      </c>
      <c r="AA75">
        <f>'2012_2020'!Y13</f>
        <v>3.2499999999999999E-3</v>
      </c>
      <c r="AB75">
        <f>'2012_2020'!Z13</f>
        <v>3.3E-3</v>
      </c>
      <c r="AC75">
        <f>'2012_2020'!AA13</f>
        <v>3.1800000000000001E-3</v>
      </c>
      <c r="AD75">
        <f>'2012_2020'!AB13</f>
        <v>3.1199999999999999E-3</v>
      </c>
      <c r="AE75">
        <f>'2012_2020'!AC13</f>
        <v>3.0100000000000001E-3</v>
      </c>
      <c r="AF75">
        <f>'2012_2020'!AD13</f>
        <v>3.2399999999999998E-3</v>
      </c>
      <c r="AG75">
        <f>'2012_2020'!AE13</f>
        <v>3.2299999999999998E-3</v>
      </c>
      <c r="AH75">
        <f>'2012_2020'!AF13</f>
        <v>3.0899999999999999E-3</v>
      </c>
      <c r="AI75">
        <f>'2012_2020'!AG13</f>
        <v>3.1199999999999999E-3</v>
      </c>
      <c r="AJ75">
        <f>'2012_2020'!AH13</f>
        <v>3.2399999999999998E-3</v>
      </c>
      <c r="AK75">
        <f>'2012_2020'!AI13</f>
        <v>3.2000000000000002E-3</v>
      </c>
      <c r="AL75">
        <f>'2012_2020'!AJ13</f>
        <v>3.4299999999999999E-3</v>
      </c>
      <c r="AM75">
        <f>'2012_2020'!AK13</f>
        <v>3.3500000000000001E-3</v>
      </c>
      <c r="AN75">
        <f>'2012_2020'!AL13</f>
        <v>3.3899999999999998E-3</v>
      </c>
      <c r="AO75">
        <f>'2012_2020'!AM13</f>
        <v>3.4499999999999999E-3</v>
      </c>
      <c r="AP75">
        <f>'2012_2020'!AN13</f>
        <v>3.4099999999999998E-3</v>
      </c>
      <c r="AQ75">
        <f>'2012_2020'!AO13</f>
        <v>3.47E-3</v>
      </c>
      <c r="AR75">
        <f>'2012_2020'!AP13</f>
        <v>3.48E-3</v>
      </c>
      <c r="AS75">
        <f>'2012_2020'!AQ13</f>
        <v>3.3400000000000001E-3</v>
      </c>
      <c r="AT75">
        <f>'2012_2020'!AR13</f>
        <v>3.3899999999999998E-3</v>
      </c>
      <c r="AU75">
        <f>'2012_2020'!AS13</f>
        <v>3.2799999999999999E-3</v>
      </c>
      <c r="AV75">
        <f>'2012_2020'!AT13</f>
        <v>3.16E-3</v>
      </c>
      <c r="AW75">
        <f>'2012_2020'!AU13</f>
        <v>3.2100000000000002E-3</v>
      </c>
      <c r="AX75">
        <f>'2012_2020'!AV13</f>
        <v>3.0400000000000002E-3</v>
      </c>
      <c r="AY75">
        <f>'2012_2020'!AW13</f>
        <v>2.8900000000000002E-3</v>
      </c>
      <c r="AZ75">
        <f>'2012_2020'!AX13</f>
        <v>2.9099999999999998E-3</v>
      </c>
      <c r="BA75">
        <f>'2012_2020'!AY13</f>
        <v>2.9099999999999998E-3</v>
      </c>
      <c r="BB75">
        <f>'2012_2020'!AZ13</f>
        <v>2.9499999999999999E-3</v>
      </c>
      <c r="BC75">
        <f>'2012_2020'!BA13</f>
        <v>3.0599999999999998E-3</v>
      </c>
      <c r="BD75">
        <f>'2012_2020'!BB13</f>
        <v>3.2100000000000002E-3</v>
      </c>
      <c r="BE75">
        <f>'2012_2020'!BC13</f>
        <v>3.1800000000000001E-3</v>
      </c>
      <c r="BF75">
        <f>'2012_2020'!BD13</f>
        <v>3.0799999999999998E-3</v>
      </c>
      <c r="BG75">
        <f>'2012_2020'!BE13</f>
        <v>3.0400000000000002E-3</v>
      </c>
      <c r="BH75">
        <f>'2012_2020'!BF13</f>
        <v>2.96E-3</v>
      </c>
      <c r="BI75">
        <f>'2012_2020'!BG13</f>
        <v>2.99E-3</v>
      </c>
      <c r="BJ75">
        <f>'2012_2020'!BH13</f>
        <v>2.66E-3</v>
      </c>
      <c r="BK75">
        <f>'2012_2020'!BI13</f>
        <v>2.6099999999999999E-3</v>
      </c>
      <c r="BL75">
        <f>'2012_2020'!BJ13</f>
        <v>2.5500000000000002E-3</v>
      </c>
      <c r="BM75">
        <f>'2012_2020'!BK13</f>
        <v>2.5799999999999998E-3</v>
      </c>
      <c r="BN75">
        <f>'2012_2020'!BL13</f>
        <v>2.7799999999999999E-3</v>
      </c>
      <c r="BO75">
        <f>'2012_2020'!BM13</f>
        <v>2.7000000000000001E-3</v>
      </c>
      <c r="BP75">
        <f>'2012_2020'!BN13</f>
        <v>2.66E-3</v>
      </c>
      <c r="BQ75">
        <f>'2012_2020'!BO13</f>
        <v>2.64E-3</v>
      </c>
      <c r="BR75">
        <f>'2012_2020'!BP13</f>
        <v>2.63E-3</v>
      </c>
      <c r="BS75">
        <f>'2012_2020'!BQ13</f>
        <v>2.4399999999999999E-3</v>
      </c>
      <c r="BT75">
        <f>'2012_2020'!BR13</f>
        <v>2.33E-3</v>
      </c>
      <c r="BU75">
        <f>'2012_2020'!BS13</f>
        <v>2.2599999999999999E-3</v>
      </c>
      <c r="BV75">
        <f>'2012_2020'!BT13</f>
        <v>2.4199999999999998E-3</v>
      </c>
      <c r="BW75">
        <f>'2012_2020'!BU13</f>
        <v>2.48E-3</v>
      </c>
      <c r="BX75">
        <f>'2012_2020'!BV13</f>
        <v>2.4599999999999999E-3</v>
      </c>
      <c r="BY75">
        <f>'2012_2020'!BW13</f>
        <v>2.3800000000000002E-3</v>
      </c>
      <c r="BZ75">
        <f>'2012_2020'!BX13</f>
        <v>2.3800000000000002E-3</v>
      </c>
      <c r="CA75">
        <f>'2012_2020'!BY13</f>
        <v>2.1800000000000001E-3</v>
      </c>
      <c r="CB75">
        <f>'2012_2020'!BZ13</f>
        <v>2.1199999999999999E-3</v>
      </c>
      <c r="CC75">
        <f>'2012_2020'!CA13</f>
        <v>2.2100000000000002E-3</v>
      </c>
      <c r="CD75">
        <f>'2012_2020'!CB13</f>
        <v>2.2499999999999998E-3</v>
      </c>
      <c r="CE75">
        <f>'2012_2020'!CC13</f>
        <v>2.2300000000000002E-3</v>
      </c>
      <c r="CF75">
        <f>'2012_2020'!CD13</f>
        <v>2.2200000000000002E-3</v>
      </c>
      <c r="CG75">
        <f>'2012_2020'!CE13</f>
        <v>2.0400000000000001E-3</v>
      </c>
      <c r="CH75">
        <f>'2012_2020'!CF13</f>
        <v>1.9599999999999999E-3</v>
      </c>
      <c r="CI75">
        <f>'2012_2020'!CG13</f>
        <v>1.6199999999999999E-3</v>
      </c>
      <c r="CJ75">
        <f>'2012_2020'!CH13</f>
        <v>1.74E-3</v>
      </c>
      <c r="CK75">
        <f>'2012_2020'!CI13</f>
        <v>2.15E-3</v>
      </c>
      <c r="CL75">
        <f>'2012_2020'!CJ13</f>
        <v>1.9499999999999999E-3</v>
      </c>
      <c r="CM75">
        <f>'2012_2020'!CK13</f>
        <v>1.6999999999999999E-3</v>
      </c>
      <c r="CN75">
        <f>'2012_2020'!CL13</f>
        <v>1.8500000000000001E-3</v>
      </c>
      <c r="CO75">
        <f>'2012_2020'!CM13</f>
        <v>1.74E-3</v>
      </c>
      <c r="CP75">
        <f>'2012_2020'!CN13</f>
        <v>1.33E-3</v>
      </c>
      <c r="CQ75">
        <f>'2012_2020'!CO13</f>
        <v>1.7799999999999999E-3</v>
      </c>
      <c r="CR75">
        <f>'2012_2020'!CP13</f>
        <v>1.73E-3</v>
      </c>
      <c r="CS75">
        <f>'2012_2020'!CQ13</f>
        <v>1.24E-3</v>
      </c>
      <c r="CT75">
        <f>'2012_2020'!CR13</f>
        <v>1.56E-3</v>
      </c>
      <c r="CU75">
        <f>'2012_2020'!CS13</f>
        <v>9.0600000000000001E-4</v>
      </c>
      <c r="CV75">
        <f>'2012_2020'!CT13</f>
        <v>8.3299999999999997E-4</v>
      </c>
      <c r="CW75">
        <f>'2012_2020'!CU13</f>
        <v>7.85E-4</v>
      </c>
      <c r="CX75">
        <f>'2012_2020'!CV13</f>
        <v>9.4700000000000003E-4</v>
      </c>
    </row>
    <row r="76" spans="1:102" x14ac:dyDescent="0.2">
      <c r="A76" t="s">
        <v>215</v>
      </c>
      <c r="B76" t="s">
        <v>218</v>
      </c>
      <c r="C76" t="s">
        <v>222</v>
      </c>
      <c r="D76">
        <f>'2012_2020'!B14</f>
        <v>2.5499999999999998E-2</v>
      </c>
      <c r="E76">
        <f>'2012_2020'!C14</f>
        <v>3.1300000000000001E-2</v>
      </c>
      <c r="F76">
        <f>'2012_2020'!D14</f>
        <v>2.9700000000000001E-2</v>
      </c>
      <c r="G76">
        <f>'2012_2020'!E14</f>
        <v>0.03</v>
      </c>
      <c r="H76">
        <f>'2012_2020'!F14</f>
        <v>2.6499999999999999E-2</v>
      </c>
      <c r="I76">
        <f>'2012_2020'!G14</f>
        <v>2.6700000000000002E-2</v>
      </c>
      <c r="J76">
        <f>'2012_2020'!H14</f>
        <v>2.4199999999999999E-2</v>
      </c>
      <c r="K76">
        <f>'2012_2020'!I14</f>
        <v>2.1700000000000001E-2</v>
      </c>
      <c r="L76">
        <f>'2012_2020'!J14</f>
        <v>2.07E-2</v>
      </c>
      <c r="M76">
        <f>'2012_2020'!K14</f>
        <v>1.5800000000000002E-2</v>
      </c>
      <c r="N76">
        <f>'2012_2020'!L14</f>
        <v>1.49E-2</v>
      </c>
      <c r="O76">
        <f>'2012_2020'!M14</f>
        <v>1.38E-2</v>
      </c>
      <c r="P76">
        <f>'2012_2020'!N14</f>
        <v>1.2200000000000001E-2</v>
      </c>
      <c r="Q76">
        <f>'2012_2020'!O14</f>
        <v>1.0500000000000001E-2</v>
      </c>
      <c r="R76">
        <f>'2012_2020'!P14</f>
        <v>8.2100000000000003E-3</v>
      </c>
      <c r="S76">
        <f>'2012_2020'!Q14</f>
        <v>7.62E-3</v>
      </c>
      <c r="T76">
        <f>'2012_2020'!R14</f>
        <v>6.8900000000000003E-3</v>
      </c>
      <c r="U76">
        <f>'2012_2020'!S14</f>
        <v>6.6100000000000004E-3</v>
      </c>
      <c r="V76">
        <f>'2012_2020'!T14</f>
        <v>5.8100000000000001E-3</v>
      </c>
      <c r="W76">
        <f>'2012_2020'!U14</f>
        <v>5.4099999999999999E-3</v>
      </c>
      <c r="X76">
        <f>'2012_2020'!V14</f>
        <v>5.2500000000000003E-3</v>
      </c>
      <c r="Y76">
        <f>'2012_2020'!W14</f>
        <v>5.1799999999999997E-3</v>
      </c>
      <c r="Z76">
        <f>'2012_2020'!X14</f>
        <v>5.2199999999999998E-3</v>
      </c>
      <c r="AA76">
        <f>'2012_2020'!Y14</f>
        <v>5.13E-3</v>
      </c>
      <c r="AB76">
        <f>'2012_2020'!Z14</f>
        <v>5.0899999999999999E-3</v>
      </c>
      <c r="AC76">
        <f>'2012_2020'!AA14</f>
        <v>4.9300000000000004E-3</v>
      </c>
      <c r="AD76">
        <f>'2012_2020'!AB14</f>
        <v>4.8700000000000002E-3</v>
      </c>
      <c r="AE76">
        <f>'2012_2020'!AC14</f>
        <v>4.8300000000000001E-3</v>
      </c>
      <c r="AF76">
        <f>'2012_2020'!AD14</f>
        <v>4.8199999999999996E-3</v>
      </c>
      <c r="AG76">
        <f>'2012_2020'!AE14</f>
        <v>4.8999999999999998E-3</v>
      </c>
      <c r="AH76">
        <f>'2012_2020'!AF14</f>
        <v>4.8399999999999997E-3</v>
      </c>
      <c r="AI76">
        <f>'2012_2020'!AG14</f>
        <v>4.81E-3</v>
      </c>
      <c r="AJ76">
        <f>'2012_2020'!AH14</f>
        <v>4.7600000000000003E-3</v>
      </c>
      <c r="AK76">
        <f>'2012_2020'!AI14</f>
        <v>4.9899999999999996E-3</v>
      </c>
      <c r="AL76">
        <f>'2012_2020'!AJ14</f>
        <v>4.9300000000000004E-3</v>
      </c>
      <c r="AM76">
        <f>'2012_2020'!AK14</f>
        <v>4.7499999999999999E-3</v>
      </c>
      <c r="AN76">
        <f>'2012_2020'!AL14</f>
        <v>4.62E-3</v>
      </c>
      <c r="AO76">
        <f>'2012_2020'!AM14</f>
        <v>4.4799999999999996E-3</v>
      </c>
      <c r="AP76">
        <f>'2012_2020'!AN14</f>
        <v>4.5300000000000002E-3</v>
      </c>
      <c r="AQ76">
        <f>'2012_2020'!AO14</f>
        <v>4.6299999999999996E-3</v>
      </c>
      <c r="AR76">
        <f>'2012_2020'!AP14</f>
        <v>4.7000000000000002E-3</v>
      </c>
      <c r="AS76">
        <f>'2012_2020'!AQ14</f>
        <v>4.5700000000000003E-3</v>
      </c>
      <c r="AT76">
        <f>'2012_2020'!AR14</f>
        <v>4.5900000000000003E-3</v>
      </c>
      <c r="AU76">
        <f>'2012_2020'!AS14</f>
        <v>4.45E-3</v>
      </c>
      <c r="AV76">
        <f>'2012_2020'!AT14</f>
        <v>4.0699999999999998E-3</v>
      </c>
      <c r="AW76">
        <f>'2012_2020'!AU14</f>
        <v>4.0400000000000002E-3</v>
      </c>
      <c r="AX76">
        <f>'2012_2020'!AV14</f>
        <v>4.1399999999999996E-3</v>
      </c>
      <c r="AY76">
        <f>'2012_2020'!AW14</f>
        <v>4.4099999999999999E-3</v>
      </c>
      <c r="AZ76">
        <f>'2012_2020'!AX14</f>
        <v>4.13E-3</v>
      </c>
      <c r="BA76">
        <f>'2012_2020'!AY14</f>
        <v>4.2399999999999998E-3</v>
      </c>
      <c r="BB76">
        <f>'2012_2020'!AZ14</f>
        <v>4.1399999999999996E-3</v>
      </c>
      <c r="BC76">
        <f>'2012_2020'!BA14</f>
        <v>4.2399999999999998E-3</v>
      </c>
      <c r="BD76">
        <f>'2012_2020'!BB14</f>
        <v>4.3899999999999998E-3</v>
      </c>
      <c r="BE76">
        <f>'2012_2020'!BC14</f>
        <v>4.4999999999999997E-3</v>
      </c>
      <c r="BF76">
        <f>'2012_2020'!BD14</f>
        <v>4.7400000000000003E-3</v>
      </c>
      <c r="BG76">
        <f>'2012_2020'!BE14</f>
        <v>4.7600000000000003E-3</v>
      </c>
      <c r="BH76">
        <f>'2012_2020'!BF14</f>
        <v>4.4400000000000004E-3</v>
      </c>
      <c r="BI76">
        <f>'2012_2020'!BG14</f>
        <v>4.13E-3</v>
      </c>
      <c r="BJ76">
        <f>'2012_2020'!BH14</f>
        <v>4.2199999999999998E-3</v>
      </c>
      <c r="BK76">
        <f>'2012_2020'!BI14</f>
        <v>4.3400000000000001E-3</v>
      </c>
      <c r="BL76">
        <f>'2012_2020'!BJ14</f>
        <v>4.2599999999999999E-3</v>
      </c>
      <c r="BM76">
        <f>'2012_2020'!BK14</f>
        <v>4.1599999999999996E-3</v>
      </c>
      <c r="BN76">
        <f>'2012_2020'!BL14</f>
        <v>4.3899999999999998E-3</v>
      </c>
      <c r="BO76">
        <f>'2012_2020'!BM14</f>
        <v>4.3E-3</v>
      </c>
      <c r="BP76">
        <f>'2012_2020'!BN14</f>
        <v>4.1700000000000001E-3</v>
      </c>
      <c r="BQ76">
        <f>'2012_2020'!BO14</f>
        <v>3.7599999999999999E-3</v>
      </c>
      <c r="BR76">
        <f>'2012_2020'!BP14</f>
        <v>3.7499999999999999E-3</v>
      </c>
      <c r="BS76">
        <f>'2012_2020'!BQ14</f>
        <v>3.7499999999999999E-3</v>
      </c>
      <c r="BT76">
        <f>'2012_2020'!BR14</f>
        <v>3.7799999999999999E-3</v>
      </c>
      <c r="BU76">
        <f>'2012_2020'!BS14</f>
        <v>3.3400000000000001E-3</v>
      </c>
      <c r="BV76">
        <f>'2012_2020'!BT14</f>
        <v>2.9399999999999999E-3</v>
      </c>
      <c r="BW76">
        <f>'2012_2020'!BU14</f>
        <v>2.7299999999999998E-3</v>
      </c>
      <c r="BX76">
        <f>'2012_2020'!BV14</f>
        <v>2.2899999999999999E-3</v>
      </c>
      <c r="BY76">
        <f>'2012_2020'!BW14</f>
        <v>2.5300000000000001E-3</v>
      </c>
      <c r="BZ76">
        <f>'2012_2020'!BX14</f>
        <v>1.89E-3</v>
      </c>
      <c r="CA76">
        <f>'2012_2020'!BY14</f>
        <v>1.89E-3</v>
      </c>
      <c r="CB76">
        <f>'2012_2020'!BZ14</f>
        <v>2.1199999999999999E-3</v>
      </c>
      <c r="CC76">
        <f>'2012_2020'!CA14</f>
        <v>1.66E-3</v>
      </c>
      <c r="CD76">
        <f>'2012_2020'!CB14</f>
        <v>1.2899999999999999E-3</v>
      </c>
      <c r="CE76">
        <f>'2012_2020'!CC14</f>
        <v>-8.1500000000000002E-5</v>
      </c>
      <c r="CF76">
        <f>'2012_2020'!CD14</f>
        <v>-4.8999999999999998E-4</v>
      </c>
      <c r="CG76">
        <f>'2012_2020'!CE14</f>
        <v>-3.4499999999999998E-4</v>
      </c>
      <c r="CH76">
        <f>'2012_2020'!CF14</f>
        <v>-8.0400000000000003E-4</v>
      </c>
      <c r="CI76">
        <f>'2012_2020'!CG14</f>
        <v>-4.8899999999999996E-4</v>
      </c>
      <c r="CJ76">
        <f>'2012_2020'!CH14</f>
        <v>-1.1100000000000001E-3</v>
      </c>
      <c r="CK76">
        <f>'2012_2020'!CI14</f>
        <v>-2.8600000000000001E-3</v>
      </c>
      <c r="CL76">
        <f>'2012_2020'!CJ14</f>
        <v>-4.1999999999999997E-3</v>
      </c>
      <c r="CM76">
        <f>'2012_2020'!CK14</f>
        <v>-4.7800000000000004E-3</v>
      </c>
      <c r="CN76">
        <f>'2012_2020'!CL14</f>
        <v>-6.1999999999999998E-3</v>
      </c>
      <c r="CO76">
        <f>'2012_2020'!CM14</f>
        <v>-6.6299999999999996E-3</v>
      </c>
      <c r="CP76">
        <f>'2012_2020'!CN14</f>
        <v>-6.3600000000000002E-3</v>
      </c>
      <c r="CQ76">
        <f>'2012_2020'!CO14</f>
        <v>-8.0000000000000002E-3</v>
      </c>
      <c r="CR76">
        <f>'2012_2020'!CP14</f>
        <v>-9.7999999999999997E-3</v>
      </c>
      <c r="CS76">
        <f>'2012_2020'!CQ14</f>
        <v>-9.0299999999999998E-3</v>
      </c>
      <c r="CT76">
        <f>'2012_2020'!CR14</f>
        <v>-1.0800000000000001E-2</v>
      </c>
      <c r="CU76">
        <f>'2012_2020'!CS14</f>
        <v>-9.4800000000000006E-3</v>
      </c>
      <c r="CV76">
        <f>'2012_2020'!CT14</f>
        <v>-1.17E-2</v>
      </c>
      <c r="CW76">
        <f>'2012_2020'!CU14</f>
        <v>-1.44E-2</v>
      </c>
      <c r="CX76">
        <f>'2012_2020'!CV14</f>
        <v>-1.52E-2</v>
      </c>
    </row>
    <row r="77" spans="1:102" x14ac:dyDescent="0.2">
      <c r="A77" t="s">
        <v>208</v>
      </c>
      <c r="B77" t="s">
        <v>219</v>
      </c>
      <c r="C77" t="s">
        <v>222</v>
      </c>
      <c r="D77">
        <f>'2012_2020'!B15</f>
        <v>2.29E-2</v>
      </c>
      <c r="E77">
        <f>'2012_2020'!C15</f>
        <v>0.435</v>
      </c>
      <c r="F77">
        <f>'2012_2020'!D15</f>
        <v>0.749</v>
      </c>
      <c r="G77">
        <f>'2012_2020'!E15</f>
        <v>2.9700000000000001E-2</v>
      </c>
      <c r="H77">
        <f>'2012_2020'!F15</f>
        <v>0.86</v>
      </c>
      <c r="I77">
        <f>'2012_2020'!G15</f>
        <v>0.27300000000000002</v>
      </c>
      <c r="J77">
        <f>'2012_2020'!H15</f>
        <v>0.46500000000000002</v>
      </c>
      <c r="K77">
        <f>'2012_2020'!I15</f>
        <v>0.35599999999999998</v>
      </c>
      <c r="L77">
        <f>'2012_2020'!J15</f>
        <v>0.19400000000000001</v>
      </c>
      <c r="M77">
        <f>'2012_2020'!K15</f>
        <v>0.45</v>
      </c>
      <c r="N77">
        <f>'2012_2020'!L15</f>
        <v>0.36099999999999999</v>
      </c>
      <c r="O77">
        <f>'2012_2020'!M15</f>
        <v>2.0899999999999998E-2</v>
      </c>
      <c r="P77">
        <f>'2012_2020'!N15</f>
        <v>8.8900000000000007E-2</v>
      </c>
      <c r="Q77">
        <f>'2012_2020'!O15</f>
        <v>8.4000000000000005E-2</v>
      </c>
      <c r="R77">
        <f>'2012_2020'!P15</f>
        <v>0.114</v>
      </c>
      <c r="S77">
        <f>'2012_2020'!Q15</f>
        <v>0.108</v>
      </c>
      <c r="T77">
        <f>'2012_2020'!R15</f>
        <v>4.48E-2</v>
      </c>
      <c r="U77">
        <f>'2012_2020'!S15</f>
        <v>1.6400000000000001E-2</v>
      </c>
      <c r="V77">
        <f>'2012_2020'!T15</f>
        <v>-1.6E-2</v>
      </c>
      <c r="W77">
        <f>'2012_2020'!U15</f>
        <v>-1.77E-2</v>
      </c>
      <c r="X77">
        <f>'2012_2020'!V15</f>
        <v>-1.11E-2</v>
      </c>
      <c r="Y77">
        <f>'2012_2020'!W15</f>
        <v>-5.1299999999999998E-2</v>
      </c>
      <c r="Z77">
        <f>'2012_2020'!X15</f>
        <v>-4.5400000000000003E-2</v>
      </c>
      <c r="AA77">
        <f>'2012_2020'!Y15</f>
        <v>-3.9899999999999998E-2</v>
      </c>
      <c r="AB77">
        <f>'2012_2020'!Z15</f>
        <v>-3.5499999999999997E-2</v>
      </c>
      <c r="AC77">
        <f>'2012_2020'!AA15</f>
        <v>-3.3700000000000001E-2</v>
      </c>
      <c r="AD77">
        <f>'2012_2020'!AB15</f>
        <v>-2.5600000000000001E-2</v>
      </c>
      <c r="AE77">
        <f>'2012_2020'!AC15</f>
        <v>-1.84E-2</v>
      </c>
      <c r="AF77">
        <f>'2012_2020'!AD15</f>
        <v>-1.8700000000000001E-2</v>
      </c>
      <c r="AG77">
        <f>'2012_2020'!AE15</f>
        <v>-1.9800000000000002E-2</v>
      </c>
      <c r="AH77">
        <f>'2012_2020'!AF15</f>
        <v>-1.7999999999999999E-2</v>
      </c>
      <c r="AI77">
        <f>'2012_2020'!AG15</f>
        <v>-1.29E-2</v>
      </c>
      <c r="AJ77">
        <f>'2012_2020'!AH15</f>
        <v>-8.9499999999999996E-3</v>
      </c>
      <c r="AK77">
        <f>'2012_2020'!AI15</f>
        <v>-6.3899999999999998E-3</v>
      </c>
      <c r="AL77">
        <f>'2012_2020'!AJ15</f>
        <v>1.2999999999999999E-2</v>
      </c>
      <c r="AM77">
        <f>'2012_2020'!AK15</f>
        <v>2.0400000000000001E-2</v>
      </c>
      <c r="AN77">
        <f>'2012_2020'!AL15</f>
        <v>1.2200000000000001E-2</v>
      </c>
      <c r="AO77">
        <f>'2012_2020'!AM15</f>
        <v>-4.9399999999999999E-3</v>
      </c>
      <c r="AP77">
        <f>'2012_2020'!AN15</f>
        <v>-1.78E-2</v>
      </c>
      <c r="AQ77">
        <f>'2012_2020'!AO15</f>
        <v>-3.1099999999999999E-2</v>
      </c>
      <c r="AR77">
        <f>'2012_2020'!AP15</f>
        <v>-3.5499999999999997E-2</v>
      </c>
      <c r="AS77">
        <f>'2012_2020'!AQ15</f>
        <v>-5.0200000000000002E-2</v>
      </c>
      <c r="AT77">
        <f>'2012_2020'!AR15</f>
        <v>-5.3499999999999999E-2</v>
      </c>
      <c r="AU77">
        <f>'2012_2020'!AS15</f>
        <v>-5.4100000000000002E-2</v>
      </c>
      <c r="AV77">
        <f>'2012_2020'!AT15</f>
        <v>-5.5199999999999999E-2</v>
      </c>
      <c r="AW77">
        <f>'2012_2020'!AU15</f>
        <v>-4.9599999999999998E-2</v>
      </c>
      <c r="AX77">
        <f>'2012_2020'!AV15</f>
        <v>-4.6800000000000001E-2</v>
      </c>
      <c r="AY77">
        <f>'2012_2020'!AW15</f>
        <v>-5.8299999999999998E-2</v>
      </c>
      <c r="AZ77">
        <f>'2012_2020'!AX15</f>
        <v>-5.6000000000000001E-2</v>
      </c>
      <c r="BA77">
        <f>'2012_2020'!AY15</f>
        <v>-6.8000000000000005E-2</v>
      </c>
      <c r="BB77">
        <f>'2012_2020'!AZ15</f>
        <v>-7.0000000000000007E-2</v>
      </c>
      <c r="BC77">
        <f>'2012_2020'!BA15</f>
        <v>-9.8199999999999996E-2</v>
      </c>
      <c r="BD77">
        <f>'2012_2020'!BB15</f>
        <v>-0.129</v>
      </c>
      <c r="BE77">
        <f>'2012_2020'!BC15</f>
        <v>-0.14899999999999999</v>
      </c>
      <c r="BF77">
        <f>'2012_2020'!BD15</f>
        <v>-0.128</v>
      </c>
      <c r="BG77">
        <f>'2012_2020'!BE15</f>
        <v>-0.13200000000000001</v>
      </c>
      <c r="BH77">
        <f>'2012_2020'!BF15</f>
        <v>-0.115</v>
      </c>
      <c r="BI77">
        <f>'2012_2020'!BG15</f>
        <v>-9.1200000000000003E-2</v>
      </c>
      <c r="BJ77">
        <f>'2012_2020'!BH15</f>
        <v>-8.09E-2</v>
      </c>
      <c r="BK77">
        <f>'2012_2020'!BI15</f>
        <v>-5.91E-2</v>
      </c>
      <c r="BL77">
        <f>'2012_2020'!BJ15</f>
        <v>-5.3800000000000001E-2</v>
      </c>
      <c r="BM77">
        <f>'2012_2020'!BK15</f>
        <v>-8.2799999999999999E-2</v>
      </c>
      <c r="BN77">
        <f>'2012_2020'!BL15</f>
        <v>-0.11899999999999999</v>
      </c>
      <c r="BO77">
        <f>'2012_2020'!BM15</f>
        <v>-0.16600000000000001</v>
      </c>
      <c r="BP77">
        <f>'2012_2020'!BN15</f>
        <v>-0.20100000000000001</v>
      </c>
      <c r="BQ77">
        <f>'2012_2020'!BO15</f>
        <v>-0.216</v>
      </c>
      <c r="BR77">
        <f>'2012_2020'!BP15</f>
        <v>-0.214</v>
      </c>
      <c r="BS77">
        <f>'2012_2020'!BQ15</f>
        <v>-0.22500000000000001</v>
      </c>
      <c r="BT77">
        <f>'2012_2020'!BR15</f>
        <v>-0.23300000000000001</v>
      </c>
      <c r="BU77">
        <f>'2012_2020'!BS15</f>
        <v>-0.19600000000000001</v>
      </c>
      <c r="BV77">
        <f>'2012_2020'!BT15</f>
        <v>-0.11600000000000001</v>
      </c>
      <c r="BW77">
        <f>'2012_2020'!BU15</f>
        <v>-8.7900000000000006E-2</v>
      </c>
      <c r="BX77">
        <f>'2012_2020'!BV15</f>
        <v>-0.11700000000000001</v>
      </c>
      <c r="BY77">
        <f>'2012_2020'!BW15</f>
        <v>-0.17699999999999999</v>
      </c>
      <c r="BZ77">
        <f>'2012_2020'!BX15</f>
        <v>-0.19600000000000001</v>
      </c>
      <c r="CA77">
        <f>'2012_2020'!BY15</f>
        <v>-0.21199999999999999</v>
      </c>
      <c r="CB77">
        <f>'2012_2020'!BZ15</f>
        <v>-0.186</v>
      </c>
      <c r="CC77">
        <f>'2012_2020'!CA15</f>
        <v>-0.22900000000000001</v>
      </c>
      <c r="CD77">
        <f>'2012_2020'!CB15</f>
        <v>-0.28599999999999998</v>
      </c>
      <c r="CE77">
        <f>'2012_2020'!CC15</f>
        <v>-0.33400000000000002</v>
      </c>
      <c r="CF77">
        <f>'2012_2020'!CD15</f>
        <v>-0.379</v>
      </c>
      <c r="CG77">
        <f>'2012_2020'!CE15</f>
        <v>-0.34699999999999998</v>
      </c>
      <c r="CH77">
        <f>'2012_2020'!CF15</f>
        <v>-0.21299999999999999</v>
      </c>
      <c r="CI77">
        <f>'2012_2020'!CG15</f>
        <v>-0.124</v>
      </c>
      <c r="CJ77">
        <f>'2012_2020'!CH15</f>
        <v>-0.13600000000000001</v>
      </c>
      <c r="CK77">
        <f>'2012_2020'!CI15</f>
        <v>-0.4</v>
      </c>
      <c r="CL77">
        <f>'2012_2020'!CJ15</f>
        <v>-0.42499999999999999</v>
      </c>
      <c r="CM77">
        <f>'2012_2020'!CK15</f>
        <v>-0.41499999999999998</v>
      </c>
      <c r="CN77">
        <f>'2012_2020'!CL15</f>
        <v>-0.35899999999999999</v>
      </c>
      <c r="CO77">
        <f>'2012_2020'!CM15</f>
        <v>-0.36299999999999999</v>
      </c>
      <c r="CP77">
        <f>'2012_2020'!CN15</f>
        <v>-0.36399999999999999</v>
      </c>
      <c r="CQ77">
        <f>'2012_2020'!CO15</f>
        <v>-0.503</v>
      </c>
      <c r="CR77">
        <f>'2012_2020'!CP15</f>
        <v>-0.43</v>
      </c>
      <c r="CS77">
        <f>'2012_2020'!CQ15</f>
        <v>-0.32300000000000001</v>
      </c>
      <c r="CT77">
        <f>'2012_2020'!CR15</f>
        <v>-0.41299999999999998</v>
      </c>
      <c r="CU77">
        <f>'2012_2020'!CS15</f>
        <v>-0.24399999999999999</v>
      </c>
      <c r="CV77">
        <f>'2012_2020'!CT15</f>
        <v>-0.45100000000000001</v>
      </c>
      <c r="CW77">
        <f>'2012_2020'!CU15</f>
        <v>-0.27900000000000003</v>
      </c>
      <c r="CX77">
        <f>'2012_2020'!CV15</f>
        <v>-0.30199999999999999</v>
      </c>
    </row>
    <row r="78" spans="1:102" x14ac:dyDescent="0.2">
      <c r="A78" t="s">
        <v>209</v>
      </c>
      <c r="B78" t="s">
        <v>219</v>
      </c>
      <c r="C78" t="s">
        <v>222</v>
      </c>
      <c r="D78">
        <f>'2012_2020'!B16</f>
        <v>-0.115</v>
      </c>
      <c r="E78">
        <f>'2012_2020'!C16</f>
        <v>-0.08</v>
      </c>
      <c r="F78">
        <f>'2012_2020'!D16</f>
        <v>-7.0499999999999993E-2</v>
      </c>
      <c r="G78">
        <f>'2012_2020'!E16</f>
        <v>-0.23699999999999999</v>
      </c>
      <c r="H78">
        <f>'2012_2020'!F16</f>
        <v>2.0300000000000001E-3</v>
      </c>
      <c r="I78">
        <f>'2012_2020'!G16</f>
        <v>-0.17</v>
      </c>
      <c r="J78">
        <f>'2012_2020'!H16</f>
        <v>-6.7500000000000004E-2</v>
      </c>
      <c r="K78">
        <f>'2012_2020'!I16</f>
        <v>-4.7899999999999998E-2</v>
      </c>
      <c r="L78">
        <f>'2012_2020'!J16</f>
        <v>-8.72E-2</v>
      </c>
      <c r="M78">
        <f>'2012_2020'!K16</f>
        <v>3.5999999999999997E-2</v>
      </c>
      <c r="N78">
        <f>'2012_2020'!L16</f>
        <v>6.0699999999999997E-2</v>
      </c>
      <c r="O78">
        <f>'2012_2020'!M16</f>
        <v>-6.5199999999999994E-2</v>
      </c>
      <c r="P78">
        <f>'2012_2020'!N16</f>
        <v>-3.32E-3</v>
      </c>
      <c r="Q78">
        <f>'2012_2020'!O16</f>
        <v>2.48E-3</v>
      </c>
      <c r="R78">
        <f>'2012_2020'!P16</f>
        <v>1.5299999999999999E-2</v>
      </c>
      <c r="S78">
        <f>'2012_2020'!Q16</f>
        <v>1.47E-2</v>
      </c>
      <c r="T78">
        <f>'2012_2020'!R16</f>
        <v>-1.6E-2</v>
      </c>
      <c r="U78">
        <f>'2012_2020'!S16</f>
        <v>-2.0199999999999999E-2</v>
      </c>
      <c r="V78">
        <f>'2012_2020'!T16</f>
        <v>-2.6499999999999999E-2</v>
      </c>
      <c r="W78">
        <f>'2012_2020'!U16</f>
        <v>-1.3299999999999999E-2</v>
      </c>
      <c r="X78">
        <f>'2012_2020'!V16</f>
        <v>-7.43E-3</v>
      </c>
      <c r="Y78">
        <f>'2012_2020'!W16</f>
        <v>-3.4099999999999998E-2</v>
      </c>
      <c r="Z78">
        <f>'2012_2020'!X16</f>
        <v>-3.5400000000000001E-2</v>
      </c>
      <c r="AA78">
        <f>'2012_2020'!Y16</f>
        <v>-2.3099999999999999E-2</v>
      </c>
      <c r="AB78">
        <f>'2012_2020'!Z16</f>
        <v>-1.4500000000000001E-2</v>
      </c>
      <c r="AC78">
        <f>'2012_2020'!AA16</f>
        <v>-8.1099999999999992E-3</v>
      </c>
      <c r="AD78">
        <f>'2012_2020'!AB16</f>
        <v>-2.1700000000000001E-3</v>
      </c>
      <c r="AE78">
        <f>'2012_2020'!AC16</f>
        <v>2.5999999999999999E-3</v>
      </c>
      <c r="AF78">
        <f>'2012_2020'!AD16</f>
        <v>6.2300000000000003E-3</v>
      </c>
      <c r="AG78">
        <f>'2012_2020'!AE16</f>
        <v>1.24E-2</v>
      </c>
      <c r="AH78">
        <f>'2012_2020'!AF16</f>
        <v>2.7799999999999998E-2</v>
      </c>
      <c r="AI78">
        <f>'2012_2020'!AG16</f>
        <v>3.4000000000000002E-2</v>
      </c>
      <c r="AJ78">
        <f>'2012_2020'!AH16</f>
        <v>4.4400000000000002E-2</v>
      </c>
      <c r="AK78">
        <f>'2012_2020'!AI16</f>
        <v>5.4100000000000002E-2</v>
      </c>
      <c r="AL78">
        <f>'2012_2020'!AJ16</f>
        <v>6.9500000000000006E-2</v>
      </c>
      <c r="AM78">
        <f>'2012_2020'!AK16</f>
        <v>6.9699999999999998E-2</v>
      </c>
      <c r="AN78">
        <f>'2012_2020'!AL16</f>
        <v>7.22E-2</v>
      </c>
      <c r="AO78">
        <f>'2012_2020'!AM16</f>
        <v>6.5000000000000002E-2</v>
      </c>
      <c r="AP78">
        <f>'2012_2020'!AN16</f>
        <v>6.5600000000000006E-2</v>
      </c>
      <c r="AQ78">
        <f>'2012_2020'!AO16</f>
        <v>6.3899999999999998E-2</v>
      </c>
      <c r="AR78">
        <f>'2012_2020'!AP16</f>
        <v>6.3799999999999996E-2</v>
      </c>
      <c r="AS78">
        <f>'2012_2020'!AQ16</f>
        <v>4.65E-2</v>
      </c>
      <c r="AT78">
        <f>'2012_2020'!AR16</f>
        <v>4.6899999999999997E-2</v>
      </c>
      <c r="AU78">
        <f>'2012_2020'!AS16</f>
        <v>4.6100000000000002E-2</v>
      </c>
      <c r="AV78">
        <f>'2012_2020'!AT16</f>
        <v>5.1900000000000002E-2</v>
      </c>
      <c r="AW78">
        <f>'2012_2020'!AU16</f>
        <v>0.05</v>
      </c>
      <c r="AX78">
        <f>'2012_2020'!AV16</f>
        <v>4.6600000000000003E-2</v>
      </c>
      <c r="AY78">
        <f>'2012_2020'!AW16</f>
        <v>3.6700000000000003E-2</v>
      </c>
      <c r="AZ78">
        <f>'2012_2020'!AX16</f>
        <v>4.2500000000000003E-2</v>
      </c>
      <c r="BA78">
        <f>'2012_2020'!AY16</f>
        <v>3.5299999999999998E-2</v>
      </c>
      <c r="BB78">
        <f>'2012_2020'!AZ16</f>
        <v>4.5100000000000001E-2</v>
      </c>
      <c r="BC78">
        <f>'2012_2020'!BA16</f>
        <v>2.0400000000000001E-2</v>
      </c>
      <c r="BD78">
        <f>'2012_2020'!BB16</f>
        <v>1.4799999999999999E-4</v>
      </c>
      <c r="BE78">
        <f>'2012_2020'!BC16</f>
        <v>-6.8599999999999998E-4</v>
      </c>
      <c r="BF78">
        <f>'2012_2020'!BD16</f>
        <v>1.26E-2</v>
      </c>
      <c r="BG78">
        <f>'2012_2020'!BE16</f>
        <v>2.1600000000000001E-2</v>
      </c>
      <c r="BH78">
        <f>'2012_2020'!BF16</f>
        <v>3.8199999999999998E-2</v>
      </c>
      <c r="BI78">
        <f>'2012_2020'!BG16</f>
        <v>6.0999999999999999E-2</v>
      </c>
      <c r="BJ78">
        <f>'2012_2020'!BH16</f>
        <v>6.1800000000000001E-2</v>
      </c>
      <c r="BK78">
        <f>'2012_2020'!BI16</f>
        <v>7.5800000000000006E-2</v>
      </c>
      <c r="BL78">
        <f>'2012_2020'!BJ16</f>
        <v>8.2600000000000007E-2</v>
      </c>
      <c r="BM78">
        <f>'2012_2020'!BK16</f>
        <v>7.3700000000000002E-2</v>
      </c>
      <c r="BN78">
        <f>'2012_2020'!BL16</f>
        <v>2.9000000000000001E-2</v>
      </c>
      <c r="BO78">
        <f>'2012_2020'!BM16</f>
        <v>-1.37E-2</v>
      </c>
      <c r="BP78">
        <f>'2012_2020'!BN16</f>
        <v>-4.1000000000000002E-2</v>
      </c>
      <c r="BQ78">
        <f>'2012_2020'!BO16</f>
        <v>-5.0200000000000002E-2</v>
      </c>
      <c r="BR78">
        <f>'2012_2020'!BP16</f>
        <v>-5.0200000000000002E-2</v>
      </c>
      <c r="BS78">
        <f>'2012_2020'!BQ16</f>
        <v>-5.7299999999999997E-2</v>
      </c>
      <c r="BT78">
        <f>'2012_2020'!BR16</f>
        <v>-6.4600000000000005E-2</v>
      </c>
      <c r="BU78">
        <f>'2012_2020'!BS16</f>
        <v>-1.4800000000000001E-2</v>
      </c>
      <c r="BV78">
        <f>'2012_2020'!BT16</f>
        <v>9.0200000000000002E-2</v>
      </c>
      <c r="BW78">
        <f>'2012_2020'!BU16</f>
        <v>0.128</v>
      </c>
      <c r="BX78">
        <f>'2012_2020'!BV16</f>
        <v>0.10199999999999999</v>
      </c>
      <c r="BY78">
        <f>'2012_2020'!BW16</f>
        <v>6.3E-2</v>
      </c>
      <c r="BZ78">
        <f>'2012_2020'!BX16</f>
        <v>4.0800000000000003E-2</v>
      </c>
      <c r="CA78">
        <f>'2012_2020'!BY16</f>
        <v>2.0899999999999998E-2</v>
      </c>
      <c r="CB78">
        <f>'2012_2020'!BZ16</f>
        <v>5.45E-2</v>
      </c>
      <c r="CC78">
        <f>'2012_2020'!CA16</f>
        <v>2.4899999999999999E-2</v>
      </c>
      <c r="CD78">
        <f>'2012_2020'!CB16</f>
        <v>-2.9399999999999999E-2</v>
      </c>
      <c r="CE78">
        <f>'2012_2020'!CC16</f>
        <v>-5.0500000000000003E-2</v>
      </c>
      <c r="CF78">
        <f>'2012_2020'!CD16</f>
        <v>-8.5900000000000004E-2</v>
      </c>
      <c r="CG78">
        <f>'2012_2020'!CE16</f>
        <v>-6.0900000000000003E-2</v>
      </c>
      <c r="CH78">
        <f>'2012_2020'!CF16</f>
        <v>6.13E-2</v>
      </c>
      <c r="CI78">
        <f>'2012_2020'!CG16</f>
        <v>0.14399999999999999</v>
      </c>
      <c r="CJ78">
        <f>'2012_2020'!CH16</f>
        <v>0.17100000000000001</v>
      </c>
      <c r="CK78">
        <f>'2012_2020'!CI16</f>
        <v>-6.13E-2</v>
      </c>
      <c r="CL78">
        <f>'2012_2020'!CJ16</f>
        <v>-0.105</v>
      </c>
      <c r="CM78">
        <f>'2012_2020'!CK16</f>
        <v>-0.11</v>
      </c>
      <c r="CN78">
        <f>'2012_2020'!CL16</f>
        <v>-1.3899999999999999E-2</v>
      </c>
      <c r="CO78">
        <f>'2012_2020'!CM16</f>
        <v>-1.4999999999999999E-2</v>
      </c>
      <c r="CP78">
        <f>'2012_2020'!CN16</f>
        <v>-4.4200000000000003E-2</v>
      </c>
      <c r="CQ78">
        <f>'2012_2020'!CO16</f>
        <v>-0.158</v>
      </c>
      <c r="CR78">
        <f>'2012_2020'!CP16</f>
        <v>-2.3900000000000001E-2</v>
      </c>
      <c r="CS78">
        <f>'2012_2020'!CQ16</f>
        <v>6.1499999999999999E-2</v>
      </c>
      <c r="CT78">
        <f>'2012_2020'!CR16</f>
        <v>-1.47E-2</v>
      </c>
      <c r="CU78">
        <f>'2012_2020'!CS16</f>
        <v>6.6400000000000001E-2</v>
      </c>
      <c r="CV78">
        <f>'2012_2020'!CT16</f>
        <v>-0.16300000000000001</v>
      </c>
      <c r="CW78">
        <f>'2012_2020'!CU16</f>
        <v>2.52E-2</v>
      </c>
      <c r="CX78">
        <f>'2012_2020'!CV16</f>
        <v>-6.08E-2</v>
      </c>
    </row>
    <row r="79" spans="1:102" x14ac:dyDescent="0.2">
      <c r="A79" t="s">
        <v>210</v>
      </c>
      <c r="B79" t="s">
        <v>219</v>
      </c>
      <c r="C79" t="s">
        <v>222</v>
      </c>
      <c r="D79">
        <f>'2012_2020'!B17</f>
        <v>7.9500000000000001E-2</v>
      </c>
      <c r="E79">
        <f>'2012_2020'!C17</f>
        <v>6.8500000000000005E-2</v>
      </c>
      <c r="F79">
        <f>'2012_2020'!D17</f>
        <v>3.7600000000000001E-2</v>
      </c>
      <c r="G79">
        <f>'2012_2020'!E17</f>
        <v>6.0999999999999999E-2</v>
      </c>
      <c r="H79">
        <f>'2012_2020'!F17</f>
        <v>-8.5500000000000003E-3</v>
      </c>
      <c r="I79">
        <f>'2012_2020'!G17</f>
        <v>3.1899999999999998E-2</v>
      </c>
      <c r="J79">
        <f>'2012_2020'!H17</f>
        <v>9.9500000000000005E-3</v>
      </c>
      <c r="K79">
        <f>'2012_2020'!I17</f>
        <v>4.47E-3</v>
      </c>
      <c r="L79">
        <f>'2012_2020'!J17</f>
        <v>1.03E-2</v>
      </c>
      <c r="M79">
        <f>'2012_2020'!K17</f>
        <v>-1.6199999999999999E-2</v>
      </c>
      <c r="N79">
        <f>'2012_2020'!L17</f>
        <v>-1.3100000000000001E-2</v>
      </c>
      <c r="O79">
        <f>'2012_2020'!M17</f>
        <v>8.8999999999999999E-3</v>
      </c>
      <c r="P79">
        <f>'2012_2020'!N17</f>
        <v>6.4700000000000001E-4</v>
      </c>
      <c r="Q79">
        <f>'2012_2020'!O17</f>
        <v>-1.7799999999999999E-3</v>
      </c>
      <c r="R79">
        <f>'2012_2020'!P17</f>
        <v>-4.3400000000000001E-3</v>
      </c>
      <c r="S79">
        <f>'2012_2020'!Q17</f>
        <v>-3.8700000000000002E-3</v>
      </c>
      <c r="T79">
        <f>'2012_2020'!R17</f>
        <v>1.7799999999999999E-3</v>
      </c>
      <c r="U79">
        <f>'2012_2020'!S17</f>
        <v>2.1099999999999999E-3</v>
      </c>
      <c r="V79">
        <f>'2012_2020'!T17</f>
        <v>4.8399999999999997E-3</v>
      </c>
      <c r="W79">
        <f>'2012_2020'!U17</f>
        <v>3.4399999999999999E-3</v>
      </c>
      <c r="X79">
        <f>'2012_2020'!V17</f>
        <v>4.0600000000000002E-3</v>
      </c>
      <c r="Y79">
        <f>'2012_2020'!W17</f>
        <v>8.5299999999999994E-3</v>
      </c>
      <c r="Z79">
        <f>'2012_2020'!X17</f>
        <v>8.1499999999999993E-3</v>
      </c>
      <c r="AA79">
        <f>'2012_2020'!Y17</f>
        <v>8.5699999999999995E-3</v>
      </c>
      <c r="AB79">
        <f>'2012_2020'!Z17</f>
        <v>7.9000000000000008E-3</v>
      </c>
      <c r="AC79">
        <f>'2012_2020'!AA17</f>
        <v>8.5199999999999998E-3</v>
      </c>
      <c r="AD79">
        <f>'2012_2020'!AB17</f>
        <v>8.8000000000000005E-3</v>
      </c>
      <c r="AE79">
        <f>'2012_2020'!AC17</f>
        <v>8.3300000000000006E-3</v>
      </c>
      <c r="AF79">
        <f>'2012_2020'!AD17</f>
        <v>8.0800000000000004E-3</v>
      </c>
      <c r="AG79">
        <f>'2012_2020'!AE17</f>
        <v>7.5700000000000003E-3</v>
      </c>
      <c r="AH79">
        <f>'2012_2020'!AF17</f>
        <v>7.8300000000000002E-3</v>
      </c>
      <c r="AI79">
        <f>'2012_2020'!AG17</f>
        <v>7.62E-3</v>
      </c>
      <c r="AJ79">
        <f>'2012_2020'!AH17</f>
        <v>6.7400000000000003E-3</v>
      </c>
      <c r="AK79">
        <f>'2012_2020'!AI17</f>
        <v>4.7999999999999996E-3</v>
      </c>
      <c r="AL79">
        <f>'2012_2020'!AJ17</f>
        <v>2.16E-3</v>
      </c>
      <c r="AM79">
        <f>'2012_2020'!AK17</f>
        <v>2.7000000000000001E-3</v>
      </c>
      <c r="AN79">
        <f>'2012_2020'!AL17</f>
        <v>3.3500000000000001E-3</v>
      </c>
      <c r="AO79">
        <f>'2012_2020'!AM17</f>
        <v>4.9100000000000003E-3</v>
      </c>
      <c r="AP79">
        <f>'2012_2020'!AN17</f>
        <v>6.7999999999999996E-3</v>
      </c>
      <c r="AQ79">
        <f>'2012_2020'!AO17</f>
        <v>9.8300000000000002E-3</v>
      </c>
      <c r="AR79">
        <f>'2012_2020'!AP17</f>
        <v>1.2800000000000001E-2</v>
      </c>
      <c r="AS79">
        <f>'2012_2020'!AQ17</f>
        <v>1.54E-2</v>
      </c>
      <c r="AT79">
        <f>'2012_2020'!AR17</f>
        <v>1.52E-2</v>
      </c>
      <c r="AU79">
        <f>'2012_2020'!AS17</f>
        <v>1.4999999999999999E-2</v>
      </c>
      <c r="AV79">
        <f>'2012_2020'!AT17</f>
        <v>1.2999999999999999E-2</v>
      </c>
      <c r="AW79">
        <f>'2012_2020'!AU17</f>
        <v>1.3299999999999999E-2</v>
      </c>
      <c r="AX79">
        <f>'2012_2020'!AV17</f>
        <v>1.2699999999999999E-2</v>
      </c>
      <c r="AY79">
        <f>'2012_2020'!AW17</f>
        <v>1.32E-2</v>
      </c>
      <c r="AZ79">
        <f>'2012_2020'!AX17</f>
        <v>1.0800000000000001E-2</v>
      </c>
      <c r="BA79">
        <f>'2012_2020'!AY17</f>
        <v>1.14E-2</v>
      </c>
      <c r="BB79">
        <f>'2012_2020'!AZ17</f>
        <v>1.06E-2</v>
      </c>
      <c r="BC79">
        <f>'2012_2020'!BA17</f>
        <v>1.6199999999999999E-2</v>
      </c>
      <c r="BD79">
        <f>'2012_2020'!BB17</f>
        <v>1.7899999999999999E-2</v>
      </c>
      <c r="BE79">
        <f>'2012_2020'!BC17</f>
        <v>1.9099999999999999E-2</v>
      </c>
      <c r="BF79">
        <f>'2012_2020'!BD17</f>
        <v>1.5699999999999999E-2</v>
      </c>
      <c r="BG79">
        <f>'2012_2020'!BE17</f>
        <v>1.44E-2</v>
      </c>
      <c r="BH79">
        <f>'2012_2020'!BF17</f>
        <v>1.0999999999999999E-2</v>
      </c>
      <c r="BI79">
        <f>'2012_2020'!BG17</f>
        <v>8.26E-3</v>
      </c>
      <c r="BJ79">
        <f>'2012_2020'!BH17</f>
        <v>9.8700000000000003E-3</v>
      </c>
      <c r="BK79">
        <f>'2012_2020'!BI17</f>
        <v>5.9699999999999996E-3</v>
      </c>
      <c r="BL79">
        <f>'2012_2020'!BJ17</f>
        <v>4.2700000000000004E-3</v>
      </c>
      <c r="BM79">
        <f>'2012_2020'!BK17</f>
        <v>9.0799999999999995E-3</v>
      </c>
      <c r="BN79">
        <f>'2012_2020'!BL17</f>
        <v>1.84E-2</v>
      </c>
      <c r="BO79">
        <f>'2012_2020'!BM17</f>
        <v>2.46E-2</v>
      </c>
      <c r="BP79">
        <f>'2012_2020'!BN17</f>
        <v>3.1300000000000001E-2</v>
      </c>
      <c r="BQ79">
        <f>'2012_2020'!BO17</f>
        <v>3.2000000000000001E-2</v>
      </c>
      <c r="BR79">
        <f>'2012_2020'!BP17</f>
        <v>3.09E-2</v>
      </c>
      <c r="BS79">
        <f>'2012_2020'!BQ17</f>
        <v>3.0099999999999998E-2</v>
      </c>
      <c r="BT79">
        <f>'2012_2020'!BR17</f>
        <v>2.87E-2</v>
      </c>
      <c r="BU79">
        <f>'2012_2020'!BS17</f>
        <v>1.9800000000000002E-2</v>
      </c>
      <c r="BV79">
        <f>'2012_2020'!BT17</f>
        <v>2.4299999999999999E-3</v>
      </c>
      <c r="BW79">
        <f>'2012_2020'!BU17</f>
        <v>-3.5300000000000002E-3</v>
      </c>
      <c r="BX79">
        <f>'2012_2020'!BV17</f>
        <v>9.6900000000000003E-4</v>
      </c>
      <c r="BY79">
        <f>'2012_2020'!BW17</f>
        <v>1.23E-2</v>
      </c>
      <c r="BZ79">
        <f>'2012_2020'!BX17</f>
        <v>1.77E-2</v>
      </c>
      <c r="CA79">
        <f>'2012_2020'!BY17</f>
        <v>1.8700000000000001E-2</v>
      </c>
      <c r="CB79">
        <f>'2012_2020'!BZ17</f>
        <v>7.8499999999999993E-3</v>
      </c>
      <c r="CC79">
        <f>'2012_2020'!CA17</f>
        <v>1.1299999999999999E-2</v>
      </c>
      <c r="CD79">
        <f>'2012_2020'!CB17</f>
        <v>2.2599999999999999E-2</v>
      </c>
      <c r="CE79">
        <f>'2012_2020'!CC17</f>
        <v>2.4899999999999999E-2</v>
      </c>
      <c r="CF79">
        <f>'2012_2020'!CD17</f>
        <v>3.2500000000000001E-2</v>
      </c>
      <c r="CG79">
        <f>'2012_2020'!CE17</f>
        <v>2.5600000000000001E-2</v>
      </c>
      <c r="CH79">
        <f>'2012_2020'!CF17</f>
        <v>2.3500000000000001E-3</v>
      </c>
      <c r="CI79">
        <f>'2012_2020'!CG17</f>
        <v>-1.7600000000000001E-2</v>
      </c>
      <c r="CJ79">
        <f>'2012_2020'!CH17</f>
        <v>-2.4400000000000002E-2</v>
      </c>
      <c r="CK79">
        <f>'2012_2020'!CI17</f>
        <v>2.3199999999999998E-2</v>
      </c>
      <c r="CL79">
        <f>'2012_2020'!CJ17</f>
        <v>3.4200000000000001E-2</v>
      </c>
      <c r="CM79">
        <f>'2012_2020'!CK17</f>
        <v>3.3300000000000003E-2</v>
      </c>
      <c r="CN79">
        <f>'2012_2020'!CL17</f>
        <v>1.01E-2</v>
      </c>
      <c r="CO79">
        <f>'2012_2020'!CM17</f>
        <v>1.47E-2</v>
      </c>
      <c r="CP79">
        <f>'2012_2020'!CN17</f>
        <v>1.84E-2</v>
      </c>
      <c r="CQ79">
        <f>'2012_2020'!CO17</f>
        <v>4.1300000000000003E-2</v>
      </c>
      <c r="CR79">
        <f>'2012_2020'!CP17</f>
        <v>1.64E-3</v>
      </c>
      <c r="CS79">
        <f>'2012_2020'!CQ17</f>
        <v>-2.7699999999999999E-2</v>
      </c>
      <c r="CT79">
        <f>'2012_2020'!CR17</f>
        <v>3.0400000000000002E-3</v>
      </c>
      <c r="CU79">
        <f>'2012_2020'!CS17</f>
        <v>-3.6400000000000002E-2</v>
      </c>
      <c r="CV79">
        <f>'2012_2020'!CT17</f>
        <v>1.6199999999999999E-2</v>
      </c>
      <c r="CW79">
        <f>'2012_2020'!CU17</f>
        <v>-2.8400000000000002E-2</v>
      </c>
      <c r="CX79">
        <f>'2012_2020'!CV17</f>
        <v>4.19E-2</v>
      </c>
    </row>
    <row r="80" spans="1:102" x14ac:dyDescent="0.2">
      <c r="A80" t="s">
        <v>211</v>
      </c>
      <c r="B80" t="s">
        <v>219</v>
      </c>
      <c r="C80" t="s">
        <v>222</v>
      </c>
      <c r="D80">
        <f>'2012_2020'!B18</f>
        <v>2.2100000000000002E-2</v>
      </c>
      <c r="E80">
        <f>'2012_2020'!C18</f>
        <v>1.3299999999999999E-2</v>
      </c>
      <c r="F80">
        <f>'2012_2020'!D18</f>
        <v>1.5299999999999999E-2</v>
      </c>
      <c r="G80">
        <f>'2012_2020'!E18</f>
        <v>2.87E-2</v>
      </c>
      <c r="H80">
        <f>'2012_2020'!F18</f>
        <v>5.96E-3</v>
      </c>
      <c r="I80">
        <f>'2012_2020'!G18</f>
        <v>1.5299999999999999E-2</v>
      </c>
      <c r="J80">
        <f>'2012_2020'!H18</f>
        <v>6.4599999999999996E-3</v>
      </c>
      <c r="K80">
        <f>'2012_2020'!I18</f>
        <v>1.2999999999999999E-2</v>
      </c>
      <c r="L80">
        <f>'2012_2020'!J18</f>
        <v>1.7100000000000001E-2</v>
      </c>
      <c r="M80">
        <f>'2012_2020'!K18</f>
        <v>7.5199999999999998E-3</v>
      </c>
      <c r="N80">
        <f>'2012_2020'!L18</f>
        <v>1.04E-2</v>
      </c>
      <c r="O80">
        <f>'2012_2020'!M18</f>
        <v>1.8800000000000001E-2</v>
      </c>
      <c r="P80">
        <f>'2012_2020'!N18</f>
        <v>1.4999999999999999E-2</v>
      </c>
      <c r="Q80">
        <f>'2012_2020'!O18</f>
        <v>1.55E-2</v>
      </c>
      <c r="R80">
        <f>'2012_2020'!P18</f>
        <v>1.24E-2</v>
      </c>
      <c r="S80">
        <f>'2012_2020'!Q18</f>
        <v>1.0699999999999999E-2</v>
      </c>
      <c r="T80">
        <f>'2012_2020'!R18</f>
        <v>9.1299999999999992E-3</v>
      </c>
      <c r="U80">
        <f>'2012_2020'!S18</f>
        <v>1.12E-2</v>
      </c>
      <c r="V80">
        <f>'2012_2020'!T18</f>
        <v>1.03E-2</v>
      </c>
      <c r="W80">
        <f>'2012_2020'!U18</f>
        <v>9.3699999999999999E-3</v>
      </c>
      <c r="X80">
        <f>'2012_2020'!V18</f>
        <v>8.6199999999999992E-3</v>
      </c>
      <c r="Y80">
        <f>'2012_2020'!W18</f>
        <v>1.17E-2</v>
      </c>
      <c r="Z80">
        <f>'2012_2020'!X18</f>
        <v>9.8600000000000007E-3</v>
      </c>
      <c r="AA80">
        <f>'2012_2020'!Y18</f>
        <v>1.14E-2</v>
      </c>
      <c r="AB80">
        <f>'2012_2020'!Z18</f>
        <v>1.0200000000000001E-2</v>
      </c>
      <c r="AC80">
        <f>'2012_2020'!AA18</f>
        <v>9.1599999999999997E-3</v>
      </c>
      <c r="AD80">
        <f>'2012_2020'!AB18</f>
        <v>9.9900000000000006E-3</v>
      </c>
      <c r="AE80">
        <f>'2012_2020'!AC18</f>
        <v>8.4200000000000004E-3</v>
      </c>
      <c r="AF80">
        <f>'2012_2020'!AD18</f>
        <v>8.5299999999999994E-3</v>
      </c>
      <c r="AG80">
        <f>'2012_2020'!AE18</f>
        <v>1.06E-2</v>
      </c>
      <c r="AH80">
        <f>'2012_2020'!AF18</f>
        <v>8.7500000000000008E-3</v>
      </c>
      <c r="AI80">
        <f>'2012_2020'!AG18</f>
        <v>8.0099999999999998E-3</v>
      </c>
      <c r="AJ80">
        <f>'2012_2020'!AH18</f>
        <v>7.4999999999999997E-3</v>
      </c>
      <c r="AK80">
        <f>'2012_2020'!AI18</f>
        <v>4.2300000000000003E-3</v>
      </c>
      <c r="AL80">
        <f>'2012_2020'!AJ18</f>
        <v>2.1299999999999999E-3</v>
      </c>
      <c r="AM80">
        <f>'2012_2020'!AK18</f>
        <v>2.0100000000000001E-3</v>
      </c>
      <c r="AN80">
        <f>'2012_2020'!AL18</f>
        <v>-6.8300000000000001E-4</v>
      </c>
      <c r="AO80">
        <f>'2012_2020'!AM18</f>
        <v>4.3200000000000001E-3</v>
      </c>
      <c r="AP80">
        <f>'2012_2020'!AN18</f>
        <v>5.7200000000000003E-3</v>
      </c>
      <c r="AQ80">
        <f>'2012_2020'!AO18</f>
        <v>3.63E-3</v>
      </c>
      <c r="AR80">
        <f>'2012_2020'!AP18</f>
        <v>4.5700000000000003E-3</v>
      </c>
      <c r="AS80">
        <f>'2012_2020'!AQ18</f>
        <v>3.8400000000000001E-3</v>
      </c>
      <c r="AT80">
        <f>'2012_2020'!AR18</f>
        <v>2.7499999999999998E-3</v>
      </c>
      <c r="AU80">
        <f>'2012_2020'!AS18</f>
        <v>8.1099999999999998E-4</v>
      </c>
      <c r="AV80">
        <f>'2012_2020'!AT18</f>
        <v>1.3600000000000001E-3</v>
      </c>
      <c r="AW80">
        <f>'2012_2020'!AU18</f>
        <v>1.92E-3</v>
      </c>
      <c r="AX80">
        <f>'2012_2020'!AV18</f>
        <v>3.3999999999999998E-3</v>
      </c>
      <c r="AY80">
        <f>'2012_2020'!AW18</f>
        <v>3.3100000000000002E-4</v>
      </c>
      <c r="AZ80">
        <f>'2012_2020'!AX18</f>
        <v>9.1100000000000003E-4</v>
      </c>
      <c r="BA80">
        <f>'2012_2020'!AY18</f>
        <v>-8.6799999999999996E-4</v>
      </c>
      <c r="BB80">
        <f>'2012_2020'!AZ18</f>
        <v>-2.8500000000000001E-3</v>
      </c>
      <c r="BC80">
        <f>'2012_2020'!BA18</f>
        <v>-2.4099999999999998E-3</v>
      </c>
      <c r="BD80">
        <f>'2012_2020'!BB18</f>
        <v>2.47E-3</v>
      </c>
      <c r="BE80">
        <f>'2012_2020'!BC18</f>
        <v>3.7200000000000002E-3</v>
      </c>
      <c r="BF80">
        <f>'2012_2020'!BD18</f>
        <v>-9.1600000000000004E-4</v>
      </c>
      <c r="BG80">
        <f>'2012_2020'!BE18</f>
        <v>7.2099999999999996E-4</v>
      </c>
      <c r="BH80">
        <f>'2012_2020'!BF18</f>
        <v>-3.6800000000000001E-3</v>
      </c>
      <c r="BI80">
        <f>'2012_2020'!BG18</f>
        <v>-6.5900000000000004E-3</v>
      </c>
      <c r="BJ80">
        <f>'2012_2020'!BH18</f>
        <v>-4.5199999999999997E-3</v>
      </c>
      <c r="BK80">
        <f>'2012_2020'!BI18</f>
        <v>-9.5099999999999994E-3</v>
      </c>
      <c r="BL80">
        <f>'2012_2020'!BJ18</f>
        <v>-1.24E-2</v>
      </c>
      <c r="BM80">
        <f>'2012_2020'!BK18</f>
        <v>-8.5699999999999995E-3</v>
      </c>
      <c r="BN80">
        <f>'2012_2020'!BL18</f>
        <v>-1.09E-3</v>
      </c>
      <c r="BO80">
        <f>'2012_2020'!BM18</f>
        <v>4.3499999999999997E-3</v>
      </c>
      <c r="BP80">
        <f>'2012_2020'!BN18</f>
        <v>9.2599999999999991E-3</v>
      </c>
      <c r="BQ80">
        <f>'2012_2020'!BO18</f>
        <v>7.0600000000000003E-3</v>
      </c>
      <c r="BR80">
        <f>'2012_2020'!BP18</f>
        <v>1.72E-2</v>
      </c>
      <c r="BS80">
        <f>'2012_2020'!BQ18</f>
        <v>0.02</v>
      </c>
      <c r="BT80">
        <f>'2012_2020'!BR18</f>
        <v>1.37E-2</v>
      </c>
      <c r="BU80">
        <f>'2012_2020'!BS18</f>
        <v>6.7000000000000002E-3</v>
      </c>
      <c r="BV80">
        <f>'2012_2020'!BT18</f>
        <v>-5.4999999999999997E-3</v>
      </c>
      <c r="BW80">
        <f>'2012_2020'!BU18</f>
        <v>-1.3899999999999999E-2</v>
      </c>
      <c r="BX80">
        <f>'2012_2020'!BV18</f>
        <v>-1.29E-2</v>
      </c>
      <c r="BY80">
        <f>'2012_2020'!BW18</f>
        <v>-8.0999999999999996E-3</v>
      </c>
      <c r="BZ80">
        <f>'2012_2020'!BX18</f>
        <v>-6.2300000000000003E-3</v>
      </c>
      <c r="CA80">
        <f>'2012_2020'!BY18</f>
        <v>2.4699999999999999E-4</v>
      </c>
      <c r="CB80">
        <f>'2012_2020'!BZ18</f>
        <v>-1.3100000000000001E-2</v>
      </c>
      <c r="CC80">
        <f>'2012_2020'!CA18</f>
        <v>-9.1199999999999996E-3</v>
      </c>
      <c r="CD80">
        <f>'2012_2020'!CB18</f>
        <v>-5.4000000000000003E-3</v>
      </c>
      <c r="CE80">
        <f>'2012_2020'!CC18</f>
        <v>-1.4599999999999999E-3</v>
      </c>
      <c r="CF80">
        <f>'2012_2020'!CD18</f>
        <v>7.9000000000000008E-3</v>
      </c>
      <c r="CG80">
        <f>'2012_2020'!CE18</f>
        <v>3.3300000000000001E-3</v>
      </c>
      <c r="CH80">
        <f>'2012_2020'!CF18</f>
        <v>-1.38E-2</v>
      </c>
      <c r="CI80">
        <f>'2012_2020'!CG18</f>
        <v>-3.4599999999999999E-2</v>
      </c>
      <c r="CJ80">
        <f>'2012_2020'!CH18</f>
        <v>-4.2299999999999997E-2</v>
      </c>
      <c r="CK80">
        <f>'2012_2020'!CI18</f>
        <v>-6.96E-3</v>
      </c>
      <c r="CL80">
        <f>'2012_2020'!CJ18</f>
        <v>-2.72E-4</v>
      </c>
      <c r="CM80">
        <f>'2012_2020'!CK18</f>
        <v>3.0699999999999998E-3</v>
      </c>
      <c r="CN80">
        <f>'2012_2020'!CL18</f>
        <v>-2.98E-2</v>
      </c>
      <c r="CO80">
        <f>'2012_2020'!CM18</f>
        <v>-3.0800000000000001E-2</v>
      </c>
      <c r="CP80">
        <f>'2012_2020'!CN18</f>
        <v>-2.06E-2</v>
      </c>
      <c r="CQ80">
        <f>'2012_2020'!CO18</f>
        <v>-1.6999999999999999E-3</v>
      </c>
      <c r="CR80">
        <f>'2012_2020'!CP18</f>
        <v>-2.7E-2</v>
      </c>
      <c r="CS80">
        <f>'2012_2020'!CQ18</f>
        <v>-4.1200000000000001E-2</v>
      </c>
      <c r="CT80">
        <f>'2012_2020'!CR18</f>
        <v>-3.9300000000000002E-2</v>
      </c>
      <c r="CU80">
        <f>'2012_2020'!CS18</f>
        <v>-6.2799999999999995E-2</v>
      </c>
      <c r="CV80">
        <f>'2012_2020'!CT18</f>
        <v>-1.77E-2</v>
      </c>
      <c r="CW80">
        <f>'2012_2020'!CU18</f>
        <v>-6.1800000000000001E-2</v>
      </c>
      <c r="CX80">
        <f>'2012_2020'!CV18</f>
        <v>-3.6900000000000002E-2</v>
      </c>
    </row>
    <row r="81" spans="1:102" x14ac:dyDescent="0.2">
      <c r="A81" t="s">
        <v>212</v>
      </c>
      <c r="B81" t="s">
        <v>219</v>
      </c>
      <c r="C81" t="s">
        <v>222</v>
      </c>
      <c r="D81">
        <f>'2012_2020'!B19</f>
        <v>3.2399999999999998E-2</v>
      </c>
      <c r="E81">
        <f>'2012_2020'!C19</f>
        <v>1.11E-2</v>
      </c>
      <c r="F81">
        <f>'2012_2020'!D19</f>
        <v>-5.5799999999999999E-3</v>
      </c>
      <c r="G81">
        <f>'2012_2020'!E19</f>
        <v>1.95E-2</v>
      </c>
      <c r="H81">
        <f>'2012_2020'!F19</f>
        <v>-1.29E-2</v>
      </c>
      <c r="I81">
        <f>'2012_2020'!G19</f>
        <v>3.46E-3</v>
      </c>
      <c r="J81">
        <f>'2012_2020'!H19</f>
        <v>-2.4299999999999999E-3</v>
      </c>
      <c r="K81">
        <f>'2012_2020'!I19</f>
        <v>-2.15E-3</v>
      </c>
      <c r="L81">
        <f>'2012_2020'!J19</f>
        <v>1.3799999999999999E-3</v>
      </c>
      <c r="M81">
        <f>'2012_2020'!K19</f>
        <v>-8.6700000000000006E-3</v>
      </c>
      <c r="N81">
        <f>'2012_2020'!L19</f>
        <v>-6.2599999999999999E-3</v>
      </c>
      <c r="O81">
        <f>'2012_2020'!M19</f>
        <v>5.0699999999999999E-3</v>
      </c>
      <c r="P81">
        <f>'2012_2020'!N19</f>
        <v>2.4599999999999999E-3</v>
      </c>
      <c r="Q81">
        <f>'2012_2020'!O19</f>
        <v>1.74E-3</v>
      </c>
      <c r="R81">
        <f>'2012_2020'!P19</f>
        <v>-7.2999999999999996E-4</v>
      </c>
      <c r="S81">
        <f>'2012_2020'!Q19</f>
        <v>-6.1799999999999995E-4</v>
      </c>
      <c r="T81">
        <f>'2012_2020'!R19</f>
        <v>5.13E-4</v>
      </c>
      <c r="U81">
        <f>'2012_2020'!S19</f>
        <v>1.15E-3</v>
      </c>
      <c r="V81">
        <f>'2012_2020'!T19</f>
        <v>1.7700000000000001E-3</v>
      </c>
      <c r="W81">
        <f>'2012_2020'!U19</f>
        <v>1.32E-3</v>
      </c>
      <c r="X81">
        <f>'2012_2020'!V19</f>
        <v>1.6800000000000001E-3</v>
      </c>
      <c r="Y81">
        <f>'2012_2020'!W19</f>
        <v>2.3800000000000002E-3</v>
      </c>
      <c r="Z81">
        <f>'2012_2020'!X19</f>
        <v>2.1800000000000001E-3</v>
      </c>
      <c r="AA81">
        <f>'2012_2020'!Y19</f>
        <v>2.15E-3</v>
      </c>
      <c r="AB81">
        <f>'2012_2020'!Z19</f>
        <v>1.9499999999999999E-3</v>
      </c>
      <c r="AC81">
        <f>'2012_2020'!AA19</f>
        <v>1.8E-3</v>
      </c>
      <c r="AD81">
        <f>'2012_2020'!AB19</f>
        <v>1.3799999999999999E-3</v>
      </c>
      <c r="AE81">
        <f>'2012_2020'!AC19</f>
        <v>7.6300000000000001E-4</v>
      </c>
      <c r="AF81">
        <f>'2012_2020'!AD19</f>
        <v>6.0599999999999998E-4</v>
      </c>
      <c r="AG81">
        <f>'2012_2020'!AE19</f>
        <v>-5.44E-4</v>
      </c>
      <c r="AH81">
        <f>'2012_2020'!AF19</f>
        <v>-9.5399999999999999E-4</v>
      </c>
      <c r="AI81">
        <f>'2012_2020'!AG19</f>
        <v>-9.4300000000000004E-4</v>
      </c>
      <c r="AJ81">
        <f>'2012_2020'!AH19</f>
        <v>-5.4600000000000004E-4</v>
      </c>
      <c r="AK81">
        <f>'2012_2020'!AI19</f>
        <v>-5.5099999999999995E-4</v>
      </c>
      <c r="AL81">
        <f>'2012_2020'!AJ19</f>
        <v>-6.2600000000000004E-4</v>
      </c>
      <c r="AM81">
        <f>'2012_2020'!AK19</f>
        <v>-6.8000000000000005E-4</v>
      </c>
      <c r="AN81">
        <f>'2012_2020'!AL19</f>
        <v>-7.7999999999999999E-4</v>
      </c>
      <c r="AO81">
        <f>'2012_2020'!AM19</f>
        <v>-3.5599999999999998E-4</v>
      </c>
      <c r="AP81">
        <f>'2012_2020'!AN19</f>
        <v>7.86E-5</v>
      </c>
      <c r="AQ81">
        <f>'2012_2020'!AO19</f>
        <v>4.0999999999999999E-4</v>
      </c>
      <c r="AR81">
        <f>'2012_2020'!AP19</f>
        <v>7.5000000000000002E-4</v>
      </c>
      <c r="AS81">
        <f>'2012_2020'!AQ19</f>
        <v>5.9800000000000001E-4</v>
      </c>
      <c r="AT81">
        <f>'2012_2020'!AR19</f>
        <v>6.4800000000000003E-4</v>
      </c>
      <c r="AU81">
        <f>'2012_2020'!AS19</f>
        <v>7.0399999999999998E-4</v>
      </c>
      <c r="AV81">
        <f>'2012_2020'!AT19</f>
        <v>5.0199999999999995E-4</v>
      </c>
      <c r="AW81">
        <f>'2012_2020'!AU19</f>
        <v>6.6600000000000003E-4</v>
      </c>
      <c r="AX81">
        <f>'2012_2020'!AV19</f>
        <v>6.8900000000000005E-4</v>
      </c>
      <c r="AY81">
        <f>'2012_2020'!AW19</f>
        <v>2.6400000000000002E-4</v>
      </c>
      <c r="AZ81">
        <f>'2012_2020'!AX19</f>
        <v>-1.33E-5</v>
      </c>
      <c r="BA81">
        <f>'2012_2020'!AY19</f>
        <v>-4.8000000000000001E-4</v>
      </c>
      <c r="BB81">
        <f>'2012_2020'!AZ19</f>
        <v>-7.7700000000000002E-4</v>
      </c>
      <c r="BC81">
        <f>'2012_2020'!BA19</f>
        <v>-3.4000000000000002E-4</v>
      </c>
      <c r="BD81">
        <f>'2012_2020'!BB19</f>
        <v>3.8699999999999997E-4</v>
      </c>
      <c r="BE81">
        <f>'2012_2020'!BC19</f>
        <v>4.64E-4</v>
      </c>
      <c r="BF81">
        <f>'2012_2020'!BD19</f>
        <v>2.8899999999999998E-4</v>
      </c>
      <c r="BG81">
        <f>'2012_2020'!BE19</f>
        <v>4.66E-4</v>
      </c>
      <c r="BH81">
        <f>'2012_2020'!BF19</f>
        <v>2.02E-4</v>
      </c>
      <c r="BI81">
        <f>'2012_2020'!BG19</f>
        <v>3.9199999999999997E-5</v>
      </c>
      <c r="BJ81">
        <f>'2012_2020'!BH19</f>
        <v>2.2599999999999999E-4</v>
      </c>
      <c r="BK81">
        <f>'2012_2020'!BI19</f>
        <v>7.7700000000000005E-5</v>
      </c>
      <c r="BL81">
        <f>'2012_2020'!BJ19</f>
        <v>7.8399999999999995E-5</v>
      </c>
      <c r="BM81">
        <f>'2012_2020'!BK19</f>
        <v>4.8500000000000003E-4</v>
      </c>
      <c r="BN81">
        <f>'2012_2020'!BL19</f>
        <v>9.5399999999999999E-4</v>
      </c>
      <c r="BO81">
        <f>'2012_2020'!BM19</f>
        <v>1.67E-3</v>
      </c>
      <c r="BP81">
        <f>'2012_2020'!BN19</f>
        <v>2.1900000000000001E-3</v>
      </c>
      <c r="BQ81">
        <f>'2012_2020'!BO19</f>
        <v>2.65E-3</v>
      </c>
      <c r="BR81">
        <f>'2012_2020'!BP19</f>
        <v>2.7200000000000002E-3</v>
      </c>
      <c r="BS81">
        <f>'2012_2020'!BQ19</f>
        <v>2.0500000000000002E-3</v>
      </c>
      <c r="BT81">
        <f>'2012_2020'!BR19</f>
        <v>2.7200000000000002E-3</v>
      </c>
      <c r="BU81">
        <f>'2012_2020'!BS19</f>
        <v>2.5600000000000002E-3</v>
      </c>
      <c r="BV81">
        <f>'2012_2020'!BT19</f>
        <v>1.47E-3</v>
      </c>
      <c r="BW81">
        <f>'2012_2020'!BU19</f>
        <v>1.81E-3</v>
      </c>
      <c r="BX81">
        <f>'2012_2020'!BV19</f>
        <v>1.2899999999999999E-3</v>
      </c>
      <c r="BY81">
        <f>'2012_2020'!BW19</f>
        <v>1.98E-3</v>
      </c>
      <c r="BZ81">
        <f>'2012_2020'!BX19</f>
        <v>2.5000000000000001E-3</v>
      </c>
      <c r="CA81">
        <f>'2012_2020'!BY19</f>
        <v>3.3999999999999998E-3</v>
      </c>
      <c r="CB81">
        <f>'2012_2020'!BZ19</f>
        <v>3.2000000000000002E-3</v>
      </c>
      <c r="CC81">
        <f>'2012_2020'!CA19</f>
        <v>3.3E-3</v>
      </c>
      <c r="CD81">
        <f>'2012_2020'!CB19</f>
        <v>2.5200000000000001E-3</v>
      </c>
      <c r="CE81">
        <f>'2012_2020'!CC19</f>
        <v>2.2899999999999999E-3</v>
      </c>
      <c r="CF81">
        <f>'2012_2020'!CD19</f>
        <v>2.1900000000000001E-3</v>
      </c>
      <c r="CG81">
        <f>'2012_2020'!CE19</f>
        <v>2.2599999999999999E-3</v>
      </c>
      <c r="CH81">
        <f>'2012_2020'!CF19</f>
        <v>8.52E-4</v>
      </c>
      <c r="CI81">
        <f>'2012_2020'!CG19</f>
        <v>-5.7700000000000004E-4</v>
      </c>
      <c r="CJ81">
        <f>'2012_2020'!CH19</f>
        <v>-1.8400000000000001E-3</v>
      </c>
      <c r="CK81">
        <f>'2012_2020'!CI19</f>
        <v>1.9100000000000001E-4</v>
      </c>
      <c r="CL81">
        <f>'2012_2020'!CJ19</f>
        <v>7.9000000000000001E-4</v>
      </c>
      <c r="CM81">
        <f>'2012_2020'!CK19</f>
        <v>1.1299999999999999E-3</v>
      </c>
      <c r="CN81">
        <f>'2012_2020'!CL19</f>
        <v>6.4499999999999996E-4</v>
      </c>
      <c r="CO81">
        <f>'2012_2020'!CM19</f>
        <v>-1.4100000000000001E-4</v>
      </c>
      <c r="CP81">
        <f>'2012_2020'!CN19</f>
        <v>-8.43E-4</v>
      </c>
      <c r="CQ81">
        <f>'2012_2020'!CO19</f>
        <v>1.66E-5</v>
      </c>
      <c r="CR81">
        <f>'2012_2020'!CP19</f>
        <v>-1.89E-3</v>
      </c>
      <c r="CS81">
        <f>'2012_2020'!CQ19</f>
        <v>-3.2000000000000002E-3</v>
      </c>
      <c r="CT81">
        <f>'2012_2020'!CR19</f>
        <v>-3.2599999999999999E-3</v>
      </c>
      <c r="CU81">
        <f>'2012_2020'!CS19</f>
        <v>-4.1999999999999997E-3</v>
      </c>
      <c r="CV81">
        <f>'2012_2020'!CT19</f>
        <v>-3.3400000000000001E-3</v>
      </c>
      <c r="CW81">
        <f>'2012_2020'!CU19</f>
        <v>-4.79E-3</v>
      </c>
      <c r="CX81">
        <f>'2012_2020'!CV19</f>
        <v>-4.8099999999999998E-4</v>
      </c>
    </row>
    <row r="82" spans="1:102" x14ac:dyDescent="0.2">
      <c r="A82" t="s">
        <v>213</v>
      </c>
      <c r="B82" t="s">
        <v>219</v>
      </c>
      <c r="C82" t="s">
        <v>222</v>
      </c>
      <c r="D82">
        <f>'2012_2020'!B20</f>
        <v>-7.1499999999999994E-2</v>
      </c>
      <c r="E82">
        <f>'2012_2020'!C20</f>
        <v>-0.03</v>
      </c>
      <c r="F82">
        <f>'2012_2020'!D20</f>
        <v>3.4700000000000002E-2</v>
      </c>
      <c r="G82">
        <f>'2012_2020'!E20</f>
        <v>-0.108</v>
      </c>
      <c r="H82">
        <f>'2012_2020'!F20</f>
        <v>0.104</v>
      </c>
      <c r="I82">
        <f>'2012_2020'!G20</f>
        <v>-4.8599999999999997E-2</v>
      </c>
      <c r="J82">
        <f>'2012_2020'!H20</f>
        <v>2.7E-2</v>
      </c>
      <c r="K82">
        <f>'2012_2020'!I20</f>
        <v>2.3199999999999998E-2</v>
      </c>
      <c r="L82">
        <f>'2012_2020'!J20</f>
        <v>-1.0200000000000001E-2</v>
      </c>
      <c r="M82">
        <f>'2012_2020'!K20</f>
        <v>0.115</v>
      </c>
      <c r="N82">
        <f>'2012_2020'!L20</f>
        <v>0.10299999999999999</v>
      </c>
      <c r="O82">
        <f>'2012_2020'!M20</f>
        <v>-3.4099999999999998E-2</v>
      </c>
      <c r="P82">
        <f>'2012_2020'!N20</f>
        <v>1.6199999999999999E-2</v>
      </c>
      <c r="Q82">
        <f>'2012_2020'!O20</f>
        <v>3.4599999999999999E-2</v>
      </c>
      <c r="R82">
        <f>'2012_2020'!P20</f>
        <v>5.45E-2</v>
      </c>
      <c r="S82">
        <f>'2012_2020'!Q20</f>
        <v>3.7100000000000001E-2</v>
      </c>
      <c r="T82">
        <f>'2012_2020'!R20</f>
        <v>1.3899999999999999E-2</v>
      </c>
      <c r="U82">
        <f>'2012_2020'!S20</f>
        <v>3.3600000000000001E-3</v>
      </c>
      <c r="V82">
        <f>'2012_2020'!T20</f>
        <v>-1.1299999999999999E-3</v>
      </c>
      <c r="W82">
        <f>'2012_2020'!U20</f>
        <v>-3.8E-3</v>
      </c>
      <c r="X82">
        <f>'2012_2020'!V20</f>
        <v>-1.0999999999999999E-2</v>
      </c>
      <c r="Y82">
        <f>'2012_2020'!W20</f>
        <v>-2.52E-2</v>
      </c>
      <c r="Z82">
        <f>'2012_2020'!X20</f>
        <v>-1.7600000000000001E-2</v>
      </c>
      <c r="AA82">
        <f>'2012_2020'!Y20</f>
        <v>-5.3299999999999997E-3</v>
      </c>
      <c r="AB82">
        <f>'2012_2020'!Z20</f>
        <v>5.1000000000000004E-3</v>
      </c>
      <c r="AC82">
        <f>'2012_2020'!AA20</f>
        <v>1.38E-2</v>
      </c>
      <c r="AD82">
        <f>'2012_2020'!AB20</f>
        <v>1.5900000000000001E-2</v>
      </c>
      <c r="AE82">
        <f>'2012_2020'!AC20</f>
        <v>1.41E-2</v>
      </c>
      <c r="AF82">
        <f>'2012_2020'!AD20</f>
        <v>1.44E-2</v>
      </c>
      <c r="AG82">
        <f>'2012_2020'!AE20</f>
        <v>1.01E-2</v>
      </c>
      <c r="AH82">
        <f>'2012_2020'!AF20</f>
        <v>1.8599999999999998E-2</v>
      </c>
      <c r="AI82">
        <f>'2012_2020'!AG20</f>
        <v>1.67E-2</v>
      </c>
      <c r="AJ82">
        <f>'2012_2020'!AH20</f>
        <v>1.3299999999999999E-2</v>
      </c>
      <c r="AK82">
        <f>'2012_2020'!AI20</f>
        <v>1.5100000000000001E-2</v>
      </c>
      <c r="AL82">
        <f>'2012_2020'!AJ20</f>
        <v>1.8100000000000002E-2</v>
      </c>
      <c r="AM82">
        <f>'2012_2020'!AK20</f>
        <v>1.18E-2</v>
      </c>
      <c r="AN82">
        <f>'2012_2020'!AL20</f>
        <v>7.0299999999999998E-3</v>
      </c>
      <c r="AO82">
        <f>'2012_2020'!AM20</f>
        <v>6.96E-3</v>
      </c>
      <c r="AP82">
        <f>'2012_2020'!AN20</f>
        <v>1.12E-2</v>
      </c>
      <c r="AQ82">
        <f>'2012_2020'!AO20</f>
        <v>1.3599999999999999E-2</v>
      </c>
      <c r="AR82">
        <f>'2012_2020'!AP20</f>
        <v>1.23E-2</v>
      </c>
      <c r="AS82">
        <f>'2012_2020'!AQ20</f>
        <v>1.01E-2</v>
      </c>
      <c r="AT82">
        <f>'2012_2020'!AR20</f>
        <v>9.3500000000000007E-3</v>
      </c>
      <c r="AU82">
        <f>'2012_2020'!AS20</f>
        <v>1.2699999999999999E-2</v>
      </c>
      <c r="AV82">
        <f>'2012_2020'!AT20</f>
        <v>2.4899999999999999E-2</v>
      </c>
      <c r="AW82">
        <f>'2012_2020'!AU20</f>
        <v>2.76E-2</v>
      </c>
      <c r="AX82">
        <f>'2012_2020'!AV20</f>
        <v>1.7999999999999999E-2</v>
      </c>
      <c r="AY82">
        <f>'2012_2020'!AW20</f>
        <v>1.6199999999999999E-2</v>
      </c>
      <c r="AZ82">
        <f>'2012_2020'!AX20</f>
        <v>1.26E-2</v>
      </c>
      <c r="BA82">
        <f>'2012_2020'!AY20</f>
        <v>1.4200000000000001E-2</v>
      </c>
      <c r="BB82">
        <f>'2012_2020'!AZ20</f>
        <v>9.9500000000000005E-3</v>
      </c>
      <c r="BC82">
        <f>'2012_2020'!BA20</f>
        <v>1.3100000000000001E-2</v>
      </c>
      <c r="BD82">
        <f>'2012_2020'!BB20</f>
        <v>9.8099999999999993E-3</v>
      </c>
      <c r="BE82">
        <f>'2012_2020'!BC20</f>
        <v>1.17E-2</v>
      </c>
      <c r="BF82">
        <f>'2012_2020'!BD20</f>
        <v>1.23E-2</v>
      </c>
      <c r="BG82">
        <f>'2012_2020'!BE20</f>
        <v>2.01E-2</v>
      </c>
      <c r="BH82">
        <f>'2012_2020'!BF20</f>
        <v>2.5000000000000001E-2</v>
      </c>
      <c r="BI82">
        <f>'2012_2020'!BG20</f>
        <v>1.8499999999999999E-2</v>
      </c>
      <c r="BJ82">
        <f>'2012_2020'!BH20</f>
        <v>1.8100000000000002E-2</v>
      </c>
      <c r="BK82">
        <f>'2012_2020'!BI20</f>
        <v>1.5599999999999999E-2</v>
      </c>
      <c r="BL82">
        <f>'2012_2020'!BJ20</f>
        <v>1.4500000000000001E-2</v>
      </c>
      <c r="BM82">
        <f>'2012_2020'!BK20</f>
        <v>8.7899999999999992E-3</v>
      </c>
      <c r="BN82">
        <f>'2012_2020'!BL20</f>
        <v>4.1000000000000003E-3</v>
      </c>
      <c r="BO82">
        <f>'2012_2020'!BM20</f>
        <v>1.7799999999999999E-3</v>
      </c>
      <c r="BP82">
        <f>'2012_2020'!BN20</f>
        <v>1.6299999999999999E-3</v>
      </c>
      <c r="BQ82">
        <f>'2012_2020'!BO20</f>
        <v>7.28E-3</v>
      </c>
      <c r="BR82">
        <f>'2012_2020'!BP20</f>
        <v>1.35E-2</v>
      </c>
      <c r="BS82">
        <f>'2012_2020'!BQ20</f>
        <v>1.8499999999999999E-2</v>
      </c>
      <c r="BT82">
        <f>'2012_2020'!BR20</f>
        <v>2.9000000000000001E-2</v>
      </c>
      <c r="BU82">
        <f>'2012_2020'!BS20</f>
        <v>3.1800000000000002E-2</v>
      </c>
      <c r="BV82">
        <f>'2012_2020'!BT20</f>
        <v>3.6600000000000001E-2</v>
      </c>
      <c r="BW82">
        <f>'2012_2020'!BU20</f>
        <v>3.9E-2</v>
      </c>
      <c r="BX82">
        <f>'2012_2020'!BV20</f>
        <v>2.3800000000000002E-2</v>
      </c>
      <c r="BY82">
        <f>'2012_2020'!BW20</f>
        <v>3.4299999999999997E-2</v>
      </c>
      <c r="BZ82">
        <f>'2012_2020'!BX20</f>
        <v>3.49E-2</v>
      </c>
      <c r="CA82">
        <f>'2012_2020'!BY20</f>
        <v>3.2500000000000001E-2</v>
      </c>
      <c r="CB82">
        <f>'2012_2020'!BZ20</f>
        <v>3.3399999999999999E-2</v>
      </c>
      <c r="CC82">
        <f>'2012_2020'!CA20</f>
        <v>4.4900000000000002E-2</v>
      </c>
      <c r="CD82">
        <f>'2012_2020'!CB20</f>
        <v>3.3700000000000001E-2</v>
      </c>
      <c r="CE82">
        <f>'2012_2020'!CC20</f>
        <v>3.1E-2</v>
      </c>
      <c r="CF82">
        <f>'2012_2020'!CD20</f>
        <v>3.15E-2</v>
      </c>
      <c r="CG82">
        <f>'2012_2020'!CE20</f>
        <v>4.1500000000000002E-2</v>
      </c>
      <c r="CH82">
        <f>'2012_2020'!CF20</f>
        <v>3.7199999999999997E-2</v>
      </c>
      <c r="CI82">
        <f>'2012_2020'!CG20</f>
        <v>3.9399999999999998E-2</v>
      </c>
      <c r="CJ82">
        <f>'2012_2020'!CH20</f>
        <v>3.2300000000000002E-2</v>
      </c>
      <c r="CK82">
        <f>'2012_2020'!CI20</f>
        <v>2.9600000000000001E-2</v>
      </c>
      <c r="CL82">
        <f>'2012_2020'!CJ20</f>
        <v>2.5100000000000001E-2</v>
      </c>
      <c r="CM82">
        <f>'2012_2020'!CK20</f>
        <v>3.7199999999999997E-2</v>
      </c>
      <c r="CN82">
        <f>'2012_2020'!CL20</f>
        <v>5.3800000000000001E-2</v>
      </c>
      <c r="CO82">
        <f>'2012_2020'!CM20</f>
        <v>4.6699999999999998E-2</v>
      </c>
      <c r="CP82">
        <f>'2012_2020'!CN20</f>
        <v>4.6800000000000001E-2</v>
      </c>
      <c r="CQ82">
        <f>'2012_2020'!CO20</f>
        <v>5.1400000000000001E-2</v>
      </c>
      <c r="CR82">
        <f>'2012_2020'!CP20</f>
        <v>6.2600000000000003E-2</v>
      </c>
      <c r="CS82">
        <f>'2012_2020'!CQ20</f>
        <v>6.1400000000000003E-2</v>
      </c>
      <c r="CT82">
        <f>'2012_2020'!CR20</f>
        <v>6.4000000000000001E-2</v>
      </c>
      <c r="CU82">
        <f>'2012_2020'!CS20</f>
        <v>5.67E-2</v>
      </c>
      <c r="CV82">
        <f>'2012_2020'!CT20</f>
        <v>3.8399999999999997E-2</v>
      </c>
      <c r="CW82">
        <f>'2012_2020'!CU20</f>
        <v>6.6400000000000001E-2</v>
      </c>
      <c r="CX82">
        <f>'2012_2020'!CV20</f>
        <v>6.6699999999999995E-2</v>
      </c>
    </row>
    <row r="83" spans="1:102" x14ac:dyDescent="0.2">
      <c r="A83" t="s">
        <v>214</v>
      </c>
      <c r="B83" t="s">
        <v>219</v>
      </c>
      <c r="C83" t="s">
        <v>222</v>
      </c>
      <c r="D83">
        <f>'2012_2020'!B21</f>
        <v>3.2300000000000002E-2</v>
      </c>
      <c r="E83">
        <f>'2012_2020'!C21</f>
        <v>4.3700000000000003E-2</v>
      </c>
      <c r="F83">
        <f>'2012_2020'!D21</f>
        <v>3.6799999999999999E-2</v>
      </c>
      <c r="G83">
        <f>'2012_2020'!E21</f>
        <v>2.7900000000000001E-2</v>
      </c>
      <c r="H83">
        <f>'2012_2020'!F21</f>
        <v>5.3100000000000001E-2</v>
      </c>
      <c r="I83">
        <f>'2012_2020'!G21</f>
        <v>4.1300000000000003E-2</v>
      </c>
      <c r="J83">
        <f>'2012_2020'!H21</f>
        <v>3.3399999999999999E-2</v>
      </c>
      <c r="K83">
        <f>'2012_2020'!I21</f>
        <v>2.3800000000000002E-2</v>
      </c>
      <c r="L83">
        <f>'2012_2020'!J21</f>
        <v>2.2800000000000001E-2</v>
      </c>
      <c r="M83">
        <f>'2012_2020'!K21</f>
        <v>0.02</v>
      </c>
      <c r="N83">
        <f>'2012_2020'!L21</f>
        <v>1.5100000000000001E-2</v>
      </c>
      <c r="O83">
        <f>'2012_2020'!M21</f>
        <v>3.3600000000000001E-3</v>
      </c>
      <c r="P83">
        <f>'2012_2020'!N21</f>
        <v>1.6799999999999999E-2</v>
      </c>
      <c r="Q83">
        <f>'2012_2020'!O21</f>
        <v>2.4599999999999999E-3</v>
      </c>
      <c r="R83">
        <f>'2012_2020'!P21</f>
        <v>4.3600000000000002E-3</v>
      </c>
      <c r="S83">
        <f>'2012_2020'!Q21</f>
        <v>8.0999999999999996E-3</v>
      </c>
      <c r="T83">
        <f>'2012_2020'!R21</f>
        <v>-7.6400000000000003E-4</v>
      </c>
      <c r="U83">
        <f>'2012_2020'!S21</f>
        <v>4.5700000000000003E-3</v>
      </c>
      <c r="V83">
        <f>'2012_2020'!T21</f>
        <v>2.6099999999999999E-3</v>
      </c>
      <c r="W83">
        <f>'2012_2020'!U21</f>
        <v>1.8500000000000001E-3</v>
      </c>
      <c r="X83">
        <f>'2012_2020'!V21</f>
        <v>3.2000000000000002E-3</v>
      </c>
      <c r="Y83">
        <f>'2012_2020'!W21</f>
        <v>1.9799999999999999E-4</v>
      </c>
      <c r="Z83">
        <f>'2012_2020'!X21</f>
        <v>-2E-3</v>
      </c>
      <c r="AA83">
        <f>'2012_2020'!Y21</f>
        <v>-5.2100000000000002E-3</v>
      </c>
      <c r="AB83">
        <f>'2012_2020'!Z21</f>
        <v>4.3699999999999998E-3</v>
      </c>
      <c r="AC83">
        <f>'2012_2020'!AA21</f>
        <v>-2.97E-3</v>
      </c>
      <c r="AD83">
        <f>'2012_2020'!AB21</f>
        <v>-7.8600000000000002E-4</v>
      </c>
      <c r="AE83">
        <f>'2012_2020'!AC21</f>
        <v>-2.0500000000000002E-3</v>
      </c>
      <c r="AF83">
        <f>'2012_2020'!AD21</f>
        <v>4.45E-3</v>
      </c>
      <c r="AG83">
        <f>'2012_2020'!AE21</f>
        <v>6.5900000000000004E-3</v>
      </c>
      <c r="AH83">
        <f>'2012_2020'!AF21</f>
        <v>5.5799999999999999E-3</v>
      </c>
      <c r="AI83">
        <f>'2012_2020'!AG21</f>
        <v>9.7000000000000005E-4</v>
      </c>
      <c r="AJ83">
        <f>'2012_2020'!AH21</f>
        <v>3.96E-3</v>
      </c>
      <c r="AK83">
        <f>'2012_2020'!AI21</f>
        <v>1.47E-4</v>
      </c>
      <c r="AL83">
        <f>'2012_2020'!AJ21</f>
        <v>2.4499999999999999E-3</v>
      </c>
      <c r="AM83">
        <f>'2012_2020'!AK21</f>
        <v>2.7699999999999999E-3</v>
      </c>
      <c r="AN83">
        <f>'2012_2020'!AL21</f>
        <v>-1.31E-3</v>
      </c>
      <c r="AO83">
        <f>'2012_2020'!AM21</f>
        <v>-1.9E-3</v>
      </c>
      <c r="AP83">
        <f>'2012_2020'!AN21</f>
        <v>4.1900000000000001E-3</v>
      </c>
      <c r="AQ83">
        <f>'2012_2020'!AO21</f>
        <v>2.6199999999999999E-3</v>
      </c>
      <c r="AR83">
        <f>'2012_2020'!AP21</f>
        <v>3.9899999999999996E-3</v>
      </c>
      <c r="AS83">
        <f>'2012_2020'!AQ21</f>
        <v>-7.0500000000000006E-5</v>
      </c>
      <c r="AT83">
        <f>'2012_2020'!AR21</f>
        <v>-5.9699999999999998E-4</v>
      </c>
      <c r="AU83">
        <f>'2012_2020'!AS21</f>
        <v>-1.42E-3</v>
      </c>
      <c r="AV83">
        <f>'2012_2020'!AT21</f>
        <v>6.0099999999999997E-4</v>
      </c>
      <c r="AW83">
        <f>'2012_2020'!AU21</f>
        <v>5.62E-4</v>
      </c>
      <c r="AX83">
        <f>'2012_2020'!AV21</f>
        <v>-5.2400000000000005E-4</v>
      </c>
      <c r="AY83">
        <f>'2012_2020'!AW21</f>
        <v>1.17E-3</v>
      </c>
      <c r="AZ83">
        <f>'2012_2020'!AX21</f>
        <v>4.62E-3</v>
      </c>
      <c r="BA83">
        <f>'2012_2020'!AY21</f>
        <v>1.66E-3</v>
      </c>
      <c r="BB83">
        <f>'2012_2020'!AZ21</f>
        <v>2.0999999999999999E-3</v>
      </c>
      <c r="BC83">
        <f>'2012_2020'!BA21</f>
        <v>4.0299999999999997E-5</v>
      </c>
      <c r="BD83">
        <f>'2012_2020'!BB21</f>
        <v>5.0900000000000001E-4</v>
      </c>
      <c r="BE83">
        <f>'2012_2020'!BC21</f>
        <v>8.9599999999999999E-4</v>
      </c>
      <c r="BF83">
        <f>'2012_2020'!BD21</f>
        <v>2.65E-3</v>
      </c>
      <c r="BG83">
        <f>'2012_2020'!BE21</f>
        <v>1.9400000000000001E-3</v>
      </c>
      <c r="BH83">
        <f>'2012_2020'!BF21</f>
        <v>1.4400000000000001E-3</v>
      </c>
      <c r="BI83">
        <f>'2012_2020'!BG21</f>
        <v>1.7099999999999999E-3</v>
      </c>
      <c r="BJ83">
        <f>'2012_2020'!BH21</f>
        <v>-2.0699999999999998E-3</v>
      </c>
      <c r="BK83">
        <f>'2012_2020'!BI21</f>
        <v>8.26E-3</v>
      </c>
      <c r="BL83">
        <f>'2012_2020'!BJ21</f>
        <v>1.31E-3</v>
      </c>
      <c r="BM83">
        <f>'2012_2020'!BK21</f>
        <v>3.9899999999999996E-3</v>
      </c>
      <c r="BN83">
        <f>'2012_2020'!BL21</f>
        <v>5.3299999999999997E-3</v>
      </c>
      <c r="BO83">
        <f>'2012_2020'!BM21</f>
        <v>6.9899999999999997E-3</v>
      </c>
      <c r="BP83">
        <f>'2012_2020'!BN21</f>
        <v>6.0000000000000001E-3</v>
      </c>
      <c r="BQ83">
        <f>'2012_2020'!BO21</f>
        <v>1.5299999999999999E-3</v>
      </c>
      <c r="BR83">
        <f>'2012_2020'!BP21</f>
        <v>-8.9099999999999995E-3</v>
      </c>
      <c r="BS83">
        <f>'2012_2020'!BQ21</f>
        <v>-2.7000000000000001E-3</v>
      </c>
      <c r="BT83">
        <f>'2012_2020'!BR21</f>
        <v>5.62E-3</v>
      </c>
      <c r="BU83">
        <f>'2012_2020'!BS21</f>
        <v>6.0299999999999998E-3</v>
      </c>
      <c r="BV83">
        <f>'2012_2020'!BT21</f>
        <v>4.1599999999999996E-3</v>
      </c>
      <c r="BW83">
        <f>'2012_2020'!BU21</f>
        <v>2.5400000000000002E-3</v>
      </c>
      <c r="BX83">
        <f>'2012_2020'!BV21</f>
        <v>7.5399999999999998E-3</v>
      </c>
      <c r="BY83">
        <f>'2012_2020'!BW21</f>
        <v>5.3099999999999996E-3</v>
      </c>
      <c r="BZ83">
        <f>'2012_2020'!BX21</f>
        <v>6.2500000000000001E-4</v>
      </c>
      <c r="CA83">
        <f>'2012_2020'!BY21</f>
        <v>3.0100000000000001E-3</v>
      </c>
      <c r="CB83">
        <f>'2012_2020'!BZ21</f>
        <v>1.0500000000000001E-2</v>
      </c>
      <c r="CC83">
        <f>'2012_2020'!CA21</f>
        <v>6.7999999999999996E-3</v>
      </c>
      <c r="CD83">
        <f>'2012_2020'!CB21</f>
        <v>1.2200000000000001E-2</v>
      </c>
      <c r="CE83">
        <f>'2012_2020'!CC21</f>
        <v>1.2500000000000001E-2</v>
      </c>
      <c r="CF83">
        <f>'2012_2020'!CD21</f>
        <v>-1.0300000000000001E-3</v>
      </c>
      <c r="CG83">
        <f>'2012_2020'!CE21</f>
        <v>1.18E-2</v>
      </c>
      <c r="CH83">
        <f>'2012_2020'!CF21</f>
        <v>8.4899999999999993E-3</v>
      </c>
      <c r="CI83">
        <f>'2012_2020'!CG21</f>
        <v>1.5900000000000001E-2</v>
      </c>
      <c r="CJ83">
        <f>'2012_2020'!CH21</f>
        <v>9.7400000000000004E-3</v>
      </c>
      <c r="CK83">
        <f>'2012_2020'!CI21</f>
        <v>1.6899999999999998E-2</v>
      </c>
      <c r="CL83">
        <f>'2012_2020'!CJ21</f>
        <v>1.35E-2</v>
      </c>
      <c r="CM83">
        <f>'2012_2020'!CK21</f>
        <v>1.61E-2</v>
      </c>
      <c r="CN83">
        <f>'2012_2020'!CL21</f>
        <v>1.6500000000000001E-2</v>
      </c>
      <c r="CO83">
        <f>'2012_2020'!CM21</f>
        <v>1.52E-2</v>
      </c>
      <c r="CP83">
        <f>'2012_2020'!CN21</f>
        <v>1.5299999999999999E-2</v>
      </c>
      <c r="CQ83">
        <f>'2012_2020'!CO21</f>
        <v>2.63E-2</v>
      </c>
      <c r="CR83">
        <f>'2012_2020'!CP21</f>
        <v>2.98E-2</v>
      </c>
      <c r="CS83">
        <f>'2012_2020'!CQ21</f>
        <v>2.07E-2</v>
      </c>
      <c r="CT83">
        <f>'2012_2020'!CR21</f>
        <v>4.0899999999999999E-2</v>
      </c>
      <c r="CU83">
        <f>'2012_2020'!CS21</f>
        <v>3.6999999999999998E-2</v>
      </c>
      <c r="CV83">
        <f>'2012_2020'!CT21</f>
        <v>3.85E-2</v>
      </c>
      <c r="CW83">
        <f>'2012_2020'!CU21</f>
        <v>3.9399999999999998E-2</v>
      </c>
      <c r="CX83">
        <f>'2012_2020'!CV21</f>
        <v>4.1700000000000001E-2</v>
      </c>
    </row>
    <row r="84" spans="1:102" x14ac:dyDescent="0.2">
      <c r="A84" t="s">
        <v>215</v>
      </c>
      <c r="B84" t="s">
        <v>219</v>
      </c>
      <c r="C84" t="s">
        <v>222</v>
      </c>
      <c r="D84">
        <f>'2012_2020'!B22</f>
        <v>-4.3700000000000003E-2</v>
      </c>
      <c r="E84">
        <f>'2012_2020'!C22</f>
        <v>-5.8599999999999999E-2</v>
      </c>
      <c r="F84">
        <f>'2012_2020'!D22</f>
        <v>-5.4800000000000001E-2</v>
      </c>
      <c r="G84">
        <f>'2012_2020'!E22</f>
        <v>-9.0999999999999998E-2</v>
      </c>
      <c r="H84">
        <f>'2012_2020'!F22</f>
        <v>-3.0700000000000002E-2</v>
      </c>
      <c r="I84">
        <f>'2012_2020'!G22</f>
        <v>-2.8799999999999999E-2</v>
      </c>
      <c r="J84">
        <f>'2012_2020'!H22</f>
        <v>-5.16E-2</v>
      </c>
      <c r="K84">
        <f>'2012_2020'!I22</f>
        <v>-4.9200000000000001E-2</v>
      </c>
      <c r="L84">
        <f>'2012_2020'!J22</f>
        <v>-5.0299999999999997E-2</v>
      </c>
      <c r="M84">
        <f>'2012_2020'!K22</f>
        <v>-3.5000000000000003E-2</v>
      </c>
      <c r="N84">
        <f>'2012_2020'!L22</f>
        <v>-2.1399999999999999E-2</v>
      </c>
      <c r="O84">
        <f>'2012_2020'!M22</f>
        <v>-2.4799999999999999E-2</v>
      </c>
      <c r="P84">
        <f>'2012_2020'!N22</f>
        <v>-1.03E-2</v>
      </c>
      <c r="Q84">
        <f>'2012_2020'!O22</f>
        <v>-6.6699999999999997E-3</v>
      </c>
      <c r="R84">
        <f>'2012_2020'!P22</f>
        <v>1.58E-3</v>
      </c>
      <c r="S84">
        <f>'2012_2020'!Q22</f>
        <v>-4.3300000000000001E-4</v>
      </c>
      <c r="T84">
        <f>'2012_2020'!R22</f>
        <v>2.2899999999999999E-3</v>
      </c>
      <c r="U84">
        <f>'2012_2020'!S22</f>
        <v>-1.1000000000000001E-3</v>
      </c>
      <c r="V84">
        <f>'2012_2020'!T22</f>
        <v>1.26E-4</v>
      </c>
      <c r="W84">
        <f>'2012_2020'!U22</f>
        <v>-2.1299999999999999E-3</v>
      </c>
      <c r="X84">
        <f>'2012_2020'!V22</f>
        <v>-1.97E-3</v>
      </c>
      <c r="Y84">
        <f>'2012_2020'!W22</f>
        <v>-3.2100000000000002E-3</v>
      </c>
      <c r="Z84">
        <f>'2012_2020'!X22</f>
        <v>6.3400000000000001E-4</v>
      </c>
      <c r="AA84">
        <f>'2012_2020'!Y22</f>
        <v>-2.4499999999999999E-4</v>
      </c>
      <c r="AB84">
        <f>'2012_2020'!Z22</f>
        <v>8.8900000000000003E-4</v>
      </c>
      <c r="AC84">
        <f>'2012_2020'!AA22</f>
        <v>9.5100000000000002E-4</v>
      </c>
      <c r="AD84">
        <f>'2012_2020'!AB22</f>
        <v>2.7899999999999999E-3</v>
      </c>
      <c r="AE84">
        <f>'2012_2020'!AC22</f>
        <v>3.9300000000000003E-3</v>
      </c>
      <c r="AF84">
        <f>'2012_2020'!AD22</f>
        <v>2.0999999999999999E-3</v>
      </c>
      <c r="AG84">
        <f>'2012_2020'!AE22</f>
        <v>2.3400000000000001E-3</v>
      </c>
      <c r="AH84">
        <f>'2012_2020'!AF22</f>
        <v>3.14E-3</v>
      </c>
      <c r="AI84">
        <f>'2012_2020'!AG22</f>
        <v>2.7699999999999999E-3</v>
      </c>
      <c r="AJ84">
        <f>'2012_2020'!AH22</f>
        <v>1.65E-3</v>
      </c>
      <c r="AK84">
        <f>'2012_2020'!AI22</f>
        <v>4.4900000000000001E-3</v>
      </c>
      <c r="AL84">
        <f>'2012_2020'!AJ22</f>
        <v>3.5400000000000002E-3</v>
      </c>
      <c r="AM84">
        <f>'2012_2020'!AK22</f>
        <v>2.7200000000000002E-3</v>
      </c>
      <c r="AN84">
        <f>'2012_2020'!AL22</f>
        <v>1.15E-3</v>
      </c>
      <c r="AO84">
        <f>'2012_2020'!AM22</f>
        <v>3.0500000000000002E-3</v>
      </c>
      <c r="AP84">
        <f>'2012_2020'!AN22</f>
        <v>2.6199999999999999E-3</v>
      </c>
      <c r="AQ84">
        <f>'2012_2020'!AO22</f>
        <v>3.81E-3</v>
      </c>
      <c r="AR84">
        <f>'2012_2020'!AP22</f>
        <v>8.3999999999999995E-3</v>
      </c>
      <c r="AS84">
        <f>'2012_2020'!AQ22</f>
        <v>2.8300000000000001E-3</v>
      </c>
      <c r="AT84">
        <f>'2012_2020'!AR22</f>
        <v>3.5599999999999998E-3</v>
      </c>
      <c r="AU84">
        <f>'2012_2020'!AS22</f>
        <v>5.3499999999999997E-3</v>
      </c>
      <c r="AV84">
        <f>'2012_2020'!AT22</f>
        <v>7.4799999999999997E-3</v>
      </c>
      <c r="AW84">
        <f>'2012_2020'!AU22</f>
        <v>7.2899999999999996E-3</v>
      </c>
      <c r="AX84">
        <f>'2012_2020'!AV22</f>
        <v>4.3200000000000001E-3</v>
      </c>
      <c r="AY84">
        <f>'2012_2020'!AW22</f>
        <v>4.4600000000000004E-3</v>
      </c>
      <c r="AZ84">
        <f>'2012_2020'!AX22</f>
        <v>2.63E-3</v>
      </c>
      <c r="BA84">
        <f>'2012_2020'!AY22</f>
        <v>-5.3899999999999998E-4</v>
      </c>
      <c r="BB84">
        <f>'2012_2020'!AZ22</f>
        <v>-2.4099999999999998E-3</v>
      </c>
      <c r="BC84">
        <f>'2012_2020'!BA22</f>
        <v>-2.2100000000000002E-3</v>
      </c>
      <c r="BD84">
        <f>'2012_2020'!BB22</f>
        <v>-1.1199999999999999E-3</v>
      </c>
      <c r="BE84">
        <f>'2012_2020'!BC22</f>
        <v>-6.9999999999999999E-4</v>
      </c>
      <c r="BF84">
        <f>'2012_2020'!BD22</f>
        <v>-4.9899999999999999E-4</v>
      </c>
      <c r="BG84">
        <f>'2012_2020'!BE22</f>
        <v>4.28E-4</v>
      </c>
      <c r="BH84">
        <f>'2012_2020'!BF22</f>
        <v>8.2299999999999995E-4</v>
      </c>
      <c r="BI84">
        <f>'2012_2020'!BG22</f>
        <v>-5.0499999999999998E-3</v>
      </c>
      <c r="BJ84">
        <f>'2012_2020'!BH22</f>
        <v>-6.3899999999999998E-3</v>
      </c>
      <c r="BK84">
        <f>'2012_2020'!BI22</f>
        <v>-4.47E-3</v>
      </c>
      <c r="BL84">
        <f>'2012_2020'!BJ22</f>
        <v>-3.4399999999999999E-3</v>
      </c>
      <c r="BM84">
        <f>'2012_2020'!BK22</f>
        <v>-2.5000000000000001E-3</v>
      </c>
      <c r="BN84">
        <f>'2012_2020'!BL22</f>
        <v>-5.1200000000000004E-3</v>
      </c>
      <c r="BO84">
        <f>'2012_2020'!BM22</f>
        <v>-9.4800000000000006E-3</v>
      </c>
      <c r="BP84">
        <f>'2012_2020'!BN22</f>
        <v>-8.77E-3</v>
      </c>
      <c r="BQ84">
        <f>'2012_2020'!BO22</f>
        <v>-7.7999999999999996E-3</v>
      </c>
      <c r="BR84">
        <f>'2012_2020'!BP22</f>
        <v>-7.7600000000000004E-3</v>
      </c>
      <c r="BS84">
        <f>'2012_2020'!BQ22</f>
        <v>-5.28E-3</v>
      </c>
      <c r="BT84">
        <f>'2012_2020'!BR22</f>
        <v>-1.57E-3</v>
      </c>
      <c r="BU84">
        <f>'2012_2020'!BS22</f>
        <v>-2E-3</v>
      </c>
      <c r="BV84">
        <f>'2012_2020'!BT22</f>
        <v>-3.3899999999999998E-3</v>
      </c>
      <c r="BW84">
        <f>'2012_2020'!BU22</f>
        <v>-3.5100000000000001E-3</v>
      </c>
      <c r="BX84">
        <f>'2012_2020'!BV22</f>
        <v>-8.2199999999999999E-3</v>
      </c>
      <c r="BY84">
        <f>'2012_2020'!BW22</f>
        <v>-9.1699999999999993E-3</v>
      </c>
      <c r="BZ84">
        <f>'2012_2020'!BX22</f>
        <v>-9.6200000000000001E-3</v>
      </c>
      <c r="CA84">
        <f>'2012_2020'!BY22</f>
        <v>3.62E-3</v>
      </c>
      <c r="CB84">
        <f>'2012_2020'!BZ22</f>
        <v>5.1000000000000004E-3</v>
      </c>
      <c r="CC84">
        <f>'2012_2020'!CA22</f>
        <v>9.3900000000000008E-3</v>
      </c>
      <c r="CD84">
        <f>'2012_2020'!CB22</f>
        <v>9.1199999999999996E-3</v>
      </c>
      <c r="CE84">
        <f>'2012_2020'!CC22</f>
        <v>1.09E-2</v>
      </c>
      <c r="CF84">
        <f>'2012_2020'!CD22</f>
        <v>1.0699999999999999E-2</v>
      </c>
      <c r="CG84">
        <f>'2012_2020'!CE22</f>
        <v>8.9099999999999995E-3</v>
      </c>
      <c r="CH84">
        <f>'2012_2020'!CF22</f>
        <v>7.5399999999999998E-3</v>
      </c>
      <c r="CI84">
        <f>'2012_2020'!CG22</f>
        <v>8.7299999999999999E-3</v>
      </c>
      <c r="CJ84">
        <f>'2012_2020'!CH22</f>
        <v>1.41E-2</v>
      </c>
      <c r="CK84">
        <f>'2012_2020'!CI22</f>
        <v>2.1000000000000001E-2</v>
      </c>
      <c r="CL84">
        <f>'2012_2020'!CJ22</f>
        <v>1.7100000000000001E-2</v>
      </c>
      <c r="CM84">
        <f>'2012_2020'!CK22</f>
        <v>7.3499999999999998E-3</v>
      </c>
      <c r="CN84">
        <f>'2012_2020'!CL22</f>
        <v>5.2300000000000003E-3</v>
      </c>
      <c r="CO84">
        <f>'2012_2020'!CM22</f>
        <v>-3.0699999999999998E-3</v>
      </c>
      <c r="CP84">
        <f>'2012_2020'!CN22</f>
        <v>-1.6199999999999999E-3</v>
      </c>
      <c r="CQ84">
        <f>'2012_2020'!CO22</f>
        <v>1.25E-3</v>
      </c>
      <c r="CR84">
        <f>'2012_2020'!CP22</f>
        <v>-1.2E-2</v>
      </c>
      <c r="CS84">
        <f>'2012_2020'!CQ22</f>
        <v>-8.6499999999999997E-3</v>
      </c>
      <c r="CT84">
        <f>'2012_2020'!CR22</f>
        <v>-8.6999999999999994E-3</v>
      </c>
      <c r="CU84">
        <f>'2012_2020'!CS22</f>
        <v>-8.6E-3</v>
      </c>
      <c r="CV84">
        <f>'2012_2020'!CT22</f>
        <v>1.57E-3</v>
      </c>
      <c r="CW84">
        <f>'2012_2020'!CU22</f>
        <v>-4.4099999999999999E-3</v>
      </c>
      <c r="CX84">
        <f>'2012_2020'!CV22</f>
        <v>-6.5900000000000004E-3</v>
      </c>
    </row>
    <row r="85" spans="1:102" x14ac:dyDescent="0.2">
      <c r="A85" t="s">
        <v>216</v>
      </c>
      <c r="B85" t="s">
        <v>219</v>
      </c>
      <c r="C85" t="s">
        <v>222</v>
      </c>
      <c r="D85">
        <f>'2012_2020'!B23</f>
        <v>0.22700000000000001</v>
      </c>
      <c r="E85">
        <f>'2012_2020'!C23</f>
        <v>-0.33300000000000002</v>
      </c>
      <c r="F85">
        <f>'2012_2020'!D23</f>
        <v>-0.68</v>
      </c>
      <c r="G85">
        <f>'2012_2020'!E23</f>
        <v>0.36099999999999999</v>
      </c>
      <c r="H85">
        <f>'2012_2020'!F23</f>
        <v>-0.93</v>
      </c>
      <c r="I85">
        <f>'2012_2020'!G23</f>
        <v>-7.22E-2</v>
      </c>
      <c r="J85">
        <f>'2012_2020'!H23</f>
        <v>-0.375</v>
      </c>
      <c r="K85">
        <f>'2012_2020'!I23</f>
        <v>-0.27</v>
      </c>
      <c r="L85">
        <f>'2012_2020'!J23</f>
        <v>-2.4899999999999999E-2</v>
      </c>
      <c r="M85">
        <f>'2012_2020'!K23</f>
        <v>-0.53100000000000003</v>
      </c>
      <c r="N85">
        <f>'2012_2020'!L23</f>
        <v>-0.43099999999999999</v>
      </c>
      <c r="O85">
        <f>'2012_2020'!M23</f>
        <v>0.183</v>
      </c>
      <c r="P85">
        <f>'2012_2020'!N23</f>
        <v>-4.3400000000000001E-2</v>
      </c>
      <c r="Q85">
        <f>'2012_2020'!O23</f>
        <v>-4.7100000000000003E-2</v>
      </c>
      <c r="R85">
        <f>'2012_2020'!P23</f>
        <v>-0.112</v>
      </c>
      <c r="S85">
        <f>'2012_2020'!Q23</f>
        <v>-8.6499999999999994E-2</v>
      </c>
      <c r="T85">
        <f>'2012_2020'!R23</f>
        <v>4.6699999999999998E-2</v>
      </c>
      <c r="U85">
        <f>'2012_2020'!S23</f>
        <v>8.4599999999999995E-2</v>
      </c>
      <c r="V85">
        <f>'2012_2020'!T23</f>
        <v>0.13100000000000001</v>
      </c>
      <c r="W85">
        <f>'2012_2020'!U23</f>
        <v>0.11899999999999999</v>
      </c>
      <c r="X85">
        <f>'2012_2020'!V23</f>
        <v>9.7600000000000006E-2</v>
      </c>
      <c r="Y85">
        <f>'2012_2020'!W23</f>
        <v>0.19700000000000001</v>
      </c>
      <c r="Z85">
        <f>'2012_2020'!X23</f>
        <v>0.17799999999999999</v>
      </c>
      <c r="AA85">
        <f>'2012_2020'!Y23</f>
        <v>0.13100000000000001</v>
      </c>
      <c r="AB85">
        <f>'2012_2020'!Z23</f>
        <v>8.7599999999999997E-2</v>
      </c>
      <c r="AC85">
        <f>'2012_2020'!AA23</f>
        <v>6.2600000000000003E-2</v>
      </c>
      <c r="AD85">
        <f>'2012_2020'!AB23</f>
        <v>5.3600000000000002E-2</v>
      </c>
      <c r="AE85">
        <f>'2012_2020'!AC23</f>
        <v>3.49E-2</v>
      </c>
      <c r="AF85">
        <f>'2012_2020'!AD23</f>
        <v>2.2499999999999999E-2</v>
      </c>
      <c r="AG85">
        <f>'2012_2020'!AE23</f>
        <v>1.5800000000000002E-2</v>
      </c>
      <c r="AH85">
        <f>'2012_2020'!AF23</f>
        <v>-2.02E-4</v>
      </c>
      <c r="AI85">
        <f>'2012_2020'!AG23</f>
        <v>-8.1600000000000006E-3</v>
      </c>
      <c r="AJ85">
        <f>'2012_2020'!AH23</f>
        <v>-2.6599999999999999E-2</v>
      </c>
      <c r="AK85">
        <f>'2012_2020'!AI23</f>
        <v>-4.3799999999999999E-2</v>
      </c>
      <c r="AL85">
        <f>'2012_2020'!AJ23</f>
        <v>-5.8000000000000003E-2</v>
      </c>
      <c r="AM85">
        <f>'2012_2020'!AK23</f>
        <v>-5.5800000000000002E-2</v>
      </c>
      <c r="AN85">
        <f>'2012_2020'!AL23</f>
        <v>-4.3999999999999997E-2</v>
      </c>
      <c r="AO85">
        <f>'2012_2020'!AM23</f>
        <v>-4.6100000000000002E-2</v>
      </c>
      <c r="AP85">
        <f>'2012_2020'!AN23</f>
        <v>-6.2100000000000002E-2</v>
      </c>
      <c r="AQ85">
        <f>'2012_2020'!AO23</f>
        <v>-4.5699999999999998E-2</v>
      </c>
      <c r="AR85">
        <f>'2012_2020'!AP23</f>
        <v>-4.7899999999999998E-2</v>
      </c>
      <c r="AS85">
        <f>'2012_2020'!AQ23</f>
        <v>-7.0699999999999999E-3</v>
      </c>
      <c r="AT85">
        <f>'2012_2020'!AR23</f>
        <v>-8.5800000000000008E-3</v>
      </c>
      <c r="AU85">
        <f>'2012_2020'!AS23</f>
        <v>-3.6800000000000001E-3</v>
      </c>
      <c r="AV85">
        <f>'2012_2020'!AT23</f>
        <v>-4.2299999999999997E-2</v>
      </c>
      <c r="AW85">
        <f>'2012_2020'!AU23</f>
        <v>-4.7699999999999999E-2</v>
      </c>
      <c r="AX85">
        <f>'2012_2020'!AV23</f>
        <v>-5.0799999999999998E-2</v>
      </c>
      <c r="AY85">
        <f>'2012_2020'!AW23</f>
        <v>-1.1299999999999999E-2</v>
      </c>
      <c r="AZ85">
        <f>'2012_2020'!AX23</f>
        <v>-1.49E-2</v>
      </c>
      <c r="BA85">
        <f>'2012_2020'!AY23</f>
        <v>1.5299999999999999E-2</v>
      </c>
      <c r="BB85">
        <f>'2012_2020'!AZ23</f>
        <v>2.9100000000000001E-2</v>
      </c>
      <c r="BC85">
        <f>'2012_2020'!BA23</f>
        <v>5.8099999999999999E-2</v>
      </c>
      <c r="BD85">
        <f>'2012_2020'!BB23</f>
        <v>6.3899999999999998E-2</v>
      </c>
      <c r="BE85">
        <f>'2012_2020'!BC23</f>
        <v>7.4300000000000005E-2</v>
      </c>
      <c r="BF85">
        <f>'2012_2020'!BD23</f>
        <v>6.9000000000000006E-2</v>
      </c>
      <c r="BG85">
        <f>'2012_2020'!BE23</f>
        <v>3.7199999999999997E-2</v>
      </c>
      <c r="BH85">
        <f>'2012_2020'!BF23</f>
        <v>-4.1900000000000001E-3</v>
      </c>
      <c r="BI85">
        <f>'2012_2020'!BG23</f>
        <v>-3.6299999999999999E-2</v>
      </c>
      <c r="BJ85">
        <f>'2012_2020'!BH23</f>
        <v>-5.91E-2</v>
      </c>
      <c r="BK85">
        <f>'2012_2020'!BI23</f>
        <v>-6.7199999999999996E-2</v>
      </c>
      <c r="BL85">
        <f>'2012_2020'!BJ23</f>
        <v>-4.1700000000000001E-2</v>
      </c>
      <c r="BM85">
        <f>'2012_2020'!BK23</f>
        <v>-3.0800000000000001E-2</v>
      </c>
      <c r="BN85">
        <f>'2012_2020'!BL23</f>
        <v>7.7600000000000004E-3</v>
      </c>
      <c r="BO85">
        <f>'2012_2020'!BM23</f>
        <v>0.10100000000000001</v>
      </c>
      <c r="BP85">
        <f>'2012_2020'!BN23</f>
        <v>0.183</v>
      </c>
      <c r="BQ85">
        <f>'2012_2020'!BO23</f>
        <v>0.17699999999999999</v>
      </c>
      <c r="BR85">
        <f>'2012_2020'!BP23</f>
        <v>0.13300000000000001</v>
      </c>
      <c r="BS85">
        <f>'2012_2020'!BQ23</f>
        <v>0.11700000000000001</v>
      </c>
      <c r="BT85">
        <f>'2012_2020'!BR23</f>
        <v>0.114</v>
      </c>
      <c r="BU85">
        <f>'2012_2020'!BS23</f>
        <v>4.4999999999999998E-2</v>
      </c>
      <c r="BV85">
        <f>'2012_2020'!BT23</f>
        <v>-0.111</v>
      </c>
      <c r="BW85">
        <f>'2012_2020'!BU23</f>
        <v>-0.16300000000000001</v>
      </c>
      <c r="BX85">
        <f>'2012_2020'!BV23</f>
        <v>-0.104</v>
      </c>
      <c r="BY85">
        <f>'2012_2020'!BW23</f>
        <v>-3.2500000000000001E-2</v>
      </c>
      <c r="BZ85">
        <f>'2012_2020'!BX23</f>
        <v>3.0300000000000001E-3</v>
      </c>
      <c r="CA85">
        <f>'2012_2020'!BY23</f>
        <v>-1.0999999999999999E-2</v>
      </c>
      <c r="CB85">
        <f>'2012_2020'!BZ23</f>
        <v>-6.8199999999999997E-3</v>
      </c>
      <c r="CC85">
        <f>'2012_2020'!CA23</f>
        <v>1.38E-2</v>
      </c>
      <c r="CD85">
        <f>'2012_2020'!CB23</f>
        <v>9.9400000000000002E-2</v>
      </c>
      <c r="CE85">
        <f>'2012_2020'!CC23</f>
        <v>0.188</v>
      </c>
      <c r="CF85">
        <f>'2012_2020'!CD23</f>
        <v>0.20899999999999999</v>
      </c>
      <c r="CG85">
        <f>'2012_2020'!CE23</f>
        <v>0.126</v>
      </c>
      <c r="CH85">
        <f>'2012_2020'!CF23</f>
        <v>-7.5399999999999995E-2</v>
      </c>
      <c r="CI85">
        <f>'2012_2020'!CG23</f>
        <v>-0.17100000000000001</v>
      </c>
      <c r="CJ85">
        <f>'2012_2020'!CH23</f>
        <v>-0.158</v>
      </c>
      <c r="CK85">
        <f>'2012_2020'!CI23</f>
        <v>0.19800000000000001</v>
      </c>
      <c r="CL85">
        <f>'2012_2020'!CJ23</f>
        <v>0.26100000000000001</v>
      </c>
      <c r="CM85">
        <f>'2012_2020'!CK23</f>
        <v>0.20100000000000001</v>
      </c>
      <c r="CN85">
        <f>'2012_2020'!CL23</f>
        <v>0.106</v>
      </c>
      <c r="CO85">
        <f>'2012_2020'!CM23</f>
        <v>0.11700000000000001</v>
      </c>
      <c r="CP85">
        <f>'2012_2020'!CN23</f>
        <v>0.18099999999999999</v>
      </c>
      <c r="CQ85">
        <f>'2012_2020'!CO23</f>
        <v>0.28399999999999997</v>
      </c>
      <c r="CR85">
        <f>'2012_2020'!CP23</f>
        <v>0.14099999999999999</v>
      </c>
      <c r="CS85">
        <f>'2012_2020'!CQ23</f>
        <v>4.1599999999999996E-3</v>
      </c>
      <c r="CT85">
        <f>'2012_2020'!CR23</f>
        <v>9.4899999999999998E-2</v>
      </c>
      <c r="CU85">
        <f>'2012_2020'!CS23</f>
        <v>-8.0199999999999994E-3</v>
      </c>
      <c r="CV85">
        <f>'2012_2020'!CT23</f>
        <v>0.34200000000000003</v>
      </c>
      <c r="CW85">
        <f>'2012_2020'!CU23</f>
        <v>-7.9399999999999991E-3</v>
      </c>
      <c r="CX85">
        <f>'2012_2020'!CV23</f>
        <v>3.6700000000000003E-2</v>
      </c>
    </row>
    <row r="86" spans="1:102" x14ac:dyDescent="0.2">
      <c r="A86" t="s">
        <v>208</v>
      </c>
      <c r="B86" t="s">
        <v>220</v>
      </c>
      <c r="C86" t="s">
        <v>222</v>
      </c>
      <c r="D86">
        <f>D69+D77</f>
        <v>7.46E-2</v>
      </c>
      <c r="E86">
        <f t="shared" ref="E86:BP93" si="15">E69+E77</f>
        <v>0.50760000000000005</v>
      </c>
      <c r="F86">
        <f t="shared" si="15"/>
        <v>0.81930000000000003</v>
      </c>
      <c r="G86">
        <f t="shared" si="15"/>
        <v>9.870000000000001E-2</v>
      </c>
      <c r="H86">
        <f t="shared" si="15"/>
        <v>0.92649999999999999</v>
      </c>
      <c r="I86">
        <f t="shared" si="15"/>
        <v>0.34490000000000004</v>
      </c>
      <c r="J86">
        <f t="shared" si="15"/>
        <v>0.5363</v>
      </c>
      <c r="K86">
        <f t="shared" si="15"/>
        <v>0.42369999999999997</v>
      </c>
      <c r="L86">
        <f t="shared" si="15"/>
        <v>0.26419999999999999</v>
      </c>
      <c r="M86">
        <f t="shared" si="15"/>
        <v>0.50790000000000002</v>
      </c>
      <c r="N86">
        <f t="shared" si="15"/>
        <v>0.41830000000000001</v>
      </c>
      <c r="O86">
        <f t="shared" si="15"/>
        <v>7.5600000000000001E-2</v>
      </c>
      <c r="P86">
        <f t="shared" si="15"/>
        <v>0.1396</v>
      </c>
      <c r="Q86">
        <f t="shared" si="15"/>
        <v>0.1318</v>
      </c>
      <c r="R86">
        <f t="shared" si="15"/>
        <v>0.1555</v>
      </c>
      <c r="S86">
        <f t="shared" si="15"/>
        <v>0.1464</v>
      </c>
      <c r="T86">
        <f t="shared" si="15"/>
        <v>8.2600000000000007E-2</v>
      </c>
      <c r="U86">
        <f t="shared" si="15"/>
        <v>5.4400000000000004E-2</v>
      </c>
      <c r="V86">
        <f t="shared" si="15"/>
        <v>2.18E-2</v>
      </c>
      <c r="W86">
        <f t="shared" si="15"/>
        <v>2.0499999999999997E-2</v>
      </c>
      <c r="X86">
        <f t="shared" si="15"/>
        <v>2.7500000000000004E-2</v>
      </c>
      <c r="Y86">
        <f t="shared" si="15"/>
        <v>-1.1499999999999996E-2</v>
      </c>
      <c r="Z86">
        <f t="shared" si="15"/>
        <v>-4.8000000000000057E-3</v>
      </c>
      <c r="AA86">
        <f t="shared" si="15"/>
        <v>1.8999999999999989E-3</v>
      </c>
      <c r="AB86">
        <f t="shared" si="15"/>
        <v>7.1000000000000021E-3</v>
      </c>
      <c r="AC86">
        <f t="shared" si="15"/>
        <v>9.2999999999999958E-3</v>
      </c>
      <c r="AD86">
        <f t="shared" si="15"/>
        <v>1.7899999999999996E-2</v>
      </c>
      <c r="AE86">
        <f t="shared" si="15"/>
        <v>2.6000000000000002E-2</v>
      </c>
      <c r="AF86">
        <f t="shared" si="15"/>
        <v>2.7099999999999999E-2</v>
      </c>
      <c r="AG86">
        <f t="shared" si="15"/>
        <v>2.8000000000000001E-2</v>
      </c>
      <c r="AH86">
        <f t="shared" si="15"/>
        <v>3.2000000000000001E-2</v>
      </c>
      <c r="AI86">
        <f t="shared" si="15"/>
        <v>3.9399999999999998E-2</v>
      </c>
      <c r="AJ86">
        <f t="shared" si="15"/>
        <v>4.555E-2</v>
      </c>
      <c r="AK86">
        <f t="shared" si="15"/>
        <v>5.0909999999999997E-2</v>
      </c>
      <c r="AL86">
        <f t="shared" si="15"/>
        <v>7.2900000000000006E-2</v>
      </c>
      <c r="AM86">
        <f t="shared" si="15"/>
        <v>8.2699999999999996E-2</v>
      </c>
      <c r="AN86">
        <f t="shared" si="15"/>
        <v>7.6999999999999999E-2</v>
      </c>
      <c r="AO86">
        <f t="shared" si="15"/>
        <v>6.3759999999999997E-2</v>
      </c>
      <c r="AP86">
        <f t="shared" si="15"/>
        <v>5.3600000000000009E-2</v>
      </c>
      <c r="AQ86">
        <f t="shared" si="15"/>
        <v>4.3399999999999994E-2</v>
      </c>
      <c r="AR86">
        <f t="shared" si="15"/>
        <v>4.1299999999999996E-2</v>
      </c>
      <c r="AS86">
        <f t="shared" si="15"/>
        <v>2.93E-2</v>
      </c>
      <c r="AT86">
        <f t="shared" si="15"/>
        <v>2.8000000000000004E-2</v>
      </c>
      <c r="AU86">
        <f t="shared" si="15"/>
        <v>2.8500000000000004E-2</v>
      </c>
      <c r="AV86">
        <f t="shared" si="15"/>
        <v>2.86E-2</v>
      </c>
      <c r="AW86">
        <f t="shared" si="15"/>
        <v>3.4800000000000005E-2</v>
      </c>
      <c r="AX86">
        <f t="shared" si="15"/>
        <v>3.8299999999999994E-2</v>
      </c>
      <c r="AY86">
        <f t="shared" si="15"/>
        <v>2.9500000000000005E-2</v>
      </c>
      <c r="AZ86">
        <f t="shared" si="15"/>
        <v>3.3399999999999992E-2</v>
      </c>
      <c r="BA86">
        <f t="shared" si="15"/>
        <v>2.4899999999999992E-2</v>
      </c>
      <c r="BB86">
        <f t="shared" si="15"/>
        <v>2.579999999999999E-2</v>
      </c>
      <c r="BC86">
        <f t="shared" si="15"/>
        <v>3.7999999999999978E-3</v>
      </c>
      <c r="BD86">
        <f t="shared" si="15"/>
        <v>-2.1000000000000005E-2</v>
      </c>
      <c r="BE86">
        <f t="shared" si="15"/>
        <v>-3.599999999999999E-2</v>
      </c>
      <c r="BF86">
        <f t="shared" si="15"/>
        <v>-1.2999999999999998E-2</v>
      </c>
      <c r="BG86">
        <f t="shared" si="15"/>
        <v>-1.4000000000000012E-2</v>
      </c>
      <c r="BH86">
        <f t="shared" si="15"/>
        <v>2.0000000000000018E-3</v>
      </c>
      <c r="BI86">
        <f t="shared" si="15"/>
        <v>2.5800000000000003E-2</v>
      </c>
      <c r="BJ86">
        <f t="shared" si="15"/>
        <v>3.7099999999999994E-2</v>
      </c>
      <c r="BK86">
        <f t="shared" si="15"/>
        <v>5.8899999999999994E-2</v>
      </c>
      <c r="BL86">
        <f t="shared" si="15"/>
        <v>6.6199999999999995E-2</v>
      </c>
      <c r="BM86">
        <f t="shared" si="15"/>
        <v>4.2200000000000001E-2</v>
      </c>
      <c r="BN86">
        <f t="shared" si="15"/>
        <v>1.2000000000000011E-2</v>
      </c>
      <c r="BO86">
        <f t="shared" si="15"/>
        <v>-0.03</v>
      </c>
      <c r="BP86">
        <f t="shared" si="15"/>
        <v>-6.0999999999999999E-2</v>
      </c>
      <c r="BQ86">
        <f t="shared" ref="BQ86:CX93" si="16">BQ69+BQ77</f>
        <v>-7.2000000000000008E-2</v>
      </c>
      <c r="BR86">
        <f t="shared" si="16"/>
        <v>-6.9000000000000006E-2</v>
      </c>
      <c r="BS86">
        <f t="shared" si="16"/>
        <v>-8.0000000000000016E-2</v>
      </c>
      <c r="BT86">
        <f t="shared" si="16"/>
        <v>-8.7000000000000022E-2</v>
      </c>
      <c r="BU86">
        <f t="shared" si="16"/>
        <v>-4.5000000000000012E-2</v>
      </c>
      <c r="BV86">
        <f t="shared" si="16"/>
        <v>4.4999999999999998E-2</v>
      </c>
      <c r="BW86">
        <f t="shared" si="16"/>
        <v>8.1100000000000005E-2</v>
      </c>
      <c r="BX86">
        <f t="shared" si="16"/>
        <v>5.6999999999999981E-2</v>
      </c>
      <c r="BY86">
        <f t="shared" si="16"/>
        <v>4.0000000000000036E-3</v>
      </c>
      <c r="BZ86">
        <f t="shared" si="16"/>
        <v>-1.5000000000000013E-2</v>
      </c>
      <c r="CA86">
        <f t="shared" si="16"/>
        <v>-3.2000000000000001E-2</v>
      </c>
      <c r="CB86">
        <f t="shared" si="16"/>
        <v>-8.0000000000000071E-3</v>
      </c>
      <c r="CC86">
        <f t="shared" si="16"/>
        <v>-4.1000000000000009E-2</v>
      </c>
      <c r="CD86">
        <f t="shared" si="16"/>
        <v>-8.5999999999999965E-2</v>
      </c>
      <c r="CE86">
        <f t="shared" si="16"/>
        <v>-0.12400000000000003</v>
      </c>
      <c r="CF86">
        <f t="shared" si="16"/>
        <v>-0.161</v>
      </c>
      <c r="CG86">
        <f t="shared" si="16"/>
        <v>-0.13799999999999998</v>
      </c>
      <c r="CH86">
        <f t="shared" si="16"/>
        <v>-1.5999999999999986E-2</v>
      </c>
      <c r="CI86">
        <f t="shared" si="16"/>
        <v>6.8000000000000005E-2</v>
      </c>
      <c r="CJ86">
        <f t="shared" si="16"/>
        <v>6.7000000000000004E-2</v>
      </c>
      <c r="CK86">
        <f t="shared" si="16"/>
        <v>-0.15100000000000002</v>
      </c>
      <c r="CL86">
        <f t="shared" si="16"/>
        <v>-0.17899999999999999</v>
      </c>
      <c r="CM86">
        <f t="shared" si="16"/>
        <v>-0.18</v>
      </c>
      <c r="CN86">
        <f t="shared" si="16"/>
        <v>-0.11699999999999999</v>
      </c>
      <c r="CO86">
        <f t="shared" si="16"/>
        <v>-0.122</v>
      </c>
      <c r="CP86">
        <f t="shared" si="16"/>
        <v>-0.13999999999999999</v>
      </c>
      <c r="CQ86">
        <f t="shared" si="16"/>
        <v>-0.249</v>
      </c>
      <c r="CR86">
        <f t="shared" si="16"/>
        <v>-0.14999999999999997</v>
      </c>
      <c r="CS86">
        <f t="shared" si="16"/>
        <v>-7.8000000000000014E-2</v>
      </c>
      <c r="CT86">
        <f t="shared" si="16"/>
        <v>-0.13699999999999996</v>
      </c>
      <c r="CU86">
        <f t="shared" si="16"/>
        <v>-2.5999999999999995E-2</v>
      </c>
      <c r="CV86">
        <f t="shared" si="16"/>
        <v>-0.2</v>
      </c>
      <c r="CW86">
        <f t="shared" si="16"/>
        <v>-3.8000000000000034E-2</v>
      </c>
      <c r="CX86">
        <f t="shared" si="16"/>
        <v>-8.8999999999999996E-2</v>
      </c>
    </row>
    <row r="87" spans="1:102" x14ac:dyDescent="0.2">
      <c r="A87" t="s">
        <v>209</v>
      </c>
      <c r="B87" t="s">
        <v>220</v>
      </c>
      <c r="C87" t="s">
        <v>222</v>
      </c>
      <c r="D87">
        <f t="shared" ref="D87:BO90" si="17">D70+D78</f>
        <v>-0.1095</v>
      </c>
      <c r="E87">
        <f t="shared" si="17"/>
        <v>-6.8599999999999994E-2</v>
      </c>
      <c r="F87">
        <f t="shared" si="17"/>
        <v>-5.6199999999999993E-2</v>
      </c>
      <c r="G87">
        <f t="shared" si="17"/>
        <v>-0.22199999999999998</v>
      </c>
      <c r="H87">
        <f t="shared" si="17"/>
        <v>1.7129999999999999E-2</v>
      </c>
      <c r="I87">
        <f t="shared" si="17"/>
        <v>-0.15310000000000001</v>
      </c>
      <c r="J87">
        <f t="shared" si="17"/>
        <v>-5.1000000000000004E-2</v>
      </c>
      <c r="K87">
        <f t="shared" si="17"/>
        <v>-3.2199999999999999E-2</v>
      </c>
      <c r="L87">
        <f t="shared" si="17"/>
        <v>-7.1199999999999999E-2</v>
      </c>
      <c r="M87">
        <f t="shared" si="17"/>
        <v>4.9399999999999999E-2</v>
      </c>
      <c r="N87">
        <f t="shared" si="17"/>
        <v>7.3800000000000004E-2</v>
      </c>
      <c r="O87">
        <f t="shared" si="17"/>
        <v>-5.2699999999999997E-2</v>
      </c>
      <c r="P87">
        <f t="shared" si="17"/>
        <v>8.3800000000000003E-3</v>
      </c>
      <c r="Q87">
        <f t="shared" si="17"/>
        <v>1.338E-2</v>
      </c>
      <c r="R87">
        <f t="shared" si="17"/>
        <v>2.479E-2</v>
      </c>
      <c r="S87">
        <f t="shared" si="17"/>
        <v>2.3710000000000002E-2</v>
      </c>
      <c r="T87">
        <f t="shared" si="17"/>
        <v>-7.1300000000000009E-3</v>
      </c>
      <c r="U87">
        <f t="shared" si="17"/>
        <v>-1.1359999999999999E-2</v>
      </c>
      <c r="V87">
        <f t="shared" si="17"/>
        <v>-1.7770000000000001E-2</v>
      </c>
      <c r="W87">
        <f t="shared" si="17"/>
        <v>-4.5399999999999989E-3</v>
      </c>
      <c r="X87">
        <f t="shared" si="17"/>
        <v>1.2500000000000002E-3</v>
      </c>
      <c r="Y87">
        <f t="shared" si="17"/>
        <v>-2.5209999999999996E-2</v>
      </c>
      <c r="Z87">
        <f t="shared" si="17"/>
        <v>-2.64E-2</v>
      </c>
      <c r="AA87">
        <f t="shared" si="17"/>
        <v>-1.3919999999999998E-2</v>
      </c>
      <c r="AB87">
        <f t="shared" si="17"/>
        <v>-5.0700000000000016E-3</v>
      </c>
      <c r="AC87">
        <f t="shared" si="17"/>
        <v>1.3700000000000014E-3</v>
      </c>
      <c r="AD87">
        <f t="shared" si="17"/>
        <v>7.5099999999999993E-3</v>
      </c>
      <c r="AE87">
        <f t="shared" si="17"/>
        <v>1.243E-2</v>
      </c>
      <c r="AF87">
        <f t="shared" si="17"/>
        <v>1.6230000000000001E-2</v>
      </c>
      <c r="AG87">
        <f t="shared" si="17"/>
        <v>2.2699999999999998E-2</v>
      </c>
      <c r="AH87">
        <f t="shared" si="17"/>
        <v>3.8399999999999997E-2</v>
      </c>
      <c r="AI87">
        <f t="shared" si="17"/>
        <v>4.4999999999999998E-2</v>
      </c>
      <c r="AJ87">
        <f t="shared" si="17"/>
        <v>5.57E-2</v>
      </c>
      <c r="AK87">
        <f t="shared" si="17"/>
        <v>6.6000000000000003E-2</v>
      </c>
      <c r="AL87">
        <f t="shared" si="17"/>
        <v>8.1900000000000001E-2</v>
      </c>
      <c r="AM87">
        <f t="shared" si="17"/>
        <v>8.2400000000000001E-2</v>
      </c>
      <c r="AN87">
        <f t="shared" si="17"/>
        <v>8.5400000000000004E-2</v>
      </c>
      <c r="AO87">
        <f t="shared" si="17"/>
        <v>7.8899999999999998E-2</v>
      </c>
      <c r="AP87">
        <f t="shared" si="17"/>
        <v>0.08</v>
      </c>
      <c r="AQ87">
        <f t="shared" si="17"/>
        <v>7.8899999999999998E-2</v>
      </c>
      <c r="AR87">
        <f t="shared" si="17"/>
        <v>7.9199999999999993E-2</v>
      </c>
      <c r="AS87">
        <f t="shared" si="17"/>
        <v>6.25E-2</v>
      </c>
      <c r="AT87">
        <f t="shared" si="17"/>
        <v>6.3299999999999995E-2</v>
      </c>
      <c r="AU87">
        <f t="shared" si="17"/>
        <v>6.2600000000000003E-2</v>
      </c>
      <c r="AV87">
        <f t="shared" si="17"/>
        <v>6.8500000000000005E-2</v>
      </c>
      <c r="AW87">
        <f t="shared" si="17"/>
        <v>6.6600000000000006E-2</v>
      </c>
      <c r="AX87">
        <f t="shared" si="17"/>
        <v>6.3299999999999995E-2</v>
      </c>
      <c r="AY87">
        <f t="shared" si="17"/>
        <v>5.3900000000000003E-2</v>
      </c>
      <c r="AZ87">
        <f t="shared" si="17"/>
        <v>5.9900000000000002E-2</v>
      </c>
      <c r="BA87">
        <f t="shared" si="17"/>
        <v>5.33E-2</v>
      </c>
      <c r="BB87">
        <f t="shared" si="17"/>
        <v>6.3399999999999998E-2</v>
      </c>
      <c r="BC87">
        <f t="shared" si="17"/>
        <v>3.9699999999999999E-2</v>
      </c>
      <c r="BD87">
        <f t="shared" si="17"/>
        <v>2.0548E-2</v>
      </c>
      <c r="BE87">
        <f t="shared" si="17"/>
        <v>2.0414000000000002E-2</v>
      </c>
      <c r="BF87">
        <f t="shared" si="17"/>
        <v>3.4200000000000001E-2</v>
      </c>
      <c r="BG87">
        <f t="shared" si="17"/>
        <v>4.3400000000000001E-2</v>
      </c>
      <c r="BH87">
        <f t="shared" si="17"/>
        <v>5.9899999999999995E-2</v>
      </c>
      <c r="BI87">
        <f t="shared" si="17"/>
        <v>8.2400000000000001E-2</v>
      </c>
      <c r="BJ87">
        <f t="shared" si="17"/>
        <v>8.3299999999999999E-2</v>
      </c>
      <c r="BK87">
        <f t="shared" si="17"/>
        <v>9.7200000000000009E-2</v>
      </c>
      <c r="BL87">
        <f t="shared" si="17"/>
        <v>0.1041</v>
      </c>
      <c r="BM87">
        <f t="shared" si="17"/>
        <v>9.5700000000000007E-2</v>
      </c>
      <c r="BN87">
        <f t="shared" si="17"/>
        <v>5.1900000000000002E-2</v>
      </c>
      <c r="BO87">
        <f t="shared" si="17"/>
        <v>9.9999999999999985E-3</v>
      </c>
      <c r="BP87">
        <f t="shared" si="15"/>
        <v>-1.6800000000000002E-2</v>
      </c>
      <c r="BQ87">
        <f t="shared" si="16"/>
        <v>-2.5700000000000001E-2</v>
      </c>
      <c r="BR87">
        <f t="shared" si="16"/>
        <v>-2.5900000000000003E-2</v>
      </c>
      <c r="BS87">
        <f t="shared" si="16"/>
        <v>-3.2899999999999999E-2</v>
      </c>
      <c r="BT87">
        <f t="shared" si="16"/>
        <v>-4.02E-2</v>
      </c>
      <c r="BU87">
        <f t="shared" si="16"/>
        <v>9.9999999999999985E-3</v>
      </c>
      <c r="BV87">
        <f t="shared" si="16"/>
        <v>0.1164</v>
      </c>
      <c r="BW87">
        <f t="shared" si="16"/>
        <v>0.15540000000000001</v>
      </c>
      <c r="BX87">
        <f t="shared" si="16"/>
        <v>0.13009999999999999</v>
      </c>
      <c r="BY87">
        <f t="shared" si="16"/>
        <v>9.1799999999999993E-2</v>
      </c>
      <c r="BZ87">
        <f t="shared" si="16"/>
        <v>6.93E-2</v>
      </c>
      <c r="CA87">
        <f t="shared" si="16"/>
        <v>4.9299999999999997E-2</v>
      </c>
      <c r="CB87">
        <f t="shared" si="16"/>
        <v>8.2299999999999998E-2</v>
      </c>
      <c r="CC87">
        <f t="shared" si="16"/>
        <v>5.3900000000000003E-2</v>
      </c>
      <c r="CD87">
        <f t="shared" si="16"/>
        <v>1.1999999999999997E-3</v>
      </c>
      <c r="CE87">
        <f t="shared" si="16"/>
        <v>-1.9000000000000003E-2</v>
      </c>
      <c r="CF87">
        <f t="shared" si="16"/>
        <v>-5.3200000000000004E-2</v>
      </c>
      <c r="CG87">
        <f t="shared" si="16"/>
        <v>-2.9700000000000004E-2</v>
      </c>
      <c r="CH87">
        <f t="shared" si="16"/>
        <v>9.06E-2</v>
      </c>
      <c r="CI87">
        <f t="shared" si="16"/>
        <v>0.1729</v>
      </c>
      <c r="CJ87">
        <f t="shared" si="16"/>
        <v>0.20130000000000001</v>
      </c>
      <c r="CK87">
        <f t="shared" si="16"/>
        <v>-2.4100000000000003E-2</v>
      </c>
      <c r="CL87">
        <f t="shared" si="16"/>
        <v>-6.8399999999999989E-2</v>
      </c>
      <c r="CM87">
        <f t="shared" si="16"/>
        <v>-7.5200000000000003E-2</v>
      </c>
      <c r="CN87">
        <f t="shared" si="16"/>
        <v>2.2000000000000002E-2</v>
      </c>
      <c r="CO87">
        <f t="shared" si="16"/>
        <v>2.0400000000000001E-2</v>
      </c>
      <c r="CP87">
        <f t="shared" si="16"/>
        <v>-1.0600000000000005E-2</v>
      </c>
      <c r="CQ87">
        <f t="shared" si="16"/>
        <v>-0.11960000000000001</v>
      </c>
      <c r="CR87">
        <f t="shared" si="16"/>
        <v>1.8499999999999999E-2</v>
      </c>
      <c r="CS87">
        <f t="shared" si="16"/>
        <v>9.8500000000000004E-2</v>
      </c>
      <c r="CT87">
        <f t="shared" si="16"/>
        <v>2.7900000000000001E-2</v>
      </c>
      <c r="CU87">
        <f t="shared" si="16"/>
        <v>0.10009999999999999</v>
      </c>
      <c r="CV87">
        <f t="shared" si="16"/>
        <v>-0.12290000000000001</v>
      </c>
      <c r="CW87">
        <f t="shared" si="16"/>
        <v>6.5700000000000008E-2</v>
      </c>
      <c r="CX87">
        <f t="shared" si="16"/>
        <v>-2.3E-2</v>
      </c>
    </row>
    <row r="88" spans="1:102" x14ac:dyDescent="0.2">
      <c r="A88" t="s">
        <v>210</v>
      </c>
      <c r="B88" t="s">
        <v>220</v>
      </c>
      <c r="C88" t="s">
        <v>222</v>
      </c>
      <c r="D88">
        <f t="shared" si="17"/>
        <v>7.281E-2</v>
      </c>
      <c r="E88">
        <f t="shared" si="17"/>
        <v>6.0580000000000009E-2</v>
      </c>
      <c r="F88">
        <f t="shared" si="17"/>
        <v>3.0330000000000003E-2</v>
      </c>
      <c r="G88">
        <f t="shared" si="17"/>
        <v>5.4529999999999995E-2</v>
      </c>
      <c r="H88">
        <f t="shared" si="17"/>
        <v>-1.4409999999999999E-2</v>
      </c>
      <c r="I88">
        <f t="shared" si="17"/>
        <v>2.6029999999999998E-2</v>
      </c>
      <c r="J88">
        <f t="shared" si="17"/>
        <v>4.7800000000000004E-3</v>
      </c>
      <c r="K88">
        <f t="shared" si="17"/>
        <v>-1.0000000000000026E-4</v>
      </c>
      <c r="L88">
        <f t="shared" si="17"/>
        <v>5.96E-3</v>
      </c>
      <c r="M88">
        <f t="shared" si="17"/>
        <v>-1.951E-2</v>
      </c>
      <c r="N88">
        <f t="shared" si="17"/>
        <v>-1.6150000000000001E-2</v>
      </c>
      <c r="O88">
        <f t="shared" si="17"/>
        <v>6.2100000000000002E-3</v>
      </c>
      <c r="P88">
        <f t="shared" si="17"/>
        <v>-1.7130000000000001E-3</v>
      </c>
      <c r="Q88">
        <f t="shared" si="17"/>
        <v>-3.8300000000000001E-3</v>
      </c>
      <c r="R88">
        <f t="shared" si="17"/>
        <v>-6.0400000000000002E-3</v>
      </c>
      <c r="S88">
        <f t="shared" si="17"/>
        <v>-5.45E-3</v>
      </c>
      <c r="T88">
        <f t="shared" si="17"/>
        <v>2.2999999999999995E-4</v>
      </c>
      <c r="U88">
        <f t="shared" si="17"/>
        <v>5.8999999999999981E-4</v>
      </c>
      <c r="V88">
        <f t="shared" si="17"/>
        <v>3.3099999999999996E-3</v>
      </c>
      <c r="W88">
        <f t="shared" si="17"/>
        <v>1.91E-3</v>
      </c>
      <c r="X88">
        <f t="shared" si="17"/>
        <v>2.4300000000000003E-3</v>
      </c>
      <c r="Y88">
        <f t="shared" si="17"/>
        <v>6.8199999999999997E-3</v>
      </c>
      <c r="Z88">
        <f t="shared" si="17"/>
        <v>6.389999999999999E-3</v>
      </c>
      <c r="AA88">
        <f t="shared" si="17"/>
        <v>6.7299999999999999E-3</v>
      </c>
      <c r="AB88">
        <f t="shared" si="17"/>
        <v>6.0300000000000006E-3</v>
      </c>
      <c r="AC88">
        <f t="shared" si="17"/>
        <v>6.5899999999999995E-3</v>
      </c>
      <c r="AD88">
        <f t="shared" si="17"/>
        <v>6.8000000000000005E-3</v>
      </c>
      <c r="AE88">
        <f t="shared" si="17"/>
        <v>6.2300000000000012E-3</v>
      </c>
      <c r="AF88">
        <f t="shared" si="17"/>
        <v>5.9000000000000007E-3</v>
      </c>
      <c r="AG88">
        <f t="shared" si="17"/>
        <v>5.2700000000000004E-3</v>
      </c>
      <c r="AH88">
        <f t="shared" si="17"/>
        <v>5.3699999999999998E-3</v>
      </c>
      <c r="AI88">
        <f t="shared" si="17"/>
        <v>5.0400000000000002E-3</v>
      </c>
      <c r="AJ88">
        <f t="shared" si="17"/>
        <v>4.0600000000000002E-3</v>
      </c>
      <c r="AK88">
        <f t="shared" si="17"/>
        <v>1.9599999999999995E-3</v>
      </c>
      <c r="AL88">
        <f t="shared" si="17"/>
        <v>-8.1999999999999998E-4</v>
      </c>
      <c r="AM88">
        <f t="shared" si="17"/>
        <v>-4.2999999999999983E-4</v>
      </c>
      <c r="AN88">
        <f t="shared" si="17"/>
        <v>1.2999999999999991E-4</v>
      </c>
      <c r="AO88">
        <f t="shared" si="17"/>
        <v>1.4700000000000004E-3</v>
      </c>
      <c r="AP88">
        <f t="shared" si="17"/>
        <v>3.2099999999999997E-3</v>
      </c>
      <c r="AQ88">
        <f t="shared" si="17"/>
        <v>5.9900000000000005E-3</v>
      </c>
      <c r="AR88">
        <f t="shared" si="17"/>
        <v>8.8500000000000002E-3</v>
      </c>
      <c r="AS88">
        <f t="shared" si="17"/>
        <v>1.133E-2</v>
      </c>
      <c r="AT88">
        <f t="shared" si="17"/>
        <v>1.106E-2</v>
      </c>
      <c r="AU88">
        <f t="shared" si="17"/>
        <v>1.0829999999999999E-2</v>
      </c>
      <c r="AV88">
        <f t="shared" si="17"/>
        <v>8.8400000000000006E-3</v>
      </c>
      <c r="AW88">
        <f t="shared" si="17"/>
        <v>9.1199999999999996E-3</v>
      </c>
      <c r="AX88">
        <f t="shared" si="17"/>
        <v>8.5000000000000006E-3</v>
      </c>
      <c r="AY88">
        <f t="shared" si="17"/>
        <v>8.879999999999999E-3</v>
      </c>
      <c r="AZ88">
        <f t="shared" si="17"/>
        <v>6.4000000000000003E-3</v>
      </c>
      <c r="BA88">
        <f t="shared" si="17"/>
        <v>6.8400000000000006E-3</v>
      </c>
      <c r="BB88">
        <f t="shared" si="17"/>
        <v>5.9500000000000004E-3</v>
      </c>
      <c r="BC88">
        <f t="shared" si="17"/>
        <v>1.1299999999999999E-2</v>
      </c>
      <c r="BD88">
        <f t="shared" si="17"/>
        <v>1.277E-2</v>
      </c>
      <c r="BE88">
        <f t="shared" si="17"/>
        <v>1.3859999999999999E-2</v>
      </c>
      <c r="BF88">
        <f t="shared" si="17"/>
        <v>1.0409999999999999E-2</v>
      </c>
      <c r="BG88">
        <f t="shared" si="17"/>
        <v>9.0799999999999995E-3</v>
      </c>
      <c r="BH88">
        <f t="shared" si="17"/>
        <v>5.7199999999999994E-3</v>
      </c>
      <c r="BI88">
        <f t="shared" si="17"/>
        <v>3.0800000000000003E-3</v>
      </c>
      <c r="BJ88">
        <f t="shared" si="17"/>
        <v>4.7000000000000002E-3</v>
      </c>
      <c r="BK88">
        <f t="shared" si="17"/>
        <v>8.399999999999996E-4</v>
      </c>
      <c r="BL88">
        <f t="shared" si="17"/>
        <v>-8.7999999999999971E-4</v>
      </c>
      <c r="BM88">
        <f t="shared" si="17"/>
        <v>3.8299999999999992E-3</v>
      </c>
      <c r="BN88">
        <f t="shared" si="17"/>
        <v>1.2889999999999999E-2</v>
      </c>
      <c r="BO88">
        <f t="shared" si="17"/>
        <v>1.908E-2</v>
      </c>
      <c r="BP88">
        <f t="shared" si="15"/>
        <v>2.5660000000000002E-2</v>
      </c>
      <c r="BQ88">
        <f t="shared" si="16"/>
        <v>2.6340000000000002E-2</v>
      </c>
      <c r="BR88">
        <f t="shared" si="16"/>
        <v>2.529E-2</v>
      </c>
      <c r="BS88">
        <f t="shared" si="16"/>
        <v>2.4509999999999997E-2</v>
      </c>
      <c r="BT88">
        <f t="shared" si="16"/>
        <v>2.317E-2</v>
      </c>
      <c r="BU88">
        <f t="shared" si="16"/>
        <v>1.4240000000000003E-2</v>
      </c>
      <c r="BV88">
        <f t="shared" si="16"/>
        <v>-3.4499999999999999E-3</v>
      </c>
      <c r="BW88">
        <f t="shared" si="16"/>
        <v>-9.6299999999999997E-3</v>
      </c>
      <c r="BX88">
        <f t="shared" si="16"/>
        <v>-5.2009999999999999E-3</v>
      </c>
      <c r="BY88">
        <f t="shared" si="16"/>
        <v>5.94E-3</v>
      </c>
      <c r="BZ88">
        <f t="shared" si="16"/>
        <v>1.1390000000000001E-2</v>
      </c>
      <c r="CA88">
        <f t="shared" si="16"/>
        <v>1.2450000000000001E-2</v>
      </c>
      <c r="CB88">
        <f t="shared" si="16"/>
        <v>1.8399999999999996E-3</v>
      </c>
      <c r="CC88">
        <f t="shared" si="16"/>
        <v>4.9499999999999995E-3</v>
      </c>
      <c r="CD88">
        <f t="shared" si="16"/>
        <v>1.5919999999999997E-2</v>
      </c>
      <c r="CE88">
        <f t="shared" si="16"/>
        <v>1.8169999999999999E-2</v>
      </c>
      <c r="CF88">
        <f t="shared" si="16"/>
        <v>2.5520000000000001E-2</v>
      </c>
      <c r="CG88">
        <f t="shared" si="16"/>
        <v>1.8970000000000001E-2</v>
      </c>
      <c r="CH88">
        <f t="shared" si="16"/>
        <v>-3.9500000000000004E-3</v>
      </c>
      <c r="CI88">
        <f t="shared" si="16"/>
        <v>-2.3720000000000001E-2</v>
      </c>
      <c r="CJ88">
        <f t="shared" si="16"/>
        <v>-3.0850000000000002E-2</v>
      </c>
      <c r="CK88">
        <f t="shared" si="16"/>
        <v>1.5489999999999999E-2</v>
      </c>
      <c r="CL88">
        <f t="shared" si="16"/>
        <v>2.6610000000000002E-2</v>
      </c>
      <c r="CM88">
        <f t="shared" si="16"/>
        <v>2.5830000000000002E-2</v>
      </c>
      <c r="CN88">
        <f t="shared" si="16"/>
        <v>2.3999999999999994E-3</v>
      </c>
      <c r="CO88">
        <f t="shared" si="16"/>
        <v>6.9999999999999993E-3</v>
      </c>
      <c r="CP88">
        <f t="shared" si="16"/>
        <v>1.094E-2</v>
      </c>
      <c r="CQ88">
        <f t="shared" si="16"/>
        <v>3.2600000000000004E-2</v>
      </c>
      <c r="CR88">
        <f t="shared" si="16"/>
        <v>-7.8800000000000016E-3</v>
      </c>
      <c r="CS88">
        <f t="shared" si="16"/>
        <v>-3.6049999999999999E-2</v>
      </c>
      <c r="CT88">
        <f t="shared" si="16"/>
        <v>-7.1600000000000006E-3</v>
      </c>
      <c r="CU88">
        <f t="shared" si="16"/>
        <v>-4.4690000000000001E-2</v>
      </c>
      <c r="CV88">
        <f t="shared" si="16"/>
        <v>6.8099999999999983E-3</v>
      </c>
      <c r="CW88">
        <f t="shared" si="16"/>
        <v>-3.8190000000000002E-2</v>
      </c>
      <c r="CX88">
        <f t="shared" si="16"/>
        <v>3.245E-2</v>
      </c>
    </row>
    <row r="89" spans="1:102" x14ac:dyDescent="0.2">
      <c r="A89" t="s">
        <v>211</v>
      </c>
      <c r="B89" t="s">
        <v>220</v>
      </c>
      <c r="C89" t="s">
        <v>222</v>
      </c>
      <c r="D89">
        <f t="shared" si="17"/>
        <v>1.7900000000000003E-2</v>
      </c>
      <c r="E89">
        <f t="shared" si="17"/>
        <v>8.5599999999999982E-3</v>
      </c>
      <c r="F89">
        <f t="shared" si="17"/>
        <v>1.09E-2</v>
      </c>
      <c r="G89">
        <f t="shared" si="17"/>
        <v>2.4549999999999999E-2</v>
      </c>
      <c r="H89">
        <f t="shared" si="17"/>
        <v>2.2300000000000002E-3</v>
      </c>
      <c r="I89">
        <f t="shared" si="17"/>
        <v>1.158E-2</v>
      </c>
      <c r="J89">
        <f t="shared" si="17"/>
        <v>2.8899999999999998E-3</v>
      </c>
      <c r="K89">
        <f t="shared" si="17"/>
        <v>9.3600000000000003E-3</v>
      </c>
      <c r="L89">
        <f t="shared" si="17"/>
        <v>1.3730000000000001E-2</v>
      </c>
      <c r="M89">
        <f t="shared" si="17"/>
        <v>4.6699999999999997E-3</v>
      </c>
      <c r="N89">
        <f t="shared" si="17"/>
        <v>7.4599999999999996E-3</v>
      </c>
      <c r="O89">
        <f t="shared" si="17"/>
        <v>1.592E-2</v>
      </c>
      <c r="P89">
        <f t="shared" si="17"/>
        <v>1.2289999999999999E-2</v>
      </c>
      <c r="Q89">
        <f t="shared" si="17"/>
        <v>1.289E-2</v>
      </c>
      <c r="R89">
        <f t="shared" si="17"/>
        <v>1.0189999999999999E-2</v>
      </c>
      <c r="S89">
        <f t="shared" si="17"/>
        <v>8.5299999999999994E-3</v>
      </c>
      <c r="T89">
        <f t="shared" si="17"/>
        <v>7.1399999999999988E-3</v>
      </c>
      <c r="U89">
        <f t="shared" si="17"/>
        <v>9.11E-3</v>
      </c>
      <c r="V89">
        <f t="shared" si="17"/>
        <v>8.2699999999999996E-3</v>
      </c>
      <c r="W89">
        <f t="shared" si="17"/>
        <v>7.3499999999999998E-3</v>
      </c>
      <c r="X89">
        <f t="shared" si="17"/>
        <v>6.579999999999999E-3</v>
      </c>
      <c r="Y89">
        <f t="shared" si="17"/>
        <v>9.58E-3</v>
      </c>
      <c r="Z89">
        <f t="shared" si="17"/>
        <v>7.7500000000000008E-3</v>
      </c>
      <c r="AA89">
        <f t="shared" si="17"/>
        <v>9.2099999999999994E-3</v>
      </c>
      <c r="AB89">
        <f t="shared" si="17"/>
        <v>8.0800000000000004E-3</v>
      </c>
      <c r="AC89">
        <f t="shared" si="17"/>
        <v>7.0399999999999994E-3</v>
      </c>
      <c r="AD89">
        <f t="shared" si="17"/>
        <v>7.79E-3</v>
      </c>
      <c r="AE89">
        <f t="shared" si="17"/>
        <v>6.2400000000000008E-3</v>
      </c>
      <c r="AF89">
        <f t="shared" si="17"/>
        <v>6.2799999999999991E-3</v>
      </c>
      <c r="AG89">
        <f t="shared" si="17"/>
        <v>8.0800000000000004E-3</v>
      </c>
      <c r="AH89">
        <f t="shared" si="17"/>
        <v>6.2000000000000006E-3</v>
      </c>
      <c r="AI89">
        <f t="shared" si="17"/>
        <v>5.3600000000000002E-3</v>
      </c>
      <c r="AJ89">
        <f t="shared" si="17"/>
        <v>4.6999999999999993E-3</v>
      </c>
      <c r="AK89">
        <f t="shared" si="17"/>
        <v>1.3600000000000001E-3</v>
      </c>
      <c r="AL89">
        <f t="shared" si="17"/>
        <v>-8.8000000000000014E-4</v>
      </c>
      <c r="AM89">
        <f t="shared" si="17"/>
        <v>-1.0699999999999998E-3</v>
      </c>
      <c r="AN89">
        <f t="shared" si="17"/>
        <v>-3.7929999999999999E-3</v>
      </c>
      <c r="AO89">
        <f t="shared" si="17"/>
        <v>9.3999999999999986E-4</v>
      </c>
      <c r="AP89">
        <f t="shared" si="17"/>
        <v>2.1900000000000001E-3</v>
      </c>
      <c r="AQ89">
        <f t="shared" si="17"/>
        <v>6.0000000000000157E-5</v>
      </c>
      <c r="AR89">
        <f t="shared" si="17"/>
        <v>8.5000000000000006E-4</v>
      </c>
      <c r="AS89">
        <f t="shared" si="17"/>
        <v>9.0000000000000236E-5</v>
      </c>
      <c r="AT89">
        <f t="shared" si="17"/>
        <v>-1.0500000000000002E-3</v>
      </c>
      <c r="AU89">
        <f t="shared" si="17"/>
        <v>-2.9889999999999999E-3</v>
      </c>
      <c r="AV89">
        <f t="shared" si="17"/>
        <v>-2.4299999999999999E-3</v>
      </c>
      <c r="AW89">
        <f t="shared" si="17"/>
        <v>-1.98E-3</v>
      </c>
      <c r="AX89">
        <f t="shared" si="17"/>
        <v>-5.6999999999999976E-4</v>
      </c>
      <c r="AY89">
        <f t="shared" si="17"/>
        <v>-3.5889999999999997E-3</v>
      </c>
      <c r="AZ89">
        <f t="shared" si="17"/>
        <v>-3.1389999999999999E-3</v>
      </c>
      <c r="BA89">
        <f t="shared" si="17"/>
        <v>-5.0079999999999994E-3</v>
      </c>
      <c r="BB89">
        <f t="shared" si="17"/>
        <v>-7.0499999999999998E-3</v>
      </c>
      <c r="BC89">
        <f t="shared" si="17"/>
        <v>-6.79E-3</v>
      </c>
      <c r="BD89">
        <f t="shared" si="17"/>
        <v>-2.15E-3</v>
      </c>
      <c r="BE89">
        <f t="shared" si="17"/>
        <v>-1.1900000000000001E-3</v>
      </c>
      <c r="BF89">
        <f t="shared" si="17"/>
        <v>-5.836E-3</v>
      </c>
      <c r="BG89">
        <f t="shared" si="17"/>
        <v>-4.2589999999999998E-3</v>
      </c>
      <c r="BH89">
        <f t="shared" si="17"/>
        <v>-8.6899999999999998E-3</v>
      </c>
      <c r="BI89">
        <f t="shared" si="17"/>
        <v>-1.1640000000000001E-2</v>
      </c>
      <c r="BJ89">
        <f t="shared" si="17"/>
        <v>-9.7199999999999995E-3</v>
      </c>
      <c r="BK89">
        <f t="shared" si="17"/>
        <v>-1.455E-2</v>
      </c>
      <c r="BL89">
        <f t="shared" si="17"/>
        <v>-1.738E-2</v>
      </c>
      <c r="BM89">
        <f t="shared" si="17"/>
        <v>-1.384E-2</v>
      </c>
      <c r="BN89">
        <f t="shared" si="17"/>
        <v>-6.6899999999999998E-3</v>
      </c>
      <c r="BO89">
        <f t="shared" si="17"/>
        <v>-1.4400000000000003E-3</v>
      </c>
      <c r="BP89">
        <f t="shared" si="15"/>
        <v>3.3199999999999992E-3</v>
      </c>
      <c r="BQ89">
        <f t="shared" si="16"/>
        <v>1.0500000000000006E-3</v>
      </c>
      <c r="BR89">
        <f t="shared" si="16"/>
        <v>1.094E-2</v>
      </c>
      <c r="BS89">
        <f t="shared" si="16"/>
        <v>1.3729999999999999E-2</v>
      </c>
      <c r="BT89">
        <f t="shared" si="16"/>
        <v>7.5700000000000003E-3</v>
      </c>
      <c r="BU89">
        <f t="shared" si="16"/>
        <v>4.8999999999999998E-4</v>
      </c>
      <c r="BV89">
        <f t="shared" si="16"/>
        <v>-1.2240000000000001E-2</v>
      </c>
      <c r="BW89">
        <f t="shared" si="16"/>
        <v>-2.0929999999999997E-2</v>
      </c>
      <c r="BX89">
        <f t="shared" si="16"/>
        <v>-2.001E-2</v>
      </c>
      <c r="BY89">
        <f t="shared" si="16"/>
        <v>-1.5339999999999999E-2</v>
      </c>
      <c r="BZ89">
        <f t="shared" si="16"/>
        <v>-1.349E-2</v>
      </c>
      <c r="CA89">
        <f t="shared" si="16"/>
        <v>-7.1630000000000001E-3</v>
      </c>
      <c r="CB89">
        <f t="shared" si="16"/>
        <v>-2.0109999999999999E-2</v>
      </c>
      <c r="CC89">
        <f t="shared" si="16"/>
        <v>-1.6480000000000002E-2</v>
      </c>
      <c r="CD89">
        <f t="shared" si="16"/>
        <v>-1.303E-2</v>
      </c>
      <c r="CE89">
        <f t="shared" si="16"/>
        <v>-9.3699999999999999E-3</v>
      </c>
      <c r="CF89">
        <f t="shared" si="16"/>
        <v>-2.9999999999999992E-4</v>
      </c>
      <c r="CG89">
        <f t="shared" si="16"/>
        <v>-4.5700000000000011E-3</v>
      </c>
      <c r="CH89">
        <f t="shared" si="16"/>
        <v>-2.1409999999999998E-2</v>
      </c>
      <c r="CI89">
        <f t="shared" si="16"/>
        <v>-4.1610000000000001E-2</v>
      </c>
      <c r="CJ89">
        <f t="shared" si="16"/>
        <v>-4.965E-2</v>
      </c>
      <c r="CK89">
        <f t="shared" si="16"/>
        <v>-1.5980000000000001E-2</v>
      </c>
      <c r="CL89">
        <f t="shared" si="16"/>
        <v>-9.101999999999999E-3</v>
      </c>
      <c r="CM89">
        <f t="shared" si="16"/>
        <v>-5.6400000000000009E-3</v>
      </c>
      <c r="CN89">
        <f t="shared" si="16"/>
        <v>-3.8589999999999999E-2</v>
      </c>
      <c r="CO89">
        <f t="shared" si="16"/>
        <v>-3.9280000000000002E-2</v>
      </c>
      <c r="CP89">
        <f t="shared" si="16"/>
        <v>-2.8740000000000002E-2</v>
      </c>
      <c r="CQ89">
        <f t="shared" si="16"/>
        <v>-1.111E-2</v>
      </c>
      <c r="CR89">
        <f t="shared" si="16"/>
        <v>-3.7699999999999997E-2</v>
      </c>
      <c r="CS89">
        <f t="shared" si="16"/>
        <v>-5.0880000000000002E-2</v>
      </c>
      <c r="CT89">
        <f t="shared" si="16"/>
        <v>-5.0100000000000006E-2</v>
      </c>
      <c r="CU89">
        <f t="shared" si="16"/>
        <v>-7.1609999999999993E-2</v>
      </c>
      <c r="CV89">
        <f t="shared" si="16"/>
        <v>-2.86E-2</v>
      </c>
      <c r="CW89">
        <f t="shared" si="16"/>
        <v>-7.2099999999999997E-2</v>
      </c>
      <c r="CX89">
        <f t="shared" si="16"/>
        <v>-4.5630000000000004E-2</v>
      </c>
    </row>
    <row r="90" spans="1:102" x14ac:dyDescent="0.2">
      <c r="A90" t="s">
        <v>212</v>
      </c>
      <c r="B90" t="s">
        <v>220</v>
      </c>
      <c r="C90" t="s">
        <v>222</v>
      </c>
      <c r="D90">
        <f t="shared" si="17"/>
        <v>4.1549999999999997E-2</v>
      </c>
      <c r="E90">
        <f t="shared" si="17"/>
        <v>2.1700000000000001E-2</v>
      </c>
      <c r="F90">
        <f t="shared" si="17"/>
        <v>4.0700000000000007E-3</v>
      </c>
      <c r="G90">
        <f t="shared" si="17"/>
        <v>2.8170000000000001E-2</v>
      </c>
      <c r="H90">
        <f t="shared" si="17"/>
        <v>-5.1799999999999997E-3</v>
      </c>
      <c r="I90">
        <f t="shared" si="17"/>
        <v>1.0829999999999999E-2</v>
      </c>
      <c r="J90">
        <f t="shared" si="17"/>
        <v>4.5100000000000001E-3</v>
      </c>
      <c r="K90">
        <f t="shared" si="17"/>
        <v>4.3099999999999996E-3</v>
      </c>
      <c r="L90">
        <f t="shared" si="17"/>
        <v>7.43E-3</v>
      </c>
      <c r="M90">
        <f t="shared" si="17"/>
        <v>-3.8800000000000006E-3</v>
      </c>
      <c r="N90">
        <f t="shared" si="17"/>
        <v>-1.8900000000000002E-3</v>
      </c>
      <c r="O90">
        <f t="shared" si="17"/>
        <v>8.8900000000000003E-3</v>
      </c>
      <c r="P90">
        <f t="shared" si="17"/>
        <v>5.8700000000000002E-3</v>
      </c>
      <c r="Q90">
        <f t="shared" si="17"/>
        <v>4.64E-3</v>
      </c>
      <c r="R90">
        <f t="shared" si="17"/>
        <v>1.58E-3</v>
      </c>
      <c r="S90">
        <f t="shared" si="17"/>
        <v>1.4519999999999997E-3</v>
      </c>
      <c r="T90">
        <f t="shared" si="17"/>
        <v>2.4130000000000002E-3</v>
      </c>
      <c r="U90">
        <f t="shared" si="17"/>
        <v>2.9499999999999999E-3</v>
      </c>
      <c r="V90">
        <f t="shared" si="17"/>
        <v>3.4299999999999999E-3</v>
      </c>
      <c r="W90">
        <f t="shared" si="17"/>
        <v>2.8900000000000002E-3</v>
      </c>
      <c r="X90">
        <f t="shared" si="17"/>
        <v>3.2100000000000002E-3</v>
      </c>
      <c r="Y90">
        <f t="shared" si="17"/>
        <v>3.8400000000000001E-3</v>
      </c>
      <c r="Z90">
        <f t="shared" si="17"/>
        <v>3.5999999999999999E-3</v>
      </c>
      <c r="AA90">
        <f t="shared" si="17"/>
        <v>3.5399999999999997E-3</v>
      </c>
      <c r="AB90">
        <f t="shared" si="17"/>
        <v>3.29E-3</v>
      </c>
      <c r="AC90">
        <f t="shared" si="17"/>
        <v>3.13E-3</v>
      </c>
      <c r="AD90">
        <f t="shared" si="17"/>
        <v>2.65E-3</v>
      </c>
      <c r="AE90">
        <f t="shared" si="17"/>
        <v>1.993E-3</v>
      </c>
      <c r="AF90">
        <f t="shared" si="17"/>
        <v>1.836E-3</v>
      </c>
      <c r="AG90">
        <f t="shared" si="17"/>
        <v>6.559999999999999E-4</v>
      </c>
      <c r="AH90">
        <f t="shared" si="17"/>
        <v>2.360000000000001E-4</v>
      </c>
      <c r="AI90">
        <f t="shared" si="17"/>
        <v>2.2699999999999999E-4</v>
      </c>
      <c r="AJ90">
        <f t="shared" si="17"/>
        <v>6.5399999999999985E-4</v>
      </c>
      <c r="AK90">
        <f t="shared" si="17"/>
        <v>6.69E-4</v>
      </c>
      <c r="AL90">
        <f t="shared" si="17"/>
        <v>6.4400000000000004E-4</v>
      </c>
      <c r="AM90">
        <f t="shared" si="17"/>
        <v>5.8E-4</v>
      </c>
      <c r="AN90">
        <f t="shared" si="17"/>
        <v>4.7000000000000004E-4</v>
      </c>
      <c r="AO90">
        <f t="shared" si="17"/>
        <v>9.2400000000000013E-4</v>
      </c>
      <c r="AP90">
        <f t="shared" si="17"/>
        <v>1.3486000000000001E-3</v>
      </c>
      <c r="AQ90">
        <f t="shared" si="17"/>
        <v>1.6900000000000001E-3</v>
      </c>
      <c r="AR90">
        <f t="shared" si="17"/>
        <v>2.0400000000000001E-3</v>
      </c>
      <c r="AS90">
        <f t="shared" si="17"/>
        <v>1.8979999999999999E-3</v>
      </c>
      <c r="AT90">
        <f t="shared" si="17"/>
        <v>1.928E-3</v>
      </c>
      <c r="AU90">
        <f t="shared" si="17"/>
        <v>1.954E-3</v>
      </c>
      <c r="AV90">
        <f t="shared" si="17"/>
        <v>1.722E-3</v>
      </c>
      <c r="AW90">
        <f t="shared" si="17"/>
        <v>1.9060000000000001E-3</v>
      </c>
      <c r="AX90">
        <f t="shared" si="17"/>
        <v>1.9090000000000001E-3</v>
      </c>
      <c r="AY90">
        <f t="shared" si="17"/>
        <v>1.4239999999999999E-3</v>
      </c>
      <c r="AZ90">
        <f t="shared" si="17"/>
        <v>1.1267E-3</v>
      </c>
      <c r="BA90">
        <f t="shared" si="17"/>
        <v>6.3999999999999994E-4</v>
      </c>
      <c r="BB90">
        <f t="shared" si="17"/>
        <v>3.4299999999999988E-4</v>
      </c>
      <c r="BC90">
        <f t="shared" si="17"/>
        <v>8.3000000000000001E-4</v>
      </c>
      <c r="BD90">
        <f t="shared" si="17"/>
        <v>1.5969999999999999E-3</v>
      </c>
      <c r="BE90">
        <f t="shared" si="17"/>
        <v>1.6739999999999999E-3</v>
      </c>
      <c r="BF90">
        <f t="shared" si="17"/>
        <v>1.4989999999999999E-3</v>
      </c>
      <c r="BG90">
        <f t="shared" si="17"/>
        <v>1.6560000000000001E-3</v>
      </c>
      <c r="BH90">
        <f t="shared" si="17"/>
        <v>1.3319999999999999E-3</v>
      </c>
      <c r="BI90">
        <f t="shared" si="17"/>
        <v>1.1492000000000002E-3</v>
      </c>
      <c r="BJ90">
        <f t="shared" si="17"/>
        <v>1.366E-3</v>
      </c>
      <c r="BK90">
        <f t="shared" si="17"/>
        <v>1.1677E-3</v>
      </c>
      <c r="BL90">
        <f t="shared" si="17"/>
        <v>1.1684E-3</v>
      </c>
      <c r="BM90">
        <f t="shared" si="17"/>
        <v>1.575E-3</v>
      </c>
      <c r="BN90">
        <f t="shared" si="17"/>
        <v>2.0439999999999998E-3</v>
      </c>
      <c r="BO90">
        <f t="shared" ref="BO90" si="18">BO73+BO81</f>
        <v>2.7499999999999998E-3</v>
      </c>
      <c r="BP90">
        <f t="shared" si="15"/>
        <v>3.31E-3</v>
      </c>
      <c r="BQ90">
        <f t="shared" si="16"/>
        <v>3.81E-3</v>
      </c>
      <c r="BR90">
        <f t="shared" si="16"/>
        <v>3.8400000000000001E-3</v>
      </c>
      <c r="BS90">
        <f t="shared" si="16"/>
        <v>3.1400000000000004E-3</v>
      </c>
      <c r="BT90">
        <f t="shared" si="16"/>
        <v>3.8200000000000005E-3</v>
      </c>
      <c r="BU90">
        <f t="shared" si="16"/>
        <v>3.7000000000000002E-3</v>
      </c>
      <c r="BV90">
        <f t="shared" si="16"/>
        <v>2.7299999999999998E-3</v>
      </c>
      <c r="BW90">
        <f t="shared" si="16"/>
        <v>3.13E-3</v>
      </c>
      <c r="BX90">
        <f t="shared" si="16"/>
        <v>2.5399999999999997E-3</v>
      </c>
      <c r="BY90">
        <f t="shared" si="16"/>
        <v>3.2699999999999999E-3</v>
      </c>
      <c r="BZ90">
        <f t="shared" si="16"/>
        <v>3.79E-3</v>
      </c>
      <c r="CA90">
        <f t="shared" si="16"/>
        <v>4.6800000000000001E-3</v>
      </c>
      <c r="CB90">
        <f t="shared" si="16"/>
        <v>4.4099999999999999E-3</v>
      </c>
      <c r="CC90">
        <f t="shared" si="16"/>
        <v>4.5399999999999998E-3</v>
      </c>
      <c r="CD90">
        <f t="shared" si="16"/>
        <v>3.7000000000000002E-3</v>
      </c>
      <c r="CE90">
        <f t="shared" si="16"/>
        <v>3.4399999999999999E-3</v>
      </c>
      <c r="CF90">
        <f t="shared" si="16"/>
        <v>3.3E-3</v>
      </c>
      <c r="CG90">
        <f t="shared" si="16"/>
        <v>3.32E-3</v>
      </c>
      <c r="CH90">
        <f t="shared" si="16"/>
        <v>1.815E-3</v>
      </c>
      <c r="CI90">
        <f t="shared" si="16"/>
        <v>3.1499999999999996E-4</v>
      </c>
      <c r="CJ90">
        <f t="shared" si="16"/>
        <v>-1.0610000000000001E-3</v>
      </c>
      <c r="CK90">
        <f t="shared" si="16"/>
        <v>1.121E-3</v>
      </c>
      <c r="CL90">
        <f t="shared" si="16"/>
        <v>1.73E-3</v>
      </c>
      <c r="CM90">
        <f t="shared" si="16"/>
        <v>2.0100000000000001E-3</v>
      </c>
      <c r="CN90">
        <f t="shared" si="16"/>
        <v>1.5529999999999999E-3</v>
      </c>
      <c r="CO90">
        <f t="shared" si="16"/>
        <v>6.8500000000000006E-4</v>
      </c>
      <c r="CP90">
        <f t="shared" si="16"/>
        <v>-6.3000000000000013E-5</v>
      </c>
      <c r="CQ90">
        <f t="shared" si="16"/>
        <v>8.3359999999999999E-4</v>
      </c>
      <c r="CR90">
        <f t="shared" si="16"/>
        <v>-1.013E-3</v>
      </c>
      <c r="CS90">
        <f t="shared" si="16"/>
        <v>-2.467E-3</v>
      </c>
      <c r="CT90">
        <f t="shared" si="16"/>
        <v>-2.5149999999999999E-3</v>
      </c>
      <c r="CU90">
        <f t="shared" si="16"/>
        <v>-3.6419999999999998E-3</v>
      </c>
      <c r="CV90">
        <f t="shared" si="16"/>
        <v>-2.5999999999999999E-3</v>
      </c>
      <c r="CW90">
        <f t="shared" si="16"/>
        <v>-4.2769999999999996E-3</v>
      </c>
      <c r="CX90">
        <f t="shared" si="16"/>
        <v>2.1100000000000003E-4</v>
      </c>
    </row>
    <row r="91" spans="1:102" x14ac:dyDescent="0.2">
      <c r="A91" t="s">
        <v>213</v>
      </c>
      <c r="B91" t="s">
        <v>220</v>
      </c>
      <c r="C91" t="s">
        <v>222</v>
      </c>
      <c r="D91">
        <f t="shared" ref="D91:BO93" si="19">D74+D82</f>
        <v>-8.4399999999999989E-2</v>
      </c>
      <c r="E91">
        <f t="shared" si="19"/>
        <v>-4.8299999999999996E-2</v>
      </c>
      <c r="F91">
        <f t="shared" si="19"/>
        <v>1.54E-2</v>
      </c>
      <c r="G91">
        <f t="shared" si="19"/>
        <v>-0.12809999999999999</v>
      </c>
      <c r="H91">
        <f t="shared" si="19"/>
        <v>8.3900000000000002E-2</v>
      </c>
      <c r="I91">
        <f t="shared" si="19"/>
        <v>-7.0599999999999996E-2</v>
      </c>
      <c r="J91">
        <f t="shared" si="19"/>
        <v>5.000000000000001E-3</v>
      </c>
      <c r="K91">
        <f t="shared" si="19"/>
        <v>1.8999999999999989E-3</v>
      </c>
      <c r="L91">
        <f t="shared" si="19"/>
        <v>-3.1800000000000002E-2</v>
      </c>
      <c r="M91">
        <f t="shared" si="19"/>
        <v>9.7500000000000003E-2</v>
      </c>
      <c r="N91">
        <f t="shared" si="19"/>
        <v>8.5999999999999993E-2</v>
      </c>
      <c r="O91">
        <f t="shared" si="19"/>
        <v>-0.05</v>
      </c>
      <c r="P91">
        <f t="shared" si="19"/>
        <v>1.8999999999999989E-3</v>
      </c>
      <c r="Q91">
        <f t="shared" si="19"/>
        <v>2.2199999999999998E-2</v>
      </c>
      <c r="R91">
        <f t="shared" si="19"/>
        <v>4.4499999999999998E-2</v>
      </c>
      <c r="S91">
        <f t="shared" si="19"/>
        <v>2.819E-2</v>
      </c>
      <c r="T91">
        <f t="shared" si="19"/>
        <v>5.5499999999999994E-3</v>
      </c>
      <c r="U91">
        <f t="shared" si="19"/>
        <v>-4.6899999999999997E-3</v>
      </c>
      <c r="V91">
        <f t="shared" si="19"/>
        <v>-8.1899999999999994E-3</v>
      </c>
      <c r="W91">
        <f t="shared" si="19"/>
        <v>-1.031E-2</v>
      </c>
      <c r="X91">
        <f t="shared" si="19"/>
        <v>-1.7159999999999998E-2</v>
      </c>
      <c r="Y91">
        <f t="shared" si="19"/>
        <v>-3.108E-2</v>
      </c>
      <c r="Z91">
        <f t="shared" si="19"/>
        <v>-2.3140000000000001E-2</v>
      </c>
      <c r="AA91">
        <f t="shared" si="19"/>
        <v>-1.044E-2</v>
      </c>
      <c r="AB91">
        <f t="shared" si="19"/>
        <v>3.7000000000000054E-4</v>
      </c>
      <c r="AC91">
        <f t="shared" si="19"/>
        <v>9.3999999999999986E-3</v>
      </c>
      <c r="AD91">
        <f t="shared" si="19"/>
        <v>1.1720000000000001E-2</v>
      </c>
      <c r="AE91">
        <f t="shared" si="19"/>
        <v>1.004E-2</v>
      </c>
      <c r="AF91">
        <f t="shared" si="19"/>
        <v>1.0489999999999999E-2</v>
      </c>
      <c r="AG91">
        <f t="shared" si="19"/>
        <v>6.2599999999999999E-3</v>
      </c>
      <c r="AH91">
        <f t="shared" si="19"/>
        <v>1.4919999999999999E-2</v>
      </c>
      <c r="AI91">
        <f t="shared" si="19"/>
        <v>1.325E-2</v>
      </c>
      <c r="AJ91">
        <f t="shared" si="19"/>
        <v>9.9999999999999985E-3</v>
      </c>
      <c r="AK91">
        <f t="shared" si="19"/>
        <v>1.193E-2</v>
      </c>
      <c r="AL91">
        <f t="shared" si="19"/>
        <v>1.5030000000000002E-2</v>
      </c>
      <c r="AM91">
        <f t="shared" si="19"/>
        <v>8.7799999999999996E-3</v>
      </c>
      <c r="AN91">
        <f t="shared" si="19"/>
        <v>4.0099999999999997E-3</v>
      </c>
      <c r="AO91">
        <f t="shared" si="19"/>
        <v>4.0099999999999997E-3</v>
      </c>
      <c r="AP91">
        <f t="shared" si="19"/>
        <v>8.3800000000000003E-3</v>
      </c>
      <c r="AQ91">
        <f t="shared" si="19"/>
        <v>1.098E-2</v>
      </c>
      <c r="AR91">
        <f t="shared" si="19"/>
        <v>9.7999999999999997E-3</v>
      </c>
      <c r="AS91">
        <f t="shared" si="19"/>
        <v>7.8200000000000006E-3</v>
      </c>
      <c r="AT91">
        <f t="shared" si="19"/>
        <v>7.3200000000000001E-3</v>
      </c>
      <c r="AU91">
        <f t="shared" si="19"/>
        <v>1.091E-2</v>
      </c>
      <c r="AV91">
        <f t="shared" si="19"/>
        <v>2.3369999999999998E-2</v>
      </c>
      <c r="AW91">
        <f t="shared" si="19"/>
        <v>2.6159999999999999E-2</v>
      </c>
      <c r="AX91">
        <f t="shared" si="19"/>
        <v>1.6569999999999998E-2</v>
      </c>
      <c r="AY91">
        <f t="shared" si="19"/>
        <v>1.4829999999999999E-2</v>
      </c>
      <c r="AZ91">
        <f t="shared" si="19"/>
        <v>1.123E-2</v>
      </c>
      <c r="BA91">
        <f t="shared" si="19"/>
        <v>1.3000000000000001E-2</v>
      </c>
      <c r="BB91">
        <f t="shared" si="19"/>
        <v>8.8200000000000014E-3</v>
      </c>
      <c r="BC91">
        <f t="shared" si="19"/>
        <v>1.2110000000000001E-2</v>
      </c>
      <c r="BD91">
        <f t="shared" si="19"/>
        <v>8.905999999999999E-3</v>
      </c>
      <c r="BE91">
        <f t="shared" si="19"/>
        <v>1.0923E-2</v>
      </c>
      <c r="BF91">
        <f t="shared" si="19"/>
        <v>1.1789000000000001E-2</v>
      </c>
      <c r="BG91">
        <f t="shared" si="19"/>
        <v>1.9812E-2</v>
      </c>
      <c r="BH91">
        <f t="shared" si="19"/>
        <v>2.4820000000000002E-2</v>
      </c>
      <c r="BI91">
        <f t="shared" si="19"/>
        <v>1.8367999999999999E-2</v>
      </c>
      <c r="BJ91">
        <f t="shared" si="19"/>
        <v>1.7917000000000002E-2</v>
      </c>
      <c r="BK91">
        <f t="shared" si="19"/>
        <v>1.5495E-2</v>
      </c>
      <c r="BL91">
        <f t="shared" si="19"/>
        <v>1.4389000000000001E-2</v>
      </c>
      <c r="BM91">
        <f t="shared" si="19"/>
        <v>8.6629999999999988E-3</v>
      </c>
      <c r="BN91">
        <f t="shared" si="19"/>
        <v>3.9910000000000006E-3</v>
      </c>
      <c r="BO91">
        <f t="shared" si="19"/>
        <v>1.780956E-3</v>
      </c>
      <c r="BP91">
        <f t="shared" si="15"/>
        <v>1.859E-3</v>
      </c>
      <c r="BQ91">
        <f t="shared" si="16"/>
        <v>7.6049999999999998E-3</v>
      </c>
      <c r="BR91">
        <f t="shared" si="16"/>
        <v>1.3864E-2</v>
      </c>
      <c r="BS91">
        <f t="shared" si="16"/>
        <v>1.8914E-2</v>
      </c>
      <c r="BT91">
        <f t="shared" si="16"/>
        <v>2.9567000000000003E-2</v>
      </c>
      <c r="BU91">
        <f t="shared" si="16"/>
        <v>3.2459000000000002E-2</v>
      </c>
      <c r="BV91">
        <f t="shared" si="16"/>
        <v>3.7345999999999997E-2</v>
      </c>
      <c r="BW91">
        <f t="shared" si="16"/>
        <v>3.9898000000000003E-2</v>
      </c>
      <c r="BX91">
        <f t="shared" si="16"/>
        <v>2.4517000000000001E-2</v>
      </c>
      <c r="BY91">
        <f t="shared" si="16"/>
        <v>3.5224999999999999E-2</v>
      </c>
      <c r="BZ91">
        <f t="shared" si="16"/>
        <v>3.5843E-2</v>
      </c>
      <c r="CA91">
        <f t="shared" si="16"/>
        <v>3.3450000000000001E-2</v>
      </c>
      <c r="CB91">
        <f t="shared" si="16"/>
        <v>3.4509999999999999E-2</v>
      </c>
      <c r="CC91">
        <f t="shared" si="16"/>
        <v>4.6020000000000005E-2</v>
      </c>
      <c r="CD91">
        <f t="shared" si="16"/>
        <v>3.4759999999999999E-2</v>
      </c>
      <c r="CE91">
        <f t="shared" si="16"/>
        <v>3.1994000000000002E-2</v>
      </c>
      <c r="CF91">
        <f t="shared" si="16"/>
        <v>3.2479000000000001E-2</v>
      </c>
      <c r="CG91">
        <f t="shared" si="16"/>
        <v>4.2710000000000005E-2</v>
      </c>
      <c r="CH91">
        <f t="shared" si="16"/>
        <v>3.8339999999999999E-2</v>
      </c>
      <c r="CI91">
        <f t="shared" si="16"/>
        <v>4.0325E-2</v>
      </c>
      <c r="CJ91">
        <f t="shared" si="16"/>
        <v>3.3094999999999999E-2</v>
      </c>
      <c r="CK91">
        <f t="shared" si="16"/>
        <v>3.0620000000000001E-2</v>
      </c>
      <c r="CL91">
        <f t="shared" si="16"/>
        <v>2.6013000000000001E-2</v>
      </c>
      <c r="CM91">
        <f t="shared" si="16"/>
        <v>3.7969999999999997E-2</v>
      </c>
      <c r="CN91">
        <f t="shared" si="16"/>
        <v>5.4920000000000004E-2</v>
      </c>
      <c r="CO91">
        <f t="shared" si="16"/>
        <v>4.777E-2</v>
      </c>
      <c r="CP91">
        <f t="shared" si="16"/>
        <v>4.7611000000000001E-2</v>
      </c>
      <c r="CQ91">
        <f t="shared" si="16"/>
        <v>5.2450000000000004E-2</v>
      </c>
      <c r="CR91">
        <f t="shared" si="16"/>
        <v>6.3829999999999998E-2</v>
      </c>
      <c r="CS91">
        <f t="shared" si="16"/>
        <v>6.2330000000000003E-2</v>
      </c>
      <c r="CT91">
        <f t="shared" si="16"/>
        <v>6.4740000000000006E-2</v>
      </c>
      <c r="CU91">
        <f t="shared" si="16"/>
        <v>5.7063000000000003E-2</v>
      </c>
      <c r="CV91">
        <f t="shared" si="16"/>
        <v>3.8913999999999997E-2</v>
      </c>
      <c r="CW91">
        <f t="shared" si="16"/>
        <v>6.7326999999999998E-2</v>
      </c>
      <c r="CX91">
        <f t="shared" si="16"/>
        <v>6.7636999999999989E-2</v>
      </c>
    </row>
    <row r="92" spans="1:102" x14ac:dyDescent="0.2">
      <c r="A92" t="s">
        <v>214</v>
      </c>
      <c r="B92" t="s">
        <v>220</v>
      </c>
      <c r="C92" t="s">
        <v>222</v>
      </c>
      <c r="D92">
        <f t="shared" si="19"/>
        <v>4.4500000000000005E-2</v>
      </c>
      <c r="E92">
        <f t="shared" si="19"/>
        <v>5.7400000000000007E-2</v>
      </c>
      <c r="F92">
        <f t="shared" si="19"/>
        <v>5.0200000000000002E-2</v>
      </c>
      <c r="G92">
        <f t="shared" si="19"/>
        <v>4.07E-2</v>
      </c>
      <c r="H92">
        <f t="shared" si="19"/>
        <v>6.4500000000000002E-2</v>
      </c>
      <c r="I92">
        <f t="shared" si="19"/>
        <v>5.3000000000000005E-2</v>
      </c>
      <c r="J92">
        <f t="shared" si="19"/>
        <v>4.4399999999999995E-2</v>
      </c>
      <c r="K92">
        <f t="shared" si="19"/>
        <v>3.3490000000000006E-2</v>
      </c>
      <c r="L92">
        <f t="shared" si="19"/>
        <v>3.2899999999999999E-2</v>
      </c>
      <c r="M92">
        <f t="shared" si="19"/>
        <v>2.794E-2</v>
      </c>
      <c r="N92">
        <f t="shared" si="19"/>
        <v>2.2540000000000001E-2</v>
      </c>
      <c r="O92">
        <f t="shared" si="19"/>
        <v>1.0319999999999999E-2</v>
      </c>
      <c r="P92">
        <f t="shared" si="19"/>
        <v>2.3089999999999999E-2</v>
      </c>
      <c r="Q92">
        <f t="shared" si="19"/>
        <v>7.8799999999999999E-3</v>
      </c>
      <c r="R92">
        <f t="shared" si="19"/>
        <v>8.9300000000000004E-3</v>
      </c>
      <c r="S92">
        <f t="shared" si="19"/>
        <v>1.231E-2</v>
      </c>
      <c r="T92">
        <f t="shared" si="19"/>
        <v>2.7959999999999999E-3</v>
      </c>
      <c r="U92">
        <f t="shared" si="19"/>
        <v>8.3800000000000003E-3</v>
      </c>
      <c r="V92">
        <f t="shared" si="19"/>
        <v>6.0099999999999997E-3</v>
      </c>
      <c r="W92">
        <f t="shared" si="19"/>
        <v>5.3800000000000002E-3</v>
      </c>
      <c r="X92">
        <f t="shared" si="19"/>
        <v>6.6E-3</v>
      </c>
      <c r="Y92">
        <f t="shared" si="19"/>
        <v>3.4679999999999997E-3</v>
      </c>
      <c r="Z92">
        <f t="shared" si="19"/>
        <v>1.4299999999999998E-3</v>
      </c>
      <c r="AA92">
        <f t="shared" si="19"/>
        <v>-1.9600000000000004E-3</v>
      </c>
      <c r="AB92">
        <f t="shared" si="19"/>
        <v>7.6699999999999997E-3</v>
      </c>
      <c r="AC92">
        <f t="shared" si="19"/>
        <v>2.1000000000000012E-4</v>
      </c>
      <c r="AD92">
        <f t="shared" si="19"/>
        <v>2.3340000000000001E-3</v>
      </c>
      <c r="AE92">
        <f t="shared" si="19"/>
        <v>9.5999999999999992E-4</v>
      </c>
      <c r="AF92">
        <f t="shared" si="19"/>
        <v>7.6899999999999998E-3</v>
      </c>
      <c r="AG92">
        <f t="shared" si="19"/>
        <v>9.8200000000000006E-3</v>
      </c>
      <c r="AH92">
        <f t="shared" si="19"/>
        <v>8.6700000000000006E-3</v>
      </c>
      <c r="AI92">
        <f t="shared" si="19"/>
        <v>4.0899999999999999E-3</v>
      </c>
      <c r="AJ92">
        <f t="shared" si="19"/>
        <v>7.1999999999999998E-3</v>
      </c>
      <c r="AK92">
        <f t="shared" si="19"/>
        <v>3.3470000000000001E-3</v>
      </c>
      <c r="AL92">
        <f t="shared" si="19"/>
        <v>5.8799999999999998E-3</v>
      </c>
      <c r="AM92">
        <f t="shared" si="19"/>
        <v>6.1200000000000004E-3</v>
      </c>
      <c r="AN92">
        <f t="shared" si="19"/>
        <v>2.0799999999999998E-3</v>
      </c>
      <c r="AO92">
        <f t="shared" si="19"/>
        <v>1.5499999999999999E-3</v>
      </c>
      <c r="AP92">
        <f t="shared" si="19"/>
        <v>7.6E-3</v>
      </c>
      <c r="AQ92">
        <f t="shared" si="19"/>
        <v>6.0899999999999999E-3</v>
      </c>
      <c r="AR92">
        <f t="shared" si="19"/>
        <v>7.4699999999999992E-3</v>
      </c>
      <c r="AS92">
        <f t="shared" si="19"/>
        <v>3.2695000000000003E-3</v>
      </c>
      <c r="AT92">
        <f t="shared" si="19"/>
        <v>2.7929999999999999E-3</v>
      </c>
      <c r="AU92">
        <f t="shared" si="19"/>
        <v>1.8599999999999999E-3</v>
      </c>
      <c r="AV92">
        <f t="shared" si="19"/>
        <v>3.761E-3</v>
      </c>
      <c r="AW92">
        <f t="shared" si="19"/>
        <v>3.7720000000000002E-3</v>
      </c>
      <c r="AX92">
        <f t="shared" si="19"/>
        <v>2.516E-3</v>
      </c>
      <c r="AY92">
        <f t="shared" si="19"/>
        <v>4.0600000000000002E-3</v>
      </c>
      <c r="AZ92">
        <f t="shared" si="19"/>
        <v>7.5300000000000002E-3</v>
      </c>
      <c r="BA92">
        <f t="shared" si="19"/>
        <v>4.5699999999999994E-3</v>
      </c>
      <c r="BB92">
        <f t="shared" si="19"/>
        <v>5.0499999999999998E-3</v>
      </c>
      <c r="BC92">
        <f t="shared" si="19"/>
        <v>3.1002999999999998E-3</v>
      </c>
      <c r="BD92">
        <f t="shared" si="19"/>
        <v>3.7190000000000001E-3</v>
      </c>
      <c r="BE92">
        <f t="shared" si="19"/>
        <v>4.0759999999999998E-3</v>
      </c>
      <c r="BF92">
        <f t="shared" si="19"/>
        <v>5.7299999999999999E-3</v>
      </c>
      <c r="BG92">
        <f t="shared" si="19"/>
        <v>4.9800000000000001E-3</v>
      </c>
      <c r="BH92">
        <f t="shared" si="19"/>
        <v>4.4000000000000003E-3</v>
      </c>
      <c r="BI92">
        <f t="shared" si="19"/>
        <v>4.7000000000000002E-3</v>
      </c>
      <c r="BJ92">
        <f t="shared" si="19"/>
        <v>5.9000000000000025E-4</v>
      </c>
      <c r="BK92">
        <f t="shared" si="19"/>
        <v>1.0869999999999999E-2</v>
      </c>
      <c r="BL92">
        <f t="shared" si="19"/>
        <v>3.8600000000000001E-3</v>
      </c>
      <c r="BM92">
        <f t="shared" si="19"/>
        <v>6.5699999999999995E-3</v>
      </c>
      <c r="BN92">
        <f t="shared" si="19"/>
        <v>8.1099999999999992E-3</v>
      </c>
      <c r="BO92">
        <f t="shared" si="19"/>
        <v>9.6900000000000007E-3</v>
      </c>
      <c r="BP92">
        <f t="shared" si="15"/>
        <v>8.660000000000001E-3</v>
      </c>
      <c r="BQ92">
        <f t="shared" si="16"/>
        <v>4.1700000000000001E-3</v>
      </c>
      <c r="BR92">
        <f t="shared" si="16"/>
        <v>-6.2799999999999991E-3</v>
      </c>
      <c r="BS92">
        <f t="shared" si="16"/>
        <v>-2.6000000000000025E-4</v>
      </c>
      <c r="BT92">
        <f t="shared" si="16"/>
        <v>7.9500000000000005E-3</v>
      </c>
      <c r="BU92">
        <f t="shared" si="16"/>
        <v>8.2899999999999988E-3</v>
      </c>
      <c r="BV92">
        <f t="shared" si="16"/>
        <v>6.579999999999999E-3</v>
      </c>
      <c r="BW92">
        <f t="shared" si="16"/>
        <v>5.0200000000000002E-3</v>
      </c>
      <c r="BX92">
        <f t="shared" si="16"/>
        <v>0.01</v>
      </c>
      <c r="BY92">
        <f t="shared" si="16"/>
        <v>7.6899999999999998E-3</v>
      </c>
      <c r="BZ92">
        <f t="shared" si="16"/>
        <v>3.0050000000000003E-3</v>
      </c>
      <c r="CA92">
        <f t="shared" si="16"/>
        <v>5.1900000000000002E-3</v>
      </c>
      <c r="CB92">
        <f t="shared" si="16"/>
        <v>1.2620000000000001E-2</v>
      </c>
      <c r="CC92">
        <f t="shared" si="16"/>
        <v>9.0100000000000006E-3</v>
      </c>
      <c r="CD92">
        <f t="shared" si="16"/>
        <v>1.4450000000000001E-2</v>
      </c>
      <c r="CE92">
        <f t="shared" si="16"/>
        <v>1.473E-2</v>
      </c>
      <c r="CF92">
        <f t="shared" si="16"/>
        <v>1.1900000000000001E-3</v>
      </c>
      <c r="CG92">
        <f t="shared" si="16"/>
        <v>1.384E-2</v>
      </c>
      <c r="CH92">
        <f t="shared" si="16"/>
        <v>1.0449999999999999E-2</v>
      </c>
      <c r="CI92">
        <f t="shared" si="16"/>
        <v>1.7520000000000001E-2</v>
      </c>
      <c r="CJ92">
        <f t="shared" si="16"/>
        <v>1.1480000000000001E-2</v>
      </c>
      <c r="CK92">
        <f t="shared" si="16"/>
        <v>1.9049999999999997E-2</v>
      </c>
      <c r="CL92">
        <f t="shared" si="16"/>
        <v>1.545E-2</v>
      </c>
      <c r="CM92">
        <f t="shared" si="16"/>
        <v>1.78E-2</v>
      </c>
      <c r="CN92">
        <f t="shared" si="16"/>
        <v>1.8350000000000002E-2</v>
      </c>
      <c r="CO92">
        <f t="shared" si="16"/>
        <v>1.694E-2</v>
      </c>
      <c r="CP92">
        <f t="shared" si="16"/>
        <v>1.6629999999999999E-2</v>
      </c>
      <c r="CQ92">
        <f t="shared" si="16"/>
        <v>2.8080000000000001E-2</v>
      </c>
      <c r="CR92">
        <f t="shared" si="16"/>
        <v>3.1530000000000002E-2</v>
      </c>
      <c r="CS92">
        <f t="shared" si="16"/>
        <v>2.1940000000000001E-2</v>
      </c>
      <c r="CT92">
        <f t="shared" si="16"/>
        <v>4.2459999999999998E-2</v>
      </c>
      <c r="CU92">
        <f t="shared" si="16"/>
        <v>3.7905999999999995E-2</v>
      </c>
      <c r="CV92">
        <f t="shared" si="16"/>
        <v>3.9333E-2</v>
      </c>
      <c r="CW92">
        <f t="shared" si="16"/>
        <v>4.0184999999999998E-2</v>
      </c>
      <c r="CX92">
        <f t="shared" si="16"/>
        <v>4.2647000000000004E-2</v>
      </c>
    </row>
    <row r="93" spans="1:102" x14ac:dyDescent="0.2">
      <c r="A93" t="s">
        <v>215</v>
      </c>
      <c r="B93" t="s">
        <v>220</v>
      </c>
      <c r="C93" t="s">
        <v>222</v>
      </c>
      <c r="D93">
        <f t="shared" si="19"/>
        <v>-1.8200000000000004E-2</v>
      </c>
      <c r="E93">
        <f t="shared" si="19"/>
        <v>-2.7299999999999998E-2</v>
      </c>
      <c r="F93">
        <f t="shared" si="19"/>
        <v>-2.5100000000000001E-2</v>
      </c>
      <c r="G93">
        <f t="shared" si="19"/>
        <v>-6.0999999999999999E-2</v>
      </c>
      <c r="H93">
        <f t="shared" si="19"/>
        <v>-4.2000000000000023E-3</v>
      </c>
      <c r="I93">
        <f t="shared" si="19"/>
        <v>-2.0999999999999977E-3</v>
      </c>
      <c r="J93">
        <f t="shared" si="19"/>
        <v>-2.7400000000000001E-2</v>
      </c>
      <c r="K93">
        <f t="shared" si="19"/>
        <v>-2.75E-2</v>
      </c>
      <c r="L93">
        <f t="shared" si="19"/>
        <v>-2.9599999999999998E-2</v>
      </c>
      <c r="M93">
        <f t="shared" si="19"/>
        <v>-1.9200000000000002E-2</v>
      </c>
      <c r="N93">
        <f t="shared" si="19"/>
        <v>-6.4999999999999988E-3</v>
      </c>
      <c r="O93">
        <f t="shared" si="19"/>
        <v>-1.0999999999999999E-2</v>
      </c>
      <c r="P93">
        <f t="shared" si="19"/>
        <v>1.9000000000000006E-3</v>
      </c>
      <c r="Q93">
        <f t="shared" si="19"/>
        <v>3.8300000000000009E-3</v>
      </c>
      <c r="R93">
        <f t="shared" si="19"/>
        <v>9.7900000000000001E-3</v>
      </c>
      <c r="S93">
        <f t="shared" si="19"/>
        <v>7.1869999999999998E-3</v>
      </c>
      <c r="T93">
        <f t="shared" si="19"/>
        <v>9.1800000000000007E-3</v>
      </c>
      <c r="U93">
        <f t="shared" si="19"/>
        <v>5.5100000000000001E-3</v>
      </c>
      <c r="V93">
        <f t="shared" si="19"/>
        <v>5.9360000000000003E-3</v>
      </c>
      <c r="W93">
        <f t="shared" si="19"/>
        <v>3.2799999999999999E-3</v>
      </c>
      <c r="X93">
        <f t="shared" si="19"/>
        <v>3.2800000000000004E-3</v>
      </c>
      <c r="Y93">
        <f t="shared" si="19"/>
        <v>1.9699999999999995E-3</v>
      </c>
      <c r="Z93">
        <f t="shared" si="19"/>
        <v>5.8539999999999998E-3</v>
      </c>
      <c r="AA93">
        <f t="shared" si="19"/>
        <v>4.8850000000000005E-3</v>
      </c>
      <c r="AB93">
        <f t="shared" si="19"/>
        <v>5.9789999999999999E-3</v>
      </c>
      <c r="AC93">
        <f t="shared" si="19"/>
        <v>5.8810000000000008E-3</v>
      </c>
      <c r="AD93">
        <f t="shared" si="19"/>
        <v>7.6600000000000001E-3</v>
      </c>
      <c r="AE93">
        <f t="shared" si="19"/>
        <v>8.7600000000000004E-3</v>
      </c>
      <c r="AF93">
        <f t="shared" si="19"/>
        <v>6.9199999999999991E-3</v>
      </c>
      <c r="AG93">
        <f t="shared" si="19"/>
        <v>7.2399999999999999E-3</v>
      </c>
      <c r="AH93">
        <f t="shared" si="19"/>
        <v>7.9799999999999992E-3</v>
      </c>
      <c r="AI93">
        <f t="shared" si="19"/>
        <v>7.5799999999999999E-3</v>
      </c>
      <c r="AJ93">
        <f t="shared" si="19"/>
        <v>6.4100000000000008E-3</v>
      </c>
      <c r="AK93">
        <f t="shared" si="19"/>
        <v>9.4799999999999988E-3</v>
      </c>
      <c r="AL93">
        <f t="shared" si="19"/>
        <v>8.4700000000000001E-3</v>
      </c>
      <c r="AM93">
        <f t="shared" si="19"/>
        <v>7.4700000000000001E-3</v>
      </c>
      <c r="AN93">
        <f t="shared" si="19"/>
        <v>5.77E-3</v>
      </c>
      <c r="AO93">
        <f t="shared" si="19"/>
        <v>7.5300000000000002E-3</v>
      </c>
      <c r="AP93">
        <f t="shared" si="19"/>
        <v>7.1500000000000001E-3</v>
      </c>
      <c r="AQ93">
        <f t="shared" si="19"/>
        <v>8.4399999999999996E-3</v>
      </c>
      <c r="AR93">
        <f t="shared" si="19"/>
        <v>1.3100000000000001E-2</v>
      </c>
      <c r="AS93">
        <f t="shared" si="19"/>
        <v>7.4000000000000003E-3</v>
      </c>
      <c r="AT93">
        <f t="shared" si="19"/>
        <v>8.150000000000001E-3</v>
      </c>
      <c r="AU93">
        <f t="shared" si="19"/>
        <v>9.7999999999999997E-3</v>
      </c>
      <c r="AV93">
        <f t="shared" si="19"/>
        <v>1.155E-2</v>
      </c>
      <c r="AW93">
        <f t="shared" si="19"/>
        <v>1.133E-2</v>
      </c>
      <c r="AX93">
        <f t="shared" si="19"/>
        <v>8.4599999999999988E-3</v>
      </c>
      <c r="AY93">
        <f t="shared" si="19"/>
        <v>8.8699999999999994E-3</v>
      </c>
      <c r="AZ93">
        <f t="shared" si="19"/>
        <v>6.7600000000000004E-3</v>
      </c>
      <c r="BA93">
        <f t="shared" si="19"/>
        <v>3.7009999999999999E-3</v>
      </c>
      <c r="BB93">
        <f t="shared" si="19"/>
        <v>1.7299999999999998E-3</v>
      </c>
      <c r="BC93">
        <f t="shared" si="19"/>
        <v>2.0299999999999997E-3</v>
      </c>
      <c r="BD93">
        <f t="shared" si="19"/>
        <v>3.2699999999999999E-3</v>
      </c>
      <c r="BE93">
        <f t="shared" si="19"/>
        <v>3.7999999999999996E-3</v>
      </c>
      <c r="BF93">
        <f t="shared" si="19"/>
        <v>4.241E-3</v>
      </c>
      <c r="BG93">
        <f t="shared" si="19"/>
        <v>5.1879999999999999E-3</v>
      </c>
      <c r="BH93">
        <f t="shared" si="19"/>
        <v>5.2630000000000003E-3</v>
      </c>
      <c r="BI93">
        <f t="shared" si="19"/>
        <v>-9.1999999999999981E-4</v>
      </c>
      <c r="BJ93">
        <f t="shared" si="19"/>
        <v>-2.1700000000000001E-3</v>
      </c>
      <c r="BK93">
        <f t="shared" si="19"/>
        <v>-1.2999999999999991E-4</v>
      </c>
      <c r="BL93">
        <f t="shared" si="19"/>
        <v>8.1999999999999998E-4</v>
      </c>
      <c r="BM93">
        <f t="shared" si="19"/>
        <v>1.6599999999999996E-3</v>
      </c>
      <c r="BN93">
        <f t="shared" si="19"/>
        <v>-7.3000000000000061E-4</v>
      </c>
      <c r="BO93">
        <f t="shared" si="19"/>
        <v>-5.1800000000000006E-3</v>
      </c>
      <c r="BP93">
        <f t="shared" si="15"/>
        <v>-4.5999999999999999E-3</v>
      </c>
      <c r="BQ93">
        <f t="shared" si="16"/>
        <v>-4.0400000000000002E-3</v>
      </c>
      <c r="BR93">
        <f t="shared" si="16"/>
        <v>-4.0100000000000005E-3</v>
      </c>
      <c r="BS93">
        <f t="shared" si="16"/>
        <v>-1.5300000000000001E-3</v>
      </c>
      <c r="BT93">
        <f t="shared" si="16"/>
        <v>2.2100000000000002E-3</v>
      </c>
      <c r="BU93">
        <f t="shared" si="16"/>
        <v>1.34E-3</v>
      </c>
      <c r="BV93">
        <f t="shared" si="16"/>
        <v>-4.4999999999999988E-4</v>
      </c>
      <c r="BW93">
        <f t="shared" si="16"/>
        <v>-7.8000000000000031E-4</v>
      </c>
      <c r="BX93">
        <f t="shared" si="16"/>
        <v>-5.9299999999999995E-3</v>
      </c>
      <c r="BY93">
        <f t="shared" si="16"/>
        <v>-6.6399999999999992E-3</v>
      </c>
      <c r="BZ93">
        <f t="shared" si="16"/>
        <v>-7.7299999999999999E-3</v>
      </c>
      <c r="CA93">
        <f t="shared" si="16"/>
        <v>5.5100000000000001E-3</v>
      </c>
      <c r="CB93">
        <f t="shared" si="16"/>
        <v>7.2200000000000007E-3</v>
      </c>
      <c r="CC93">
        <f t="shared" si="16"/>
        <v>1.1050000000000001E-2</v>
      </c>
      <c r="CD93">
        <f t="shared" si="16"/>
        <v>1.0409999999999999E-2</v>
      </c>
      <c r="CE93">
        <f t="shared" si="16"/>
        <v>1.08185E-2</v>
      </c>
      <c r="CF93">
        <f t="shared" si="16"/>
        <v>1.021E-2</v>
      </c>
      <c r="CG93">
        <f t="shared" si="16"/>
        <v>8.5649999999999997E-3</v>
      </c>
      <c r="CH93">
        <f t="shared" ref="CH93:CX93" si="20">CH76+CH84</f>
        <v>6.7359999999999998E-3</v>
      </c>
      <c r="CI93">
        <f t="shared" si="20"/>
        <v>8.2410000000000001E-3</v>
      </c>
      <c r="CJ93">
        <f t="shared" si="20"/>
        <v>1.299E-2</v>
      </c>
      <c r="CK93">
        <f t="shared" si="20"/>
        <v>1.814E-2</v>
      </c>
      <c r="CL93">
        <f t="shared" si="20"/>
        <v>1.2900000000000002E-2</v>
      </c>
      <c r="CM93">
        <f t="shared" si="20"/>
        <v>2.5699999999999994E-3</v>
      </c>
      <c r="CN93">
        <f t="shared" si="20"/>
        <v>-9.6999999999999951E-4</v>
      </c>
      <c r="CO93">
        <f t="shared" si="20"/>
        <v>-9.7000000000000003E-3</v>
      </c>
      <c r="CP93">
        <f t="shared" si="20"/>
        <v>-7.980000000000001E-3</v>
      </c>
      <c r="CQ93">
        <f t="shared" si="20"/>
        <v>-6.7499999999999999E-3</v>
      </c>
      <c r="CR93">
        <f t="shared" si="20"/>
        <v>-2.18E-2</v>
      </c>
      <c r="CS93">
        <f t="shared" si="20"/>
        <v>-1.7680000000000001E-2</v>
      </c>
      <c r="CT93">
        <f t="shared" si="20"/>
        <v>-1.95E-2</v>
      </c>
      <c r="CU93">
        <f t="shared" si="20"/>
        <v>-1.8079999999999999E-2</v>
      </c>
      <c r="CV93">
        <f t="shared" si="20"/>
        <v>-1.013E-2</v>
      </c>
      <c r="CW93">
        <f t="shared" si="20"/>
        <v>-1.881E-2</v>
      </c>
      <c r="CX93">
        <f t="shared" si="20"/>
        <v>-2.179E-2</v>
      </c>
    </row>
    <row r="94" spans="1:102" x14ac:dyDescent="0.2">
      <c r="A94" t="s">
        <v>216</v>
      </c>
      <c r="B94" t="s">
        <v>220</v>
      </c>
      <c r="C94" t="s">
        <v>222</v>
      </c>
      <c r="D94">
        <f>D85</f>
        <v>0.22700000000000001</v>
      </c>
      <c r="E94">
        <f t="shared" ref="E94:BP94" si="21">E85</f>
        <v>-0.33300000000000002</v>
      </c>
      <c r="F94">
        <f t="shared" si="21"/>
        <v>-0.68</v>
      </c>
      <c r="G94">
        <f t="shared" si="21"/>
        <v>0.36099999999999999</v>
      </c>
      <c r="H94">
        <f t="shared" si="21"/>
        <v>-0.93</v>
      </c>
      <c r="I94">
        <f t="shared" si="21"/>
        <v>-7.22E-2</v>
      </c>
      <c r="J94">
        <f t="shared" si="21"/>
        <v>-0.375</v>
      </c>
      <c r="K94">
        <f t="shared" si="21"/>
        <v>-0.27</v>
      </c>
      <c r="L94">
        <f t="shared" si="21"/>
        <v>-2.4899999999999999E-2</v>
      </c>
      <c r="M94">
        <f t="shared" si="21"/>
        <v>-0.53100000000000003</v>
      </c>
      <c r="N94">
        <f t="shared" si="21"/>
        <v>-0.43099999999999999</v>
      </c>
      <c r="O94">
        <f t="shared" si="21"/>
        <v>0.183</v>
      </c>
      <c r="P94">
        <f t="shared" si="21"/>
        <v>-4.3400000000000001E-2</v>
      </c>
      <c r="Q94">
        <f t="shared" si="21"/>
        <v>-4.7100000000000003E-2</v>
      </c>
      <c r="R94">
        <f t="shared" si="21"/>
        <v>-0.112</v>
      </c>
      <c r="S94">
        <f t="shared" si="21"/>
        <v>-8.6499999999999994E-2</v>
      </c>
      <c r="T94">
        <f t="shared" si="21"/>
        <v>4.6699999999999998E-2</v>
      </c>
      <c r="U94">
        <f t="shared" si="21"/>
        <v>8.4599999999999995E-2</v>
      </c>
      <c r="V94">
        <f t="shared" si="21"/>
        <v>0.13100000000000001</v>
      </c>
      <c r="W94">
        <f t="shared" si="21"/>
        <v>0.11899999999999999</v>
      </c>
      <c r="X94">
        <f t="shared" si="21"/>
        <v>9.7600000000000006E-2</v>
      </c>
      <c r="Y94">
        <f t="shared" si="21"/>
        <v>0.19700000000000001</v>
      </c>
      <c r="Z94">
        <f t="shared" si="21"/>
        <v>0.17799999999999999</v>
      </c>
      <c r="AA94">
        <f t="shared" si="21"/>
        <v>0.13100000000000001</v>
      </c>
      <c r="AB94">
        <f t="shared" si="21"/>
        <v>8.7599999999999997E-2</v>
      </c>
      <c r="AC94">
        <f t="shared" si="21"/>
        <v>6.2600000000000003E-2</v>
      </c>
      <c r="AD94">
        <f t="shared" si="21"/>
        <v>5.3600000000000002E-2</v>
      </c>
      <c r="AE94">
        <f t="shared" si="21"/>
        <v>3.49E-2</v>
      </c>
      <c r="AF94">
        <f t="shared" si="21"/>
        <v>2.2499999999999999E-2</v>
      </c>
      <c r="AG94">
        <f t="shared" si="21"/>
        <v>1.5800000000000002E-2</v>
      </c>
      <c r="AH94">
        <f t="shared" si="21"/>
        <v>-2.02E-4</v>
      </c>
      <c r="AI94">
        <f t="shared" si="21"/>
        <v>-8.1600000000000006E-3</v>
      </c>
      <c r="AJ94">
        <f t="shared" si="21"/>
        <v>-2.6599999999999999E-2</v>
      </c>
      <c r="AK94">
        <f t="shared" si="21"/>
        <v>-4.3799999999999999E-2</v>
      </c>
      <c r="AL94">
        <f t="shared" si="21"/>
        <v>-5.8000000000000003E-2</v>
      </c>
      <c r="AM94">
        <f t="shared" si="21"/>
        <v>-5.5800000000000002E-2</v>
      </c>
      <c r="AN94">
        <f t="shared" si="21"/>
        <v>-4.3999999999999997E-2</v>
      </c>
      <c r="AO94">
        <f t="shared" si="21"/>
        <v>-4.6100000000000002E-2</v>
      </c>
      <c r="AP94">
        <f t="shared" si="21"/>
        <v>-6.2100000000000002E-2</v>
      </c>
      <c r="AQ94">
        <f t="shared" si="21"/>
        <v>-4.5699999999999998E-2</v>
      </c>
      <c r="AR94">
        <f t="shared" si="21"/>
        <v>-4.7899999999999998E-2</v>
      </c>
      <c r="AS94">
        <f t="shared" si="21"/>
        <v>-7.0699999999999999E-3</v>
      </c>
      <c r="AT94">
        <f t="shared" si="21"/>
        <v>-8.5800000000000008E-3</v>
      </c>
      <c r="AU94">
        <f t="shared" si="21"/>
        <v>-3.6800000000000001E-3</v>
      </c>
      <c r="AV94">
        <f t="shared" si="21"/>
        <v>-4.2299999999999997E-2</v>
      </c>
      <c r="AW94">
        <f t="shared" si="21"/>
        <v>-4.7699999999999999E-2</v>
      </c>
      <c r="AX94">
        <f t="shared" si="21"/>
        <v>-5.0799999999999998E-2</v>
      </c>
      <c r="AY94">
        <f t="shared" si="21"/>
        <v>-1.1299999999999999E-2</v>
      </c>
      <c r="AZ94">
        <f t="shared" si="21"/>
        <v>-1.49E-2</v>
      </c>
      <c r="BA94">
        <f t="shared" si="21"/>
        <v>1.5299999999999999E-2</v>
      </c>
      <c r="BB94">
        <f t="shared" si="21"/>
        <v>2.9100000000000001E-2</v>
      </c>
      <c r="BC94">
        <f t="shared" si="21"/>
        <v>5.8099999999999999E-2</v>
      </c>
      <c r="BD94">
        <f t="shared" si="21"/>
        <v>6.3899999999999998E-2</v>
      </c>
      <c r="BE94">
        <f t="shared" si="21"/>
        <v>7.4300000000000005E-2</v>
      </c>
      <c r="BF94">
        <f t="shared" si="21"/>
        <v>6.9000000000000006E-2</v>
      </c>
      <c r="BG94">
        <f t="shared" si="21"/>
        <v>3.7199999999999997E-2</v>
      </c>
      <c r="BH94">
        <f t="shared" si="21"/>
        <v>-4.1900000000000001E-3</v>
      </c>
      <c r="BI94">
        <f t="shared" si="21"/>
        <v>-3.6299999999999999E-2</v>
      </c>
      <c r="BJ94">
        <f t="shared" si="21"/>
        <v>-5.91E-2</v>
      </c>
      <c r="BK94">
        <f t="shared" si="21"/>
        <v>-6.7199999999999996E-2</v>
      </c>
      <c r="BL94">
        <f t="shared" si="21"/>
        <v>-4.1700000000000001E-2</v>
      </c>
      <c r="BM94">
        <f t="shared" si="21"/>
        <v>-3.0800000000000001E-2</v>
      </c>
      <c r="BN94">
        <f t="shared" si="21"/>
        <v>7.7600000000000004E-3</v>
      </c>
      <c r="BO94">
        <f t="shared" si="21"/>
        <v>0.10100000000000001</v>
      </c>
      <c r="BP94">
        <f t="shared" si="21"/>
        <v>0.183</v>
      </c>
      <c r="BQ94">
        <f t="shared" ref="BQ94:CX94" si="22">BQ85</f>
        <v>0.17699999999999999</v>
      </c>
      <c r="BR94">
        <f t="shared" si="22"/>
        <v>0.13300000000000001</v>
      </c>
      <c r="BS94">
        <f t="shared" si="22"/>
        <v>0.11700000000000001</v>
      </c>
      <c r="BT94">
        <f t="shared" si="22"/>
        <v>0.114</v>
      </c>
      <c r="BU94">
        <f t="shared" si="22"/>
        <v>4.4999999999999998E-2</v>
      </c>
      <c r="BV94">
        <f t="shared" si="22"/>
        <v>-0.111</v>
      </c>
      <c r="BW94">
        <f t="shared" si="22"/>
        <v>-0.16300000000000001</v>
      </c>
      <c r="BX94">
        <f t="shared" si="22"/>
        <v>-0.104</v>
      </c>
      <c r="BY94">
        <f t="shared" si="22"/>
        <v>-3.2500000000000001E-2</v>
      </c>
      <c r="BZ94">
        <f t="shared" si="22"/>
        <v>3.0300000000000001E-3</v>
      </c>
      <c r="CA94">
        <f t="shared" si="22"/>
        <v>-1.0999999999999999E-2</v>
      </c>
      <c r="CB94">
        <f t="shared" si="22"/>
        <v>-6.8199999999999997E-3</v>
      </c>
      <c r="CC94">
        <f t="shared" si="22"/>
        <v>1.38E-2</v>
      </c>
      <c r="CD94">
        <f t="shared" si="22"/>
        <v>9.9400000000000002E-2</v>
      </c>
      <c r="CE94">
        <f t="shared" si="22"/>
        <v>0.188</v>
      </c>
      <c r="CF94">
        <f t="shared" si="22"/>
        <v>0.20899999999999999</v>
      </c>
      <c r="CG94">
        <f t="shared" si="22"/>
        <v>0.126</v>
      </c>
      <c r="CH94">
        <f t="shared" si="22"/>
        <v>-7.5399999999999995E-2</v>
      </c>
      <c r="CI94">
        <f t="shared" si="22"/>
        <v>-0.17100000000000001</v>
      </c>
      <c r="CJ94">
        <f t="shared" si="22"/>
        <v>-0.158</v>
      </c>
      <c r="CK94">
        <f t="shared" si="22"/>
        <v>0.19800000000000001</v>
      </c>
      <c r="CL94">
        <f t="shared" si="22"/>
        <v>0.26100000000000001</v>
      </c>
      <c r="CM94">
        <f t="shared" si="22"/>
        <v>0.20100000000000001</v>
      </c>
      <c r="CN94">
        <f t="shared" si="22"/>
        <v>0.106</v>
      </c>
      <c r="CO94">
        <f t="shared" si="22"/>
        <v>0.11700000000000001</v>
      </c>
      <c r="CP94">
        <f t="shared" si="22"/>
        <v>0.18099999999999999</v>
      </c>
      <c r="CQ94">
        <f t="shared" si="22"/>
        <v>0.28399999999999997</v>
      </c>
      <c r="CR94">
        <f t="shared" si="22"/>
        <v>0.14099999999999999</v>
      </c>
      <c r="CS94">
        <f t="shared" si="22"/>
        <v>4.1599999999999996E-3</v>
      </c>
      <c r="CT94">
        <f t="shared" si="22"/>
        <v>9.4899999999999998E-2</v>
      </c>
      <c r="CU94">
        <f t="shared" si="22"/>
        <v>-8.0199999999999994E-3</v>
      </c>
      <c r="CV94">
        <f t="shared" si="22"/>
        <v>0.34200000000000003</v>
      </c>
      <c r="CW94">
        <f t="shared" si="22"/>
        <v>-7.9399999999999991E-3</v>
      </c>
      <c r="CX94">
        <f t="shared" si="22"/>
        <v>3.6700000000000003E-2</v>
      </c>
    </row>
    <row r="95" spans="1:102" x14ac:dyDescent="0.2">
      <c r="A95" t="s">
        <v>203</v>
      </c>
      <c r="B95" t="s">
        <v>217</v>
      </c>
      <c r="C95" t="s">
        <v>223</v>
      </c>
      <c r="D95">
        <f>'2020_2021 0-&gt;1'!B2</f>
        <v>2.3300000000000001E-2</v>
      </c>
      <c r="E95">
        <f>'2020_2021 0-&gt;1'!C2</f>
        <v>8.8800000000000004E-2</v>
      </c>
      <c r="F95">
        <f>'2020_2021 0-&gt;1'!D2</f>
        <v>0.154</v>
      </c>
      <c r="G95">
        <f>'2020_2021 0-&gt;1'!E2</f>
        <v>0.28999999999999998</v>
      </c>
      <c r="H95">
        <f>'2020_2021 0-&gt;1'!F2</f>
        <v>0.55400000000000005</v>
      </c>
      <c r="I95">
        <f>'2020_2021 0-&gt;1'!G2</f>
        <v>0.84099999999999997</v>
      </c>
      <c r="J95">
        <f>'2020_2021 0-&gt;1'!H2</f>
        <v>0.95799999999999996</v>
      </c>
      <c r="K95">
        <f>'2020_2021 0-&gt;1'!I2</f>
        <v>1.069</v>
      </c>
      <c r="L95">
        <f>'2020_2021 0-&gt;1'!J2</f>
        <v>1.169</v>
      </c>
      <c r="M95">
        <f>'2020_2021 0-&gt;1'!K2</f>
        <v>1.2490000000000001</v>
      </c>
      <c r="N95">
        <f>'2020_2021 0-&gt;1'!L2</f>
        <v>1.353</v>
      </c>
      <c r="O95">
        <f>'2020_2021 0-&gt;1'!M2</f>
        <v>1.4019999999999999</v>
      </c>
      <c r="P95">
        <f>'2020_2021 0-&gt;1'!N2</f>
        <v>1.484</v>
      </c>
      <c r="Q95">
        <f>'2020_2021 0-&gt;1'!O2</f>
        <v>1.536</v>
      </c>
      <c r="R95">
        <f>'2020_2021 0-&gt;1'!P2</f>
        <v>1.5569999999999999</v>
      </c>
      <c r="S95">
        <f>'2020_2021 0-&gt;1'!Q2</f>
        <v>1.62</v>
      </c>
      <c r="T95">
        <f>'2020_2021 0-&gt;1'!R2</f>
        <v>1.6619999999999999</v>
      </c>
      <c r="U95">
        <f>'2020_2021 0-&gt;1'!S2</f>
        <v>1.6870000000000001</v>
      </c>
      <c r="V95">
        <f>'2020_2021 0-&gt;1'!T2</f>
        <v>1.7090000000000001</v>
      </c>
      <c r="W95">
        <f>'2020_2021 0-&gt;1'!U2</f>
        <v>1.756</v>
      </c>
      <c r="X95">
        <f>'2020_2021 0-&gt;1'!V2</f>
        <v>1.7569999999999999</v>
      </c>
      <c r="Y95">
        <f>'2020_2021 0-&gt;1'!W2</f>
        <v>1.7569999999999999</v>
      </c>
      <c r="Z95">
        <f>'2020_2021 0-&gt;1'!X2</f>
        <v>1.762</v>
      </c>
      <c r="AA95">
        <f>'2020_2021 0-&gt;1'!Y2</f>
        <v>1.7589999999999999</v>
      </c>
      <c r="AB95">
        <f>'2020_2021 0-&gt;1'!Z2</f>
        <v>1.8009999999999999</v>
      </c>
      <c r="AC95">
        <f>'2020_2021 0-&gt;1'!AA2</f>
        <v>1.821</v>
      </c>
      <c r="AD95">
        <f>'2020_2021 0-&gt;1'!AB2</f>
        <v>1.8440000000000001</v>
      </c>
      <c r="AE95">
        <f>'2020_2021 0-&gt;1'!AC2</f>
        <v>1.853</v>
      </c>
      <c r="AF95">
        <f>'2020_2021 0-&gt;1'!AD2</f>
        <v>1.8540000000000001</v>
      </c>
      <c r="AG95">
        <f>'2020_2021 0-&gt;1'!AE2</f>
        <v>1.853</v>
      </c>
      <c r="AH95">
        <f>'2020_2021 0-&gt;1'!AF2</f>
        <v>1.89</v>
      </c>
      <c r="AI95">
        <f>'2020_2021 0-&gt;1'!AG2</f>
        <v>1.923</v>
      </c>
      <c r="AJ95">
        <f>'2020_2021 0-&gt;1'!AH2</f>
        <v>1.9430000000000001</v>
      </c>
      <c r="AK95">
        <f>'2020_2021 0-&gt;1'!AI2</f>
        <v>1.94</v>
      </c>
      <c r="AL95">
        <f>'2020_2021 0-&gt;1'!AJ2</f>
        <v>1.9570000000000001</v>
      </c>
      <c r="AM95">
        <f>'2020_2021 0-&gt;1'!AK2</f>
        <v>1.982</v>
      </c>
      <c r="AN95">
        <f>'2020_2021 0-&gt;1'!AL2</f>
        <v>2.0190000000000001</v>
      </c>
      <c r="AO95">
        <f>'2020_2021 0-&gt;1'!AM2</f>
        <v>2.0449999999999999</v>
      </c>
      <c r="AP95">
        <f>'2020_2021 0-&gt;1'!AN2</f>
        <v>2.0459999999999998</v>
      </c>
      <c r="AQ95">
        <f>'2020_2021 0-&gt;1'!AO2</f>
        <v>2.0670000000000002</v>
      </c>
      <c r="AR95">
        <f>'2020_2021 0-&gt;1'!AP2</f>
        <v>2.0870000000000002</v>
      </c>
      <c r="AS95">
        <f>'2020_2021 0-&gt;1'!AQ2</f>
        <v>2.1</v>
      </c>
      <c r="AT95">
        <f>'2020_2021 0-&gt;1'!AR2</f>
        <v>2.1349999999999998</v>
      </c>
      <c r="AU95">
        <f>'2020_2021 0-&gt;1'!AS2</f>
        <v>2.141</v>
      </c>
      <c r="AV95">
        <f>'2020_2021 0-&gt;1'!AT2</f>
        <v>2.169</v>
      </c>
      <c r="AW95">
        <f>'2020_2021 0-&gt;1'!AU2</f>
        <v>2.1640000000000001</v>
      </c>
      <c r="AX95">
        <f>'2020_2021 0-&gt;1'!AV2</f>
        <v>2.1909999999999998</v>
      </c>
      <c r="AY95">
        <f>'2020_2021 0-&gt;1'!AW2</f>
        <v>2.2269999999999999</v>
      </c>
      <c r="AZ95">
        <f>'2020_2021 0-&gt;1'!AX2</f>
        <v>2.2280000000000002</v>
      </c>
      <c r="BA95">
        <f>'2020_2021 0-&gt;1'!AY2</f>
        <v>2.2480000000000002</v>
      </c>
      <c r="BB95">
        <f>'2020_2021 0-&gt;1'!AZ2</f>
        <v>2.2679999999999998</v>
      </c>
      <c r="BC95">
        <f>'2020_2021 0-&gt;1'!BA2</f>
        <v>2.2930000000000001</v>
      </c>
      <c r="BD95">
        <f>'2020_2021 0-&gt;1'!BB2</f>
        <v>2.3319999999999999</v>
      </c>
      <c r="BE95">
        <f>'2020_2021 0-&gt;1'!BC2</f>
        <v>2.3460000000000001</v>
      </c>
      <c r="BF95">
        <f>'2020_2021 0-&gt;1'!BD2</f>
        <v>2.3570000000000002</v>
      </c>
      <c r="BG95">
        <f>'2020_2021 0-&gt;1'!BE2</f>
        <v>2.3780000000000001</v>
      </c>
      <c r="BH95">
        <f>'2020_2021 0-&gt;1'!BF2</f>
        <v>2.4079999999999999</v>
      </c>
      <c r="BI95">
        <f>'2020_2021 0-&gt;1'!BG2</f>
        <v>2.456</v>
      </c>
      <c r="BJ95">
        <f>'2020_2021 0-&gt;1'!BH2</f>
        <v>2.4500000000000002</v>
      </c>
      <c r="BK95">
        <f>'2020_2021 0-&gt;1'!BI2</f>
        <v>2.4510000000000001</v>
      </c>
      <c r="BL95">
        <f>'2020_2021 0-&gt;1'!BJ2</f>
        <v>2.452</v>
      </c>
      <c r="BM95">
        <f>'2020_2021 0-&gt;1'!BK2</f>
        <v>2.4940000000000002</v>
      </c>
      <c r="BN95">
        <f>'2020_2021 0-&gt;1'!BL2</f>
        <v>2.5339999999999998</v>
      </c>
      <c r="BO95">
        <f>'2020_2021 0-&gt;1'!BM2</f>
        <v>2.5470000000000002</v>
      </c>
      <c r="BP95">
        <f>'2020_2021 0-&gt;1'!BN2</f>
        <v>2.5779999999999998</v>
      </c>
      <c r="BQ95">
        <f>'2020_2021 0-&gt;1'!BO2</f>
        <v>2.6040000000000001</v>
      </c>
      <c r="BR95">
        <f>'2020_2021 0-&gt;1'!BP2</f>
        <v>2.6339999999999999</v>
      </c>
      <c r="BS95">
        <f>'2020_2021 0-&gt;1'!BQ2</f>
        <v>2.6819999999999999</v>
      </c>
      <c r="BT95">
        <f>'2020_2021 0-&gt;1'!BR2</f>
        <v>2.6760000000000002</v>
      </c>
      <c r="BU95">
        <f>'2020_2021 0-&gt;1'!BS2</f>
        <v>2.7410000000000001</v>
      </c>
      <c r="BV95">
        <f>'2020_2021 0-&gt;1'!BT2</f>
        <v>2.7669999999999999</v>
      </c>
      <c r="BW95">
        <f>'2020_2021 0-&gt;1'!BU2</f>
        <v>2.7869999999999999</v>
      </c>
      <c r="BX95">
        <f>'2020_2021 0-&gt;1'!BV2</f>
        <v>2.831</v>
      </c>
      <c r="BY95">
        <f>'2020_2021 0-&gt;1'!BW2</f>
        <v>2.855</v>
      </c>
      <c r="BZ95">
        <f>'2020_2021 0-&gt;1'!BX2</f>
        <v>2.8570000000000002</v>
      </c>
      <c r="CA95">
        <f>'2020_2021 0-&gt;1'!BY2</f>
        <v>2.915</v>
      </c>
      <c r="CB95">
        <f>'2020_2021 0-&gt;1'!BZ2</f>
        <v>2.9620000000000002</v>
      </c>
      <c r="CC95">
        <f>'2020_2021 0-&gt;1'!CA2</f>
        <v>3.008</v>
      </c>
      <c r="CD95">
        <f>'2020_2021 0-&gt;1'!CB2</f>
        <v>3.05</v>
      </c>
      <c r="CE95">
        <f>'2020_2021 0-&gt;1'!CC2</f>
        <v>3.1160000000000001</v>
      </c>
      <c r="CF95">
        <f>'2020_2021 0-&gt;1'!CD2</f>
        <v>3.1709999999999998</v>
      </c>
      <c r="CG95">
        <f>'2020_2021 0-&gt;1'!CE2</f>
        <v>3.145</v>
      </c>
      <c r="CH95">
        <f>'2020_2021 0-&gt;1'!CF2</f>
        <v>3.2189999999999999</v>
      </c>
      <c r="CI95">
        <f>'2020_2021 0-&gt;1'!CG2</f>
        <v>3.2709999999999999</v>
      </c>
      <c r="CJ95">
        <f>'2020_2021 0-&gt;1'!CH2</f>
        <v>3.3639999999999999</v>
      </c>
      <c r="CK95">
        <f>'2020_2021 0-&gt;1'!CI2</f>
        <v>3.3679999999999999</v>
      </c>
      <c r="CL95">
        <f>'2020_2021 0-&gt;1'!CJ2</f>
        <v>3.4550000000000001</v>
      </c>
      <c r="CM95">
        <f>'2020_2021 0-&gt;1'!CK2</f>
        <v>3.548</v>
      </c>
      <c r="CN95">
        <f>'2020_2021 0-&gt;1'!CL2</f>
        <v>3.61</v>
      </c>
      <c r="CO95">
        <f>'2020_2021 0-&gt;1'!CM2</f>
        <v>3.7050000000000001</v>
      </c>
      <c r="CP95">
        <f>'2020_2021 0-&gt;1'!CN2</f>
        <v>3.835</v>
      </c>
      <c r="CQ95">
        <f>'2020_2021 0-&gt;1'!CO2</f>
        <v>3.9319999999999999</v>
      </c>
      <c r="CR95">
        <f>'2020_2021 0-&gt;1'!CP2</f>
        <v>4.0640000000000001</v>
      </c>
      <c r="CS95">
        <f>'2020_2021 0-&gt;1'!CQ2</f>
        <v>4.2439999999999998</v>
      </c>
      <c r="CT95">
        <f>'2020_2021 0-&gt;1'!CR2</f>
        <v>4.4660000000000002</v>
      </c>
      <c r="CU95">
        <f>'2020_2021 0-&gt;1'!CS2</f>
        <v>4.7560000000000002</v>
      </c>
      <c r="CV95">
        <f>'2020_2021 0-&gt;1'!CT2</f>
        <v>5.3419999999999996</v>
      </c>
      <c r="CW95">
        <f>'2020_2021 0-&gt;1'!CU2</f>
        <v>5.82</v>
      </c>
      <c r="CX95">
        <f>'2020_2021 0-&gt;1'!CV2</f>
        <v>6.5430000000000001</v>
      </c>
    </row>
    <row r="96" spans="1:102" x14ac:dyDescent="0.2">
      <c r="A96" t="s">
        <v>204</v>
      </c>
      <c r="B96" t="s">
        <v>217</v>
      </c>
      <c r="C96" t="s">
        <v>223</v>
      </c>
      <c r="D96">
        <f>'2020_2021 0-&gt;1'!B3</f>
        <v>2.3099999999999999E-2</v>
      </c>
      <c r="E96">
        <f>'2020_2021 0-&gt;1'!C3</f>
        <v>8.8800000000000004E-2</v>
      </c>
      <c r="F96">
        <f>'2020_2021 0-&gt;1'!D3</f>
        <v>0.154</v>
      </c>
      <c r="G96">
        <f>'2020_2021 0-&gt;1'!E3</f>
        <v>0.21199999999999999</v>
      </c>
      <c r="H96">
        <f>'2020_2021 0-&gt;1'!F3</f>
        <v>0.6</v>
      </c>
      <c r="I96">
        <f>'2020_2021 0-&gt;1'!G3</f>
        <v>0.84299999999999997</v>
      </c>
      <c r="J96">
        <f>'2020_2021 0-&gt;1'!H3</f>
        <v>0.92700000000000005</v>
      </c>
      <c r="K96">
        <f>'2020_2021 0-&gt;1'!I3</f>
        <v>1.1160000000000001</v>
      </c>
      <c r="L96">
        <f>'2020_2021 0-&gt;1'!J3</f>
        <v>1.1950000000000001</v>
      </c>
      <c r="M96">
        <f>'2020_2021 0-&gt;1'!K3</f>
        <v>1.298</v>
      </c>
      <c r="N96">
        <f>'2020_2021 0-&gt;1'!L3</f>
        <v>1.399</v>
      </c>
      <c r="O96">
        <f>'2020_2021 0-&gt;1'!M3</f>
        <v>1.4510000000000001</v>
      </c>
      <c r="P96">
        <f>'2020_2021 0-&gt;1'!N3</f>
        <v>1.536</v>
      </c>
      <c r="Q96">
        <f>'2020_2021 0-&gt;1'!O3</f>
        <v>1.581</v>
      </c>
      <c r="R96">
        <f>'2020_2021 0-&gt;1'!P3</f>
        <v>1.6120000000000001</v>
      </c>
      <c r="S96">
        <f>'2020_2021 0-&gt;1'!Q3</f>
        <v>1.655</v>
      </c>
      <c r="T96">
        <f>'2020_2021 0-&gt;1'!R3</f>
        <v>1.6950000000000001</v>
      </c>
      <c r="U96">
        <f>'2020_2021 0-&gt;1'!S3</f>
        <v>1.714</v>
      </c>
      <c r="V96">
        <f>'2020_2021 0-&gt;1'!T3</f>
        <v>1.748</v>
      </c>
      <c r="W96">
        <f>'2020_2021 0-&gt;1'!U3</f>
        <v>1.7589999999999999</v>
      </c>
      <c r="X96">
        <f>'2020_2021 0-&gt;1'!V3</f>
        <v>1.7989999999999999</v>
      </c>
      <c r="Y96">
        <f>'2020_2021 0-&gt;1'!W3</f>
        <v>1.8069999999999999</v>
      </c>
      <c r="Z96">
        <f>'2020_2021 0-&gt;1'!X3</f>
        <v>1.804</v>
      </c>
      <c r="AA96">
        <f>'2020_2021 0-&gt;1'!Y3</f>
        <v>1.8140000000000001</v>
      </c>
      <c r="AB96">
        <f>'2020_2021 0-&gt;1'!Z3</f>
        <v>1.8420000000000001</v>
      </c>
      <c r="AC96">
        <f>'2020_2021 0-&gt;1'!AA3</f>
        <v>1.8520000000000001</v>
      </c>
      <c r="AD96">
        <f>'2020_2021 0-&gt;1'!AB3</f>
        <v>1.865</v>
      </c>
      <c r="AE96">
        <f>'2020_2021 0-&gt;1'!AC3</f>
        <v>1.891</v>
      </c>
      <c r="AF96">
        <f>'2020_2021 0-&gt;1'!AD3</f>
        <v>1.897</v>
      </c>
      <c r="AG96">
        <f>'2020_2021 0-&gt;1'!AE3</f>
        <v>1.9339999999999999</v>
      </c>
      <c r="AH96">
        <f>'2020_2021 0-&gt;1'!AF3</f>
        <v>1.968</v>
      </c>
      <c r="AI96">
        <f>'2020_2021 0-&gt;1'!AG3</f>
        <v>1.986</v>
      </c>
      <c r="AJ96">
        <f>'2020_2021 0-&gt;1'!AH3</f>
        <v>1.986</v>
      </c>
      <c r="AK96">
        <f>'2020_2021 0-&gt;1'!AI3</f>
        <v>2.0089999999999999</v>
      </c>
      <c r="AL96">
        <f>'2020_2021 0-&gt;1'!AJ3</f>
        <v>2.032</v>
      </c>
      <c r="AM96">
        <f>'2020_2021 0-&gt;1'!AK3</f>
        <v>2.0619999999999998</v>
      </c>
      <c r="AN96">
        <f>'2020_2021 0-&gt;1'!AL3</f>
        <v>2.0859999999999999</v>
      </c>
      <c r="AO96">
        <f>'2020_2021 0-&gt;1'!AM3</f>
        <v>2.093</v>
      </c>
      <c r="AP96">
        <f>'2020_2021 0-&gt;1'!AN3</f>
        <v>2.1160000000000001</v>
      </c>
      <c r="AQ96">
        <f>'2020_2021 0-&gt;1'!AO3</f>
        <v>2.1269999999999998</v>
      </c>
      <c r="AR96">
        <f>'2020_2021 0-&gt;1'!AP3</f>
        <v>2.145</v>
      </c>
      <c r="AS96">
        <f>'2020_2021 0-&gt;1'!AQ3</f>
        <v>2.1779999999999999</v>
      </c>
      <c r="AT96">
        <f>'2020_2021 0-&gt;1'!AR3</f>
        <v>2.2029999999999998</v>
      </c>
      <c r="AU96">
        <f>'2020_2021 0-&gt;1'!AS3</f>
        <v>2.2069999999999999</v>
      </c>
      <c r="AV96">
        <f>'2020_2021 0-&gt;1'!AT3</f>
        <v>2.218</v>
      </c>
      <c r="AW96">
        <f>'2020_2021 0-&gt;1'!AU3</f>
        <v>2.266</v>
      </c>
      <c r="AX96">
        <f>'2020_2021 0-&gt;1'!AV3</f>
        <v>2.274</v>
      </c>
      <c r="AY96">
        <f>'2020_2021 0-&gt;1'!AW3</f>
        <v>2.294</v>
      </c>
      <c r="AZ96">
        <f>'2020_2021 0-&gt;1'!AX3</f>
        <v>2.3149999999999999</v>
      </c>
      <c r="BA96">
        <f>'2020_2021 0-&gt;1'!AY3</f>
        <v>2.3319999999999999</v>
      </c>
      <c r="BB96">
        <f>'2020_2021 0-&gt;1'!AZ3</f>
        <v>2.3660000000000001</v>
      </c>
      <c r="BC96">
        <f>'2020_2021 0-&gt;1'!BA3</f>
        <v>2.3919999999999999</v>
      </c>
      <c r="BD96">
        <f>'2020_2021 0-&gt;1'!BB3</f>
        <v>2.4</v>
      </c>
      <c r="BE96">
        <f>'2020_2021 0-&gt;1'!BC3</f>
        <v>2.415</v>
      </c>
      <c r="BF96">
        <f>'2020_2021 0-&gt;1'!BD3</f>
        <v>2.4649999999999999</v>
      </c>
      <c r="BG96">
        <f>'2020_2021 0-&gt;1'!BE3</f>
        <v>2.496</v>
      </c>
      <c r="BH96">
        <f>'2020_2021 0-&gt;1'!BF3</f>
        <v>2.4940000000000002</v>
      </c>
      <c r="BI96">
        <f>'2020_2021 0-&gt;1'!BG3</f>
        <v>2.4980000000000002</v>
      </c>
      <c r="BJ96">
        <f>'2020_2021 0-&gt;1'!BH3</f>
        <v>2.5070000000000001</v>
      </c>
      <c r="BK96">
        <f>'2020_2021 0-&gt;1'!BI3</f>
        <v>2.54</v>
      </c>
      <c r="BL96">
        <f>'2020_2021 0-&gt;1'!BJ3</f>
        <v>2.581</v>
      </c>
      <c r="BM96">
        <f>'2020_2021 0-&gt;1'!BK3</f>
        <v>2.613</v>
      </c>
      <c r="BN96">
        <f>'2020_2021 0-&gt;1'!BL3</f>
        <v>2.6349999999999998</v>
      </c>
      <c r="BO96">
        <f>'2020_2021 0-&gt;1'!BM3</f>
        <v>2.6760000000000002</v>
      </c>
      <c r="BP96">
        <f>'2020_2021 0-&gt;1'!BN3</f>
        <v>2.718</v>
      </c>
      <c r="BQ96">
        <f>'2020_2021 0-&gt;1'!BO3</f>
        <v>2.7189999999999999</v>
      </c>
      <c r="BR96">
        <f>'2020_2021 0-&gt;1'!BP3</f>
        <v>2.754</v>
      </c>
      <c r="BS96">
        <f>'2020_2021 0-&gt;1'!BQ3</f>
        <v>2.7890000000000001</v>
      </c>
      <c r="BT96">
        <f>'2020_2021 0-&gt;1'!BR3</f>
        <v>2.8069999999999999</v>
      </c>
      <c r="BU96">
        <f>'2020_2021 0-&gt;1'!BS3</f>
        <v>2.8490000000000002</v>
      </c>
      <c r="BV96">
        <f>'2020_2021 0-&gt;1'!BT3</f>
        <v>2.899</v>
      </c>
      <c r="BW96">
        <f>'2020_2021 0-&gt;1'!BU3</f>
        <v>2.9020000000000001</v>
      </c>
      <c r="BX96">
        <f>'2020_2021 0-&gt;1'!BV3</f>
        <v>2.9390000000000001</v>
      </c>
      <c r="BY96">
        <f>'2020_2021 0-&gt;1'!BW3</f>
        <v>2.9860000000000002</v>
      </c>
      <c r="BZ96">
        <f>'2020_2021 0-&gt;1'!BX3</f>
        <v>3.0209999999999999</v>
      </c>
      <c r="CA96">
        <f>'2020_2021 0-&gt;1'!BY3</f>
        <v>3.081</v>
      </c>
      <c r="CB96">
        <f>'2020_2021 0-&gt;1'!BZ3</f>
        <v>3.13</v>
      </c>
      <c r="CC96">
        <f>'2020_2021 0-&gt;1'!CA3</f>
        <v>3.198</v>
      </c>
      <c r="CD96">
        <f>'2020_2021 0-&gt;1'!CB3</f>
        <v>3.1989999999999998</v>
      </c>
      <c r="CE96">
        <f>'2020_2021 0-&gt;1'!CC3</f>
        <v>3.2509999999999999</v>
      </c>
      <c r="CF96">
        <f>'2020_2021 0-&gt;1'!CD3</f>
        <v>3.3159999999999998</v>
      </c>
      <c r="CG96">
        <f>'2020_2021 0-&gt;1'!CE3</f>
        <v>3.4079999999999999</v>
      </c>
      <c r="CH96">
        <f>'2020_2021 0-&gt;1'!CF3</f>
        <v>3.4180000000000001</v>
      </c>
      <c r="CI96">
        <f>'2020_2021 0-&gt;1'!CG3</f>
        <v>3.5009999999999999</v>
      </c>
      <c r="CJ96">
        <f>'2020_2021 0-&gt;1'!CH3</f>
        <v>3.61</v>
      </c>
      <c r="CK96">
        <f>'2020_2021 0-&gt;1'!CI3</f>
        <v>3.6949999999999998</v>
      </c>
      <c r="CL96">
        <f>'2020_2021 0-&gt;1'!CJ3</f>
        <v>3.7850000000000001</v>
      </c>
      <c r="CM96">
        <f>'2020_2021 0-&gt;1'!CK3</f>
        <v>3.887</v>
      </c>
      <c r="CN96">
        <f>'2020_2021 0-&gt;1'!CL3</f>
        <v>4.0250000000000004</v>
      </c>
      <c r="CO96">
        <f>'2020_2021 0-&gt;1'!CM3</f>
        <v>4.1479999999999997</v>
      </c>
      <c r="CP96">
        <f>'2020_2021 0-&gt;1'!CN3</f>
        <v>4.37</v>
      </c>
      <c r="CQ96">
        <f>'2020_2021 0-&gt;1'!CO3</f>
        <v>4.5960000000000001</v>
      </c>
      <c r="CR96">
        <f>'2020_2021 0-&gt;1'!CP3</f>
        <v>4.9770000000000003</v>
      </c>
      <c r="CS96">
        <f>'2020_2021 0-&gt;1'!CQ3</f>
        <v>5.49</v>
      </c>
      <c r="CT96">
        <f>'2020_2021 0-&gt;1'!CR3</f>
        <v>5.6029999999999998</v>
      </c>
      <c r="CU96">
        <f>'2020_2021 0-&gt;1'!CS3</f>
        <v>5.9020000000000001</v>
      </c>
      <c r="CV96">
        <f>'2020_2021 0-&gt;1'!CT3</f>
        <v>6.1879999999999997</v>
      </c>
      <c r="CW96">
        <f>'2020_2021 0-&gt;1'!CU3</f>
        <v>6.6340000000000003</v>
      </c>
      <c r="CX96">
        <f>'2020_2021 0-&gt;1'!CV3</f>
        <v>7.1070000000000002</v>
      </c>
    </row>
    <row r="97" spans="1:102" x14ac:dyDescent="0.2">
      <c r="A97" t="s">
        <v>205</v>
      </c>
      <c r="B97" t="s">
        <v>217</v>
      </c>
      <c r="C97" t="s">
        <v>223</v>
      </c>
      <c r="D97">
        <f>'2020_2021 0-&gt;1'!B4</f>
        <v>1.94E-4</v>
      </c>
      <c r="E97">
        <f>'2020_2021 0-&gt;1'!C4</f>
        <v>6.1699999999999995E-5</v>
      </c>
      <c r="F97">
        <f>'2020_2021 0-&gt;1'!D4</f>
        <v>-7.0699999999999997E-5</v>
      </c>
      <c r="G97">
        <f>'2020_2021 0-&gt;1'!E4</f>
        <v>7.8200000000000006E-2</v>
      </c>
      <c r="H97">
        <f>'2020_2021 0-&gt;1'!F4</f>
        <v>-4.53E-2</v>
      </c>
      <c r="I97">
        <f>'2020_2021 0-&gt;1'!G4</f>
        <v>-2.0400000000000001E-3</v>
      </c>
      <c r="J97">
        <f>'2020_2021 0-&gt;1'!H4</f>
        <v>3.0700000000000002E-2</v>
      </c>
      <c r="K97">
        <f>'2020_2021 0-&gt;1'!I4</f>
        <v>-4.7199999999999999E-2</v>
      </c>
      <c r="L97">
        <f>'2020_2021 0-&gt;1'!J4</f>
        <v>-2.6200000000000001E-2</v>
      </c>
      <c r="M97">
        <f>'2020_2021 0-&gt;1'!K4</f>
        <v>-4.9299999999999997E-2</v>
      </c>
      <c r="N97">
        <f>'2020_2021 0-&gt;1'!L4</f>
        <v>-4.6199999999999998E-2</v>
      </c>
      <c r="O97">
        <f>'2020_2021 0-&gt;1'!M4</f>
        <v>-4.8899999999999999E-2</v>
      </c>
      <c r="P97">
        <f>'2020_2021 0-&gt;1'!N4</f>
        <v>-5.2200000000000003E-2</v>
      </c>
      <c r="Q97">
        <f>'2020_2021 0-&gt;1'!O4</f>
        <v>-4.53E-2</v>
      </c>
      <c r="R97">
        <f>'2020_2021 0-&gt;1'!P4</f>
        <v>-5.5399999999999998E-2</v>
      </c>
      <c r="S97">
        <f>'2020_2021 0-&gt;1'!Q4</f>
        <v>-3.5099999999999999E-2</v>
      </c>
      <c r="T97">
        <f>'2020_2021 0-&gt;1'!R4</f>
        <v>-3.3399999999999999E-2</v>
      </c>
      <c r="U97">
        <f>'2020_2021 0-&gt;1'!S4</f>
        <v>-2.64E-2</v>
      </c>
      <c r="V97">
        <f>'2020_2021 0-&gt;1'!T4</f>
        <v>-3.8699999999999998E-2</v>
      </c>
      <c r="W97">
        <f>'2020_2021 0-&gt;1'!U4</f>
        <v>-2.6800000000000001E-3</v>
      </c>
      <c r="X97">
        <f>'2020_2021 0-&gt;1'!V4</f>
        <v>-4.2599999999999999E-2</v>
      </c>
      <c r="Y97">
        <f>'2020_2021 0-&gt;1'!W4</f>
        <v>-4.9500000000000002E-2</v>
      </c>
      <c r="Z97">
        <f>'2020_2021 0-&gt;1'!X4</f>
        <v>-4.1599999999999998E-2</v>
      </c>
      <c r="AA97">
        <f>'2020_2021 0-&gt;1'!Y4</f>
        <v>-5.4800000000000001E-2</v>
      </c>
      <c r="AB97">
        <f>'2020_2021 0-&gt;1'!Z4</f>
        <v>-4.0899999999999999E-2</v>
      </c>
      <c r="AC97">
        <f>'2020_2021 0-&gt;1'!AA4</f>
        <v>-3.0300000000000001E-2</v>
      </c>
      <c r="AD97">
        <f>'2020_2021 0-&gt;1'!AB4</f>
        <v>-2.1299999999999999E-2</v>
      </c>
      <c r="AE97">
        <f>'2020_2021 0-&gt;1'!AC4</f>
        <v>-3.85E-2</v>
      </c>
      <c r="AF97">
        <f>'2020_2021 0-&gt;1'!AD4</f>
        <v>-4.3099999999999999E-2</v>
      </c>
      <c r="AG97">
        <f>'2020_2021 0-&gt;1'!AE4</f>
        <v>-8.1100000000000005E-2</v>
      </c>
      <c r="AH97">
        <f>'2020_2021 0-&gt;1'!AF4</f>
        <v>-7.8299999999999995E-2</v>
      </c>
      <c r="AI97">
        <f>'2020_2021 0-&gt;1'!AG4</f>
        <v>-6.2600000000000003E-2</v>
      </c>
      <c r="AJ97">
        <f>'2020_2021 0-&gt;1'!AH4</f>
        <v>-4.3200000000000002E-2</v>
      </c>
      <c r="AK97">
        <f>'2020_2021 0-&gt;1'!AI4</f>
        <v>-6.8099999999999994E-2</v>
      </c>
      <c r="AL97">
        <f>'2020_2021 0-&gt;1'!AJ4</f>
        <v>-7.4999999999999997E-2</v>
      </c>
      <c r="AM97">
        <f>'2020_2021 0-&gt;1'!AK4</f>
        <v>-7.9899999999999999E-2</v>
      </c>
      <c r="AN97">
        <f>'2020_2021 0-&gt;1'!AL4</f>
        <v>-6.6799999999999998E-2</v>
      </c>
      <c r="AO97">
        <f>'2020_2021 0-&gt;1'!AM4</f>
        <v>-4.8000000000000001E-2</v>
      </c>
      <c r="AP97">
        <f>'2020_2021 0-&gt;1'!AN4</f>
        <v>-7.0400000000000004E-2</v>
      </c>
      <c r="AQ97">
        <f>'2020_2021 0-&gt;1'!AO4</f>
        <v>-5.9499999999999997E-2</v>
      </c>
      <c r="AR97">
        <f>'2020_2021 0-&gt;1'!AP4</f>
        <v>-5.8099999999999999E-2</v>
      </c>
      <c r="AS97">
        <f>'2020_2021 0-&gt;1'!AQ4</f>
        <v>-7.7799999999999994E-2</v>
      </c>
      <c r="AT97">
        <f>'2020_2021 0-&gt;1'!AR4</f>
        <v>-6.8500000000000005E-2</v>
      </c>
      <c r="AU97">
        <f>'2020_2021 0-&gt;1'!AS4</f>
        <v>-6.54E-2</v>
      </c>
      <c r="AV97">
        <f>'2020_2021 0-&gt;1'!AT4</f>
        <v>-4.9200000000000001E-2</v>
      </c>
      <c r="AW97">
        <f>'2020_2021 0-&gt;1'!AU4</f>
        <v>-0.10299999999999999</v>
      </c>
      <c r="AX97">
        <f>'2020_2021 0-&gt;1'!AV4</f>
        <v>-8.2400000000000001E-2</v>
      </c>
      <c r="AY97">
        <f>'2020_2021 0-&gt;1'!AW4</f>
        <v>-6.7500000000000004E-2</v>
      </c>
      <c r="AZ97">
        <f>'2020_2021 0-&gt;1'!AX4</f>
        <v>-8.7800000000000003E-2</v>
      </c>
      <c r="BA97">
        <f>'2020_2021 0-&gt;1'!AY4</f>
        <v>-8.3599999999999994E-2</v>
      </c>
      <c r="BB97">
        <f>'2020_2021 0-&gt;1'!AZ4</f>
        <v>-9.8100000000000007E-2</v>
      </c>
      <c r="BC97">
        <f>'2020_2021 0-&gt;1'!BA4</f>
        <v>-9.9000000000000005E-2</v>
      </c>
      <c r="BD97">
        <f>'2020_2021 0-&gt;1'!BB4</f>
        <v>-6.7900000000000002E-2</v>
      </c>
      <c r="BE97">
        <f>'2020_2021 0-&gt;1'!BC4</f>
        <v>-6.9099999999999995E-2</v>
      </c>
      <c r="BF97">
        <f>'2020_2021 0-&gt;1'!BD4</f>
        <v>-0.108</v>
      </c>
      <c r="BG97">
        <f>'2020_2021 0-&gt;1'!BE4</f>
        <v>-0.11799999999999999</v>
      </c>
      <c r="BH97">
        <f>'2020_2021 0-&gt;1'!BF4</f>
        <v>-8.5699999999999998E-2</v>
      </c>
      <c r="BI97">
        <f>'2020_2021 0-&gt;1'!BG4</f>
        <v>-4.1799999999999997E-2</v>
      </c>
      <c r="BJ97">
        <f>'2020_2021 0-&gt;1'!BH4</f>
        <v>-5.7000000000000002E-2</v>
      </c>
      <c r="BK97">
        <f>'2020_2021 0-&gt;1'!BI4</f>
        <v>-8.8800000000000004E-2</v>
      </c>
      <c r="BL97">
        <f>'2020_2021 0-&gt;1'!BJ4</f>
        <v>-0.129</v>
      </c>
      <c r="BM97">
        <f>'2020_2021 0-&gt;1'!BK4</f>
        <v>-0.11899999999999999</v>
      </c>
      <c r="BN97">
        <f>'2020_2021 0-&gt;1'!BL4</f>
        <v>-0.1</v>
      </c>
      <c r="BO97">
        <f>'2020_2021 0-&gt;1'!BM4</f>
        <v>-0.129</v>
      </c>
      <c r="BP97">
        <f>'2020_2021 0-&gt;1'!BN4</f>
        <v>-0.14000000000000001</v>
      </c>
      <c r="BQ97">
        <f>'2020_2021 0-&gt;1'!BO4</f>
        <v>-0.115</v>
      </c>
      <c r="BR97">
        <f>'2020_2021 0-&gt;1'!BP4</f>
        <v>-0.121</v>
      </c>
      <c r="BS97">
        <f>'2020_2021 0-&gt;1'!BQ4</f>
        <v>-0.107</v>
      </c>
      <c r="BT97">
        <f>'2020_2021 0-&gt;1'!BR4</f>
        <v>-0.13100000000000001</v>
      </c>
      <c r="BU97">
        <f>'2020_2021 0-&gt;1'!BS4</f>
        <v>-0.108</v>
      </c>
      <c r="BV97">
        <f>'2020_2021 0-&gt;1'!BT4</f>
        <v>-0.13200000000000001</v>
      </c>
      <c r="BW97">
        <f>'2020_2021 0-&gt;1'!BU4</f>
        <v>-0.115</v>
      </c>
      <c r="BX97">
        <f>'2020_2021 0-&gt;1'!BV4</f>
        <v>-0.108</v>
      </c>
      <c r="BY97">
        <f>'2020_2021 0-&gt;1'!BW4</f>
        <v>-0.13100000000000001</v>
      </c>
      <c r="BZ97">
        <f>'2020_2021 0-&gt;1'!BX4</f>
        <v>-0.16400000000000001</v>
      </c>
      <c r="CA97">
        <f>'2020_2021 0-&gt;1'!BY4</f>
        <v>-0.16600000000000001</v>
      </c>
      <c r="CB97">
        <f>'2020_2021 0-&gt;1'!BZ4</f>
        <v>-0.16700000000000001</v>
      </c>
      <c r="CC97">
        <f>'2020_2021 0-&gt;1'!CA4</f>
        <v>-0.19</v>
      </c>
      <c r="CD97">
        <f>'2020_2021 0-&gt;1'!CB4</f>
        <v>-0.14799999999999999</v>
      </c>
      <c r="CE97">
        <f>'2020_2021 0-&gt;1'!CC4</f>
        <v>-0.13500000000000001</v>
      </c>
      <c r="CF97">
        <f>'2020_2021 0-&gt;1'!CD4</f>
        <v>-0.14499999999999999</v>
      </c>
      <c r="CG97">
        <f>'2020_2021 0-&gt;1'!CE4</f>
        <v>-0.26200000000000001</v>
      </c>
      <c r="CH97">
        <f>'2020_2021 0-&gt;1'!CF4</f>
        <v>-0.19900000000000001</v>
      </c>
      <c r="CI97">
        <f>'2020_2021 0-&gt;1'!CG4</f>
        <v>-0.23</v>
      </c>
      <c r="CJ97">
        <f>'2020_2021 0-&gt;1'!CH4</f>
        <v>-0.245</v>
      </c>
      <c r="CK97">
        <f>'2020_2021 0-&gt;1'!CI4</f>
        <v>-0.32700000000000001</v>
      </c>
      <c r="CL97">
        <f>'2020_2021 0-&gt;1'!CJ4</f>
        <v>-0.33</v>
      </c>
      <c r="CM97">
        <f>'2020_2021 0-&gt;1'!CK4</f>
        <v>-0.33900000000000002</v>
      </c>
      <c r="CN97">
        <f>'2020_2021 0-&gt;1'!CL4</f>
        <v>-0.41499999999999998</v>
      </c>
      <c r="CO97">
        <f>'2020_2021 0-&gt;1'!CM4</f>
        <v>-0.443</v>
      </c>
      <c r="CP97">
        <f>'2020_2021 0-&gt;1'!CN4</f>
        <v>-0.53400000000000003</v>
      </c>
      <c r="CQ97">
        <f>'2020_2021 0-&gt;1'!CO4</f>
        <v>-0.66400000000000003</v>
      </c>
      <c r="CR97">
        <f>'2020_2021 0-&gt;1'!CP4</f>
        <v>-0.91300000000000003</v>
      </c>
      <c r="CS97">
        <f>'2020_2021 0-&gt;1'!CQ4</f>
        <v>-1.2450000000000001</v>
      </c>
      <c r="CT97">
        <f>'2020_2021 0-&gt;1'!CR4</f>
        <v>-1.137</v>
      </c>
      <c r="CU97">
        <f>'2020_2021 0-&gt;1'!CS4</f>
        <v>-1.147</v>
      </c>
      <c r="CV97">
        <f>'2020_2021 0-&gt;1'!CT4</f>
        <v>-0.84599999999999997</v>
      </c>
      <c r="CW97">
        <f>'2020_2021 0-&gt;1'!CU4</f>
        <v>-0.81399999999999995</v>
      </c>
      <c r="CX97">
        <f>'2020_2021 0-&gt;1'!CV4</f>
        <v>-0.56399999999999995</v>
      </c>
    </row>
    <row r="98" spans="1:102" x14ac:dyDescent="0.2">
      <c r="A98" t="s">
        <v>206</v>
      </c>
      <c r="B98" t="s">
        <v>217</v>
      </c>
      <c r="C98" t="s">
        <v>223</v>
      </c>
      <c r="D98">
        <f>'2020_2021 0-&gt;1'!B5</f>
        <v>4.0400000000000001E-4</v>
      </c>
      <c r="E98">
        <f>'2020_2021 0-&gt;1'!C5</f>
        <v>4.0400000000000001E-4</v>
      </c>
      <c r="F98">
        <f>'2020_2021 0-&gt;1'!D5</f>
        <v>4.0400000000000001E-4</v>
      </c>
      <c r="G98">
        <f>'2020_2021 0-&gt;1'!E5</f>
        <v>-6.5300000000000002E-3</v>
      </c>
      <c r="H98">
        <f>'2020_2021 0-&gt;1'!F5</f>
        <v>1.2099999999999999E-3</v>
      </c>
      <c r="I98">
        <f>'2020_2021 0-&gt;1'!G5</f>
        <v>5.8900000000000003E-3</v>
      </c>
      <c r="J98">
        <f>'2020_2021 0-&gt;1'!H5</f>
        <v>8.2299999999999995E-3</v>
      </c>
      <c r="K98">
        <f>'2020_2021 0-&gt;1'!I5</f>
        <v>1.1299999999999999E-2</v>
      </c>
      <c r="L98">
        <f>'2020_2021 0-&gt;1'!J5</f>
        <v>1.38E-2</v>
      </c>
      <c r="M98">
        <f>'2020_2021 0-&gt;1'!K5</f>
        <v>1.47E-2</v>
      </c>
      <c r="N98">
        <f>'2020_2021 0-&gt;1'!L5</f>
        <v>1.5299999999999999E-2</v>
      </c>
      <c r="O98">
        <f>'2020_2021 0-&gt;1'!M5</f>
        <v>1.6299999999999999E-2</v>
      </c>
      <c r="P98">
        <f>'2020_2021 0-&gt;1'!N5</f>
        <v>1.3899999999999999E-2</v>
      </c>
      <c r="Q98">
        <f>'2020_2021 0-&gt;1'!O5</f>
        <v>1.26E-2</v>
      </c>
      <c r="R98">
        <f>'2020_2021 0-&gt;1'!P5</f>
        <v>1.2500000000000001E-2</v>
      </c>
      <c r="S98">
        <f>'2020_2021 0-&gt;1'!Q5</f>
        <v>1.18E-2</v>
      </c>
      <c r="T98">
        <f>'2020_2021 0-&gt;1'!R5</f>
        <v>1.1900000000000001E-2</v>
      </c>
      <c r="U98">
        <f>'2020_2021 0-&gt;1'!S5</f>
        <v>1.23E-2</v>
      </c>
      <c r="V98">
        <f>'2020_2021 0-&gt;1'!T5</f>
        <v>1.18E-2</v>
      </c>
      <c r="W98">
        <f>'2020_2021 0-&gt;1'!U5</f>
        <v>1.2999999999999999E-2</v>
      </c>
      <c r="X98">
        <f>'2020_2021 0-&gt;1'!V5</f>
        <v>1.2999999999999999E-2</v>
      </c>
      <c r="Y98">
        <f>'2020_2021 0-&gt;1'!W5</f>
        <v>1.38E-2</v>
      </c>
      <c r="Z98">
        <f>'2020_2021 0-&gt;1'!X5</f>
        <v>1.46E-2</v>
      </c>
      <c r="AA98">
        <f>'2020_2021 0-&gt;1'!Y5</f>
        <v>1.5100000000000001E-2</v>
      </c>
      <c r="AB98">
        <f>'2020_2021 0-&gt;1'!Z5</f>
        <v>1.5699999999999999E-2</v>
      </c>
      <c r="AC98">
        <f>'2020_2021 0-&gt;1'!AA5</f>
        <v>1.6500000000000001E-2</v>
      </c>
      <c r="AD98">
        <f>'2020_2021 0-&gt;1'!AB5</f>
        <v>1.7600000000000001E-2</v>
      </c>
      <c r="AE98">
        <f>'2020_2021 0-&gt;1'!AC5</f>
        <v>1.8800000000000001E-2</v>
      </c>
      <c r="AF98">
        <f>'2020_2021 0-&gt;1'!AD5</f>
        <v>2.06E-2</v>
      </c>
      <c r="AG98">
        <f>'2020_2021 0-&gt;1'!AE5</f>
        <v>2.24E-2</v>
      </c>
      <c r="AH98">
        <f>'2020_2021 0-&gt;1'!AF5</f>
        <v>2.41E-2</v>
      </c>
      <c r="AI98">
        <f>'2020_2021 0-&gt;1'!AG5</f>
        <v>2.5100000000000001E-2</v>
      </c>
      <c r="AJ98">
        <f>'2020_2021 0-&gt;1'!AH5</f>
        <v>2.58E-2</v>
      </c>
      <c r="AK98">
        <f>'2020_2021 0-&gt;1'!AI5</f>
        <v>2.6499999999999999E-2</v>
      </c>
      <c r="AL98">
        <f>'2020_2021 0-&gt;1'!AJ5</f>
        <v>2.7400000000000001E-2</v>
      </c>
      <c r="AM98">
        <f>'2020_2021 0-&gt;1'!AK5</f>
        <v>2.81E-2</v>
      </c>
      <c r="AN98">
        <f>'2020_2021 0-&gt;1'!AL5</f>
        <v>2.8799999999999999E-2</v>
      </c>
      <c r="AO98">
        <f>'2020_2021 0-&gt;1'!AM5</f>
        <v>2.93E-2</v>
      </c>
      <c r="AP98">
        <f>'2020_2021 0-&gt;1'!AN5</f>
        <v>2.98E-2</v>
      </c>
      <c r="AQ98">
        <f>'2020_2021 0-&gt;1'!AO5</f>
        <v>3.1E-2</v>
      </c>
      <c r="AR98">
        <f>'2020_2021 0-&gt;1'!AP5</f>
        <v>3.1699999999999999E-2</v>
      </c>
      <c r="AS98">
        <f>'2020_2021 0-&gt;1'!AQ5</f>
        <v>3.2300000000000002E-2</v>
      </c>
      <c r="AT98">
        <f>'2020_2021 0-&gt;1'!AR5</f>
        <v>3.3599999999999998E-2</v>
      </c>
      <c r="AU98">
        <f>'2020_2021 0-&gt;1'!AS5</f>
        <v>3.4200000000000001E-2</v>
      </c>
      <c r="AV98">
        <f>'2020_2021 0-&gt;1'!AT5</f>
        <v>3.4799999999999998E-2</v>
      </c>
      <c r="AW98">
        <f>'2020_2021 0-&gt;1'!AU5</f>
        <v>3.6600000000000001E-2</v>
      </c>
      <c r="AX98">
        <f>'2020_2021 0-&gt;1'!AV5</f>
        <v>3.73E-2</v>
      </c>
      <c r="AY98">
        <f>'2020_2021 0-&gt;1'!AW5</f>
        <v>3.8100000000000002E-2</v>
      </c>
      <c r="AZ98">
        <f>'2020_2021 0-&gt;1'!AX5</f>
        <v>3.9199999999999999E-2</v>
      </c>
      <c r="BA98">
        <f>'2020_2021 0-&gt;1'!AY5</f>
        <v>4.0300000000000002E-2</v>
      </c>
      <c r="BB98">
        <f>'2020_2021 0-&gt;1'!AZ5</f>
        <v>4.1300000000000003E-2</v>
      </c>
      <c r="BC98">
        <f>'2020_2021 0-&gt;1'!BA5</f>
        <v>4.1700000000000001E-2</v>
      </c>
      <c r="BD98">
        <f>'2020_2021 0-&gt;1'!BB5</f>
        <v>4.1700000000000001E-2</v>
      </c>
      <c r="BE98">
        <f>'2020_2021 0-&gt;1'!BC5</f>
        <v>4.1799999999999997E-2</v>
      </c>
      <c r="BF98">
        <f>'2020_2021 0-&gt;1'!BD5</f>
        <v>4.19E-2</v>
      </c>
      <c r="BG98">
        <f>'2020_2021 0-&gt;1'!BE5</f>
        <v>4.24E-2</v>
      </c>
      <c r="BH98">
        <f>'2020_2021 0-&gt;1'!BF5</f>
        <v>4.2799999999999998E-2</v>
      </c>
      <c r="BI98">
        <f>'2020_2021 0-&gt;1'!BG5</f>
        <v>4.2599999999999999E-2</v>
      </c>
      <c r="BJ98">
        <f>'2020_2021 0-&gt;1'!BH5</f>
        <v>4.3099999999999999E-2</v>
      </c>
      <c r="BK98">
        <f>'2020_2021 0-&gt;1'!BI5</f>
        <v>4.58E-2</v>
      </c>
      <c r="BL98">
        <f>'2020_2021 0-&gt;1'!BJ5</f>
        <v>5.0599999999999999E-2</v>
      </c>
      <c r="BM98">
        <f>'2020_2021 0-&gt;1'!BK5</f>
        <v>5.4300000000000001E-2</v>
      </c>
      <c r="BN98">
        <f>'2020_2021 0-&gt;1'!BL5</f>
        <v>5.5800000000000002E-2</v>
      </c>
      <c r="BO98">
        <f>'2020_2021 0-&gt;1'!BM5</f>
        <v>5.7299999999999997E-2</v>
      </c>
      <c r="BP98">
        <f>'2020_2021 0-&gt;1'!BN5</f>
        <v>5.7700000000000001E-2</v>
      </c>
      <c r="BQ98">
        <f>'2020_2021 0-&gt;1'!BO5</f>
        <v>5.7500000000000002E-2</v>
      </c>
      <c r="BR98">
        <f>'2020_2021 0-&gt;1'!BP5</f>
        <v>5.7599999999999998E-2</v>
      </c>
      <c r="BS98">
        <f>'2020_2021 0-&gt;1'!BQ5</f>
        <v>5.8200000000000002E-2</v>
      </c>
      <c r="BT98">
        <f>'2020_2021 0-&gt;1'!BR5</f>
        <v>5.8400000000000001E-2</v>
      </c>
      <c r="BU98">
        <f>'2020_2021 0-&gt;1'!BS5</f>
        <v>0.06</v>
      </c>
      <c r="BV98">
        <f>'2020_2021 0-&gt;1'!BT5</f>
        <v>6.25E-2</v>
      </c>
      <c r="BW98">
        <f>'2020_2021 0-&gt;1'!BU5</f>
        <v>6.1600000000000002E-2</v>
      </c>
      <c r="BX98">
        <f>'2020_2021 0-&gt;1'!BV5</f>
        <v>6.4100000000000004E-2</v>
      </c>
      <c r="BY98">
        <f>'2020_2021 0-&gt;1'!BW5</f>
        <v>7.0000000000000007E-2</v>
      </c>
      <c r="BZ98">
        <f>'2020_2021 0-&gt;1'!BX5</f>
        <v>7.3899999999999993E-2</v>
      </c>
      <c r="CA98">
        <f>'2020_2021 0-&gt;1'!BY5</f>
        <v>7.7100000000000002E-2</v>
      </c>
      <c r="CB98">
        <f>'2020_2021 0-&gt;1'!BZ5</f>
        <v>7.4899999999999994E-2</v>
      </c>
      <c r="CC98">
        <f>'2020_2021 0-&gt;1'!CA5</f>
        <v>7.3200000000000001E-2</v>
      </c>
      <c r="CD98">
        <f>'2020_2021 0-&gt;1'!CB5</f>
        <v>7.0099999999999996E-2</v>
      </c>
      <c r="CE98">
        <f>'2020_2021 0-&gt;1'!CC5</f>
        <v>7.3200000000000001E-2</v>
      </c>
      <c r="CF98">
        <f>'2020_2021 0-&gt;1'!CD5</f>
        <v>7.8200000000000006E-2</v>
      </c>
      <c r="CG98">
        <f>'2020_2021 0-&gt;1'!CE5</f>
        <v>7.9799999999999996E-2</v>
      </c>
      <c r="CH98">
        <f>'2020_2021 0-&gt;1'!CF5</f>
        <v>7.5800000000000006E-2</v>
      </c>
      <c r="CI98">
        <f>'2020_2021 0-&gt;1'!CG5</f>
        <v>8.5000000000000006E-2</v>
      </c>
      <c r="CJ98">
        <f>'2020_2021 0-&gt;1'!CH5</f>
        <v>9.3899999999999997E-2</v>
      </c>
      <c r="CK98">
        <f>'2020_2021 0-&gt;1'!CI5</f>
        <v>9.74E-2</v>
      </c>
      <c r="CL98">
        <f>'2020_2021 0-&gt;1'!CJ5</f>
        <v>9.6100000000000005E-2</v>
      </c>
      <c r="CM98">
        <f>'2020_2021 0-&gt;1'!CK5</f>
        <v>9.0200000000000002E-2</v>
      </c>
      <c r="CN98">
        <f>'2020_2021 0-&gt;1'!CL5</f>
        <v>9.4500000000000001E-2</v>
      </c>
      <c r="CO98">
        <f>'2020_2021 0-&gt;1'!CM5</f>
        <v>8.9200000000000002E-2</v>
      </c>
      <c r="CP98">
        <f>'2020_2021 0-&gt;1'!CN5</f>
        <v>0.108</v>
      </c>
      <c r="CQ98">
        <f>'2020_2021 0-&gt;1'!CO5</f>
        <v>9.3200000000000005E-2</v>
      </c>
      <c r="CR98">
        <f>'2020_2021 0-&gt;1'!CP5</f>
        <v>0.115</v>
      </c>
      <c r="CS98">
        <f>'2020_2021 0-&gt;1'!CQ5</f>
        <v>3.7199999999999997E-2</v>
      </c>
      <c r="CT98">
        <f>'2020_2021 0-&gt;1'!CR5</f>
        <v>4.3499999999999997E-2</v>
      </c>
      <c r="CU98">
        <f>'2020_2021 0-&gt;1'!CS5</f>
        <v>5.8299999999999998E-2</v>
      </c>
      <c r="CV98">
        <f>'2020_2021 0-&gt;1'!CT5</f>
        <v>5.7000000000000002E-2</v>
      </c>
      <c r="CW98">
        <f>'2020_2021 0-&gt;1'!CU5</f>
        <v>7.51E-2</v>
      </c>
      <c r="CX98">
        <f>'2020_2021 0-&gt;1'!CV5</f>
        <v>7.0099999999999996E-2</v>
      </c>
    </row>
    <row r="99" spans="1:102" x14ac:dyDescent="0.2">
      <c r="A99" t="s">
        <v>207</v>
      </c>
      <c r="B99" t="s">
        <v>217</v>
      </c>
      <c r="C99" t="s">
        <v>223</v>
      </c>
      <c r="D99">
        <f>'2020_2021 0-&gt;1'!B6</f>
        <v>-2.1000000000000001E-4</v>
      </c>
      <c r="E99">
        <f>'2020_2021 0-&gt;1'!C6</f>
        <v>-3.4200000000000002E-4</v>
      </c>
      <c r="F99">
        <f>'2020_2021 0-&gt;1'!D6</f>
        <v>-4.75E-4</v>
      </c>
      <c r="G99">
        <f>'2020_2021 0-&gt;1'!E6</f>
        <v>8.48E-2</v>
      </c>
      <c r="H99">
        <f>'2020_2021 0-&gt;1'!F6</f>
        <v>-4.65E-2</v>
      </c>
      <c r="I99">
        <f>'2020_2021 0-&gt;1'!G6</f>
        <v>-7.9299999999999995E-3</v>
      </c>
      <c r="J99">
        <f>'2020_2021 0-&gt;1'!H6</f>
        <v>2.24E-2</v>
      </c>
      <c r="K99">
        <f>'2020_2021 0-&gt;1'!I6</f>
        <v>-5.8400000000000001E-2</v>
      </c>
      <c r="L99">
        <f>'2020_2021 0-&gt;1'!J6</f>
        <v>-3.9899999999999998E-2</v>
      </c>
      <c r="M99">
        <f>'2020_2021 0-&gt;1'!K6</f>
        <v>-6.4000000000000001E-2</v>
      </c>
      <c r="N99">
        <f>'2020_2021 0-&gt;1'!L6</f>
        <v>-6.1499999999999999E-2</v>
      </c>
      <c r="O99">
        <f>'2020_2021 0-&gt;1'!M6</f>
        <v>-6.5199999999999994E-2</v>
      </c>
      <c r="P99">
        <f>'2020_2021 0-&gt;1'!N6</f>
        <v>-6.6100000000000006E-2</v>
      </c>
      <c r="Q99">
        <f>'2020_2021 0-&gt;1'!O6</f>
        <v>-5.79E-2</v>
      </c>
      <c r="R99">
        <f>'2020_2021 0-&gt;1'!P6</f>
        <v>-6.7900000000000002E-2</v>
      </c>
      <c r="S99">
        <f>'2020_2021 0-&gt;1'!Q6</f>
        <v>-4.6899999999999997E-2</v>
      </c>
      <c r="T99">
        <f>'2020_2021 0-&gt;1'!R6</f>
        <v>-4.53E-2</v>
      </c>
      <c r="U99">
        <f>'2020_2021 0-&gt;1'!S6</f>
        <v>-3.8699999999999998E-2</v>
      </c>
      <c r="V99">
        <f>'2020_2021 0-&gt;1'!T6</f>
        <v>-5.0500000000000003E-2</v>
      </c>
      <c r="W99">
        <f>'2020_2021 0-&gt;1'!U6</f>
        <v>-1.5699999999999999E-2</v>
      </c>
      <c r="X99">
        <f>'2020_2021 0-&gt;1'!V6</f>
        <v>-5.5599999999999997E-2</v>
      </c>
      <c r="Y99">
        <f>'2020_2021 0-&gt;1'!W6</f>
        <v>-6.3299999999999995E-2</v>
      </c>
      <c r="Z99">
        <f>'2020_2021 0-&gt;1'!X6</f>
        <v>-5.62E-2</v>
      </c>
      <c r="AA99">
        <f>'2020_2021 0-&gt;1'!Y6</f>
        <v>-7.0000000000000007E-2</v>
      </c>
      <c r="AB99">
        <f>'2020_2021 0-&gt;1'!Z6</f>
        <v>-5.6599999999999998E-2</v>
      </c>
      <c r="AC99">
        <f>'2020_2021 0-&gt;1'!AA6</f>
        <v>-4.6800000000000001E-2</v>
      </c>
      <c r="AD99">
        <f>'2020_2021 0-&gt;1'!AB6</f>
        <v>-3.8899999999999997E-2</v>
      </c>
      <c r="AE99">
        <f>'2020_2021 0-&gt;1'!AC6</f>
        <v>-5.7299999999999997E-2</v>
      </c>
      <c r="AF99">
        <f>'2020_2021 0-&gt;1'!AD6</f>
        <v>-6.3700000000000007E-2</v>
      </c>
      <c r="AG99">
        <f>'2020_2021 0-&gt;1'!AE6</f>
        <v>-0.10299999999999999</v>
      </c>
      <c r="AH99">
        <f>'2020_2021 0-&gt;1'!AF6</f>
        <v>-0.10199999999999999</v>
      </c>
      <c r="AI99">
        <f>'2020_2021 0-&gt;1'!AG6</f>
        <v>-8.77E-2</v>
      </c>
      <c r="AJ99">
        <f>'2020_2021 0-&gt;1'!AH6</f>
        <v>-6.9000000000000006E-2</v>
      </c>
      <c r="AK99">
        <f>'2020_2021 0-&gt;1'!AI6</f>
        <v>-9.4600000000000004E-2</v>
      </c>
      <c r="AL99">
        <f>'2020_2021 0-&gt;1'!AJ6</f>
        <v>-0.10199999999999999</v>
      </c>
      <c r="AM99">
        <f>'2020_2021 0-&gt;1'!AK6</f>
        <v>-0.108</v>
      </c>
      <c r="AN99">
        <f>'2020_2021 0-&gt;1'!AL6</f>
        <v>-9.5600000000000004E-2</v>
      </c>
      <c r="AO99">
        <f>'2020_2021 0-&gt;1'!AM6</f>
        <v>-7.7200000000000005E-2</v>
      </c>
      <c r="AP99">
        <f>'2020_2021 0-&gt;1'!AN6</f>
        <v>-0.1</v>
      </c>
      <c r="AQ99">
        <f>'2020_2021 0-&gt;1'!AO6</f>
        <v>-9.0499999999999997E-2</v>
      </c>
      <c r="AR99">
        <f>'2020_2021 0-&gt;1'!AP6</f>
        <v>-8.9700000000000002E-2</v>
      </c>
      <c r="AS99">
        <f>'2020_2021 0-&gt;1'!AQ6</f>
        <v>-0.11</v>
      </c>
      <c r="AT99">
        <f>'2020_2021 0-&gt;1'!AR6</f>
        <v>-0.10199999999999999</v>
      </c>
      <c r="AU99">
        <f>'2020_2021 0-&gt;1'!AS6</f>
        <v>-9.9599999999999994E-2</v>
      </c>
      <c r="AV99">
        <f>'2020_2021 0-&gt;1'!AT6</f>
        <v>-8.4000000000000005E-2</v>
      </c>
      <c r="AW99">
        <f>'2020_2021 0-&gt;1'!AU6</f>
        <v>-0.13900000000000001</v>
      </c>
      <c r="AX99">
        <f>'2020_2021 0-&gt;1'!AV6</f>
        <v>-0.12</v>
      </c>
      <c r="AY99">
        <f>'2020_2021 0-&gt;1'!AW6</f>
        <v>-0.106</v>
      </c>
      <c r="AZ99">
        <f>'2020_2021 0-&gt;1'!AX6</f>
        <v>-0.127</v>
      </c>
      <c r="BA99">
        <f>'2020_2021 0-&gt;1'!AY6</f>
        <v>-0.124</v>
      </c>
      <c r="BB99">
        <f>'2020_2021 0-&gt;1'!AZ6</f>
        <v>-0.13900000000000001</v>
      </c>
      <c r="BC99">
        <f>'2020_2021 0-&gt;1'!BA6</f>
        <v>-0.14099999999999999</v>
      </c>
      <c r="BD99">
        <f>'2020_2021 0-&gt;1'!BB6</f>
        <v>-0.11</v>
      </c>
      <c r="BE99">
        <f>'2020_2021 0-&gt;1'!BC6</f>
        <v>-0.111</v>
      </c>
      <c r="BF99">
        <f>'2020_2021 0-&gt;1'!BD6</f>
        <v>-0.15</v>
      </c>
      <c r="BG99">
        <f>'2020_2021 0-&gt;1'!BE6</f>
        <v>-0.16</v>
      </c>
      <c r="BH99">
        <f>'2020_2021 0-&gt;1'!BF6</f>
        <v>-0.129</v>
      </c>
      <c r="BI99">
        <f>'2020_2021 0-&gt;1'!BG6</f>
        <v>-8.4400000000000003E-2</v>
      </c>
      <c r="BJ99">
        <f>'2020_2021 0-&gt;1'!BH6</f>
        <v>-0.1</v>
      </c>
      <c r="BK99">
        <f>'2020_2021 0-&gt;1'!BI6</f>
        <v>-0.13500000000000001</v>
      </c>
      <c r="BL99">
        <f>'2020_2021 0-&gt;1'!BJ6</f>
        <v>-0.18</v>
      </c>
      <c r="BM99">
        <f>'2020_2021 0-&gt;1'!BK6</f>
        <v>-0.17299999999999999</v>
      </c>
      <c r="BN99">
        <f>'2020_2021 0-&gt;1'!BL6</f>
        <v>-0.156</v>
      </c>
      <c r="BO99">
        <f>'2020_2021 0-&gt;1'!BM6</f>
        <v>-0.186</v>
      </c>
      <c r="BP99">
        <f>'2020_2021 0-&gt;1'!BN6</f>
        <v>-0.19700000000000001</v>
      </c>
      <c r="BQ99">
        <f>'2020_2021 0-&gt;1'!BO6</f>
        <v>-0.17299999999999999</v>
      </c>
      <c r="BR99">
        <f>'2020_2021 0-&gt;1'!BP6</f>
        <v>-0.17799999999999999</v>
      </c>
      <c r="BS99">
        <f>'2020_2021 0-&gt;1'!BQ6</f>
        <v>-0.16500000000000001</v>
      </c>
      <c r="BT99">
        <f>'2020_2021 0-&gt;1'!BR6</f>
        <v>-0.19</v>
      </c>
      <c r="BU99">
        <f>'2020_2021 0-&gt;1'!BS6</f>
        <v>-0.16800000000000001</v>
      </c>
      <c r="BV99">
        <f>'2020_2021 0-&gt;1'!BT6</f>
        <v>-0.19500000000000001</v>
      </c>
      <c r="BW99">
        <f>'2020_2021 0-&gt;1'!BU6</f>
        <v>-0.17599999999999999</v>
      </c>
      <c r="BX99">
        <f>'2020_2021 0-&gt;1'!BV6</f>
        <v>-0.17199999999999999</v>
      </c>
      <c r="BY99">
        <f>'2020_2021 0-&gt;1'!BW6</f>
        <v>-0.20100000000000001</v>
      </c>
      <c r="BZ99">
        <f>'2020_2021 0-&gt;1'!BX6</f>
        <v>-0.23799999999999999</v>
      </c>
      <c r="CA99">
        <f>'2020_2021 0-&gt;1'!BY6</f>
        <v>-0.24299999999999999</v>
      </c>
      <c r="CB99">
        <f>'2020_2021 0-&gt;1'!BZ6</f>
        <v>-0.24199999999999999</v>
      </c>
      <c r="CC99">
        <f>'2020_2021 0-&gt;1'!CA6</f>
        <v>-0.26300000000000001</v>
      </c>
      <c r="CD99">
        <f>'2020_2021 0-&gt;1'!CB6</f>
        <v>-0.218</v>
      </c>
      <c r="CE99">
        <f>'2020_2021 0-&gt;1'!CC6</f>
        <v>-0.20899999999999999</v>
      </c>
      <c r="CF99">
        <f>'2020_2021 0-&gt;1'!CD6</f>
        <v>-0.223</v>
      </c>
      <c r="CG99">
        <f>'2020_2021 0-&gt;1'!CE6</f>
        <v>-0.34200000000000003</v>
      </c>
      <c r="CH99">
        <f>'2020_2021 0-&gt;1'!CF6</f>
        <v>-0.27500000000000002</v>
      </c>
      <c r="CI99">
        <f>'2020_2021 0-&gt;1'!CG6</f>
        <v>-0.315</v>
      </c>
      <c r="CJ99">
        <f>'2020_2021 0-&gt;1'!CH6</f>
        <v>-0.33900000000000002</v>
      </c>
      <c r="CK99">
        <f>'2020_2021 0-&gt;1'!CI6</f>
        <v>-0.42399999999999999</v>
      </c>
      <c r="CL99">
        <f>'2020_2021 0-&gt;1'!CJ6</f>
        <v>-0.42599999999999999</v>
      </c>
      <c r="CM99">
        <f>'2020_2021 0-&gt;1'!CK6</f>
        <v>-0.42899999999999999</v>
      </c>
      <c r="CN99">
        <f>'2020_2021 0-&gt;1'!CL6</f>
        <v>-0.50900000000000001</v>
      </c>
      <c r="CO99">
        <f>'2020_2021 0-&gt;1'!CM6</f>
        <v>-0.53200000000000003</v>
      </c>
      <c r="CP99">
        <f>'2020_2021 0-&gt;1'!CN6</f>
        <v>-0.64200000000000002</v>
      </c>
      <c r="CQ99">
        <f>'2020_2021 0-&gt;1'!CO6</f>
        <v>-0.75700000000000001</v>
      </c>
      <c r="CR99">
        <f>'2020_2021 0-&gt;1'!CP6</f>
        <v>-1.028</v>
      </c>
      <c r="CS99">
        <f>'2020_2021 0-&gt;1'!CQ6</f>
        <v>-1.2829999999999999</v>
      </c>
      <c r="CT99">
        <f>'2020_2021 0-&gt;1'!CR6</f>
        <v>-1.18</v>
      </c>
      <c r="CU99">
        <f>'2020_2021 0-&gt;1'!CS6</f>
        <v>-1.2050000000000001</v>
      </c>
      <c r="CV99">
        <f>'2020_2021 0-&gt;1'!CT6</f>
        <v>-0.90300000000000002</v>
      </c>
      <c r="CW99">
        <f>'2020_2021 0-&gt;1'!CU6</f>
        <v>-0.88900000000000001</v>
      </c>
      <c r="CX99">
        <f>'2020_2021 0-&gt;1'!CV6</f>
        <v>-0.63400000000000001</v>
      </c>
    </row>
    <row r="100" spans="1:102" x14ac:dyDescent="0.2">
      <c r="A100" t="s">
        <v>208</v>
      </c>
      <c r="B100" t="s">
        <v>218</v>
      </c>
      <c r="C100" t="s">
        <v>223</v>
      </c>
      <c r="D100">
        <f>'2020_2021 0-&gt;1'!B7</f>
        <v>8.6399999999999997E-4</v>
      </c>
      <c r="E100">
        <f>'2020_2021 0-&gt;1'!C7</f>
        <v>8.6399999999999997E-4</v>
      </c>
      <c r="F100">
        <f>'2020_2021 0-&gt;1'!D7</f>
        <v>8.6399999999999997E-4</v>
      </c>
      <c r="G100">
        <f>'2020_2021 0-&gt;1'!E7</f>
        <v>1.41E-2</v>
      </c>
      <c r="H100">
        <f>'2020_2021 0-&gt;1'!F7</f>
        <v>1.4800000000000001E-2</v>
      </c>
      <c r="I100">
        <f>'2020_2021 0-&gt;1'!G7</f>
        <v>1.34E-2</v>
      </c>
      <c r="J100">
        <f>'2020_2021 0-&gt;1'!H7</f>
        <v>1.49E-2</v>
      </c>
      <c r="K100">
        <f>'2020_2021 0-&gt;1'!I7</f>
        <v>1.43E-2</v>
      </c>
      <c r="L100">
        <f>'2020_2021 0-&gt;1'!J7</f>
        <v>1.54E-2</v>
      </c>
      <c r="M100">
        <f>'2020_2021 0-&gt;1'!K7</f>
        <v>1.49E-2</v>
      </c>
      <c r="N100">
        <f>'2020_2021 0-&gt;1'!L7</f>
        <v>1.44E-2</v>
      </c>
      <c r="O100">
        <f>'2020_2021 0-&gt;1'!M7</f>
        <v>1.4500000000000001E-2</v>
      </c>
      <c r="P100">
        <f>'2020_2021 0-&gt;1'!N7</f>
        <v>1.1900000000000001E-2</v>
      </c>
      <c r="Q100">
        <f>'2020_2021 0-&gt;1'!O7</f>
        <v>1.09E-2</v>
      </c>
      <c r="R100">
        <f>'2020_2021 0-&gt;1'!P7</f>
        <v>1.04E-2</v>
      </c>
      <c r="S100">
        <f>'2020_2021 0-&gt;1'!Q7</f>
        <v>9.3600000000000003E-3</v>
      </c>
      <c r="T100">
        <f>'2020_2021 0-&gt;1'!R7</f>
        <v>8.77E-3</v>
      </c>
      <c r="U100">
        <f>'2020_2021 0-&gt;1'!S7</f>
        <v>8.8299999999999993E-3</v>
      </c>
      <c r="V100">
        <f>'2020_2021 0-&gt;1'!T7</f>
        <v>8.3899999999999999E-3</v>
      </c>
      <c r="W100">
        <f>'2020_2021 0-&gt;1'!U7</f>
        <v>8.8699999999999994E-3</v>
      </c>
      <c r="X100">
        <f>'2020_2021 0-&gt;1'!V7</f>
        <v>8.6E-3</v>
      </c>
      <c r="Y100">
        <f>'2020_2021 0-&gt;1'!W7</f>
        <v>8.9899999999999997E-3</v>
      </c>
      <c r="Z100">
        <f>'2020_2021 0-&gt;1'!X7</f>
        <v>9.5600000000000008E-3</v>
      </c>
      <c r="AA100">
        <f>'2020_2021 0-&gt;1'!Y7</f>
        <v>9.92E-3</v>
      </c>
      <c r="AB100">
        <f>'2020_2021 0-&gt;1'!Z7</f>
        <v>1.04E-2</v>
      </c>
      <c r="AC100">
        <f>'2020_2021 0-&gt;1'!AA7</f>
        <v>1.1299999999999999E-2</v>
      </c>
      <c r="AD100">
        <f>'2020_2021 0-&gt;1'!AB7</f>
        <v>1.2E-2</v>
      </c>
      <c r="AE100">
        <f>'2020_2021 0-&gt;1'!AC7</f>
        <v>1.2800000000000001E-2</v>
      </c>
      <c r="AF100">
        <f>'2020_2021 0-&gt;1'!AD7</f>
        <v>1.38E-2</v>
      </c>
      <c r="AG100">
        <f>'2020_2021 0-&gt;1'!AE7</f>
        <v>1.4800000000000001E-2</v>
      </c>
      <c r="AH100">
        <f>'2020_2021 0-&gt;1'!AF7</f>
        <v>1.5800000000000002E-2</v>
      </c>
      <c r="AI100">
        <f>'2020_2021 0-&gt;1'!AG7</f>
        <v>1.6299999999999999E-2</v>
      </c>
      <c r="AJ100">
        <f>'2020_2021 0-&gt;1'!AH7</f>
        <v>1.6899999999999998E-2</v>
      </c>
      <c r="AK100">
        <f>'2020_2021 0-&gt;1'!AI7</f>
        <v>1.7299999999999999E-2</v>
      </c>
      <c r="AL100">
        <f>'2020_2021 0-&gt;1'!AJ7</f>
        <v>1.7899999999999999E-2</v>
      </c>
      <c r="AM100">
        <f>'2020_2021 0-&gt;1'!AK7</f>
        <v>1.83E-2</v>
      </c>
      <c r="AN100">
        <f>'2020_2021 0-&gt;1'!AL7</f>
        <v>1.8800000000000001E-2</v>
      </c>
      <c r="AO100">
        <f>'2020_2021 0-&gt;1'!AM7</f>
        <v>1.9099999999999999E-2</v>
      </c>
      <c r="AP100">
        <f>'2020_2021 0-&gt;1'!AN7</f>
        <v>1.9400000000000001E-2</v>
      </c>
      <c r="AQ100">
        <f>'2020_2021 0-&gt;1'!AO7</f>
        <v>2.01E-2</v>
      </c>
      <c r="AR100">
        <f>'2020_2021 0-&gt;1'!AP7</f>
        <v>2.07E-2</v>
      </c>
      <c r="AS100">
        <f>'2020_2021 0-&gt;1'!AQ7</f>
        <v>2.1299999999999999E-2</v>
      </c>
      <c r="AT100">
        <f>'2020_2021 0-&gt;1'!AR7</f>
        <v>2.1999999999999999E-2</v>
      </c>
      <c r="AU100">
        <f>'2020_2021 0-&gt;1'!AS7</f>
        <v>2.2499999999999999E-2</v>
      </c>
      <c r="AV100">
        <f>'2020_2021 0-&gt;1'!AT7</f>
        <v>2.3E-2</v>
      </c>
      <c r="AW100">
        <f>'2020_2021 0-&gt;1'!AU7</f>
        <v>2.4299999999999999E-2</v>
      </c>
      <c r="AX100">
        <f>'2020_2021 0-&gt;1'!AV7</f>
        <v>2.46E-2</v>
      </c>
      <c r="AY100">
        <f>'2020_2021 0-&gt;1'!AW7</f>
        <v>2.53E-2</v>
      </c>
      <c r="AZ100">
        <f>'2020_2021 0-&gt;1'!AX7</f>
        <v>2.5999999999999999E-2</v>
      </c>
      <c r="BA100">
        <f>'2020_2021 0-&gt;1'!AY7</f>
        <v>2.6800000000000001E-2</v>
      </c>
      <c r="BB100">
        <f>'2020_2021 0-&gt;1'!AZ7</f>
        <v>2.7400000000000001E-2</v>
      </c>
      <c r="BC100">
        <f>'2020_2021 0-&gt;1'!BA7</f>
        <v>2.7699999999999999E-2</v>
      </c>
      <c r="BD100">
        <f>'2020_2021 0-&gt;1'!BB7</f>
        <v>2.7900000000000001E-2</v>
      </c>
      <c r="BE100">
        <f>'2020_2021 0-&gt;1'!BC7</f>
        <v>2.7900000000000001E-2</v>
      </c>
      <c r="BF100">
        <f>'2020_2021 0-&gt;1'!BD7</f>
        <v>2.8000000000000001E-2</v>
      </c>
      <c r="BG100">
        <f>'2020_2021 0-&gt;1'!BE7</f>
        <v>2.8400000000000002E-2</v>
      </c>
      <c r="BH100">
        <f>'2020_2021 0-&gt;1'!BF7</f>
        <v>2.86E-2</v>
      </c>
      <c r="BI100">
        <f>'2020_2021 0-&gt;1'!BG7</f>
        <v>2.8799999999999999E-2</v>
      </c>
      <c r="BJ100">
        <f>'2020_2021 0-&gt;1'!BH7</f>
        <v>2.92E-2</v>
      </c>
      <c r="BK100">
        <f>'2020_2021 0-&gt;1'!BI7</f>
        <v>3.1E-2</v>
      </c>
      <c r="BL100">
        <f>'2020_2021 0-&gt;1'!BJ7</f>
        <v>3.4299999999999997E-2</v>
      </c>
      <c r="BM100">
        <f>'2020_2021 0-&gt;1'!BK7</f>
        <v>3.6900000000000002E-2</v>
      </c>
      <c r="BN100">
        <f>'2020_2021 0-&gt;1'!BL7</f>
        <v>3.78E-2</v>
      </c>
      <c r="BO100">
        <f>'2020_2021 0-&gt;1'!BM7</f>
        <v>3.8800000000000001E-2</v>
      </c>
      <c r="BP100">
        <f>'2020_2021 0-&gt;1'!BN7</f>
        <v>3.9E-2</v>
      </c>
      <c r="BQ100">
        <f>'2020_2021 0-&gt;1'!BO7</f>
        <v>3.8800000000000001E-2</v>
      </c>
      <c r="BR100">
        <f>'2020_2021 0-&gt;1'!BP7</f>
        <v>3.9100000000000003E-2</v>
      </c>
      <c r="BS100">
        <f>'2020_2021 0-&gt;1'!BQ7</f>
        <v>3.9699999999999999E-2</v>
      </c>
      <c r="BT100">
        <f>'2020_2021 0-&gt;1'!BR7</f>
        <v>3.9800000000000002E-2</v>
      </c>
      <c r="BU100">
        <f>'2020_2021 0-&gt;1'!BS7</f>
        <v>4.0899999999999999E-2</v>
      </c>
      <c r="BV100">
        <f>'2020_2021 0-&gt;1'!BT7</f>
        <v>4.2500000000000003E-2</v>
      </c>
      <c r="BW100">
        <f>'2020_2021 0-&gt;1'!BU7</f>
        <v>4.2000000000000003E-2</v>
      </c>
      <c r="BX100">
        <f>'2020_2021 0-&gt;1'!BV7</f>
        <v>4.3799999999999999E-2</v>
      </c>
      <c r="BY100">
        <f>'2020_2021 0-&gt;1'!BW7</f>
        <v>4.7699999999999999E-2</v>
      </c>
      <c r="BZ100">
        <f>'2020_2021 0-&gt;1'!BX7</f>
        <v>5.0700000000000002E-2</v>
      </c>
      <c r="CA100">
        <f>'2020_2021 0-&gt;1'!BY7</f>
        <v>5.2999999999999999E-2</v>
      </c>
      <c r="CB100">
        <f>'2020_2021 0-&gt;1'!BZ7</f>
        <v>5.1400000000000001E-2</v>
      </c>
      <c r="CC100">
        <f>'2020_2021 0-&gt;1'!CA7</f>
        <v>5.04E-2</v>
      </c>
      <c r="CD100">
        <f>'2020_2021 0-&gt;1'!CB7</f>
        <v>4.8599999999999997E-2</v>
      </c>
      <c r="CE100">
        <f>'2020_2021 0-&gt;1'!CC7</f>
        <v>5.0500000000000003E-2</v>
      </c>
      <c r="CF100">
        <f>'2020_2021 0-&gt;1'!CD7</f>
        <v>5.4100000000000002E-2</v>
      </c>
      <c r="CG100">
        <f>'2020_2021 0-&gt;1'!CE7</f>
        <v>5.5E-2</v>
      </c>
      <c r="CH100">
        <f>'2020_2021 0-&gt;1'!CF7</f>
        <v>5.2499999999999998E-2</v>
      </c>
      <c r="CI100">
        <f>'2020_2021 0-&gt;1'!CG7</f>
        <v>5.8599999999999999E-2</v>
      </c>
      <c r="CJ100">
        <f>'2020_2021 0-&gt;1'!CH7</f>
        <v>6.4500000000000002E-2</v>
      </c>
      <c r="CK100">
        <f>'2020_2021 0-&gt;1'!CI7</f>
        <v>6.6400000000000001E-2</v>
      </c>
      <c r="CL100">
        <f>'2020_2021 0-&gt;1'!CJ7</f>
        <v>6.54E-2</v>
      </c>
      <c r="CM100">
        <f>'2020_2021 0-&gt;1'!CK7</f>
        <v>6.13E-2</v>
      </c>
      <c r="CN100">
        <f>'2020_2021 0-&gt;1'!CL7</f>
        <v>6.3600000000000004E-2</v>
      </c>
      <c r="CO100">
        <f>'2020_2021 0-&gt;1'!CM7</f>
        <v>5.9499999999999997E-2</v>
      </c>
      <c r="CP100">
        <f>'2020_2021 0-&gt;1'!CN7</f>
        <v>7.0199999999999999E-2</v>
      </c>
      <c r="CQ100">
        <f>'2020_2021 0-&gt;1'!CO7</f>
        <v>5.8500000000000003E-2</v>
      </c>
      <c r="CR100">
        <f>'2020_2021 0-&gt;1'!CP7</f>
        <v>6.8099999999999994E-2</v>
      </c>
      <c r="CS100">
        <f>'2020_2021 0-&gt;1'!CQ7</f>
        <v>1.9599999999999999E-2</v>
      </c>
      <c r="CT100">
        <f>'2020_2021 0-&gt;1'!CR7</f>
        <v>2.47E-2</v>
      </c>
      <c r="CU100">
        <f>'2020_2021 0-&gt;1'!CS7</f>
        <v>3.3799999999999997E-2</v>
      </c>
      <c r="CV100">
        <f>'2020_2021 0-&gt;1'!CT7</f>
        <v>3.5299999999999998E-2</v>
      </c>
      <c r="CW100">
        <f>'2020_2021 0-&gt;1'!CU7</f>
        <v>4.99E-2</v>
      </c>
      <c r="CX100">
        <f>'2020_2021 0-&gt;1'!CV7</f>
        <v>5.0599999999999999E-2</v>
      </c>
    </row>
    <row r="101" spans="1:102" x14ac:dyDescent="0.2">
      <c r="A101" t="s">
        <v>209</v>
      </c>
      <c r="B101" t="s">
        <v>218</v>
      </c>
      <c r="C101" t="s">
        <v>223</v>
      </c>
      <c r="D101">
        <f>'2020_2021 0-&gt;1'!B8</f>
        <v>2.1599999999999999E-4</v>
      </c>
      <c r="E101">
        <f>'2020_2021 0-&gt;1'!C8</f>
        <v>2.1599999999999999E-4</v>
      </c>
      <c r="F101">
        <f>'2020_2021 0-&gt;1'!D8</f>
        <v>2.1599999999999999E-4</v>
      </c>
      <c r="G101">
        <f>'2020_2021 0-&gt;1'!E8</f>
        <v>1.2200000000000001E-2</v>
      </c>
      <c r="H101">
        <f>'2020_2021 0-&gt;1'!F8</f>
        <v>1.2E-2</v>
      </c>
      <c r="I101">
        <f>'2020_2021 0-&gt;1'!G8</f>
        <v>9.6699999999999998E-3</v>
      </c>
      <c r="J101">
        <f>'2020_2021 0-&gt;1'!H8</f>
        <v>9.4199999999999996E-3</v>
      </c>
      <c r="K101">
        <f>'2020_2021 0-&gt;1'!I8</f>
        <v>8.6800000000000002E-3</v>
      </c>
      <c r="L101">
        <f>'2020_2021 0-&gt;1'!J8</f>
        <v>9.1800000000000007E-3</v>
      </c>
      <c r="M101">
        <f>'2020_2021 0-&gt;1'!K8</f>
        <v>8.5699999999999995E-3</v>
      </c>
      <c r="N101">
        <f>'2020_2021 0-&gt;1'!L8</f>
        <v>8.26E-3</v>
      </c>
      <c r="O101">
        <f>'2020_2021 0-&gt;1'!M8</f>
        <v>8.2500000000000004E-3</v>
      </c>
      <c r="P101">
        <f>'2020_2021 0-&gt;1'!N8</f>
        <v>6.6499999999999997E-3</v>
      </c>
      <c r="Q101">
        <f>'2020_2021 0-&gt;1'!O8</f>
        <v>5.8999999999999999E-3</v>
      </c>
      <c r="R101">
        <f>'2020_2021 0-&gt;1'!P8</f>
        <v>5.6299999999999996E-3</v>
      </c>
      <c r="S101">
        <f>'2020_2021 0-&gt;1'!Q8</f>
        <v>4.9199999999999999E-3</v>
      </c>
      <c r="T101">
        <f>'2020_2021 0-&gt;1'!R8</f>
        <v>4.5599999999999998E-3</v>
      </c>
      <c r="U101">
        <f>'2020_2021 0-&gt;1'!S8</f>
        <v>4.5900000000000003E-3</v>
      </c>
      <c r="V101">
        <f>'2020_2021 0-&gt;1'!T8</f>
        <v>4.2599999999999999E-3</v>
      </c>
      <c r="W101">
        <f>'2020_2021 0-&gt;1'!U8</f>
        <v>4.47E-3</v>
      </c>
      <c r="X101">
        <f>'2020_2021 0-&gt;1'!V8</f>
        <v>4.3499999999999997E-3</v>
      </c>
      <c r="Y101">
        <f>'2020_2021 0-&gt;1'!W8</f>
        <v>4.4299999999999999E-3</v>
      </c>
      <c r="Z101">
        <f>'2020_2021 0-&gt;1'!X8</f>
        <v>4.6600000000000001E-3</v>
      </c>
      <c r="AA101">
        <f>'2020_2021 0-&gt;1'!Y8</f>
        <v>4.7800000000000004E-3</v>
      </c>
      <c r="AB101">
        <f>'2020_2021 0-&gt;1'!Z8</f>
        <v>4.8700000000000002E-3</v>
      </c>
      <c r="AC101">
        <f>'2020_2021 0-&gt;1'!AA8</f>
        <v>5.0699999999999999E-3</v>
      </c>
      <c r="AD101">
        <f>'2020_2021 0-&gt;1'!AB8</f>
        <v>5.3200000000000001E-3</v>
      </c>
      <c r="AE101">
        <f>'2020_2021 0-&gt;1'!AC8</f>
        <v>5.6499999999999996E-3</v>
      </c>
      <c r="AF101">
        <f>'2020_2021 0-&gt;1'!AD8</f>
        <v>6.1900000000000002E-3</v>
      </c>
      <c r="AG101">
        <f>'2020_2021 0-&gt;1'!AE8</f>
        <v>6.6400000000000001E-3</v>
      </c>
      <c r="AH101">
        <f>'2020_2021 0-&gt;1'!AF8</f>
        <v>7.0600000000000003E-3</v>
      </c>
      <c r="AI101">
        <f>'2020_2021 0-&gt;1'!AG8</f>
        <v>7.26E-3</v>
      </c>
      <c r="AJ101">
        <f>'2020_2021 0-&gt;1'!AH8</f>
        <v>7.4400000000000004E-3</v>
      </c>
      <c r="AK101">
        <f>'2020_2021 0-&gt;1'!AI8</f>
        <v>7.6699999999999997E-3</v>
      </c>
      <c r="AL101">
        <f>'2020_2021 0-&gt;1'!AJ8</f>
        <v>7.8100000000000001E-3</v>
      </c>
      <c r="AM101">
        <f>'2020_2021 0-&gt;1'!AK8</f>
        <v>7.8200000000000006E-3</v>
      </c>
      <c r="AN101">
        <f>'2020_2021 0-&gt;1'!AL8</f>
        <v>7.9699999999999997E-3</v>
      </c>
      <c r="AO101">
        <f>'2020_2021 0-&gt;1'!AM8</f>
        <v>8.0300000000000007E-3</v>
      </c>
      <c r="AP101">
        <f>'2020_2021 0-&gt;1'!AN8</f>
        <v>8.0800000000000004E-3</v>
      </c>
      <c r="AQ101">
        <f>'2020_2021 0-&gt;1'!AO8</f>
        <v>8.3700000000000007E-3</v>
      </c>
      <c r="AR101">
        <f>'2020_2021 0-&gt;1'!AP8</f>
        <v>8.5299999999999994E-3</v>
      </c>
      <c r="AS101">
        <f>'2020_2021 0-&gt;1'!AQ8</f>
        <v>8.5000000000000006E-3</v>
      </c>
      <c r="AT101">
        <f>'2020_2021 0-&gt;1'!AR8</f>
        <v>8.6999999999999994E-3</v>
      </c>
      <c r="AU101">
        <f>'2020_2021 0-&gt;1'!AS8</f>
        <v>8.77E-3</v>
      </c>
      <c r="AV101">
        <f>'2020_2021 0-&gt;1'!AT8</f>
        <v>8.8800000000000007E-3</v>
      </c>
      <c r="AW101">
        <f>'2020_2021 0-&gt;1'!AU8</f>
        <v>9.1999999999999998E-3</v>
      </c>
      <c r="AX101">
        <f>'2020_2021 0-&gt;1'!AV8</f>
        <v>9.2599999999999991E-3</v>
      </c>
      <c r="AY101">
        <f>'2020_2021 0-&gt;1'!AW8</f>
        <v>9.4400000000000005E-3</v>
      </c>
      <c r="AZ101">
        <f>'2020_2021 0-&gt;1'!AX8</f>
        <v>9.6399999999999993E-3</v>
      </c>
      <c r="BA101">
        <f>'2020_2021 0-&gt;1'!AY8</f>
        <v>9.6600000000000002E-3</v>
      </c>
      <c r="BB101">
        <f>'2020_2021 0-&gt;1'!AZ8</f>
        <v>9.8399999999999998E-3</v>
      </c>
      <c r="BC101">
        <f>'2020_2021 0-&gt;1'!BA8</f>
        <v>9.8799999999999999E-3</v>
      </c>
      <c r="BD101">
        <f>'2020_2021 0-&gt;1'!BB8</f>
        <v>9.7599999999999996E-3</v>
      </c>
      <c r="BE101">
        <f>'2020_2021 0-&gt;1'!BC8</f>
        <v>9.7400000000000004E-3</v>
      </c>
      <c r="BF101">
        <f>'2020_2021 0-&gt;1'!BD8</f>
        <v>9.7300000000000008E-3</v>
      </c>
      <c r="BG101">
        <f>'2020_2021 0-&gt;1'!BE8</f>
        <v>9.75E-3</v>
      </c>
      <c r="BH101">
        <f>'2020_2021 0-&gt;1'!BF8</f>
        <v>9.7300000000000008E-3</v>
      </c>
      <c r="BI101">
        <f>'2020_2021 0-&gt;1'!BG8</f>
        <v>9.7000000000000003E-3</v>
      </c>
      <c r="BJ101">
        <f>'2020_2021 0-&gt;1'!BH8</f>
        <v>9.8099999999999993E-3</v>
      </c>
      <c r="BK101">
        <f>'2020_2021 0-&gt;1'!BI8</f>
        <v>1.03E-2</v>
      </c>
      <c r="BL101">
        <f>'2020_2021 0-&gt;1'!BJ8</f>
        <v>1.1299999999999999E-2</v>
      </c>
      <c r="BM101">
        <f>'2020_2021 0-&gt;1'!BK8</f>
        <v>1.2E-2</v>
      </c>
      <c r="BN101">
        <f>'2020_2021 0-&gt;1'!BL8</f>
        <v>1.23E-2</v>
      </c>
      <c r="BO101">
        <f>'2020_2021 0-&gt;1'!BM8</f>
        <v>1.2500000000000001E-2</v>
      </c>
      <c r="BP101">
        <f>'2020_2021 0-&gt;1'!BN8</f>
        <v>1.2500000000000001E-2</v>
      </c>
      <c r="BQ101">
        <f>'2020_2021 0-&gt;1'!BO8</f>
        <v>1.24E-2</v>
      </c>
      <c r="BR101">
        <f>'2020_2021 0-&gt;1'!BP8</f>
        <v>1.24E-2</v>
      </c>
      <c r="BS101">
        <f>'2020_2021 0-&gt;1'!BQ8</f>
        <v>1.23E-2</v>
      </c>
      <c r="BT101">
        <f>'2020_2021 0-&gt;1'!BR8</f>
        <v>1.2200000000000001E-2</v>
      </c>
      <c r="BU101">
        <f>'2020_2021 0-&gt;1'!BS8</f>
        <v>1.24E-2</v>
      </c>
      <c r="BV101">
        <f>'2020_2021 0-&gt;1'!BT8</f>
        <v>1.29E-2</v>
      </c>
      <c r="BW101">
        <f>'2020_2021 0-&gt;1'!BU8</f>
        <v>1.2800000000000001E-2</v>
      </c>
      <c r="BX101">
        <f>'2020_2021 0-&gt;1'!BV8</f>
        <v>1.34E-2</v>
      </c>
      <c r="BY101">
        <f>'2020_2021 0-&gt;1'!BW8</f>
        <v>1.46E-2</v>
      </c>
      <c r="BZ101">
        <f>'2020_2021 0-&gt;1'!BX8</f>
        <v>1.5100000000000001E-2</v>
      </c>
      <c r="CA101">
        <f>'2020_2021 0-&gt;1'!BY8</f>
        <v>1.5699999999999999E-2</v>
      </c>
      <c r="CB101">
        <f>'2020_2021 0-&gt;1'!BZ8</f>
        <v>1.5100000000000001E-2</v>
      </c>
      <c r="CC101">
        <f>'2020_2021 0-&gt;1'!CA8</f>
        <v>1.4800000000000001E-2</v>
      </c>
      <c r="CD101">
        <f>'2020_2021 0-&gt;1'!CB8</f>
        <v>1.4200000000000001E-2</v>
      </c>
      <c r="CE101">
        <f>'2020_2021 0-&gt;1'!CC8</f>
        <v>1.47E-2</v>
      </c>
      <c r="CF101">
        <f>'2020_2021 0-&gt;1'!CD8</f>
        <v>1.5900000000000001E-2</v>
      </c>
      <c r="CG101">
        <f>'2020_2021 0-&gt;1'!CE8</f>
        <v>1.6199999999999999E-2</v>
      </c>
      <c r="CH101">
        <f>'2020_2021 0-&gt;1'!CF8</f>
        <v>1.55E-2</v>
      </c>
      <c r="CI101">
        <f>'2020_2021 0-&gt;1'!CG8</f>
        <v>1.7500000000000002E-2</v>
      </c>
      <c r="CJ101">
        <f>'2020_2021 0-&gt;1'!CH8</f>
        <v>1.9599999999999999E-2</v>
      </c>
      <c r="CK101">
        <f>'2020_2021 0-&gt;1'!CI8</f>
        <v>2.07E-2</v>
      </c>
      <c r="CL101">
        <f>'2020_2021 0-&gt;1'!CJ8</f>
        <v>2.0799999999999999E-2</v>
      </c>
      <c r="CM101">
        <f>'2020_2021 0-&gt;1'!CK8</f>
        <v>1.9699999999999999E-2</v>
      </c>
      <c r="CN101">
        <f>'2020_2021 0-&gt;1'!CL8</f>
        <v>2.0899999999999998E-2</v>
      </c>
      <c r="CO101">
        <f>'2020_2021 0-&gt;1'!CM8</f>
        <v>2.01E-2</v>
      </c>
      <c r="CP101">
        <f>'2020_2021 0-&gt;1'!CN8</f>
        <v>2.5899999999999999E-2</v>
      </c>
      <c r="CQ101">
        <f>'2020_2021 0-&gt;1'!CO8</f>
        <v>2.4299999999999999E-2</v>
      </c>
      <c r="CR101">
        <f>'2020_2021 0-&gt;1'!CP8</f>
        <v>3.32E-2</v>
      </c>
      <c r="CS101">
        <f>'2020_2021 0-&gt;1'!CQ8</f>
        <v>1.2E-2</v>
      </c>
      <c r="CT101">
        <f>'2020_2021 0-&gt;1'!CR8</f>
        <v>1.2500000000000001E-2</v>
      </c>
      <c r="CU101">
        <f>'2020_2021 0-&gt;1'!CS8</f>
        <v>1.5699999999999999E-2</v>
      </c>
      <c r="CV101">
        <f>'2020_2021 0-&gt;1'!CT8</f>
        <v>1.3299999999999999E-2</v>
      </c>
      <c r="CW101">
        <f>'2020_2021 0-&gt;1'!CU8</f>
        <v>1.6400000000000001E-2</v>
      </c>
      <c r="CX101">
        <f>'2020_2021 0-&gt;1'!CV8</f>
        <v>1.3599999999999999E-2</v>
      </c>
    </row>
    <row r="102" spans="1:102" x14ac:dyDescent="0.2">
      <c r="A102" t="s">
        <v>210</v>
      </c>
      <c r="B102" t="s">
        <v>218</v>
      </c>
      <c r="C102" t="s">
        <v>223</v>
      </c>
      <c r="D102">
        <f>'2020_2021 0-&gt;1'!B9</f>
        <v>1.4300000000000001E-4</v>
      </c>
      <c r="E102">
        <f>'2020_2021 0-&gt;1'!C9</f>
        <v>1.4300000000000001E-4</v>
      </c>
      <c r="F102">
        <f>'2020_2021 0-&gt;1'!D9</f>
        <v>1.4300000000000001E-4</v>
      </c>
      <c r="G102">
        <f>'2020_2021 0-&gt;1'!E9</f>
        <v>2.0999999999999999E-3</v>
      </c>
      <c r="H102">
        <f>'2020_2021 0-&gt;1'!F9</f>
        <v>1.83E-3</v>
      </c>
      <c r="I102">
        <f>'2020_2021 0-&gt;1'!G9</f>
        <v>1.4599999999999999E-3</v>
      </c>
      <c r="J102">
        <f>'2020_2021 0-&gt;1'!H9</f>
        <v>1.5900000000000001E-3</v>
      </c>
      <c r="K102">
        <f>'2020_2021 0-&gt;1'!I9</f>
        <v>1.4300000000000001E-3</v>
      </c>
      <c r="L102">
        <f>'2020_2021 0-&gt;1'!J9</f>
        <v>1.42E-3</v>
      </c>
      <c r="M102">
        <f>'2020_2021 0-&gt;1'!K9</f>
        <v>1.31E-3</v>
      </c>
      <c r="N102">
        <f>'2020_2021 0-&gt;1'!L9</f>
        <v>1.16E-3</v>
      </c>
      <c r="O102">
        <f>'2020_2021 0-&gt;1'!M9</f>
        <v>1.1299999999999999E-3</v>
      </c>
      <c r="P102">
        <f>'2020_2021 0-&gt;1'!N9</f>
        <v>8.3500000000000002E-4</v>
      </c>
      <c r="Q102">
        <f>'2020_2021 0-&gt;1'!O9</f>
        <v>7.3700000000000002E-4</v>
      </c>
      <c r="R102">
        <f>'2020_2021 0-&gt;1'!P9</f>
        <v>6.7599999999999995E-4</v>
      </c>
      <c r="S102">
        <f>'2020_2021 0-&gt;1'!Q9</f>
        <v>5.5400000000000002E-4</v>
      </c>
      <c r="T102">
        <f>'2020_2021 0-&gt;1'!R9</f>
        <v>4.7800000000000002E-4</v>
      </c>
      <c r="U102">
        <f>'2020_2021 0-&gt;1'!S9</f>
        <v>4.4999999999999999E-4</v>
      </c>
      <c r="V102">
        <f>'2020_2021 0-&gt;1'!T9</f>
        <v>4.2499999999999998E-4</v>
      </c>
      <c r="W102">
        <f>'2020_2021 0-&gt;1'!U9</f>
        <v>4.5100000000000001E-4</v>
      </c>
      <c r="X102">
        <f>'2020_2021 0-&gt;1'!V9</f>
        <v>4.2000000000000002E-4</v>
      </c>
      <c r="Y102">
        <f>'2020_2021 0-&gt;1'!W9</f>
        <v>4.4000000000000002E-4</v>
      </c>
      <c r="Z102">
        <f>'2020_2021 0-&gt;1'!X9</f>
        <v>4.66E-4</v>
      </c>
      <c r="AA102">
        <f>'2020_2021 0-&gt;1'!Y9</f>
        <v>4.64E-4</v>
      </c>
      <c r="AB102">
        <f>'2020_2021 0-&gt;1'!Z9</f>
        <v>4.7399999999999997E-4</v>
      </c>
      <c r="AC102">
        <f>'2020_2021 0-&gt;1'!AA9</f>
        <v>5.13E-4</v>
      </c>
      <c r="AD102">
        <f>'2020_2021 0-&gt;1'!AB9</f>
        <v>5.4299999999999997E-4</v>
      </c>
      <c r="AE102">
        <f>'2020_2021 0-&gt;1'!AC9</f>
        <v>5.6300000000000002E-4</v>
      </c>
      <c r="AF102">
        <f>'2020_2021 0-&gt;1'!AD9</f>
        <v>6.1300000000000005E-4</v>
      </c>
      <c r="AG102">
        <f>'2020_2021 0-&gt;1'!AE9</f>
        <v>6.5300000000000004E-4</v>
      </c>
      <c r="AH102">
        <f>'2020_2021 0-&gt;1'!AF9</f>
        <v>6.8300000000000001E-4</v>
      </c>
      <c r="AI102">
        <f>'2020_2021 0-&gt;1'!AG9</f>
        <v>7.0299999999999996E-4</v>
      </c>
      <c r="AJ102">
        <f>'2020_2021 0-&gt;1'!AH9</f>
        <v>7.3800000000000005E-4</v>
      </c>
      <c r="AK102">
        <f>'2020_2021 0-&gt;1'!AI9</f>
        <v>7.5199999999999996E-4</v>
      </c>
      <c r="AL102">
        <f>'2020_2021 0-&gt;1'!AJ9</f>
        <v>7.4299999999999995E-4</v>
      </c>
      <c r="AM102">
        <f>'2020_2021 0-&gt;1'!AK9</f>
        <v>7.3399999999999995E-4</v>
      </c>
      <c r="AN102">
        <f>'2020_2021 0-&gt;1'!AL9</f>
        <v>7.5600000000000005E-4</v>
      </c>
      <c r="AO102">
        <f>'2020_2021 0-&gt;1'!AM9</f>
        <v>7.5500000000000003E-4</v>
      </c>
      <c r="AP102">
        <f>'2020_2021 0-&gt;1'!AN9</f>
        <v>7.5100000000000004E-4</v>
      </c>
      <c r="AQ102">
        <f>'2020_2021 0-&gt;1'!AO9</f>
        <v>7.5900000000000002E-4</v>
      </c>
      <c r="AR102">
        <f>'2020_2021 0-&gt;1'!AP9</f>
        <v>7.9799999999999999E-4</v>
      </c>
      <c r="AS102">
        <f>'2020_2021 0-&gt;1'!AQ9</f>
        <v>8.1899999999999996E-4</v>
      </c>
      <c r="AT102">
        <f>'2020_2021 0-&gt;1'!AR9</f>
        <v>8.3900000000000001E-4</v>
      </c>
      <c r="AU102">
        <f>'2020_2021 0-&gt;1'!AS9</f>
        <v>8.6200000000000003E-4</v>
      </c>
      <c r="AV102">
        <f>'2020_2021 0-&gt;1'!AT9</f>
        <v>8.6899999999999998E-4</v>
      </c>
      <c r="AW102">
        <f>'2020_2021 0-&gt;1'!AU9</f>
        <v>8.8999999999999995E-4</v>
      </c>
      <c r="AX102">
        <f>'2020_2021 0-&gt;1'!AV9</f>
        <v>9.1E-4</v>
      </c>
      <c r="AY102">
        <f>'2020_2021 0-&gt;1'!AW9</f>
        <v>9.1200000000000005E-4</v>
      </c>
      <c r="AZ102">
        <f>'2020_2021 0-&gt;1'!AX9</f>
        <v>9.0899999999999998E-4</v>
      </c>
      <c r="BA102">
        <f>'2020_2021 0-&gt;1'!AY9</f>
        <v>8.9700000000000001E-4</v>
      </c>
      <c r="BB102">
        <f>'2020_2021 0-&gt;1'!AZ9</f>
        <v>9.0600000000000001E-4</v>
      </c>
      <c r="BC102">
        <f>'2020_2021 0-&gt;1'!BA9</f>
        <v>9.2299999999999999E-4</v>
      </c>
      <c r="BD102">
        <f>'2020_2021 0-&gt;1'!BB9</f>
        <v>8.9899999999999995E-4</v>
      </c>
      <c r="BE102">
        <f>'2020_2021 0-&gt;1'!BC9</f>
        <v>8.7200000000000005E-4</v>
      </c>
      <c r="BF102">
        <f>'2020_2021 0-&gt;1'!BD9</f>
        <v>8.4400000000000002E-4</v>
      </c>
      <c r="BG102">
        <f>'2020_2021 0-&gt;1'!BE9</f>
        <v>8.5800000000000004E-4</v>
      </c>
      <c r="BH102">
        <f>'2020_2021 0-&gt;1'!BF9</f>
        <v>8.5700000000000001E-4</v>
      </c>
      <c r="BI102">
        <f>'2020_2021 0-&gt;1'!BG9</f>
        <v>8.5800000000000004E-4</v>
      </c>
      <c r="BJ102">
        <f>'2020_2021 0-&gt;1'!BH9</f>
        <v>8.6899999999999998E-4</v>
      </c>
      <c r="BK102">
        <f>'2020_2021 0-&gt;1'!BI9</f>
        <v>9.0300000000000005E-4</v>
      </c>
      <c r="BL102">
        <f>'2020_2021 0-&gt;1'!BJ9</f>
        <v>1.01E-3</v>
      </c>
      <c r="BM102">
        <f>'2020_2021 0-&gt;1'!BK9</f>
        <v>1.0499999999999999E-3</v>
      </c>
      <c r="BN102">
        <f>'2020_2021 0-&gt;1'!BL9</f>
        <v>1.0499999999999999E-3</v>
      </c>
      <c r="BO102">
        <f>'2020_2021 0-&gt;1'!BM9</f>
        <v>1.06E-3</v>
      </c>
      <c r="BP102">
        <f>'2020_2021 0-&gt;1'!BN9</f>
        <v>1.0499999999999999E-3</v>
      </c>
      <c r="BQ102">
        <f>'2020_2021 0-&gt;1'!BO9</f>
        <v>1.0200000000000001E-3</v>
      </c>
      <c r="BR102">
        <f>'2020_2021 0-&gt;1'!BP9</f>
        <v>9.9500000000000001E-4</v>
      </c>
      <c r="BS102">
        <f>'2020_2021 0-&gt;1'!BQ9</f>
        <v>1.0300000000000001E-3</v>
      </c>
      <c r="BT102">
        <f>'2020_2021 0-&gt;1'!BR9</f>
        <v>1.0200000000000001E-3</v>
      </c>
      <c r="BU102">
        <f>'2020_2021 0-&gt;1'!BS9</f>
        <v>1.0300000000000001E-3</v>
      </c>
      <c r="BV102">
        <f>'2020_2021 0-&gt;1'!BT9</f>
        <v>1.06E-3</v>
      </c>
      <c r="BW102">
        <f>'2020_2021 0-&gt;1'!BU9</f>
        <v>1.0399999999999999E-3</v>
      </c>
      <c r="BX102">
        <f>'2020_2021 0-&gt;1'!BV9</f>
        <v>1.08E-3</v>
      </c>
      <c r="BY102">
        <f>'2020_2021 0-&gt;1'!BW9</f>
        <v>1.14E-3</v>
      </c>
      <c r="BZ102">
        <f>'2020_2021 0-&gt;1'!BX9</f>
        <v>1.17E-3</v>
      </c>
      <c r="CA102">
        <f>'2020_2021 0-&gt;1'!BY9</f>
        <v>1.24E-3</v>
      </c>
      <c r="CB102">
        <f>'2020_2021 0-&gt;1'!BZ9</f>
        <v>1.17E-3</v>
      </c>
      <c r="CC102">
        <f>'2020_2021 0-&gt;1'!CA9</f>
        <v>1.1299999999999999E-3</v>
      </c>
      <c r="CD102">
        <f>'2020_2021 0-&gt;1'!CB9</f>
        <v>1.1000000000000001E-3</v>
      </c>
      <c r="CE102">
        <f>'2020_2021 0-&gt;1'!CC9</f>
        <v>1.14E-3</v>
      </c>
      <c r="CF102">
        <f>'2020_2021 0-&gt;1'!CD9</f>
        <v>1.1800000000000001E-3</v>
      </c>
      <c r="CG102">
        <f>'2020_2021 0-&gt;1'!CE9</f>
        <v>1.1999999999999999E-3</v>
      </c>
      <c r="CH102">
        <f>'2020_2021 0-&gt;1'!CF9</f>
        <v>1.1199999999999999E-3</v>
      </c>
      <c r="CI102">
        <f>'2020_2021 0-&gt;1'!CG9</f>
        <v>1.1999999999999999E-3</v>
      </c>
      <c r="CJ102">
        <f>'2020_2021 0-&gt;1'!CH9</f>
        <v>1.2999999999999999E-3</v>
      </c>
      <c r="CK102">
        <f>'2020_2021 0-&gt;1'!CI9</f>
        <v>1.2899999999999999E-3</v>
      </c>
      <c r="CL102">
        <f>'2020_2021 0-&gt;1'!CJ9</f>
        <v>1.2099999999999999E-3</v>
      </c>
      <c r="CM102">
        <f>'2020_2021 0-&gt;1'!CK9</f>
        <v>1.1900000000000001E-3</v>
      </c>
      <c r="CN102">
        <f>'2020_2021 0-&gt;1'!CL9</f>
        <v>1.06E-3</v>
      </c>
      <c r="CO102">
        <f>'2020_2021 0-&gt;1'!CM9</f>
        <v>7.1599999999999995E-4</v>
      </c>
      <c r="CP102">
        <f>'2020_2021 0-&gt;1'!CN9</f>
        <v>4.66E-4</v>
      </c>
      <c r="CQ102">
        <f>'2020_2021 0-&gt;1'!CO9</f>
        <v>-3.1700000000000001E-4</v>
      </c>
      <c r="CR102">
        <f>'2020_2021 0-&gt;1'!CP9</f>
        <v>-1.4400000000000001E-3</v>
      </c>
      <c r="CS102">
        <f>'2020_2021 0-&gt;1'!CQ9</f>
        <v>-1.0300000000000001E-3</v>
      </c>
      <c r="CT102">
        <f>'2020_2021 0-&gt;1'!CR9</f>
        <v>-2.5399999999999999E-4</v>
      </c>
      <c r="CU102">
        <f>'2020_2021 0-&gt;1'!CS9</f>
        <v>2.5500000000000002E-4</v>
      </c>
      <c r="CV102">
        <f>'2020_2021 0-&gt;1'!CT9</f>
        <v>4.6200000000000001E-4</v>
      </c>
      <c r="CW102">
        <f>'2020_2021 0-&gt;1'!CU9</f>
        <v>7.6300000000000001E-4</v>
      </c>
      <c r="CX102">
        <f>'2020_2021 0-&gt;1'!CV9</f>
        <v>1.3799999999999999E-3</v>
      </c>
    </row>
    <row r="103" spans="1:102" x14ac:dyDescent="0.2">
      <c r="A103" t="s">
        <v>211</v>
      </c>
      <c r="B103" t="s">
        <v>218</v>
      </c>
      <c r="C103" t="s">
        <v>223</v>
      </c>
      <c r="D103">
        <f>'2020_2021 0-&gt;1'!B10</f>
        <v>1.9599999999999999E-4</v>
      </c>
      <c r="E103">
        <f>'2020_2021 0-&gt;1'!C10</f>
        <v>1.9599999999999999E-4</v>
      </c>
      <c r="F103">
        <f>'2020_2021 0-&gt;1'!D10</f>
        <v>1.9599999999999999E-4</v>
      </c>
      <c r="G103">
        <f>'2020_2021 0-&gt;1'!E10</f>
        <v>2.9199999999999999E-3</v>
      </c>
      <c r="H103">
        <f>'2020_2021 0-&gt;1'!F10</f>
        <v>2.2000000000000001E-3</v>
      </c>
      <c r="I103">
        <f>'2020_2021 0-&gt;1'!G10</f>
        <v>1.5200000000000001E-3</v>
      </c>
      <c r="J103">
        <f>'2020_2021 0-&gt;1'!H10</f>
        <v>1.31E-3</v>
      </c>
      <c r="K103">
        <f>'2020_2021 0-&gt;1'!I10</f>
        <v>1.2700000000000001E-3</v>
      </c>
      <c r="L103">
        <f>'2020_2021 0-&gt;1'!J10</f>
        <v>1.2600000000000001E-3</v>
      </c>
      <c r="M103">
        <f>'2020_2021 0-&gt;1'!K10</f>
        <v>1.1299999999999999E-3</v>
      </c>
      <c r="N103">
        <f>'2020_2021 0-&gt;1'!L10</f>
        <v>1.01E-3</v>
      </c>
      <c r="O103">
        <f>'2020_2021 0-&gt;1'!M10</f>
        <v>1.0399999999999999E-3</v>
      </c>
      <c r="P103">
        <f>'2020_2021 0-&gt;1'!N10</f>
        <v>8.1499999999999997E-4</v>
      </c>
      <c r="Q103">
        <f>'2020_2021 0-&gt;1'!O10</f>
        <v>7.0500000000000001E-4</v>
      </c>
      <c r="R103">
        <f>'2020_2021 0-&gt;1'!P10</f>
        <v>5.8E-4</v>
      </c>
      <c r="S103">
        <f>'2020_2021 0-&gt;1'!Q10</f>
        <v>5.6899999999999995E-4</v>
      </c>
      <c r="T103">
        <f>'2020_2021 0-&gt;1'!R10</f>
        <v>5.2400000000000005E-4</v>
      </c>
      <c r="U103">
        <f>'2020_2021 0-&gt;1'!S10</f>
        <v>5.6700000000000001E-4</v>
      </c>
      <c r="V103">
        <f>'2020_2021 0-&gt;1'!T10</f>
        <v>5.4000000000000001E-4</v>
      </c>
      <c r="W103">
        <f>'2020_2021 0-&gt;1'!U10</f>
        <v>5.8600000000000004E-4</v>
      </c>
      <c r="X103">
        <f>'2020_2021 0-&gt;1'!V10</f>
        <v>5.1599999999999997E-4</v>
      </c>
      <c r="Y103">
        <f>'2020_2021 0-&gt;1'!W10</f>
        <v>5.9400000000000002E-4</v>
      </c>
      <c r="Z103">
        <f>'2020_2021 0-&gt;1'!X10</f>
        <v>5.4799999999999998E-4</v>
      </c>
      <c r="AA103">
        <f>'2020_2021 0-&gt;1'!Y10</f>
        <v>5.7600000000000001E-4</v>
      </c>
      <c r="AB103">
        <f>'2020_2021 0-&gt;1'!Z10</f>
        <v>5.6800000000000004E-4</v>
      </c>
      <c r="AC103">
        <f>'2020_2021 0-&gt;1'!AA10</f>
        <v>6.0999999999999997E-4</v>
      </c>
      <c r="AD103">
        <f>'2020_2021 0-&gt;1'!AB10</f>
        <v>6.4300000000000002E-4</v>
      </c>
      <c r="AE103">
        <f>'2020_2021 0-&gt;1'!AC10</f>
        <v>7.0399999999999998E-4</v>
      </c>
      <c r="AF103">
        <f>'2020_2021 0-&gt;1'!AD10</f>
        <v>8.0099999999999995E-4</v>
      </c>
      <c r="AG103">
        <f>'2020_2021 0-&gt;1'!AE10</f>
        <v>8.9499999999999996E-4</v>
      </c>
      <c r="AH103">
        <f>'2020_2021 0-&gt;1'!AF10</f>
        <v>9.4499999999999998E-4</v>
      </c>
      <c r="AI103">
        <f>'2020_2021 0-&gt;1'!AG10</f>
        <v>1.01E-3</v>
      </c>
      <c r="AJ103">
        <f>'2020_2021 0-&gt;1'!AH10</f>
        <v>9.7499999999999996E-4</v>
      </c>
      <c r="AK103">
        <f>'2020_2021 0-&gt;1'!AI10</f>
        <v>1.0300000000000001E-3</v>
      </c>
      <c r="AL103">
        <f>'2020_2021 0-&gt;1'!AJ10</f>
        <v>1.0499999999999999E-3</v>
      </c>
      <c r="AM103">
        <f>'2020_2021 0-&gt;1'!AK10</f>
        <v>1.1199999999999999E-3</v>
      </c>
      <c r="AN103">
        <f>'2020_2021 0-&gt;1'!AL10</f>
        <v>1.17E-3</v>
      </c>
      <c r="AO103">
        <f>'2020_2021 0-&gt;1'!AM10</f>
        <v>1.1800000000000001E-3</v>
      </c>
      <c r="AP103">
        <f>'2020_2021 0-&gt;1'!AN10</f>
        <v>1.2099999999999999E-3</v>
      </c>
      <c r="AQ103">
        <f>'2020_2021 0-&gt;1'!AO10</f>
        <v>1.1999999999999999E-3</v>
      </c>
      <c r="AR103">
        <f>'2020_2021 0-&gt;1'!AP10</f>
        <v>1.23E-3</v>
      </c>
      <c r="AS103">
        <f>'2020_2021 0-&gt;1'!AQ10</f>
        <v>1.2899999999999999E-3</v>
      </c>
      <c r="AT103">
        <f>'2020_2021 0-&gt;1'!AR10</f>
        <v>1.3799999999999999E-3</v>
      </c>
      <c r="AU103">
        <f>'2020_2021 0-&gt;1'!AS10</f>
        <v>1.3500000000000001E-3</v>
      </c>
      <c r="AV103">
        <f>'2020_2021 0-&gt;1'!AT10</f>
        <v>1.3799999999999999E-3</v>
      </c>
      <c r="AW103">
        <f>'2020_2021 0-&gt;1'!AU10</f>
        <v>1.4499999999999999E-3</v>
      </c>
      <c r="AX103">
        <f>'2020_2021 0-&gt;1'!AV10</f>
        <v>1.4499999999999999E-3</v>
      </c>
      <c r="AY103">
        <f>'2020_2021 0-&gt;1'!AW10</f>
        <v>1.5399999999999999E-3</v>
      </c>
      <c r="AZ103">
        <f>'2020_2021 0-&gt;1'!AX10</f>
        <v>1.58E-3</v>
      </c>
      <c r="BA103">
        <f>'2020_2021 0-&gt;1'!AY10</f>
        <v>1.5900000000000001E-3</v>
      </c>
      <c r="BB103">
        <f>'2020_2021 0-&gt;1'!AZ10</f>
        <v>1.58E-3</v>
      </c>
      <c r="BC103">
        <f>'2020_2021 0-&gt;1'!BA10</f>
        <v>1.57E-3</v>
      </c>
      <c r="BD103">
        <f>'2020_2021 0-&gt;1'!BB10</f>
        <v>1.5299999999999999E-3</v>
      </c>
      <c r="BE103">
        <f>'2020_2021 0-&gt;1'!BC10</f>
        <v>1.5299999999999999E-3</v>
      </c>
      <c r="BF103">
        <f>'2020_2021 0-&gt;1'!BD10</f>
        <v>1.5200000000000001E-3</v>
      </c>
      <c r="BG103">
        <f>'2020_2021 0-&gt;1'!BE10</f>
        <v>1.6100000000000001E-3</v>
      </c>
      <c r="BH103">
        <f>'2020_2021 0-&gt;1'!BF10</f>
        <v>1.4300000000000001E-3</v>
      </c>
      <c r="BI103">
        <f>'2020_2021 0-&gt;1'!BG10</f>
        <v>1.41E-3</v>
      </c>
      <c r="BJ103">
        <f>'2020_2021 0-&gt;1'!BH10</f>
        <v>1.4599999999999999E-3</v>
      </c>
      <c r="BK103">
        <f>'2020_2021 0-&gt;1'!BI10</f>
        <v>1.5499999999999999E-3</v>
      </c>
      <c r="BL103">
        <f>'2020_2021 0-&gt;1'!BJ10</f>
        <v>1.75E-3</v>
      </c>
      <c r="BM103">
        <f>'2020_2021 0-&gt;1'!BK10</f>
        <v>1.9300000000000001E-3</v>
      </c>
      <c r="BN103">
        <f>'2020_2021 0-&gt;1'!BL10</f>
        <v>2E-3</v>
      </c>
      <c r="BO103">
        <f>'2020_2021 0-&gt;1'!BM10</f>
        <v>2.0699999999999998E-3</v>
      </c>
      <c r="BP103">
        <f>'2020_2021 0-&gt;1'!BN10</f>
        <v>2.0699999999999998E-3</v>
      </c>
      <c r="BQ103">
        <f>'2020_2021 0-&gt;1'!BO10</f>
        <v>1.98E-3</v>
      </c>
      <c r="BR103">
        <f>'2020_2021 0-&gt;1'!BP10</f>
        <v>2.0699999999999998E-3</v>
      </c>
      <c r="BS103">
        <f>'2020_2021 0-&gt;1'!BQ10</f>
        <v>2.0799999999999998E-3</v>
      </c>
      <c r="BT103">
        <f>'2020_2021 0-&gt;1'!BR10</f>
        <v>2.1099999999999999E-3</v>
      </c>
      <c r="BU103">
        <f>'2020_2021 0-&gt;1'!BS10</f>
        <v>2.1800000000000001E-3</v>
      </c>
      <c r="BV103">
        <f>'2020_2021 0-&gt;1'!BT10</f>
        <v>2.31E-3</v>
      </c>
      <c r="BW103">
        <f>'2020_2021 0-&gt;1'!BU10</f>
        <v>2.1099999999999999E-3</v>
      </c>
      <c r="BX103">
        <f>'2020_2021 0-&gt;1'!BV10</f>
        <v>2.31E-3</v>
      </c>
      <c r="BY103">
        <f>'2020_2021 0-&gt;1'!BW10</f>
        <v>2.47E-3</v>
      </c>
      <c r="BZ103">
        <f>'2020_2021 0-&gt;1'!BX10</f>
        <v>2.6099999999999999E-3</v>
      </c>
      <c r="CA103">
        <f>'2020_2021 0-&gt;1'!BY10</f>
        <v>2.81E-3</v>
      </c>
      <c r="CB103">
        <f>'2020_2021 0-&gt;1'!BZ10</f>
        <v>2.7200000000000002E-3</v>
      </c>
      <c r="CC103">
        <f>'2020_2021 0-&gt;1'!CA10</f>
        <v>2.7299999999999998E-3</v>
      </c>
      <c r="CD103">
        <f>'2020_2021 0-&gt;1'!CB10</f>
        <v>2.5899999999999999E-3</v>
      </c>
      <c r="CE103">
        <f>'2020_2021 0-&gt;1'!CC10</f>
        <v>2.8700000000000002E-3</v>
      </c>
      <c r="CF103">
        <f>'2020_2021 0-&gt;1'!CD10</f>
        <v>3.0100000000000001E-3</v>
      </c>
      <c r="CG103">
        <f>'2020_2021 0-&gt;1'!CE10</f>
        <v>3.0500000000000002E-3</v>
      </c>
      <c r="CH103">
        <f>'2020_2021 0-&gt;1'!CF10</f>
        <v>2.8600000000000001E-3</v>
      </c>
      <c r="CI103">
        <f>'2020_2021 0-&gt;1'!CG10</f>
        <v>3.1199999999999999E-3</v>
      </c>
      <c r="CJ103">
        <f>'2020_2021 0-&gt;1'!CH10</f>
        <v>3.4099999999999998E-3</v>
      </c>
      <c r="CK103">
        <f>'2020_2021 0-&gt;1'!CI10</f>
        <v>3.65E-3</v>
      </c>
      <c r="CL103">
        <f>'2020_2021 0-&gt;1'!CJ10</f>
        <v>3.6900000000000001E-3</v>
      </c>
      <c r="CM103">
        <f>'2020_2021 0-&gt;1'!CK10</f>
        <v>3.4499999999999999E-3</v>
      </c>
      <c r="CN103">
        <f>'2020_2021 0-&gt;1'!CL10</f>
        <v>3.63E-3</v>
      </c>
      <c r="CO103">
        <f>'2020_2021 0-&gt;1'!CM10</f>
        <v>3.2100000000000002E-3</v>
      </c>
      <c r="CP103">
        <f>'2020_2021 0-&gt;1'!CN10</f>
        <v>3.5699999999999998E-3</v>
      </c>
      <c r="CQ103">
        <f>'2020_2021 0-&gt;1'!CO10</f>
        <v>2.2899999999999999E-3</v>
      </c>
      <c r="CR103">
        <f>'2020_2021 0-&gt;1'!CP10</f>
        <v>1.3799999999999999E-3</v>
      </c>
      <c r="CS103">
        <f>'2020_2021 0-&gt;1'!CQ10</f>
        <v>-3.4600000000000001E-4</v>
      </c>
      <c r="CT103">
        <f>'2020_2021 0-&gt;1'!CR10</f>
        <v>1.26E-4</v>
      </c>
      <c r="CU103">
        <f>'2020_2021 0-&gt;1'!CS10</f>
        <v>5.8E-4</v>
      </c>
      <c r="CV103">
        <f>'2020_2021 0-&gt;1'!CT10</f>
        <v>6.0499999999999996E-4</v>
      </c>
      <c r="CW103">
        <f>'2020_2021 0-&gt;1'!CU10</f>
        <v>1.4499999999999999E-3</v>
      </c>
      <c r="CX103">
        <f>'2020_2021 0-&gt;1'!CV10</f>
        <v>1.24E-3</v>
      </c>
    </row>
    <row r="104" spans="1:102" x14ac:dyDescent="0.2">
      <c r="A104" t="s">
        <v>212</v>
      </c>
      <c r="B104" t="s">
        <v>218</v>
      </c>
      <c r="C104" t="s">
        <v>223</v>
      </c>
      <c r="D104">
        <f>'2020_2021 0-&gt;1'!B11</f>
        <v>-2.2699999999999999E-4</v>
      </c>
      <c r="E104">
        <f>'2020_2021 0-&gt;1'!C11</f>
        <v>-2.2699999999999999E-4</v>
      </c>
      <c r="F104">
        <f>'2020_2021 0-&gt;1'!D11</f>
        <v>-2.2699999999999999E-4</v>
      </c>
      <c r="G104">
        <f>'2020_2021 0-&gt;1'!E11</f>
        <v>-5.2199999999999998E-3</v>
      </c>
      <c r="H104">
        <f>'2020_2021 0-&gt;1'!F11</f>
        <v>-5.4299999999999999E-3</v>
      </c>
      <c r="I104">
        <f>'2020_2021 0-&gt;1'!G11</f>
        <v>-4.2500000000000003E-3</v>
      </c>
      <c r="J104">
        <f>'2020_2021 0-&gt;1'!H11</f>
        <v>-4.1099999999999999E-3</v>
      </c>
      <c r="K104">
        <f>'2020_2021 0-&gt;1'!I11</f>
        <v>-3.63E-3</v>
      </c>
      <c r="L104">
        <f>'2020_2021 0-&gt;1'!J11</f>
        <v>-3.5000000000000001E-3</v>
      </c>
      <c r="M104">
        <f>'2020_2021 0-&gt;1'!K11</f>
        <v>-3.2100000000000002E-3</v>
      </c>
      <c r="N104">
        <f>'2020_2021 0-&gt;1'!L11</f>
        <v>-2.7899999999999999E-3</v>
      </c>
      <c r="O104">
        <f>'2020_2021 0-&gt;1'!M11</f>
        <v>-2.5600000000000002E-3</v>
      </c>
      <c r="P104">
        <f>'2020_2021 0-&gt;1'!N11</f>
        <v>-1.9400000000000001E-3</v>
      </c>
      <c r="Q104">
        <f>'2020_2021 0-&gt;1'!O11</f>
        <v>-1.58E-3</v>
      </c>
      <c r="R104">
        <f>'2020_2021 0-&gt;1'!P11</f>
        <v>-1.3500000000000001E-3</v>
      </c>
      <c r="S104">
        <f>'2020_2021 0-&gt;1'!Q11</f>
        <v>-1.1299999999999999E-3</v>
      </c>
      <c r="T104">
        <f>'2020_2021 0-&gt;1'!R11</f>
        <v>-9.6299999999999999E-4</v>
      </c>
      <c r="U104">
        <f>'2020_2021 0-&gt;1'!S11</f>
        <v>-8.8199999999999997E-4</v>
      </c>
      <c r="V104">
        <f>'2020_2021 0-&gt;1'!T11</f>
        <v>-7.5900000000000002E-4</v>
      </c>
      <c r="W104">
        <f>'2020_2021 0-&gt;1'!U11</f>
        <v>-7.18E-4</v>
      </c>
      <c r="X104">
        <f>'2020_2021 0-&gt;1'!V11</f>
        <v>-6.4599999999999998E-4</v>
      </c>
      <c r="Y104">
        <f>'2020_2021 0-&gt;1'!W11</f>
        <v>-6.4899999999999995E-4</v>
      </c>
      <c r="Z104">
        <f>'2020_2021 0-&gt;1'!X11</f>
        <v>-6.4999999999999997E-4</v>
      </c>
      <c r="AA104">
        <f>'2020_2021 0-&gt;1'!Y11</f>
        <v>-6.5899999999999997E-4</v>
      </c>
      <c r="AB104">
        <f>'2020_2021 0-&gt;1'!Z11</f>
        <v>-6.2299999999999996E-4</v>
      </c>
      <c r="AC104">
        <f>'2020_2021 0-&gt;1'!AA11</f>
        <v>-6.29E-4</v>
      </c>
      <c r="AD104">
        <f>'2020_2021 0-&gt;1'!AB11</f>
        <v>-6.6600000000000003E-4</v>
      </c>
      <c r="AE104">
        <f>'2020_2021 0-&gt;1'!AC11</f>
        <v>-6.7299999999999999E-4</v>
      </c>
      <c r="AF104">
        <f>'2020_2021 0-&gt;1'!AD11</f>
        <v>-6.5200000000000002E-4</v>
      </c>
      <c r="AG104">
        <f>'2020_2021 0-&gt;1'!AE11</f>
        <v>-6.6799999999999997E-4</v>
      </c>
      <c r="AH104">
        <f>'2020_2021 0-&gt;1'!AF11</f>
        <v>-6.6799999999999997E-4</v>
      </c>
      <c r="AI104">
        <f>'2020_2021 0-&gt;1'!AG11</f>
        <v>-6.5899999999999997E-4</v>
      </c>
      <c r="AJ104">
        <f>'2020_2021 0-&gt;1'!AH11</f>
        <v>-6.4700000000000001E-4</v>
      </c>
      <c r="AK104">
        <f>'2020_2021 0-&gt;1'!AI11</f>
        <v>-6.2E-4</v>
      </c>
      <c r="AL104">
        <f>'2020_2021 0-&gt;1'!AJ11</f>
        <v>-6.0899999999999995E-4</v>
      </c>
      <c r="AM104">
        <f>'2020_2021 0-&gt;1'!AK11</f>
        <v>-6.0999999999999997E-4</v>
      </c>
      <c r="AN104">
        <f>'2020_2021 0-&gt;1'!AL11</f>
        <v>-5.8500000000000002E-4</v>
      </c>
      <c r="AO104">
        <f>'2020_2021 0-&gt;1'!AM11</f>
        <v>-5.8E-4</v>
      </c>
      <c r="AP104">
        <f>'2020_2021 0-&gt;1'!AN11</f>
        <v>-5.7799999999999995E-4</v>
      </c>
      <c r="AQ104">
        <f>'2020_2021 0-&gt;1'!AO11</f>
        <v>-5.6700000000000001E-4</v>
      </c>
      <c r="AR104">
        <f>'2020_2021 0-&gt;1'!AP11</f>
        <v>-5.6400000000000005E-4</v>
      </c>
      <c r="AS104">
        <f>'2020_2021 0-&gt;1'!AQ11</f>
        <v>-5.8699999999999996E-4</v>
      </c>
      <c r="AT104">
        <f>'2020_2021 0-&gt;1'!AR11</f>
        <v>-5.9100000000000005E-4</v>
      </c>
      <c r="AU104">
        <f>'2020_2021 0-&gt;1'!AS11</f>
        <v>-5.6999999999999998E-4</v>
      </c>
      <c r="AV104">
        <f>'2020_2021 0-&gt;1'!AT11</f>
        <v>-5.5599999999999996E-4</v>
      </c>
      <c r="AW104">
        <f>'2020_2021 0-&gt;1'!AU11</f>
        <v>-5.7399999999999997E-4</v>
      </c>
      <c r="AX104">
        <f>'2020_2021 0-&gt;1'!AV11</f>
        <v>-5.5099999999999995E-4</v>
      </c>
      <c r="AY104">
        <f>'2020_2021 0-&gt;1'!AW11</f>
        <v>-5.3499999999999999E-4</v>
      </c>
      <c r="AZ104">
        <f>'2020_2021 0-&gt;1'!AX11</f>
        <v>-5.2700000000000002E-4</v>
      </c>
      <c r="BA104">
        <f>'2020_2021 0-&gt;1'!AY11</f>
        <v>-5.2400000000000005E-4</v>
      </c>
      <c r="BB104">
        <f>'2020_2021 0-&gt;1'!AZ11</f>
        <v>-5.1400000000000003E-4</v>
      </c>
      <c r="BC104">
        <f>'2020_2021 0-&gt;1'!BA11</f>
        <v>-5.0900000000000001E-4</v>
      </c>
      <c r="BD104">
        <f>'2020_2021 0-&gt;1'!BB11</f>
        <v>-4.9600000000000002E-4</v>
      </c>
      <c r="BE104">
        <f>'2020_2021 0-&gt;1'!BC11</f>
        <v>-4.55E-4</v>
      </c>
      <c r="BF104">
        <f>'2020_2021 0-&gt;1'!BD11</f>
        <v>-4.5800000000000002E-4</v>
      </c>
      <c r="BG104">
        <f>'2020_2021 0-&gt;1'!BE11</f>
        <v>-4.5600000000000003E-4</v>
      </c>
      <c r="BH104">
        <f>'2020_2021 0-&gt;1'!BF11</f>
        <v>-4.4200000000000001E-4</v>
      </c>
      <c r="BI104">
        <f>'2020_2021 0-&gt;1'!BG11</f>
        <v>-4.35E-4</v>
      </c>
      <c r="BJ104">
        <f>'2020_2021 0-&gt;1'!BH11</f>
        <v>-4.28E-4</v>
      </c>
      <c r="BK104">
        <f>'2020_2021 0-&gt;1'!BI11</f>
        <v>-4.3399999999999998E-4</v>
      </c>
      <c r="BL104">
        <f>'2020_2021 0-&gt;1'!BJ11</f>
        <v>-4.7100000000000001E-4</v>
      </c>
      <c r="BM104">
        <f>'2020_2021 0-&gt;1'!BK11</f>
        <v>-4.6999999999999999E-4</v>
      </c>
      <c r="BN104">
        <f>'2020_2021 0-&gt;1'!BL11</f>
        <v>-4.8000000000000001E-4</v>
      </c>
      <c r="BO104">
        <f>'2020_2021 0-&gt;1'!BM11</f>
        <v>-4.7699999999999999E-4</v>
      </c>
      <c r="BP104">
        <f>'2020_2021 0-&gt;1'!BN11</f>
        <v>-4.75E-4</v>
      </c>
      <c r="BQ104">
        <f>'2020_2021 0-&gt;1'!BO11</f>
        <v>-4.35E-4</v>
      </c>
      <c r="BR104">
        <f>'2020_2021 0-&gt;1'!BP11</f>
        <v>-4.1300000000000001E-4</v>
      </c>
      <c r="BS104">
        <f>'2020_2021 0-&gt;1'!BQ11</f>
        <v>-4.0999999999999999E-4</v>
      </c>
      <c r="BT104">
        <f>'2020_2021 0-&gt;1'!BR11</f>
        <v>-4.5199999999999998E-4</v>
      </c>
      <c r="BU104">
        <f>'2020_2021 0-&gt;1'!BS11</f>
        <v>-4.3600000000000003E-4</v>
      </c>
      <c r="BV104">
        <f>'2020_2021 0-&gt;1'!BT11</f>
        <v>-4.6000000000000001E-4</v>
      </c>
      <c r="BW104">
        <f>'2020_2021 0-&gt;1'!BU11</f>
        <v>-4.4799999999999999E-4</v>
      </c>
      <c r="BX104">
        <f>'2020_2021 0-&gt;1'!BV11</f>
        <v>-4.15E-4</v>
      </c>
      <c r="BY104">
        <f>'2020_2021 0-&gt;1'!BW11</f>
        <v>-4.3199999999999998E-4</v>
      </c>
      <c r="BZ104">
        <f>'2020_2021 0-&gt;1'!BX11</f>
        <v>-4.3899999999999999E-4</v>
      </c>
      <c r="CA104">
        <f>'2020_2021 0-&gt;1'!BY11</f>
        <v>-4.6900000000000002E-4</v>
      </c>
      <c r="CB104">
        <f>'2020_2021 0-&gt;1'!BZ11</f>
        <v>-4.4299999999999998E-4</v>
      </c>
      <c r="CC104">
        <f>'2020_2021 0-&gt;1'!CA11</f>
        <v>-4.3600000000000003E-4</v>
      </c>
      <c r="CD104">
        <f>'2020_2021 0-&gt;1'!CB11</f>
        <v>-4.1199999999999999E-4</v>
      </c>
      <c r="CE104">
        <f>'2020_2021 0-&gt;1'!CC11</f>
        <v>-4.2099999999999999E-4</v>
      </c>
      <c r="CF104">
        <f>'2020_2021 0-&gt;1'!CD11</f>
        <v>-4.2200000000000001E-4</v>
      </c>
      <c r="CG104">
        <f>'2020_2021 0-&gt;1'!CE11</f>
        <v>-4.6900000000000002E-4</v>
      </c>
      <c r="CH104">
        <f>'2020_2021 0-&gt;1'!CF11</f>
        <v>-4.0999999999999999E-4</v>
      </c>
      <c r="CI104">
        <f>'2020_2021 0-&gt;1'!CG11</f>
        <v>-4.4299999999999998E-4</v>
      </c>
      <c r="CJ104">
        <f>'2020_2021 0-&gt;1'!CH11</f>
        <v>-4.8700000000000002E-4</v>
      </c>
      <c r="CK104">
        <f>'2020_2021 0-&gt;1'!CI11</f>
        <v>-4.8000000000000001E-4</v>
      </c>
      <c r="CL104">
        <f>'2020_2021 0-&gt;1'!CJ11</f>
        <v>-3.9800000000000002E-4</v>
      </c>
      <c r="CM104">
        <f>'2020_2021 0-&gt;1'!CK11</f>
        <v>-3.4299999999999999E-4</v>
      </c>
      <c r="CN104">
        <f>'2020_2021 0-&gt;1'!CL11</f>
        <v>-3.6499999999999998E-4</v>
      </c>
      <c r="CO104">
        <f>'2020_2021 0-&gt;1'!CM11</f>
        <v>-3.1199999999999999E-4</v>
      </c>
      <c r="CP104">
        <f>'2020_2021 0-&gt;1'!CN11</f>
        <v>-2.7099999999999997E-4</v>
      </c>
      <c r="CQ104">
        <f>'2020_2021 0-&gt;1'!CO11</f>
        <v>-1.34E-4</v>
      </c>
      <c r="CR104">
        <f>'2020_2021 0-&gt;1'!CP11</f>
        <v>1.13E-4</v>
      </c>
      <c r="CS104">
        <f>'2020_2021 0-&gt;1'!CQ11</f>
        <v>1.5300000000000001E-4</v>
      </c>
      <c r="CT104">
        <f>'2020_2021 0-&gt;1'!CR11</f>
        <v>-2.32E-4</v>
      </c>
      <c r="CU104">
        <f>'2020_2021 0-&gt;1'!CS11</f>
        <v>-1.27E-4</v>
      </c>
      <c r="CV104">
        <f>'2020_2021 0-&gt;1'!CT11</f>
        <v>2.94E-5</v>
      </c>
      <c r="CW104">
        <f>'2020_2021 0-&gt;1'!CU11</f>
        <v>-1.74E-4</v>
      </c>
      <c r="CX104">
        <f>'2020_2021 0-&gt;1'!CV11</f>
        <v>-2.8600000000000001E-4</v>
      </c>
    </row>
    <row r="105" spans="1:102" x14ac:dyDescent="0.2">
      <c r="A105" t="s">
        <v>213</v>
      </c>
      <c r="B105" t="s">
        <v>218</v>
      </c>
      <c r="C105" t="s">
        <v>223</v>
      </c>
      <c r="D105">
        <f>'2020_2021 0-&gt;1'!B12</f>
        <v>-2.8800000000000001E-4</v>
      </c>
      <c r="E105">
        <f>'2020_2021 0-&gt;1'!C12</f>
        <v>-2.8800000000000001E-4</v>
      </c>
      <c r="F105">
        <f>'2020_2021 0-&gt;1'!D12</f>
        <v>-2.8800000000000001E-4</v>
      </c>
      <c r="G105">
        <f>'2020_2021 0-&gt;1'!E12</f>
        <v>-8.1899999999999994E-3</v>
      </c>
      <c r="H105">
        <f>'2020_2021 0-&gt;1'!F12</f>
        <v>-7.3400000000000002E-3</v>
      </c>
      <c r="I105">
        <f>'2020_2021 0-&gt;1'!G12</f>
        <v>-5.9899999999999997E-3</v>
      </c>
      <c r="J105">
        <f>'2020_2021 0-&gt;1'!H12</f>
        <v>-6.3200000000000001E-3</v>
      </c>
      <c r="K105">
        <f>'2020_2021 0-&gt;1'!I12</f>
        <v>-5.9100000000000003E-3</v>
      </c>
      <c r="L105">
        <f>'2020_2021 0-&gt;1'!J12</f>
        <v>-6.1799999999999997E-3</v>
      </c>
      <c r="M105">
        <f>'2020_2021 0-&gt;1'!K12</f>
        <v>-6.0499999999999998E-3</v>
      </c>
      <c r="N105">
        <f>'2020_2021 0-&gt;1'!L12</f>
        <v>-5.7000000000000002E-3</v>
      </c>
      <c r="O105">
        <f>'2020_2021 0-&gt;1'!M12</f>
        <v>-5.6600000000000001E-3</v>
      </c>
      <c r="P105">
        <f>'2020_2021 0-&gt;1'!N12</f>
        <v>-4.4999999999999997E-3</v>
      </c>
      <c r="Q105">
        <f>'2020_2021 0-&gt;1'!O12</f>
        <v>-4.0499999999999998E-3</v>
      </c>
      <c r="R105">
        <f>'2020_2021 0-&gt;1'!P12</f>
        <v>-3.7799999999999999E-3</v>
      </c>
      <c r="S105">
        <f>'2020_2021 0-&gt;1'!Q12</f>
        <v>-3.2799999999999999E-3</v>
      </c>
      <c r="T105">
        <f>'2020_2021 0-&gt;1'!R12</f>
        <v>-2.7100000000000002E-3</v>
      </c>
      <c r="U105">
        <f>'2020_2021 0-&gt;1'!S12</f>
        <v>-2.5500000000000002E-3</v>
      </c>
      <c r="V105">
        <f>'2020_2021 0-&gt;1'!T12</f>
        <v>-2.2200000000000002E-3</v>
      </c>
      <c r="W105">
        <f>'2020_2021 0-&gt;1'!U12</f>
        <v>-2.0100000000000001E-3</v>
      </c>
      <c r="X105">
        <f>'2020_2021 0-&gt;1'!V12</f>
        <v>-1.7700000000000001E-3</v>
      </c>
      <c r="Y105">
        <f>'2020_2021 0-&gt;1'!W12</f>
        <v>-1.7899999999999999E-3</v>
      </c>
      <c r="Z105">
        <f>'2020_2021 0-&gt;1'!X12</f>
        <v>-1.8600000000000001E-3</v>
      </c>
      <c r="AA105">
        <f>'2020_2021 0-&gt;1'!Y12</f>
        <v>-1.8799999999999999E-3</v>
      </c>
      <c r="AB105">
        <f>'2020_2021 0-&gt;1'!Z12</f>
        <v>-1.8500000000000001E-3</v>
      </c>
      <c r="AC105">
        <f>'2020_2021 0-&gt;1'!AA12</f>
        <v>-1.7899999999999999E-3</v>
      </c>
      <c r="AD105">
        <f>'2020_2021 0-&gt;1'!AB12</f>
        <v>-1.7600000000000001E-3</v>
      </c>
      <c r="AE105">
        <f>'2020_2021 0-&gt;1'!AC12</f>
        <v>-1.7799999999999999E-3</v>
      </c>
      <c r="AF105">
        <f>'2020_2021 0-&gt;1'!AD12</f>
        <v>-1.6999999999999999E-3</v>
      </c>
      <c r="AG105">
        <f>'2020_2021 0-&gt;1'!AE12</f>
        <v>-1.74E-3</v>
      </c>
      <c r="AH105">
        <f>'2020_2021 0-&gt;1'!AF12</f>
        <v>-1.6999999999999999E-3</v>
      </c>
      <c r="AI105">
        <f>'2020_2021 0-&gt;1'!AG12</f>
        <v>-1.67E-3</v>
      </c>
      <c r="AJ105">
        <f>'2020_2021 0-&gt;1'!AH12</f>
        <v>-1.6900000000000001E-3</v>
      </c>
      <c r="AK105">
        <f>'2020_2021 0-&gt;1'!AI12</f>
        <v>-1.6900000000000001E-3</v>
      </c>
      <c r="AL105">
        <f>'2020_2021 0-&gt;1'!AJ12</f>
        <v>-1.66E-3</v>
      </c>
      <c r="AM105">
        <f>'2020_2021 0-&gt;1'!AK12</f>
        <v>-1.57E-3</v>
      </c>
      <c r="AN105">
        <f>'2020_2021 0-&gt;1'!AL12</f>
        <v>-1.49E-3</v>
      </c>
      <c r="AO105">
        <f>'2020_2021 0-&gt;1'!AM12</f>
        <v>-1.56E-3</v>
      </c>
      <c r="AP105">
        <f>'2020_2021 0-&gt;1'!AN12</f>
        <v>-1.56E-3</v>
      </c>
      <c r="AQ105">
        <f>'2020_2021 0-&gt;1'!AO12</f>
        <v>-1.47E-3</v>
      </c>
      <c r="AR105">
        <f>'2020_2021 0-&gt;1'!AP12</f>
        <v>-1.4400000000000001E-3</v>
      </c>
      <c r="AS105">
        <f>'2020_2021 0-&gt;1'!AQ12</f>
        <v>-1.41E-3</v>
      </c>
      <c r="AT105">
        <f>'2020_2021 0-&gt;1'!AR12</f>
        <v>-1.3600000000000001E-3</v>
      </c>
      <c r="AU105">
        <f>'2020_2021 0-&gt;1'!AS12</f>
        <v>-1.33E-3</v>
      </c>
      <c r="AV105">
        <f>'2020_2021 0-&gt;1'!AT12</f>
        <v>-1.33E-3</v>
      </c>
      <c r="AW105">
        <f>'2020_2021 0-&gt;1'!AU12</f>
        <v>-1.2600000000000001E-3</v>
      </c>
      <c r="AX105">
        <f>'2020_2021 0-&gt;1'!AV12</f>
        <v>-1.31E-3</v>
      </c>
      <c r="AY105">
        <f>'2020_2021 0-&gt;1'!AW12</f>
        <v>-1.34E-3</v>
      </c>
      <c r="AZ105">
        <f>'2020_2021 0-&gt;1'!AX12</f>
        <v>-1.2800000000000001E-3</v>
      </c>
      <c r="BA105">
        <f>'2020_2021 0-&gt;1'!AY12</f>
        <v>-1.2800000000000001E-3</v>
      </c>
      <c r="BB105">
        <f>'2020_2021 0-&gt;1'!AZ12</f>
        <v>-1.23E-3</v>
      </c>
      <c r="BC105">
        <f>'2020_2021 0-&gt;1'!BA12</f>
        <v>-1.1900000000000001E-3</v>
      </c>
      <c r="BD105">
        <f>'2020_2021 0-&gt;1'!BB12</f>
        <v>-1.1299999999999999E-3</v>
      </c>
      <c r="BE105">
        <f>'2020_2021 0-&gt;1'!BC12</f>
        <v>-1.0499999999999999E-3</v>
      </c>
      <c r="BF105">
        <f>'2020_2021 0-&gt;1'!BD12</f>
        <v>-9.6000000000000002E-4</v>
      </c>
      <c r="BG105">
        <f>'2020_2021 0-&gt;1'!BE12</f>
        <v>-1.01E-3</v>
      </c>
      <c r="BH105">
        <f>'2020_2021 0-&gt;1'!BF12</f>
        <v>-1.0300000000000001E-3</v>
      </c>
      <c r="BI105">
        <f>'2020_2021 0-&gt;1'!BG12</f>
        <v>-1.07E-3</v>
      </c>
      <c r="BJ105">
        <f>'2020_2021 0-&gt;1'!BH12</f>
        <v>-1.1000000000000001E-3</v>
      </c>
      <c r="BK105">
        <f>'2020_2021 0-&gt;1'!BI12</f>
        <v>-1.1100000000000001E-3</v>
      </c>
      <c r="BL105">
        <f>'2020_2021 0-&gt;1'!BJ12</f>
        <v>-1.14E-3</v>
      </c>
      <c r="BM105">
        <f>'2020_2021 0-&gt;1'!BK12</f>
        <v>-1.14E-3</v>
      </c>
      <c r="BN105">
        <f>'2020_2021 0-&gt;1'!BL12</f>
        <v>-1.1000000000000001E-3</v>
      </c>
      <c r="BO105">
        <f>'2020_2021 0-&gt;1'!BM12</f>
        <v>-1.09E-3</v>
      </c>
      <c r="BP105">
        <f>'2020_2021 0-&gt;1'!BN12</f>
        <v>-1.06E-3</v>
      </c>
      <c r="BQ105">
        <f>'2020_2021 0-&gt;1'!BO12</f>
        <v>-1.0300000000000001E-3</v>
      </c>
      <c r="BR105">
        <f>'2020_2021 0-&gt;1'!BP12</f>
        <v>-9.9200000000000004E-4</v>
      </c>
      <c r="BS105">
        <f>'2020_2021 0-&gt;1'!BQ12</f>
        <v>-1.0200000000000001E-3</v>
      </c>
      <c r="BT105">
        <f>'2020_2021 0-&gt;1'!BR12</f>
        <v>-9.5E-4</v>
      </c>
      <c r="BU105">
        <f>'2020_2021 0-&gt;1'!BS12</f>
        <v>-8.7399999999999999E-4</v>
      </c>
      <c r="BV105">
        <f>'2020_2021 0-&gt;1'!BT12</f>
        <v>-8.7900000000000001E-4</v>
      </c>
      <c r="BW105">
        <f>'2020_2021 0-&gt;1'!BU12</f>
        <v>-8.8599999999999996E-4</v>
      </c>
      <c r="BX105">
        <f>'2020_2021 0-&gt;1'!BV12</f>
        <v>-9.2900000000000003E-4</v>
      </c>
      <c r="BY105">
        <f>'2020_2021 0-&gt;1'!BW12</f>
        <v>-9.7499999999999996E-4</v>
      </c>
      <c r="BZ105">
        <f>'2020_2021 0-&gt;1'!BX12</f>
        <v>-9.9500000000000001E-4</v>
      </c>
      <c r="CA105">
        <f>'2020_2021 0-&gt;1'!BY12</f>
        <v>-9.6599999999999995E-4</v>
      </c>
      <c r="CB105">
        <f>'2020_2021 0-&gt;1'!BZ12</f>
        <v>-8.7299999999999997E-4</v>
      </c>
      <c r="CC105">
        <f>'2020_2021 0-&gt;1'!CA12</f>
        <v>-8.12E-4</v>
      </c>
      <c r="CD105">
        <f>'2020_2021 0-&gt;1'!CB12</f>
        <v>-9.0700000000000004E-4</v>
      </c>
      <c r="CE105">
        <f>'2020_2021 0-&gt;1'!CC12</f>
        <v>-9.3400000000000004E-4</v>
      </c>
      <c r="CF105">
        <f>'2020_2021 0-&gt;1'!CD12</f>
        <v>-9.3000000000000005E-4</v>
      </c>
      <c r="CG105">
        <f>'2020_2021 0-&gt;1'!CE12</f>
        <v>-9.4700000000000003E-4</v>
      </c>
      <c r="CH105">
        <f>'2020_2021 0-&gt;1'!CF12</f>
        <v>-9.7599999999999998E-4</v>
      </c>
      <c r="CI105">
        <f>'2020_2021 0-&gt;1'!CG12</f>
        <v>-1.06E-3</v>
      </c>
      <c r="CJ105">
        <f>'2020_2021 0-&gt;1'!CH12</f>
        <v>-1.1299999999999999E-3</v>
      </c>
      <c r="CK105">
        <f>'2020_2021 0-&gt;1'!CI12</f>
        <v>-1.2099999999999999E-3</v>
      </c>
      <c r="CL105">
        <f>'2020_2021 0-&gt;1'!CJ12</f>
        <v>-1.2899999999999999E-3</v>
      </c>
      <c r="CM105">
        <f>'2020_2021 0-&gt;1'!CK12</f>
        <v>-1.2899999999999999E-3</v>
      </c>
      <c r="CN105">
        <f>'2020_2021 0-&gt;1'!CL12</f>
        <v>-1.33E-3</v>
      </c>
      <c r="CO105">
        <f>'2020_2021 0-&gt;1'!CM12</f>
        <v>-1.39E-3</v>
      </c>
      <c r="CP105">
        <f>'2020_2021 0-&gt;1'!CN12</f>
        <v>-2.0799999999999998E-3</v>
      </c>
      <c r="CQ105">
        <f>'2020_2021 0-&gt;1'!CO12</f>
        <v>-2.31E-3</v>
      </c>
      <c r="CR105">
        <f>'2020_2021 0-&gt;1'!CP12</f>
        <v>-4.1799999999999997E-3</v>
      </c>
      <c r="CS105">
        <f>'2020_2021 0-&gt;1'!CQ12</f>
        <v>-2.4199999999999998E-3</v>
      </c>
      <c r="CT105">
        <f>'2020_2021 0-&gt;1'!CR12</f>
        <v>-2.3900000000000002E-3</v>
      </c>
      <c r="CU105">
        <f>'2020_2021 0-&gt;1'!CS12</f>
        <v>-2.6199999999999999E-3</v>
      </c>
      <c r="CV105">
        <f>'2020_2021 0-&gt;1'!CT12</f>
        <v>-2.0699999999999998E-3</v>
      </c>
      <c r="CW105">
        <f>'2020_2021 0-&gt;1'!CU12</f>
        <v>-2.0899999999999998E-3</v>
      </c>
      <c r="CX105">
        <f>'2020_2021 0-&gt;1'!CV12</f>
        <v>-1.6999999999999999E-3</v>
      </c>
    </row>
    <row r="106" spans="1:102" x14ac:dyDescent="0.2">
      <c r="A106" t="s">
        <v>214</v>
      </c>
      <c r="B106" t="s">
        <v>218</v>
      </c>
      <c r="C106" t="s">
        <v>223</v>
      </c>
      <c r="D106">
        <f>'2020_2021 0-&gt;1'!B13</f>
        <v>6.0000000000000002E-5</v>
      </c>
      <c r="E106">
        <f>'2020_2021 0-&gt;1'!C13</f>
        <v>6.0000000000000002E-5</v>
      </c>
      <c r="F106">
        <f>'2020_2021 0-&gt;1'!D13</f>
        <v>6.0000000000000002E-5</v>
      </c>
      <c r="G106">
        <f>'2020_2021 0-&gt;1'!E13</f>
        <v>6.6E-4</v>
      </c>
      <c r="H106">
        <f>'2020_2021 0-&gt;1'!F13</f>
        <v>7.5699999999999997E-4</v>
      </c>
      <c r="I106">
        <f>'2020_2021 0-&gt;1'!G13</f>
        <v>4.28E-4</v>
      </c>
      <c r="J106">
        <f>'2020_2021 0-&gt;1'!H13</f>
        <v>3.6699999999999998E-4</v>
      </c>
      <c r="K106">
        <f>'2020_2021 0-&gt;1'!I13</f>
        <v>5.6700000000000001E-4</v>
      </c>
      <c r="L106">
        <f>'2020_2021 0-&gt;1'!J13</f>
        <v>4.7699999999999999E-4</v>
      </c>
      <c r="M106">
        <f>'2020_2021 0-&gt;1'!K13</f>
        <v>3.39E-4</v>
      </c>
      <c r="N106">
        <f>'2020_2021 0-&gt;1'!L13</f>
        <v>4.0200000000000001E-4</v>
      </c>
      <c r="O106">
        <f>'2020_2021 0-&gt;1'!M13</f>
        <v>3.3500000000000001E-4</v>
      </c>
      <c r="P106">
        <f>'2020_2021 0-&gt;1'!N13</f>
        <v>3.5E-4</v>
      </c>
      <c r="Q106">
        <f>'2020_2021 0-&gt;1'!O13</f>
        <v>3.6600000000000001E-4</v>
      </c>
      <c r="R106">
        <f>'2020_2021 0-&gt;1'!P13</f>
        <v>2.8499999999999999E-4</v>
      </c>
      <c r="S106">
        <f>'2020_2021 0-&gt;1'!Q13</f>
        <v>2.34E-4</v>
      </c>
      <c r="T106">
        <f>'2020_2021 0-&gt;1'!R13</f>
        <v>2.32E-4</v>
      </c>
      <c r="U106">
        <f>'2020_2021 0-&gt;1'!S13</f>
        <v>1.7699999999999999E-4</v>
      </c>
      <c r="V106">
        <f>'2020_2021 0-&gt;1'!T13</f>
        <v>1.46E-4</v>
      </c>
      <c r="W106">
        <f>'2020_2021 0-&gt;1'!U13</f>
        <v>1.8000000000000001E-4</v>
      </c>
      <c r="X106">
        <f>'2020_2021 0-&gt;1'!V13</f>
        <v>1.8000000000000001E-4</v>
      </c>
      <c r="Y106">
        <f>'2020_2021 0-&gt;1'!W13</f>
        <v>2.5799999999999998E-4</v>
      </c>
      <c r="Z106">
        <f>'2020_2021 0-&gt;1'!X13</f>
        <v>1.4300000000000001E-4</v>
      </c>
      <c r="AA106">
        <f>'2020_2021 0-&gt;1'!Y13</f>
        <v>1.9900000000000001E-4</v>
      </c>
      <c r="AB106">
        <f>'2020_2021 0-&gt;1'!Z13</f>
        <v>1.8900000000000001E-4</v>
      </c>
      <c r="AC106">
        <f>'2020_2021 0-&gt;1'!AA13</f>
        <v>1.13E-4</v>
      </c>
      <c r="AD106">
        <f>'2020_2021 0-&gt;1'!AB13</f>
        <v>2.2800000000000001E-4</v>
      </c>
      <c r="AE106">
        <f>'2020_2021 0-&gt;1'!AC13</f>
        <v>1.8000000000000001E-4</v>
      </c>
      <c r="AF106">
        <f>'2020_2021 0-&gt;1'!AD13</f>
        <v>2.0100000000000001E-4</v>
      </c>
      <c r="AG106">
        <f>'2020_2021 0-&gt;1'!AE13</f>
        <v>2.0799999999999999E-4</v>
      </c>
      <c r="AH106">
        <f>'2020_2021 0-&gt;1'!AF13</f>
        <v>2.5599999999999999E-4</v>
      </c>
      <c r="AI106">
        <f>'2020_2021 0-&gt;1'!AG13</f>
        <v>1.85E-4</v>
      </c>
      <c r="AJ106">
        <f>'2020_2021 0-&gt;1'!AH13</f>
        <v>1.3799999999999999E-4</v>
      </c>
      <c r="AK106">
        <f>'2020_2021 0-&gt;1'!AI13</f>
        <v>1.8799999999999999E-4</v>
      </c>
      <c r="AL106">
        <f>'2020_2021 0-&gt;1'!AJ13</f>
        <v>2.1800000000000001E-4</v>
      </c>
      <c r="AM106">
        <f>'2020_2021 0-&gt;1'!AK13</f>
        <v>2.1000000000000001E-4</v>
      </c>
      <c r="AN106">
        <f>'2020_2021 0-&gt;1'!AL13</f>
        <v>1.7899999999999999E-4</v>
      </c>
      <c r="AO106">
        <f>'2020_2021 0-&gt;1'!AM13</f>
        <v>1.4200000000000001E-4</v>
      </c>
      <c r="AP106">
        <f>'2020_2021 0-&gt;1'!AN13</f>
        <v>2.0100000000000001E-4</v>
      </c>
      <c r="AQ106">
        <f>'2020_2021 0-&gt;1'!AO13</f>
        <v>1.6200000000000001E-4</v>
      </c>
      <c r="AR106">
        <f>'2020_2021 0-&gt;1'!AP13</f>
        <v>1.1E-4</v>
      </c>
      <c r="AS106">
        <f>'2020_2021 0-&gt;1'!AQ13</f>
        <v>1.37E-4</v>
      </c>
      <c r="AT106">
        <f>'2020_2021 0-&gt;1'!AR13</f>
        <v>2.0000000000000001E-4</v>
      </c>
      <c r="AU106">
        <f>'2020_2021 0-&gt;1'!AS13</f>
        <v>2.6800000000000001E-4</v>
      </c>
      <c r="AV106">
        <f>'2020_2021 0-&gt;1'!AT13</f>
        <v>1.2300000000000001E-4</v>
      </c>
      <c r="AW106">
        <f>'2020_2021 0-&gt;1'!AU13</f>
        <v>1.4100000000000001E-4</v>
      </c>
      <c r="AX106">
        <f>'2020_2021 0-&gt;1'!AV13</f>
        <v>2.0799999999999999E-4</v>
      </c>
      <c r="AY106">
        <f>'2020_2021 0-&gt;1'!AW13</f>
        <v>9.3700000000000001E-5</v>
      </c>
      <c r="AZ106">
        <f>'2020_2021 0-&gt;1'!AX13</f>
        <v>8.2899999999999996E-5</v>
      </c>
      <c r="BA106">
        <f>'2020_2021 0-&gt;1'!AY13</f>
        <v>9.6199999999999994E-5</v>
      </c>
      <c r="BB106">
        <f>'2020_2021 0-&gt;1'!AZ13</f>
        <v>9.09E-5</v>
      </c>
      <c r="BC106">
        <f>'2020_2021 0-&gt;1'!BA13</f>
        <v>1.35E-4</v>
      </c>
      <c r="BD106">
        <f>'2020_2021 0-&gt;1'!BB13</f>
        <v>1.54E-4</v>
      </c>
      <c r="BE106">
        <f>'2020_2021 0-&gt;1'!BC13</f>
        <v>5.5600000000000003E-5</v>
      </c>
      <c r="BF106">
        <f>'2020_2021 0-&gt;1'!BD13</f>
        <v>4.3999999999999999E-5</v>
      </c>
      <c r="BG106">
        <f>'2020_2021 0-&gt;1'!BE13</f>
        <v>4.88E-5</v>
      </c>
      <c r="BH106">
        <f>'2020_2021 0-&gt;1'!BF13</f>
        <v>4.06E-4</v>
      </c>
      <c r="BI106">
        <f>'2020_2021 0-&gt;1'!BG13</f>
        <v>5.5300000000000002E-5</v>
      </c>
      <c r="BJ106">
        <f>'2020_2021 0-&gt;1'!BH13</f>
        <v>2.8799999999999999E-5</v>
      </c>
      <c r="BK106">
        <f>'2020_2021 0-&gt;1'!BI13</f>
        <v>1.01E-5</v>
      </c>
      <c r="BL106">
        <f>'2020_2021 0-&gt;1'!BJ13</f>
        <v>5.1900000000000001E-5</v>
      </c>
      <c r="BM106">
        <f>'2020_2021 0-&gt;1'!BK13</f>
        <v>7.6100000000000007E-5</v>
      </c>
      <c r="BN106">
        <f>'2020_2021 0-&gt;1'!BL13</f>
        <v>8.85E-6</v>
      </c>
      <c r="BO106">
        <f>'2020_2021 0-&gt;1'!BM13</f>
        <v>8.1299999999999997E-5</v>
      </c>
      <c r="BP106">
        <f>'2020_2021 0-&gt;1'!BN13</f>
        <v>-7.4999999999999993E-5</v>
      </c>
      <c r="BQ106">
        <f>'2020_2021 0-&gt;1'!BO13</f>
        <v>3.2199999999999997E-5</v>
      </c>
      <c r="BR106">
        <f>'2020_2021 0-&gt;1'!BP13</f>
        <v>-5.8499999999999999E-5</v>
      </c>
      <c r="BS106">
        <f>'2020_2021 0-&gt;1'!BQ13</f>
        <v>-1.2300000000000001E-4</v>
      </c>
      <c r="BT106">
        <f>'2020_2021 0-&gt;1'!BR13</f>
        <v>-1.17E-4</v>
      </c>
      <c r="BU106">
        <f>'2020_2021 0-&gt;1'!BS13</f>
        <v>-1.73E-4</v>
      </c>
      <c r="BV106">
        <f>'2020_2021 0-&gt;1'!BT13</f>
        <v>-1.8799999999999999E-4</v>
      </c>
      <c r="BW106">
        <f>'2020_2021 0-&gt;1'!BU13</f>
        <v>-5.1100000000000002E-5</v>
      </c>
      <c r="BX106">
        <f>'2020_2021 0-&gt;1'!BV13</f>
        <v>-2.5300000000000002E-4</v>
      </c>
      <c r="BY106">
        <f>'2020_2021 0-&gt;1'!BW13</f>
        <v>-2.81E-4</v>
      </c>
      <c r="BZ106">
        <f>'2020_2021 0-&gt;1'!BX13</f>
        <v>-2.4899999999999998E-4</v>
      </c>
      <c r="CA106">
        <f>'2020_2021 0-&gt;1'!BY13</f>
        <v>-3.57E-4</v>
      </c>
      <c r="CB106">
        <f>'2020_2021 0-&gt;1'!BZ13</f>
        <v>-3.5799999999999997E-4</v>
      </c>
      <c r="CC106">
        <f>'2020_2021 0-&gt;1'!CA13</f>
        <v>-3.2699999999999998E-4</v>
      </c>
      <c r="CD106">
        <f>'2020_2021 0-&gt;1'!CB13</f>
        <v>-5.22E-4</v>
      </c>
      <c r="CE106">
        <f>'2020_2021 0-&gt;1'!CC13</f>
        <v>-4.1100000000000002E-4</v>
      </c>
      <c r="CF106">
        <f>'2020_2021 0-&gt;1'!CD13</f>
        <v>-3.4200000000000002E-4</v>
      </c>
      <c r="CG106">
        <f>'2020_2021 0-&gt;1'!CE13</f>
        <v>-3.7399999999999998E-4</v>
      </c>
      <c r="CH106">
        <f>'2020_2021 0-&gt;1'!CF13</f>
        <v>-5.2499999999999997E-4</v>
      </c>
      <c r="CI106">
        <f>'2020_2021 0-&gt;1'!CG13</f>
        <v>-6.1200000000000002E-4</v>
      </c>
      <c r="CJ106">
        <f>'2020_2021 0-&gt;1'!CH13</f>
        <v>-7.4399999999999998E-4</v>
      </c>
      <c r="CK106">
        <f>'2020_2021 0-&gt;1'!CI13</f>
        <v>-1.01E-3</v>
      </c>
      <c r="CL106">
        <f>'2020_2021 0-&gt;1'!CJ13</f>
        <v>-1.1299999999999999E-3</v>
      </c>
      <c r="CM106">
        <f>'2020_2021 0-&gt;1'!CK13</f>
        <v>-1.1299999999999999E-3</v>
      </c>
      <c r="CN106">
        <f>'2020_2021 0-&gt;1'!CL13</f>
        <v>-1.67E-3</v>
      </c>
      <c r="CO106">
        <f>'2020_2021 0-&gt;1'!CM13</f>
        <v>-2.0300000000000001E-3</v>
      </c>
      <c r="CP106">
        <f>'2020_2021 0-&gt;1'!CN13</f>
        <v>-2.81E-3</v>
      </c>
      <c r="CQ106">
        <f>'2020_2021 0-&gt;1'!CO13</f>
        <v>-3.1099999999999999E-3</v>
      </c>
      <c r="CR106">
        <f>'2020_2021 0-&gt;1'!CP13</f>
        <v>-4.3099999999999996E-3</v>
      </c>
      <c r="CS106">
        <f>'2020_2021 0-&gt;1'!CQ13</f>
        <v>-1.64E-3</v>
      </c>
      <c r="CT106">
        <f>'2020_2021 0-&gt;1'!CR13</f>
        <v>-1.2999999999999999E-3</v>
      </c>
      <c r="CU106">
        <f>'2020_2021 0-&gt;1'!CS13</f>
        <v>-1.5900000000000001E-3</v>
      </c>
      <c r="CV106">
        <f>'2020_2021 0-&gt;1'!CT13</f>
        <v>-1.6299999999999999E-3</v>
      </c>
      <c r="CW106">
        <f>'2020_2021 0-&gt;1'!CU13</f>
        <v>-1.33E-3</v>
      </c>
      <c r="CX106">
        <f>'2020_2021 0-&gt;1'!CV13</f>
        <v>-6.9999999999999999E-4</v>
      </c>
    </row>
    <row r="107" spans="1:102" x14ac:dyDescent="0.2">
      <c r="A107" t="s">
        <v>215</v>
      </c>
      <c r="B107" t="s">
        <v>218</v>
      </c>
      <c r="C107" t="s">
        <v>223</v>
      </c>
      <c r="D107">
        <f>'2020_2021 0-&gt;1'!B14</f>
        <v>-5.6099999999999998E-4</v>
      </c>
      <c r="E107">
        <f>'2020_2021 0-&gt;1'!C14</f>
        <v>-5.6099999999999998E-4</v>
      </c>
      <c r="F107">
        <f>'2020_2021 0-&gt;1'!D14</f>
        <v>-5.6099999999999998E-4</v>
      </c>
      <c r="G107">
        <f>'2020_2021 0-&gt;1'!E14</f>
        <v>-2.5100000000000001E-2</v>
      </c>
      <c r="H107">
        <f>'2020_2021 0-&gt;1'!F14</f>
        <v>-1.7600000000000001E-2</v>
      </c>
      <c r="I107">
        <f>'2020_2021 0-&gt;1'!G14</f>
        <v>-1.04E-2</v>
      </c>
      <c r="J107">
        <f>'2020_2021 0-&gt;1'!H14</f>
        <v>-8.9800000000000001E-3</v>
      </c>
      <c r="K107">
        <f>'2020_2021 0-&gt;1'!I14</f>
        <v>-5.4200000000000003E-3</v>
      </c>
      <c r="L107">
        <f>'2020_2021 0-&gt;1'!J14</f>
        <v>-4.2599999999999999E-3</v>
      </c>
      <c r="M107">
        <f>'2020_2021 0-&gt;1'!K14</f>
        <v>-2.31E-3</v>
      </c>
      <c r="N107">
        <f>'2020_2021 0-&gt;1'!L14</f>
        <v>-1.48E-3</v>
      </c>
      <c r="O107">
        <f>'2020_2021 0-&gt;1'!M14</f>
        <v>-8.03E-4</v>
      </c>
      <c r="P107">
        <f>'2020_2021 0-&gt;1'!N14</f>
        <v>-2.5999999999999998E-4</v>
      </c>
      <c r="Q107">
        <f>'2020_2021 0-&gt;1'!O14</f>
        <v>-3.3399999999999999E-4</v>
      </c>
      <c r="R107">
        <f>'2020_2021 0-&gt;1'!P14</f>
        <v>-8.1499999999999999E-6</v>
      </c>
      <c r="S107">
        <f>'2020_2021 0-&gt;1'!Q14</f>
        <v>5.7399999999999997E-4</v>
      </c>
      <c r="T107">
        <f>'2020_2021 0-&gt;1'!R14</f>
        <v>9.8799999999999995E-4</v>
      </c>
      <c r="U107">
        <f>'2020_2021 0-&gt;1'!S14</f>
        <v>1.1100000000000001E-3</v>
      </c>
      <c r="V107">
        <f>'2020_2021 0-&gt;1'!T14</f>
        <v>9.9400000000000009E-4</v>
      </c>
      <c r="W107">
        <f>'2020_2021 0-&gt;1'!U14</f>
        <v>1.2199999999999999E-3</v>
      </c>
      <c r="X107">
        <f>'2020_2021 0-&gt;1'!V14</f>
        <v>1.39E-3</v>
      </c>
      <c r="Y107">
        <f>'2020_2021 0-&gt;1'!W14</f>
        <v>1.5E-3</v>
      </c>
      <c r="Z107">
        <f>'2020_2021 0-&gt;1'!X14</f>
        <v>1.7099999999999999E-3</v>
      </c>
      <c r="AA107">
        <f>'2020_2021 0-&gt;1'!Y14</f>
        <v>1.73E-3</v>
      </c>
      <c r="AB107">
        <f>'2020_2021 0-&gt;1'!Z14</f>
        <v>1.6999999999999999E-3</v>
      </c>
      <c r="AC107">
        <f>'2020_2021 0-&gt;1'!AA14</f>
        <v>1.33E-3</v>
      </c>
      <c r="AD107">
        <f>'2020_2021 0-&gt;1'!AB14</f>
        <v>1.24E-3</v>
      </c>
      <c r="AE107">
        <f>'2020_2021 0-&gt;1'!AC14</f>
        <v>1.41E-3</v>
      </c>
      <c r="AF107">
        <f>'2020_2021 0-&gt;1'!AD14</f>
        <v>1.4E-3</v>
      </c>
      <c r="AG107">
        <f>'2020_2021 0-&gt;1'!AE14</f>
        <v>1.66E-3</v>
      </c>
      <c r="AH107">
        <f>'2020_2021 0-&gt;1'!AF14</f>
        <v>1.7700000000000001E-3</v>
      </c>
      <c r="AI107">
        <f>'2020_2021 0-&gt;1'!AG14</f>
        <v>1.9400000000000001E-3</v>
      </c>
      <c r="AJ107">
        <f>'2020_2021 0-&gt;1'!AH14</f>
        <v>1.9E-3</v>
      </c>
      <c r="AK107">
        <f>'2020_2021 0-&gt;1'!AI14</f>
        <v>1.8400000000000001E-3</v>
      </c>
      <c r="AL107">
        <f>'2020_2021 0-&gt;1'!AJ14</f>
        <v>1.97E-3</v>
      </c>
      <c r="AM107">
        <f>'2020_2021 0-&gt;1'!AK14</f>
        <v>2.0600000000000002E-3</v>
      </c>
      <c r="AN107">
        <f>'2020_2021 0-&gt;1'!AL14</f>
        <v>1.9499999999999999E-3</v>
      </c>
      <c r="AO107">
        <f>'2020_2021 0-&gt;1'!AM14</f>
        <v>2.1900000000000001E-3</v>
      </c>
      <c r="AP107">
        <f>'2020_2021 0-&gt;1'!AN14</f>
        <v>2.2799999999999999E-3</v>
      </c>
      <c r="AQ107">
        <f>'2020_2021 0-&gt;1'!AO14</f>
        <v>2.5000000000000001E-3</v>
      </c>
      <c r="AR107">
        <f>'2020_2021 0-&gt;1'!AP14</f>
        <v>2.31E-3</v>
      </c>
      <c r="AS107">
        <f>'2020_2021 0-&gt;1'!AQ14</f>
        <v>2.33E-3</v>
      </c>
      <c r="AT107">
        <f>'2020_2021 0-&gt;1'!AR14</f>
        <v>2.3700000000000001E-3</v>
      </c>
      <c r="AU107">
        <f>'2020_2021 0-&gt;1'!AS14</f>
        <v>2.4199999999999998E-3</v>
      </c>
      <c r="AV107">
        <f>'2020_2021 0-&gt;1'!AT14</f>
        <v>2.3900000000000002E-3</v>
      </c>
      <c r="AW107">
        <f>'2020_2021 0-&gt;1'!AU14</f>
        <v>2.49E-3</v>
      </c>
      <c r="AX107">
        <f>'2020_2021 0-&gt;1'!AV14</f>
        <v>2.6900000000000001E-3</v>
      </c>
      <c r="AY107">
        <f>'2020_2021 0-&gt;1'!AW14</f>
        <v>2.6800000000000001E-3</v>
      </c>
      <c r="AZ107">
        <f>'2020_2021 0-&gt;1'!AX14</f>
        <v>2.8E-3</v>
      </c>
      <c r="BA107">
        <f>'2020_2021 0-&gt;1'!AY14</f>
        <v>3.13E-3</v>
      </c>
      <c r="BB107">
        <f>'2020_2021 0-&gt;1'!AZ14</f>
        <v>3.1900000000000001E-3</v>
      </c>
      <c r="BC107">
        <f>'2020_2021 0-&gt;1'!BA14</f>
        <v>3.1700000000000001E-3</v>
      </c>
      <c r="BD107">
        <f>'2020_2021 0-&gt;1'!BB14</f>
        <v>3.1099999999999999E-3</v>
      </c>
      <c r="BE107">
        <f>'2020_2021 0-&gt;1'!BC14</f>
        <v>3.2299999999999998E-3</v>
      </c>
      <c r="BF107">
        <f>'2020_2021 0-&gt;1'!BD14</f>
        <v>3.2599999999999999E-3</v>
      </c>
      <c r="BG107">
        <f>'2020_2021 0-&gt;1'!BE14</f>
        <v>3.2699999999999999E-3</v>
      </c>
      <c r="BH107">
        <f>'2020_2021 0-&gt;1'!BF14</f>
        <v>3.2699999999999999E-3</v>
      </c>
      <c r="BI107">
        <f>'2020_2021 0-&gt;1'!BG14</f>
        <v>3.31E-3</v>
      </c>
      <c r="BJ107">
        <f>'2020_2021 0-&gt;1'!BH14</f>
        <v>3.29E-3</v>
      </c>
      <c r="BK107">
        <f>'2020_2021 0-&gt;1'!BI14</f>
        <v>3.5699999999999998E-3</v>
      </c>
      <c r="BL107">
        <f>'2020_2021 0-&gt;1'!BJ14</f>
        <v>3.7799999999999999E-3</v>
      </c>
      <c r="BM107">
        <f>'2020_2021 0-&gt;1'!BK14</f>
        <v>4.0000000000000001E-3</v>
      </c>
      <c r="BN107">
        <f>'2020_2021 0-&gt;1'!BL14</f>
        <v>4.2500000000000003E-3</v>
      </c>
      <c r="BO107">
        <f>'2020_2021 0-&gt;1'!BM14</f>
        <v>4.4099999999999999E-3</v>
      </c>
      <c r="BP107">
        <f>'2020_2021 0-&gt;1'!BN14</f>
        <v>4.6699999999999997E-3</v>
      </c>
      <c r="BQ107">
        <f>'2020_2021 0-&gt;1'!BO14</f>
        <v>4.81E-3</v>
      </c>
      <c r="BR107">
        <f>'2020_2021 0-&gt;1'!BP14</f>
        <v>4.6100000000000004E-3</v>
      </c>
      <c r="BS107">
        <f>'2020_2021 0-&gt;1'!BQ14</f>
        <v>4.6100000000000004E-3</v>
      </c>
      <c r="BT107">
        <f>'2020_2021 0-&gt;1'!BR14</f>
        <v>4.7499999999999999E-3</v>
      </c>
      <c r="BU107">
        <f>'2020_2021 0-&gt;1'!BS14</f>
        <v>4.9899999999999996E-3</v>
      </c>
      <c r="BV107">
        <f>'2020_2021 0-&gt;1'!BT14</f>
        <v>5.3099999999999996E-3</v>
      </c>
      <c r="BW107">
        <f>'2020_2021 0-&gt;1'!BU14</f>
        <v>5.0600000000000003E-3</v>
      </c>
      <c r="BX107">
        <f>'2020_2021 0-&gt;1'!BV14</f>
        <v>5.1500000000000001E-3</v>
      </c>
      <c r="BY107">
        <f>'2020_2021 0-&gt;1'!BW14</f>
        <v>5.7299999999999999E-3</v>
      </c>
      <c r="BZ107">
        <f>'2020_2021 0-&gt;1'!BX14</f>
        <v>6.0299999999999998E-3</v>
      </c>
      <c r="CA107">
        <f>'2020_2021 0-&gt;1'!BY14</f>
        <v>6.1900000000000002E-3</v>
      </c>
      <c r="CB107">
        <f>'2020_2021 0-&gt;1'!BZ14</f>
        <v>6.1500000000000001E-3</v>
      </c>
      <c r="CC107">
        <f>'2020_2021 0-&gt;1'!CA14</f>
        <v>5.7499999999999999E-3</v>
      </c>
      <c r="CD107">
        <f>'2020_2021 0-&gt;1'!CB14</f>
        <v>5.4400000000000004E-3</v>
      </c>
      <c r="CE107">
        <f>'2020_2021 0-&gt;1'!CC14</f>
        <v>5.64E-3</v>
      </c>
      <c r="CF107">
        <f>'2020_2021 0-&gt;1'!CD14</f>
        <v>5.7800000000000004E-3</v>
      </c>
      <c r="CG107">
        <f>'2020_2021 0-&gt;1'!CE14</f>
        <v>6.0699999999999999E-3</v>
      </c>
      <c r="CH107">
        <f>'2020_2021 0-&gt;1'!CF14</f>
        <v>5.7000000000000002E-3</v>
      </c>
      <c r="CI107">
        <f>'2020_2021 0-&gt;1'!CG14</f>
        <v>6.6499999999999997E-3</v>
      </c>
      <c r="CJ107">
        <f>'2020_2021 0-&gt;1'!CH14</f>
        <v>7.5399999999999998E-3</v>
      </c>
      <c r="CK107">
        <f>'2020_2021 0-&gt;1'!CI14</f>
        <v>8.1499999999999993E-3</v>
      </c>
      <c r="CL107">
        <f>'2020_2021 0-&gt;1'!CJ14</f>
        <v>7.77E-3</v>
      </c>
      <c r="CM107">
        <f>'2020_2021 0-&gt;1'!CK14</f>
        <v>7.4200000000000004E-3</v>
      </c>
      <c r="CN107">
        <f>'2020_2021 0-&gt;1'!CL14</f>
        <v>8.7299999999999999E-3</v>
      </c>
      <c r="CO107">
        <f>'2020_2021 0-&gt;1'!CM14</f>
        <v>9.4199999999999996E-3</v>
      </c>
      <c r="CP107">
        <f>'2020_2021 0-&gt;1'!CN14</f>
        <v>1.32E-2</v>
      </c>
      <c r="CQ107">
        <f>'2020_2021 0-&gt;1'!CO14</f>
        <v>1.4E-2</v>
      </c>
      <c r="CR107">
        <f>'2020_2021 0-&gt;1'!CP14</f>
        <v>2.1999999999999999E-2</v>
      </c>
      <c r="CS107">
        <f>'2020_2021 0-&gt;1'!CQ14</f>
        <v>1.09E-2</v>
      </c>
      <c r="CT107">
        <f>'2020_2021 0-&gt;1'!CR14</f>
        <v>1.03E-2</v>
      </c>
      <c r="CU107">
        <f>'2020_2021 0-&gt;1'!CS14</f>
        <v>1.23E-2</v>
      </c>
      <c r="CV107">
        <f>'2020_2021 0-&gt;1'!CT14</f>
        <v>1.0999999999999999E-2</v>
      </c>
      <c r="CW107">
        <f>'2020_2021 0-&gt;1'!CU14</f>
        <v>1.01E-2</v>
      </c>
      <c r="CX107">
        <f>'2020_2021 0-&gt;1'!CV14</f>
        <v>5.9500000000000004E-3</v>
      </c>
    </row>
    <row r="108" spans="1:102" x14ac:dyDescent="0.2">
      <c r="A108" t="s">
        <v>208</v>
      </c>
      <c r="B108" t="s">
        <v>219</v>
      </c>
      <c r="C108" t="s">
        <v>223</v>
      </c>
      <c r="D108">
        <f>'2020_2021 0-&gt;1'!B15</f>
        <v>-4.3299999999999998E-2</v>
      </c>
      <c r="E108">
        <f>'2020_2021 0-&gt;1'!C15</f>
        <v>-4.3299999999999998E-2</v>
      </c>
      <c r="F108">
        <f>'2020_2021 0-&gt;1'!D15</f>
        <v>-4.3299999999999998E-2</v>
      </c>
      <c r="G108">
        <f>'2020_2021 0-&gt;1'!E15</f>
        <v>0.10100000000000001</v>
      </c>
      <c r="H108">
        <f>'2020_2021 0-&gt;1'!F15</f>
        <v>-0.317</v>
      </c>
      <c r="I108">
        <f>'2020_2021 0-&gt;1'!G15</f>
        <v>-0.38600000000000001</v>
      </c>
      <c r="J108">
        <f>'2020_2021 0-&gt;1'!H15</f>
        <v>-0.44</v>
      </c>
      <c r="K108">
        <f>'2020_2021 0-&gt;1'!I15</f>
        <v>-0.39600000000000002</v>
      </c>
      <c r="L108">
        <f>'2020_2021 0-&gt;1'!J15</f>
        <v>-0.41699999999999998</v>
      </c>
      <c r="M108">
        <f>'2020_2021 0-&gt;1'!K15</f>
        <v>-0.36799999999999999</v>
      </c>
      <c r="N108">
        <f>'2020_2021 0-&gt;1'!L15</f>
        <v>-0.33</v>
      </c>
      <c r="O108">
        <f>'2020_2021 0-&gt;1'!M15</f>
        <v>-0.35399999999999998</v>
      </c>
      <c r="P108">
        <f>'2020_2021 0-&gt;1'!N15</f>
        <v>-0.28499999999999998</v>
      </c>
      <c r="Q108">
        <f>'2020_2021 0-&gt;1'!O15</f>
        <v>-0.23799999999999999</v>
      </c>
      <c r="R108">
        <f>'2020_2021 0-&gt;1'!P15</f>
        <v>-0.19900000000000001</v>
      </c>
      <c r="S108">
        <f>'2020_2021 0-&gt;1'!Q15</f>
        <v>-0.23100000000000001</v>
      </c>
      <c r="T108">
        <f>'2020_2021 0-&gt;1'!R15</f>
        <v>-0.20499999999999999</v>
      </c>
      <c r="U108">
        <f>'2020_2021 0-&gt;1'!S15</f>
        <v>-0.21</v>
      </c>
      <c r="V108">
        <f>'2020_2021 0-&gt;1'!T15</f>
        <v>-0.17699999999999999</v>
      </c>
      <c r="W108">
        <f>'2020_2021 0-&gt;1'!U15</f>
        <v>-0.21199999999999999</v>
      </c>
      <c r="X108">
        <f>'2020_2021 0-&gt;1'!V15</f>
        <v>-0.151</v>
      </c>
      <c r="Y108">
        <f>'2020_2021 0-&gt;1'!W15</f>
        <v>-0.14299999999999999</v>
      </c>
      <c r="Z108">
        <f>'2020_2021 0-&gt;1'!X15</f>
        <v>-0.14000000000000001</v>
      </c>
      <c r="AA108">
        <f>'2020_2021 0-&gt;1'!Y15</f>
        <v>-0.12</v>
      </c>
      <c r="AB108">
        <f>'2020_2021 0-&gt;1'!Z15</f>
        <v>-0.13700000000000001</v>
      </c>
      <c r="AC108">
        <f>'2020_2021 0-&gt;1'!AA15</f>
        <v>-0.13300000000000001</v>
      </c>
      <c r="AD108">
        <f>'2020_2021 0-&gt;1'!AB15</f>
        <v>-0.13600000000000001</v>
      </c>
      <c r="AE108">
        <f>'2020_2021 0-&gt;1'!AC15</f>
        <v>-0.13700000000000001</v>
      </c>
      <c r="AF108">
        <f>'2020_2021 0-&gt;1'!AD15</f>
        <v>-0.157</v>
      </c>
      <c r="AG108">
        <f>'2020_2021 0-&gt;1'!AE15</f>
        <v>-0.155</v>
      </c>
      <c r="AH108">
        <f>'2020_2021 0-&gt;1'!AF15</f>
        <v>-0.152</v>
      </c>
      <c r="AI108">
        <f>'2020_2021 0-&gt;1'!AG15</f>
        <v>-0.13300000000000001</v>
      </c>
      <c r="AJ108">
        <f>'2020_2021 0-&gt;1'!AH15</f>
        <v>-0.11700000000000001</v>
      </c>
      <c r="AK108">
        <f>'2020_2021 0-&gt;1'!AI15</f>
        <v>-0.11600000000000001</v>
      </c>
      <c r="AL108">
        <f>'2020_2021 0-&gt;1'!AJ15</f>
        <v>-0.106</v>
      </c>
      <c r="AM108">
        <f>'2020_2021 0-&gt;1'!AK15</f>
        <v>-9.5200000000000007E-2</v>
      </c>
      <c r="AN108">
        <f>'2020_2021 0-&gt;1'!AL15</f>
        <v>-8.6599999999999996E-2</v>
      </c>
      <c r="AO108">
        <f>'2020_2021 0-&gt;1'!AM15</f>
        <v>-8.43E-2</v>
      </c>
      <c r="AP108">
        <f>'2020_2021 0-&gt;1'!AN15</f>
        <v>-8.72E-2</v>
      </c>
      <c r="AQ108">
        <f>'2020_2021 0-&gt;1'!AO15</f>
        <v>-9.2100000000000001E-2</v>
      </c>
      <c r="AR108">
        <f>'2020_2021 0-&gt;1'!AP15</f>
        <v>-0.10100000000000001</v>
      </c>
      <c r="AS108">
        <f>'2020_2021 0-&gt;1'!AQ15</f>
        <v>-0.10199999999999999</v>
      </c>
      <c r="AT108">
        <f>'2020_2021 0-&gt;1'!AR15</f>
        <v>-0.109</v>
      </c>
      <c r="AU108">
        <f>'2020_2021 0-&gt;1'!AS15</f>
        <v>-9.0800000000000006E-2</v>
      </c>
      <c r="AV108">
        <f>'2020_2021 0-&gt;1'!AT15</f>
        <v>-8.9300000000000004E-2</v>
      </c>
      <c r="AW108">
        <f>'2020_2021 0-&gt;1'!AU15</f>
        <v>-0.10199999999999999</v>
      </c>
      <c r="AX108">
        <f>'2020_2021 0-&gt;1'!AV15</f>
        <v>-9.5200000000000007E-2</v>
      </c>
      <c r="AY108">
        <f>'2020_2021 0-&gt;1'!AW15</f>
        <v>-7.6499999999999999E-2</v>
      </c>
      <c r="AZ108">
        <f>'2020_2021 0-&gt;1'!AX15</f>
        <v>-9.6100000000000005E-2</v>
      </c>
      <c r="BA108">
        <f>'2020_2021 0-&gt;1'!AY15</f>
        <v>-8.3500000000000005E-2</v>
      </c>
      <c r="BB108">
        <f>'2020_2021 0-&gt;1'!AZ15</f>
        <v>-7.3499999999999996E-2</v>
      </c>
      <c r="BC108">
        <f>'2020_2021 0-&gt;1'!BA15</f>
        <v>-6.6299999999999998E-2</v>
      </c>
      <c r="BD108">
        <f>'2020_2021 0-&gt;1'!BB15</f>
        <v>-5.5199999999999999E-2</v>
      </c>
      <c r="BE108">
        <f>'2020_2021 0-&gt;1'!BC15</f>
        <v>-4.9399999999999999E-2</v>
      </c>
      <c r="BF108">
        <f>'2020_2021 0-&gt;1'!BD15</f>
        <v>-5.1700000000000003E-2</v>
      </c>
      <c r="BG108">
        <f>'2020_2021 0-&gt;1'!BE15</f>
        <v>-7.4399999999999994E-2</v>
      </c>
      <c r="BH108">
        <f>'2020_2021 0-&gt;1'!BF15</f>
        <v>-7.8700000000000006E-2</v>
      </c>
      <c r="BI108">
        <f>'2020_2021 0-&gt;1'!BG15</f>
        <v>-7.46E-2</v>
      </c>
      <c r="BJ108">
        <f>'2020_2021 0-&gt;1'!BH15</f>
        <v>-6.9099999999999995E-2</v>
      </c>
      <c r="BK108">
        <f>'2020_2021 0-&gt;1'!BI15</f>
        <v>-0.104</v>
      </c>
      <c r="BL108">
        <f>'2020_2021 0-&gt;1'!BJ15</f>
        <v>-0.16300000000000001</v>
      </c>
      <c r="BM108">
        <f>'2020_2021 0-&gt;1'!BK15</f>
        <v>-0.186</v>
      </c>
      <c r="BN108">
        <f>'2020_2021 0-&gt;1'!BL15</f>
        <v>-0.151</v>
      </c>
      <c r="BO108">
        <f>'2020_2021 0-&gt;1'!BM15</f>
        <v>-0.13900000000000001</v>
      </c>
      <c r="BP108">
        <f>'2020_2021 0-&gt;1'!BN15</f>
        <v>-0.10100000000000001</v>
      </c>
      <c r="BQ108">
        <f>'2020_2021 0-&gt;1'!BO15</f>
        <v>-6.4699999999999994E-2</v>
      </c>
      <c r="BR108">
        <f>'2020_2021 0-&gt;1'!BP15</f>
        <v>-4.8599999999999997E-2</v>
      </c>
      <c r="BS108">
        <f>'2020_2021 0-&gt;1'!BQ15</f>
        <v>-1.8599999999999998E-2</v>
      </c>
      <c r="BT108">
        <f>'2020_2021 0-&gt;1'!BR15</f>
        <v>-2.8799999999999999E-2</v>
      </c>
      <c r="BU108">
        <f>'2020_2021 0-&gt;1'!BS15</f>
        <v>-4.8599999999999997E-3</v>
      </c>
      <c r="BV108">
        <f>'2020_2021 0-&gt;1'!BT15</f>
        <v>-2.5100000000000001E-2</v>
      </c>
      <c r="BW108">
        <f>'2020_2021 0-&gt;1'!BU15</f>
        <v>-1.5599999999999999E-2</v>
      </c>
      <c r="BX108">
        <f>'2020_2021 0-&gt;1'!BV15</f>
        <v>-3.5400000000000001E-2</v>
      </c>
      <c r="BY108">
        <f>'2020_2021 0-&gt;1'!BW15</f>
        <v>-0.108</v>
      </c>
      <c r="BZ108">
        <f>'2020_2021 0-&gt;1'!BX15</f>
        <v>-0.16600000000000001</v>
      </c>
      <c r="CA108">
        <f>'2020_2021 0-&gt;1'!BY15</f>
        <v>-0.14299999999999999</v>
      </c>
      <c r="CB108">
        <f>'2020_2021 0-&gt;1'!BZ15</f>
        <v>-6.4000000000000001E-2</v>
      </c>
      <c r="CC108">
        <f>'2020_2021 0-&gt;1'!CA15</f>
        <v>-2.1600000000000001E-2</v>
      </c>
      <c r="CD108">
        <f>'2020_2021 0-&gt;1'!CB15</f>
        <v>6.2700000000000004E-3</v>
      </c>
      <c r="CE108">
        <f>'2020_2021 0-&gt;1'!CC15</f>
        <v>-4.0800000000000003E-2</v>
      </c>
      <c r="CF108">
        <f>'2020_2021 0-&gt;1'!CD15</f>
        <v>-8.6599999999999996E-2</v>
      </c>
      <c r="CG108">
        <f>'2020_2021 0-&gt;1'!CE15</f>
        <v>-0.14299999999999999</v>
      </c>
      <c r="CH108">
        <f>'2020_2021 0-&gt;1'!CF15</f>
        <v>-5.9400000000000001E-2</v>
      </c>
      <c r="CI108">
        <f>'2020_2021 0-&gt;1'!CG15</f>
        <v>-8.4599999999999995E-2</v>
      </c>
      <c r="CJ108">
        <f>'2020_2021 0-&gt;1'!CH15</f>
        <v>-0.13900000000000001</v>
      </c>
      <c r="CK108">
        <f>'2020_2021 0-&gt;1'!CI15</f>
        <v>-0.192</v>
      </c>
      <c r="CL108">
        <f>'2020_2021 0-&gt;1'!CJ15</f>
        <v>-0.14399999999999999</v>
      </c>
      <c r="CM108">
        <f>'2020_2021 0-&gt;1'!CK15</f>
        <v>-7.8299999999999995E-2</v>
      </c>
      <c r="CN108">
        <f>'2020_2021 0-&gt;1'!CL15</f>
        <v>-0.11799999999999999</v>
      </c>
      <c r="CO108">
        <f>'2020_2021 0-&gt;1'!CM15</f>
        <v>-7.0199999999999999E-2</v>
      </c>
      <c r="CP108">
        <f>'2020_2021 0-&gt;1'!CN15</f>
        <v>-0.24399999999999999</v>
      </c>
      <c r="CQ108">
        <f>'2020_2021 0-&gt;1'!CO15</f>
        <v>-0.30099999999999999</v>
      </c>
      <c r="CR108">
        <f>'2020_2021 0-&gt;1'!CP15</f>
        <v>-0.63600000000000001</v>
      </c>
      <c r="CS108">
        <f>'2020_2021 0-&gt;1'!CQ15</f>
        <v>0.34499999999999997</v>
      </c>
      <c r="CT108">
        <f>'2020_2021 0-&gt;1'!CR15</f>
        <v>0.21</v>
      </c>
      <c r="CU108">
        <f>'2020_2021 0-&gt;1'!CS15</f>
        <v>7.8799999999999999E-3</v>
      </c>
      <c r="CV108">
        <f>'2020_2021 0-&gt;1'!CT15</f>
        <v>0.32800000000000001</v>
      </c>
      <c r="CW108">
        <f>'2020_2021 0-&gt;1'!CU15</f>
        <v>-3.7499999999999999E-2</v>
      </c>
      <c r="CX108">
        <f>'2020_2021 0-&gt;1'!CV15</f>
        <v>-0.11</v>
      </c>
    </row>
    <row r="109" spans="1:102" x14ac:dyDescent="0.2">
      <c r="A109" t="s">
        <v>209</v>
      </c>
      <c r="B109" t="s">
        <v>219</v>
      </c>
      <c r="C109" t="s">
        <v>223</v>
      </c>
      <c r="D109">
        <f>'2020_2021 0-&gt;1'!B16</f>
        <v>6.28E-3</v>
      </c>
      <c r="E109">
        <f>'2020_2021 0-&gt;1'!C16</f>
        <v>6.28E-3</v>
      </c>
      <c r="F109">
        <f>'2020_2021 0-&gt;1'!D16</f>
        <v>6.28E-3</v>
      </c>
      <c r="G109">
        <f>'2020_2021 0-&gt;1'!E16</f>
        <v>0.224</v>
      </c>
      <c r="H109">
        <f>'2020_2021 0-&gt;1'!F16</f>
        <v>-0.216</v>
      </c>
      <c r="I109">
        <f>'2020_2021 0-&gt;1'!G16</f>
        <v>-0.154</v>
      </c>
      <c r="J109">
        <f>'2020_2021 0-&gt;1'!H16</f>
        <v>-8.6300000000000002E-2</v>
      </c>
      <c r="K109">
        <f>'2020_2021 0-&gt;1'!I16</f>
        <v>-0.11</v>
      </c>
      <c r="L109">
        <f>'2020_2021 0-&gt;1'!J16</f>
        <v>-0.121</v>
      </c>
      <c r="M109">
        <f>'2020_2021 0-&gt;1'!K16</f>
        <v>-0.16200000000000001</v>
      </c>
      <c r="N109">
        <f>'2020_2021 0-&gt;1'!L16</f>
        <v>-0.122</v>
      </c>
      <c r="O109">
        <f>'2020_2021 0-&gt;1'!M16</f>
        <v>-0.11899999999999999</v>
      </c>
      <c r="P109">
        <f>'2020_2021 0-&gt;1'!N16</f>
        <v>-7.0400000000000004E-2</v>
      </c>
      <c r="Q109">
        <f>'2020_2021 0-&gt;1'!O16</f>
        <v>-5.9499999999999997E-2</v>
      </c>
      <c r="R109">
        <f>'2020_2021 0-&gt;1'!P16</f>
        <v>-2.2800000000000001E-2</v>
      </c>
      <c r="S109">
        <f>'2020_2021 0-&gt;1'!Q16</f>
        <v>-5.2699999999999997E-2</v>
      </c>
      <c r="T109">
        <f>'2020_2021 0-&gt;1'!R16</f>
        <v>-6.2399999999999997E-2</v>
      </c>
      <c r="U109">
        <f>'2020_2021 0-&gt;1'!S16</f>
        <v>-7.1300000000000002E-2</v>
      </c>
      <c r="V109">
        <f>'2020_2021 0-&gt;1'!T16</f>
        <v>-6.7500000000000004E-2</v>
      </c>
      <c r="W109">
        <f>'2020_2021 0-&gt;1'!U16</f>
        <v>-0.11</v>
      </c>
      <c r="X109">
        <f>'2020_2021 0-&gt;1'!V16</f>
        <v>-6.8199999999999997E-2</v>
      </c>
      <c r="Y109">
        <f>'2020_2021 0-&gt;1'!W16</f>
        <v>-6.3899999999999998E-2</v>
      </c>
      <c r="Z109">
        <f>'2020_2021 0-&gt;1'!X16</f>
        <v>-8.1699999999999995E-2</v>
      </c>
      <c r="AA109">
        <f>'2020_2021 0-&gt;1'!Y16</f>
        <v>-6.9099999999999995E-2</v>
      </c>
      <c r="AB109">
        <f>'2020_2021 0-&gt;1'!Z16</f>
        <v>-8.48E-2</v>
      </c>
      <c r="AC109">
        <f>'2020_2021 0-&gt;1'!AA16</f>
        <v>-8.6999999999999994E-2</v>
      </c>
      <c r="AD109">
        <f>'2020_2021 0-&gt;1'!AB16</f>
        <v>-8.5300000000000001E-2</v>
      </c>
      <c r="AE109">
        <f>'2020_2021 0-&gt;1'!AC16</f>
        <v>-9.2700000000000005E-2</v>
      </c>
      <c r="AF109">
        <f>'2020_2021 0-&gt;1'!AD16</f>
        <v>-9.9699999999999997E-2</v>
      </c>
      <c r="AG109">
        <f>'2020_2021 0-&gt;1'!AE16</f>
        <v>-0.105</v>
      </c>
      <c r="AH109">
        <f>'2020_2021 0-&gt;1'!AF16</f>
        <v>-0.104</v>
      </c>
      <c r="AI109">
        <f>'2020_2021 0-&gt;1'!AG16</f>
        <v>-9.6799999999999997E-2</v>
      </c>
      <c r="AJ109">
        <f>'2020_2021 0-&gt;1'!AH16</f>
        <v>-0.10100000000000001</v>
      </c>
      <c r="AK109">
        <f>'2020_2021 0-&gt;1'!AI16</f>
        <v>-9.7100000000000006E-2</v>
      </c>
      <c r="AL109">
        <f>'2020_2021 0-&gt;1'!AJ16</f>
        <v>-7.2499999999999995E-2</v>
      </c>
      <c r="AM109">
        <f>'2020_2021 0-&gt;1'!AK16</f>
        <v>-5.9799999999999999E-2</v>
      </c>
      <c r="AN109">
        <f>'2020_2021 0-&gt;1'!AL16</f>
        <v>-5.45E-2</v>
      </c>
      <c r="AO109">
        <f>'2020_2021 0-&gt;1'!AM16</f>
        <v>-5.3600000000000002E-2</v>
      </c>
      <c r="AP109">
        <f>'2020_2021 0-&gt;1'!AN16</f>
        <v>-4.4999999999999998E-2</v>
      </c>
      <c r="AQ109">
        <f>'2020_2021 0-&gt;1'!AO16</f>
        <v>-4.9099999999999998E-2</v>
      </c>
      <c r="AR109">
        <f>'2020_2021 0-&gt;1'!AP16</f>
        <v>-5.5100000000000003E-2</v>
      </c>
      <c r="AS109">
        <f>'2020_2021 0-&gt;1'!AQ16</f>
        <v>-4.0300000000000002E-2</v>
      </c>
      <c r="AT109">
        <f>'2020_2021 0-&gt;1'!AR16</f>
        <v>-5.45E-2</v>
      </c>
      <c r="AU109">
        <f>'2020_2021 0-&gt;1'!AS16</f>
        <v>-5.0099999999999999E-2</v>
      </c>
      <c r="AV109">
        <f>'2020_2021 0-&gt;1'!AT16</f>
        <v>-5.4800000000000001E-2</v>
      </c>
      <c r="AW109">
        <f>'2020_2021 0-&gt;1'!AU16</f>
        <v>-7.2800000000000004E-2</v>
      </c>
      <c r="AX109">
        <f>'2020_2021 0-&gt;1'!AV16</f>
        <v>-5.5500000000000001E-2</v>
      </c>
      <c r="AY109">
        <f>'2020_2021 0-&gt;1'!AW16</f>
        <v>-5.0099999999999999E-2</v>
      </c>
      <c r="AZ109">
        <f>'2020_2021 0-&gt;1'!AX16</f>
        <v>-5.4600000000000003E-2</v>
      </c>
      <c r="BA109">
        <f>'2020_2021 0-&gt;1'!AY16</f>
        <v>-3.5499999999999997E-2</v>
      </c>
      <c r="BB109">
        <f>'2020_2021 0-&gt;1'!AZ16</f>
        <v>-3.04E-2</v>
      </c>
      <c r="BC109">
        <f>'2020_2021 0-&gt;1'!BA16</f>
        <v>-2.8000000000000001E-2</v>
      </c>
      <c r="BD109">
        <f>'2020_2021 0-&gt;1'!BB16</f>
        <v>-1.5900000000000001E-2</v>
      </c>
      <c r="BE109">
        <f>'2020_2021 0-&gt;1'!BC16</f>
        <v>1.32E-2</v>
      </c>
      <c r="BF109">
        <f>'2020_2021 0-&gt;1'!BD16</f>
        <v>4.5799999999999999E-3</v>
      </c>
      <c r="BG109">
        <f>'2020_2021 0-&gt;1'!BE16</f>
        <v>-1.17E-2</v>
      </c>
      <c r="BH109">
        <f>'2020_2021 0-&gt;1'!BF16</f>
        <v>-2.01E-2</v>
      </c>
      <c r="BI109">
        <f>'2020_2021 0-&gt;1'!BG16</f>
        <v>-1.3100000000000001E-2</v>
      </c>
      <c r="BJ109">
        <f>'2020_2021 0-&gt;1'!BH16</f>
        <v>-1.55E-2</v>
      </c>
      <c r="BK109">
        <f>'2020_2021 0-&gt;1'!BI16</f>
        <v>-5.4800000000000001E-2</v>
      </c>
      <c r="BL109">
        <f>'2020_2021 0-&gt;1'!BJ16</f>
        <v>-0.115</v>
      </c>
      <c r="BM109">
        <f>'2020_2021 0-&gt;1'!BK16</f>
        <v>-0.129</v>
      </c>
      <c r="BN109">
        <f>'2020_2021 0-&gt;1'!BL16</f>
        <v>-7.9600000000000004E-2</v>
      </c>
      <c r="BO109">
        <f>'2020_2021 0-&gt;1'!BM16</f>
        <v>-8.2699999999999996E-2</v>
      </c>
      <c r="BP109">
        <f>'2020_2021 0-&gt;1'!BN16</f>
        <v>-6.1600000000000002E-2</v>
      </c>
      <c r="BQ109">
        <f>'2020_2021 0-&gt;1'!BO16</f>
        <v>-2.81E-2</v>
      </c>
      <c r="BR109">
        <f>'2020_2021 0-&gt;1'!BP16</f>
        <v>-4.1000000000000003E-3</v>
      </c>
      <c r="BS109">
        <f>'2020_2021 0-&gt;1'!BQ16</f>
        <v>1.44E-2</v>
      </c>
      <c r="BT109">
        <f>'2020_2021 0-&gt;1'!BR16</f>
        <v>2.6800000000000001E-3</v>
      </c>
      <c r="BU109">
        <f>'2020_2021 0-&gt;1'!BS16</f>
        <v>1.9400000000000001E-2</v>
      </c>
      <c r="BV109">
        <f>'2020_2021 0-&gt;1'!BT16</f>
        <v>-7.6299999999999996E-3</v>
      </c>
      <c r="BW109">
        <f>'2020_2021 0-&gt;1'!BU16</f>
        <v>-0.02</v>
      </c>
      <c r="BX109">
        <f>'2020_2021 0-&gt;1'!BV16</f>
        <v>-5.6899999999999999E-2</v>
      </c>
      <c r="BY109">
        <f>'2020_2021 0-&gt;1'!BW16</f>
        <v>-0.104</v>
      </c>
      <c r="BZ109">
        <f>'2020_2021 0-&gt;1'!BX16</f>
        <v>-0.15</v>
      </c>
      <c r="CA109">
        <f>'2020_2021 0-&gt;1'!BY16</f>
        <v>-0.14099999999999999</v>
      </c>
      <c r="CB109">
        <f>'2020_2021 0-&gt;1'!BZ16</f>
        <v>-4.6600000000000003E-2</v>
      </c>
      <c r="CC109">
        <f>'2020_2021 0-&gt;1'!CA16</f>
        <v>1.0200000000000001E-2</v>
      </c>
      <c r="CD109">
        <f>'2020_2021 0-&gt;1'!CB16</f>
        <v>3.5099999999999999E-2</v>
      </c>
      <c r="CE109">
        <f>'2020_2021 0-&gt;1'!CC16</f>
        <v>-5.8700000000000002E-2</v>
      </c>
      <c r="CF109">
        <f>'2020_2021 0-&gt;1'!CD16</f>
        <v>-0.10100000000000001</v>
      </c>
      <c r="CG109">
        <f>'2020_2021 0-&gt;1'!CE16</f>
        <v>-0.153</v>
      </c>
      <c r="CH109">
        <f>'2020_2021 0-&gt;1'!CF16</f>
        <v>-6.8599999999999994E-2</v>
      </c>
      <c r="CI109">
        <f>'2020_2021 0-&gt;1'!CG16</f>
        <v>-0.121</v>
      </c>
      <c r="CJ109">
        <f>'2020_2021 0-&gt;1'!CH16</f>
        <v>-0.152</v>
      </c>
      <c r="CK109">
        <f>'2020_2021 0-&gt;1'!CI16</f>
        <v>-0.22700000000000001</v>
      </c>
      <c r="CL109">
        <f>'2020_2021 0-&gt;1'!CJ16</f>
        <v>-0.161</v>
      </c>
      <c r="CM109">
        <f>'2020_2021 0-&gt;1'!CK16</f>
        <v>-5.74E-2</v>
      </c>
      <c r="CN109">
        <f>'2020_2021 0-&gt;1'!CL16</f>
        <v>-9.1600000000000001E-2</v>
      </c>
      <c r="CO109">
        <f>'2020_2021 0-&gt;1'!CM16</f>
        <v>-2.2700000000000001E-2</v>
      </c>
      <c r="CP109">
        <f>'2020_2021 0-&gt;1'!CN16</f>
        <v>-0.246</v>
      </c>
      <c r="CQ109">
        <f>'2020_2021 0-&gt;1'!CO16</f>
        <v>-0.10199999999999999</v>
      </c>
      <c r="CR109">
        <f>'2020_2021 0-&gt;1'!CP16</f>
        <v>-0.65300000000000002</v>
      </c>
      <c r="CS109">
        <f>'2020_2021 0-&gt;1'!CQ16</f>
        <v>0.47099999999999997</v>
      </c>
      <c r="CT109">
        <f>'2020_2021 0-&gt;1'!CR16</f>
        <v>0.372</v>
      </c>
      <c r="CU109">
        <f>'2020_2021 0-&gt;1'!CS16</f>
        <v>0.157</v>
      </c>
      <c r="CV109">
        <f>'2020_2021 0-&gt;1'!CT16</f>
        <v>1.403</v>
      </c>
      <c r="CW109">
        <f>'2020_2021 0-&gt;1'!CU16</f>
        <v>0.375</v>
      </c>
      <c r="CX109">
        <f>'2020_2021 0-&gt;1'!CV16</f>
        <v>9.3299999999999994E-2</v>
      </c>
    </row>
    <row r="110" spans="1:102" x14ac:dyDescent="0.2">
      <c r="A110" t="s">
        <v>210</v>
      </c>
      <c r="B110" t="s">
        <v>219</v>
      </c>
      <c r="C110" t="s">
        <v>223</v>
      </c>
      <c r="D110">
        <f>'2020_2021 0-&gt;1'!B17</f>
        <v>1.4400000000000001E-3</v>
      </c>
      <c r="E110">
        <f>'2020_2021 0-&gt;1'!C17</f>
        <v>1.4400000000000001E-3</v>
      </c>
      <c r="F110">
        <f>'2020_2021 0-&gt;1'!D17</f>
        <v>1.4400000000000001E-3</v>
      </c>
      <c r="G110">
        <f>'2020_2021 0-&gt;1'!E17</f>
        <v>-7.9000000000000001E-2</v>
      </c>
      <c r="H110">
        <f>'2020_2021 0-&gt;1'!F17</f>
        <v>-1.9400000000000001E-2</v>
      </c>
      <c r="I110">
        <f>'2020_2021 0-&gt;1'!G17</f>
        <v>-4.28E-3</v>
      </c>
      <c r="J110">
        <f>'2020_2021 0-&gt;1'!H17</f>
        <v>-1.6799999999999999E-2</v>
      </c>
      <c r="K110">
        <f>'2020_2021 0-&gt;1'!I17</f>
        <v>-5.4400000000000004E-3</v>
      </c>
      <c r="L110">
        <f>'2020_2021 0-&gt;1'!J17</f>
        <v>9.4099999999999997E-5</v>
      </c>
      <c r="M110">
        <f>'2020_2021 0-&gt;1'!K17</f>
        <v>-3.98E-3</v>
      </c>
      <c r="N110">
        <f>'2020_2021 0-&gt;1'!L17</f>
        <v>-3.1800000000000001E-3</v>
      </c>
      <c r="O110">
        <f>'2020_2021 0-&gt;1'!M17</f>
        <v>-6.7000000000000002E-3</v>
      </c>
      <c r="P110">
        <f>'2020_2021 0-&gt;1'!N17</f>
        <v>-9.0399999999999994E-3</v>
      </c>
      <c r="Q110">
        <f>'2020_2021 0-&gt;1'!O17</f>
        <v>-7.2100000000000003E-3</v>
      </c>
      <c r="R110">
        <f>'2020_2021 0-&gt;1'!P17</f>
        <v>-1.2800000000000001E-2</v>
      </c>
      <c r="S110">
        <f>'2020_2021 0-&gt;1'!Q17</f>
        <v>-7.1500000000000001E-3</v>
      </c>
      <c r="T110">
        <f>'2020_2021 0-&gt;1'!R17</f>
        <v>-3.3999999999999998E-3</v>
      </c>
      <c r="U110">
        <f>'2020_2021 0-&gt;1'!S17</f>
        <v>1.4300000000000001E-4</v>
      </c>
      <c r="V110">
        <f>'2020_2021 0-&gt;1'!T17</f>
        <v>3.2899999999999997E-4</v>
      </c>
      <c r="W110">
        <f>'2020_2021 0-&gt;1'!U17</f>
        <v>5.7499999999999999E-3</v>
      </c>
      <c r="X110">
        <f>'2020_2021 0-&gt;1'!V17</f>
        <v>1.31E-3</v>
      </c>
      <c r="Y110">
        <f>'2020_2021 0-&gt;1'!W17</f>
        <v>2.8E-3</v>
      </c>
      <c r="Z110">
        <f>'2020_2021 0-&gt;1'!X17</f>
        <v>5.9100000000000003E-3</v>
      </c>
      <c r="AA110">
        <f>'2020_2021 0-&gt;1'!Y17</f>
        <v>4.0299999999999997E-3</v>
      </c>
      <c r="AB110">
        <f>'2020_2021 0-&gt;1'!Z17</f>
        <v>4.3299999999999996E-3</v>
      </c>
      <c r="AC110">
        <f>'2020_2021 0-&gt;1'!AA17</f>
        <v>5.1599999999999997E-3</v>
      </c>
      <c r="AD110">
        <f>'2020_2021 0-&gt;1'!AB17</f>
        <v>6.2399999999999999E-3</v>
      </c>
      <c r="AE110">
        <f>'2020_2021 0-&gt;1'!AC17</f>
        <v>6.1199999999999996E-3</v>
      </c>
      <c r="AF110">
        <f>'2020_2021 0-&gt;1'!AD17</f>
        <v>9.1500000000000001E-3</v>
      </c>
      <c r="AG110">
        <f>'2020_2021 0-&gt;1'!AE17</f>
        <v>9.4800000000000006E-3</v>
      </c>
      <c r="AH110">
        <f>'2020_2021 0-&gt;1'!AF17</f>
        <v>7.4900000000000001E-3</v>
      </c>
      <c r="AI110">
        <f>'2020_2021 0-&gt;1'!AG17</f>
        <v>3.7399999999999998E-3</v>
      </c>
      <c r="AJ110">
        <f>'2020_2021 0-&gt;1'!AH17</f>
        <v>6.0099999999999997E-3</v>
      </c>
      <c r="AK110">
        <f>'2020_2021 0-&gt;1'!AI17</f>
        <v>3.63E-3</v>
      </c>
      <c r="AL110">
        <f>'2020_2021 0-&gt;1'!AJ17</f>
        <v>-1.6800000000000001E-3</v>
      </c>
      <c r="AM110">
        <f>'2020_2021 0-&gt;1'!AK17</f>
        <v>-5.5199999999999997E-3</v>
      </c>
      <c r="AN110">
        <f>'2020_2021 0-&gt;1'!AL17</f>
        <v>-3.8800000000000002E-3</v>
      </c>
      <c r="AO110">
        <f>'2020_2021 0-&gt;1'!AM17</f>
        <v>-5.1000000000000004E-3</v>
      </c>
      <c r="AP110">
        <f>'2020_2021 0-&gt;1'!AN17</f>
        <v>-6.3299999999999997E-3</v>
      </c>
      <c r="AQ110">
        <f>'2020_2021 0-&gt;1'!AO17</f>
        <v>-4.4999999999999997E-3</v>
      </c>
      <c r="AR110">
        <f>'2020_2021 0-&gt;1'!AP17</f>
        <v>-3.3599999999999998E-4</v>
      </c>
      <c r="AS110">
        <f>'2020_2021 0-&gt;1'!AQ17</f>
        <v>-9.19E-4</v>
      </c>
      <c r="AT110">
        <f>'2020_2021 0-&gt;1'!AR17</f>
        <v>1.97E-3</v>
      </c>
      <c r="AU110">
        <f>'2020_2021 0-&gt;1'!AS17</f>
        <v>3.0000000000000001E-3</v>
      </c>
      <c r="AV110">
        <f>'2020_2021 0-&gt;1'!AT17</f>
        <v>2.0799999999999998E-3</v>
      </c>
      <c r="AW110">
        <f>'2020_2021 0-&gt;1'!AU17</f>
        <v>4.9199999999999999E-3</v>
      </c>
      <c r="AX110">
        <f>'2020_2021 0-&gt;1'!AV17</f>
        <v>5.0600000000000003E-3</v>
      </c>
      <c r="AY110">
        <f>'2020_2021 0-&gt;1'!AW17</f>
        <v>3.3600000000000001E-3</v>
      </c>
      <c r="AZ110">
        <f>'2020_2021 0-&gt;1'!AX17</f>
        <v>2.7599999999999999E-3</v>
      </c>
      <c r="BA110">
        <f>'2020_2021 0-&gt;1'!AY17</f>
        <v>-1.4499999999999999E-3</v>
      </c>
      <c r="BB110">
        <f>'2020_2021 0-&gt;1'!AZ17</f>
        <v>-1.7799999999999999E-3</v>
      </c>
      <c r="BC110">
        <f>'2020_2021 0-&gt;1'!BA17</f>
        <v>-2.15E-3</v>
      </c>
      <c r="BD110">
        <f>'2020_2021 0-&gt;1'!BB17</f>
        <v>-3.96E-3</v>
      </c>
      <c r="BE110">
        <f>'2020_2021 0-&gt;1'!BC17</f>
        <v>-6.7999999999999996E-3</v>
      </c>
      <c r="BF110">
        <f>'2020_2021 0-&gt;1'!BD17</f>
        <v>-8.1200000000000005E-3</v>
      </c>
      <c r="BG110">
        <f>'2020_2021 0-&gt;1'!BE17</f>
        <v>-3.3E-3</v>
      </c>
      <c r="BH110">
        <f>'2020_2021 0-&gt;1'!BF17</f>
        <v>-1.1800000000000001E-3</v>
      </c>
      <c r="BI110">
        <f>'2020_2021 0-&gt;1'!BG17</f>
        <v>-2.7300000000000002E-4</v>
      </c>
      <c r="BJ110">
        <f>'2020_2021 0-&gt;1'!BH17</f>
        <v>2.47E-3</v>
      </c>
      <c r="BK110">
        <f>'2020_2021 0-&gt;1'!BI17</f>
        <v>5.5999999999999999E-3</v>
      </c>
      <c r="BL110">
        <f>'2020_2021 0-&gt;1'!BJ17</f>
        <v>1.5900000000000001E-2</v>
      </c>
      <c r="BM110">
        <f>'2020_2021 0-&gt;1'!BK17</f>
        <v>1.7999999999999999E-2</v>
      </c>
      <c r="BN110">
        <f>'2020_2021 0-&gt;1'!BL17</f>
        <v>1.03E-2</v>
      </c>
      <c r="BO110">
        <f>'2020_2021 0-&gt;1'!BM17</f>
        <v>6.8300000000000001E-3</v>
      </c>
      <c r="BP110">
        <f>'2020_2021 0-&gt;1'!BN17</f>
        <v>3.5100000000000001E-3</v>
      </c>
      <c r="BQ110">
        <f>'2020_2021 0-&gt;1'!BO17</f>
        <v>8.6200000000000003E-4</v>
      </c>
      <c r="BR110">
        <f>'2020_2021 0-&gt;1'!BP17</f>
        <v>-2.3600000000000001E-3</v>
      </c>
      <c r="BS110">
        <f>'2020_2021 0-&gt;1'!BQ17</f>
        <v>-7.85E-4</v>
      </c>
      <c r="BT110">
        <f>'2020_2021 0-&gt;1'!BR17</f>
        <v>-1.83E-4</v>
      </c>
      <c r="BU110">
        <f>'2020_2021 0-&gt;1'!BS17</f>
        <v>-2.4099999999999998E-3</v>
      </c>
      <c r="BV110">
        <f>'2020_2021 0-&gt;1'!BT17</f>
        <v>-2.7200000000000002E-3</v>
      </c>
      <c r="BW110">
        <f>'2020_2021 0-&gt;1'!BU17</f>
        <v>4.66E-4</v>
      </c>
      <c r="BX110">
        <f>'2020_2021 0-&gt;1'!BV17</f>
        <v>5.1399999999999996E-3</v>
      </c>
      <c r="BY110">
        <f>'2020_2021 0-&gt;1'!BW17</f>
        <v>1.32E-2</v>
      </c>
      <c r="BZ110">
        <f>'2020_2021 0-&gt;1'!BX17</f>
        <v>1.6500000000000001E-2</v>
      </c>
      <c r="CA110">
        <f>'2020_2021 0-&gt;1'!BY17</f>
        <v>1.8100000000000002E-2</v>
      </c>
      <c r="CB110">
        <f>'2020_2021 0-&gt;1'!BZ17</f>
        <v>4.7800000000000004E-3</v>
      </c>
      <c r="CC110">
        <f>'2020_2021 0-&gt;1'!CA17</f>
        <v>-3.81E-3</v>
      </c>
      <c r="CD110">
        <f>'2020_2021 0-&gt;1'!CB17</f>
        <v>-2.7899999999999999E-3</v>
      </c>
      <c r="CE110">
        <f>'2020_2021 0-&gt;1'!CC17</f>
        <v>1.23E-2</v>
      </c>
      <c r="CF110">
        <f>'2020_2021 0-&gt;1'!CD17</f>
        <v>1.32E-2</v>
      </c>
      <c r="CG110">
        <f>'2020_2021 0-&gt;1'!CE17</f>
        <v>1.9400000000000001E-2</v>
      </c>
      <c r="CH110">
        <f>'2020_2021 0-&gt;1'!CF17</f>
        <v>8.3199999999999993E-3</v>
      </c>
      <c r="CI110">
        <f>'2020_2021 0-&gt;1'!CG17</f>
        <v>9.2300000000000004E-3</v>
      </c>
      <c r="CJ110">
        <f>'2020_2021 0-&gt;1'!CH17</f>
        <v>1.46E-2</v>
      </c>
      <c r="CK110">
        <f>'2020_2021 0-&gt;1'!CI17</f>
        <v>2.1399999999999999E-2</v>
      </c>
      <c r="CL110">
        <f>'2020_2021 0-&gt;1'!CJ17</f>
        <v>9.6200000000000001E-3</v>
      </c>
      <c r="CM110">
        <f>'2020_2021 0-&gt;1'!CK17</f>
        <v>7.1199999999999996E-4</v>
      </c>
      <c r="CN110">
        <f>'2020_2021 0-&gt;1'!CL17</f>
        <v>-2.3099999999999999E-2</v>
      </c>
      <c r="CO110">
        <f>'2020_2021 0-&gt;1'!CM17</f>
        <v>-5.7700000000000001E-2</v>
      </c>
      <c r="CP110">
        <f>'2020_2021 0-&gt;1'!CN17</f>
        <v>-7.3400000000000007E-2</v>
      </c>
      <c r="CQ110">
        <f>'2020_2021 0-&gt;1'!CO17</f>
        <v>-0.13200000000000001</v>
      </c>
      <c r="CR110">
        <f>'2020_2021 0-&gt;1'!CP17</f>
        <v>-0.214</v>
      </c>
      <c r="CS110">
        <f>'2020_2021 0-&gt;1'!CQ17</f>
        <v>-0.161</v>
      </c>
      <c r="CT110">
        <f>'2020_2021 0-&gt;1'!CR17</f>
        <v>-4.7500000000000001E-2</v>
      </c>
      <c r="CU110">
        <f>'2020_2021 0-&gt;1'!CS17</f>
        <v>5.3800000000000001E-2</v>
      </c>
      <c r="CV110">
        <f>'2020_2021 0-&gt;1'!CT17</f>
        <v>0.35099999999999998</v>
      </c>
      <c r="CW110">
        <f>'2020_2021 0-&gt;1'!CU17</f>
        <v>0.125</v>
      </c>
      <c r="CX110">
        <f>'2020_2021 0-&gt;1'!CV17</f>
        <v>8.7800000000000003E-2</v>
      </c>
    </row>
    <row r="111" spans="1:102" x14ac:dyDescent="0.2">
      <c r="A111" t="s">
        <v>211</v>
      </c>
      <c r="B111" t="s">
        <v>219</v>
      </c>
      <c r="C111" t="s">
        <v>223</v>
      </c>
      <c r="D111">
        <f>'2020_2021 0-&gt;1'!B18</f>
        <v>4.3299999999999996E-3</v>
      </c>
      <c r="E111">
        <f>'2020_2021 0-&gt;1'!C18</f>
        <v>4.3299999999999996E-3</v>
      </c>
      <c r="F111">
        <f>'2020_2021 0-&gt;1'!D18</f>
        <v>4.3299999999999996E-3</v>
      </c>
      <c r="G111">
        <f>'2020_2021 0-&gt;1'!E18</f>
        <v>9.4200000000000006E-2</v>
      </c>
      <c r="H111">
        <f>'2020_2021 0-&gt;1'!F18</f>
        <v>7.6399999999999996E-2</v>
      </c>
      <c r="I111">
        <f>'2020_2021 0-&gt;1'!G18</f>
        <v>3.5499999999999997E-2</v>
      </c>
      <c r="J111">
        <f>'2020_2021 0-&gt;1'!H18</f>
        <v>1.23E-2</v>
      </c>
      <c r="K111">
        <f>'2020_2021 0-&gt;1'!I18</f>
        <v>1.9599999999999999E-2</v>
      </c>
      <c r="L111">
        <f>'2020_2021 0-&gt;1'!J18</f>
        <v>0.01</v>
      </c>
      <c r="M111">
        <f>'2020_2021 0-&gt;1'!K18</f>
        <v>7.0800000000000004E-3</v>
      </c>
      <c r="N111">
        <f>'2020_2021 0-&gt;1'!L18</f>
        <v>5.0800000000000003E-3</v>
      </c>
      <c r="O111">
        <f>'2020_2021 0-&gt;1'!M18</f>
        <v>6.79E-3</v>
      </c>
      <c r="P111">
        <f>'2020_2021 0-&gt;1'!N18</f>
        <v>-3.2899999999999997E-4</v>
      </c>
      <c r="Q111">
        <f>'2020_2021 0-&gt;1'!O18</f>
        <v>-1.17E-3</v>
      </c>
      <c r="R111">
        <f>'2020_2021 0-&gt;1'!P18</f>
        <v>-4.3E-3</v>
      </c>
      <c r="S111">
        <f>'2020_2021 0-&gt;1'!Q18</f>
        <v>-4.6000000000000001E-4</v>
      </c>
      <c r="T111">
        <f>'2020_2021 0-&gt;1'!R18</f>
        <v>2.0200000000000001E-3</v>
      </c>
      <c r="U111">
        <f>'2020_2021 0-&gt;1'!S18</f>
        <v>2.82E-3</v>
      </c>
      <c r="V111">
        <f>'2020_2021 0-&gt;1'!T18</f>
        <v>1.01E-3</v>
      </c>
      <c r="W111">
        <f>'2020_2021 0-&gt;1'!U18</f>
        <v>5.5900000000000004E-3</v>
      </c>
      <c r="X111">
        <f>'2020_2021 0-&gt;1'!V18</f>
        <v>2.2899999999999999E-3</v>
      </c>
      <c r="Y111">
        <f>'2020_2021 0-&gt;1'!W18</f>
        <v>5.0600000000000003E-3</v>
      </c>
      <c r="Z111">
        <f>'2020_2021 0-&gt;1'!X18</f>
        <v>4.0200000000000001E-3</v>
      </c>
      <c r="AA111">
        <f>'2020_2021 0-&gt;1'!Y18</f>
        <v>3.3700000000000002E-3</v>
      </c>
      <c r="AB111">
        <f>'2020_2021 0-&gt;1'!Z18</f>
        <v>3.6099999999999999E-3</v>
      </c>
      <c r="AC111">
        <f>'2020_2021 0-&gt;1'!AA18</f>
        <v>5.1999999999999998E-3</v>
      </c>
      <c r="AD111">
        <f>'2020_2021 0-&gt;1'!AB18</f>
        <v>4.9100000000000003E-3</v>
      </c>
      <c r="AE111">
        <f>'2020_2021 0-&gt;1'!AC18</f>
        <v>3.3400000000000001E-3</v>
      </c>
      <c r="AF111">
        <f>'2020_2021 0-&gt;1'!AD18</f>
        <v>5.6299999999999996E-3</v>
      </c>
      <c r="AG111">
        <f>'2020_2021 0-&gt;1'!AE18</f>
        <v>8.0199999999999994E-3</v>
      </c>
      <c r="AH111">
        <f>'2020_2021 0-&gt;1'!AF18</f>
        <v>7.5500000000000003E-3</v>
      </c>
      <c r="AI111">
        <f>'2020_2021 0-&gt;1'!AG18</f>
        <v>6.28E-3</v>
      </c>
      <c r="AJ111">
        <f>'2020_2021 0-&gt;1'!AH18</f>
        <v>2.0200000000000001E-3</v>
      </c>
      <c r="AK111">
        <f>'2020_2021 0-&gt;1'!AI18</f>
        <v>4.1900000000000001E-3</v>
      </c>
      <c r="AL111">
        <f>'2020_2021 0-&gt;1'!AJ18</f>
        <v>1.92E-3</v>
      </c>
      <c r="AM111">
        <f>'2020_2021 0-&gt;1'!AK18</f>
        <v>3.82E-3</v>
      </c>
      <c r="AN111">
        <f>'2020_2021 0-&gt;1'!AL18</f>
        <v>2.7000000000000001E-3</v>
      </c>
      <c r="AO111">
        <f>'2020_2021 0-&gt;1'!AM18</f>
        <v>5.2700000000000002E-4</v>
      </c>
      <c r="AP111">
        <f>'2020_2021 0-&gt;1'!AN18</f>
        <v>1.8500000000000001E-3</v>
      </c>
      <c r="AQ111">
        <f>'2020_2021 0-&gt;1'!AO18</f>
        <v>3.3600000000000001E-3</v>
      </c>
      <c r="AR111">
        <f>'2020_2021 0-&gt;1'!AP18</f>
        <v>4.1200000000000004E-3</v>
      </c>
      <c r="AS111">
        <f>'2020_2021 0-&gt;1'!AQ18</f>
        <v>5.2599999999999999E-3</v>
      </c>
      <c r="AT111">
        <f>'2020_2021 0-&gt;1'!AR18</f>
        <v>9.3600000000000003E-3</v>
      </c>
      <c r="AU111">
        <f>'2020_2021 0-&gt;1'!AS18</f>
        <v>7.28E-3</v>
      </c>
      <c r="AV111">
        <f>'2020_2021 0-&gt;1'!AT18</f>
        <v>6.13E-3</v>
      </c>
      <c r="AW111">
        <f>'2020_2021 0-&gt;1'!AU18</f>
        <v>1.04E-2</v>
      </c>
      <c r="AX111">
        <f>'2020_2021 0-&gt;1'!AV18</f>
        <v>8.4899999999999993E-3</v>
      </c>
      <c r="AY111">
        <f>'2020_2021 0-&gt;1'!AW18</f>
        <v>9.9500000000000005E-3</v>
      </c>
      <c r="AZ111">
        <f>'2020_2021 0-&gt;1'!AX18</f>
        <v>1.32E-2</v>
      </c>
      <c r="BA111">
        <f>'2020_2021 0-&gt;1'!AY18</f>
        <v>1.1900000000000001E-2</v>
      </c>
      <c r="BB111">
        <f>'2020_2021 0-&gt;1'!AZ18</f>
        <v>6.7299999999999999E-3</v>
      </c>
      <c r="BC111">
        <f>'2020_2021 0-&gt;1'!BA18</f>
        <v>5.1599999999999997E-3</v>
      </c>
      <c r="BD111">
        <f>'2020_2021 0-&gt;1'!BB18</f>
        <v>9.4200000000000002E-4</v>
      </c>
      <c r="BE111">
        <f>'2020_2021 0-&gt;1'!BC18</f>
        <v>7.86E-5</v>
      </c>
      <c r="BF111">
        <f>'2020_2021 0-&gt;1'!BD18</f>
        <v>-9.4200000000000002E-4</v>
      </c>
      <c r="BG111">
        <f>'2020_2021 0-&gt;1'!BE18</f>
        <v>3.31E-3</v>
      </c>
      <c r="BH111">
        <f>'2020_2021 0-&gt;1'!BF18</f>
        <v>-3.6600000000000001E-3</v>
      </c>
      <c r="BI111">
        <f>'2020_2021 0-&gt;1'!BG18</f>
        <v>-1.03E-2</v>
      </c>
      <c r="BJ111">
        <f>'2020_2021 0-&gt;1'!BH18</f>
        <v>-4.0899999999999999E-3</v>
      </c>
      <c r="BK111">
        <f>'2020_2021 0-&gt;1'!BI18</f>
        <v>9.4499999999999998E-4</v>
      </c>
      <c r="BL111">
        <f>'2020_2021 0-&gt;1'!BJ18</f>
        <v>6.9300000000000004E-3</v>
      </c>
      <c r="BM111">
        <f>'2020_2021 0-&gt;1'!BK18</f>
        <v>7.3000000000000001E-3</v>
      </c>
      <c r="BN111">
        <f>'2020_2021 0-&gt;1'!BL18</f>
        <v>2.0500000000000002E-3</v>
      </c>
      <c r="BO111">
        <f>'2020_2021 0-&gt;1'!BM18</f>
        <v>1.3699999999999999E-3</v>
      </c>
      <c r="BP111">
        <f>'2020_2021 0-&gt;1'!BN18</f>
        <v>-2.8700000000000002E-3</v>
      </c>
      <c r="BQ111">
        <f>'2020_2021 0-&gt;1'!BO18</f>
        <v>-9.3100000000000006E-3</v>
      </c>
      <c r="BR111">
        <f>'2020_2021 0-&gt;1'!BP18</f>
        <v>-7.3000000000000001E-3</v>
      </c>
      <c r="BS111">
        <f>'2020_2021 0-&gt;1'!BQ18</f>
        <v>-9.7199999999999995E-3</v>
      </c>
      <c r="BT111">
        <f>'2020_2021 0-&gt;1'!BR18</f>
        <v>-5.7200000000000003E-3</v>
      </c>
      <c r="BU111">
        <f>'2020_2021 0-&gt;1'!BS18</f>
        <v>-7.9799999999999992E-3</v>
      </c>
      <c r="BV111">
        <f>'2020_2021 0-&gt;1'!BT18</f>
        <v>-3.0899999999999999E-3</v>
      </c>
      <c r="BW111">
        <f>'2020_2021 0-&gt;1'!BU18</f>
        <v>-8.5400000000000007E-3</v>
      </c>
      <c r="BX111">
        <f>'2020_2021 0-&gt;1'!BV18</f>
        <v>-3.9899999999999996E-3</v>
      </c>
      <c r="BY111">
        <f>'2020_2021 0-&gt;1'!BW18</f>
        <v>4.0600000000000002E-3</v>
      </c>
      <c r="BZ111">
        <f>'2020_2021 0-&gt;1'!BX18</f>
        <v>1.0800000000000001E-2</v>
      </c>
      <c r="CA111">
        <f>'2020_2021 0-&gt;1'!BY18</f>
        <v>9.1800000000000007E-3</v>
      </c>
      <c r="CB111">
        <f>'2020_2021 0-&gt;1'!BZ18</f>
        <v>-7.1700000000000002E-3</v>
      </c>
      <c r="CC111">
        <f>'2020_2021 0-&gt;1'!CA18</f>
        <v>-1.2500000000000001E-2</v>
      </c>
      <c r="CD111">
        <f>'2020_2021 0-&gt;1'!CB18</f>
        <v>-1.6299999999999999E-2</v>
      </c>
      <c r="CE111">
        <f>'2020_2021 0-&gt;1'!CC18</f>
        <v>8.2500000000000004E-3</v>
      </c>
      <c r="CF111">
        <f>'2020_2021 0-&gt;1'!CD18</f>
        <v>1.01E-2</v>
      </c>
      <c r="CG111">
        <f>'2020_2021 0-&gt;1'!CE18</f>
        <v>1.61E-2</v>
      </c>
      <c r="CH111">
        <f>'2020_2021 0-&gt;1'!CF18</f>
        <v>-2.47E-3</v>
      </c>
      <c r="CI111">
        <f>'2020_2021 0-&gt;1'!CG18</f>
        <v>1.8799999999999999E-3</v>
      </c>
      <c r="CJ111">
        <f>'2020_2021 0-&gt;1'!CH18</f>
        <v>7.7600000000000004E-3</v>
      </c>
      <c r="CK111">
        <f>'2020_2021 0-&gt;1'!CI18</f>
        <v>2.53E-2</v>
      </c>
      <c r="CL111">
        <f>'2020_2021 0-&gt;1'!CJ18</f>
        <v>1.61E-2</v>
      </c>
      <c r="CM111">
        <f>'2020_2021 0-&gt;1'!CK18</f>
        <v>1.0500000000000001E-2</v>
      </c>
      <c r="CN111">
        <f>'2020_2021 0-&gt;1'!CL18</f>
        <v>1.12E-2</v>
      </c>
      <c r="CO111">
        <f>'2020_2021 0-&gt;1'!CM18</f>
        <v>-1.5100000000000001E-2</v>
      </c>
      <c r="CP111">
        <f>'2020_2021 0-&gt;1'!CN18</f>
        <v>-1.89E-2</v>
      </c>
      <c r="CQ111">
        <f>'2020_2021 0-&gt;1'!CO18</f>
        <v>-6.7000000000000004E-2</v>
      </c>
      <c r="CR111">
        <f>'2020_2021 0-&gt;1'!CP18</f>
        <v>-7.85E-2</v>
      </c>
      <c r="CS111">
        <f>'2020_2021 0-&gt;1'!CQ18</f>
        <v>-0.19400000000000001</v>
      </c>
      <c r="CT111">
        <f>'2020_2021 0-&gt;1'!CR18</f>
        <v>-0.13200000000000001</v>
      </c>
      <c r="CU111">
        <f>'2020_2021 0-&gt;1'!CS18</f>
        <v>-3.9600000000000003E-2</v>
      </c>
      <c r="CV111">
        <f>'2020_2021 0-&gt;1'!CT18</f>
        <v>4.7600000000000003E-2</v>
      </c>
      <c r="CW111">
        <f>'2020_2021 0-&gt;1'!CU18</f>
        <v>8.2600000000000007E-2</v>
      </c>
      <c r="CX111">
        <f>'2020_2021 0-&gt;1'!CV18</f>
        <v>6.8699999999999997E-2</v>
      </c>
    </row>
    <row r="112" spans="1:102" x14ac:dyDescent="0.2">
      <c r="A112" t="s">
        <v>212</v>
      </c>
      <c r="B112" t="s">
        <v>219</v>
      </c>
      <c r="C112" t="s">
        <v>223</v>
      </c>
      <c r="D112">
        <f>'2020_2021 0-&gt;1'!B19</f>
        <v>1.5E-3</v>
      </c>
      <c r="E112">
        <f>'2020_2021 0-&gt;1'!C19</f>
        <v>1.5E-3</v>
      </c>
      <c r="F112">
        <f>'2020_2021 0-&gt;1'!D19</f>
        <v>1.5E-3</v>
      </c>
      <c r="G112">
        <f>'2020_2021 0-&gt;1'!E19</f>
        <v>1.4E-2</v>
      </c>
      <c r="H112">
        <f>'2020_2021 0-&gt;1'!F19</f>
        <v>5.1900000000000002E-2</v>
      </c>
      <c r="I112">
        <f>'2020_2021 0-&gt;1'!G19</f>
        <v>4.1700000000000001E-2</v>
      </c>
      <c r="J112">
        <f>'2020_2021 0-&gt;1'!H19</f>
        <v>1.84E-2</v>
      </c>
      <c r="K112">
        <f>'2020_2021 0-&gt;1'!I19</f>
        <v>1.8200000000000001E-2</v>
      </c>
      <c r="L112">
        <f>'2020_2021 0-&gt;1'!J19</f>
        <v>1.9599999999999999E-2</v>
      </c>
      <c r="M112">
        <f>'2020_2021 0-&gt;1'!K19</f>
        <v>1.7500000000000002E-2</v>
      </c>
      <c r="N112">
        <f>'2020_2021 0-&gt;1'!L19</f>
        <v>1.4800000000000001E-2</v>
      </c>
      <c r="O112">
        <f>'2020_2021 0-&gt;1'!M19</f>
        <v>1.0699999999999999E-2</v>
      </c>
      <c r="P112">
        <f>'2020_2021 0-&gt;1'!N19</f>
        <v>8.4700000000000001E-3</v>
      </c>
      <c r="Q112">
        <f>'2020_2021 0-&gt;1'!O19</f>
        <v>5.94E-3</v>
      </c>
      <c r="R112">
        <f>'2020_2021 0-&gt;1'!P19</f>
        <v>2.4499999999999999E-3</v>
      </c>
      <c r="S112">
        <f>'2020_2021 0-&gt;1'!Q19</f>
        <v>3.14E-3</v>
      </c>
      <c r="T112">
        <f>'2020_2021 0-&gt;1'!R19</f>
        <v>3.5000000000000001E-3</v>
      </c>
      <c r="U112">
        <f>'2020_2021 0-&gt;1'!S19</f>
        <v>4.1399999999999996E-3</v>
      </c>
      <c r="V112">
        <f>'2020_2021 0-&gt;1'!T19</f>
        <v>2.6099999999999999E-3</v>
      </c>
      <c r="W112">
        <f>'2020_2021 0-&gt;1'!U19</f>
        <v>4.3899999999999998E-3</v>
      </c>
      <c r="X112">
        <f>'2020_2021 0-&gt;1'!V19</f>
        <v>2.7899999999999999E-3</v>
      </c>
      <c r="Y112">
        <f>'2020_2021 0-&gt;1'!W19</f>
        <v>2.8E-3</v>
      </c>
      <c r="Z112">
        <f>'2020_2021 0-&gt;1'!X19</f>
        <v>3.3300000000000001E-3</v>
      </c>
      <c r="AA112">
        <f>'2020_2021 0-&gt;1'!Y19</f>
        <v>3.4499999999999999E-3</v>
      </c>
      <c r="AB112">
        <f>'2020_2021 0-&gt;1'!Z19</f>
        <v>3.9699999999999996E-3</v>
      </c>
      <c r="AC112">
        <f>'2020_2021 0-&gt;1'!AA19</f>
        <v>3.9100000000000003E-3</v>
      </c>
      <c r="AD112">
        <f>'2020_2021 0-&gt;1'!AB19</f>
        <v>5.0200000000000002E-3</v>
      </c>
      <c r="AE112">
        <f>'2020_2021 0-&gt;1'!AC19</f>
        <v>5.4900000000000001E-3</v>
      </c>
      <c r="AF112">
        <f>'2020_2021 0-&gt;1'!AD19</f>
        <v>5.2300000000000003E-3</v>
      </c>
      <c r="AG112">
        <f>'2020_2021 0-&gt;1'!AE19</f>
        <v>5.7299999999999999E-3</v>
      </c>
      <c r="AH112">
        <f>'2020_2021 0-&gt;1'!AF19</f>
        <v>5.3299999999999997E-3</v>
      </c>
      <c r="AI112">
        <f>'2020_2021 0-&gt;1'!AG19</f>
        <v>4.4600000000000004E-3</v>
      </c>
      <c r="AJ112">
        <f>'2020_2021 0-&gt;1'!AH19</f>
        <v>4.0899999999999999E-3</v>
      </c>
      <c r="AK112">
        <f>'2020_2021 0-&gt;1'!AI19</f>
        <v>3.8300000000000001E-3</v>
      </c>
      <c r="AL112">
        <f>'2020_2021 0-&gt;1'!AJ19</f>
        <v>3.3400000000000001E-3</v>
      </c>
      <c r="AM112">
        <f>'2020_2021 0-&gt;1'!AK19</f>
        <v>3.3999999999999998E-3</v>
      </c>
      <c r="AN112">
        <f>'2020_2021 0-&gt;1'!AL19</f>
        <v>2.4599999999999999E-3</v>
      </c>
      <c r="AO112">
        <f>'2020_2021 0-&gt;1'!AM19</f>
        <v>3.0000000000000001E-3</v>
      </c>
      <c r="AP112">
        <f>'2020_2021 0-&gt;1'!AN19</f>
        <v>3.5400000000000002E-3</v>
      </c>
      <c r="AQ112">
        <f>'2020_2021 0-&gt;1'!AO19</f>
        <v>3.8300000000000001E-3</v>
      </c>
      <c r="AR112">
        <f>'2020_2021 0-&gt;1'!AP19</f>
        <v>3.9699999999999996E-3</v>
      </c>
      <c r="AS112">
        <f>'2020_2021 0-&gt;1'!AQ19</f>
        <v>4.9100000000000003E-3</v>
      </c>
      <c r="AT112">
        <f>'2020_2021 0-&gt;1'!AR19</f>
        <v>5.2700000000000004E-3</v>
      </c>
      <c r="AU112">
        <f>'2020_2021 0-&gt;1'!AS19</f>
        <v>5.3E-3</v>
      </c>
      <c r="AV112">
        <f>'2020_2021 0-&gt;1'!AT19</f>
        <v>5.1500000000000001E-3</v>
      </c>
      <c r="AW112">
        <f>'2020_2021 0-&gt;1'!AU19</f>
        <v>5.4999999999999997E-3</v>
      </c>
      <c r="AX112">
        <f>'2020_2021 0-&gt;1'!AV19</f>
        <v>4.6899999999999997E-3</v>
      </c>
      <c r="AY112">
        <f>'2020_2021 0-&gt;1'!AW19</f>
        <v>3.9699999999999996E-3</v>
      </c>
      <c r="AZ112">
        <f>'2020_2021 0-&gt;1'!AX19</f>
        <v>4.1700000000000001E-3</v>
      </c>
      <c r="BA112">
        <f>'2020_2021 0-&gt;1'!AY19</f>
        <v>4.0499999999999998E-3</v>
      </c>
      <c r="BB112">
        <f>'2020_2021 0-&gt;1'!AZ19</f>
        <v>2.8800000000000002E-3</v>
      </c>
      <c r="BC112">
        <f>'2020_2021 0-&gt;1'!BA19</f>
        <v>3.16E-3</v>
      </c>
      <c r="BD112">
        <f>'2020_2021 0-&gt;1'!BB19</f>
        <v>2.6099999999999999E-3</v>
      </c>
      <c r="BE112">
        <f>'2020_2021 0-&gt;1'!BC19</f>
        <v>1.9599999999999999E-3</v>
      </c>
      <c r="BF112">
        <f>'2020_2021 0-&gt;1'!BD19</f>
        <v>2.31E-3</v>
      </c>
      <c r="BG112">
        <f>'2020_2021 0-&gt;1'!BE19</f>
        <v>2.1099999999999999E-3</v>
      </c>
      <c r="BH112">
        <f>'2020_2021 0-&gt;1'!BF19</f>
        <v>2.3500000000000001E-3</v>
      </c>
      <c r="BI112">
        <f>'2020_2021 0-&gt;1'!BG19</f>
        <v>2.6199999999999999E-3</v>
      </c>
      <c r="BJ112">
        <f>'2020_2021 0-&gt;1'!BH19</f>
        <v>3.2699999999999999E-3</v>
      </c>
      <c r="BK112">
        <f>'2020_2021 0-&gt;1'!BI19</f>
        <v>3.2599999999999999E-3</v>
      </c>
      <c r="BL112">
        <f>'2020_2021 0-&gt;1'!BJ19</f>
        <v>4.2599999999999999E-3</v>
      </c>
      <c r="BM112">
        <f>'2020_2021 0-&gt;1'!BK19</f>
        <v>3.7000000000000002E-3</v>
      </c>
      <c r="BN112">
        <f>'2020_2021 0-&gt;1'!BL19</f>
        <v>3.3700000000000002E-3</v>
      </c>
      <c r="BO112">
        <f>'2020_2021 0-&gt;1'!BM19</f>
        <v>3.0300000000000001E-3</v>
      </c>
      <c r="BP112">
        <f>'2020_2021 0-&gt;1'!BN19</f>
        <v>2.0799999999999998E-3</v>
      </c>
      <c r="BQ112">
        <f>'2020_2021 0-&gt;1'!BO19</f>
        <v>1.39E-3</v>
      </c>
      <c r="BR112">
        <f>'2020_2021 0-&gt;1'!BP19</f>
        <v>5.6099999999999998E-4</v>
      </c>
      <c r="BS112">
        <f>'2020_2021 0-&gt;1'!BQ19</f>
        <v>3.21E-4</v>
      </c>
      <c r="BT112">
        <f>'2020_2021 0-&gt;1'!BR19</f>
        <v>2.7000000000000001E-3</v>
      </c>
      <c r="BU112">
        <f>'2020_2021 0-&gt;1'!BS19</f>
        <v>1.8500000000000001E-3</v>
      </c>
      <c r="BV112">
        <f>'2020_2021 0-&gt;1'!BT19</f>
        <v>1.9300000000000001E-3</v>
      </c>
      <c r="BW112">
        <f>'2020_2021 0-&gt;1'!BU19</f>
        <v>2.4399999999999999E-3</v>
      </c>
      <c r="BX112">
        <f>'2020_2021 0-&gt;1'!BV19</f>
        <v>1.98E-3</v>
      </c>
      <c r="BY112">
        <f>'2020_2021 0-&gt;1'!BW19</f>
        <v>2.3800000000000002E-3</v>
      </c>
      <c r="BZ112">
        <f>'2020_2021 0-&gt;1'!BX19</f>
        <v>2.3800000000000002E-3</v>
      </c>
      <c r="CA112">
        <f>'2020_2021 0-&gt;1'!BY19</f>
        <v>2.5899999999999999E-3</v>
      </c>
      <c r="CB112">
        <f>'2020_2021 0-&gt;1'!BZ19</f>
        <v>1.32E-3</v>
      </c>
      <c r="CC112">
        <f>'2020_2021 0-&gt;1'!CA19</f>
        <v>6.0100000000000001E-6</v>
      </c>
      <c r="CD112">
        <f>'2020_2021 0-&gt;1'!CB19</f>
        <v>-8.5899999999999995E-4</v>
      </c>
      <c r="CE112">
        <f>'2020_2021 0-&gt;1'!CC19</f>
        <v>-1.65E-3</v>
      </c>
      <c r="CF112">
        <f>'2020_2021 0-&gt;1'!CD19</f>
        <v>-1.6000000000000001E-3</v>
      </c>
      <c r="CG112">
        <f>'2020_2021 0-&gt;1'!CE19</f>
        <v>2.7599999999999999E-4</v>
      </c>
      <c r="CH112">
        <f>'2020_2021 0-&gt;1'!CF19</f>
        <v>-1.75E-3</v>
      </c>
      <c r="CI112">
        <f>'2020_2021 0-&gt;1'!CG19</f>
        <v>-1.5399999999999999E-3</v>
      </c>
      <c r="CJ112">
        <f>'2020_2021 0-&gt;1'!CH19</f>
        <v>-1.08E-3</v>
      </c>
      <c r="CK112">
        <f>'2020_2021 0-&gt;1'!CI19</f>
        <v>6.2100000000000002E-4</v>
      </c>
      <c r="CL112">
        <f>'2020_2021 0-&gt;1'!CJ19</f>
        <v>-7.1199999999999996E-4</v>
      </c>
      <c r="CM112">
        <f>'2020_2021 0-&gt;1'!CK19</f>
        <v>-3.1800000000000001E-3</v>
      </c>
      <c r="CN112">
        <f>'2020_2021 0-&gt;1'!CL19</f>
        <v>-3.7599999999999999E-3</v>
      </c>
      <c r="CO112">
        <f>'2020_2021 0-&gt;1'!CM19</f>
        <v>-4.2599999999999999E-3</v>
      </c>
      <c r="CP112">
        <f>'2020_2021 0-&gt;1'!CN19</f>
        <v>-5.8399999999999997E-3</v>
      </c>
      <c r="CQ112">
        <f>'2020_2021 0-&gt;1'!CO19</f>
        <v>-1.2699999999999999E-2</v>
      </c>
      <c r="CR112">
        <f>'2020_2021 0-&gt;1'!CP19</f>
        <v>-1.78E-2</v>
      </c>
      <c r="CS112">
        <f>'2020_2021 0-&gt;1'!CQ19</f>
        <v>-2.18E-2</v>
      </c>
      <c r="CT112">
        <f>'2020_2021 0-&gt;1'!CR19</f>
        <v>-1.2999999999999999E-2</v>
      </c>
      <c r="CU112">
        <f>'2020_2021 0-&gt;1'!CS19</f>
        <v>-1.3599999999999999E-2</v>
      </c>
      <c r="CV112">
        <f>'2020_2021 0-&gt;1'!CT19</f>
        <v>-1.5599999999999999E-2</v>
      </c>
      <c r="CW112">
        <f>'2020_2021 0-&gt;1'!CU19</f>
        <v>9.5E-4</v>
      </c>
      <c r="CX112">
        <f>'2020_2021 0-&gt;1'!CV19</f>
        <v>-2.47E-3</v>
      </c>
    </row>
    <row r="113" spans="1:102" x14ac:dyDescent="0.2">
      <c r="A113" t="s">
        <v>213</v>
      </c>
      <c r="B113" t="s">
        <v>219</v>
      </c>
      <c r="C113" t="s">
        <v>223</v>
      </c>
      <c r="D113">
        <f>'2020_2021 0-&gt;1'!B20</f>
        <v>-2.2799999999999999E-3</v>
      </c>
      <c r="E113">
        <f>'2020_2021 0-&gt;1'!C20</f>
        <v>-2.2799999999999999E-3</v>
      </c>
      <c r="F113">
        <f>'2020_2021 0-&gt;1'!D20</f>
        <v>-2.2799999999999999E-3</v>
      </c>
      <c r="G113">
        <f>'2020_2021 0-&gt;1'!E20</f>
        <v>0.28699999999999998</v>
      </c>
      <c r="H113">
        <f>'2020_2021 0-&gt;1'!F20</f>
        <v>-1.72E-2</v>
      </c>
      <c r="I113">
        <f>'2020_2021 0-&gt;1'!G20</f>
        <v>-5.0200000000000002E-2</v>
      </c>
      <c r="J113">
        <f>'2020_2021 0-&gt;1'!H20</f>
        <v>-1.2999999999999999E-2</v>
      </c>
      <c r="K113">
        <f>'2020_2021 0-&gt;1'!I20</f>
        <v>-4.3900000000000002E-2</v>
      </c>
      <c r="L113">
        <f>'2020_2021 0-&gt;1'!J20</f>
        <v>-4.9799999999999997E-2</v>
      </c>
      <c r="M113">
        <f>'2020_2021 0-&gt;1'!K20</f>
        <v>-3.39E-2</v>
      </c>
      <c r="N113">
        <f>'2020_2021 0-&gt;1'!L20</f>
        <v>-1.5800000000000002E-2</v>
      </c>
      <c r="O113">
        <f>'2020_2021 0-&gt;1'!M20</f>
        <v>-4.1099999999999999E-3</v>
      </c>
      <c r="P113">
        <f>'2020_2021 0-&gt;1'!N20</f>
        <v>0.03</v>
      </c>
      <c r="Q113">
        <f>'2020_2021 0-&gt;1'!O20</f>
        <v>3.44E-2</v>
      </c>
      <c r="R113">
        <f>'2020_2021 0-&gt;1'!P20</f>
        <v>6.5699999999999995E-2</v>
      </c>
      <c r="S113">
        <f>'2020_2021 0-&gt;1'!Q20</f>
        <v>2.4500000000000001E-2</v>
      </c>
      <c r="T113">
        <f>'2020_2021 0-&gt;1'!R20</f>
        <v>2.35E-2</v>
      </c>
      <c r="U113">
        <f>'2020_2021 0-&gt;1'!S20</f>
        <v>-3.7200000000000002E-3</v>
      </c>
      <c r="V113">
        <f>'2020_2021 0-&gt;1'!T20</f>
        <v>1.17E-3</v>
      </c>
      <c r="W113">
        <f>'2020_2021 0-&gt;1'!U20</f>
        <v>-1.1299999999999999E-2</v>
      </c>
      <c r="X113">
        <f>'2020_2021 0-&gt;1'!V20</f>
        <v>1.2E-2</v>
      </c>
      <c r="Y113">
        <f>'2020_2021 0-&gt;1'!W20</f>
        <v>1.06E-2</v>
      </c>
      <c r="Z113">
        <f>'2020_2021 0-&gt;1'!X20</f>
        <v>1.3799999999999999E-3</v>
      </c>
      <c r="AA113">
        <f>'2020_2021 0-&gt;1'!Y20</f>
        <v>-2.5100000000000001E-3</v>
      </c>
      <c r="AB113">
        <f>'2020_2021 0-&gt;1'!Z20</f>
        <v>-1.6500000000000001E-2</v>
      </c>
      <c r="AC113">
        <f>'2020_2021 0-&gt;1'!AA20</f>
        <v>-1.2999999999999999E-2</v>
      </c>
      <c r="AD113">
        <f>'2020_2021 0-&gt;1'!AB20</f>
        <v>-1.01E-2</v>
      </c>
      <c r="AE113">
        <f>'2020_2021 0-&gt;1'!AC20</f>
        <v>-1.61E-2</v>
      </c>
      <c r="AF113">
        <f>'2020_2021 0-&gt;1'!AD20</f>
        <v>-1.2999999999999999E-2</v>
      </c>
      <c r="AG113">
        <f>'2020_2021 0-&gt;1'!AE20</f>
        <v>-2.41E-2</v>
      </c>
      <c r="AH113">
        <f>'2020_2021 0-&gt;1'!AF20</f>
        <v>-1.4800000000000001E-2</v>
      </c>
      <c r="AI113">
        <f>'2020_2021 0-&gt;1'!AG20</f>
        <v>-1.0699999999999999E-2</v>
      </c>
      <c r="AJ113">
        <f>'2020_2021 0-&gt;1'!AH20</f>
        <v>-1.35E-2</v>
      </c>
      <c r="AK113">
        <f>'2020_2021 0-&gt;1'!AI20</f>
        <v>-1.09E-2</v>
      </c>
      <c r="AL113">
        <f>'2020_2021 0-&gt;1'!AJ20</f>
        <v>-2.2300000000000002E-3</v>
      </c>
      <c r="AM113">
        <f>'2020_2021 0-&gt;1'!AK20</f>
        <v>6.4999999999999997E-3</v>
      </c>
      <c r="AN113">
        <f>'2020_2021 0-&gt;1'!AL20</f>
        <v>8.43E-3</v>
      </c>
      <c r="AO113">
        <f>'2020_2021 0-&gt;1'!AM20</f>
        <v>-6.2500000000000003E-3</v>
      </c>
      <c r="AP113">
        <f>'2020_2021 0-&gt;1'!AN20</f>
        <v>1.05E-4</v>
      </c>
      <c r="AQ113">
        <f>'2020_2021 0-&gt;1'!AO20</f>
        <v>3.0699999999999998E-3</v>
      </c>
      <c r="AR113">
        <f>'2020_2021 0-&gt;1'!AP20</f>
        <v>-4.2500000000000003E-3</v>
      </c>
      <c r="AS113">
        <f>'2020_2021 0-&gt;1'!AQ20</f>
        <v>-3.16E-3</v>
      </c>
      <c r="AT113">
        <f>'2020_2021 0-&gt;1'!AR20</f>
        <v>-2.0400000000000001E-3</v>
      </c>
      <c r="AU113">
        <f>'2020_2021 0-&gt;1'!AS20</f>
        <v>-6.3099999999999996E-3</v>
      </c>
      <c r="AV113">
        <f>'2020_2021 0-&gt;1'!AT20</f>
        <v>-3.9300000000000003E-3</v>
      </c>
      <c r="AW113">
        <f>'2020_2021 0-&gt;1'!AU20</f>
        <v>4.7999999999999996E-3</v>
      </c>
      <c r="AX113">
        <f>'2020_2021 0-&gt;1'!AV20</f>
        <v>1.2099999999999999E-3</v>
      </c>
      <c r="AY113">
        <f>'2020_2021 0-&gt;1'!AW20</f>
        <v>-3.0200000000000001E-3</v>
      </c>
      <c r="AZ113">
        <f>'2020_2021 0-&gt;1'!AX20</f>
        <v>9.6799999999999994E-3</v>
      </c>
      <c r="BA113">
        <f>'2020_2021 0-&gt;1'!AY20</f>
        <v>1.43E-2</v>
      </c>
      <c r="BB113">
        <f>'2020_2021 0-&gt;1'!AZ20</f>
        <v>1.4999999999999999E-2</v>
      </c>
      <c r="BC113">
        <f>'2020_2021 0-&gt;1'!BA20</f>
        <v>1.84E-2</v>
      </c>
      <c r="BD113">
        <f>'2020_2021 0-&gt;1'!BB20</f>
        <v>2.0799999999999999E-2</v>
      </c>
      <c r="BE113">
        <f>'2020_2021 0-&gt;1'!BC20</f>
        <v>2.6200000000000001E-2</v>
      </c>
      <c r="BF113">
        <f>'2020_2021 0-&gt;1'!BD20</f>
        <v>2.75E-2</v>
      </c>
      <c r="BG113">
        <f>'2020_2021 0-&gt;1'!BE20</f>
        <v>1.3100000000000001E-2</v>
      </c>
      <c r="BH113">
        <f>'2020_2021 0-&gt;1'!BF20</f>
        <v>-2.12E-4</v>
      </c>
      <c r="BI113">
        <f>'2020_2021 0-&gt;1'!BG20</f>
        <v>-2.5799999999999998E-3</v>
      </c>
      <c r="BJ113">
        <f>'2020_2021 0-&gt;1'!BH20</f>
        <v>-2.2599999999999999E-3</v>
      </c>
      <c r="BK113">
        <f>'2020_2021 0-&gt;1'!BI20</f>
        <v>-7.4299999999999995E-4</v>
      </c>
      <c r="BL113">
        <f>'2020_2021 0-&gt;1'!BJ20</f>
        <v>-2.31E-3</v>
      </c>
      <c r="BM113">
        <f>'2020_2021 0-&gt;1'!BK20</f>
        <v>1.97E-3</v>
      </c>
      <c r="BN113">
        <f>'2020_2021 0-&gt;1'!BL20</f>
        <v>8.6800000000000002E-3</v>
      </c>
      <c r="BO113">
        <f>'2020_2021 0-&gt;1'!BM20</f>
        <v>5.96E-3</v>
      </c>
      <c r="BP113">
        <f>'2020_2021 0-&gt;1'!BN20</f>
        <v>1.04E-2</v>
      </c>
      <c r="BQ113">
        <f>'2020_2021 0-&gt;1'!BO20</f>
        <v>6.6499999999999997E-3</v>
      </c>
      <c r="BR113">
        <f>'2020_2021 0-&gt;1'!BP20</f>
        <v>1.2800000000000001E-2</v>
      </c>
      <c r="BS113">
        <f>'2020_2021 0-&gt;1'!BQ20</f>
        <v>1.29E-2</v>
      </c>
      <c r="BT113">
        <f>'2020_2021 0-&gt;1'!BR20</f>
        <v>1.9300000000000001E-2</v>
      </c>
      <c r="BU113">
        <f>'2020_2021 0-&gt;1'!BS20</f>
        <v>2.2499999999999999E-2</v>
      </c>
      <c r="BV113">
        <f>'2020_2021 0-&gt;1'!BT20</f>
        <v>2.6700000000000002E-2</v>
      </c>
      <c r="BW113">
        <f>'2020_2021 0-&gt;1'!BU20</f>
        <v>1.43E-2</v>
      </c>
      <c r="BX113">
        <f>'2020_2021 0-&gt;1'!BV20</f>
        <v>2.0500000000000002E-3</v>
      </c>
      <c r="BY113">
        <f>'2020_2021 0-&gt;1'!BW20</f>
        <v>7.3899999999999999E-3</v>
      </c>
      <c r="BZ113">
        <f>'2020_2021 0-&gt;1'!BX20</f>
        <v>7.5100000000000002E-3</v>
      </c>
      <c r="CA113">
        <f>'2020_2021 0-&gt;1'!BY20</f>
        <v>1.5100000000000001E-2</v>
      </c>
      <c r="CB113">
        <f>'2020_2021 0-&gt;1'!BZ20</f>
        <v>3.56E-2</v>
      </c>
      <c r="CC113">
        <f>'2020_2021 0-&gt;1'!CA20</f>
        <v>4.9700000000000001E-2</v>
      </c>
      <c r="CD113">
        <f>'2020_2021 0-&gt;1'!CB20</f>
        <v>3.73E-2</v>
      </c>
      <c r="CE113">
        <f>'2020_2021 0-&gt;1'!CC20</f>
        <v>1.4500000000000001E-2</v>
      </c>
      <c r="CF113">
        <f>'2020_2021 0-&gt;1'!CD20</f>
        <v>1.5599999999999999E-2</v>
      </c>
      <c r="CG113">
        <f>'2020_2021 0-&gt;1'!CE20</f>
        <v>2.23E-2</v>
      </c>
      <c r="CH113">
        <f>'2020_2021 0-&gt;1'!CF20</f>
        <v>2.5100000000000001E-2</v>
      </c>
      <c r="CI113">
        <f>'2020_2021 0-&gt;1'!CG20</f>
        <v>1.6299999999999999E-2</v>
      </c>
      <c r="CJ113">
        <f>'2020_2021 0-&gt;1'!CH20</f>
        <v>1.35E-2</v>
      </c>
      <c r="CK113">
        <f>'2020_2021 0-&gt;1'!CI20</f>
        <v>7.2700000000000004E-3</v>
      </c>
      <c r="CL113">
        <f>'2020_2021 0-&gt;1'!CJ20</f>
        <v>7.4099999999999999E-3</v>
      </c>
      <c r="CM113">
        <f>'2020_2021 0-&gt;1'!CK20</f>
        <v>4.1599999999999996E-3</v>
      </c>
      <c r="CN113">
        <f>'2020_2021 0-&gt;1'!CL20</f>
        <v>-1.33E-3</v>
      </c>
      <c r="CO113">
        <f>'2020_2021 0-&gt;1'!CM20</f>
        <v>5.64E-3</v>
      </c>
      <c r="CP113">
        <f>'2020_2021 0-&gt;1'!CN20</f>
        <v>-4.9799999999999997E-2</v>
      </c>
      <c r="CQ113">
        <f>'2020_2021 0-&gt;1'!CO20</f>
        <v>-5.6500000000000002E-2</v>
      </c>
      <c r="CR113">
        <f>'2020_2021 0-&gt;1'!CP20</f>
        <v>-0.27900000000000003</v>
      </c>
      <c r="CS113">
        <f>'2020_2021 0-&gt;1'!CQ20</f>
        <v>-2.76E-2</v>
      </c>
      <c r="CT113">
        <f>'2020_2021 0-&gt;1'!CR20</f>
        <v>-2.5999999999999999E-2</v>
      </c>
      <c r="CU113">
        <f>'2020_2021 0-&gt;1'!CS20</f>
        <v>1.9E-2</v>
      </c>
      <c r="CV113">
        <f>'2020_2021 0-&gt;1'!CT20</f>
        <v>0.624</v>
      </c>
      <c r="CW113">
        <f>'2020_2021 0-&gt;1'!CU20</f>
        <v>0.22700000000000001</v>
      </c>
      <c r="CX113">
        <f>'2020_2021 0-&gt;1'!CV20</f>
        <v>8.2000000000000003E-2</v>
      </c>
    </row>
    <row r="114" spans="1:102" x14ac:dyDescent="0.2">
      <c r="A114" t="s">
        <v>214</v>
      </c>
      <c r="B114" t="s">
        <v>219</v>
      </c>
      <c r="C114" t="s">
        <v>223</v>
      </c>
      <c r="D114">
        <f>'2020_2021 0-&gt;1'!B21</f>
        <v>-6.1600000000000001E-4</v>
      </c>
      <c r="E114">
        <f>'2020_2021 0-&gt;1'!C21</f>
        <v>-6.1600000000000001E-4</v>
      </c>
      <c r="F114">
        <f>'2020_2021 0-&gt;1'!D21</f>
        <v>-6.1600000000000001E-4</v>
      </c>
      <c r="G114">
        <f>'2020_2021 0-&gt;1'!E21</f>
        <v>-6.2899999999999998E-2</v>
      </c>
      <c r="H114">
        <f>'2020_2021 0-&gt;1'!F21</f>
        <v>-2.5100000000000001E-2</v>
      </c>
      <c r="I114">
        <f>'2020_2021 0-&gt;1'!G21</f>
        <v>-5.16E-2</v>
      </c>
      <c r="J114">
        <f>'2020_2021 0-&gt;1'!H21</f>
        <v>-4.53E-2</v>
      </c>
      <c r="K114">
        <f>'2020_2021 0-&gt;1'!I21</f>
        <v>-4.0500000000000001E-2</v>
      </c>
      <c r="L114">
        <f>'2020_2021 0-&gt;1'!J21</f>
        <v>-3.1800000000000002E-2</v>
      </c>
      <c r="M114">
        <f>'2020_2021 0-&gt;1'!K21</f>
        <v>-3.27E-2</v>
      </c>
      <c r="N114">
        <f>'2020_2021 0-&gt;1'!L21</f>
        <v>-3.4000000000000002E-2</v>
      </c>
      <c r="O114">
        <f>'2020_2021 0-&gt;1'!M21</f>
        <v>-2.52E-2</v>
      </c>
      <c r="P114">
        <f>'2020_2021 0-&gt;1'!N21</f>
        <v>-1.9900000000000001E-2</v>
      </c>
      <c r="Q114">
        <f>'2020_2021 0-&gt;1'!O21</f>
        <v>-2.2599999999999999E-2</v>
      </c>
      <c r="R114">
        <f>'2020_2021 0-&gt;1'!P21</f>
        <v>-1.26E-2</v>
      </c>
      <c r="S114">
        <f>'2020_2021 0-&gt;1'!Q21</f>
        <v>-0.01</v>
      </c>
      <c r="T114">
        <f>'2020_2021 0-&gt;1'!R21</f>
        <v>-8.9499999999999996E-3</v>
      </c>
      <c r="U114">
        <f>'2020_2021 0-&gt;1'!S21</f>
        <v>-8.3099999999999997E-3</v>
      </c>
      <c r="V114">
        <f>'2020_2021 0-&gt;1'!T21</f>
        <v>-7.1900000000000002E-3</v>
      </c>
      <c r="W114">
        <f>'2020_2021 0-&gt;1'!U21</f>
        <v>-1.14E-2</v>
      </c>
      <c r="X114">
        <f>'2020_2021 0-&gt;1'!V21</f>
        <v>-1.9699999999999999E-2</v>
      </c>
      <c r="Y114">
        <f>'2020_2021 0-&gt;1'!W21</f>
        <v>-1.3899999999999999E-2</v>
      </c>
      <c r="Z114">
        <f>'2020_2021 0-&gt;1'!X21</f>
        <v>-5.9100000000000003E-3</v>
      </c>
      <c r="AA114">
        <f>'2020_2021 0-&gt;1'!Y21</f>
        <v>-7.9500000000000005E-3</v>
      </c>
      <c r="AB114">
        <f>'2020_2021 0-&gt;1'!Z21</f>
        <v>-9.3399999999999993E-3</v>
      </c>
      <c r="AC114">
        <f>'2020_2021 0-&gt;1'!AA21</f>
        <v>-1.2500000000000001E-2</v>
      </c>
      <c r="AD114">
        <f>'2020_2021 0-&gt;1'!AB21</f>
        <v>-1.15E-2</v>
      </c>
      <c r="AE114">
        <f>'2020_2021 0-&gt;1'!AC21</f>
        <v>-1.24E-2</v>
      </c>
      <c r="AF114">
        <f>'2020_2021 0-&gt;1'!AD21</f>
        <v>-1.6199999999999999E-2</v>
      </c>
      <c r="AG114">
        <f>'2020_2021 0-&gt;1'!AE21</f>
        <v>-1.1599999999999999E-2</v>
      </c>
      <c r="AH114">
        <f>'2020_2021 0-&gt;1'!AF21</f>
        <v>-8.5500000000000003E-3</v>
      </c>
      <c r="AI114">
        <f>'2020_2021 0-&gt;1'!AG21</f>
        <v>-1.2500000000000001E-2</v>
      </c>
      <c r="AJ114">
        <f>'2020_2021 0-&gt;1'!AH21</f>
        <v>-1.17E-2</v>
      </c>
      <c r="AK114">
        <f>'2020_2021 0-&gt;1'!AI21</f>
        <v>-1.1299999999999999E-2</v>
      </c>
      <c r="AL114">
        <f>'2020_2021 0-&gt;1'!AJ21</f>
        <v>-7.6400000000000001E-3</v>
      </c>
      <c r="AM114">
        <f>'2020_2021 0-&gt;1'!AK21</f>
        <v>-7.5900000000000004E-3</v>
      </c>
      <c r="AN114">
        <f>'2020_2021 0-&gt;1'!AL21</f>
        <v>-9.4500000000000001E-3</v>
      </c>
      <c r="AO114">
        <f>'2020_2021 0-&gt;1'!AM21</f>
        <v>-1.0699999999999999E-2</v>
      </c>
      <c r="AP114">
        <f>'2020_2021 0-&gt;1'!AN21</f>
        <v>-9.2499999999999995E-3</v>
      </c>
      <c r="AQ114">
        <f>'2020_2021 0-&gt;1'!AO21</f>
        <v>-1.2E-2</v>
      </c>
      <c r="AR114">
        <f>'2020_2021 0-&gt;1'!AP21</f>
        <v>-1.06E-2</v>
      </c>
      <c r="AS114">
        <f>'2020_2021 0-&gt;1'!AQ21</f>
        <v>-9.2800000000000001E-3</v>
      </c>
      <c r="AT114">
        <f>'2020_2021 0-&gt;1'!AR21</f>
        <v>-7.9000000000000008E-3</v>
      </c>
      <c r="AU114">
        <f>'2020_2021 0-&gt;1'!AS21</f>
        <v>-5.9699999999999996E-3</v>
      </c>
      <c r="AV114">
        <f>'2020_2021 0-&gt;1'!AT21</f>
        <v>-1.44E-2</v>
      </c>
      <c r="AW114">
        <f>'2020_2021 0-&gt;1'!AU21</f>
        <v>-1.2E-2</v>
      </c>
      <c r="AX114">
        <f>'2020_2021 0-&gt;1'!AV21</f>
        <v>-8.3599999999999994E-3</v>
      </c>
      <c r="AY114">
        <f>'2020_2021 0-&gt;1'!AW21</f>
        <v>-1.3899999999999999E-2</v>
      </c>
      <c r="AZ114">
        <f>'2020_2021 0-&gt;1'!AX21</f>
        <v>-1.2999999999999999E-2</v>
      </c>
      <c r="BA114">
        <f>'2020_2021 0-&gt;1'!AY21</f>
        <v>-1.41E-2</v>
      </c>
      <c r="BB114">
        <f>'2020_2021 0-&gt;1'!AZ21</f>
        <v>-1.52E-2</v>
      </c>
      <c r="BC114">
        <f>'2020_2021 0-&gt;1'!BA21</f>
        <v>-8.3099999999999997E-3</v>
      </c>
      <c r="BD114">
        <f>'2020_2021 0-&gt;1'!BB21</f>
        <v>-7.9100000000000004E-3</v>
      </c>
      <c r="BE114">
        <f>'2020_2021 0-&gt;1'!BC21</f>
        <v>-1.0699999999999999E-2</v>
      </c>
      <c r="BF114">
        <f>'2020_2021 0-&gt;1'!BD21</f>
        <v>-1.6199999999999999E-2</v>
      </c>
      <c r="BG114">
        <f>'2020_2021 0-&gt;1'!BE21</f>
        <v>-1.21E-2</v>
      </c>
      <c r="BH114">
        <f>'2020_2021 0-&gt;1'!BF21</f>
        <v>-6.7699999999999998E-4</v>
      </c>
      <c r="BI114">
        <f>'2020_2021 0-&gt;1'!BG21</f>
        <v>-9.7099999999999999E-3</v>
      </c>
      <c r="BJ114">
        <f>'2020_2021 0-&gt;1'!BH21</f>
        <v>-2.76E-2</v>
      </c>
      <c r="BK114">
        <f>'2020_2021 0-&gt;1'!BI21</f>
        <v>-1.6199999999999999E-2</v>
      </c>
      <c r="BL114">
        <f>'2020_2021 0-&gt;1'!BJ21</f>
        <v>-1.6E-2</v>
      </c>
      <c r="BM114">
        <f>'2020_2021 0-&gt;1'!BK21</f>
        <v>-1.2999999999999999E-2</v>
      </c>
      <c r="BN114">
        <f>'2020_2021 0-&gt;1'!BL21</f>
        <v>-1.3299999999999999E-2</v>
      </c>
      <c r="BO114">
        <f>'2020_2021 0-&gt;1'!BM21</f>
        <v>-1.18E-2</v>
      </c>
      <c r="BP114">
        <f>'2020_2021 0-&gt;1'!BN21</f>
        <v>-0.02</v>
      </c>
      <c r="BQ114">
        <f>'2020_2021 0-&gt;1'!BO21</f>
        <v>-1.21E-2</v>
      </c>
      <c r="BR114">
        <f>'2020_2021 0-&gt;1'!BP21</f>
        <v>-1.8700000000000001E-2</v>
      </c>
      <c r="BS114">
        <f>'2020_2021 0-&gt;1'!BQ21</f>
        <v>-2.0899999999999998E-2</v>
      </c>
      <c r="BT114">
        <f>'2020_2021 0-&gt;1'!BR21</f>
        <v>-1.6E-2</v>
      </c>
      <c r="BU114">
        <f>'2020_2021 0-&gt;1'!BS21</f>
        <v>-2.0199999999999999E-2</v>
      </c>
      <c r="BV114">
        <f>'2020_2021 0-&gt;1'!BT21</f>
        <v>-2.3300000000000001E-2</v>
      </c>
      <c r="BW114">
        <f>'2020_2021 0-&gt;1'!BU21</f>
        <v>-1.2999999999999999E-2</v>
      </c>
      <c r="BX114">
        <f>'2020_2021 0-&gt;1'!BV21</f>
        <v>-2.12E-2</v>
      </c>
      <c r="BY114">
        <f>'2020_2021 0-&gt;1'!BW21</f>
        <v>-3.5900000000000001E-2</v>
      </c>
      <c r="BZ114">
        <f>'2020_2021 0-&gt;1'!BX21</f>
        <v>-2.29E-2</v>
      </c>
      <c r="CA114">
        <f>'2020_2021 0-&gt;1'!BY21</f>
        <v>-2.7099999999999999E-2</v>
      </c>
      <c r="CB114">
        <f>'2020_2021 0-&gt;1'!BZ21</f>
        <v>-2.24E-2</v>
      </c>
      <c r="CC114">
        <f>'2020_2021 0-&gt;1'!CA21</f>
        <v>-2.1999999999999999E-2</v>
      </c>
      <c r="CD114">
        <f>'2020_2021 0-&gt;1'!CB21</f>
        <v>-2.53E-2</v>
      </c>
      <c r="CE114">
        <f>'2020_2021 0-&gt;1'!CC21</f>
        <v>-2.07E-2</v>
      </c>
      <c r="CF114">
        <f>'2020_2021 0-&gt;1'!CD21</f>
        <v>-2.1600000000000001E-2</v>
      </c>
      <c r="CG114">
        <f>'2020_2021 0-&gt;1'!CE21</f>
        <v>-2.3400000000000001E-2</v>
      </c>
      <c r="CH114">
        <f>'2020_2021 0-&gt;1'!CF21</f>
        <v>-2.4899999999999999E-2</v>
      </c>
      <c r="CI114">
        <f>'2020_2021 0-&gt;1'!CG21</f>
        <v>-3.6999999999999998E-2</v>
      </c>
      <c r="CJ114">
        <f>'2020_2021 0-&gt;1'!CH21</f>
        <v>-4.2500000000000003E-2</v>
      </c>
      <c r="CK114">
        <f>'2020_2021 0-&gt;1'!CI21</f>
        <v>-5.5399999999999998E-2</v>
      </c>
      <c r="CL114">
        <f>'2020_2021 0-&gt;1'!CJ21</f>
        <v>-5.4800000000000001E-2</v>
      </c>
      <c r="CM114">
        <f>'2020_2021 0-&gt;1'!CK21</f>
        <v>-5.4600000000000003E-2</v>
      </c>
      <c r="CN114">
        <f>'2020_2021 0-&gt;1'!CL21</f>
        <v>-6.8199999999999997E-2</v>
      </c>
      <c r="CO114">
        <f>'2020_2021 0-&gt;1'!CM21</f>
        <v>-8.1600000000000006E-2</v>
      </c>
      <c r="CP114">
        <f>'2020_2021 0-&gt;1'!CN21</f>
        <v>-0.12</v>
      </c>
      <c r="CQ114">
        <f>'2020_2021 0-&gt;1'!CO21</f>
        <v>-0.128</v>
      </c>
      <c r="CR114">
        <f>'2020_2021 0-&gt;1'!CP21</f>
        <v>-0.223</v>
      </c>
      <c r="CS114">
        <f>'2020_2021 0-&gt;1'!CQ21</f>
        <v>-4.5499999999999999E-2</v>
      </c>
      <c r="CT114">
        <f>'2020_2021 0-&gt;1'!CR21</f>
        <v>-2.0500000000000001E-2</v>
      </c>
      <c r="CU114">
        <f>'2020_2021 0-&gt;1'!CS21</f>
        <v>-3.8600000000000002E-2</v>
      </c>
      <c r="CV114">
        <f>'2020_2021 0-&gt;1'!CT21</f>
        <v>9.6299999999999997E-2</v>
      </c>
      <c r="CW114">
        <f>'2020_2021 0-&gt;1'!CU21</f>
        <v>1.5399999999999999E-3</v>
      </c>
      <c r="CX114">
        <f>'2020_2021 0-&gt;1'!CV21</f>
        <v>1.5100000000000001E-2</v>
      </c>
    </row>
    <row r="115" spans="1:102" x14ac:dyDescent="0.2">
      <c r="A115" t="s">
        <v>215</v>
      </c>
      <c r="B115" t="s">
        <v>219</v>
      </c>
      <c r="C115" t="s">
        <v>223</v>
      </c>
      <c r="D115">
        <f>'2020_2021 0-&gt;1'!B22</f>
        <v>1.23E-2</v>
      </c>
      <c r="E115">
        <f>'2020_2021 0-&gt;1'!C22</f>
        <v>1.23E-2</v>
      </c>
      <c r="F115">
        <f>'2020_2021 0-&gt;1'!D22</f>
        <v>1.23E-2</v>
      </c>
      <c r="G115">
        <f>'2020_2021 0-&gt;1'!E22</f>
        <v>-6.0299999999999998E-3</v>
      </c>
      <c r="H115">
        <f>'2020_2021 0-&gt;1'!F22</f>
        <v>9.5000000000000001E-2</v>
      </c>
      <c r="I115">
        <f>'2020_2021 0-&gt;1'!G22</f>
        <v>5.6099999999999997E-2</v>
      </c>
      <c r="J115">
        <f>'2020_2021 0-&gt;1'!H22</f>
        <v>9.2699999999999998E-4</v>
      </c>
      <c r="K115">
        <f>'2020_2021 0-&gt;1'!I22</f>
        <v>-5.1700000000000003E-2</v>
      </c>
      <c r="L115">
        <f>'2020_2021 0-&gt;1'!J22</f>
        <v>-8.0699999999999994E-2</v>
      </c>
      <c r="M115">
        <f>'2020_2021 0-&gt;1'!K22</f>
        <v>-5.8599999999999999E-2</v>
      </c>
      <c r="N115">
        <f>'2020_2021 0-&gt;1'!L22</f>
        <v>-4.9700000000000001E-2</v>
      </c>
      <c r="O115">
        <f>'2020_2021 0-&gt;1'!M22</f>
        <v>-4.1200000000000001E-2</v>
      </c>
      <c r="P115">
        <f>'2020_2021 0-&gt;1'!N22</f>
        <v>-2.6200000000000001E-2</v>
      </c>
      <c r="Q115">
        <f>'2020_2021 0-&gt;1'!O22</f>
        <v>-1.72E-2</v>
      </c>
      <c r="R115">
        <f>'2020_2021 0-&gt;1'!P22</f>
        <v>-6.3200000000000001E-3</v>
      </c>
      <c r="S115">
        <f>'2020_2021 0-&gt;1'!Q22</f>
        <v>-1.2699999999999999E-2</v>
      </c>
      <c r="T115">
        <f>'2020_2021 0-&gt;1'!R22</f>
        <v>-1.3100000000000001E-2</v>
      </c>
      <c r="U115">
        <f>'2020_2021 0-&gt;1'!S22</f>
        <v>-1.24E-2</v>
      </c>
      <c r="V115">
        <f>'2020_2021 0-&gt;1'!T22</f>
        <v>-1.06E-2</v>
      </c>
      <c r="W115">
        <f>'2020_2021 0-&gt;1'!U22</f>
        <v>-8.4899999999999993E-3</v>
      </c>
      <c r="X115">
        <f>'2020_2021 0-&gt;1'!V22</f>
        <v>-8.1200000000000005E-3</v>
      </c>
      <c r="Y115">
        <f>'2020_2021 0-&gt;1'!W22</f>
        <v>-2.2499999999999998E-3</v>
      </c>
      <c r="Z115">
        <f>'2020_2021 0-&gt;1'!X22</f>
        <v>-2.7200000000000002E-3</v>
      </c>
      <c r="AA115">
        <f>'2020_2021 0-&gt;1'!Y22</f>
        <v>-1.6999999999999999E-3</v>
      </c>
      <c r="AB115">
        <f>'2020_2021 0-&gt;1'!Z22</f>
        <v>-2.1199999999999999E-3</v>
      </c>
      <c r="AC115">
        <f>'2020_2021 0-&gt;1'!AA22</f>
        <v>2.5799999999999998E-3</v>
      </c>
      <c r="AD115">
        <f>'2020_2021 0-&gt;1'!AB22</f>
        <v>2.0400000000000001E-3</v>
      </c>
      <c r="AE115">
        <f>'2020_2021 0-&gt;1'!AC22</f>
        <v>-2.5500000000000002E-3</v>
      </c>
      <c r="AF115">
        <f>'2020_2021 0-&gt;1'!AD22</f>
        <v>-2.8999999999999998E-3</v>
      </c>
      <c r="AG115">
        <f>'2020_2021 0-&gt;1'!AE22</f>
        <v>-5.2599999999999999E-3</v>
      </c>
      <c r="AH115">
        <f>'2020_2021 0-&gt;1'!AF22</f>
        <v>-4.4600000000000004E-3</v>
      </c>
      <c r="AI115">
        <f>'2020_2021 0-&gt;1'!AG22</f>
        <v>5.9500000000000004E-3</v>
      </c>
      <c r="AJ115">
        <f>'2020_2021 0-&gt;1'!AH22</f>
        <v>1.2200000000000001E-2</v>
      </c>
      <c r="AK115">
        <f>'2020_2021 0-&gt;1'!AI22</f>
        <v>1.41E-2</v>
      </c>
      <c r="AL115">
        <f>'2020_2021 0-&gt;1'!AJ22</f>
        <v>1.0999999999999999E-2</v>
      </c>
      <c r="AM115">
        <f>'2020_2021 0-&gt;1'!AK22</f>
        <v>1.21E-2</v>
      </c>
      <c r="AN115">
        <f>'2020_2021 0-&gt;1'!AL22</f>
        <v>1.34E-2</v>
      </c>
      <c r="AO115">
        <f>'2020_2021 0-&gt;1'!AM22</f>
        <v>1.23E-2</v>
      </c>
      <c r="AP115">
        <f>'2020_2021 0-&gt;1'!AN22</f>
        <v>1.0699999999999999E-2</v>
      </c>
      <c r="AQ115">
        <f>'2020_2021 0-&gt;1'!AO22</f>
        <v>1.23E-2</v>
      </c>
      <c r="AR115">
        <f>'2020_2021 0-&gt;1'!AP22</f>
        <v>1.83E-2</v>
      </c>
      <c r="AS115">
        <f>'2020_2021 0-&gt;1'!AQ22</f>
        <v>1.4200000000000001E-2</v>
      </c>
      <c r="AT115">
        <f>'2020_2021 0-&gt;1'!AR22</f>
        <v>1.6199999999999999E-2</v>
      </c>
      <c r="AU115">
        <f>'2020_2021 0-&gt;1'!AS22</f>
        <v>1.37E-2</v>
      </c>
      <c r="AV115">
        <f>'2020_2021 0-&gt;1'!AT22</f>
        <v>1.15E-2</v>
      </c>
      <c r="AW115">
        <f>'2020_2021 0-&gt;1'!AU22</f>
        <v>9.4599999999999997E-3</v>
      </c>
      <c r="AX115">
        <f>'2020_2021 0-&gt;1'!AV22</f>
        <v>9.6900000000000007E-3</v>
      </c>
      <c r="AY115">
        <f>'2020_2021 0-&gt;1'!AW22</f>
        <v>6.11E-3</v>
      </c>
      <c r="AZ115">
        <f>'2020_2021 0-&gt;1'!AX22</f>
        <v>6.0200000000000002E-3</v>
      </c>
      <c r="BA115">
        <f>'2020_2021 0-&gt;1'!AY22</f>
        <v>1.34E-2</v>
      </c>
      <c r="BB115">
        <f>'2020_2021 0-&gt;1'!AZ22</f>
        <v>1.04E-2</v>
      </c>
      <c r="BC115">
        <f>'2020_2021 0-&gt;1'!BA22</f>
        <v>1.9699999999999999E-2</v>
      </c>
      <c r="BD115">
        <f>'2020_2021 0-&gt;1'!BB22</f>
        <v>2.41E-2</v>
      </c>
      <c r="BE115">
        <f>'2020_2021 0-&gt;1'!BC22</f>
        <v>2.24E-2</v>
      </c>
      <c r="BF115">
        <f>'2020_2021 0-&gt;1'!BD22</f>
        <v>1.8800000000000001E-2</v>
      </c>
      <c r="BG115">
        <f>'2020_2021 0-&gt;1'!BE22</f>
        <v>8.6599999999999993E-3</v>
      </c>
      <c r="BH115">
        <f>'2020_2021 0-&gt;1'!BF22</f>
        <v>7.5900000000000004E-3</v>
      </c>
      <c r="BI115">
        <f>'2020_2021 0-&gt;1'!BG22</f>
        <v>9.8200000000000006E-3</v>
      </c>
      <c r="BJ115">
        <f>'2020_2021 0-&gt;1'!BH22</f>
        <v>8.4499999999999992E-3</v>
      </c>
      <c r="BK115">
        <f>'2020_2021 0-&gt;1'!BI22</f>
        <v>7.4099999999999999E-3</v>
      </c>
      <c r="BL115">
        <f>'2020_2021 0-&gt;1'!BJ22</f>
        <v>1.01E-2</v>
      </c>
      <c r="BM115">
        <f>'2020_2021 0-&gt;1'!BK22</f>
        <v>1.12E-2</v>
      </c>
      <c r="BN115">
        <f>'2020_2021 0-&gt;1'!BL22</f>
        <v>1.46E-2</v>
      </c>
      <c r="BO115">
        <f>'2020_2021 0-&gt;1'!BM22</f>
        <v>1.4999999999999999E-2</v>
      </c>
      <c r="BP115">
        <f>'2020_2021 0-&gt;1'!BN22</f>
        <v>1.4999999999999999E-2</v>
      </c>
      <c r="BQ115">
        <f>'2020_2021 0-&gt;1'!BO22</f>
        <v>1.61E-2</v>
      </c>
      <c r="BR115">
        <f>'2020_2021 0-&gt;1'!BP22</f>
        <v>3.0999999999999999E-3</v>
      </c>
      <c r="BS115">
        <f>'2020_2021 0-&gt;1'!BQ22</f>
        <v>1.15E-3</v>
      </c>
      <c r="BT115">
        <f>'2020_2021 0-&gt;1'!BR22</f>
        <v>-6.78E-4</v>
      </c>
      <c r="BU115">
        <f>'2020_2021 0-&gt;1'!BS22</f>
        <v>9.5200000000000007E-3</v>
      </c>
      <c r="BV115">
        <f>'2020_2021 0-&gt;1'!BT22</f>
        <v>4.0000000000000001E-3</v>
      </c>
      <c r="BW115">
        <f>'2020_2021 0-&gt;1'!BU22</f>
        <v>-1.9800000000000002E-2</v>
      </c>
      <c r="BX115">
        <f>'2020_2021 0-&gt;1'!BV22</f>
        <v>-1.9800000000000002E-2</v>
      </c>
      <c r="BY115">
        <f>'2020_2021 0-&gt;1'!BW22</f>
        <v>-2.5100000000000001E-2</v>
      </c>
      <c r="BZ115">
        <f>'2020_2021 0-&gt;1'!BX22</f>
        <v>-2.4199999999999999E-2</v>
      </c>
      <c r="CA115">
        <f>'2020_2021 0-&gt;1'!BY22</f>
        <v>-3.6600000000000001E-2</v>
      </c>
      <c r="CB115">
        <f>'2020_2021 0-&gt;1'!BZ22</f>
        <v>-3.73E-2</v>
      </c>
      <c r="CC115">
        <f>'2020_2021 0-&gt;1'!CA22</f>
        <v>-3.1800000000000002E-2</v>
      </c>
      <c r="CD115">
        <f>'2020_2021 0-&gt;1'!CB22</f>
        <v>-1.66E-2</v>
      </c>
      <c r="CE115">
        <f>'2020_2021 0-&gt;1'!CC22</f>
        <v>-2.3400000000000001E-2</v>
      </c>
      <c r="CF115">
        <f>'2020_2021 0-&gt;1'!CD22</f>
        <v>-2.92E-2</v>
      </c>
      <c r="CG115">
        <f>'2020_2021 0-&gt;1'!CE22</f>
        <v>-3.61E-2</v>
      </c>
      <c r="CH115">
        <f>'2020_2021 0-&gt;1'!CF22</f>
        <v>-3.3300000000000003E-2</v>
      </c>
      <c r="CI115">
        <f>'2020_2021 0-&gt;1'!CG22</f>
        <v>-4.0599999999999997E-2</v>
      </c>
      <c r="CJ115">
        <f>'2020_2021 0-&gt;1'!CH22</f>
        <v>-5.2699999999999997E-2</v>
      </c>
      <c r="CK115">
        <f>'2020_2021 0-&gt;1'!CI22</f>
        <v>-6.1899999999999997E-2</v>
      </c>
      <c r="CL115">
        <f>'2020_2021 0-&gt;1'!CJ22</f>
        <v>-5.8599999999999999E-2</v>
      </c>
      <c r="CM115">
        <f>'2020_2021 0-&gt;1'!CK22</f>
        <v>-6.2100000000000002E-2</v>
      </c>
      <c r="CN115">
        <f>'2020_2021 0-&gt;1'!CL22</f>
        <v>-6.3899999999999998E-2</v>
      </c>
      <c r="CO115">
        <f>'2020_2021 0-&gt;1'!CM22</f>
        <v>-7.7399999999999997E-2</v>
      </c>
      <c r="CP115">
        <f>'2020_2021 0-&gt;1'!CN22</f>
        <v>-0.11899999999999999</v>
      </c>
      <c r="CQ115">
        <f>'2020_2021 0-&gt;1'!CO22</f>
        <v>-0.13300000000000001</v>
      </c>
      <c r="CR115">
        <f>'2020_2021 0-&gt;1'!CP22</f>
        <v>-0.20100000000000001</v>
      </c>
      <c r="CS115">
        <f>'2020_2021 0-&gt;1'!CQ22</f>
        <v>-5.04E-2</v>
      </c>
      <c r="CT115">
        <f>'2020_2021 0-&gt;1'!CR22</f>
        <v>-2.9600000000000001E-2</v>
      </c>
      <c r="CU115">
        <f>'2020_2021 0-&gt;1'!CS22</f>
        <v>-3.6299999999999999E-2</v>
      </c>
      <c r="CV115">
        <f>'2020_2021 0-&gt;1'!CT22</f>
        <v>7.6499999999999999E-2</v>
      </c>
      <c r="CW115">
        <f>'2020_2021 0-&gt;1'!CU22</f>
        <v>2.8299999999999999E-2</v>
      </c>
      <c r="CX115">
        <f>'2020_2021 0-&gt;1'!CV22</f>
        <v>4.9200000000000001E-2</v>
      </c>
    </row>
    <row r="116" spans="1:102" x14ac:dyDescent="0.2">
      <c r="A116" t="s">
        <v>216</v>
      </c>
      <c r="B116" t="s">
        <v>219</v>
      </c>
      <c r="C116" t="s">
        <v>223</v>
      </c>
      <c r="D116">
        <f>'2020_2021 0-&gt;1'!B23</f>
        <v>2.01E-2</v>
      </c>
      <c r="E116">
        <f>'2020_2021 0-&gt;1'!C23</f>
        <v>0.02</v>
      </c>
      <c r="F116">
        <f>'2020_2021 0-&gt;1'!D23</f>
        <v>1.9900000000000001E-2</v>
      </c>
      <c r="G116">
        <f>'2020_2021 0-&gt;1'!E23</f>
        <v>-0.48799999999999999</v>
      </c>
      <c r="H116">
        <f>'2020_2021 0-&gt;1'!F23</f>
        <v>0.32500000000000001</v>
      </c>
      <c r="I116">
        <f>'2020_2021 0-&gt;1'!G23</f>
        <v>0.505</v>
      </c>
      <c r="J116">
        <f>'2020_2021 0-&gt;1'!H23</f>
        <v>0.59199999999999997</v>
      </c>
      <c r="K116">
        <f>'2020_2021 0-&gt;1'!I23</f>
        <v>0.55100000000000005</v>
      </c>
      <c r="L116">
        <f>'2020_2021 0-&gt;1'!J23</f>
        <v>0.63100000000000001</v>
      </c>
      <c r="M116">
        <f>'2020_2021 0-&gt;1'!K23</f>
        <v>0.57099999999999995</v>
      </c>
      <c r="N116">
        <f>'2020_2021 0-&gt;1'!L23</f>
        <v>0.47299999999999998</v>
      </c>
      <c r="O116">
        <f>'2020_2021 0-&gt;1'!M23</f>
        <v>0.46700000000000003</v>
      </c>
      <c r="P116">
        <f>'2020_2021 0-&gt;1'!N23</f>
        <v>0.30599999999999999</v>
      </c>
      <c r="Q116">
        <f>'2020_2021 0-&gt;1'!O23</f>
        <v>0.248</v>
      </c>
      <c r="R116">
        <f>'2020_2021 0-&gt;1'!P23</f>
        <v>0.122</v>
      </c>
      <c r="S116">
        <f>'2020_2021 0-&gt;1'!Q23</f>
        <v>0.24</v>
      </c>
      <c r="T116">
        <f>'2020_2021 0-&gt;1'!R23</f>
        <v>0.219</v>
      </c>
      <c r="U116">
        <f>'2020_2021 0-&gt;1'!S23</f>
        <v>0.26</v>
      </c>
      <c r="V116">
        <f>'2020_2021 0-&gt;1'!T23</f>
        <v>0.20599999999999999</v>
      </c>
      <c r="W116">
        <f>'2020_2021 0-&gt;1'!U23</f>
        <v>0.32200000000000001</v>
      </c>
      <c r="X116">
        <f>'2020_2021 0-&gt;1'!V23</f>
        <v>0.17399999999999999</v>
      </c>
      <c r="Y116">
        <f>'2020_2021 0-&gt;1'!W23</f>
        <v>0.13800000000000001</v>
      </c>
      <c r="Z116">
        <f>'2020_2021 0-&gt;1'!X23</f>
        <v>0.16</v>
      </c>
      <c r="AA116">
        <f>'2020_2021 0-&gt;1'!Y23</f>
        <v>0.12</v>
      </c>
      <c r="AB116">
        <f>'2020_2021 0-&gt;1'!Z23</f>
        <v>0.18099999999999999</v>
      </c>
      <c r="AC116">
        <f>'2020_2021 0-&gt;1'!AA23</f>
        <v>0.182</v>
      </c>
      <c r="AD116">
        <f>'2020_2021 0-&gt;1'!AB23</f>
        <v>0.186</v>
      </c>
      <c r="AE116">
        <f>'2020_2021 0-&gt;1'!AC23</f>
        <v>0.188</v>
      </c>
      <c r="AF116">
        <f>'2020_2021 0-&gt;1'!AD23</f>
        <v>0.20499999999999999</v>
      </c>
      <c r="AG116">
        <f>'2020_2021 0-&gt;1'!AE23</f>
        <v>0.17399999999999999</v>
      </c>
      <c r="AH116">
        <f>'2020_2021 0-&gt;1'!AF23</f>
        <v>0.161</v>
      </c>
      <c r="AI116">
        <f>'2020_2021 0-&gt;1'!AG23</f>
        <v>0.14399999999999999</v>
      </c>
      <c r="AJ116">
        <f>'2020_2021 0-&gt;1'!AH23</f>
        <v>0.15</v>
      </c>
      <c r="AK116">
        <f>'2020_2021 0-&gt;1'!AI23</f>
        <v>0.115</v>
      </c>
      <c r="AL116">
        <f>'2020_2021 0-&gt;1'!AJ23</f>
        <v>7.0999999999999994E-2</v>
      </c>
      <c r="AM116">
        <f>'2020_2021 0-&gt;1'!AK23</f>
        <v>3.4200000000000001E-2</v>
      </c>
      <c r="AN116">
        <f>'2020_2021 0-&gt;1'!AL23</f>
        <v>3.1899999999999998E-2</v>
      </c>
      <c r="AO116">
        <f>'2020_2021 0-&gt;1'!AM23</f>
        <v>6.6900000000000001E-2</v>
      </c>
      <c r="AP116">
        <f>'2020_2021 0-&gt;1'!AN23</f>
        <v>3.1399999999999997E-2</v>
      </c>
      <c r="AQ116">
        <f>'2020_2021 0-&gt;1'!AO23</f>
        <v>4.4699999999999997E-2</v>
      </c>
      <c r="AR116">
        <f>'2020_2021 0-&gt;1'!AP23</f>
        <v>5.5399999999999998E-2</v>
      </c>
      <c r="AS116">
        <f>'2020_2021 0-&gt;1'!AQ23</f>
        <v>2.1499999999999998E-2</v>
      </c>
      <c r="AT116">
        <f>'2020_2021 0-&gt;1'!AR23</f>
        <v>3.8399999999999997E-2</v>
      </c>
      <c r="AU116">
        <f>'2020_2021 0-&gt;1'!AS23</f>
        <v>2.4299999999999999E-2</v>
      </c>
      <c r="AV116">
        <f>'2020_2021 0-&gt;1'!AT23</f>
        <v>5.3600000000000002E-2</v>
      </c>
      <c r="AW116">
        <f>'2020_2021 0-&gt;1'!AU23</f>
        <v>1.2800000000000001E-2</v>
      </c>
      <c r="AX116">
        <f>'2020_2021 0-&gt;1'!AV23</f>
        <v>1.03E-2</v>
      </c>
      <c r="AY116">
        <f>'2020_2021 0-&gt;1'!AW23</f>
        <v>1.4500000000000001E-2</v>
      </c>
      <c r="AZ116">
        <f>'2020_2021 0-&gt;1'!AX23</f>
        <v>8.6200000000000003E-4</v>
      </c>
      <c r="BA116">
        <f>'2020_2021 0-&gt;1'!AY23</f>
        <v>-3.3000000000000002E-2</v>
      </c>
      <c r="BB116">
        <f>'2020_2021 0-&gt;1'!AZ23</f>
        <v>-5.3600000000000002E-2</v>
      </c>
      <c r="BC116">
        <f>'2020_2021 0-&gt;1'!BA23</f>
        <v>-8.2299999999999998E-2</v>
      </c>
      <c r="BD116">
        <f>'2020_2021 0-&gt;1'!BB23</f>
        <v>-7.51E-2</v>
      </c>
      <c r="BE116">
        <f>'2020_2021 0-&gt;1'!BC23</f>
        <v>-0.108</v>
      </c>
      <c r="BF116">
        <f>'2020_2021 0-&gt;1'!BD23</f>
        <v>-0.126</v>
      </c>
      <c r="BG116">
        <f>'2020_2021 0-&gt;1'!BE23</f>
        <v>-8.5800000000000001E-2</v>
      </c>
      <c r="BH116">
        <f>'2020_2021 0-&gt;1'!BF23</f>
        <v>-3.4000000000000002E-2</v>
      </c>
      <c r="BI116">
        <f>'2020_2021 0-&gt;1'!BG23</f>
        <v>1.37E-2</v>
      </c>
      <c r="BJ116">
        <f>'2020_2021 0-&gt;1'!BH23</f>
        <v>4.3E-3</v>
      </c>
      <c r="BK116">
        <f>'2020_2021 0-&gt;1'!BI23</f>
        <v>2.3599999999999999E-2</v>
      </c>
      <c r="BL116">
        <f>'2020_2021 0-&gt;1'!BJ23</f>
        <v>8.0100000000000005E-2</v>
      </c>
      <c r="BM116">
        <f>'2020_2021 0-&gt;1'!BK23</f>
        <v>0.113</v>
      </c>
      <c r="BN116">
        <f>'2020_2021 0-&gt;1'!BL23</f>
        <v>4.8399999999999999E-2</v>
      </c>
      <c r="BO116">
        <f>'2020_2021 0-&gt;1'!BM23</f>
        <v>1.4999999999999999E-2</v>
      </c>
      <c r="BP116">
        <f>'2020_2021 0-&gt;1'!BN23</f>
        <v>-4.2500000000000003E-2</v>
      </c>
      <c r="BQ116">
        <f>'2020_2021 0-&gt;1'!BO23</f>
        <v>-8.3500000000000005E-2</v>
      </c>
      <c r="BR116">
        <f>'2020_2021 0-&gt;1'!BP23</f>
        <v>-0.114</v>
      </c>
      <c r="BS116">
        <f>'2020_2021 0-&gt;1'!BQ23</f>
        <v>-0.14399999999999999</v>
      </c>
      <c r="BT116">
        <f>'2020_2021 0-&gt;1'!BR23</f>
        <v>-0.16300000000000001</v>
      </c>
      <c r="BU116">
        <f>'2020_2021 0-&gt;1'!BS23</f>
        <v>-0.186</v>
      </c>
      <c r="BV116">
        <f>'2020_2021 0-&gt;1'!BT23</f>
        <v>-0.16600000000000001</v>
      </c>
      <c r="BW116">
        <f>'2020_2021 0-&gt;1'!BU23</f>
        <v>-0.11700000000000001</v>
      </c>
      <c r="BX116">
        <f>'2020_2021 0-&gt;1'!BV23</f>
        <v>-4.4200000000000003E-2</v>
      </c>
      <c r="BY116">
        <f>'2020_2021 0-&gt;1'!BW23</f>
        <v>4.4299999999999999E-2</v>
      </c>
      <c r="BZ116">
        <f>'2020_2021 0-&gt;1'!BX23</f>
        <v>8.8599999999999998E-2</v>
      </c>
      <c r="CA116">
        <f>'2020_2021 0-&gt;1'!BY23</f>
        <v>5.8799999999999998E-2</v>
      </c>
      <c r="CB116">
        <f>'2020_2021 0-&gt;1'!BZ23</f>
        <v>-0.107</v>
      </c>
      <c r="CC116">
        <f>'2020_2021 0-&gt;1'!CA23</f>
        <v>-0.23100000000000001</v>
      </c>
      <c r="CD116">
        <f>'2020_2021 0-&gt;1'!CB23</f>
        <v>-0.23499999999999999</v>
      </c>
      <c r="CE116">
        <f>'2020_2021 0-&gt;1'!CC23</f>
        <v>-9.8500000000000004E-2</v>
      </c>
      <c r="CF116">
        <f>'2020_2021 0-&gt;1'!CD23</f>
        <v>-2.1999999999999999E-2</v>
      </c>
      <c r="CG116">
        <f>'2020_2021 0-&gt;1'!CE23</f>
        <v>-4.3999999999999997E-2</v>
      </c>
      <c r="CH116">
        <f>'2020_2021 0-&gt;1'!CF23</f>
        <v>-0.11799999999999999</v>
      </c>
      <c r="CI116">
        <f>'2020_2021 0-&gt;1'!CG23</f>
        <v>-5.7700000000000001E-2</v>
      </c>
      <c r="CJ116">
        <f>'2020_2021 0-&gt;1'!CH23</f>
        <v>1.2500000000000001E-2</v>
      </c>
      <c r="CK116">
        <f>'2020_2021 0-&gt;1'!CI23</f>
        <v>5.8400000000000001E-2</v>
      </c>
      <c r="CL116">
        <f>'2020_2021 0-&gt;1'!CJ23</f>
        <v>-0.04</v>
      </c>
      <c r="CM116">
        <f>'2020_2021 0-&gt;1'!CK23</f>
        <v>-0.189</v>
      </c>
      <c r="CN116">
        <f>'2020_2021 0-&gt;1'!CL23</f>
        <v>-0.151</v>
      </c>
      <c r="CO116">
        <f>'2020_2021 0-&gt;1'!CM23</f>
        <v>-0.20899999999999999</v>
      </c>
      <c r="CP116">
        <f>'2020_2021 0-&gt;1'!CN23</f>
        <v>0.23499999999999999</v>
      </c>
      <c r="CQ116">
        <f>'2020_2021 0-&gt;1'!CO23</f>
        <v>0.17499999999999999</v>
      </c>
      <c r="CR116">
        <f>'2020_2021 0-&gt;1'!CP23</f>
        <v>1.274</v>
      </c>
      <c r="CS116">
        <f>'2020_2021 0-&gt;1'!CQ23</f>
        <v>-1.599</v>
      </c>
      <c r="CT116">
        <f>'2020_2021 0-&gt;1'!CR23</f>
        <v>-1.4930000000000001</v>
      </c>
      <c r="CU116">
        <f>'2020_2021 0-&gt;1'!CS23</f>
        <v>-1.3149999999999999</v>
      </c>
      <c r="CV116">
        <f>'2020_2021 0-&gt;1'!CT23</f>
        <v>-3.8130000000000002</v>
      </c>
      <c r="CW116">
        <f>'2020_2021 0-&gt;1'!CU23</f>
        <v>-1.6919999999999999</v>
      </c>
      <c r="CX116">
        <f>'2020_2021 0-&gt;1'!CV23</f>
        <v>-0.91700000000000004</v>
      </c>
    </row>
    <row r="117" spans="1:102" x14ac:dyDescent="0.2">
      <c r="A117" t="s">
        <v>208</v>
      </c>
      <c r="B117" t="s">
        <v>220</v>
      </c>
      <c r="C117" t="s">
        <v>223</v>
      </c>
      <c r="D117">
        <f>D100+D108</f>
        <v>-4.2436000000000001E-2</v>
      </c>
      <c r="E117">
        <f t="shared" ref="E117:BP124" si="23">E100+E108</f>
        <v>-4.2436000000000001E-2</v>
      </c>
      <c r="F117">
        <f t="shared" si="23"/>
        <v>-4.2436000000000001E-2</v>
      </c>
      <c r="G117">
        <f t="shared" si="23"/>
        <v>0.11510000000000001</v>
      </c>
      <c r="H117">
        <f t="shared" si="23"/>
        <v>-0.30220000000000002</v>
      </c>
      <c r="I117">
        <f t="shared" si="23"/>
        <v>-0.37259999999999999</v>
      </c>
      <c r="J117">
        <f t="shared" si="23"/>
        <v>-0.42509999999999998</v>
      </c>
      <c r="K117">
        <f t="shared" si="23"/>
        <v>-0.38170000000000004</v>
      </c>
      <c r="L117">
        <f t="shared" si="23"/>
        <v>-0.40159999999999996</v>
      </c>
      <c r="M117">
        <f t="shared" si="23"/>
        <v>-0.35309999999999997</v>
      </c>
      <c r="N117">
        <f t="shared" si="23"/>
        <v>-0.31559999999999999</v>
      </c>
      <c r="O117">
        <f t="shared" si="23"/>
        <v>-0.33949999999999997</v>
      </c>
      <c r="P117">
        <f t="shared" si="23"/>
        <v>-0.27309999999999995</v>
      </c>
      <c r="Q117">
        <f t="shared" si="23"/>
        <v>-0.2271</v>
      </c>
      <c r="R117">
        <f t="shared" si="23"/>
        <v>-0.18860000000000002</v>
      </c>
      <c r="S117">
        <f t="shared" si="23"/>
        <v>-0.22164</v>
      </c>
      <c r="T117">
        <f t="shared" si="23"/>
        <v>-0.19622999999999999</v>
      </c>
      <c r="U117">
        <f t="shared" si="23"/>
        <v>-0.20116999999999999</v>
      </c>
      <c r="V117">
        <f t="shared" si="23"/>
        <v>-0.16860999999999998</v>
      </c>
      <c r="W117">
        <f t="shared" si="23"/>
        <v>-0.20313000000000001</v>
      </c>
      <c r="X117">
        <f t="shared" si="23"/>
        <v>-0.1424</v>
      </c>
      <c r="Y117">
        <f t="shared" si="23"/>
        <v>-0.13400999999999999</v>
      </c>
      <c r="Z117">
        <f t="shared" si="23"/>
        <v>-0.13044</v>
      </c>
      <c r="AA117">
        <f t="shared" si="23"/>
        <v>-0.11008</v>
      </c>
      <c r="AB117">
        <f t="shared" si="23"/>
        <v>-0.12660000000000002</v>
      </c>
      <c r="AC117">
        <f t="shared" si="23"/>
        <v>-0.1217</v>
      </c>
      <c r="AD117">
        <f t="shared" si="23"/>
        <v>-0.12400000000000001</v>
      </c>
      <c r="AE117">
        <f t="shared" si="23"/>
        <v>-0.1242</v>
      </c>
      <c r="AF117">
        <f t="shared" si="23"/>
        <v>-0.14319999999999999</v>
      </c>
      <c r="AG117">
        <f t="shared" si="23"/>
        <v>-0.14019999999999999</v>
      </c>
      <c r="AH117">
        <f t="shared" si="23"/>
        <v>-0.13619999999999999</v>
      </c>
      <c r="AI117">
        <f t="shared" si="23"/>
        <v>-0.11670000000000001</v>
      </c>
      <c r="AJ117">
        <f t="shared" si="23"/>
        <v>-0.10010000000000001</v>
      </c>
      <c r="AK117">
        <f t="shared" si="23"/>
        <v>-9.870000000000001E-2</v>
      </c>
      <c r="AL117">
        <f t="shared" si="23"/>
        <v>-8.8099999999999998E-2</v>
      </c>
      <c r="AM117">
        <f t="shared" si="23"/>
        <v>-7.690000000000001E-2</v>
      </c>
      <c r="AN117">
        <f t="shared" si="23"/>
        <v>-6.7799999999999999E-2</v>
      </c>
      <c r="AO117">
        <f t="shared" si="23"/>
        <v>-6.5200000000000008E-2</v>
      </c>
      <c r="AP117">
        <f t="shared" si="23"/>
        <v>-6.7799999999999999E-2</v>
      </c>
      <c r="AQ117">
        <f t="shared" si="23"/>
        <v>-7.2000000000000008E-2</v>
      </c>
      <c r="AR117">
        <f t="shared" si="23"/>
        <v>-8.030000000000001E-2</v>
      </c>
      <c r="AS117">
        <f t="shared" si="23"/>
        <v>-8.0699999999999994E-2</v>
      </c>
      <c r="AT117">
        <f t="shared" si="23"/>
        <v>-8.6999999999999994E-2</v>
      </c>
      <c r="AU117">
        <f t="shared" si="23"/>
        <v>-6.83E-2</v>
      </c>
      <c r="AV117">
        <f t="shared" si="23"/>
        <v>-6.6299999999999998E-2</v>
      </c>
      <c r="AW117">
        <f t="shared" si="23"/>
        <v>-7.7699999999999991E-2</v>
      </c>
      <c r="AX117">
        <f t="shared" si="23"/>
        <v>-7.060000000000001E-2</v>
      </c>
      <c r="AY117">
        <f t="shared" si="23"/>
        <v>-5.1199999999999996E-2</v>
      </c>
      <c r="AZ117">
        <f t="shared" si="23"/>
        <v>-7.010000000000001E-2</v>
      </c>
      <c r="BA117">
        <f t="shared" si="23"/>
        <v>-5.67E-2</v>
      </c>
      <c r="BB117">
        <f t="shared" si="23"/>
        <v>-4.6099999999999995E-2</v>
      </c>
      <c r="BC117">
        <f t="shared" si="23"/>
        <v>-3.8599999999999995E-2</v>
      </c>
      <c r="BD117">
        <f t="shared" si="23"/>
        <v>-2.7299999999999998E-2</v>
      </c>
      <c r="BE117">
        <f t="shared" si="23"/>
        <v>-2.1499999999999998E-2</v>
      </c>
      <c r="BF117">
        <f t="shared" si="23"/>
        <v>-2.3700000000000002E-2</v>
      </c>
      <c r="BG117">
        <f t="shared" si="23"/>
        <v>-4.5999999999999992E-2</v>
      </c>
      <c r="BH117">
        <f t="shared" si="23"/>
        <v>-5.0100000000000006E-2</v>
      </c>
      <c r="BI117">
        <f t="shared" si="23"/>
        <v>-4.58E-2</v>
      </c>
      <c r="BJ117">
        <f t="shared" si="23"/>
        <v>-3.9899999999999991E-2</v>
      </c>
      <c r="BK117">
        <f t="shared" si="23"/>
        <v>-7.2999999999999995E-2</v>
      </c>
      <c r="BL117">
        <f t="shared" si="23"/>
        <v>-0.12870000000000001</v>
      </c>
      <c r="BM117">
        <f t="shared" si="23"/>
        <v>-0.14910000000000001</v>
      </c>
      <c r="BN117">
        <f t="shared" si="23"/>
        <v>-0.1132</v>
      </c>
      <c r="BO117">
        <f t="shared" si="23"/>
        <v>-0.10020000000000001</v>
      </c>
      <c r="BP117">
        <f t="shared" si="23"/>
        <v>-6.2000000000000006E-2</v>
      </c>
      <c r="BQ117">
        <f t="shared" ref="BQ117:CX124" si="24">BQ100+BQ108</f>
        <v>-2.5899999999999992E-2</v>
      </c>
      <c r="BR117">
        <f t="shared" si="24"/>
        <v>-9.4999999999999946E-3</v>
      </c>
      <c r="BS117">
        <f t="shared" si="24"/>
        <v>2.1100000000000001E-2</v>
      </c>
      <c r="BT117">
        <f t="shared" si="24"/>
        <v>1.1000000000000003E-2</v>
      </c>
      <c r="BU117">
        <f t="shared" si="24"/>
        <v>3.6040000000000003E-2</v>
      </c>
      <c r="BV117">
        <f t="shared" si="24"/>
        <v>1.7400000000000002E-2</v>
      </c>
      <c r="BW117">
        <f t="shared" si="24"/>
        <v>2.6400000000000003E-2</v>
      </c>
      <c r="BX117">
        <f t="shared" si="24"/>
        <v>8.3999999999999977E-3</v>
      </c>
      <c r="BY117">
        <f t="shared" si="24"/>
        <v>-6.0299999999999999E-2</v>
      </c>
      <c r="BZ117">
        <f t="shared" si="24"/>
        <v>-0.11530000000000001</v>
      </c>
      <c r="CA117">
        <f t="shared" si="24"/>
        <v>-0.09</v>
      </c>
      <c r="CB117">
        <f t="shared" si="24"/>
        <v>-1.26E-2</v>
      </c>
      <c r="CC117">
        <f t="shared" si="24"/>
        <v>2.8799999999999999E-2</v>
      </c>
      <c r="CD117">
        <f t="shared" si="24"/>
        <v>5.4869999999999995E-2</v>
      </c>
      <c r="CE117">
        <f t="shared" si="24"/>
        <v>9.7000000000000003E-3</v>
      </c>
      <c r="CF117">
        <f t="shared" si="24"/>
        <v>-3.2499999999999994E-2</v>
      </c>
      <c r="CG117">
        <f t="shared" si="24"/>
        <v>-8.7999999999999995E-2</v>
      </c>
      <c r="CH117">
        <f t="shared" si="24"/>
        <v>-6.9000000000000034E-3</v>
      </c>
      <c r="CI117">
        <f t="shared" si="24"/>
        <v>-2.5999999999999995E-2</v>
      </c>
      <c r="CJ117">
        <f t="shared" si="24"/>
        <v>-7.4500000000000011E-2</v>
      </c>
      <c r="CK117">
        <f t="shared" si="24"/>
        <v>-0.12559999999999999</v>
      </c>
      <c r="CL117">
        <f t="shared" si="24"/>
        <v>-7.8599999999999989E-2</v>
      </c>
      <c r="CM117">
        <f t="shared" si="24"/>
        <v>-1.6999999999999994E-2</v>
      </c>
      <c r="CN117">
        <f t="shared" si="24"/>
        <v>-5.439999999999999E-2</v>
      </c>
      <c r="CO117">
        <f t="shared" si="24"/>
        <v>-1.0700000000000001E-2</v>
      </c>
      <c r="CP117">
        <f t="shared" si="24"/>
        <v>-0.17380000000000001</v>
      </c>
      <c r="CQ117">
        <f t="shared" si="24"/>
        <v>-0.24249999999999999</v>
      </c>
      <c r="CR117">
        <f t="shared" si="24"/>
        <v>-0.56790000000000007</v>
      </c>
      <c r="CS117">
        <f t="shared" si="24"/>
        <v>0.36459999999999998</v>
      </c>
      <c r="CT117">
        <f t="shared" si="24"/>
        <v>0.23469999999999999</v>
      </c>
      <c r="CU117">
        <f t="shared" si="24"/>
        <v>4.1679999999999995E-2</v>
      </c>
      <c r="CV117">
        <f t="shared" si="24"/>
        <v>0.36330000000000001</v>
      </c>
      <c r="CW117">
        <f t="shared" si="24"/>
        <v>1.2400000000000001E-2</v>
      </c>
      <c r="CX117">
        <f t="shared" si="24"/>
        <v>-5.9400000000000001E-2</v>
      </c>
    </row>
    <row r="118" spans="1:102" x14ac:dyDescent="0.2">
      <c r="A118" t="s">
        <v>209</v>
      </c>
      <c r="B118" t="s">
        <v>220</v>
      </c>
      <c r="C118" t="s">
        <v>223</v>
      </c>
      <c r="D118">
        <f t="shared" ref="D118:BO121" si="25">D101+D109</f>
        <v>6.496E-3</v>
      </c>
      <c r="E118">
        <f t="shared" si="25"/>
        <v>6.496E-3</v>
      </c>
      <c r="F118">
        <f t="shared" si="25"/>
        <v>6.496E-3</v>
      </c>
      <c r="G118">
        <f t="shared" si="25"/>
        <v>0.23619999999999999</v>
      </c>
      <c r="H118">
        <f t="shared" si="25"/>
        <v>-0.20399999999999999</v>
      </c>
      <c r="I118">
        <f t="shared" si="25"/>
        <v>-0.14432999999999999</v>
      </c>
      <c r="J118">
        <f t="shared" si="25"/>
        <v>-7.6880000000000004E-2</v>
      </c>
      <c r="K118">
        <f t="shared" si="25"/>
        <v>-0.10131999999999999</v>
      </c>
      <c r="L118">
        <f t="shared" si="25"/>
        <v>-0.11182</v>
      </c>
      <c r="M118">
        <f t="shared" si="25"/>
        <v>-0.15343000000000001</v>
      </c>
      <c r="N118">
        <f t="shared" si="25"/>
        <v>-0.11373999999999999</v>
      </c>
      <c r="O118">
        <f t="shared" si="25"/>
        <v>-0.11074999999999999</v>
      </c>
      <c r="P118">
        <f t="shared" si="25"/>
        <v>-6.3750000000000001E-2</v>
      </c>
      <c r="Q118">
        <f t="shared" si="25"/>
        <v>-5.3599999999999995E-2</v>
      </c>
      <c r="R118">
        <f t="shared" si="25"/>
        <v>-1.7170000000000001E-2</v>
      </c>
      <c r="S118">
        <f t="shared" si="25"/>
        <v>-4.7779999999999996E-2</v>
      </c>
      <c r="T118">
        <f t="shared" si="25"/>
        <v>-5.7839999999999996E-2</v>
      </c>
      <c r="U118">
        <f t="shared" si="25"/>
        <v>-6.6710000000000005E-2</v>
      </c>
      <c r="V118">
        <f t="shared" si="25"/>
        <v>-6.3240000000000005E-2</v>
      </c>
      <c r="W118">
        <f t="shared" si="25"/>
        <v>-0.10553</v>
      </c>
      <c r="X118">
        <f t="shared" si="25"/>
        <v>-6.384999999999999E-2</v>
      </c>
      <c r="Y118">
        <f t="shared" si="25"/>
        <v>-5.9469999999999995E-2</v>
      </c>
      <c r="Z118">
        <f t="shared" si="25"/>
        <v>-7.7039999999999997E-2</v>
      </c>
      <c r="AA118">
        <f t="shared" si="25"/>
        <v>-6.4319999999999988E-2</v>
      </c>
      <c r="AB118">
        <f t="shared" si="25"/>
        <v>-7.9930000000000001E-2</v>
      </c>
      <c r="AC118">
        <f t="shared" si="25"/>
        <v>-8.1929999999999989E-2</v>
      </c>
      <c r="AD118">
        <f t="shared" si="25"/>
        <v>-7.9979999999999996E-2</v>
      </c>
      <c r="AE118">
        <f t="shared" si="25"/>
        <v>-8.7050000000000002E-2</v>
      </c>
      <c r="AF118">
        <f t="shared" si="25"/>
        <v>-9.3509999999999996E-2</v>
      </c>
      <c r="AG118">
        <f t="shared" si="25"/>
        <v>-9.8360000000000003E-2</v>
      </c>
      <c r="AH118">
        <f t="shared" si="25"/>
        <v>-9.6939999999999998E-2</v>
      </c>
      <c r="AI118">
        <f t="shared" si="25"/>
        <v>-8.9539999999999995E-2</v>
      </c>
      <c r="AJ118">
        <f t="shared" si="25"/>
        <v>-9.3560000000000004E-2</v>
      </c>
      <c r="AK118">
        <f t="shared" si="25"/>
        <v>-8.9430000000000009E-2</v>
      </c>
      <c r="AL118">
        <f t="shared" si="25"/>
        <v>-6.4689999999999998E-2</v>
      </c>
      <c r="AM118">
        <f t="shared" si="25"/>
        <v>-5.1979999999999998E-2</v>
      </c>
      <c r="AN118">
        <f t="shared" si="25"/>
        <v>-4.6530000000000002E-2</v>
      </c>
      <c r="AO118">
        <f t="shared" si="25"/>
        <v>-4.5569999999999999E-2</v>
      </c>
      <c r="AP118">
        <f t="shared" si="25"/>
        <v>-3.6919999999999994E-2</v>
      </c>
      <c r="AQ118">
        <f t="shared" si="25"/>
        <v>-4.0729999999999995E-2</v>
      </c>
      <c r="AR118">
        <f t="shared" si="25"/>
        <v>-4.657E-2</v>
      </c>
      <c r="AS118">
        <f t="shared" si="25"/>
        <v>-3.1800000000000002E-2</v>
      </c>
      <c r="AT118">
        <f t="shared" si="25"/>
        <v>-4.58E-2</v>
      </c>
      <c r="AU118">
        <f t="shared" si="25"/>
        <v>-4.1329999999999999E-2</v>
      </c>
      <c r="AV118">
        <f t="shared" si="25"/>
        <v>-4.5920000000000002E-2</v>
      </c>
      <c r="AW118">
        <f t="shared" si="25"/>
        <v>-6.3600000000000004E-2</v>
      </c>
      <c r="AX118">
        <f t="shared" si="25"/>
        <v>-4.6240000000000003E-2</v>
      </c>
      <c r="AY118">
        <f t="shared" si="25"/>
        <v>-4.0660000000000002E-2</v>
      </c>
      <c r="AZ118">
        <f t="shared" si="25"/>
        <v>-4.496E-2</v>
      </c>
      <c r="BA118">
        <f t="shared" si="25"/>
        <v>-2.5839999999999995E-2</v>
      </c>
      <c r="BB118">
        <f t="shared" si="25"/>
        <v>-2.0560000000000002E-2</v>
      </c>
      <c r="BC118">
        <f t="shared" si="25"/>
        <v>-1.8120000000000001E-2</v>
      </c>
      <c r="BD118">
        <f t="shared" si="25"/>
        <v>-6.1400000000000014E-3</v>
      </c>
      <c r="BE118">
        <f t="shared" si="25"/>
        <v>2.2940000000000002E-2</v>
      </c>
      <c r="BF118">
        <f t="shared" si="25"/>
        <v>1.431E-2</v>
      </c>
      <c r="BG118">
        <f t="shared" si="25"/>
        <v>-1.9500000000000003E-3</v>
      </c>
      <c r="BH118">
        <f t="shared" si="25"/>
        <v>-1.0369999999999999E-2</v>
      </c>
      <c r="BI118">
        <f t="shared" si="25"/>
        <v>-3.4000000000000002E-3</v>
      </c>
      <c r="BJ118">
        <f t="shared" si="25"/>
        <v>-5.6900000000000006E-3</v>
      </c>
      <c r="BK118">
        <f t="shared" si="25"/>
        <v>-4.4499999999999998E-2</v>
      </c>
      <c r="BL118">
        <f t="shared" si="25"/>
        <v>-0.1037</v>
      </c>
      <c r="BM118">
        <f t="shared" si="25"/>
        <v>-0.11700000000000001</v>
      </c>
      <c r="BN118">
        <f t="shared" si="25"/>
        <v>-6.7299999999999999E-2</v>
      </c>
      <c r="BO118">
        <f t="shared" si="25"/>
        <v>-7.0199999999999999E-2</v>
      </c>
      <c r="BP118">
        <f t="shared" si="23"/>
        <v>-4.9100000000000005E-2</v>
      </c>
      <c r="BQ118">
        <f t="shared" si="24"/>
        <v>-1.5699999999999999E-2</v>
      </c>
      <c r="BR118">
        <f t="shared" si="24"/>
        <v>8.2999999999999984E-3</v>
      </c>
      <c r="BS118">
        <f t="shared" si="24"/>
        <v>2.6700000000000002E-2</v>
      </c>
      <c r="BT118">
        <f t="shared" si="24"/>
        <v>1.4880000000000001E-2</v>
      </c>
      <c r="BU118">
        <f t="shared" si="24"/>
        <v>3.1800000000000002E-2</v>
      </c>
      <c r="BV118">
        <f t="shared" si="24"/>
        <v>5.2700000000000004E-3</v>
      </c>
      <c r="BW118">
        <f t="shared" si="24"/>
        <v>-7.1999999999999998E-3</v>
      </c>
      <c r="BX118">
        <f t="shared" si="24"/>
        <v>-4.3499999999999997E-2</v>
      </c>
      <c r="BY118">
        <f t="shared" si="24"/>
        <v>-8.9399999999999993E-2</v>
      </c>
      <c r="BZ118">
        <f t="shared" si="24"/>
        <v>-0.13489999999999999</v>
      </c>
      <c r="CA118">
        <f t="shared" si="24"/>
        <v>-0.12529999999999999</v>
      </c>
      <c r="CB118">
        <f t="shared" si="24"/>
        <v>-3.15E-2</v>
      </c>
      <c r="CC118">
        <f t="shared" si="24"/>
        <v>2.5000000000000001E-2</v>
      </c>
      <c r="CD118">
        <f t="shared" si="24"/>
        <v>4.9299999999999997E-2</v>
      </c>
      <c r="CE118">
        <f t="shared" si="24"/>
        <v>-4.4000000000000004E-2</v>
      </c>
      <c r="CF118">
        <f t="shared" si="24"/>
        <v>-8.5100000000000009E-2</v>
      </c>
      <c r="CG118">
        <f t="shared" si="24"/>
        <v>-0.1368</v>
      </c>
      <c r="CH118">
        <f t="shared" si="24"/>
        <v>-5.3099999999999994E-2</v>
      </c>
      <c r="CI118">
        <f t="shared" si="24"/>
        <v>-0.10349999999999999</v>
      </c>
      <c r="CJ118">
        <f t="shared" si="24"/>
        <v>-0.13239999999999999</v>
      </c>
      <c r="CK118">
        <f t="shared" si="24"/>
        <v>-0.20630000000000001</v>
      </c>
      <c r="CL118">
        <f t="shared" si="24"/>
        <v>-0.14019999999999999</v>
      </c>
      <c r="CM118">
        <f t="shared" si="24"/>
        <v>-3.7699999999999997E-2</v>
      </c>
      <c r="CN118">
        <f t="shared" si="24"/>
        <v>-7.0699999999999999E-2</v>
      </c>
      <c r="CO118">
        <f t="shared" si="24"/>
        <v>-2.6000000000000016E-3</v>
      </c>
      <c r="CP118">
        <f t="shared" si="24"/>
        <v>-0.22009999999999999</v>
      </c>
      <c r="CQ118">
        <f t="shared" si="24"/>
        <v>-7.7699999999999991E-2</v>
      </c>
      <c r="CR118">
        <f t="shared" si="24"/>
        <v>-0.61980000000000002</v>
      </c>
      <c r="CS118">
        <f t="shared" si="24"/>
        <v>0.48299999999999998</v>
      </c>
      <c r="CT118">
        <f t="shared" si="24"/>
        <v>0.38450000000000001</v>
      </c>
      <c r="CU118">
        <f t="shared" si="24"/>
        <v>0.17269999999999999</v>
      </c>
      <c r="CV118">
        <f t="shared" si="24"/>
        <v>1.4163000000000001</v>
      </c>
      <c r="CW118">
        <f t="shared" si="24"/>
        <v>0.39140000000000003</v>
      </c>
      <c r="CX118">
        <f t="shared" si="24"/>
        <v>0.1069</v>
      </c>
    </row>
    <row r="119" spans="1:102" x14ac:dyDescent="0.2">
      <c r="A119" t="s">
        <v>210</v>
      </c>
      <c r="B119" t="s">
        <v>220</v>
      </c>
      <c r="C119" t="s">
        <v>223</v>
      </c>
      <c r="D119">
        <f t="shared" si="25"/>
        <v>1.5830000000000002E-3</v>
      </c>
      <c r="E119">
        <f t="shared" si="25"/>
        <v>1.5830000000000002E-3</v>
      </c>
      <c r="F119">
        <f t="shared" si="25"/>
        <v>1.5830000000000002E-3</v>
      </c>
      <c r="G119">
        <f t="shared" si="25"/>
        <v>-7.6899999999999996E-2</v>
      </c>
      <c r="H119">
        <f t="shared" si="25"/>
        <v>-1.7570000000000002E-2</v>
      </c>
      <c r="I119">
        <f t="shared" si="25"/>
        <v>-2.82E-3</v>
      </c>
      <c r="J119">
        <f t="shared" si="25"/>
        <v>-1.521E-2</v>
      </c>
      <c r="K119">
        <f t="shared" si="25"/>
        <v>-4.0100000000000005E-3</v>
      </c>
      <c r="L119">
        <f t="shared" si="25"/>
        <v>1.5141E-3</v>
      </c>
      <c r="M119">
        <f t="shared" si="25"/>
        <v>-2.6700000000000001E-3</v>
      </c>
      <c r="N119">
        <f t="shared" si="25"/>
        <v>-2.0200000000000001E-3</v>
      </c>
      <c r="O119">
        <f t="shared" si="25"/>
        <v>-5.5700000000000003E-3</v>
      </c>
      <c r="P119">
        <f t="shared" si="25"/>
        <v>-8.2049999999999988E-3</v>
      </c>
      <c r="Q119">
        <f t="shared" si="25"/>
        <v>-6.4730000000000005E-3</v>
      </c>
      <c r="R119">
        <f t="shared" si="25"/>
        <v>-1.2124000000000001E-2</v>
      </c>
      <c r="S119">
        <f t="shared" si="25"/>
        <v>-6.5960000000000003E-3</v>
      </c>
      <c r="T119">
        <f t="shared" si="25"/>
        <v>-2.9219999999999997E-3</v>
      </c>
      <c r="U119">
        <f t="shared" si="25"/>
        <v>5.9299999999999999E-4</v>
      </c>
      <c r="V119">
        <f t="shared" si="25"/>
        <v>7.539999999999999E-4</v>
      </c>
      <c r="W119">
        <f t="shared" si="25"/>
        <v>6.2009999999999999E-3</v>
      </c>
      <c r="X119">
        <f t="shared" si="25"/>
        <v>1.73E-3</v>
      </c>
      <c r="Y119">
        <f t="shared" si="25"/>
        <v>3.2399999999999998E-3</v>
      </c>
      <c r="Z119">
        <f t="shared" si="25"/>
        <v>6.3760000000000006E-3</v>
      </c>
      <c r="AA119">
        <f t="shared" si="25"/>
        <v>4.4939999999999997E-3</v>
      </c>
      <c r="AB119">
        <f t="shared" si="25"/>
        <v>4.8039999999999992E-3</v>
      </c>
      <c r="AC119">
        <f t="shared" si="25"/>
        <v>5.6729999999999992E-3</v>
      </c>
      <c r="AD119">
        <f t="shared" si="25"/>
        <v>6.783E-3</v>
      </c>
      <c r="AE119">
        <f t="shared" si="25"/>
        <v>6.6829999999999997E-3</v>
      </c>
      <c r="AF119">
        <f t="shared" si="25"/>
        <v>9.7630000000000008E-3</v>
      </c>
      <c r="AG119">
        <f t="shared" si="25"/>
        <v>1.0133000000000001E-2</v>
      </c>
      <c r="AH119">
        <f t="shared" si="25"/>
        <v>8.1729999999999997E-3</v>
      </c>
      <c r="AI119">
        <f t="shared" si="25"/>
        <v>4.4429999999999999E-3</v>
      </c>
      <c r="AJ119">
        <f t="shared" si="25"/>
        <v>6.7479999999999997E-3</v>
      </c>
      <c r="AK119">
        <f t="shared" si="25"/>
        <v>4.3819999999999996E-3</v>
      </c>
      <c r="AL119">
        <f t="shared" si="25"/>
        <v>-9.3700000000000012E-4</v>
      </c>
      <c r="AM119">
        <f t="shared" si="25"/>
        <v>-4.7859999999999995E-3</v>
      </c>
      <c r="AN119">
        <f t="shared" si="25"/>
        <v>-3.124E-3</v>
      </c>
      <c r="AO119">
        <f t="shared" si="25"/>
        <v>-4.3449999999999999E-3</v>
      </c>
      <c r="AP119">
        <f t="shared" si="25"/>
        <v>-5.5789999999999998E-3</v>
      </c>
      <c r="AQ119">
        <f t="shared" si="25"/>
        <v>-3.7409999999999995E-3</v>
      </c>
      <c r="AR119">
        <f t="shared" si="25"/>
        <v>4.6200000000000001E-4</v>
      </c>
      <c r="AS119">
        <f t="shared" si="25"/>
        <v>-1.0000000000000005E-4</v>
      </c>
      <c r="AT119">
        <f t="shared" si="25"/>
        <v>2.8089999999999999E-3</v>
      </c>
      <c r="AU119">
        <f t="shared" si="25"/>
        <v>3.862E-3</v>
      </c>
      <c r="AV119">
        <f t="shared" si="25"/>
        <v>2.9489999999999998E-3</v>
      </c>
      <c r="AW119">
        <f t="shared" si="25"/>
        <v>5.8100000000000001E-3</v>
      </c>
      <c r="AX119">
        <f t="shared" si="25"/>
        <v>5.9700000000000005E-3</v>
      </c>
      <c r="AY119">
        <f t="shared" si="25"/>
        <v>4.2719999999999998E-3</v>
      </c>
      <c r="AZ119">
        <f t="shared" si="25"/>
        <v>3.669E-3</v>
      </c>
      <c r="BA119">
        <f t="shared" si="25"/>
        <v>-5.5299999999999989E-4</v>
      </c>
      <c r="BB119">
        <f t="shared" si="25"/>
        <v>-8.7399999999999989E-4</v>
      </c>
      <c r="BC119">
        <f t="shared" si="25"/>
        <v>-1.227E-3</v>
      </c>
      <c r="BD119">
        <f t="shared" si="25"/>
        <v>-3.0609999999999999E-3</v>
      </c>
      <c r="BE119">
        <f t="shared" si="25"/>
        <v>-5.9279999999999992E-3</v>
      </c>
      <c r="BF119">
        <f t="shared" si="25"/>
        <v>-7.2760000000000003E-3</v>
      </c>
      <c r="BG119">
        <f t="shared" si="25"/>
        <v>-2.4419999999999997E-3</v>
      </c>
      <c r="BH119">
        <f t="shared" si="25"/>
        <v>-3.2300000000000004E-4</v>
      </c>
      <c r="BI119">
        <f t="shared" si="25"/>
        <v>5.8500000000000002E-4</v>
      </c>
      <c r="BJ119">
        <f t="shared" si="25"/>
        <v>3.339E-3</v>
      </c>
      <c r="BK119">
        <f t="shared" si="25"/>
        <v>6.5030000000000001E-3</v>
      </c>
      <c r="BL119">
        <f t="shared" si="25"/>
        <v>1.6910000000000001E-2</v>
      </c>
      <c r="BM119">
        <f t="shared" si="25"/>
        <v>1.9049999999999997E-2</v>
      </c>
      <c r="BN119">
        <f t="shared" si="25"/>
        <v>1.1350000000000001E-2</v>
      </c>
      <c r="BO119">
        <f t="shared" si="25"/>
        <v>7.8899999999999994E-3</v>
      </c>
      <c r="BP119">
        <f t="shared" si="23"/>
        <v>4.5599999999999998E-3</v>
      </c>
      <c r="BQ119">
        <f t="shared" si="24"/>
        <v>1.882E-3</v>
      </c>
      <c r="BR119">
        <f t="shared" si="24"/>
        <v>-1.3650000000000001E-3</v>
      </c>
      <c r="BS119">
        <f t="shared" si="24"/>
        <v>2.450000000000001E-4</v>
      </c>
      <c r="BT119">
        <f t="shared" si="24"/>
        <v>8.3700000000000007E-4</v>
      </c>
      <c r="BU119">
        <f t="shared" si="24"/>
        <v>-1.3799999999999997E-3</v>
      </c>
      <c r="BV119">
        <f t="shared" si="24"/>
        <v>-1.6600000000000002E-3</v>
      </c>
      <c r="BW119">
        <f t="shared" si="24"/>
        <v>1.506E-3</v>
      </c>
      <c r="BX119">
        <f t="shared" si="24"/>
        <v>6.2199999999999998E-3</v>
      </c>
      <c r="BY119">
        <f t="shared" si="24"/>
        <v>1.434E-2</v>
      </c>
      <c r="BZ119">
        <f t="shared" si="24"/>
        <v>1.7670000000000002E-2</v>
      </c>
      <c r="CA119">
        <f t="shared" si="24"/>
        <v>1.9340000000000003E-2</v>
      </c>
      <c r="CB119">
        <f t="shared" si="24"/>
        <v>5.9500000000000004E-3</v>
      </c>
      <c r="CC119">
        <f t="shared" si="24"/>
        <v>-2.6800000000000001E-3</v>
      </c>
      <c r="CD119">
        <f t="shared" si="24"/>
        <v>-1.6899999999999999E-3</v>
      </c>
      <c r="CE119">
        <f t="shared" si="24"/>
        <v>1.3440000000000001E-2</v>
      </c>
      <c r="CF119">
        <f t="shared" si="24"/>
        <v>1.438E-2</v>
      </c>
      <c r="CG119">
        <f t="shared" si="24"/>
        <v>2.06E-2</v>
      </c>
      <c r="CH119">
        <f t="shared" si="24"/>
        <v>9.4399999999999987E-3</v>
      </c>
      <c r="CI119">
        <f t="shared" si="24"/>
        <v>1.043E-2</v>
      </c>
      <c r="CJ119">
        <f t="shared" si="24"/>
        <v>1.5900000000000001E-2</v>
      </c>
      <c r="CK119">
        <f t="shared" si="24"/>
        <v>2.2689999999999998E-2</v>
      </c>
      <c r="CL119">
        <f t="shared" si="24"/>
        <v>1.0829999999999999E-2</v>
      </c>
      <c r="CM119">
        <f t="shared" si="24"/>
        <v>1.902E-3</v>
      </c>
      <c r="CN119">
        <f t="shared" si="24"/>
        <v>-2.2040000000000001E-2</v>
      </c>
      <c r="CO119">
        <f t="shared" si="24"/>
        <v>-5.6984E-2</v>
      </c>
      <c r="CP119">
        <f t="shared" si="24"/>
        <v>-7.2934000000000013E-2</v>
      </c>
      <c r="CQ119">
        <f t="shared" si="24"/>
        <v>-0.13231700000000002</v>
      </c>
      <c r="CR119">
        <f t="shared" si="24"/>
        <v>-0.21543999999999999</v>
      </c>
      <c r="CS119">
        <f t="shared" si="24"/>
        <v>-0.16203000000000001</v>
      </c>
      <c r="CT119">
        <f t="shared" si="24"/>
        <v>-4.7753999999999998E-2</v>
      </c>
      <c r="CU119">
        <f t="shared" si="24"/>
        <v>5.4054999999999999E-2</v>
      </c>
      <c r="CV119">
        <f t="shared" si="24"/>
        <v>0.351462</v>
      </c>
      <c r="CW119">
        <f t="shared" si="24"/>
        <v>0.12576300000000001</v>
      </c>
      <c r="CX119">
        <f t="shared" si="24"/>
        <v>8.9180000000000009E-2</v>
      </c>
    </row>
    <row r="120" spans="1:102" x14ac:dyDescent="0.2">
      <c r="A120" t="s">
        <v>211</v>
      </c>
      <c r="B120" t="s">
        <v>220</v>
      </c>
      <c r="C120" t="s">
        <v>223</v>
      </c>
      <c r="D120">
        <f t="shared" si="25"/>
        <v>4.5259999999999996E-3</v>
      </c>
      <c r="E120">
        <f t="shared" si="25"/>
        <v>4.5259999999999996E-3</v>
      </c>
      <c r="F120">
        <f t="shared" si="25"/>
        <v>4.5259999999999996E-3</v>
      </c>
      <c r="G120">
        <f t="shared" si="25"/>
        <v>9.7120000000000012E-2</v>
      </c>
      <c r="H120">
        <f t="shared" si="25"/>
        <v>7.8599999999999989E-2</v>
      </c>
      <c r="I120">
        <f t="shared" si="25"/>
        <v>3.7019999999999997E-2</v>
      </c>
      <c r="J120">
        <f t="shared" si="25"/>
        <v>1.3610000000000001E-2</v>
      </c>
      <c r="K120">
        <f t="shared" si="25"/>
        <v>2.087E-2</v>
      </c>
      <c r="L120">
        <f t="shared" si="25"/>
        <v>1.1260000000000001E-2</v>
      </c>
      <c r="M120">
        <f t="shared" si="25"/>
        <v>8.2100000000000003E-3</v>
      </c>
      <c r="N120">
        <f t="shared" si="25"/>
        <v>6.0899999999999999E-3</v>
      </c>
      <c r="O120">
        <f t="shared" si="25"/>
        <v>7.8300000000000002E-3</v>
      </c>
      <c r="P120">
        <f t="shared" si="25"/>
        <v>4.86E-4</v>
      </c>
      <c r="Q120">
        <f t="shared" si="25"/>
        <v>-4.6500000000000003E-4</v>
      </c>
      <c r="R120">
        <f t="shared" si="25"/>
        <v>-3.7200000000000002E-3</v>
      </c>
      <c r="S120">
        <f t="shared" si="25"/>
        <v>1.0899999999999994E-4</v>
      </c>
      <c r="T120">
        <f t="shared" si="25"/>
        <v>2.5440000000000003E-3</v>
      </c>
      <c r="U120">
        <f t="shared" si="25"/>
        <v>3.3870000000000003E-3</v>
      </c>
      <c r="V120">
        <f t="shared" si="25"/>
        <v>1.5500000000000002E-3</v>
      </c>
      <c r="W120">
        <f t="shared" si="25"/>
        <v>6.1760000000000001E-3</v>
      </c>
      <c r="X120">
        <f t="shared" si="25"/>
        <v>2.8059999999999999E-3</v>
      </c>
      <c r="Y120">
        <f t="shared" si="25"/>
        <v>5.6540000000000002E-3</v>
      </c>
      <c r="Z120">
        <f t="shared" si="25"/>
        <v>4.568E-3</v>
      </c>
      <c r="AA120">
        <f t="shared" si="25"/>
        <v>3.9459999999999999E-3</v>
      </c>
      <c r="AB120">
        <f t="shared" si="25"/>
        <v>4.1780000000000003E-3</v>
      </c>
      <c r="AC120">
        <f t="shared" si="25"/>
        <v>5.8100000000000001E-3</v>
      </c>
      <c r="AD120">
        <f t="shared" si="25"/>
        <v>5.5530000000000006E-3</v>
      </c>
      <c r="AE120">
        <f t="shared" si="25"/>
        <v>4.0439999999999999E-3</v>
      </c>
      <c r="AF120">
        <f t="shared" si="25"/>
        <v>6.4309999999999992E-3</v>
      </c>
      <c r="AG120">
        <f t="shared" si="25"/>
        <v>8.9149999999999993E-3</v>
      </c>
      <c r="AH120">
        <f t="shared" si="25"/>
        <v>8.4950000000000008E-3</v>
      </c>
      <c r="AI120">
        <f t="shared" si="25"/>
        <v>7.2899999999999996E-3</v>
      </c>
      <c r="AJ120">
        <f t="shared" si="25"/>
        <v>2.9950000000000003E-3</v>
      </c>
      <c r="AK120">
        <f t="shared" si="25"/>
        <v>5.2200000000000007E-3</v>
      </c>
      <c r="AL120">
        <f t="shared" si="25"/>
        <v>2.97E-3</v>
      </c>
      <c r="AM120">
        <f t="shared" si="25"/>
        <v>4.9399999999999999E-3</v>
      </c>
      <c r="AN120">
        <f t="shared" si="25"/>
        <v>3.8700000000000002E-3</v>
      </c>
      <c r="AO120">
        <f t="shared" si="25"/>
        <v>1.7070000000000002E-3</v>
      </c>
      <c r="AP120">
        <f t="shared" si="25"/>
        <v>3.0600000000000002E-3</v>
      </c>
      <c r="AQ120">
        <f t="shared" si="25"/>
        <v>4.5599999999999998E-3</v>
      </c>
      <c r="AR120">
        <f t="shared" si="25"/>
        <v>5.3500000000000006E-3</v>
      </c>
      <c r="AS120">
        <f t="shared" si="25"/>
        <v>6.5500000000000003E-3</v>
      </c>
      <c r="AT120">
        <f t="shared" si="25"/>
        <v>1.074E-2</v>
      </c>
      <c r="AU120">
        <f t="shared" si="25"/>
        <v>8.6300000000000005E-3</v>
      </c>
      <c r="AV120">
        <f t="shared" si="25"/>
        <v>7.5100000000000002E-3</v>
      </c>
      <c r="AW120">
        <f t="shared" si="25"/>
        <v>1.1849999999999999E-2</v>
      </c>
      <c r="AX120">
        <f t="shared" si="25"/>
        <v>9.9399999999999992E-3</v>
      </c>
      <c r="AY120">
        <f t="shared" si="25"/>
        <v>1.149E-2</v>
      </c>
      <c r="AZ120">
        <f t="shared" si="25"/>
        <v>1.478E-2</v>
      </c>
      <c r="BA120">
        <f t="shared" si="25"/>
        <v>1.349E-2</v>
      </c>
      <c r="BB120">
        <f t="shared" si="25"/>
        <v>8.3099999999999997E-3</v>
      </c>
      <c r="BC120">
        <f t="shared" si="25"/>
        <v>6.7299999999999999E-3</v>
      </c>
      <c r="BD120">
        <f t="shared" si="25"/>
        <v>2.4719999999999998E-3</v>
      </c>
      <c r="BE120">
        <f t="shared" si="25"/>
        <v>1.6086E-3</v>
      </c>
      <c r="BF120">
        <f t="shared" si="25"/>
        <v>5.7800000000000006E-4</v>
      </c>
      <c r="BG120">
        <f t="shared" si="25"/>
        <v>4.9199999999999999E-3</v>
      </c>
      <c r="BH120">
        <f t="shared" si="25"/>
        <v>-2.2300000000000002E-3</v>
      </c>
      <c r="BI120">
        <f t="shared" si="25"/>
        <v>-8.8900000000000003E-3</v>
      </c>
      <c r="BJ120">
        <f t="shared" si="25"/>
        <v>-2.63E-3</v>
      </c>
      <c r="BK120">
        <f t="shared" si="25"/>
        <v>2.4949999999999998E-3</v>
      </c>
      <c r="BL120">
        <f t="shared" si="25"/>
        <v>8.6800000000000002E-3</v>
      </c>
      <c r="BM120">
        <f t="shared" si="25"/>
        <v>9.2300000000000004E-3</v>
      </c>
      <c r="BN120">
        <f t="shared" si="25"/>
        <v>4.0499999999999998E-3</v>
      </c>
      <c r="BO120">
        <f t="shared" si="25"/>
        <v>3.4399999999999995E-3</v>
      </c>
      <c r="BP120">
        <f t="shared" si="23"/>
        <v>-8.0000000000000036E-4</v>
      </c>
      <c r="BQ120">
        <f t="shared" si="24"/>
        <v>-7.3300000000000006E-3</v>
      </c>
      <c r="BR120">
        <f t="shared" si="24"/>
        <v>-5.2300000000000003E-3</v>
      </c>
      <c r="BS120">
        <f t="shared" si="24"/>
        <v>-7.6399999999999992E-3</v>
      </c>
      <c r="BT120">
        <f t="shared" si="24"/>
        <v>-3.6100000000000004E-3</v>
      </c>
      <c r="BU120">
        <f t="shared" si="24"/>
        <v>-5.7999999999999996E-3</v>
      </c>
      <c r="BV120">
        <f t="shared" si="24"/>
        <v>-7.7999999999999988E-4</v>
      </c>
      <c r="BW120">
        <f t="shared" si="24"/>
        <v>-6.4300000000000008E-3</v>
      </c>
      <c r="BX120">
        <f t="shared" si="24"/>
        <v>-1.6799999999999996E-3</v>
      </c>
      <c r="BY120">
        <f t="shared" si="24"/>
        <v>6.5300000000000002E-3</v>
      </c>
      <c r="BZ120">
        <f t="shared" si="24"/>
        <v>1.341E-2</v>
      </c>
      <c r="CA120">
        <f t="shared" si="24"/>
        <v>1.1990000000000001E-2</v>
      </c>
      <c r="CB120">
        <f t="shared" si="24"/>
        <v>-4.45E-3</v>
      </c>
      <c r="CC120">
        <f t="shared" si="24"/>
        <v>-9.7700000000000009E-3</v>
      </c>
      <c r="CD120">
        <f t="shared" si="24"/>
        <v>-1.3709999999999998E-2</v>
      </c>
      <c r="CE120">
        <f t="shared" si="24"/>
        <v>1.1120000000000001E-2</v>
      </c>
      <c r="CF120">
        <f t="shared" si="24"/>
        <v>1.311E-2</v>
      </c>
      <c r="CG120">
        <f t="shared" si="24"/>
        <v>1.915E-2</v>
      </c>
      <c r="CH120">
        <f t="shared" si="24"/>
        <v>3.9000000000000016E-4</v>
      </c>
      <c r="CI120">
        <f t="shared" si="24"/>
        <v>5.0000000000000001E-3</v>
      </c>
      <c r="CJ120">
        <f t="shared" si="24"/>
        <v>1.1169999999999999E-2</v>
      </c>
      <c r="CK120">
        <f t="shared" si="24"/>
        <v>2.895E-2</v>
      </c>
      <c r="CL120">
        <f t="shared" si="24"/>
        <v>1.9789999999999999E-2</v>
      </c>
      <c r="CM120">
        <f t="shared" si="24"/>
        <v>1.3950000000000001E-2</v>
      </c>
      <c r="CN120">
        <f t="shared" si="24"/>
        <v>1.4829999999999999E-2</v>
      </c>
      <c r="CO120">
        <f t="shared" si="24"/>
        <v>-1.1890000000000001E-2</v>
      </c>
      <c r="CP120">
        <f t="shared" si="24"/>
        <v>-1.533E-2</v>
      </c>
      <c r="CQ120">
        <f t="shared" si="24"/>
        <v>-6.4710000000000004E-2</v>
      </c>
      <c r="CR120">
        <f t="shared" si="24"/>
        <v>-7.7119999999999994E-2</v>
      </c>
      <c r="CS120">
        <f t="shared" si="24"/>
        <v>-0.19434600000000002</v>
      </c>
      <c r="CT120">
        <f t="shared" si="24"/>
        <v>-0.13187400000000002</v>
      </c>
      <c r="CU120">
        <f t="shared" si="24"/>
        <v>-3.9020000000000006E-2</v>
      </c>
      <c r="CV120">
        <f t="shared" si="24"/>
        <v>4.8205000000000005E-2</v>
      </c>
      <c r="CW120">
        <f t="shared" si="24"/>
        <v>8.4050000000000014E-2</v>
      </c>
      <c r="CX120">
        <f t="shared" si="24"/>
        <v>6.9940000000000002E-2</v>
      </c>
    </row>
    <row r="121" spans="1:102" x14ac:dyDescent="0.2">
      <c r="A121" t="s">
        <v>212</v>
      </c>
      <c r="B121" t="s">
        <v>220</v>
      </c>
      <c r="C121" t="s">
        <v>223</v>
      </c>
      <c r="D121">
        <f t="shared" si="25"/>
        <v>1.273E-3</v>
      </c>
      <c r="E121">
        <f t="shared" si="25"/>
        <v>1.273E-3</v>
      </c>
      <c r="F121">
        <f t="shared" si="25"/>
        <v>1.273E-3</v>
      </c>
      <c r="G121">
        <f t="shared" si="25"/>
        <v>8.7799999999999996E-3</v>
      </c>
      <c r="H121">
        <f t="shared" si="25"/>
        <v>4.6470000000000004E-2</v>
      </c>
      <c r="I121">
        <f t="shared" si="25"/>
        <v>3.7449999999999997E-2</v>
      </c>
      <c r="J121">
        <f t="shared" si="25"/>
        <v>1.4290000000000001E-2</v>
      </c>
      <c r="K121">
        <f t="shared" si="25"/>
        <v>1.4570000000000001E-2</v>
      </c>
      <c r="L121">
        <f t="shared" si="25"/>
        <v>1.61E-2</v>
      </c>
      <c r="M121">
        <f t="shared" si="25"/>
        <v>1.4290000000000001E-2</v>
      </c>
      <c r="N121">
        <f t="shared" si="25"/>
        <v>1.201E-2</v>
      </c>
      <c r="O121">
        <f t="shared" si="25"/>
        <v>8.1399999999999997E-3</v>
      </c>
      <c r="P121">
        <f t="shared" si="25"/>
        <v>6.5300000000000002E-3</v>
      </c>
      <c r="Q121">
        <f t="shared" si="25"/>
        <v>4.3600000000000002E-3</v>
      </c>
      <c r="R121">
        <f t="shared" si="25"/>
        <v>1.0999999999999998E-3</v>
      </c>
      <c r="S121">
        <f t="shared" si="25"/>
        <v>2.0100000000000001E-3</v>
      </c>
      <c r="T121">
        <f t="shared" si="25"/>
        <v>2.5370000000000002E-3</v>
      </c>
      <c r="U121">
        <f t="shared" si="25"/>
        <v>3.2579999999999996E-3</v>
      </c>
      <c r="V121">
        <f t="shared" si="25"/>
        <v>1.8509999999999998E-3</v>
      </c>
      <c r="W121">
        <f t="shared" si="25"/>
        <v>3.6719999999999999E-3</v>
      </c>
      <c r="X121">
        <f t="shared" si="25"/>
        <v>2.1440000000000001E-3</v>
      </c>
      <c r="Y121">
        <f t="shared" si="25"/>
        <v>2.1510000000000001E-3</v>
      </c>
      <c r="Z121">
        <f t="shared" si="25"/>
        <v>2.6800000000000001E-3</v>
      </c>
      <c r="AA121">
        <f t="shared" si="25"/>
        <v>2.7910000000000001E-3</v>
      </c>
      <c r="AB121">
        <f t="shared" si="25"/>
        <v>3.3469999999999997E-3</v>
      </c>
      <c r="AC121">
        <f t="shared" si="25"/>
        <v>3.2810000000000001E-3</v>
      </c>
      <c r="AD121">
        <f t="shared" si="25"/>
        <v>4.3540000000000002E-3</v>
      </c>
      <c r="AE121">
        <f t="shared" si="25"/>
        <v>4.8170000000000001E-3</v>
      </c>
      <c r="AF121">
        <f t="shared" si="25"/>
        <v>4.5780000000000005E-3</v>
      </c>
      <c r="AG121">
        <f t="shared" si="25"/>
        <v>5.0619999999999997E-3</v>
      </c>
      <c r="AH121">
        <f t="shared" si="25"/>
        <v>4.6619999999999995E-3</v>
      </c>
      <c r="AI121">
        <f t="shared" si="25"/>
        <v>3.8010000000000006E-3</v>
      </c>
      <c r="AJ121">
        <f t="shared" si="25"/>
        <v>3.4429999999999999E-3</v>
      </c>
      <c r="AK121">
        <f t="shared" si="25"/>
        <v>3.2100000000000002E-3</v>
      </c>
      <c r="AL121">
        <f t="shared" si="25"/>
        <v>2.7309999999999999E-3</v>
      </c>
      <c r="AM121">
        <f t="shared" si="25"/>
        <v>2.7899999999999999E-3</v>
      </c>
      <c r="AN121">
        <f t="shared" si="25"/>
        <v>1.8749999999999999E-3</v>
      </c>
      <c r="AO121">
        <f t="shared" si="25"/>
        <v>2.4200000000000003E-3</v>
      </c>
      <c r="AP121">
        <f t="shared" si="25"/>
        <v>2.9620000000000002E-3</v>
      </c>
      <c r="AQ121">
        <f t="shared" si="25"/>
        <v>3.2630000000000003E-3</v>
      </c>
      <c r="AR121">
        <f t="shared" si="25"/>
        <v>3.4059999999999993E-3</v>
      </c>
      <c r="AS121">
        <f t="shared" si="25"/>
        <v>4.3230000000000005E-3</v>
      </c>
      <c r="AT121">
        <f t="shared" si="25"/>
        <v>4.679E-3</v>
      </c>
      <c r="AU121">
        <f t="shared" si="25"/>
        <v>4.7299999999999998E-3</v>
      </c>
      <c r="AV121">
        <f t="shared" si="25"/>
        <v>4.594E-3</v>
      </c>
      <c r="AW121">
        <f t="shared" si="25"/>
        <v>4.9259999999999998E-3</v>
      </c>
      <c r="AX121">
        <f t="shared" si="25"/>
        <v>4.1389999999999995E-3</v>
      </c>
      <c r="AY121">
        <f t="shared" si="25"/>
        <v>3.4349999999999997E-3</v>
      </c>
      <c r="AZ121">
        <f t="shared" si="25"/>
        <v>3.643E-3</v>
      </c>
      <c r="BA121">
        <f t="shared" si="25"/>
        <v>3.5259999999999996E-3</v>
      </c>
      <c r="BB121">
        <f t="shared" si="25"/>
        <v>2.366E-3</v>
      </c>
      <c r="BC121">
        <f t="shared" si="25"/>
        <v>2.6510000000000001E-3</v>
      </c>
      <c r="BD121">
        <f t="shared" si="25"/>
        <v>2.114E-3</v>
      </c>
      <c r="BE121">
        <f t="shared" si="25"/>
        <v>1.5049999999999998E-3</v>
      </c>
      <c r="BF121">
        <f t="shared" si="25"/>
        <v>1.8519999999999999E-3</v>
      </c>
      <c r="BG121">
        <f t="shared" si="25"/>
        <v>1.6539999999999999E-3</v>
      </c>
      <c r="BH121">
        <f t="shared" si="25"/>
        <v>1.908E-3</v>
      </c>
      <c r="BI121">
        <f t="shared" si="25"/>
        <v>2.1849999999999999E-3</v>
      </c>
      <c r="BJ121">
        <f t="shared" si="25"/>
        <v>2.8419999999999999E-3</v>
      </c>
      <c r="BK121">
        <f t="shared" si="25"/>
        <v>2.826E-3</v>
      </c>
      <c r="BL121">
        <f t="shared" si="25"/>
        <v>3.7889999999999998E-3</v>
      </c>
      <c r="BM121">
        <f t="shared" si="25"/>
        <v>3.2300000000000002E-3</v>
      </c>
      <c r="BN121">
        <f t="shared" si="25"/>
        <v>2.8900000000000002E-3</v>
      </c>
      <c r="BO121">
        <f t="shared" ref="BO121" si="26">BO104+BO112</f>
        <v>2.5530000000000001E-3</v>
      </c>
      <c r="BP121">
        <f t="shared" si="23"/>
        <v>1.6049999999999999E-3</v>
      </c>
      <c r="BQ121">
        <f t="shared" si="24"/>
        <v>9.549999999999999E-4</v>
      </c>
      <c r="BR121">
        <f t="shared" si="24"/>
        <v>1.4799999999999997E-4</v>
      </c>
      <c r="BS121">
        <f t="shared" si="24"/>
        <v>-8.8999999999999995E-5</v>
      </c>
      <c r="BT121">
        <f t="shared" si="24"/>
        <v>2.248E-3</v>
      </c>
      <c r="BU121">
        <f t="shared" si="24"/>
        <v>1.4140000000000001E-3</v>
      </c>
      <c r="BV121">
        <f t="shared" si="24"/>
        <v>1.47E-3</v>
      </c>
      <c r="BW121">
        <f t="shared" si="24"/>
        <v>1.9919999999999998E-3</v>
      </c>
      <c r="BX121">
        <f t="shared" si="24"/>
        <v>1.565E-3</v>
      </c>
      <c r="BY121">
        <f t="shared" si="24"/>
        <v>1.9480000000000001E-3</v>
      </c>
      <c r="BZ121">
        <f t="shared" si="24"/>
        <v>1.9410000000000002E-3</v>
      </c>
      <c r="CA121">
        <f t="shared" si="24"/>
        <v>2.1209999999999996E-3</v>
      </c>
      <c r="CB121">
        <f t="shared" si="24"/>
        <v>8.7699999999999996E-4</v>
      </c>
      <c r="CC121">
        <f t="shared" si="24"/>
        <v>-4.2999000000000005E-4</v>
      </c>
      <c r="CD121">
        <f t="shared" si="24"/>
        <v>-1.271E-3</v>
      </c>
      <c r="CE121">
        <f t="shared" si="24"/>
        <v>-2.0709999999999999E-3</v>
      </c>
      <c r="CF121">
        <f t="shared" si="24"/>
        <v>-2.0219999999999999E-3</v>
      </c>
      <c r="CG121">
        <f t="shared" si="24"/>
        <v>-1.9300000000000003E-4</v>
      </c>
      <c r="CH121">
        <f t="shared" si="24"/>
        <v>-2.16E-3</v>
      </c>
      <c r="CI121">
        <f t="shared" si="24"/>
        <v>-1.983E-3</v>
      </c>
      <c r="CJ121">
        <f t="shared" si="24"/>
        <v>-1.567E-3</v>
      </c>
      <c r="CK121">
        <f t="shared" si="24"/>
        <v>1.4100000000000001E-4</v>
      </c>
      <c r="CL121">
        <f t="shared" si="24"/>
        <v>-1.1099999999999999E-3</v>
      </c>
      <c r="CM121">
        <f t="shared" si="24"/>
        <v>-3.5230000000000001E-3</v>
      </c>
      <c r="CN121">
        <f t="shared" si="24"/>
        <v>-4.1250000000000002E-3</v>
      </c>
      <c r="CO121">
        <f t="shared" si="24"/>
        <v>-4.5719999999999997E-3</v>
      </c>
      <c r="CP121">
        <f t="shared" si="24"/>
        <v>-6.1110000000000001E-3</v>
      </c>
      <c r="CQ121">
        <f t="shared" si="24"/>
        <v>-1.2834E-2</v>
      </c>
      <c r="CR121">
        <f t="shared" si="24"/>
        <v>-1.7687000000000001E-2</v>
      </c>
      <c r="CS121">
        <f t="shared" si="24"/>
        <v>-2.1647E-2</v>
      </c>
      <c r="CT121">
        <f t="shared" si="24"/>
        <v>-1.3231999999999999E-2</v>
      </c>
      <c r="CU121">
        <f t="shared" si="24"/>
        <v>-1.3727E-2</v>
      </c>
      <c r="CV121">
        <f t="shared" si="24"/>
        <v>-1.5570599999999999E-2</v>
      </c>
      <c r="CW121">
        <f t="shared" si="24"/>
        <v>7.76E-4</v>
      </c>
      <c r="CX121">
        <f t="shared" si="24"/>
        <v>-2.7559999999999998E-3</v>
      </c>
    </row>
    <row r="122" spans="1:102" x14ac:dyDescent="0.2">
      <c r="A122" t="s">
        <v>213</v>
      </c>
      <c r="B122" t="s">
        <v>220</v>
      </c>
      <c r="C122" t="s">
        <v>223</v>
      </c>
      <c r="D122">
        <f t="shared" ref="D122:BO124" si="27">D105+D113</f>
        <v>-2.568E-3</v>
      </c>
      <c r="E122">
        <f t="shared" si="27"/>
        <v>-2.568E-3</v>
      </c>
      <c r="F122">
        <f t="shared" si="27"/>
        <v>-2.568E-3</v>
      </c>
      <c r="G122">
        <f t="shared" si="27"/>
        <v>0.27881</v>
      </c>
      <c r="H122">
        <f t="shared" si="27"/>
        <v>-2.4539999999999999E-2</v>
      </c>
      <c r="I122">
        <f t="shared" si="27"/>
        <v>-5.6190000000000004E-2</v>
      </c>
      <c r="J122">
        <f t="shared" si="27"/>
        <v>-1.932E-2</v>
      </c>
      <c r="K122">
        <f t="shared" si="27"/>
        <v>-4.981E-2</v>
      </c>
      <c r="L122">
        <f t="shared" si="27"/>
        <v>-5.5979999999999995E-2</v>
      </c>
      <c r="M122">
        <f t="shared" si="27"/>
        <v>-3.9949999999999999E-2</v>
      </c>
      <c r="N122">
        <f t="shared" si="27"/>
        <v>-2.1500000000000002E-2</v>
      </c>
      <c r="O122">
        <f t="shared" si="27"/>
        <v>-9.7700000000000009E-3</v>
      </c>
      <c r="P122">
        <f t="shared" si="27"/>
        <v>2.5499999999999998E-2</v>
      </c>
      <c r="Q122">
        <f t="shared" si="27"/>
        <v>3.0350000000000002E-2</v>
      </c>
      <c r="R122">
        <f t="shared" si="27"/>
        <v>6.1919999999999996E-2</v>
      </c>
      <c r="S122">
        <f t="shared" si="27"/>
        <v>2.1220000000000003E-2</v>
      </c>
      <c r="T122">
        <f t="shared" si="27"/>
        <v>2.0789999999999999E-2</v>
      </c>
      <c r="U122">
        <f t="shared" si="27"/>
        <v>-6.2700000000000004E-3</v>
      </c>
      <c r="V122">
        <f t="shared" si="27"/>
        <v>-1.0500000000000002E-3</v>
      </c>
      <c r="W122">
        <f t="shared" si="27"/>
        <v>-1.3309999999999999E-2</v>
      </c>
      <c r="X122">
        <f t="shared" si="27"/>
        <v>1.023E-2</v>
      </c>
      <c r="Y122">
        <f t="shared" si="27"/>
        <v>8.8100000000000001E-3</v>
      </c>
      <c r="Z122">
        <f t="shared" si="27"/>
        <v>-4.8000000000000017E-4</v>
      </c>
      <c r="AA122">
        <f t="shared" si="27"/>
        <v>-4.3899999999999998E-3</v>
      </c>
      <c r="AB122">
        <f t="shared" si="27"/>
        <v>-1.8350000000000002E-2</v>
      </c>
      <c r="AC122">
        <f t="shared" si="27"/>
        <v>-1.4789999999999999E-2</v>
      </c>
      <c r="AD122">
        <f t="shared" si="27"/>
        <v>-1.1859999999999999E-2</v>
      </c>
      <c r="AE122">
        <f t="shared" si="27"/>
        <v>-1.788E-2</v>
      </c>
      <c r="AF122">
        <f t="shared" si="27"/>
        <v>-1.47E-2</v>
      </c>
      <c r="AG122">
        <f t="shared" si="27"/>
        <v>-2.5839999999999998E-2</v>
      </c>
      <c r="AH122">
        <f t="shared" si="27"/>
        <v>-1.6500000000000001E-2</v>
      </c>
      <c r="AI122">
        <f t="shared" si="27"/>
        <v>-1.2369999999999999E-2</v>
      </c>
      <c r="AJ122">
        <f t="shared" si="27"/>
        <v>-1.519E-2</v>
      </c>
      <c r="AK122">
        <f t="shared" si="27"/>
        <v>-1.259E-2</v>
      </c>
      <c r="AL122">
        <f t="shared" si="27"/>
        <v>-3.8900000000000002E-3</v>
      </c>
      <c r="AM122">
        <f t="shared" si="27"/>
        <v>4.9299999999999995E-3</v>
      </c>
      <c r="AN122">
        <f t="shared" si="27"/>
        <v>6.94E-3</v>
      </c>
      <c r="AO122">
        <f t="shared" si="27"/>
        <v>-7.8100000000000001E-3</v>
      </c>
      <c r="AP122">
        <f t="shared" si="27"/>
        <v>-1.4549999999999999E-3</v>
      </c>
      <c r="AQ122">
        <f t="shared" si="27"/>
        <v>1.5999999999999999E-3</v>
      </c>
      <c r="AR122">
        <f t="shared" si="27"/>
        <v>-5.6900000000000006E-3</v>
      </c>
      <c r="AS122">
        <f t="shared" si="27"/>
        <v>-4.5700000000000003E-3</v>
      </c>
      <c r="AT122">
        <f t="shared" si="27"/>
        <v>-3.4000000000000002E-3</v>
      </c>
      <c r="AU122">
        <f t="shared" si="27"/>
        <v>-7.6399999999999992E-3</v>
      </c>
      <c r="AV122">
        <f t="shared" si="27"/>
        <v>-5.2600000000000008E-3</v>
      </c>
      <c r="AW122">
        <f t="shared" si="27"/>
        <v>3.5399999999999997E-3</v>
      </c>
      <c r="AX122">
        <f t="shared" si="27"/>
        <v>-1.0000000000000005E-4</v>
      </c>
      <c r="AY122">
        <f t="shared" si="27"/>
        <v>-4.3600000000000002E-3</v>
      </c>
      <c r="AZ122">
        <f t="shared" si="27"/>
        <v>8.3999999999999995E-3</v>
      </c>
      <c r="BA122">
        <f t="shared" si="27"/>
        <v>1.302E-2</v>
      </c>
      <c r="BB122">
        <f t="shared" si="27"/>
        <v>1.3769999999999999E-2</v>
      </c>
      <c r="BC122">
        <f t="shared" si="27"/>
        <v>1.721E-2</v>
      </c>
      <c r="BD122">
        <f t="shared" si="27"/>
        <v>1.967E-2</v>
      </c>
      <c r="BE122">
        <f t="shared" si="27"/>
        <v>2.5150000000000002E-2</v>
      </c>
      <c r="BF122">
        <f t="shared" si="27"/>
        <v>2.6540000000000001E-2</v>
      </c>
      <c r="BG122">
        <f t="shared" si="27"/>
        <v>1.209E-2</v>
      </c>
      <c r="BH122">
        <f t="shared" si="27"/>
        <v>-1.242E-3</v>
      </c>
      <c r="BI122">
        <f t="shared" si="27"/>
        <v>-3.6499999999999996E-3</v>
      </c>
      <c r="BJ122">
        <f t="shared" si="27"/>
        <v>-3.3600000000000001E-3</v>
      </c>
      <c r="BK122">
        <f t="shared" si="27"/>
        <v>-1.853E-3</v>
      </c>
      <c r="BL122">
        <f t="shared" si="27"/>
        <v>-3.4499999999999999E-3</v>
      </c>
      <c r="BM122">
        <f t="shared" si="27"/>
        <v>8.3000000000000001E-4</v>
      </c>
      <c r="BN122">
        <f t="shared" si="27"/>
        <v>7.5799999999999999E-3</v>
      </c>
      <c r="BO122">
        <f t="shared" si="27"/>
        <v>4.8700000000000002E-3</v>
      </c>
      <c r="BP122">
        <f t="shared" si="23"/>
        <v>9.3399999999999993E-3</v>
      </c>
      <c r="BQ122">
        <f t="shared" si="24"/>
        <v>5.62E-3</v>
      </c>
      <c r="BR122">
        <f t="shared" si="24"/>
        <v>1.1808000000000001E-2</v>
      </c>
      <c r="BS122">
        <f t="shared" si="24"/>
        <v>1.188E-2</v>
      </c>
      <c r="BT122">
        <f t="shared" si="24"/>
        <v>1.8350000000000002E-2</v>
      </c>
      <c r="BU122">
        <f t="shared" si="24"/>
        <v>2.1625999999999999E-2</v>
      </c>
      <c r="BV122">
        <f t="shared" si="24"/>
        <v>2.5821E-2</v>
      </c>
      <c r="BW122">
        <f t="shared" si="24"/>
        <v>1.3414000000000001E-2</v>
      </c>
      <c r="BX122">
        <f t="shared" si="24"/>
        <v>1.121E-3</v>
      </c>
      <c r="BY122">
        <f t="shared" si="24"/>
        <v>6.4149999999999997E-3</v>
      </c>
      <c r="BZ122">
        <f t="shared" si="24"/>
        <v>6.515E-3</v>
      </c>
      <c r="CA122">
        <f t="shared" si="24"/>
        <v>1.4134000000000001E-2</v>
      </c>
      <c r="CB122">
        <f t="shared" si="24"/>
        <v>3.4727000000000001E-2</v>
      </c>
      <c r="CC122">
        <f t="shared" si="24"/>
        <v>4.8888000000000001E-2</v>
      </c>
      <c r="CD122">
        <f t="shared" si="24"/>
        <v>3.6393000000000002E-2</v>
      </c>
      <c r="CE122">
        <f t="shared" si="24"/>
        <v>1.3566E-2</v>
      </c>
      <c r="CF122">
        <f t="shared" si="24"/>
        <v>1.4669999999999999E-2</v>
      </c>
      <c r="CG122">
        <f t="shared" si="24"/>
        <v>2.1353E-2</v>
      </c>
      <c r="CH122">
        <f t="shared" si="24"/>
        <v>2.4124E-2</v>
      </c>
      <c r="CI122">
        <f t="shared" si="24"/>
        <v>1.5239999999999998E-2</v>
      </c>
      <c r="CJ122">
        <f t="shared" si="24"/>
        <v>1.2369999999999999E-2</v>
      </c>
      <c r="CK122">
        <f t="shared" si="24"/>
        <v>6.0600000000000003E-3</v>
      </c>
      <c r="CL122">
        <f t="shared" si="24"/>
        <v>6.1200000000000004E-3</v>
      </c>
      <c r="CM122">
        <f t="shared" si="24"/>
        <v>2.8699999999999997E-3</v>
      </c>
      <c r="CN122">
        <f t="shared" si="24"/>
        <v>-2.66E-3</v>
      </c>
      <c r="CO122">
        <f t="shared" si="24"/>
        <v>4.2500000000000003E-3</v>
      </c>
      <c r="CP122">
        <f t="shared" si="24"/>
        <v>-5.1879999999999996E-2</v>
      </c>
      <c r="CQ122">
        <f t="shared" si="24"/>
        <v>-5.8810000000000001E-2</v>
      </c>
      <c r="CR122">
        <f t="shared" si="24"/>
        <v>-0.28318000000000004</v>
      </c>
      <c r="CS122">
        <f t="shared" si="24"/>
        <v>-3.0019999999999998E-2</v>
      </c>
      <c r="CT122">
        <f t="shared" si="24"/>
        <v>-2.8389999999999999E-2</v>
      </c>
      <c r="CU122">
        <f t="shared" si="24"/>
        <v>1.6379999999999999E-2</v>
      </c>
      <c r="CV122">
        <f t="shared" si="24"/>
        <v>0.62192999999999998</v>
      </c>
      <c r="CW122">
        <f t="shared" si="24"/>
        <v>0.22491</v>
      </c>
      <c r="CX122">
        <f t="shared" si="24"/>
        <v>8.030000000000001E-2</v>
      </c>
    </row>
    <row r="123" spans="1:102" x14ac:dyDescent="0.2">
      <c r="A123" t="s">
        <v>214</v>
      </c>
      <c r="B123" t="s">
        <v>220</v>
      </c>
      <c r="C123" t="s">
        <v>223</v>
      </c>
      <c r="D123">
        <f t="shared" si="27"/>
        <v>-5.5599999999999996E-4</v>
      </c>
      <c r="E123">
        <f t="shared" si="27"/>
        <v>-5.5599999999999996E-4</v>
      </c>
      <c r="F123">
        <f t="shared" si="27"/>
        <v>-5.5599999999999996E-4</v>
      </c>
      <c r="G123">
        <f t="shared" si="27"/>
        <v>-6.2239999999999997E-2</v>
      </c>
      <c r="H123">
        <f t="shared" si="27"/>
        <v>-2.4343E-2</v>
      </c>
      <c r="I123">
        <f t="shared" si="27"/>
        <v>-5.1172000000000002E-2</v>
      </c>
      <c r="J123">
        <f t="shared" si="27"/>
        <v>-4.4933000000000001E-2</v>
      </c>
      <c r="K123">
        <f t="shared" si="27"/>
        <v>-3.9933000000000003E-2</v>
      </c>
      <c r="L123">
        <f t="shared" si="27"/>
        <v>-3.1323000000000004E-2</v>
      </c>
      <c r="M123">
        <f t="shared" si="27"/>
        <v>-3.2361000000000001E-2</v>
      </c>
      <c r="N123">
        <f t="shared" si="27"/>
        <v>-3.3598000000000003E-2</v>
      </c>
      <c r="O123">
        <f t="shared" si="27"/>
        <v>-2.4865000000000002E-2</v>
      </c>
      <c r="P123">
        <f t="shared" si="27"/>
        <v>-1.9550000000000001E-2</v>
      </c>
      <c r="Q123">
        <f t="shared" si="27"/>
        <v>-2.2233999999999997E-2</v>
      </c>
      <c r="R123">
        <f t="shared" si="27"/>
        <v>-1.2315E-2</v>
      </c>
      <c r="S123">
        <f t="shared" si="27"/>
        <v>-9.7660000000000004E-3</v>
      </c>
      <c r="T123">
        <f t="shared" si="27"/>
        <v>-8.7180000000000001E-3</v>
      </c>
      <c r="U123">
        <f t="shared" si="27"/>
        <v>-8.1329999999999996E-3</v>
      </c>
      <c r="V123">
        <f t="shared" si="27"/>
        <v>-7.0439999999999999E-3</v>
      </c>
      <c r="W123">
        <f t="shared" si="27"/>
        <v>-1.1220000000000001E-2</v>
      </c>
      <c r="X123">
        <f t="shared" si="27"/>
        <v>-1.9519999999999999E-2</v>
      </c>
      <c r="Y123">
        <f t="shared" si="27"/>
        <v>-1.3642E-2</v>
      </c>
      <c r="Z123">
        <f t="shared" si="27"/>
        <v>-5.7670000000000004E-3</v>
      </c>
      <c r="AA123">
        <f t="shared" si="27"/>
        <v>-7.7510000000000001E-3</v>
      </c>
      <c r="AB123">
        <f t="shared" si="27"/>
        <v>-9.1509999999999994E-3</v>
      </c>
      <c r="AC123">
        <f t="shared" si="27"/>
        <v>-1.2387E-2</v>
      </c>
      <c r="AD123">
        <f t="shared" si="27"/>
        <v>-1.1271999999999999E-2</v>
      </c>
      <c r="AE123">
        <f t="shared" si="27"/>
        <v>-1.222E-2</v>
      </c>
      <c r="AF123">
        <f t="shared" si="27"/>
        <v>-1.5998999999999999E-2</v>
      </c>
      <c r="AG123">
        <f t="shared" si="27"/>
        <v>-1.1391999999999999E-2</v>
      </c>
      <c r="AH123">
        <f t="shared" si="27"/>
        <v>-8.294000000000001E-3</v>
      </c>
      <c r="AI123">
        <f t="shared" si="27"/>
        <v>-1.2315000000000001E-2</v>
      </c>
      <c r="AJ123">
        <f t="shared" si="27"/>
        <v>-1.1562000000000001E-2</v>
      </c>
      <c r="AK123">
        <f t="shared" si="27"/>
        <v>-1.1111999999999999E-2</v>
      </c>
      <c r="AL123">
        <f t="shared" si="27"/>
        <v>-7.4219999999999998E-3</v>
      </c>
      <c r="AM123">
        <f t="shared" si="27"/>
        <v>-7.3800000000000003E-3</v>
      </c>
      <c r="AN123">
        <f t="shared" si="27"/>
        <v>-9.2709999999999997E-3</v>
      </c>
      <c r="AO123">
        <f t="shared" si="27"/>
        <v>-1.0558E-2</v>
      </c>
      <c r="AP123">
        <f t="shared" si="27"/>
        <v>-9.0489999999999998E-3</v>
      </c>
      <c r="AQ123">
        <f t="shared" si="27"/>
        <v>-1.1838E-2</v>
      </c>
      <c r="AR123">
        <f t="shared" si="27"/>
        <v>-1.0489999999999999E-2</v>
      </c>
      <c r="AS123">
        <f t="shared" si="27"/>
        <v>-9.1430000000000001E-3</v>
      </c>
      <c r="AT123">
        <f t="shared" si="27"/>
        <v>-7.7000000000000011E-3</v>
      </c>
      <c r="AU123">
        <f t="shared" si="27"/>
        <v>-5.7019999999999996E-3</v>
      </c>
      <c r="AV123">
        <f t="shared" si="27"/>
        <v>-1.4277E-2</v>
      </c>
      <c r="AW123">
        <f t="shared" si="27"/>
        <v>-1.1859E-2</v>
      </c>
      <c r="AX123">
        <f t="shared" si="27"/>
        <v>-8.1519999999999995E-3</v>
      </c>
      <c r="AY123">
        <f t="shared" si="27"/>
        <v>-1.3806299999999999E-2</v>
      </c>
      <c r="AZ123">
        <f t="shared" si="27"/>
        <v>-1.2917099999999999E-2</v>
      </c>
      <c r="BA123">
        <f t="shared" si="27"/>
        <v>-1.40038E-2</v>
      </c>
      <c r="BB123">
        <f t="shared" si="27"/>
        <v>-1.51091E-2</v>
      </c>
      <c r="BC123">
        <f t="shared" si="27"/>
        <v>-8.175E-3</v>
      </c>
      <c r="BD123">
        <f t="shared" si="27"/>
        <v>-7.7560000000000007E-3</v>
      </c>
      <c r="BE123">
        <f t="shared" si="27"/>
        <v>-1.06444E-2</v>
      </c>
      <c r="BF123">
        <f t="shared" si="27"/>
        <v>-1.6156E-2</v>
      </c>
      <c r="BG123">
        <f t="shared" si="27"/>
        <v>-1.20512E-2</v>
      </c>
      <c r="BH123">
        <f t="shared" si="27"/>
        <v>-2.7099999999999997E-4</v>
      </c>
      <c r="BI123">
        <f t="shared" si="27"/>
        <v>-9.6547000000000004E-3</v>
      </c>
      <c r="BJ123">
        <f t="shared" si="27"/>
        <v>-2.7571200000000001E-2</v>
      </c>
      <c r="BK123">
        <f t="shared" si="27"/>
        <v>-1.61899E-2</v>
      </c>
      <c r="BL123">
        <f t="shared" si="27"/>
        <v>-1.59481E-2</v>
      </c>
      <c r="BM123">
        <f t="shared" si="27"/>
        <v>-1.2923899999999999E-2</v>
      </c>
      <c r="BN123">
        <f t="shared" si="27"/>
        <v>-1.329115E-2</v>
      </c>
      <c r="BO123">
        <f t="shared" si="27"/>
        <v>-1.17187E-2</v>
      </c>
      <c r="BP123">
        <f t="shared" si="23"/>
        <v>-2.0074999999999999E-2</v>
      </c>
      <c r="BQ123">
        <f t="shared" si="24"/>
        <v>-1.20678E-2</v>
      </c>
      <c r="BR123">
        <f t="shared" si="24"/>
        <v>-1.8758500000000001E-2</v>
      </c>
      <c r="BS123">
        <f t="shared" si="24"/>
        <v>-2.1023E-2</v>
      </c>
      <c r="BT123">
        <f t="shared" si="24"/>
        <v>-1.6116999999999999E-2</v>
      </c>
      <c r="BU123">
        <f t="shared" si="24"/>
        <v>-2.0372999999999999E-2</v>
      </c>
      <c r="BV123">
        <f t="shared" si="24"/>
        <v>-2.3488000000000002E-2</v>
      </c>
      <c r="BW123">
        <f t="shared" si="24"/>
        <v>-1.30511E-2</v>
      </c>
      <c r="BX123">
        <f t="shared" si="24"/>
        <v>-2.1453E-2</v>
      </c>
      <c r="BY123">
        <f t="shared" si="24"/>
        <v>-3.6181000000000005E-2</v>
      </c>
      <c r="BZ123">
        <f t="shared" si="24"/>
        <v>-2.3148999999999999E-2</v>
      </c>
      <c r="CA123">
        <f t="shared" si="24"/>
        <v>-2.7456999999999999E-2</v>
      </c>
      <c r="CB123">
        <f t="shared" si="24"/>
        <v>-2.2758E-2</v>
      </c>
      <c r="CC123">
        <f t="shared" si="24"/>
        <v>-2.2327E-2</v>
      </c>
      <c r="CD123">
        <f t="shared" si="24"/>
        <v>-2.5822000000000001E-2</v>
      </c>
      <c r="CE123">
        <f t="shared" si="24"/>
        <v>-2.1111000000000001E-2</v>
      </c>
      <c r="CF123">
        <f t="shared" si="24"/>
        <v>-2.1942E-2</v>
      </c>
      <c r="CG123">
        <f t="shared" si="24"/>
        <v>-2.3774E-2</v>
      </c>
      <c r="CH123">
        <f t="shared" si="24"/>
        <v>-2.5425E-2</v>
      </c>
      <c r="CI123">
        <f t="shared" si="24"/>
        <v>-3.7612E-2</v>
      </c>
      <c r="CJ123">
        <f t="shared" si="24"/>
        <v>-4.3244000000000005E-2</v>
      </c>
      <c r="CK123">
        <f t="shared" si="24"/>
        <v>-5.6409999999999995E-2</v>
      </c>
      <c r="CL123">
        <f t="shared" si="24"/>
        <v>-5.5930000000000001E-2</v>
      </c>
      <c r="CM123">
        <f t="shared" si="24"/>
        <v>-5.5730000000000002E-2</v>
      </c>
      <c r="CN123">
        <f t="shared" si="24"/>
        <v>-6.9870000000000002E-2</v>
      </c>
      <c r="CO123">
        <f t="shared" si="24"/>
        <v>-8.363000000000001E-2</v>
      </c>
      <c r="CP123">
        <f t="shared" si="24"/>
        <v>-0.12281</v>
      </c>
      <c r="CQ123">
        <f t="shared" si="24"/>
        <v>-0.13111</v>
      </c>
      <c r="CR123">
        <f t="shared" si="24"/>
        <v>-0.22731000000000001</v>
      </c>
      <c r="CS123">
        <f t="shared" si="24"/>
        <v>-4.7140000000000001E-2</v>
      </c>
      <c r="CT123">
        <f t="shared" si="24"/>
        <v>-2.18E-2</v>
      </c>
      <c r="CU123">
        <f t="shared" si="24"/>
        <v>-4.0190000000000003E-2</v>
      </c>
      <c r="CV123">
        <f t="shared" si="24"/>
        <v>9.466999999999999E-2</v>
      </c>
      <c r="CW123">
        <f t="shared" si="24"/>
        <v>2.099999999999999E-4</v>
      </c>
      <c r="CX123">
        <f t="shared" si="24"/>
        <v>1.4400000000000001E-2</v>
      </c>
    </row>
    <row r="124" spans="1:102" x14ac:dyDescent="0.2">
      <c r="A124" t="s">
        <v>215</v>
      </c>
      <c r="B124" t="s">
        <v>220</v>
      </c>
      <c r="C124" t="s">
        <v>223</v>
      </c>
      <c r="D124">
        <f t="shared" si="27"/>
        <v>1.1738999999999999E-2</v>
      </c>
      <c r="E124">
        <f t="shared" si="27"/>
        <v>1.1738999999999999E-2</v>
      </c>
      <c r="F124">
        <f t="shared" si="27"/>
        <v>1.1738999999999999E-2</v>
      </c>
      <c r="G124">
        <f t="shared" si="27"/>
        <v>-3.1130000000000001E-2</v>
      </c>
      <c r="H124">
        <f t="shared" si="27"/>
        <v>7.7399999999999997E-2</v>
      </c>
      <c r="I124">
        <f t="shared" si="27"/>
        <v>4.5699999999999998E-2</v>
      </c>
      <c r="J124">
        <f t="shared" si="27"/>
        <v>-8.0529999999999994E-3</v>
      </c>
      <c r="K124">
        <f t="shared" si="27"/>
        <v>-5.7120000000000004E-2</v>
      </c>
      <c r="L124">
        <f t="shared" si="27"/>
        <v>-8.4959999999999994E-2</v>
      </c>
      <c r="M124">
        <f t="shared" si="27"/>
        <v>-6.0909999999999999E-2</v>
      </c>
      <c r="N124">
        <f t="shared" si="27"/>
        <v>-5.1180000000000003E-2</v>
      </c>
      <c r="O124">
        <f t="shared" si="27"/>
        <v>-4.2002999999999999E-2</v>
      </c>
      <c r="P124">
        <f t="shared" si="27"/>
        <v>-2.6460000000000001E-2</v>
      </c>
      <c r="Q124">
        <f t="shared" si="27"/>
        <v>-1.7534000000000001E-2</v>
      </c>
      <c r="R124">
        <f t="shared" si="27"/>
        <v>-6.3281500000000003E-3</v>
      </c>
      <c r="S124">
        <f t="shared" si="27"/>
        <v>-1.2126E-2</v>
      </c>
      <c r="T124">
        <f t="shared" si="27"/>
        <v>-1.2112000000000001E-2</v>
      </c>
      <c r="U124">
        <f t="shared" si="27"/>
        <v>-1.129E-2</v>
      </c>
      <c r="V124">
        <f t="shared" si="27"/>
        <v>-9.606E-3</v>
      </c>
      <c r="W124">
        <f t="shared" si="27"/>
        <v>-7.2699999999999996E-3</v>
      </c>
      <c r="X124">
        <f t="shared" si="27"/>
        <v>-6.7300000000000007E-3</v>
      </c>
      <c r="Y124">
        <f t="shared" si="27"/>
        <v>-7.499999999999998E-4</v>
      </c>
      <c r="Z124">
        <f t="shared" si="27"/>
        <v>-1.0100000000000003E-3</v>
      </c>
      <c r="AA124">
        <f t="shared" si="27"/>
        <v>3.0000000000000079E-5</v>
      </c>
      <c r="AB124">
        <f t="shared" si="27"/>
        <v>-4.2000000000000002E-4</v>
      </c>
      <c r="AC124">
        <f t="shared" si="27"/>
        <v>3.9100000000000003E-3</v>
      </c>
      <c r="AD124">
        <f t="shared" si="27"/>
        <v>3.2799999999999999E-3</v>
      </c>
      <c r="AE124">
        <f t="shared" si="27"/>
        <v>-1.1400000000000002E-3</v>
      </c>
      <c r="AF124">
        <f t="shared" si="27"/>
        <v>-1.4999999999999998E-3</v>
      </c>
      <c r="AG124">
        <f t="shared" si="27"/>
        <v>-3.5999999999999999E-3</v>
      </c>
      <c r="AH124">
        <f t="shared" si="27"/>
        <v>-2.6900000000000006E-3</v>
      </c>
      <c r="AI124">
        <f t="shared" si="27"/>
        <v>7.8900000000000012E-3</v>
      </c>
      <c r="AJ124">
        <f t="shared" si="27"/>
        <v>1.4100000000000001E-2</v>
      </c>
      <c r="AK124">
        <f t="shared" si="27"/>
        <v>1.5939999999999999E-2</v>
      </c>
      <c r="AL124">
        <f t="shared" si="27"/>
        <v>1.2969999999999999E-2</v>
      </c>
      <c r="AM124">
        <f t="shared" si="27"/>
        <v>1.4159999999999999E-2</v>
      </c>
      <c r="AN124">
        <f t="shared" si="27"/>
        <v>1.5350000000000001E-2</v>
      </c>
      <c r="AO124">
        <f t="shared" si="27"/>
        <v>1.4489999999999999E-2</v>
      </c>
      <c r="AP124">
        <f t="shared" si="27"/>
        <v>1.2979999999999998E-2</v>
      </c>
      <c r="AQ124">
        <f t="shared" si="27"/>
        <v>1.4800000000000001E-2</v>
      </c>
      <c r="AR124">
        <f t="shared" si="27"/>
        <v>2.061E-2</v>
      </c>
      <c r="AS124">
        <f t="shared" si="27"/>
        <v>1.653E-2</v>
      </c>
      <c r="AT124">
        <f t="shared" si="27"/>
        <v>1.857E-2</v>
      </c>
      <c r="AU124">
        <f t="shared" si="27"/>
        <v>1.6119999999999999E-2</v>
      </c>
      <c r="AV124">
        <f t="shared" si="27"/>
        <v>1.389E-2</v>
      </c>
      <c r="AW124">
        <f t="shared" si="27"/>
        <v>1.1949999999999999E-2</v>
      </c>
      <c r="AX124">
        <f t="shared" si="27"/>
        <v>1.238E-2</v>
      </c>
      <c r="AY124">
        <f t="shared" si="27"/>
        <v>8.7899999999999992E-3</v>
      </c>
      <c r="AZ124">
        <f t="shared" si="27"/>
        <v>8.8199999999999997E-3</v>
      </c>
      <c r="BA124">
        <f t="shared" si="27"/>
        <v>1.653E-2</v>
      </c>
      <c r="BB124">
        <f t="shared" si="27"/>
        <v>1.359E-2</v>
      </c>
      <c r="BC124">
        <f t="shared" si="27"/>
        <v>2.2869999999999998E-2</v>
      </c>
      <c r="BD124">
        <f t="shared" si="27"/>
        <v>2.7209999999999998E-2</v>
      </c>
      <c r="BE124">
        <f t="shared" si="27"/>
        <v>2.563E-2</v>
      </c>
      <c r="BF124">
        <f t="shared" si="27"/>
        <v>2.206E-2</v>
      </c>
      <c r="BG124">
        <f t="shared" si="27"/>
        <v>1.193E-2</v>
      </c>
      <c r="BH124">
        <f t="shared" si="27"/>
        <v>1.086E-2</v>
      </c>
      <c r="BI124">
        <f t="shared" si="27"/>
        <v>1.3130000000000001E-2</v>
      </c>
      <c r="BJ124">
        <f t="shared" si="27"/>
        <v>1.1739999999999999E-2</v>
      </c>
      <c r="BK124">
        <f t="shared" si="27"/>
        <v>1.098E-2</v>
      </c>
      <c r="BL124">
        <f t="shared" si="27"/>
        <v>1.388E-2</v>
      </c>
      <c r="BM124">
        <f t="shared" si="27"/>
        <v>1.52E-2</v>
      </c>
      <c r="BN124">
        <f t="shared" si="27"/>
        <v>1.8849999999999999E-2</v>
      </c>
      <c r="BO124">
        <f t="shared" si="27"/>
        <v>1.941E-2</v>
      </c>
      <c r="BP124">
        <f t="shared" si="23"/>
        <v>1.967E-2</v>
      </c>
      <c r="BQ124">
        <f t="shared" si="24"/>
        <v>2.0909999999999998E-2</v>
      </c>
      <c r="BR124">
        <f t="shared" si="24"/>
        <v>7.7099999999999998E-3</v>
      </c>
      <c r="BS124">
        <f t="shared" si="24"/>
        <v>5.7600000000000004E-3</v>
      </c>
      <c r="BT124">
        <f t="shared" si="24"/>
        <v>4.0720000000000001E-3</v>
      </c>
      <c r="BU124">
        <f t="shared" si="24"/>
        <v>1.451E-2</v>
      </c>
      <c r="BV124">
        <f t="shared" si="24"/>
        <v>9.3099999999999988E-3</v>
      </c>
      <c r="BW124">
        <f t="shared" si="24"/>
        <v>-1.4740000000000001E-2</v>
      </c>
      <c r="BX124">
        <f t="shared" si="24"/>
        <v>-1.4650000000000002E-2</v>
      </c>
      <c r="BY124">
        <f t="shared" si="24"/>
        <v>-1.9370000000000002E-2</v>
      </c>
      <c r="BZ124">
        <f t="shared" si="24"/>
        <v>-1.8169999999999999E-2</v>
      </c>
      <c r="CA124">
        <f t="shared" si="24"/>
        <v>-3.041E-2</v>
      </c>
      <c r="CB124">
        <f t="shared" si="24"/>
        <v>-3.1150000000000001E-2</v>
      </c>
      <c r="CC124">
        <f t="shared" si="24"/>
        <v>-2.6050000000000004E-2</v>
      </c>
      <c r="CD124">
        <f t="shared" si="24"/>
        <v>-1.116E-2</v>
      </c>
      <c r="CE124">
        <f t="shared" si="24"/>
        <v>-1.7760000000000001E-2</v>
      </c>
      <c r="CF124">
        <f t="shared" si="24"/>
        <v>-2.342E-2</v>
      </c>
      <c r="CG124">
        <f t="shared" si="24"/>
        <v>-3.0030000000000001E-2</v>
      </c>
      <c r="CH124">
        <f t="shared" ref="CH124:CX124" si="28">CH107+CH115</f>
        <v>-2.7600000000000003E-2</v>
      </c>
      <c r="CI124">
        <f t="shared" si="28"/>
        <v>-3.3949999999999994E-2</v>
      </c>
      <c r="CJ124">
        <f t="shared" si="28"/>
        <v>-4.5159999999999999E-2</v>
      </c>
      <c r="CK124">
        <f t="shared" si="28"/>
        <v>-5.3749999999999999E-2</v>
      </c>
      <c r="CL124">
        <f t="shared" si="28"/>
        <v>-5.083E-2</v>
      </c>
      <c r="CM124">
        <f t="shared" si="28"/>
        <v>-5.4679999999999999E-2</v>
      </c>
      <c r="CN124">
        <f t="shared" si="28"/>
        <v>-5.5169999999999997E-2</v>
      </c>
      <c r="CO124">
        <f t="shared" si="28"/>
        <v>-6.7979999999999999E-2</v>
      </c>
      <c r="CP124">
        <f t="shared" si="28"/>
        <v>-0.10579999999999999</v>
      </c>
      <c r="CQ124">
        <f t="shared" si="28"/>
        <v>-0.11900000000000001</v>
      </c>
      <c r="CR124">
        <f t="shared" si="28"/>
        <v>-0.17900000000000002</v>
      </c>
      <c r="CS124">
        <f t="shared" si="28"/>
        <v>-3.95E-2</v>
      </c>
      <c r="CT124">
        <f t="shared" si="28"/>
        <v>-1.9300000000000001E-2</v>
      </c>
      <c r="CU124">
        <f t="shared" si="28"/>
        <v>-2.4E-2</v>
      </c>
      <c r="CV124">
        <f t="shared" si="28"/>
        <v>8.7499999999999994E-2</v>
      </c>
      <c r="CW124">
        <f t="shared" si="28"/>
        <v>3.8399999999999997E-2</v>
      </c>
      <c r="CX124">
        <f t="shared" si="28"/>
        <v>5.5150000000000005E-2</v>
      </c>
    </row>
    <row r="125" spans="1:102" x14ac:dyDescent="0.2">
      <c r="A125" t="s">
        <v>216</v>
      </c>
      <c r="B125" t="s">
        <v>220</v>
      </c>
      <c r="C125" t="s">
        <v>223</v>
      </c>
      <c r="D125">
        <f>D116</f>
        <v>2.01E-2</v>
      </c>
      <c r="E125">
        <f t="shared" ref="E125:BP125" si="29">E116</f>
        <v>0.02</v>
      </c>
      <c r="F125">
        <f t="shared" si="29"/>
        <v>1.9900000000000001E-2</v>
      </c>
      <c r="G125">
        <f t="shared" si="29"/>
        <v>-0.48799999999999999</v>
      </c>
      <c r="H125">
        <f t="shared" si="29"/>
        <v>0.32500000000000001</v>
      </c>
      <c r="I125">
        <f t="shared" si="29"/>
        <v>0.505</v>
      </c>
      <c r="J125">
        <f t="shared" si="29"/>
        <v>0.59199999999999997</v>
      </c>
      <c r="K125">
        <f t="shared" si="29"/>
        <v>0.55100000000000005</v>
      </c>
      <c r="L125">
        <f t="shared" si="29"/>
        <v>0.63100000000000001</v>
      </c>
      <c r="M125">
        <f t="shared" si="29"/>
        <v>0.57099999999999995</v>
      </c>
      <c r="N125">
        <f t="shared" si="29"/>
        <v>0.47299999999999998</v>
      </c>
      <c r="O125">
        <f t="shared" si="29"/>
        <v>0.46700000000000003</v>
      </c>
      <c r="P125">
        <f t="shared" si="29"/>
        <v>0.30599999999999999</v>
      </c>
      <c r="Q125">
        <f t="shared" si="29"/>
        <v>0.248</v>
      </c>
      <c r="R125">
        <f t="shared" si="29"/>
        <v>0.122</v>
      </c>
      <c r="S125">
        <f t="shared" si="29"/>
        <v>0.24</v>
      </c>
      <c r="T125">
        <f t="shared" si="29"/>
        <v>0.219</v>
      </c>
      <c r="U125">
        <f t="shared" si="29"/>
        <v>0.26</v>
      </c>
      <c r="V125">
        <f t="shared" si="29"/>
        <v>0.20599999999999999</v>
      </c>
      <c r="W125">
        <f t="shared" si="29"/>
        <v>0.32200000000000001</v>
      </c>
      <c r="X125">
        <f t="shared" si="29"/>
        <v>0.17399999999999999</v>
      </c>
      <c r="Y125">
        <f t="shared" si="29"/>
        <v>0.13800000000000001</v>
      </c>
      <c r="Z125">
        <f t="shared" si="29"/>
        <v>0.16</v>
      </c>
      <c r="AA125">
        <f t="shared" si="29"/>
        <v>0.12</v>
      </c>
      <c r="AB125">
        <f t="shared" si="29"/>
        <v>0.18099999999999999</v>
      </c>
      <c r="AC125">
        <f t="shared" si="29"/>
        <v>0.182</v>
      </c>
      <c r="AD125">
        <f t="shared" si="29"/>
        <v>0.186</v>
      </c>
      <c r="AE125">
        <f t="shared" si="29"/>
        <v>0.188</v>
      </c>
      <c r="AF125">
        <f t="shared" si="29"/>
        <v>0.20499999999999999</v>
      </c>
      <c r="AG125">
        <f t="shared" si="29"/>
        <v>0.17399999999999999</v>
      </c>
      <c r="AH125">
        <f t="shared" si="29"/>
        <v>0.161</v>
      </c>
      <c r="AI125">
        <f t="shared" si="29"/>
        <v>0.14399999999999999</v>
      </c>
      <c r="AJ125">
        <f t="shared" si="29"/>
        <v>0.15</v>
      </c>
      <c r="AK125">
        <f t="shared" si="29"/>
        <v>0.115</v>
      </c>
      <c r="AL125">
        <f t="shared" si="29"/>
        <v>7.0999999999999994E-2</v>
      </c>
      <c r="AM125">
        <f t="shared" si="29"/>
        <v>3.4200000000000001E-2</v>
      </c>
      <c r="AN125">
        <f t="shared" si="29"/>
        <v>3.1899999999999998E-2</v>
      </c>
      <c r="AO125">
        <f t="shared" si="29"/>
        <v>6.6900000000000001E-2</v>
      </c>
      <c r="AP125">
        <f t="shared" si="29"/>
        <v>3.1399999999999997E-2</v>
      </c>
      <c r="AQ125">
        <f t="shared" si="29"/>
        <v>4.4699999999999997E-2</v>
      </c>
      <c r="AR125">
        <f t="shared" si="29"/>
        <v>5.5399999999999998E-2</v>
      </c>
      <c r="AS125">
        <f t="shared" si="29"/>
        <v>2.1499999999999998E-2</v>
      </c>
      <c r="AT125">
        <f t="shared" si="29"/>
        <v>3.8399999999999997E-2</v>
      </c>
      <c r="AU125">
        <f t="shared" si="29"/>
        <v>2.4299999999999999E-2</v>
      </c>
      <c r="AV125">
        <f t="shared" si="29"/>
        <v>5.3600000000000002E-2</v>
      </c>
      <c r="AW125">
        <f t="shared" si="29"/>
        <v>1.2800000000000001E-2</v>
      </c>
      <c r="AX125">
        <f t="shared" si="29"/>
        <v>1.03E-2</v>
      </c>
      <c r="AY125">
        <f t="shared" si="29"/>
        <v>1.4500000000000001E-2</v>
      </c>
      <c r="AZ125">
        <f t="shared" si="29"/>
        <v>8.6200000000000003E-4</v>
      </c>
      <c r="BA125">
        <f t="shared" si="29"/>
        <v>-3.3000000000000002E-2</v>
      </c>
      <c r="BB125">
        <f t="shared" si="29"/>
        <v>-5.3600000000000002E-2</v>
      </c>
      <c r="BC125">
        <f t="shared" si="29"/>
        <v>-8.2299999999999998E-2</v>
      </c>
      <c r="BD125">
        <f t="shared" si="29"/>
        <v>-7.51E-2</v>
      </c>
      <c r="BE125">
        <f t="shared" si="29"/>
        <v>-0.108</v>
      </c>
      <c r="BF125">
        <f t="shared" si="29"/>
        <v>-0.126</v>
      </c>
      <c r="BG125">
        <f t="shared" si="29"/>
        <v>-8.5800000000000001E-2</v>
      </c>
      <c r="BH125">
        <f t="shared" si="29"/>
        <v>-3.4000000000000002E-2</v>
      </c>
      <c r="BI125">
        <f t="shared" si="29"/>
        <v>1.37E-2</v>
      </c>
      <c r="BJ125">
        <f t="shared" si="29"/>
        <v>4.3E-3</v>
      </c>
      <c r="BK125">
        <f t="shared" si="29"/>
        <v>2.3599999999999999E-2</v>
      </c>
      <c r="BL125">
        <f t="shared" si="29"/>
        <v>8.0100000000000005E-2</v>
      </c>
      <c r="BM125">
        <f t="shared" si="29"/>
        <v>0.113</v>
      </c>
      <c r="BN125">
        <f t="shared" si="29"/>
        <v>4.8399999999999999E-2</v>
      </c>
      <c r="BO125">
        <f t="shared" si="29"/>
        <v>1.4999999999999999E-2</v>
      </c>
      <c r="BP125">
        <f t="shared" si="29"/>
        <v>-4.2500000000000003E-2</v>
      </c>
      <c r="BQ125">
        <f t="shared" ref="BQ125:CX125" si="30">BQ116</f>
        <v>-8.3500000000000005E-2</v>
      </c>
      <c r="BR125">
        <f t="shared" si="30"/>
        <v>-0.114</v>
      </c>
      <c r="BS125">
        <f t="shared" si="30"/>
        <v>-0.14399999999999999</v>
      </c>
      <c r="BT125">
        <f t="shared" si="30"/>
        <v>-0.16300000000000001</v>
      </c>
      <c r="BU125">
        <f t="shared" si="30"/>
        <v>-0.186</v>
      </c>
      <c r="BV125">
        <f t="shared" si="30"/>
        <v>-0.16600000000000001</v>
      </c>
      <c r="BW125">
        <f t="shared" si="30"/>
        <v>-0.11700000000000001</v>
      </c>
      <c r="BX125">
        <f t="shared" si="30"/>
        <v>-4.4200000000000003E-2</v>
      </c>
      <c r="BY125">
        <f t="shared" si="30"/>
        <v>4.4299999999999999E-2</v>
      </c>
      <c r="BZ125">
        <f t="shared" si="30"/>
        <v>8.8599999999999998E-2</v>
      </c>
      <c r="CA125">
        <f t="shared" si="30"/>
        <v>5.8799999999999998E-2</v>
      </c>
      <c r="CB125">
        <f t="shared" si="30"/>
        <v>-0.107</v>
      </c>
      <c r="CC125">
        <f t="shared" si="30"/>
        <v>-0.23100000000000001</v>
      </c>
      <c r="CD125">
        <f t="shared" si="30"/>
        <v>-0.23499999999999999</v>
      </c>
      <c r="CE125">
        <f t="shared" si="30"/>
        <v>-9.8500000000000004E-2</v>
      </c>
      <c r="CF125">
        <f t="shared" si="30"/>
        <v>-2.1999999999999999E-2</v>
      </c>
      <c r="CG125">
        <f t="shared" si="30"/>
        <v>-4.3999999999999997E-2</v>
      </c>
      <c r="CH125">
        <f t="shared" si="30"/>
        <v>-0.11799999999999999</v>
      </c>
      <c r="CI125">
        <f t="shared" si="30"/>
        <v>-5.7700000000000001E-2</v>
      </c>
      <c r="CJ125">
        <f t="shared" si="30"/>
        <v>1.2500000000000001E-2</v>
      </c>
      <c r="CK125">
        <f t="shared" si="30"/>
        <v>5.8400000000000001E-2</v>
      </c>
      <c r="CL125">
        <f t="shared" si="30"/>
        <v>-0.04</v>
      </c>
      <c r="CM125">
        <f t="shared" si="30"/>
        <v>-0.189</v>
      </c>
      <c r="CN125">
        <f t="shared" si="30"/>
        <v>-0.151</v>
      </c>
      <c r="CO125">
        <f t="shared" si="30"/>
        <v>-0.20899999999999999</v>
      </c>
      <c r="CP125">
        <f t="shared" si="30"/>
        <v>0.23499999999999999</v>
      </c>
      <c r="CQ125">
        <f t="shared" si="30"/>
        <v>0.17499999999999999</v>
      </c>
      <c r="CR125">
        <f t="shared" si="30"/>
        <v>1.274</v>
      </c>
      <c r="CS125">
        <f t="shared" si="30"/>
        <v>-1.599</v>
      </c>
      <c r="CT125">
        <f t="shared" si="30"/>
        <v>-1.4930000000000001</v>
      </c>
      <c r="CU125">
        <f t="shared" si="30"/>
        <v>-1.3149999999999999</v>
      </c>
      <c r="CV125">
        <f t="shared" si="30"/>
        <v>-3.8130000000000002</v>
      </c>
      <c r="CW125">
        <f t="shared" si="30"/>
        <v>-1.6919999999999999</v>
      </c>
      <c r="CX125">
        <f t="shared" si="30"/>
        <v>-0.91700000000000004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DA64-8215-3E48-A96E-29A00BECC08A}">
  <sheetPr codeName="Planilha7">
    <tabColor theme="0" tint="-0.249977111117893"/>
  </sheetPr>
  <dimension ref="A1:CX125"/>
  <sheetViews>
    <sheetView topLeftCell="A90" zoomScale="130" zoomScaleNormal="130" workbookViewId="0">
      <selection activeCell="D95" sqref="D95"/>
    </sheetView>
  </sheetViews>
  <sheetFormatPr baseColWidth="10" defaultRowHeight="16" x14ac:dyDescent="0.2"/>
  <sheetData>
    <row r="1" spans="1:10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</row>
    <row r="2" spans="1:102" x14ac:dyDescent="0.2">
      <c r="A2" t="s">
        <v>203</v>
      </c>
      <c r="B2" t="s">
        <v>217</v>
      </c>
      <c r="C2" t="s">
        <v>102</v>
      </c>
      <c r="D2">
        <f>'2012_2015'!B2</f>
        <v>0.19900000000000001</v>
      </c>
      <c r="E2">
        <f>'2012_2015'!C2</f>
        <v>0.54900000000000004</v>
      </c>
      <c r="F2">
        <f>'2012_2015'!D2</f>
        <v>0.80400000000000005</v>
      </c>
      <c r="G2">
        <f>'2012_2015'!E2</f>
        <v>0.96</v>
      </c>
      <c r="H2">
        <f>'2012_2015'!F2</f>
        <v>1.1299999999999999</v>
      </c>
      <c r="I2">
        <f>'2012_2015'!G2</f>
        <v>1.1879999999999999</v>
      </c>
      <c r="J2">
        <f>'2012_2015'!H2</f>
        <v>1.3149999999999999</v>
      </c>
      <c r="K2">
        <f>'2012_2015'!I2</f>
        <v>1.3660000000000001</v>
      </c>
      <c r="L2">
        <f>'2012_2015'!J2</f>
        <v>1.4379999999999999</v>
      </c>
      <c r="M2">
        <f>'2012_2015'!K2</f>
        <v>1.5069999999999999</v>
      </c>
      <c r="N2">
        <f>'2012_2015'!L2</f>
        <v>1.5469999999999999</v>
      </c>
      <c r="O2">
        <f>'2012_2015'!M2</f>
        <v>1.5940000000000001</v>
      </c>
      <c r="P2">
        <f>'2012_2015'!N2</f>
        <v>1.6220000000000001</v>
      </c>
      <c r="Q2">
        <f>'2012_2015'!O2</f>
        <v>1.6379999999999999</v>
      </c>
      <c r="R2">
        <f>'2012_2015'!P2</f>
        <v>1.647</v>
      </c>
      <c r="S2">
        <f>'2012_2015'!Q2</f>
        <v>1.6679999999999999</v>
      </c>
      <c r="T2">
        <f>'2012_2015'!R2</f>
        <v>1.694</v>
      </c>
      <c r="U2">
        <f>'2012_2015'!S2</f>
        <v>1.7090000000000001</v>
      </c>
      <c r="V2">
        <f>'2012_2015'!T2</f>
        <v>1.7190000000000001</v>
      </c>
      <c r="W2">
        <f>'2012_2015'!U2</f>
        <v>1.73</v>
      </c>
      <c r="X2">
        <f>'2012_2015'!V2</f>
        <v>1.752</v>
      </c>
      <c r="Y2">
        <f>'2012_2015'!W2</f>
        <v>1.77</v>
      </c>
      <c r="Z2">
        <f>'2012_2015'!X2</f>
        <v>1.7949999999999999</v>
      </c>
      <c r="AA2">
        <f>'2012_2015'!Y2</f>
        <v>1.8069999999999999</v>
      </c>
      <c r="AB2">
        <f>'2012_2015'!Z2</f>
        <v>1.8069999999999999</v>
      </c>
      <c r="AC2">
        <f>'2012_2015'!AA2</f>
        <v>1.8169999999999999</v>
      </c>
      <c r="AD2">
        <f>'2012_2015'!AB2</f>
        <v>1.823</v>
      </c>
      <c r="AE2">
        <f>'2012_2015'!AC2</f>
        <v>1.827</v>
      </c>
      <c r="AF2">
        <f>'2012_2015'!AD2</f>
        <v>1.8380000000000001</v>
      </c>
      <c r="AG2">
        <f>'2012_2015'!AE2</f>
        <v>1.8520000000000001</v>
      </c>
      <c r="AH2">
        <f>'2012_2015'!AF2</f>
        <v>1.8620000000000001</v>
      </c>
      <c r="AI2">
        <f>'2012_2015'!AG2</f>
        <v>1.877</v>
      </c>
      <c r="AJ2">
        <f>'2012_2015'!AH2</f>
        <v>1.903</v>
      </c>
      <c r="AK2">
        <f>'2012_2015'!AI2</f>
        <v>1.9239999999999999</v>
      </c>
      <c r="AL2">
        <f>'2012_2015'!AJ2</f>
        <v>1.9370000000000001</v>
      </c>
      <c r="AM2">
        <f>'2012_2015'!AK2</f>
        <v>1.952</v>
      </c>
      <c r="AN2">
        <f>'2012_2015'!AL2</f>
        <v>1.96</v>
      </c>
      <c r="AO2">
        <f>'2012_2015'!AM2</f>
        <v>1.9750000000000001</v>
      </c>
      <c r="AP2">
        <f>'2012_2015'!AN2</f>
        <v>2.0059999999999998</v>
      </c>
      <c r="AQ2">
        <f>'2012_2015'!AO2</f>
        <v>2.0369999999999999</v>
      </c>
      <c r="AR2">
        <f>'2012_2015'!AP2</f>
        <v>2.0409999999999999</v>
      </c>
      <c r="AS2">
        <f>'2012_2015'!AQ2</f>
        <v>2.048</v>
      </c>
      <c r="AT2">
        <f>'2012_2015'!AR2</f>
        <v>2.0579999999999998</v>
      </c>
      <c r="AU2">
        <f>'2012_2015'!AS2</f>
        <v>2.0720000000000001</v>
      </c>
      <c r="AV2">
        <f>'2012_2015'!AT2</f>
        <v>2.0699999999999998</v>
      </c>
      <c r="AW2">
        <f>'2012_2015'!AU2</f>
        <v>2.097</v>
      </c>
      <c r="AX2">
        <f>'2012_2015'!AV2</f>
        <v>2.121</v>
      </c>
      <c r="AY2">
        <f>'2012_2015'!AW2</f>
        <v>2.1339999999999999</v>
      </c>
      <c r="AZ2">
        <f>'2012_2015'!AX2</f>
        <v>2.1469999999999998</v>
      </c>
      <c r="BA2">
        <f>'2012_2015'!AY2</f>
        <v>2.1629999999999998</v>
      </c>
      <c r="BB2">
        <f>'2012_2015'!AZ2</f>
        <v>2.1970000000000001</v>
      </c>
      <c r="BC2">
        <f>'2012_2015'!BA2</f>
        <v>2.222</v>
      </c>
      <c r="BD2">
        <f>'2012_2015'!BB2</f>
        <v>2.2269999999999999</v>
      </c>
      <c r="BE2">
        <f>'2012_2015'!BC2</f>
        <v>2.2469999999999999</v>
      </c>
      <c r="BF2">
        <f>'2012_2015'!BD2</f>
        <v>2.2450000000000001</v>
      </c>
      <c r="BG2">
        <f>'2012_2015'!BE2</f>
        <v>2.2719999999999998</v>
      </c>
      <c r="BH2">
        <f>'2012_2015'!BF2</f>
        <v>2.2890000000000001</v>
      </c>
      <c r="BI2">
        <f>'2012_2015'!BG2</f>
        <v>2.3130000000000002</v>
      </c>
      <c r="BJ2">
        <f>'2012_2015'!BH2</f>
        <v>2.3290000000000002</v>
      </c>
      <c r="BK2">
        <f>'2012_2015'!BI2</f>
        <v>2.35</v>
      </c>
      <c r="BL2">
        <f>'2012_2015'!BJ2</f>
        <v>2.3610000000000002</v>
      </c>
      <c r="BM2">
        <f>'2012_2015'!BK2</f>
        <v>2.3879999999999999</v>
      </c>
      <c r="BN2">
        <f>'2012_2015'!BL2</f>
        <v>2.41</v>
      </c>
      <c r="BO2">
        <f>'2012_2015'!BM2</f>
        <v>2.4409999999999998</v>
      </c>
      <c r="BP2">
        <f>'2012_2015'!BN2</f>
        <v>2.4500000000000002</v>
      </c>
      <c r="BQ2">
        <f>'2012_2015'!BO2</f>
        <v>2.472</v>
      </c>
      <c r="BR2">
        <f>'2012_2015'!BP2</f>
        <v>2.476</v>
      </c>
      <c r="BS2">
        <f>'2012_2015'!BQ2</f>
        <v>2.5110000000000001</v>
      </c>
      <c r="BT2">
        <f>'2012_2015'!BR2</f>
        <v>2.5310000000000001</v>
      </c>
      <c r="BU2">
        <f>'2012_2015'!BS2</f>
        <v>2.5529999999999999</v>
      </c>
      <c r="BV2">
        <f>'2012_2015'!BT2</f>
        <v>2.577</v>
      </c>
      <c r="BW2">
        <f>'2012_2015'!BU2</f>
        <v>2.6070000000000002</v>
      </c>
      <c r="BX2">
        <f>'2012_2015'!BV2</f>
        <v>2.6360000000000001</v>
      </c>
      <c r="BY2">
        <f>'2012_2015'!BW2</f>
        <v>2.657</v>
      </c>
      <c r="BZ2">
        <f>'2012_2015'!BX2</f>
        <v>2.71</v>
      </c>
      <c r="CA2">
        <f>'2012_2015'!BY2</f>
        <v>2.7410000000000001</v>
      </c>
      <c r="CB2">
        <f>'2012_2015'!BZ2</f>
        <v>2.7519999999999998</v>
      </c>
      <c r="CC2">
        <f>'2012_2015'!CA2</f>
        <v>2.7789999999999999</v>
      </c>
      <c r="CD2">
        <f>'2012_2015'!CB2</f>
        <v>2.7829999999999999</v>
      </c>
      <c r="CE2">
        <f>'2012_2015'!CC2</f>
        <v>2.84</v>
      </c>
      <c r="CF2">
        <f>'2012_2015'!CD2</f>
        <v>2.879</v>
      </c>
      <c r="CG2">
        <f>'2012_2015'!CE2</f>
        <v>2.9359999999999999</v>
      </c>
      <c r="CH2">
        <f>'2012_2015'!CF2</f>
        <v>2.9710000000000001</v>
      </c>
      <c r="CI2">
        <f>'2012_2015'!CG2</f>
        <v>3.0030000000000001</v>
      </c>
      <c r="CJ2">
        <f>'2012_2015'!CH2</f>
        <v>3.0510000000000002</v>
      </c>
      <c r="CK2">
        <f>'2012_2015'!CI2</f>
        <v>3.1179999999999999</v>
      </c>
      <c r="CL2">
        <f>'2012_2015'!CJ2</f>
        <v>3.1560000000000001</v>
      </c>
      <c r="CM2">
        <f>'2012_2015'!CK2</f>
        <v>3.1930000000000001</v>
      </c>
      <c r="CN2">
        <f>'2012_2015'!CL2</f>
        <v>3.27</v>
      </c>
      <c r="CO2">
        <f>'2012_2015'!CM2</f>
        <v>3.3290000000000002</v>
      </c>
      <c r="CP2">
        <f>'2012_2015'!CN2</f>
        <v>3.427</v>
      </c>
      <c r="CQ2">
        <f>'2012_2015'!CO2</f>
        <v>3.4489999999999998</v>
      </c>
      <c r="CR2">
        <f>'2012_2015'!CP2</f>
        <v>3.5630000000000002</v>
      </c>
      <c r="CS2">
        <f>'2012_2015'!CQ2</f>
        <v>3.66</v>
      </c>
      <c r="CT2">
        <f>'2012_2015'!CR2</f>
        <v>3.7480000000000002</v>
      </c>
      <c r="CU2">
        <f>'2012_2015'!CS2</f>
        <v>3.8969999999999998</v>
      </c>
      <c r="CV2">
        <f>'2012_2015'!CT2</f>
        <v>4.0730000000000004</v>
      </c>
      <c r="CW2">
        <f>'2012_2015'!CU2</f>
        <v>4.2949999999999999</v>
      </c>
      <c r="CX2">
        <f>'2012_2015'!CV2</f>
        <v>4.6260000000000003</v>
      </c>
    </row>
    <row r="3" spans="1:102" x14ac:dyDescent="0.2">
      <c r="A3" t="s">
        <v>204</v>
      </c>
      <c r="B3" t="s">
        <v>217</v>
      </c>
      <c r="C3" t="s">
        <v>102</v>
      </c>
      <c r="D3">
        <f>'2012_2015'!B3</f>
        <v>-7.6999999999999999E-2</v>
      </c>
      <c r="E3">
        <f>'2012_2015'!C3</f>
        <v>0.30599999999999999</v>
      </c>
      <c r="F3">
        <f>'2012_2015'!D3</f>
        <v>0.53600000000000003</v>
      </c>
      <c r="G3">
        <f>'2012_2015'!E3</f>
        <v>0.69099999999999995</v>
      </c>
      <c r="H3">
        <f>'2012_2015'!F3</f>
        <v>0.85599999999999998</v>
      </c>
      <c r="I3">
        <f>'2012_2015'!G3</f>
        <v>0.96299999999999997</v>
      </c>
      <c r="J3">
        <f>'2012_2015'!H3</f>
        <v>1.0529999999999999</v>
      </c>
      <c r="K3">
        <f>'2012_2015'!I3</f>
        <v>1.149</v>
      </c>
      <c r="L3">
        <f>'2012_2015'!J3</f>
        <v>1.22</v>
      </c>
      <c r="M3">
        <f>'2012_2015'!K3</f>
        <v>1.3089999999999999</v>
      </c>
      <c r="N3">
        <f>'2012_2015'!L3</f>
        <v>1.34</v>
      </c>
      <c r="O3">
        <f>'2012_2015'!M3</f>
        <v>1.389</v>
      </c>
      <c r="P3">
        <f>'2012_2015'!N3</f>
        <v>1.4359999999999999</v>
      </c>
      <c r="Q3">
        <f>'2012_2015'!O3</f>
        <v>1.468</v>
      </c>
      <c r="R3">
        <f>'2012_2015'!P3</f>
        <v>1.5089999999999999</v>
      </c>
      <c r="S3">
        <f>'2012_2015'!Q3</f>
        <v>1.536</v>
      </c>
      <c r="T3">
        <f>'2012_2015'!R3</f>
        <v>1.5549999999999999</v>
      </c>
      <c r="U3">
        <f>'2012_2015'!S3</f>
        <v>1.5680000000000001</v>
      </c>
      <c r="V3">
        <f>'2012_2015'!T3</f>
        <v>1.59</v>
      </c>
      <c r="W3">
        <f>'2012_2015'!U3</f>
        <v>1.6060000000000001</v>
      </c>
      <c r="X3">
        <f>'2012_2015'!V3</f>
        <v>1.627</v>
      </c>
      <c r="Y3">
        <f>'2012_2015'!W3</f>
        <v>1.641</v>
      </c>
      <c r="Z3">
        <f>'2012_2015'!X3</f>
        <v>1.653</v>
      </c>
      <c r="AA3">
        <f>'2012_2015'!Y3</f>
        <v>1.671</v>
      </c>
      <c r="AB3">
        <f>'2012_2015'!Z3</f>
        <v>1.6850000000000001</v>
      </c>
      <c r="AC3">
        <f>'2012_2015'!AA3</f>
        <v>1.7050000000000001</v>
      </c>
      <c r="AD3">
        <f>'2012_2015'!AB3</f>
        <v>1.7210000000000001</v>
      </c>
      <c r="AE3">
        <f>'2012_2015'!AC3</f>
        <v>1.736</v>
      </c>
      <c r="AF3">
        <f>'2012_2015'!AD3</f>
        <v>1.7470000000000001</v>
      </c>
      <c r="AG3">
        <f>'2012_2015'!AE3</f>
        <v>1.756</v>
      </c>
      <c r="AH3">
        <f>'2012_2015'!AF3</f>
        <v>1.7669999999999999</v>
      </c>
      <c r="AI3">
        <f>'2012_2015'!AG3</f>
        <v>1.7769999999999999</v>
      </c>
      <c r="AJ3">
        <f>'2012_2015'!AH3</f>
        <v>1.7869999999999999</v>
      </c>
      <c r="AK3">
        <f>'2012_2015'!AI3</f>
        <v>1.81</v>
      </c>
      <c r="AL3">
        <f>'2012_2015'!AJ3</f>
        <v>1.825</v>
      </c>
      <c r="AM3">
        <f>'2012_2015'!AK3</f>
        <v>1.8380000000000001</v>
      </c>
      <c r="AN3">
        <f>'2012_2015'!AL3</f>
        <v>1.8540000000000001</v>
      </c>
      <c r="AO3">
        <f>'2012_2015'!AM3</f>
        <v>1.87</v>
      </c>
      <c r="AP3">
        <f>'2012_2015'!AN3</f>
        <v>1.8879999999999999</v>
      </c>
      <c r="AQ3">
        <f>'2012_2015'!AO3</f>
        <v>1.899</v>
      </c>
      <c r="AR3">
        <f>'2012_2015'!AP3</f>
        <v>1.9139999999999999</v>
      </c>
      <c r="AS3">
        <f>'2012_2015'!AQ3</f>
        <v>1.93</v>
      </c>
      <c r="AT3">
        <f>'2012_2015'!AR3</f>
        <v>1.952</v>
      </c>
      <c r="AU3">
        <f>'2012_2015'!AS3</f>
        <v>1.9690000000000001</v>
      </c>
      <c r="AV3">
        <f>'2012_2015'!AT3</f>
        <v>1.9930000000000001</v>
      </c>
      <c r="AW3">
        <f>'2012_2015'!AU3</f>
        <v>2.0099999999999998</v>
      </c>
      <c r="AX3">
        <f>'2012_2015'!AV3</f>
        <v>2.028</v>
      </c>
      <c r="AY3">
        <f>'2012_2015'!AW3</f>
        <v>2.0299999999999998</v>
      </c>
      <c r="AZ3">
        <f>'2012_2015'!AX3</f>
        <v>2.0390000000000001</v>
      </c>
      <c r="BA3">
        <f>'2012_2015'!AY3</f>
        <v>2.0579999999999998</v>
      </c>
      <c r="BB3">
        <f>'2012_2015'!AZ3</f>
        <v>2.0699999999999998</v>
      </c>
      <c r="BC3">
        <f>'2012_2015'!BA3</f>
        <v>2.093</v>
      </c>
      <c r="BD3">
        <f>'2012_2015'!BB3</f>
        <v>2.1179999999999999</v>
      </c>
      <c r="BE3">
        <f>'2012_2015'!BC3</f>
        <v>2.1379999999999999</v>
      </c>
      <c r="BF3">
        <f>'2012_2015'!BD3</f>
        <v>2.15</v>
      </c>
      <c r="BG3">
        <f>'2012_2015'!BE3</f>
        <v>2.17</v>
      </c>
      <c r="BH3">
        <f>'2012_2015'!BF3</f>
        <v>2.2010000000000001</v>
      </c>
      <c r="BI3">
        <f>'2012_2015'!BG3</f>
        <v>2.2240000000000002</v>
      </c>
      <c r="BJ3">
        <f>'2012_2015'!BH3</f>
        <v>2.2450000000000001</v>
      </c>
      <c r="BK3">
        <f>'2012_2015'!BI3</f>
        <v>2.246</v>
      </c>
      <c r="BL3">
        <f>'2012_2015'!BJ3</f>
        <v>2.2589999999999999</v>
      </c>
      <c r="BM3">
        <f>'2012_2015'!BK3</f>
        <v>2.2850000000000001</v>
      </c>
      <c r="BN3">
        <f>'2012_2015'!BL3</f>
        <v>2.3109999999999999</v>
      </c>
      <c r="BO3">
        <f>'2012_2015'!BM3</f>
        <v>2.3290000000000002</v>
      </c>
      <c r="BP3">
        <f>'2012_2015'!BN3</f>
        <v>2.3479999999999999</v>
      </c>
      <c r="BQ3">
        <f>'2012_2015'!BO3</f>
        <v>2.3860000000000001</v>
      </c>
      <c r="BR3">
        <f>'2012_2015'!BP3</f>
        <v>2.4140000000000001</v>
      </c>
      <c r="BS3">
        <f>'2012_2015'!BQ3</f>
        <v>2.4369999999999998</v>
      </c>
      <c r="BT3">
        <f>'2012_2015'!BR3</f>
        <v>2.4409999999999998</v>
      </c>
      <c r="BU3">
        <f>'2012_2015'!BS3</f>
        <v>2.468</v>
      </c>
      <c r="BV3">
        <f>'2012_2015'!BT3</f>
        <v>2.5030000000000001</v>
      </c>
      <c r="BW3">
        <f>'2012_2015'!BU3</f>
        <v>2.5310000000000001</v>
      </c>
      <c r="BX3">
        <f>'2012_2015'!BV3</f>
        <v>2.5499999999999998</v>
      </c>
      <c r="BY3">
        <f>'2012_2015'!BW3</f>
        <v>2.5859999999999999</v>
      </c>
      <c r="BZ3">
        <f>'2012_2015'!BX3</f>
        <v>2.6269999999999998</v>
      </c>
      <c r="CA3">
        <f>'2012_2015'!BY3</f>
        <v>2.66</v>
      </c>
      <c r="CB3">
        <f>'2012_2015'!BZ3</f>
        <v>2.6669999999999998</v>
      </c>
      <c r="CC3">
        <f>'2012_2015'!CA3</f>
        <v>2.7189999999999999</v>
      </c>
      <c r="CD3">
        <f>'2012_2015'!CB3</f>
        <v>2.7490000000000001</v>
      </c>
      <c r="CE3">
        <f>'2012_2015'!CC3</f>
        <v>2.7810000000000001</v>
      </c>
      <c r="CF3">
        <f>'2012_2015'!CD3</f>
        <v>2.8330000000000002</v>
      </c>
      <c r="CG3">
        <f>'2012_2015'!CE3</f>
        <v>2.8690000000000002</v>
      </c>
      <c r="CH3">
        <f>'2012_2015'!CF3</f>
        <v>2.9329999999999998</v>
      </c>
      <c r="CI3">
        <f>'2012_2015'!CG3</f>
        <v>2.9420000000000002</v>
      </c>
      <c r="CJ3">
        <f>'2012_2015'!CH3</f>
        <v>2.9780000000000002</v>
      </c>
      <c r="CK3">
        <f>'2012_2015'!CI3</f>
        <v>3.0419999999999998</v>
      </c>
      <c r="CL3">
        <f>'2012_2015'!CJ3</f>
        <v>3.117</v>
      </c>
      <c r="CM3">
        <f>'2012_2015'!CK3</f>
        <v>3.1720000000000002</v>
      </c>
      <c r="CN3">
        <f>'2012_2015'!CL3</f>
        <v>3.222</v>
      </c>
      <c r="CO3">
        <f>'2012_2015'!CM3</f>
        <v>3.2970000000000002</v>
      </c>
      <c r="CP3">
        <f>'2012_2015'!CN3</f>
        <v>3.3460000000000001</v>
      </c>
      <c r="CQ3">
        <f>'2012_2015'!CO3</f>
        <v>3.4289999999999998</v>
      </c>
      <c r="CR3">
        <f>'2012_2015'!CP3</f>
        <v>3.5230000000000001</v>
      </c>
      <c r="CS3">
        <f>'2012_2015'!CQ3</f>
        <v>3.65</v>
      </c>
      <c r="CT3">
        <f>'2012_2015'!CR3</f>
        <v>3.7469999999999999</v>
      </c>
      <c r="CU3">
        <f>'2012_2015'!CS3</f>
        <v>3.8639999999999999</v>
      </c>
      <c r="CV3">
        <f>'2012_2015'!CT3</f>
        <v>4.0410000000000004</v>
      </c>
      <c r="CW3">
        <f>'2012_2015'!CU3</f>
        <v>4.2939999999999996</v>
      </c>
      <c r="CX3">
        <f>'2012_2015'!CV3</f>
        <v>4.609</v>
      </c>
    </row>
    <row r="4" spans="1:102" x14ac:dyDescent="0.2">
      <c r="A4" t="s">
        <v>205</v>
      </c>
      <c r="B4" t="s">
        <v>217</v>
      </c>
      <c r="C4" t="s">
        <v>102</v>
      </c>
      <c r="D4">
        <f>'2012_2015'!B4</f>
        <v>0.27600000000000002</v>
      </c>
      <c r="E4">
        <f>'2012_2015'!C4</f>
        <v>0.24299999999999999</v>
      </c>
      <c r="F4">
        <f>'2012_2015'!D4</f>
        <v>0.26800000000000002</v>
      </c>
      <c r="G4">
        <f>'2012_2015'!E4</f>
        <v>0.26900000000000002</v>
      </c>
      <c r="H4">
        <f>'2012_2015'!F4</f>
        <v>0.27400000000000002</v>
      </c>
      <c r="I4">
        <f>'2012_2015'!G4</f>
        <v>0.22600000000000001</v>
      </c>
      <c r="J4">
        <f>'2012_2015'!H4</f>
        <v>0.26200000000000001</v>
      </c>
      <c r="K4">
        <f>'2012_2015'!I4</f>
        <v>0.217</v>
      </c>
      <c r="L4">
        <f>'2012_2015'!J4</f>
        <v>0.218</v>
      </c>
      <c r="M4">
        <f>'2012_2015'!K4</f>
        <v>0.19800000000000001</v>
      </c>
      <c r="N4">
        <f>'2012_2015'!L4</f>
        <v>0.20699999999999999</v>
      </c>
      <c r="O4">
        <f>'2012_2015'!M4</f>
        <v>0.20499999999999999</v>
      </c>
      <c r="P4">
        <f>'2012_2015'!N4</f>
        <v>0.187</v>
      </c>
      <c r="Q4">
        <f>'2012_2015'!O4</f>
        <v>0.17</v>
      </c>
      <c r="R4">
        <f>'2012_2015'!P4</f>
        <v>0.13800000000000001</v>
      </c>
      <c r="S4">
        <f>'2012_2015'!Q4</f>
        <v>0.13300000000000001</v>
      </c>
      <c r="T4">
        <f>'2012_2015'!R4</f>
        <v>0.14000000000000001</v>
      </c>
      <c r="U4">
        <f>'2012_2015'!S4</f>
        <v>0.14099999999999999</v>
      </c>
      <c r="V4">
        <f>'2012_2015'!T4</f>
        <v>0.129</v>
      </c>
      <c r="W4">
        <f>'2012_2015'!U4</f>
        <v>0.124</v>
      </c>
      <c r="X4">
        <f>'2012_2015'!V4</f>
        <v>0.125</v>
      </c>
      <c r="Y4">
        <f>'2012_2015'!W4</f>
        <v>0.129</v>
      </c>
      <c r="Z4">
        <f>'2012_2015'!X4</f>
        <v>0.14099999999999999</v>
      </c>
      <c r="AA4">
        <f>'2012_2015'!Y4</f>
        <v>0.13600000000000001</v>
      </c>
      <c r="AB4">
        <f>'2012_2015'!Z4</f>
        <v>0.122</v>
      </c>
      <c r="AC4">
        <f>'2012_2015'!AA4</f>
        <v>0.112</v>
      </c>
      <c r="AD4">
        <f>'2012_2015'!AB4</f>
        <v>0.10199999999999999</v>
      </c>
      <c r="AE4">
        <f>'2012_2015'!AC4</f>
        <v>9.0700000000000003E-2</v>
      </c>
      <c r="AF4">
        <f>'2012_2015'!AD4</f>
        <v>9.0999999999999998E-2</v>
      </c>
      <c r="AG4">
        <f>'2012_2015'!AE4</f>
        <v>9.6500000000000002E-2</v>
      </c>
      <c r="AH4">
        <f>'2012_2015'!AF4</f>
        <v>9.4399999999999998E-2</v>
      </c>
      <c r="AI4">
        <f>'2012_2015'!AG4</f>
        <v>9.9900000000000003E-2</v>
      </c>
      <c r="AJ4">
        <f>'2012_2015'!AH4</f>
        <v>0.11600000000000001</v>
      </c>
      <c r="AK4">
        <f>'2012_2015'!AI4</f>
        <v>0.114</v>
      </c>
      <c r="AL4">
        <f>'2012_2015'!AJ4</f>
        <v>0.112</v>
      </c>
      <c r="AM4">
        <f>'2012_2015'!AK4</f>
        <v>0.114</v>
      </c>
      <c r="AN4">
        <f>'2012_2015'!AL4</f>
        <v>0.106</v>
      </c>
      <c r="AO4">
        <f>'2012_2015'!AM4</f>
        <v>0.104</v>
      </c>
      <c r="AP4">
        <f>'2012_2015'!AN4</f>
        <v>0.11799999999999999</v>
      </c>
      <c r="AQ4">
        <f>'2012_2015'!AO4</f>
        <v>0.13800000000000001</v>
      </c>
      <c r="AR4">
        <f>'2012_2015'!AP4</f>
        <v>0.127</v>
      </c>
      <c r="AS4">
        <f>'2012_2015'!AQ4</f>
        <v>0.11799999999999999</v>
      </c>
      <c r="AT4">
        <f>'2012_2015'!AR4</f>
        <v>0.106</v>
      </c>
      <c r="AU4">
        <f>'2012_2015'!AS4</f>
        <v>0.10299999999999999</v>
      </c>
      <c r="AV4">
        <f>'2012_2015'!AT4</f>
        <v>7.6799999999999993E-2</v>
      </c>
      <c r="AW4">
        <f>'2012_2015'!AU4</f>
        <v>8.6300000000000002E-2</v>
      </c>
      <c r="AX4">
        <f>'2012_2015'!AV4</f>
        <v>9.3200000000000005E-2</v>
      </c>
      <c r="AY4">
        <f>'2012_2015'!AW4</f>
        <v>0.104</v>
      </c>
      <c r="AZ4">
        <f>'2012_2015'!AX4</f>
        <v>0.108</v>
      </c>
      <c r="BA4">
        <f>'2012_2015'!AY4</f>
        <v>0.105</v>
      </c>
      <c r="BB4">
        <f>'2012_2015'!AZ4</f>
        <v>0.127</v>
      </c>
      <c r="BC4">
        <f>'2012_2015'!BA4</f>
        <v>0.129</v>
      </c>
      <c r="BD4">
        <f>'2012_2015'!BB4</f>
        <v>0.109</v>
      </c>
      <c r="BE4">
        <f>'2012_2015'!BC4</f>
        <v>0.11</v>
      </c>
      <c r="BF4">
        <f>'2012_2015'!BD4</f>
        <v>9.4899999999999998E-2</v>
      </c>
      <c r="BG4">
        <f>'2012_2015'!BE4</f>
        <v>0.10199999999999999</v>
      </c>
      <c r="BH4">
        <f>'2012_2015'!BF4</f>
        <v>8.7400000000000005E-2</v>
      </c>
      <c r="BI4">
        <f>'2012_2015'!BG4</f>
        <v>8.8900000000000007E-2</v>
      </c>
      <c r="BJ4">
        <f>'2012_2015'!BH4</f>
        <v>8.3900000000000002E-2</v>
      </c>
      <c r="BK4">
        <f>'2012_2015'!BI4</f>
        <v>0.104</v>
      </c>
      <c r="BL4">
        <f>'2012_2015'!BJ4</f>
        <v>0.10199999999999999</v>
      </c>
      <c r="BM4">
        <f>'2012_2015'!BK4</f>
        <v>0.10299999999999999</v>
      </c>
      <c r="BN4">
        <f>'2012_2015'!BL4</f>
        <v>9.9299999999999999E-2</v>
      </c>
      <c r="BO4">
        <f>'2012_2015'!BM4</f>
        <v>0.112</v>
      </c>
      <c r="BP4">
        <f>'2012_2015'!BN4</f>
        <v>0.10199999999999999</v>
      </c>
      <c r="BQ4">
        <f>'2012_2015'!BO4</f>
        <v>8.5599999999999996E-2</v>
      </c>
      <c r="BR4">
        <f>'2012_2015'!BP4</f>
        <v>6.2100000000000002E-2</v>
      </c>
      <c r="BS4">
        <f>'2012_2015'!BQ4</f>
        <v>7.3700000000000002E-2</v>
      </c>
      <c r="BT4">
        <f>'2012_2015'!BR4</f>
        <v>8.9599999999999999E-2</v>
      </c>
      <c r="BU4">
        <f>'2012_2015'!BS4</f>
        <v>8.4599999999999995E-2</v>
      </c>
      <c r="BV4">
        <f>'2012_2015'!BT4</f>
        <v>7.3999999999999996E-2</v>
      </c>
      <c r="BW4">
        <f>'2012_2015'!BU4</f>
        <v>7.6300000000000007E-2</v>
      </c>
      <c r="BX4">
        <f>'2012_2015'!BV4</f>
        <v>8.6900000000000005E-2</v>
      </c>
      <c r="BY4">
        <f>'2012_2015'!BW4</f>
        <v>7.0900000000000005E-2</v>
      </c>
      <c r="BZ4">
        <f>'2012_2015'!BX4</f>
        <v>8.2600000000000007E-2</v>
      </c>
      <c r="CA4">
        <f>'2012_2015'!BY4</f>
        <v>8.1000000000000003E-2</v>
      </c>
      <c r="CB4">
        <f>'2012_2015'!BZ4</f>
        <v>8.4599999999999995E-2</v>
      </c>
      <c r="CC4">
        <f>'2012_2015'!CA4</f>
        <v>6.0100000000000001E-2</v>
      </c>
      <c r="CD4">
        <f>'2012_2015'!CB4</f>
        <v>3.44E-2</v>
      </c>
      <c r="CE4">
        <f>'2012_2015'!CC4</f>
        <v>5.8900000000000001E-2</v>
      </c>
      <c r="CF4">
        <f>'2012_2015'!CD4</f>
        <v>4.6899999999999997E-2</v>
      </c>
      <c r="CG4">
        <f>'2012_2015'!CE4</f>
        <v>6.6900000000000001E-2</v>
      </c>
      <c r="CH4">
        <f>'2012_2015'!CF4</f>
        <v>3.7699999999999997E-2</v>
      </c>
      <c r="CI4">
        <f>'2012_2015'!CG4</f>
        <v>6.0900000000000003E-2</v>
      </c>
      <c r="CJ4">
        <f>'2012_2015'!CH4</f>
        <v>7.3499999999999996E-2</v>
      </c>
      <c r="CK4">
        <f>'2012_2015'!CI4</f>
        <v>7.6300000000000007E-2</v>
      </c>
      <c r="CL4">
        <f>'2012_2015'!CJ4</f>
        <v>3.9300000000000002E-2</v>
      </c>
      <c r="CM4">
        <f>'2012_2015'!CK4</f>
        <v>2.1000000000000001E-2</v>
      </c>
      <c r="CN4">
        <f>'2012_2015'!CL4</f>
        <v>4.7699999999999999E-2</v>
      </c>
      <c r="CO4">
        <f>'2012_2015'!CM4</f>
        <v>3.1800000000000002E-2</v>
      </c>
      <c r="CP4">
        <f>'2012_2015'!CN4</f>
        <v>8.1299999999999997E-2</v>
      </c>
      <c r="CQ4">
        <f>'2012_2015'!CO4</f>
        <v>1.9800000000000002E-2</v>
      </c>
      <c r="CR4">
        <f>'2012_2015'!CP4</f>
        <v>0.04</v>
      </c>
      <c r="CS4">
        <f>'2012_2015'!CQ4</f>
        <v>9.8600000000000007E-3</v>
      </c>
      <c r="CT4">
        <f>'2012_2015'!CR4</f>
        <v>8.1499999999999997E-4</v>
      </c>
      <c r="CU4">
        <f>'2012_2015'!CS4</f>
        <v>3.2399999999999998E-2</v>
      </c>
      <c r="CV4">
        <f>'2012_2015'!CT4</f>
        <v>3.2399999999999998E-2</v>
      </c>
      <c r="CW4">
        <f>'2012_2015'!CU4</f>
        <v>1.24E-3</v>
      </c>
      <c r="CX4">
        <f>'2012_2015'!CV4</f>
        <v>1.7299999999999999E-2</v>
      </c>
    </row>
    <row r="5" spans="1:102" x14ac:dyDescent="0.2">
      <c r="A5" t="s">
        <v>206</v>
      </c>
      <c r="B5" t="s">
        <v>217</v>
      </c>
      <c r="C5" t="s">
        <v>102</v>
      </c>
      <c r="D5">
        <f>'2012_2015'!B5</f>
        <v>4.8300000000000003E-2</v>
      </c>
      <c r="E5">
        <f>'2012_2015'!C5</f>
        <v>6.7599999999999993E-2</v>
      </c>
      <c r="F5">
        <f>'2012_2015'!D5</f>
        <v>6.7599999999999993E-2</v>
      </c>
      <c r="G5">
        <f>'2012_2015'!E5</f>
        <v>6.7400000000000002E-2</v>
      </c>
      <c r="H5">
        <f>'2012_2015'!F5</f>
        <v>6.3399999999999998E-2</v>
      </c>
      <c r="I5">
        <f>'2012_2015'!G5</f>
        <v>6.8099999999999994E-2</v>
      </c>
      <c r="J5">
        <f>'2012_2015'!H5</f>
        <v>6.6400000000000001E-2</v>
      </c>
      <c r="K5">
        <f>'2012_2015'!I5</f>
        <v>6.2100000000000002E-2</v>
      </c>
      <c r="L5">
        <f>'2012_2015'!J5</f>
        <v>6.3700000000000007E-2</v>
      </c>
      <c r="M5">
        <f>'2012_2015'!K5</f>
        <v>5.11E-2</v>
      </c>
      <c r="N5">
        <f>'2012_2015'!L5</f>
        <v>4.9399999999999999E-2</v>
      </c>
      <c r="O5">
        <f>'2012_2015'!M5</f>
        <v>4.6699999999999998E-2</v>
      </c>
      <c r="P5">
        <f>'2012_2015'!N5</f>
        <v>4.2700000000000002E-2</v>
      </c>
      <c r="Q5">
        <f>'2012_2015'!O5</f>
        <v>3.8600000000000002E-2</v>
      </c>
      <c r="R5">
        <f>'2012_2015'!P5</f>
        <v>3.2199999999999999E-2</v>
      </c>
      <c r="S5">
        <f>'2012_2015'!Q5</f>
        <v>2.93E-2</v>
      </c>
      <c r="T5">
        <f>'2012_2015'!R5</f>
        <v>2.8000000000000001E-2</v>
      </c>
      <c r="U5">
        <f>'2012_2015'!S5</f>
        <v>2.75E-2</v>
      </c>
      <c r="V5">
        <f>'2012_2015'!T5</f>
        <v>2.6200000000000001E-2</v>
      </c>
      <c r="W5">
        <f>'2012_2015'!U5</f>
        <v>2.5700000000000001E-2</v>
      </c>
      <c r="X5">
        <f>'2012_2015'!V5</f>
        <v>2.52E-2</v>
      </c>
      <c r="Y5">
        <f>'2012_2015'!W5</f>
        <v>2.53E-2</v>
      </c>
      <c r="Z5">
        <f>'2012_2015'!X5</f>
        <v>2.52E-2</v>
      </c>
      <c r="AA5">
        <f>'2012_2015'!Y5</f>
        <v>2.52E-2</v>
      </c>
      <c r="AB5">
        <f>'2012_2015'!Z5</f>
        <v>2.52E-2</v>
      </c>
      <c r="AC5">
        <f>'2012_2015'!AA5</f>
        <v>2.4799999999999999E-2</v>
      </c>
      <c r="AD5">
        <f>'2012_2015'!AB5</f>
        <v>2.47E-2</v>
      </c>
      <c r="AE5">
        <f>'2012_2015'!AC5</f>
        <v>2.47E-2</v>
      </c>
      <c r="AF5">
        <f>'2012_2015'!AD5</f>
        <v>2.5000000000000001E-2</v>
      </c>
      <c r="AG5">
        <f>'2012_2015'!AE5</f>
        <v>2.5600000000000001E-2</v>
      </c>
      <c r="AH5">
        <f>'2012_2015'!AF5</f>
        <v>2.63E-2</v>
      </c>
      <c r="AI5">
        <f>'2012_2015'!AG5</f>
        <v>2.6800000000000001E-2</v>
      </c>
      <c r="AJ5">
        <f>'2012_2015'!AH5</f>
        <v>2.7400000000000001E-2</v>
      </c>
      <c r="AK5">
        <f>'2012_2015'!AI5</f>
        <v>2.8500000000000001E-2</v>
      </c>
      <c r="AL5">
        <f>'2012_2015'!AJ5</f>
        <v>2.9399999999999999E-2</v>
      </c>
      <c r="AM5">
        <f>'2012_2015'!AK5</f>
        <v>3.0200000000000001E-2</v>
      </c>
      <c r="AN5">
        <f>'2012_2015'!AL5</f>
        <v>3.1199999999999999E-2</v>
      </c>
      <c r="AO5">
        <f>'2012_2015'!AM5</f>
        <v>3.2500000000000001E-2</v>
      </c>
      <c r="AP5">
        <f>'2012_2015'!AN5</f>
        <v>3.3399999999999999E-2</v>
      </c>
      <c r="AQ5">
        <f>'2012_2015'!AO5</f>
        <v>3.4500000000000003E-2</v>
      </c>
      <c r="AR5">
        <f>'2012_2015'!AP5</f>
        <v>3.5200000000000002E-2</v>
      </c>
      <c r="AS5">
        <f>'2012_2015'!AQ5</f>
        <v>3.61E-2</v>
      </c>
      <c r="AT5">
        <f>'2012_2015'!AR5</f>
        <v>3.6700000000000003E-2</v>
      </c>
      <c r="AU5">
        <f>'2012_2015'!AS5</f>
        <v>3.6799999999999999E-2</v>
      </c>
      <c r="AV5">
        <f>'2012_2015'!AT5</f>
        <v>3.6700000000000003E-2</v>
      </c>
      <c r="AW5">
        <f>'2012_2015'!AU5</f>
        <v>3.6499999999999998E-2</v>
      </c>
      <c r="AX5">
        <f>'2012_2015'!AV5</f>
        <v>3.6700000000000003E-2</v>
      </c>
      <c r="AY5">
        <f>'2012_2015'!AW5</f>
        <v>3.7600000000000001E-2</v>
      </c>
      <c r="AZ5">
        <f>'2012_2015'!AX5</f>
        <v>3.7999999999999999E-2</v>
      </c>
      <c r="BA5">
        <f>'2012_2015'!AY5</f>
        <v>3.9199999999999999E-2</v>
      </c>
      <c r="BB5">
        <f>'2012_2015'!AZ5</f>
        <v>4.02E-2</v>
      </c>
      <c r="BC5">
        <f>'2012_2015'!BA5</f>
        <v>4.2500000000000003E-2</v>
      </c>
      <c r="BD5">
        <f>'2012_2015'!BB5</f>
        <v>4.4999999999999998E-2</v>
      </c>
      <c r="BE5">
        <f>'2012_2015'!BC5</f>
        <v>4.6600000000000003E-2</v>
      </c>
      <c r="BF5">
        <f>'2012_2015'!BD5</f>
        <v>4.7600000000000003E-2</v>
      </c>
      <c r="BG5">
        <f>'2012_2015'!BE5</f>
        <v>4.8000000000000001E-2</v>
      </c>
      <c r="BH5">
        <f>'2012_2015'!BF5</f>
        <v>4.7399999999999998E-2</v>
      </c>
      <c r="BI5">
        <f>'2012_2015'!BG5</f>
        <v>4.6699999999999998E-2</v>
      </c>
      <c r="BJ5">
        <f>'2012_2015'!BH5</f>
        <v>4.6600000000000003E-2</v>
      </c>
      <c r="BK5">
        <f>'2012_2015'!BI5</f>
        <v>4.6800000000000001E-2</v>
      </c>
      <c r="BL5">
        <f>'2012_2015'!BJ5</f>
        <v>4.7E-2</v>
      </c>
      <c r="BM5">
        <f>'2012_2015'!BK5</f>
        <v>4.8800000000000003E-2</v>
      </c>
      <c r="BN5">
        <f>'2012_2015'!BL5</f>
        <v>5.11E-2</v>
      </c>
      <c r="BO5">
        <f>'2012_2015'!BM5</f>
        <v>5.3100000000000001E-2</v>
      </c>
      <c r="BP5">
        <f>'2012_2015'!BN5</f>
        <v>5.4300000000000001E-2</v>
      </c>
      <c r="BQ5">
        <f>'2012_2015'!BO5</f>
        <v>5.5199999999999999E-2</v>
      </c>
      <c r="BR5">
        <f>'2012_2015'!BP5</f>
        <v>5.4699999999999999E-2</v>
      </c>
      <c r="BS5">
        <f>'2012_2015'!BQ5</f>
        <v>5.4699999999999999E-2</v>
      </c>
      <c r="BT5">
        <f>'2012_2015'!BR5</f>
        <v>5.4699999999999999E-2</v>
      </c>
      <c r="BU5">
        <f>'2012_2015'!BS5</f>
        <v>5.6000000000000001E-2</v>
      </c>
      <c r="BV5">
        <f>'2012_2015'!BT5</f>
        <v>5.9400000000000001E-2</v>
      </c>
      <c r="BW5">
        <f>'2012_2015'!BU5</f>
        <v>6.2399999999999997E-2</v>
      </c>
      <c r="BX5">
        <f>'2012_2015'!BV5</f>
        <v>6.4399999999999999E-2</v>
      </c>
      <c r="BY5">
        <f>'2012_2015'!BW5</f>
        <v>6.6299999999999998E-2</v>
      </c>
      <c r="BZ5">
        <f>'2012_2015'!BX5</f>
        <v>6.5500000000000003E-2</v>
      </c>
      <c r="CA5">
        <f>'2012_2015'!BY5</f>
        <v>6.4899999999999999E-2</v>
      </c>
      <c r="CB5">
        <f>'2012_2015'!BZ5</f>
        <v>6.4000000000000001E-2</v>
      </c>
      <c r="CC5">
        <f>'2012_2015'!CA5</f>
        <v>6.7199999999999996E-2</v>
      </c>
      <c r="CD5">
        <f>'2012_2015'!CB5</f>
        <v>7.1300000000000002E-2</v>
      </c>
      <c r="CE5">
        <f>'2012_2015'!CC5</f>
        <v>7.46E-2</v>
      </c>
      <c r="CF5">
        <f>'2012_2015'!CD5</f>
        <v>7.7600000000000002E-2</v>
      </c>
      <c r="CG5">
        <f>'2012_2015'!CE5</f>
        <v>7.3700000000000002E-2</v>
      </c>
      <c r="CH5">
        <f>'2012_2015'!CF5</f>
        <v>6.8000000000000005E-2</v>
      </c>
      <c r="CI5">
        <f>'2012_2015'!CG5</f>
        <v>6.6600000000000006E-2</v>
      </c>
      <c r="CJ5">
        <f>'2012_2015'!CH5</f>
        <v>7.0400000000000004E-2</v>
      </c>
      <c r="CK5">
        <f>'2012_2015'!CI5</f>
        <v>8.7800000000000003E-2</v>
      </c>
      <c r="CL5">
        <f>'2012_2015'!CJ5</f>
        <v>8.48E-2</v>
      </c>
      <c r="CM5">
        <f>'2012_2015'!CK5</f>
        <v>0.08</v>
      </c>
      <c r="CN5">
        <f>'2012_2015'!CL5</f>
        <v>8.2799999999999999E-2</v>
      </c>
      <c r="CO5">
        <f>'2012_2015'!CM5</f>
        <v>8.1799999999999998E-2</v>
      </c>
      <c r="CP5">
        <f>'2012_2015'!CN5</f>
        <v>7.5399999999999995E-2</v>
      </c>
      <c r="CQ5">
        <f>'2012_2015'!CO5</f>
        <v>8.6400000000000005E-2</v>
      </c>
      <c r="CR5">
        <f>'2012_2015'!CP5</f>
        <v>9.5200000000000007E-2</v>
      </c>
      <c r="CS5">
        <f>'2012_2015'!CQ5</f>
        <v>8.1600000000000006E-2</v>
      </c>
      <c r="CT5">
        <f>'2012_2015'!CR5</f>
        <v>9.4399999999999998E-2</v>
      </c>
      <c r="CU5">
        <f>'2012_2015'!CS5</f>
        <v>7.1900000000000006E-2</v>
      </c>
      <c r="CV5">
        <f>'2012_2015'!CT5</f>
        <v>8.3199999999999996E-2</v>
      </c>
      <c r="CW5">
        <f>'2012_2015'!CU5</f>
        <v>7.9500000000000001E-2</v>
      </c>
      <c r="CX5">
        <f>'2012_2015'!CV5</f>
        <v>6.9900000000000004E-2</v>
      </c>
    </row>
    <row r="6" spans="1:102" x14ac:dyDescent="0.2">
      <c r="A6" t="s">
        <v>207</v>
      </c>
      <c r="B6" t="s">
        <v>217</v>
      </c>
      <c r="C6" t="s">
        <v>102</v>
      </c>
      <c r="D6">
        <f>'2012_2015'!B6</f>
        <v>0.22800000000000001</v>
      </c>
      <c r="E6">
        <f>'2012_2015'!C6</f>
        <v>0.17499999999999999</v>
      </c>
      <c r="F6">
        <f>'2012_2015'!D6</f>
        <v>0.20100000000000001</v>
      </c>
      <c r="G6">
        <f>'2012_2015'!E6</f>
        <v>0.20200000000000001</v>
      </c>
      <c r="H6">
        <f>'2012_2015'!F6</f>
        <v>0.21099999999999999</v>
      </c>
      <c r="I6">
        <f>'2012_2015'!G6</f>
        <v>0.157</v>
      </c>
      <c r="J6">
        <f>'2012_2015'!H6</f>
        <v>0.19600000000000001</v>
      </c>
      <c r="K6">
        <f>'2012_2015'!I6</f>
        <v>0.155</v>
      </c>
      <c r="L6">
        <f>'2012_2015'!J6</f>
        <v>0.154</v>
      </c>
      <c r="M6">
        <f>'2012_2015'!K6</f>
        <v>0.14699999999999999</v>
      </c>
      <c r="N6">
        <f>'2012_2015'!L6</f>
        <v>0.157</v>
      </c>
      <c r="O6">
        <f>'2012_2015'!M6</f>
        <v>0.159</v>
      </c>
      <c r="P6">
        <f>'2012_2015'!N6</f>
        <v>0.14399999999999999</v>
      </c>
      <c r="Q6">
        <f>'2012_2015'!O6</f>
        <v>0.13100000000000001</v>
      </c>
      <c r="R6">
        <f>'2012_2015'!P6</f>
        <v>0.106</v>
      </c>
      <c r="S6">
        <f>'2012_2015'!Q6</f>
        <v>0.10299999999999999</v>
      </c>
      <c r="T6">
        <f>'2012_2015'!R6</f>
        <v>0.112</v>
      </c>
      <c r="U6">
        <f>'2012_2015'!S6</f>
        <v>0.113</v>
      </c>
      <c r="V6">
        <f>'2012_2015'!T6</f>
        <v>0.10199999999999999</v>
      </c>
      <c r="W6">
        <f>'2012_2015'!U6</f>
        <v>9.8599999999999993E-2</v>
      </c>
      <c r="X6">
        <f>'2012_2015'!V6</f>
        <v>9.9400000000000002E-2</v>
      </c>
      <c r="Y6">
        <f>'2012_2015'!W6</f>
        <v>0.104</v>
      </c>
      <c r="Z6">
        <f>'2012_2015'!X6</f>
        <v>0.11600000000000001</v>
      </c>
      <c r="AA6">
        <f>'2012_2015'!Y6</f>
        <v>0.111</v>
      </c>
      <c r="AB6">
        <f>'2012_2015'!Z6</f>
        <v>9.6600000000000005E-2</v>
      </c>
      <c r="AC6">
        <f>'2012_2015'!AA6</f>
        <v>8.7300000000000003E-2</v>
      </c>
      <c r="AD6">
        <f>'2012_2015'!AB6</f>
        <v>7.6999999999999999E-2</v>
      </c>
      <c r="AE6">
        <f>'2012_2015'!AC6</f>
        <v>6.6000000000000003E-2</v>
      </c>
      <c r="AF6">
        <f>'2012_2015'!AD6</f>
        <v>6.59E-2</v>
      </c>
      <c r="AG6">
        <f>'2012_2015'!AE6</f>
        <v>7.0900000000000005E-2</v>
      </c>
      <c r="AH6">
        <f>'2012_2015'!AF6</f>
        <v>6.8199999999999997E-2</v>
      </c>
      <c r="AI6">
        <f>'2012_2015'!AG6</f>
        <v>7.2999999999999995E-2</v>
      </c>
      <c r="AJ6">
        <f>'2012_2015'!AH6</f>
        <v>8.8300000000000003E-2</v>
      </c>
      <c r="AK6">
        <f>'2012_2015'!AI6</f>
        <v>8.5599999999999996E-2</v>
      </c>
      <c r="AL6">
        <f>'2012_2015'!AJ6</f>
        <v>8.3000000000000004E-2</v>
      </c>
      <c r="AM6">
        <f>'2012_2015'!AK6</f>
        <v>8.3599999999999994E-2</v>
      </c>
      <c r="AN6">
        <f>'2012_2015'!AL6</f>
        <v>7.4499999999999997E-2</v>
      </c>
      <c r="AO6">
        <f>'2012_2015'!AM6</f>
        <v>7.1800000000000003E-2</v>
      </c>
      <c r="AP6">
        <f>'2012_2015'!AN6</f>
        <v>8.4699999999999998E-2</v>
      </c>
      <c r="AQ6">
        <f>'2012_2015'!AO6</f>
        <v>0.104</v>
      </c>
      <c r="AR6">
        <f>'2012_2015'!AP6</f>
        <v>9.1800000000000007E-2</v>
      </c>
      <c r="AS6">
        <f>'2012_2015'!AQ6</f>
        <v>8.1500000000000003E-2</v>
      </c>
      <c r="AT6">
        <f>'2012_2015'!AR6</f>
        <v>6.9099999999999995E-2</v>
      </c>
      <c r="AU6">
        <f>'2012_2015'!AS6</f>
        <v>6.6500000000000004E-2</v>
      </c>
      <c r="AV6">
        <f>'2012_2015'!AT6</f>
        <v>4.0099999999999997E-2</v>
      </c>
      <c r="AW6">
        <f>'2012_2015'!AU6</f>
        <v>4.9700000000000001E-2</v>
      </c>
      <c r="AX6">
        <f>'2012_2015'!AV6</f>
        <v>5.6599999999999998E-2</v>
      </c>
      <c r="AY6">
        <f>'2012_2015'!AW6</f>
        <v>6.6600000000000006E-2</v>
      </c>
      <c r="AZ6">
        <f>'2012_2015'!AX6</f>
        <v>6.9699999999999998E-2</v>
      </c>
      <c r="BA6">
        <f>'2012_2015'!AY6</f>
        <v>6.5299999999999997E-2</v>
      </c>
      <c r="BB6">
        <f>'2012_2015'!AZ6</f>
        <v>8.72E-2</v>
      </c>
      <c r="BC6">
        <f>'2012_2015'!BA6</f>
        <v>8.6699999999999999E-2</v>
      </c>
      <c r="BD6">
        <f>'2012_2015'!BB6</f>
        <v>6.4100000000000004E-2</v>
      </c>
      <c r="BE6">
        <f>'2012_2015'!BC6</f>
        <v>6.2899999999999998E-2</v>
      </c>
      <c r="BF6">
        <f>'2012_2015'!BD6</f>
        <v>4.7300000000000002E-2</v>
      </c>
      <c r="BG6">
        <f>'2012_2015'!BE6</f>
        <v>5.3800000000000001E-2</v>
      </c>
      <c r="BH6">
        <f>'2012_2015'!BF6</f>
        <v>0.04</v>
      </c>
      <c r="BI6">
        <f>'2012_2015'!BG6</f>
        <v>4.2200000000000001E-2</v>
      </c>
      <c r="BJ6">
        <f>'2012_2015'!BH6</f>
        <v>3.73E-2</v>
      </c>
      <c r="BK6">
        <f>'2012_2015'!BI6</f>
        <v>5.7500000000000002E-2</v>
      </c>
      <c r="BL6">
        <f>'2012_2015'!BJ6</f>
        <v>5.4899999999999997E-2</v>
      </c>
      <c r="BM6">
        <f>'2012_2015'!BK6</f>
        <v>5.3699999999999998E-2</v>
      </c>
      <c r="BN6">
        <f>'2012_2015'!BL6</f>
        <v>4.82E-2</v>
      </c>
      <c r="BO6">
        <f>'2012_2015'!BM6</f>
        <v>5.8799999999999998E-2</v>
      </c>
      <c r="BP6">
        <f>'2012_2015'!BN6</f>
        <v>4.7399999999999998E-2</v>
      </c>
      <c r="BQ6">
        <f>'2012_2015'!BO6</f>
        <v>3.04E-2</v>
      </c>
      <c r="BR6">
        <f>'2012_2015'!BP6</f>
        <v>7.3600000000000002E-3</v>
      </c>
      <c r="BS6">
        <f>'2012_2015'!BQ6</f>
        <v>1.9E-2</v>
      </c>
      <c r="BT6">
        <f>'2012_2015'!BR6</f>
        <v>3.49E-2</v>
      </c>
      <c r="BU6">
        <f>'2012_2015'!BS6</f>
        <v>2.86E-2</v>
      </c>
      <c r="BV6">
        <f>'2012_2015'!BT6</f>
        <v>1.46E-2</v>
      </c>
      <c r="BW6">
        <f>'2012_2015'!BU6</f>
        <v>1.3899999999999999E-2</v>
      </c>
      <c r="BX6">
        <f>'2012_2015'!BV6</f>
        <v>2.2499999999999999E-2</v>
      </c>
      <c r="BY6">
        <f>'2012_2015'!BW6</f>
        <v>4.5799999999999999E-3</v>
      </c>
      <c r="BZ6">
        <f>'2012_2015'!BX6</f>
        <v>1.7100000000000001E-2</v>
      </c>
      <c r="CA6">
        <f>'2012_2015'!BY6</f>
        <v>1.61E-2</v>
      </c>
      <c r="CB6">
        <f>'2012_2015'!BZ6</f>
        <v>2.06E-2</v>
      </c>
      <c r="CC6">
        <f>'2012_2015'!CA6</f>
        <v>-7.1599999999999997E-3</v>
      </c>
      <c r="CD6">
        <f>'2012_2015'!CB6</f>
        <v>-3.6900000000000002E-2</v>
      </c>
      <c r="CE6">
        <f>'2012_2015'!CC6</f>
        <v>-1.5699999999999999E-2</v>
      </c>
      <c r="CF6">
        <f>'2012_2015'!CD6</f>
        <v>-3.0700000000000002E-2</v>
      </c>
      <c r="CG6">
        <f>'2012_2015'!CE6</f>
        <v>-6.7299999999999999E-3</v>
      </c>
      <c r="CH6">
        <f>'2012_2015'!CF6</f>
        <v>-3.0300000000000001E-2</v>
      </c>
      <c r="CI6">
        <f>'2012_2015'!CG6</f>
        <v>-5.6899999999999997E-3</v>
      </c>
      <c r="CJ6">
        <f>'2012_2015'!CH6</f>
        <v>3.1099999999999999E-3</v>
      </c>
      <c r="CK6">
        <f>'2012_2015'!CI6</f>
        <v>-1.15E-2</v>
      </c>
      <c r="CL6">
        <f>'2012_2015'!CJ6</f>
        <v>-4.5600000000000002E-2</v>
      </c>
      <c r="CM6">
        <f>'2012_2015'!CK6</f>
        <v>-5.8999999999999997E-2</v>
      </c>
      <c r="CN6">
        <f>'2012_2015'!CL6</f>
        <v>-3.5099999999999999E-2</v>
      </c>
      <c r="CO6">
        <f>'2012_2015'!CM6</f>
        <v>-4.99E-2</v>
      </c>
      <c r="CP6">
        <f>'2012_2015'!CN6</f>
        <v>5.8500000000000002E-3</v>
      </c>
      <c r="CQ6">
        <f>'2012_2015'!CO6</f>
        <v>-6.6600000000000006E-2</v>
      </c>
      <c r="CR6">
        <f>'2012_2015'!CP6</f>
        <v>-5.5199999999999999E-2</v>
      </c>
      <c r="CS6">
        <f>'2012_2015'!CQ6</f>
        <v>-7.1800000000000003E-2</v>
      </c>
      <c r="CT6">
        <f>'2012_2015'!CR6</f>
        <v>-9.3600000000000003E-2</v>
      </c>
      <c r="CU6">
        <f>'2012_2015'!CS6</f>
        <v>-3.9600000000000003E-2</v>
      </c>
      <c r="CV6">
        <f>'2012_2015'!CT6</f>
        <v>-5.0799999999999998E-2</v>
      </c>
      <c r="CW6">
        <f>'2012_2015'!CU6</f>
        <v>-7.8299999999999995E-2</v>
      </c>
      <c r="CX6">
        <f>'2012_2015'!CV6</f>
        <v>-5.2499999999999998E-2</v>
      </c>
    </row>
    <row r="7" spans="1:102" x14ac:dyDescent="0.2">
      <c r="A7" t="s">
        <v>208</v>
      </c>
      <c r="B7" t="s">
        <v>218</v>
      </c>
      <c r="C7" t="s">
        <v>102</v>
      </c>
      <c r="D7">
        <f>'2012_2015'!B7</f>
        <v>2.3199999999999998E-2</v>
      </c>
      <c r="E7">
        <f>'2012_2015'!C7</f>
        <v>3.2099999999999997E-2</v>
      </c>
      <c r="F7">
        <f>'2012_2015'!D7</f>
        <v>3.0700000000000002E-2</v>
      </c>
      <c r="G7">
        <f>'2012_2015'!E7</f>
        <v>2.9399999999999999E-2</v>
      </c>
      <c r="H7">
        <f>'2012_2015'!F7</f>
        <v>2.75E-2</v>
      </c>
      <c r="I7">
        <f>'2012_2015'!G7</f>
        <v>2.9700000000000001E-2</v>
      </c>
      <c r="J7">
        <f>'2012_2015'!H7</f>
        <v>2.9000000000000001E-2</v>
      </c>
      <c r="K7">
        <f>'2012_2015'!I7</f>
        <v>2.7199999999999998E-2</v>
      </c>
      <c r="L7">
        <f>'2012_2015'!J7</f>
        <v>2.81E-2</v>
      </c>
      <c r="M7">
        <f>'2012_2015'!K7</f>
        <v>2.2499999999999999E-2</v>
      </c>
      <c r="N7">
        <f>'2012_2015'!L7</f>
        <v>2.2100000000000002E-2</v>
      </c>
      <c r="O7">
        <f>'2012_2015'!M7</f>
        <v>2.1000000000000001E-2</v>
      </c>
      <c r="P7">
        <f>'2012_2015'!N7</f>
        <v>1.9400000000000001E-2</v>
      </c>
      <c r="Q7">
        <f>'2012_2015'!O7</f>
        <v>1.7999999999999999E-2</v>
      </c>
      <c r="R7">
        <f>'2012_2015'!P7</f>
        <v>1.54E-2</v>
      </c>
      <c r="S7">
        <f>'2012_2015'!Q7</f>
        <v>1.4200000000000001E-2</v>
      </c>
      <c r="T7">
        <f>'2012_2015'!R7</f>
        <v>1.38E-2</v>
      </c>
      <c r="U7">
        <f>'2012_2015'!S7</f>
        <v>1.38E-2</v>
      </c>
      <c r="V7">
        <f>'2012_2015'!T7</f>
        <v>1.3599999999999999E-2</v>
      </c>
      <c r="W7">
        <f>'2012_2015'!U7</f>
        <v>1.3599999999999999E-2</v>
      </c>
      <c r="X7">
        <f>'2012_2015'!V7</f>
        <v>1.37E-2</v>
      </c>
      <c r="Y7">
        <f>'2012_2015'!W7</f>
        <v>1.4E-2</v>
      </c>
      <c r="Z7">
        <f>'2012_2015'!X7</f>
        <v>1.4200000000000001E-2</v>
      </c>
      <c r="AA7">
        <f>'2012_2015'!Y7</f>
        <v>1.46E-2</v>
      </c>
      <c r="AB7">
        <f>'2012_2015'!Z7</f>
        <v>1.47E-2</v>
      </c>
      <c r="AC7">
        <f>'2012_2015'!AA7</f>
        <v>1.4800000000000001E-2</v>
      </c>
      <c r="AD7">
        <f>'2012_2015'!AB7</f>
        <v>1.49E-2</v>
      </c>
      <c r="AE7">
        <f>'2012_2015'!AC7</f>
        <v>1.5100000000000001E-2</v>
      </c>
      <c r="AF7">
        <f>'2012_2015'!AD7</f>
        <v>1.55E-2</v>
      </c>
      <c r="AG7">
        <f>'2012_2015'!AE7</f>
        <v>1.61E-2</v>
      </c>
      <c r="AH7">
        <f>'2012_2015'!AF7</f>
        <v>1.6799999999999999E-2</v>
      </c>
      <c r="AI7">
        <f>'2012_2015'!AG7</f>
        <v>1.7500000000000002E-2</v>
      </c>
      <c r="AJ7">
        <f>'2012_2015'!AH7</f>
        <v>1.8200000000000001E-2</v>
      </c>
      <c r="AK7">
        <f>'2012_2015'!AI7</f>
        <v>1.9099999999999999E-2</v>
      </c>
      <c r="AL7">
        <f>'2012_2015'!AJ7</f>
        <v>0.02</v>
      </c>
      <c r="AM7">
        <f>'2012_2015'!AK7</f>
        <v>2.07E-2</v>
      </c>
      <c r="AN7">
        <f>'2012_2015'!AL7</f>
        <v>2.1499999999999998E-2</v>
      </c>
      <c r="AO7">
        <f>'2012_2015'!AM7</f>
        <v>2.2800000000000001E-2</v>
      </c>
      <c r="AP7">
        <f>'2012_2015'!AN7</f>
        <v>2.3699999999999999E-2</v>
      </c>
      <c r="AQ7">
        <f>'2012_2015'!AO7</f>
        <v>2.46E-2</v>
      </c>
      <c r="AR7">
        <f>'2012_2015'!AP7</f>
        <v>2.5399999999999999E-2</v>
      </c>
      <c r="AS7">
        <f>'2012_2015'!AQ7</f>
        <v>2.63E-2</v>
      </c>
      <c r="AT7">
        <f>'2012_2015'!AR7</f>
        <v>2.69E-2</v>
      </c>
      <c r="AU7">
        <f>'2012_2015'!AS7</f>
        <v>2.7099999999999999E-2</v>
      </c>
      <c r="AV7">
        <f>'2012_2015'!AT7</f>
        <v>2.7300000000000001E-2</v>
      </c>
      <c r="AW7">
        <f>'2012_2015'!AU7</f>
        <v>2.7400000000000001E-2</v>
      </c>
      <c r="AX7">
        <f>'2012_2015'!AV7</f>
        <v>2.76E-2</v>
      </c>
      <c r="AY7">
        <f>'2012_2015'!AW7</f>
        <v>2.8400000000000002E-2</v>
      </c>
      <c r="AZ7">
        <f>'2012_2015'!AX7</f>
        <v>2.8899999999999999E-2</v>
      </c>
      <c r="BA7">
        <f>'2012_2015'!AY7</f>
        <v>0.03</v>
      </c>
      <c r="BB7">
        <f>'2012_2015'!AZ7</f>
        <v>3.09E-2</v>
      </c>
      <c r="BC7">
        <f>'2012_2015'!BA7</f>
        <v>3.2899999999999999E-2</v>
      </c>
      <c r="BD7">
        <f>'2012_2015'!BB7</f>
        <v>3.5000000000000003E-2</v>
      </c>
      <c r="BE7">
        <f>'2012_2015'!BC7</f>
        <v>3.6499999999999998E-2</v>
      </c>
      <c r="BF7">
        <f>'2012_2015'!BD7</f>
        <v>3.7499999999999999E-2</v>
      </c>
      <c r="BG7">
        <f>'2012_2015'!BE7</f>
        <v>3.7999999999999999E-2</v>
      </c>
      <c r="BH7">
        <f>'2012_2015'!BF7</f>
        <v>3.78E-2</v>
      </c>
      <c r="BI7">
        <f>'2012_2015'!BG7</f>
        <v>3.7400000000000003E-2</v>
      </c>
      <c r="BJ7">
        <f>'2012_2015'!BH7</f>
        <v>3.7499999999999999E-2</v>
      </c>
      <c r="BK7">
        <f>'2012_2015'!BI7</f>
        <v>3.7600000000000001E-2</v>
      </c>
      <c r="BL7">
        <f>'2012_2015'!BJ7</f>
        <v>3.7999999999999999E-2</v>
      </c>
      <c r="BM7">
        <f>'2012_2015'!BK7</f>
        <v>3.9699999999999999E-2</v>
      </c>
      <c r="BN7">
        <f>'2012_2015'!BL7</f>
        <v>4.1799999999999997E-2</v>
      </c>
      <c r="BO7">
        <f>'2012_2015'!BM7</f>
        <v>4.3499999999999997E-2</v>
      </c>
      <c r="BP7">
        <f>'2012_2015'!BN7</f>
        <v>4.4900000000000002E-2</v>
      </c>
      <c r="BQ7">
        <f>'2012_2015'!BO7</f>
        <v>4.5900000000000003E-2</v>
      </c>
      <c r="BR7">
        <f>'2012_2015'!BP7</f>
        <v>4.58E-2</v>
      </c>
      <c r="BS7">
        <f>'2012_2015'!BQ7</f>
        <v>4.58E-2</v>
      </c>
      <c r="BT7">
        <f>'2012_2015'!BR7</f>
        <v>4.5999999999999999E-2</v>
      </c>
      <c r="BU7">
        <f>'2012_2015'!BS7</f>
        <v>4.7399999999999998E-2</v>
      </c>
      <c r="BV7">
        <f>'2012_2015'!BT7</f>
        <v>5.0700000000000002E-2</v>
      </c>
      <c r="BW7">
        <f>'2012_2015'!BU7</f>
        <v>5.3499999999999999E-2</v>
      </c>
      <c r="BX7">
        <f>'2012_2015'!BV7</f>
        <v>5.5300000000000002E-2</v>
      </c>
      <c r="BY7">
        <f>'2012_2015'!BW7</f>
        <v>5.7099999999999998E-2</v>
      </c>
      <c r="BZ7">
        <f>'2012_2015'!BX7</f>
        <v>5.6899999999999999E-2</v>
      </c>
      <c r="CA7">
        <f>'2012_2015'!BY7</f>
        <v>5.6500000000000002E-2</v>
      </c>
      <c r="CB7">
        <f>'2012_2015'!BZ7</f>
        <v>5.5800000000000002E-2</v>
      </c>
      <c r="CC7">
        <f>'2012_2015'!CA7</f>
        <v>5.8999999999999997E-2</v>
      </c>
      <c r="CD7">
        <f>'2012_2015'!CB7</f>
        <v>6.2700000000000006E-2</v>
      </c>
      <c r="CE7">
        <f>'2012_2015'!CC7</f>
        <v>6.6000000000000003E-2</v>
      </c>
      <c r="CF7">
        <f>'2012_2015'!CD7</f>
        <v>6.88E-2</v>
      </c>
      <c r="CG7">
        <f>'2012_2015'!CE7</f>
        <v>6.5699999999999995E-2</v>
      </c>
      <c r="CH7">
        <f>'2012_2015'!CF7</f>
        <v>6.08E-2</v>
      </c>
      <c r="CI7">
        <f>'2012_2015'!CG7</f>
        <v>5.9299999999999999E-2</v>
      </c>
      <c r="CJ7">
        <f>'2012_2015'!CH7</f>
        <v>6.2899999999999998E-2</v>
      </c>
      <c r="CK7">
        <f>'2012_2015'!CI7</f>
        <v>7.8899999999999998E-2</v>
      </c>
      <c r="CL7">
        <f>'2012_2015'!CJ7</f>
        <v>7.6499999999999999E-2</v>
      </c>
      <c r="CM7">
        <f>'2012_2015'!CK7</f>
        <v>7.2599999999999998E-2</v>
      </c>
      <c r="CN7">
        <f>'2012_2015'!CL7</f>
        <v>7.5700000000000003E-2</v>
      </c>
      <c r="CO7">
        <f>'2012_2015'!CM7</f>
        <v>7.4899999999999994E-2</v>
      </c>
      <c r="CP7">
        <f>'2012_2015'!CN7</f>
        <v>6.9099999999999995E-2</v>
      </c>
      <c r="CQ7">
        <f>'2012_2015'!CO7</f>
        <v>7.9500000000000001E-2</v>
      </c>
      <c r="CR7">
        <f>'2012_2015'!CP7</f>
        <v>8.7900000000000006E-2</v>
      </c>
      <c r="CS7">
        <f>'2012_2015'!CQ7</f>
        <v>7.5300000000000006E-2</v>
      </c>
      <c r="CT7">
        <f>'2012_2015'!CR7</f>
        <v>8.7099999999999997E-2</v>
      </c>
      <c r="CU7">
        <f>'2012_2015'!CS7</f>
        <v>6.7100000000000007E-2</v>
      </c>
      <c r="CV7">
        <f>'2012_2015'!CT7</f>
        <v>7.7799999999999994E-2</v>
      </c>
      <c r="CW7">
        <f>'2012_2015'!CU7</f>
        <v>7.4800000000000005E-2</v>
      </c>
      <c r="CX7">
        <f>'2012_2015'!CV7</f>
        <v>6.6500000000000004E-2</v>
      </c>
    </row>
    <row r="8" spans="1:102" x14ac:dyDescent="0.2">
      <c r="A8" t="s">
        <v>209</v>
      </c>
      <c r="B8" t="s">
        <v>218</v>
      </c>
      <c r="C8" t="s">
        <v>102</v>
      </c>
      <c r="D8">
        <f>'2012_2015'!B8</f>
        <v>3.1900000000000001E-3</v>
      </c>
      <c r="E8">
        <f>'2012_2015'!C8</f>
        <v>6.1999999999999998E-3</v>
      </c>
      <c r="F8">
        <f>'2012_2015'!D8</f>
        <v>7.5300000000000002E-3</v>
      </c>
      <c r="G8">
        <f>'2012_2015'!E8</f>
        <v>7.8300000000000002E-3</v>
      </c>
      <c r="H8">
        <f>'2012_2015'!F8</f>
        <v>7.7200000000000003E-3</v>
      </c>
      <c r="I8">
        <f>'2012_2015'!G8</f>
        <v>8.7200000000000003E-3</v>
      </c>
      <c r="J8">
        <f>'2012_2015'!H8</f>
        <v>8.4499999999999992E-3</v>
      </c>
      <c r="K8">
        <f>'2012_2015'!I8</f>
        <v>8.0199999999999994E-3</v>
      </c>
      <c r="L8">
        <f>'2012_2015'!J8</f>
        <v>8.26E-3</v>
      </c>
      <c r="M8">
        <f>'2012_2015'!K8</f>
        <v>6.79E-3</v>
      </c>
      <c r="N8">
        <f>'2012_2015'!L8</f>
        <v>6.6699999999999997E-3</v>
      </c>
      <c r="O8">
        <f>'2012_2015'!M8</f>
        <v>6.3699999999999998E-3</v>
      </c>
      <c r="P8">
        <f>'2012_2015'!N8</f>
        <v>5.9699999999999996E-3</v>
      </c>
      <c r="Q8">
        <f>'2012_2015'!O8</f>
        <v>5.5799999999999999E-3</v>
      </c>
      <c r="R8">
        <f>'2012_2015'!P8</f>
        <v>4.8199999999999996E-3</v>
      </c>
      <c r="S8">
        <f>'2012_2015'!Q8</f>
        <v>4.5500000000000002E-3</v>
      </c>
      <c r="T8">
        <f>'2012_2015'!R8</f>
        <v>4.47E-3</v>
      </c>
      <c r="U8">
        <f>'2012_2015'!S8</f>
        <v>4.45E-3</v>
      </c>
      <c r="V8">
        <f>'2012_2015'!T8</f>
        <v>4.4000000000000003E-3</v>
      </c>
      <c r="W8">
        <f>'2012_2015'!U8</f>
        <v>4.4200000000000003E-3</v>
      </c>
      <c r="X8">
        <f>'2012_2015'!V8</f>
        <v>4.3899999999999998E-3</v>
      </c>
      <c r="Y8">
        <f>'2012_2015'!W8</f>
        <v>4.4999999999999997E-3</v>
      </c>
      <c r="Z8">
        <f>'2012_2015'!X8</f>
        <v>4.5599999999999998E-3</v>
      </c>
      <c r="AA8">
        <f>'2012_2015'!Y8</f>
        <v>4.6600000000000001E-3</v>
      </c>
      <c r="AB8">
        <f>'2012_2015'!Z8</f>
        <v>4.7800000000000004E-3</v>
      </c>
      <c r="AC8">
        <f>'2012_2015'!AA8</f>
        <v>4.7999999999999996E-3</v>
      </c>
      <c r="AD8">
        <f>'2012_2015'!AB8</f>
        <v>4.8799999999999998E-3</v>
      </c>
      <c r="AE8">
        <f>'2012_2015'!AC8</f>
        <v>4.96E-3</v>
      </c>
      <c r="AF8">
        <f>'2012_2015'!AD8</f>
        <v>5.0499999999999998E-3</v>
      </c>
      <c r="AG8">
        <f>'2012_2015'!AE8</f>
        <v>5.2199999999999998E-3</v>
      </c>
      <c r="AH8">
        <f>'2012_2015'!AF8</f>
        <v>5.3699999999999998E-3</v>
      </c>
      <c r="AI8">
        <f>'2012_2015'!AG8</f>
        <v>5.5500000000000002E-3</v>
      </c>
      <c r="AJ8">
        <f>'2012_2015'!AH8</f>
        <v>5.7200000000000003E-3</v>
      </c>
      <c r="AK8">
        <f>'2012_2015'!AI8</f>
        <v>6.0499999999999998E-3</v>
      </c>
      <c r="AL8">
        <f>'2012_2015'!AJ8</f>
        <v>6.2899999999999996E-3</v>
      </c>
      <c r="AM8">
        <f>'2012_2015'!AK8</f>
        <v>6.4700000000000001E-3</v>
      </c>
      <c r="AN8">
        <f>'2012_2015'!AL8</f>
        <v>6.7200000000000003E-3</v>
      </c>
      <c r="AO8">
        <f>'2012_2015'!AM8</f>
        <v>7.0499999999999998E-3</v>
      </c>
      <c r="AP8">
        <f>'2012_2015'!AN8</f>
        <v>7.3299999999999997E-3</v>
      </c>
      <c r="AQ8">
        <f>'2012_2015'!AO8</f>
        <v>7.6699999999999997E-3</v>
      </c>
      <c r="AR8">
        <f>'2012_2015'!AP8</f>
        <v>7.8799999999999999E-3</v>
      </c>
      <c r="AS8">
        <f>'2012_2015'!AQ8</f>
        <v>8.1899999999999994E-3</v>
      </c>
      <c r="AT8">
        <f>'2012_2015'!AR8</f>
        <v>8.3599999999999994E-3</v>
      </c>
      <c r="AU8">
        <f>'2012_2015'!AS8</f>
        <v>8.4399999999999996E-3</v>
      </c>
      <c r="AV8">
        <f>'2012_2015'!AT8</f>
        <v>8.43E-3</v>
      </c>
      <c r="AW8">
        <f>'2012_2015'!AU8</f>
        <v>8.4399999999999996E-3</v>
      </c>
      <c r="AX8">
        <f>'2012_2015'!AV8</f>
        <v>8.4899999999999993E-3</v>
      </c>
      <c r="AY8">
        <f>'2012_2015'!AW8</f>
        <v>8.7299999999999999E-3</v>
      </c>
      <c r="AZ8">
        <f>'2012_2015'!AX8</f>
        <v>8.8199999999999997E-3</v>
      </c>
      <c r="BA8">
        <f>'2012_2015'!AY8</f>
        <v>9.1299999999999992E-3</v>
      </c>
      <c r="BB8">
        <f>'2012_2015'!AZ8</f>
        <v>9.3399999999999993E-3</v>
      </c>
      <c r="BC8">
        <f>'2012_2015'!BA8</f>
        <v>9.8799999999999999E-3</v>
      </c>
      <c r="BD8">
        <f>'2012_2015'!BB8</f>
        <v>1.04E-2</v>
      </c>
      <c r="BE8">
        <f>'2012_2015'!BC8</f>
        <v>1.0800000000000001E-2</v>
      </c>
      <c r="BF8">
        <f>'2012_2015'!BD8</f>
        <v>1.11E-2</v>
      </c>
      <c r="BG8">
        <f>'2012_2015'!BE8</f>
        <v>1.12E-2</v>
      </c>
      <c r="BH8">
        <f>'2012_2015'!BF8</f>
        <v>1.11E-2</v>
      </c>
      <c r="BI8">
        <f>'2012_2015'!BG8</f>
        <v>1.09E-2</v>
      </c>
      <c r="BJ8">
        <f>'2012_2015'!BH8</f>
        <v>1.09E-2</v>
      </c>
      <c r="BK8">
        <f>'2012_2015'!BI8</f>
        <v>1.09E-2</v>
      </c>
      <c r="BL8">
        <f>'2012_2015'!BJ8</f>
        <v>1.09E-2</v>
      </c>
      <c r="BM8">
        <f>'2012_2015'!BK8</f>
        <v>1.12E-2</v>
      </c>
      <c r="BN8">
        <f>'2012_2015'!BL8</f>
        <v>1.17E-2</v>
      </c>
      <c r="BO8">
        <f>'2012_2015'!BM8</f>
        <v>1.2200000000000001E-2</v>
      </c>
      <c r="BP8">
        <f>'2012_2015'!BN8</f>
        <v>1.24E-2</v>
      </c>
      <c r="BQ8">
        <f>'2012_2015'!BO8</f>
        <v>1.26E-2</v>
      </c>
      <c r="BR8">
        <f>'2012_2015'!BP8</f>
        <v>1.24E-2</v>
      </c>
      <c r="BS8">
        <f>'2012_2015'!BQ8</f>
        <v>1.24E-2</v>
      </c>
      <c r="BT8">
        <f>'2012_2015'!BR8</f>
        <v>1.2500000000000001E-2</v>
      </c>
      <c r="BU8">
        <f>'2012_2015'!BS8</f>
        <v>1.26E-2</v>
      </c>
      <c r="BV8">
        <f>'2012_2015'!BT8</f>
        <v>1.34E-2</v>
      </c>
      <c r="BW8">
        <f>'2012_2015'!BU8</f>
        <v>1.41E-2</v>
      </c>
      <c r="BX8">
        <f>'2012_2015'!BV8</f>
        <v>1.44E-2</v>
      </c>
      <c r="BY8">
        <f>'2012_2015'!BW8</f>
        <v>1.4800000000000001E-2</v>
      </c>
      <c r="BZ8">
        <f>'2012_2015'!BX8</f>
        <v>1.46E-2</v>
      </c>
      <c r="CA8">
        <f>'2012_2015'!BY8</f>
        <v>1.44E-2</v>
      </c>
      <c r="CB8">
        <f>'2012_2015'!BZ8</f>
        <v>1.4200000000000001E-2</v>
      </c>
      <c r="CC8">
        <f>'2012_2015'!CA8</f>
        <v>1.4800000000000001E-2</v>
      </c>
      <c r="CD8">
        <f>'2012_2015'!CB8</f>
        <v>1.5699999999999999E-2</v>
      </c>
      <c r="CE8">
        <f>'2012_2015'!CC8</f>
        <v>1.6199999999999999E-2</v>
      </c>
      <c r="CF8">
        <f>'2012_2015'!CD8</f>
        <v>1.6899999999999998E-2</v>
      </c>
      <c r="CG8">
        <f>'2012_2015'!CE8</f>
        <v>1.61E-2</v>
      </c>
      <c r="CH8">
        <f>'2012_2015'!CF8</f>
        <v>1.49E-2</v>
      </c>
      <c r="CI8">
        <f>'2012_2015'!CG8</f>
        <v>1.47E-2</v>
      </c>
      <c r="CJ8">
        <f>'2012_2015'!CH8</f>
        <v>1.55E-2</v>
      </c>
      <c r="CK8">
        <f>'2012_2015'!CI8</f>
        <v>1.9400000000000001E-2</v>
      </c>
      <c r="CL8">
        <f>'2012_2015'!CJ8</f>
        <v>1.8800000000000001E-2</v>
      </c>
      <c r="CM8">
        <f>'2012_2015'!CK8</f>
        <v>1.78E-2</v>
      </c>
      <c r="CN8">
        <f>'2012_2015'!CL8</f>
        <v>1.8599999999999998E-2</v>
      </c>
      <c r="CO8">
        <f>'2012_2015'!CM8</f>
        <v>1.8200000000000001E-2</v>
      </c>
      <c r="CP8">
        <f>'2012_2015'!CN8</f>
        <v>1.72E-2</v>
      </c>
      <c r="CQ8">
        <f>'2012_2015'!CO8</f>
        <v>1.9900000000000001E-2</v>
      </c>
      <c r="CR8">
        <f>'2012_2015'!CP8</f>
        <v>2.1999999999999999E-2</v>
      </c>
      <c r="CS8">
        <f>'2012_2015'!CQ8</f>
        <v>1.8800000000000001E-2</v>
      </c>
      <c r="CT8">
        <f>'2012_2015'!CR8</f>
        <v>2.2200000000000001E-2</v>
      </c>
      <c r="CU8">
        <f>'2012_2015'!CS8</f>
        <v>1.7100000000000001E-2</v>
      </c>
      <c r="CV8">
        <f>'2012_2015'!CT8</f>
        <v>2.06E-2</v>
      </c>
      <c r="CW8">
        <f>'2012_2015'!CU8</f>
        <v>2.0899999999999998E-2</v>
      </c>
      <c r="CX8">
        <f>'2012_2015'!CV8</f>
        <v>1.9599999999999999E-2</v>
      </c>
    </row>
    <row r="9" spans="1:102" x14ac:dyDescent="0.2">
      <c r="A9" t="s">
        <v>210</v>
      </c>
      <c r="B9" t="s">
        <v>218</v>
      </c>
      <c r="C9" t="s">
        <v>102</v>
      </c>
      <c r="D9">
        <f>'2012_2015'!B9</f>
        <v>-2.4599999999999999E-3</v>
      </c>
      <c r="E9">
        <f>'2012_2015'!C9</f>
        <v>-2.96E-3</v>
      </c>
      <c r="F9">
        <f>'2012_2015'!D9</f>
        <v>-2.7299999999999998E-3</v>
      </c>
      <c r="G9">
        <f>'2012_2015'!E9</f>
        <v>-2.4099999999999998E-3</v>
      </c>
      <c r="H9">
        <f>'2012_2015'!F9</f>
        <v>-2.16E-3</v>
      </c>
      <c r="I9">
        <f>'2012_2015'!G9</f>
        <v>-2.1900000000000001E-3</v>
      </c>
      <c r="J9">
        <f>'2012_2015'!H9</f>
        <v>-1.92E-3</v>
      </c>
      <c r="K9">
        <f>'2012_2015'!I9</f>
        <v>-1.6999999999999999E-3</v>
      </c>
      <c r="L9">
        <f>'2012_2015'!J9</f>
        <v>-1.6299999999999999E-3</v>
      </c>
      <c r="M9">
        <f>'2012_2015'!K9</f>
        <v>-1.23E-3</v>
      </c>
      <c r="N9">
        <f>'2012_2015'!L9</f>
        <v>-1.1299999999999999E-3</v>
      </c>
      <c r="O9">
        <f>'2012_2015'!M9</f>
        <v>-1E-3</v>
      </c>
      <c r="P9">
        <f>'2012_2015'!N9</f>
        <v>-8.8500000000000004E-4</v>
      </c>
      <c r="Q9">
        <f>'2012_2015'!O9</f>
        <v>-7.6900000000000004E-4</v>
      </c>
      <c r="R9">
        <f>'2012_2015'!P9</f>
        <v>-6.3599999999999996E-4</v>
      </c>
      <c r="S9">
        <f>'2012_2015'!Q9</f>
        <v>-5.8699999999999996E-4</v>
      </c>
      <c r="T9">
        <f>'2012_2015'!R9</f>
        <v>-5.7399999999999997E-4</v>
      </c>
      <c r="U9">
        <f>'2012_2015'!S9</f>
        <v>-5.62E-4</v>
      </c>
      <c r="V9">
        <f>'2012_2015'!T9</f>
        <v>-5.6599999999999999E-4</v>
      </c>
      <c r="W9">
        <f>'2012_2015'!U9</f>
        <v>-5.6800000000000004E-4</v>
      </c>
      <c r="X9">
        <f>'2012_2015'!V9</f>
        <v>-6.0499999999999996E-4</v>
      </c>
      <c r="Y9">
        <f>'2012_2015'!W9</f>
        <v>-6.3599999999999996E-4</v>
      </c>
      <c r="Z9">
        <f>'2012_2015'!X9</f>
        <v>-6.5499999999999998E-4</v>
      </c>
      <c r="AA9">
        <f>'2012_2015'!Y9</f>
        <v>-6.8499999999999995E-4</v>
      </c>
      <c r="AB9">
        <f>'2012_2015'!Z9</f>
        <v>-6.96E-4</v>
      </c>
      <c r="AC9">
        <f>'2012_2015'!AA9</f>
        <v>-7.1599999999999995E-4</v>
      </c>
      <c r="AD9">
        <f>'2012_2015'!AB9</f>
        <v>-7.4100000000000001E-4</v>
      </c>
      <c r="AE9">
        <f>'2012_2015'!AC9</f>
        <v>-7.7700000000000002E-4</v>
      </c>
      <c r="AF9">
        <f>'2012_2015'!AD9</f>
        <v>-8.0599999999999997E-4</v>
      </c>
      <c r="AG9">
        <f>'2012_2015'!AE9</f>
        <v>-8.4999999999999995E-4</v>
      </c>
      <c r="AH9">
        <f>'2012_2015'!AF9</f>
        <v>-9.1100000000000003E-4</v>
      </c>
      <c r="AI9">
        <f>'2012_2015'!AG9</f>
        <v>-9.5399999999999999E-4</v>
      </c>
      <c r="AJ9">
        <f>'2012_2015'!AH9</f>
        <v>-9.9099999999999991E-4</v>
      </c>
      <c r="AK9">
        <f>'2012_2015'!AI9</f>
        <v>-1.0499999999999999E-3</v>
      </c>
      <c r="AL9">
        <f>'2012_2015'!AJ9</f>
        <v>-1.1100000000000001E-3</v>
      </c>
      <c r="AM9">
        <f>'2012_2015'!AK9</f>
        <v>-1.16E-3</v>
      </c>
      <c r="AN9">
        <f>'2012_2015'!AL9</f>
        <v>-1.1999999999999999E-3</v>
      </c>
      <c r="AO9">
        <f>'2012_2015'!AM9</f>
        <v>-1.2800000000000001E-3</v>
      </c>
      <c r="AP9">
        <f>'2012_2015'!AN9</f>
        <v>-1.34E-3</v>
      </c>
      <c r="AQ9">
        <f>'2012_2015'!AO9</f>
        <v>-1.4300000000000001E-3</v>
      </c>
      <c r="AR9">
        <f>'2012_2015'!AP9</f>
        <v>-1.48E-3</v>
      </c>
      <c r="AS9">
        <f>'2012_2015'!AQ9</f>
        <v>-1.5200000000000001E-3</v>
      </c>
      <c r="AT9">
        <f>'2012_2015'!AR9</f>
        <v>-1.5399999999999999E-3</v>
      </c>
      <c r="AU9">
        <f>'2012_2015'!AS9</f>
        <v>-1.5499999999999999E-3</v>
      </c>
      <c r="AV9">
        <f>'2012_2015'!AT9</f>
        <v>-1.5399999999999999E-3</v>
      </c>
      <c r="AW9">
        <f>'2012_2015'!AU9</f>
        <v>-1.5499999999999999E-3</v>
      </c>
      <c r="AX9">
        <f>'2012_2015'!AV9</f>
        <v>-1.5499999999999999E-3</v>
      </c>
      <c r="AY9">
        <f>'2012_2015'!AW9</f>
        <v>-1.6000000000000001E-3</v>
      </c>
      <c r="AZ9">
        <f>'2012_2015'!AX9</f>
        <v>-1.6199999999999999E-3</v>
      </c>
      <c r="BA9">
        <f>'2012_2015'!AY9</f>
        <v>-1.6900000000000001E-3</v>
      </c>
      <c r="BB9">
        <f>'2012_2015'!AZ9</f>
        <v>-1.72E-3</v>
      </c>
      <c r="BC9">
        <f>'2012_2015'!BA9</f>
        <v>-1.82E-3</v>
      </c>
      <c r="BD9">
        <f>'2012_2015'!BB9</f>
        <v>-1.92E-3</v>
      </c>
      <c r="BE9">
        <f>'2012_2015'!BC9</f>
        <v>-1.9599999999999999E-3</v>
      </c>
      <c r="BF9">
        <f>'2012_2015'!BD9</f>
        <v>-1.98E-3</v>
      </c>
      <c r="BG9">
        <f>'2012_2015'!BE9</f>
        <v>-1.99E-3</v>
      </c>
      <c r="BH9">
        <f>'2012_2015'!BF9</f>
        <v>-1.97E-3</v>
      </c>
      <c r="BI9">
        <f>'2012_2015'!BG9</f>
        <v>-1.92E-3</v>
      </c>
      <c r="BJ9">
        <f>'2012_2015'!BH9</f>
        <v>-1.91E-3</v>
      </c>
      <c r="BK9">
        <f>'2012_2015'!BI9</f>
        <v>-1.9E-3</v>
      </c>
      <c r="BL9">
        <f>'2012_2015'!BJ9</f>
        <v>-1.9E-3</v>
      </c>
      <c r="BM9">
        <f>'2012_2015'!BK9</f>
        <v>-1.9499999999999999E-3</v>
      </c>
      <c r="BN9">
        <f>'2012_2015'!BL9</f>
        <v>-2.0500000000000002E-3</v>
      </c>
      <c r="BO9">
        <f>'2012_2015'!BM9</f>
        <v>-2.0600000000000002E-3</v>
      </c>
      <c r="BP9">
        <f>'2012_2015'!BN9</f>
        <v>-2.1099999999999999E-3</v>
      </c>
      <c r="BQ9">
        <f>'2012_2015'!BO9</f>
        <v>-2.1099999999999999E-3</v>
      </c>
      <c r="BR9">
        <f>'2012_2015'!BP9</f>
        <v>-2.0799999999999998E-3</v>
      </c>
      <c r="BS9">
        <f>'2012_2015'!BQ9</f>
        <v>-2.0699999999999998E-3</v>
      </c>
      <c r="BT9">
        <f>'2012_2015'!BR9</f>
        <v>-2.0500000000000002E-3</v>
      </c>
      <c r="BU9">
        <f>'2012_2015'!BS9</f>
        <v>-2.0600000000000002E-3</v>
      </c>
      <c r="BV9">
        <f>'2012_2015'!BT9</f>
        <v>-2.1900000000000001E-3</v>
      </c>
      <c r="BW9">
        <f>'2012_2015'!BU9</f>
        <v>-2.2799999999999999E-3</v>
      </c>
      <c r="BX9">
        <f>'2012_2015'!BV9</f>
        <v>-2.31E-3</v>
      </c>
      <c r="BY9">
        <f>'2012_2015'!BW9</f>
        <v>-2.3800000000000002E-3</v>
      </c>
      <c r="BZ9">
        <f>'2012_2015'!BX9</f>
        <v>-2.3500000000000001E-3</v>
      </c>
      <c r="CA9">
        <f>'2012_2015'!BY9</f>
        <v>-2.32E-3</v>
      </c>
      <c r="CB9">
        <f>'2012_2015'!BZ9</f>
        <v>-2.2300000000000002E-3</v>
      </c>
      <c r="CC9">
        <f>'2012_2015'!CA9</f>
        <v>-2.3600000000000001E-3</v>
      </c>
      <c r="CD9">
        <f>'2012_2015'!CB9</f>
        <v>-2.49E-3</v>
      </c>
      <c r="CE9">
        <f>'2012_2015'!CC9</f>
        <v>-2.5100000000000001E-3</v>
      </c>
      <c r="CF9">
        <f>'2012_2015'!CD9</f>
        <v>-2.6099999999999999E-3</v>
      </c>
      <c r="CG9">
        <f>'2012_2015'!CE9</f>
        <v>-2.48E-3</v>
      </c>
      <c r="CH9">
        <f>'2012_2015'!CF9</f>
        <v>-2.32E-3</v>
      </c>
      <c r="CI9">
        <f>'2012_2015'!CG9</f>
        <v>-2.2499999999999998E-3</v>
      </c>
      <c r="CJ9">
        <f>'2012_2015'!CH9</f>
        <v>-2.3900000000000002E-3</v>
      </c>
      <c r="CK9">
        <f>'2012_2015'!CI9</f>
        <v>-2.8999999999999998E-3</v>
      </c>
      <c r="CL9">
        <f>'2012_2015'!CJ9</f>
        <v>-2.82E-3</v>
      </c>
      <c r="CM9">
        <f>'2012_2015'!CK9</f>
        <v>-2.7599999999999999E-3</v>
      </c>
      <c r="CN9">
        <f>'2012_2015'!CL9</f>
        <v>-2.8700000000000002E-3</v>
      </c>
      <c r="CO9">
        <f>'2012_2015'!CM9</f>
        <v>-2.8600000000000001E-3</v>
      </c>
      <c r="CP9">
        <f>'2012_2015'!CN9</f>
        <v>-2.7499999999999998E-3</v>
      </c>
      <c r="CQ9">
        <f>'2012_2015'!CO9</f>
        <v>-3.2499999999999999E-3</v>
      </c>
      <c r="CR9">
        <f>'2012_2015'!CP9</f>
        <v>-3.5699999999999998E-3</v>
      </c>
      <c r="CS9">
        <f>'2012_2015'!CQ9</f>
        <v>-3.0699999999999998E-3</v>
      </c>
      <c r="CT9">
        <f>'2012_2015'!CR9</f>
        <v>-3.8500000000000001E-3</v>
      </c>
      <c r="CU9">
        <f>'2012_2015'!CS9</f>
        <v>-3.0400000000000002E-3</v>
      </c>
      <c r="CV9">
        <f>'2012_2015'!CT9</f>
        <v>-3.48E-3</v>
      </c>
      <c r="CW9">
        <f>'2012_2015'!CU9</f>
        <v>-3.63E-3</v>
      </c>
      <c r="CX9">
        <f>'2012_2015'!CV9</f>
        <v>-3.5200000000000001E-3</v>
      </c>
    </row>
    <row r="10" spans="1:102" x14ac:dyDescent="0.2">
      <c r="A10" t="s">
        <v>211</v>
      </c>
      <c r="B10" t="s">
        <v>218</v>
      </c>
      <c r="C10" t="s">
        <v>102</v>
      </c>
      <c r="D10">
        <f>'2012_2015'!B10</f>
        <v>-2.15E-3</v>
      </c>
      <c r="E10">
        <f>'2012_2015'!C10</f>
        <v>-2.47E-3</v>
      </c>
      <c r="F10">
        <f>'2012_2015'!D10</f>
        <v>-2.31E-3</v>
      </c>
      <c r="G10">
        <f>'2012_2015'!E10</f>
        <v>-2.15E-3</v>
      </c>
      <c r="H10">
        <f>'2012_2015'!F10</f>
        <v>-1.92E-3</v>
      </c>
      <c r="I10">
        <f>'2012_2015'!G10</f>
        <v>-1.9400000000000001E-3</v>
      </c>
      <c r="J10">
        <f>'2012_2015'!H10</f>
        <v>-1.8500000000000001E-3</v>
      </c>
      <c r="K10">
        <f>'2012_2015'!I10</f>
        <v>-1.89E-3</v>
      </c>
      <c r="L10">
        <f>'2012_2015'!J10</f>
        <v>-1.7600000000000001E-3</v>
      </c>
      <c r="M10">
        <f>'2012_2015'!K10</f>
        <v>-1.48E-3</v>
      </c>
      <c r="N10">
        <f>'2012_2015'!L10</f>
        <v>-1.5200000000000001E-3</v>
      </c>
      <c r="O10">
        <f>'2012_2015'!M10</f>
        <v>-1.5E-3</v>
      </c>
      <c r="P10">
        <f>'2012_2015'!N10</f>
        <v>-1.42E-3</v>
      </c>
      <c r="Q10">
        <f>'2012_2015'!O10</f>
        <v>-1.3699999999999999E-3</v>
      </c>
      <c r="R10">
        <f>'2012_2015'!P10</f>
        <v>-1.15E-3</v>
      </c>
      <c r="S10">
        <f>'2012_2015'!Q10</f>
        <v>-1.1199999999999999E-3</v>
      </c>
      <c r="T10">
        <f>'2012_2015'!R10</f>
        <v>-1.0300000000000001E-3</v>
      </c>
      <c r="U10">
        <f>'2012_2015'!S10</f>
        <v>-1.08E-3</v>
      </c>
      <c r="V10">
        <f>'2012_2015'!T10</f>
        <v>-1.0499999999999999E-3</v>
      </c>
      <c r="W10">
        <f>'2012_2015'!U10</f>
        <v>-1.0399999999999999E-3</v>
      </c>
      <c r="X10">
        <f>'2012_2015'!V10</f>
        <v>-1.0499999999999999E-3</v>
      </c>
      <c r="Y10">
        <f>'2012_2015'!W10</f>
        <v>-1.1000000000000001E-3</v>
      </c>
      <c r="Z10">
        <f>'2012_2015'!X10</f>
        <v>-1.09E-3</v>
      </c>
      <c r="AA10">
        <f>'2012_2015'!Y10</f>
        <v>-1.1299999999999999E-3</v>
      </c>
      <c r="AB10">
        <f>'2012_2015'!Z10</f>
        <v>-1.1000000000000001E-3</v>
      </c>
      <c r="AC10">
        <f>'2012_2015'!AA10</f>
        <v>-1.1000000000000001E-3</v>
      </c>
      <c r="AD10">
        <f>'2012_2015'!AB10</f>
        <v>-1.14E-3</v>
      </c>
      <c r="AE10">
        <f>'2012_2015'!AC10</f>
        <v>-1.1299999999999999E-3</v>
      </c>
      <c r="AF10">
        <f>'2012_2015'!AD10</f>
        <v>-1.16E-3</v>
      </c>
      <c r="AG10">
        <f>'2012_2015'!AE10</f>
        <v>-1.2999999999999999E-3</v>
      </c>
      <c r="AH10">
        <f>'2012_2015'!AF10</f>
        <v>-1.32E-3</v>
      </c>
      <c r="AI10">
        <f>'2012_2015'!AG10</f>
        <v>-1.3699999999999999E-3</v>
      </c>
      <c r="AJ10">
        <f>'2012_2015'!AH10</f>
        <v>-1.4400000000000001E-3</v>
      </c>
      <c r="AK10">
        <f>'2012_2015'!AI10</f>
        <v>-1.49E-3</v>
      </c>
      <c r="AL10">
        <f>'2012_2015'!AJ10</f>
        <v>-1.56E-3</v>
      </c>
      <c r="AM10">
        <f>'2012_2015'!AK10</f>
        <v>-1.6000000000000001E-3</v>
      </c>
      <c r="AN10">
        <f>'2012_2015'!AL10</f>
        <v>-1.6100000000000001E-3</v>
      </c>
      <c r="AO10">
        <f>'2012_2015'!AM10</f>
        <v>-1.7600000000000001E-3</v>
      </c>
      <c r="AP10">
        <f>'2012_2015'!AN10</f>
        <v>-1.83E-3</v>
      </c>
      <c r="AQ10">
        <f>'2012_2015'!AO10</f>
        <v>-1.8500000000000001E-3</v>
      </c>
      <c r="AR10">
        <f>'2012_2015'!AP10</f>
        <v>-1.9300000000000001E-3</v>
      </c>
      <c r="AS10">
        <f>'2012_2015'!AQ10</f>
        <v>-1.9599999999999999E-3</v>
      </c>
      <c r="AT10">
        <f>'2012_2015'!AR10</f>
        <v>-1.98E-3</v>
      </c>
      <c r="AU10">
        <f>'2012_2015'!AS10</f>
        <v>-1.98E-3</v>
      </c>
      <c r="AV10">
        <f>'2012_2015'!AT10</f>
        <v>-1.9599999999999999E-3</v>
      </c>
      <c r="AW10">
        <f>'2012_2015'!AU10</f>
        <v>-2.0100000000000001E-3</v>
      </c>
      <c r="AX10">
        <f>'2012_2015'!AV10</f>
        <v>-2.0500000000000002E-3</v>
      </c>
      <c r="AY10">
        <f>'2012_2015'!AW10</f>
        <v>-2.0200000000000001E-3</v>
      </c>
      <c r="AZ10">
        <f>'2012_2015'!AX10</f>
        <v>-2.0899999999999998E-3</v>
      </c>
      <c r="BA10">
        <f>'2012_2015'!AY10</f>
        <v>-2.14E-3</v>
      </c>
      <c r="BB10">
        <f>'2012_2015'!AZ10</f>
        <v>-2.1700000000000001E-3</v>
      </c>
      <c r="BC10">
        <f>'2012_2015'!BA10</f>
        <v>-2.2699999999999999E-3</v>
      </c>
      <c r="BD10">
        <f>'2012_2015'!BB10</f>
        <v>-2.4099999999999998E-3</v>
      </c>
      <c r="BE10">
        <f>'2012_2015'!BC10</f>
        <v>-2.5600000000000002E-3</v>
      </c>
      <c r="BF10">
        <f>'2012_2015'!BD10</f>
        <v>-2.5699999999999998E-3</v>
      </c>
      <c r="BG10">
        <f>'2012_2015'!BE10</f>
        <v>-2.5999999999999999E-3</v>
      </c>
      <c r="BH10">
        <f>'2012_2015'!BF10</f>
        <v>-2.5999999999999999E-3</v>
      </c>
      <c r="BI10">
        <f>'2012_2015'!BG10</f>
        <v>-2.6099999999999999E-3</v>
      </c>
      <c r="BJ10">
        <f>'2012_2015'!BH10</f>
        <v>-2.6800000000000001E-3</v>
      </c>
      <c r="BK10">
        <f>'2012_2015'!BI10</f>
        <v>-2.5999999999999999E-3</v>
      </c>
      <c r="BL10">
        <f>'2012_2015'!BJ10</f>
        <v>-2.5699999999999998E-3</v>
      </c>
      <c r="BM10">
        <f>'2012_2015'!BK10</f>
        <v>-2.7299999999999998E-3</v>
      </c>
      <c r="BN10">
        <f>'2012_2015'!BL10</f>
        <v>-2.9099999999999998E-3</v>
      </c>
      <c r="BO10">
        <f>'2012_2015'!BM10</f>
        <v>-3.0200000000000001E-3</v>
      </c>
      <c r="BP10">
        <f>'2012_2015'!BN10</f>
        <v>-3.0999999999999999E-3</v>
      </c>
      <c r="BQ10">
        <f>'2012_2015'!BO10</f>
        <v>-3.13E-3</v>
      </c>
      <c r="BR10">
        <f>'2012_2015'!BP10</f>
        <v>-3.2399999999999998E-3</v>
      </c>
      <c r="BS10">
        <f>'2012_2015'!BQ10</f>
        <v>-3.2399999999999998E-3</v>
      </c>
      <c r="BT10">
        <f>'2012_2015'!BR10</f>
        <v>-3.1700000000000001E-3</v>
      </c>
      <c r="BU10">
        <f>'2012_2015'!BS10</f>
        <v>-3.2100000000000002E-3</v>
      </c>
      <c r="BV10">
        <f>'2012_2015'!BT10</f>
        <v>-3.49E-3</v>
      </c>
      <c r="BW10">
        <f>'2012_2015'!BU10</f>
        <v>-3.6600000000000001E-3</v>
      </c>
      <c r="BX10">
        <f>'2012_2015'!BV10</f>
        <v>-3.7100000000000002E-3</v>
      </c>
      <c r="BY10">
        <f>'2012_2015'!BW10</f>
        <v>-3.7699999999999999E-3</v>
      </c>
      <c r="BZ10">
        <f>'2012_2015'!BX10</f>
        <v>-3.7599999999999999E-3</v>
      </c>
      <c r="CA10">
        <f>'2012_2015'!BY10</f>
        <v>-3.8300000000000001E-3</v>
      </c>
      <c r="CB10">
        <f>'2012_2015'!BZ10</f>
        <v>-3.62E-3</v>
      </c>
      <c r="CC10">
        <f>'2012_2015'!CA10</f>
        <v>-3.81E-3</v>
      </c>
      <c r="CD10">
        <f>'2012_2015'!CB10</f>
        <v>-3.96E-3</v>
      </c>
      <c r="CE10">
        <f>'2012_2015'!CC10</f>
        <v>-4.1200000000000004E-3</v>
      </c>
      <c r="CF10">
        <f>'2012_2015'!CD10</f>
        <v>-4.28E-3</v>
      </c>
      <c r="CG10">
        <f>'2012_2015'!CE10</f>
        <v>-4.1099999999999999E-3</v>
      </c>
      <c r="CH10">
        <f>'2012_2015'!CF10</f>
        <v>-3.8999999999999998E-3</v>
      </c>
      <c r="CI10">
        <f>'2012_2015'!CG10</f>
        <v>-3.5899999999999999E-3</v>
      </c>
      <c r="CJ10">
        <f>'2012_2015'!CH10</f>
        <v>-3.79E-3</v>
      </c>
      <c r="CK10">
        <f>'2012_2015'!CI10</f>
        <v>-4.7400000000000003E-3</v>
      </c>
      <c r="CL10">
        <f>'2012_2015'!CJ10</f>
        <v>-4.5700000000000003E-3</v>
      </c>
      <c r="CM10">
        <f>'2012_2015'!CK10</f>
        <v>-4.4799999999999996E-3</v>
      </c>
      <c r="CN10">
        <f>'2012_2015'!CL10</f>
        <v>-4.5799999999999999E-3</v>
      </c>
      <c r="CO10">
        <f>'2012_2015'!CM10</f>
        <v>-4.4000000000000003E-3</v>
      </c>
      <c r="CP10">
        <f>'2012_2015'!CN10</f>
        <v>-4.1900000000000001E-3</v>
      </c>
      <c r="CQ10">
        <f>'2012_2015'!CO10</f>
        <v>-4.8999999999999998E-3</v>
      </c>
      <c r="CR10">
        <f>'2012_2015'!CP10</f>
        <v>-5.5999999999999999E-3</v>
      </c>
      <c r="CS10">
        <f>'2012_2015'!CQ10</f>
        <v>-4.96E-3</v>
      </c>
      <c r="CT10">
        <f>'2012_2015'!CR10</f>
        <v>-5.6600000000000001E-3</v>
      </c>
      <c r="CU10">
        <f>'2012_2015'!CS10</f>
        <v>-4.5199999999999997E-3</v>
      </c>
      <c r="CV10">
        <f>'2012_2015'!CT10</f>
        <v>-5.6100000000000004E-3</v>
      </c>
      <c r="CW10">
        <f>'2012_2015'!CU10</f>
        <v>-5.3099999999999996E-3</v>
      </c>
      <c r="CX10">
        <f>'2012_2015'!CV10</f>
        <v>-4.5399999999999998E-3</v>
      </c>
    </row>
    <row r="11" spans="1:102" x14ac:dyDescent="0.2">
      <c r="A11" t="s">
        <v>212</v>
      </c>
      <c r="B11" t="s">
        <v>218</v>
      </c>
      <c r="C11" t="s">
        <v>102</v>
      </c>
      <c r="D11">
        <f>'2012_2015'!B11</f>
        <v>2.0400000000000001E-3</v>
      </c>
      <c r="E11">
        <f>'2012_2015'!C11</f>
        <v>2.4199999999999998E-3</v>
      </c>
      <c r="F11">
        <f>'2012_2015'!D11</f>
        <v>2.2100000000000002E-3</v>
      </c>
      <c r="G11">
        <f>'2012_2015'!E11</f>
        <v>1.9599999999999999E-3</v>
      </c>
      <c r="H11">
        <f>'2012_2015'!F11</f>
        <v>1.74E-3</v>
      </c>
      <c r="I11">
        <f>'2012_2015'!G11</f>
        <v>1.67E-3</v>
      </c>
      <c r="J11">
        <f>'2012_2015'!H11</f>
        <v>1.57E-3</v>
      </c>
      <c r="K11">
        <f>'2012_2015'!I11</f>
        <v>1.4599999999999999E-3</v>
      </c>
      <c r="L11">
        <f>'2012_2015'!J11</f>
        <v>1.3799999999999999E-3</v>
      </c>
      <c r="M11">
        <f>'2012_2015'!K11</f>
        <v>1.08E-3</v>
      </c>
      <c r="N11">
        <f>'2012_2015'!L11</f>
        <v>9.859999999999999E-4</v>
      </c>
      <c r="O11">
        <f>'2012_2015'!M11</f>
        <v>8.6799999999999996E-4</v>
      </c>
      <c r="P11">
        <f>'2012_2015'!N11</f>
        <v>7.7800000000000005E-4</v>
      </c>
      <c r="Q11">
        <f>'2012_2015'!O11</f>
        <v>6.6100000000000002E-4</v>
      </c>
      <c r="R11">
        <f>'2012_2015'!P11</f>
        <v>5.2400000000000005E-4</v>
      </c>
      <c r="S11">
        <f>'2012_2015'!Q11</f>
        <v>4.6900000000000002E-4</v>
      </c>
      <c r="T11">
        <f>'2012_2015'!R11</f>
        <v>4.28E-4</v>
      </c>
      <c r="U11">
        <f>'2012_2015'!S11</f>
        <v>4.0700000000000003E-4</v>
      </c>
      <c r="V11">
        <f>'2012_2015'!T11</f>
        <v>3.7500000000000001E-4</v>
      </c>
      <c r="W11">
        <f>'2012_2015'!U11</f>
        <v>3.5500000000000001E-4</v>
      </c>
      <c r="X11">
        <f>'2012_2015'!V11</f>
        <v>3.4499999999999998E-4</v>
      </c>
      <c r="Y11">
        <f>'2012_2015'!W11</f>
        <v>3.3E-4</v>
      </c>
      <c r="Z11">
        <f>'2012_2015'!X11</f>
        <v>3.21E-4</v>
      </c>
      <c r="AA11">
        <f>'2012_2015'!Y11</f>
        <v>3.1599999999999998E-4</v>
      </c>
      <c r="AB11">
        <f>'2012_2015'!Z11</f>
        <v>3.0200000000000002E-4</v>
      </c>
      <c r="AC11">
        <f>'2012_2015'!AA11</f>
        <v>2.9999999999999997E-4</v>
      </c>
      <c r="AD11">
        <f>'2012_2015'!AB11</f>
        <v>2.8800000000000001E-4</v>
      </c>
      <c r="AE11">
        <f>'2012_2015'!AC11</f>
        <v>2.7599999999999999E-4</v>
      </c>
      <c r="AF11">
        <f>'2012_2015'!AD11</f>
        <v>2.7799999999999998E-4</v>
      </c>
      <c r="AG11">
        <f>'2012_2015'!AE11</f>
        <v>2.6899999999999998E-4</v>
      </c>
      <c r="AH11">
        <f>'2012_2015'!AF11</f>
        <v>2.6699999999999998E-4</v>
      </c>
      <c r="AI11">
        <f>'2012_2015'!AG11</f>
        <v>2.6400000000000002E-4</v>
      </c>
      <c r="AJ11">
        <f>'2012_2015'!AH11</f>
        <v>2.7099999999999997E-4</v>
      </c>
      <c r="AK11">
        <f>'2012_2015'!AI11</f>
        <v>2.7500000000000002E-4</v>
      </c>
      <c r="AL11">
        <f>'2012_2015'!AJ11</f>
        <v>2.8699999999999998E-4</v>
      </c>
      <c r="AM11">
        <f>'2012_2015'!AK11</f>
        <v>2.8499999999999999E-4</v>
      </c>
      <c r="AN11">
        <f>'2012_2015'!AL11</f>
        <v>2.8400000000000002E-4</v>
      </c>
      <c r="AO11">
        <f>'2012_2015'!AM11</f>
        <v>2.9100000000000003E-4</v>
      </c>
      <c r="AP11">
        <f>'2012_2015'!AN11</f>
        <v>2.8899999999999998E-4</v>
      </c>
      <c r="AQ11">
        <f>'2012_2015'!AO11</f>
        <v>2.9E-4</v>
      </c>
      <c r="AR11">
        <f>'2012_2015'!AP11</f>
        <v>2.92E-4</v>
      </c>
      <c r="AS11">
        <f>'2012_2015'!AQ11</f>
        <v>2.9399999999999999E-4</v>
      </c>
      <c r="AT11">
        <f>'2012_2015'!AR11</f>
        <v>2.9E-4</v>
      </c>
      <c r="AU11">
        <f>'2012_2015'!AS11</f>
        <v>2.8499999999999999E-4</v>
      </c>
      <c r="AV11">
        <f>'2012_2015'!AT11</f>
        <v>2.7599999999999999E-4</v>
      </c>
      <c r="AW11">
        <f>'2012_2015'!AU11</f>
        <v>2.7900000000000001E-4</v>
      </c>
      <c r="AX11">
        <f>'2012_2015'!AV11</f>
        <v>2.7399999999999999E-4</v>
      </c>
      <c r="AY11">
        <f>'2012_2015'!AW11</f>
        <v>2.61E-4</v>
      </c>
      <c r="AZ11">
        <f>'2012_2015'!AX11</f>
        <v>2.5700000000000001E-4</v>
      </c>
      <c r="BA11">
        <f>'2012_2015'!AY11</f>
        <v>2.52E-4</v>
      </c>
      <c r="BB11">
        <f>'2012_2015'!AZ11</f>
        <v>2.52E-4</v>
      </c>
      <c r="BC11">
        <f>'2012_2015'!BA11</f>
        <v>2.6400000000000002E-4</v>
      </c>
      <c r="BD11">
        <f>'2012_2015'!BB11</f>
        <v>2.7399999999999999E-4</v>
      </c>
      <c r="BE11">
        <f>'2012_2015'!BC11</f>
        <v>2.7599999999999999E-4</v>
      </c>
      <c r="BF11">
        <f>'2012_2015'!BD11</f>
        <v>2.7599999999999999E-4</v>
      </c>
      <c r="BG11">
        <f>'2012_2015'!BE11</f>
        <v>2.7E-4</v>
      </c>
      <c r="BH11">
        <f>'2012_2015'!BF11</f>
        <v>2.5500000000000002E-4</v>
      </c>
      <c r="BI11">
        <f>'2012_2015'!BG11</f>
        <v>2.5099999999999998E-4</v>
      </c>
      <c r="BJ11">
        <f>'2012_2015'!BH11</f>
        <v>2.5700000000000001E-4</v>
      </c>
      <c r="BK11">
        <f>'2012_2015'!BI11</f>
        <v>2.4600000000000002E-4</v>
      </c>
      <c r="BL11">
        <f>'2012_2015'!BJ11</f>
        <v>2.4399999999999999E-4</v>
      </c>
      <c r="BM11">
        <f>'2012_2015'!BK11</f>
        <v>2.4600000000000002E-4</v>
      </c>
      <c r="BN11">
        <f>'2012_2015'!BL11</f>
        <v>2.4800000000000001E-4</v>
      </c>
      <c r="BO11">
        <f>'2012_2015'!BM11</f>
        <v>2.4600000000000002E-4</v>
      </c>
      <c r="BP11">
        <f>'2012_2015'!BN11</f>
        <v>2.5599999999999999E-4</v>
      </c>
      <c r="BQ11">
        <f>'2012_2015'!BO11</f>
        <v>2.63E-4</v>
      </c>
      <c r="BR11">
        <f>'2012_2015'!BP11</f>
        <v>2.52E-4</v>
      </c>
      <c r="BS11">
        <f>'2012_2015'!BQ11</f>
        <v>2.4499999999999999E-4</v>
      </c>
      <c r="BT11">
        <f>'2012_2015'!BR11</f>
        <v>2.4800000000000001E-4</v>
      </c>
      <c r="BU11">
        <f>'2012_2015'!BS11</f>
        <v>2.5700000000000001E-4</v>
      </c>
      <c r="BV11">
        <f>'2012_2015'!BT11</f>
        <v>2.8400000000000002E-4</v>
      </c>
      <c r="BW11">
        <f>'2012_2015'!BU11</f>
        <v>2.9999999999999997E-4</v>
      </c>
      <c r="BX11">
        <f>'2012_2015'!BV11</f>
        <v>2.8400000000000002E-4</v>
      </c>
      <c r="BY11">
        <f>'2012_2015'!BW11</f>
        <v>2.9300000000000002E-4</v>
      </c>
      <c r="BZ11">
        <f>'2012_2015'!BX11</f>
        <v>2.9100000000000003E-4</v>
      </c>
      <c r="CA11">
        <f>'2012_2015'!BY11</f>
        <v>2.8800000000000001E-4</v>
      </c>
      <c r="CB11">
        <f>'2012_2015'!BZ11</f>
        <v>2.72E-4</v>
      </c>
      <c r="CC11">
        <f>'2012_2015'!CA11</f>
        <v>2.81E-4</v>
      </c>
      <c r="CD11">
        <f>'2012_2015'!CB11</f>
        <v>2.6699999999999998E-4</v>
      </c>
      <c r="CE11">
        <f>'2012_2015'!CC11</f>
        <v>2.61E-4</v>
      </c>
      <c r="CF11">
        <f>'2012_2015'!CD11</f>
        <v>2.5399999999999999E-4</v>
      </c>
      <c r="CG11">
        <f>'2012_2015'!CE11</f>
        <v>2.4000000000000001E-4</v>
      </c>
      <c r="CH11">
        <f>'2012_2015'!CF11</f>
        <v>2.1499999999999999E-4</v>
      </c>
      <c r="CI11">
        <f>'2012_2015'!CG11</f>
        <v>2.0000000000000001E-4</v>
      </c>
      <c r="CJ11">
        <f>'2012_2015'!CH11</f>
        <v>1.75E-4</v>
      </c>
      <c r="CK11">
        <f>'2012_2015'!CI11</f>
        <v>2.13E-4</v>
      </c>
      <c r="CL11">
        <f>'2012_2015'!CJ11</f>
        <v>2.12E-4</v>
      </c>
      <c r="CM11">
        <f>'2012_2015'!CK11</f>
        <v>1.9799999999999999E-4</v>
      </c>
      <c r="CN11">
        <f>'2012_2015'!CL11</f>
        <v>2.0599999999999999E-4</v>
      </c>
      <c r="CO11">
        <f>'2012_2015'!CM11</f>
        <v>1.8699999999999999E-4</v>
      </c>
      <c r="CP11">
        <f>'2012_2015'!CN11</f>
        <v>1.75E-4</v>
      </c>
      <c r="CQ11">
        <f>'2012_2015'!CO11</f>
        <v>1.8599999999999999E-4</v>
      </c>
      <c r="CR11">
        <f>'2012_2015'!CP11</f>
        <v>2.0000000000000001E-4</v>
      </c>
      <c r="CS11">
        <f>'2012_2015'!CQ11</f>
        <v>1.64E-4</v>
      </c>
      <c r="CT11">
        <f>'2012_2015'!CR11</f>
        <v>1.7100000000000001E-4</v>
      </c>
      <c r="CU11">
        <f>'2012_2015'!CS11</f>
        <v>1.25E-4</v>
      </c>
      <c r="CV11">
        <f>'2012_2015'!CT11</f>
        <v>1.6699999999999999E-4</v>
      </c>
      <c r="CW11">
        <f>'2012_2015'!CU11</f>
        <v>1.16E-4</v>
      </c>
      <c r="CX11">
        <f>'2012_2015'!CV11</f>
        <v>1.5699999999999999E-4</v>
      </c>
    </row>
    <row r="12" spans="1:102" x14ac:dyDescent="0.2">
      <c r="A12" t="s">
        <v>213</v>
      </c>
      <c r="B12" t="s">
        <v>218</v>
      </c>
      <c r="C12" t="s">
        <v>102</v>
      </c>
      <c r="D12">
        <f>'2012_2015'!B12</f>
        <v>7.9299999999999995E-3</v>
      </c>
      <c r="E12">
        <f>'2012_2015'!C12</f>
        <v>1.14E-2</v>
      </c>
      <c r="F12">
        <f>'2012_2015'!D12</f>
        <v>1.2200000000000001E-2</v>
      </c>
      <c r="G12">
        <f>'2012_2015'!E12</f>
        <v>1.2500000000000001E-2</v>
      </c>
      <c r="H12">
        <f>'2012_2015'!F12</f>
        <v>1.24E-2</v>
      </c>
      <c r="I12">
        <f>'2012_2015'!G12</f>
        <v>1.37E-2</v>
      </c>
      <c r="J12">
        <f>'2012_2015'!H12</f>
        <v>1.37E-2</v>
      </c>
      <c r="K12">
        <f>'2012_2015'!I12</f>
        <v>1.32E-2</v>
      </c>
      <c r="L12">
        <f>'2012_2015'!J12</f>
        <v>1.35E-2</v>
      </c>
      <c r="M12">
        <f>'2012_2015'!K12</f>
        <v>1.09E-2</v>
      </c>
      <c r="N12">
        <f>'2012_2015'!L12</f>
        <v>1.06E-2</v>
      </c>
      <c r="O12">
        <f>'2012_2015'!M12</f>
        <v>9.9399999999999992E-3</v>
      </c>
      <c r="P12">
        <f>'2012_2015'!N12</f>
        <v>8.9700000000000005E-3</v>
      </c>
      <c r="Q12">
        <f>'2012_2015'!O12</f>
        <v>7.79E-3</v>
      </c>
      <c r="R12">
        <f>'2012_2015'!P12</f>
        <v>6.2599999999999999E-3</v>
      </c>
      <c r="S12">
        <f>'2012_2015'!Q12</f>
        <v>5.5500000000000002E-3</v>
      </c>
      <c r="T12">
        <f>'2012_2015'!R12</f>
        <v>5.1900000000000002E-3</v>
      </c>
      <c r="U12">
        <f>'2012_2015'!S12</f>
        <v>5.0000000000000001E-3</v>
      </c>
      <c r="V12">
        <f>'2012_2015'!T12</f>
        <v>4.3800000000000002E-3</v>
      </c>
      <c r="W12">
        <f>'2012_2015'!U12</f>
        <v>4.0400000000000002E-3</v>
      </c>
      <c r="X12">
        <f>'2012_2015'!V12</f>
        <v>3.8400000000000001E-3</v>
      </c>
      <c r="Y12">
        <f>'2012_2015'!W12</f>
        <v>3.6700000000000001E-3</v>
      </c>
      <c r="Z12">
        <f>'2012_2015'!X12</f>
        <v>3.4499999999999999E-3</v>
      </c>
      <c r="AA12">
        <f>'2012_2015'!Y12</f>
        <v>3.1900000000000001E-3</v>
      </c>
      <c r="AB12">
        <f>'2012_2015'!Z12</f>
        <v>2.9499999999999999E-3</v>
      </c>
      <c r="AC12">
        <f>'2012_2015'!AA12</f>
        <v>2.7399999999999998E-3</v>
      </c>
      <c r="AD12">
        <f>'2012_2015'!AB12</f>
        <v>2.5999999999999999E-3</v>
      </c>
      <c r="AE12">
        <f>'2012_2015'!AC12</f>
        <v>2.5200000000000001E-3</v>
      </c>
      <c r="AF12">
        <f>'2012_2015'!AD12</f>
        <v>2.4199999999999998E-3</v>
      </c>
      <c r="AG12">
        <f>'2012_2015'!AE12</f>
        <v>2.3800000000000002E-3</v>
      </c>
      <c r="AH12">
        <f>'2012_2015'!AF12</f>
        <v>2.2799999999999999E-3</v>
      </c>
      <c r="AI12">
        <f>'2012_2015'!AG12</f>
        <v>2.14E-3</v>
      </c>
      <c r="AJ12">
        <f>'2012_2015'!AH12</f>
        <v>2.0500000000000002E-3</v>
      </c>
      <c r="AK12">
        <f>'2012_2015'!AI12</f>
        <v>1.97E-3</v>
      </c>
      <c r="AL12">
        <f>'2012_2015'!AJ12</f>
        <v>1.92E-3</v>
      </c>
      <c r="AM12">
        <f>'2012_2015'!AK12</f>
        <v>1.8799999999999999E-3</v>
      </c>
      <c r="AN12">
        <f>'2012_2015'!AL12</f>
        <v>1.8799999999999999E-3</v>
      </c>
      <c r="AO12">
        <f>'2012_2015'!AM12</f>
        <v>1.8400000000000001E-3</v>
      </c>
      <c r="AP12">
        <f>'2012_2015'!AN12</f>
        <v>1.7600000000000001E-3</v>
      </c>
      <c r="AQ12">
        <f>'2012_2015'!AO12</f>
        <v>1.64E-3</v>
      </c>
      <c r="AR12">
        <f>'2012_2015'!AP12</f>
        <v>1.57E-3</v>
      </c>
      <c r="AS12">
        <f>'2012_2015'!AQ12</f>
        <v>1.4300000000000001E-3</v>
      </c>
      <c r="AT12">
        <f>'2012_2015'!AR12</f>
        <v>1.2700000000000001E-3</v>
      </c>
      <c r="AU12">
        <f>'2012_2015'!AS12</f>
        <v>1.1199999999999999E-3</v>
      </c>
      <c r="AV12">
        <f>'2012_2015'!AT12</f>
        <v>9.5E-4</v>
      </c>
      <c r="AW12">
        <f>'2012_2015'!AU12</f>
        <v>8.9499999999999996E-4</v>
      </c>
      <c r="AX12">
        <f>'2012_2015'!AV12</f>
        <v>8.8500000000000004E-4</v>
      </c>
      <c r="AY12">
        <f>'2012_2015'!AW12</f>
        <v>8.4800000000000001E-4</v>
      </c>
      <c r="AZ12">
        <f>'2012_2015'!AX12</f>
        <v>8.5099999999999998E-4</v>
      </c>
      <c r="BA12">
        <f>'2012_2015'!AY12</f>
        <v>7.4299999999999995E-4</v>
      </c>
      <c r="BB12">
        <f>'2012_2015'!AZ12</f>
        <v>7.0100000000000002E-4</v>
      </c>
      <c r="BC12">
        <f>'2012_2015'!BA12</f>
        <v>6.1799999999999995E-4</v>
      </c>
      <c r="BD12">
        <f>'2012_2015'!BB12</f>
        <v>5.6599999999999999E-4</v>
      </c>
      <c r="BE12">
        <f>'2012_2015'!BC12</f>
        <v>4.8799999999999999E-4</v>
      </c>
      <c r="BF12">
        <f>'2012_2015'!BD12</f>
        <v>3.21E-4</v>
      </c>
      <c r="BG12">
        <f>'2012_2015'!BE12</f>
        <v>1.8100000000000001E-4</v>
      </c>
      <c r="BH12">
        <f>'2012_2015'!BF12</f>
        <v>1.12E-4</v>
      </c>
      <c r="BI12">
        <f>'2012_2015'!BG12</f>
        <v>8.2000000000000001E-5</v>
      </c>
      <c r="BJ12">
        <f>'2012_2015'!BH12</f>
        <v>1.13E-4</v>
      </c>
      <c r="BK12">
        <f>'2012_2015'!BI12</f>
        <v>6.4800000000000003E-5</v>
      </c>
      <c r="BL12">
        <f>'2012_2015'!BJ12</f>
        <v>6.8899999999999994E-5</v>
      </c>
      <c r="BM12">
        <f>'2012_2015'!BK12</f>
        <v>7.8999999999999996E-5</v>
      </c>
      <c r="BN12">
        <f>'2012_2015'!BL12</f>
        <v>6.7999999999999999E-5</v>
      </c>
      <c r="BO12">
        <f>'2012_2015'!BM12</f>
        <v>-5.99E-7</v>
      </c>
      <c r="BP12">
        <f>'2012_2015'!BN12</f>
        <v>-1.44E-4</v>
      </c>
      <c r="BQ12">
        <f>'2012_2015'!BO12</f>
        <v>-2.03E-4</v>
      </c>
      <c r="BR12">
        <f>'2012_2015'!BP12</f>
        <v>-2.2699999999999999E-4</v>
      </c>
      <c r="BS12">
        <f>'2012_2015'!BQ12</f>
        <v>-2.5700000000000001E-4</v>
      </c>
      <c r="BT12">
        <f>'2012_2015'!BR12</f>
        <v>-3.5199999999999999E-4</v>
      </c>
      <c r="BU12">
        <f>'2012_2015'!BS12</f>
        <v>-4.0900000000000002E-4</v>
      </c>
      <c r="BV12">
        <f>'2012_2015'!BT12</f>
        <v>-4.6500000000000003E-4</v>
      </c>
      <c r="BW12">
        <f>'2012_2015'!BU12</f>
        <v>-5.62E-4</v>
      </c>
      <c r="BX12">
        <f>'2012_2015'!BV12</f>
        <v>-4.4900000000000002E-4</v>
      </c>
      <c r="BY12">
        <f>'2012_2015'!BW12</f>
        <v>-5.8E-4</v>
      </c>
      <c r="BZ12">
        <f>'2012_2015'!BX12</f>
        <v>-5.8699999999999996E-4</v>
      </c>
      <c r="CA12">
        <f>'2012_2015'!BY12</f>
        <v>-5.9100000000000005E-4</v>
      </c>
      <c r="CB12">
        <f>'2012_2015'!BZ12</f>
        <v>-6.8800000000000003E-4</v>
      </c>
      <c r="CC12">
        <f>'2012_2015'!CA12</f>
        <v>-6.9800000000000005E-4</v>
      </c>
      <c r="CD12">
        <f>'2012_2015'!CB12</f>
        <v>-6.5899999999999997E-4</v>
      </c>
      <c r="CE12">
        <f>'2012_2015'!CC12</f>
        <v>-6.2200000000000005E-4</v>
      </c>
      <c r="CF12">
        <f>'2012_2015'!CD12</f>
        <v>-6.1499999999999999E-4</v>
      </c>
      <c r="CG12">
        <f>'2012_2015'!CE12</f>
        <v>-7.5900000000000002E-4</v>
      </c>
      <c r="CH12">
        <f>'2012_2015'!CF12</f>
        <v>-7.0200000000000004E-4</v>
      </c>
      <c r="CI12">
        <f>'2012_2015'!CG12</f>
        <v>-5.6999999999999998E-4</v>
      </c>
      <c r="CJ12">
        <f>'2012_2015'!CH12</f>
        <v>-4.9299999999999995E-4</v>
      </c>
      <c r="CK12">
        <f>'2012_2015'!CI12</f>
        <v>-6.4199999999999999E-4</v>
      </c>
      <c r="CL12">
        <f>'2012_2015'!CJ12</f>
        <v>-5.6899999999999995E-4</v>
      </c>
      <c r="CM12">
        <f>'2012_2015'!CK12</f>
        <v>-4.7600000000000002E-4</v>
      </c>
      <c r="CN12">
        <f>'2012_2015'!CL12</f>
        <v>-7.0299999999999996E-4</v>
      </c>
      <c r="CO12">
        <f>'2012_2015'!CM12</f>
        <v>-6.6500000000000001E-4</v>
      </c>
      <c r="CP12">
        <f>'2012_2015'!CN12</f>
        <v>-5.0100000000000003E-4</v>
      </c>
      <c r="CQ12">
        <f>'2012_2015'!CO12</f>
        <v>-6.5899999999999997E-4</v>
      </c>
      <c r="CR12">
        <f>'2012_2015'!CP12</f>
        <v>-7.6999999999999996E-4</v>
      </c>
      <c r="CS12">
        <f>'2012_2015'!CQ12</f>
        <v>-5.7399999999999997E-4</v>
      </c>
      <c r="CT12">
        <f>'2012_2015'!CR12</f>
        <v>-4.6799999999999999E-4</v>
      </c>
      <c r="CU12">
        <f>'2012_2015'!CS12</f>
        <v>-2.24E-4</v>
      </c>
      <c r="CV12">
        <f>'2012_2015'!CT12</f>
        <v>-3.19E-4</v>
      </c>
      <c r="CW12">
        <f>'2012_2015'!CU12</f>
        <v>-5.7600000000000001E-4</v>
      </c>
      <c r="CX12">
        <f>'2012_2015'!CV12</f>
        <v>-5.8600000000000004E-4</v>
      </c>
    </row>
    <row r="13" spans="1:102" x14ac:dyDescent="0.2">
      <c r="A13" t="s">
        <v>214</v>
      </c>
      <c r="B13" t="s">
        <v>218</v>
      </c>
      <c r="C13" t="s">
        <v>102</v>
      </c>
      <c r="D13">
        <f>'2012_2015'!B13</f>
        <v>5.3899999999999998E-4</v>
      </c>
      <c r="E13">
        <f>'2012_2015'!C13</f>
        <v>4.1100000000000002E-4</v>
      </c>
      <c r="F13">
        <f>'2012_2015'!D13</f>
        <v>3.2899999999999997E-4</v>
      </c>
      <c r="G13">
        <f>'2012_2015'!E13</f>
        <v>2.63E-4</v>
      </c>
      <c r="H13">
        <f>'2012_2015'!F13</f>
        <v>2.0900000000000001E-4</v>
      </c>
      <c r="I13">
        <f>'2012_2015'!G13</f>
        <v>1.2400000000000001E-4</v>
      </c>
      <c r="J13">
        <f>'2012_2015'!H13</f>
        <v>3.2199999999999997E-5</v>
      </c>
      <c r="K13">
        <f>'2012_2015'!I13</f>
        <v>-3.4999999999999997E-5</v>
      </c>
      <c r="L13">
        <f>'2012_2015'!J13</f>
        <v>1.04E-5</v>
      </c>
      <c r="M13">
        <f>'2012_2015'!K13</f>
        <v>-2.6999999999999999E-5</v>
      </c>
      <c r="N13">
        <f>'2012_2015'!L13</f>
        <v>-4.18E-5</v>
      </c>
      <c r="O13">
        <f>'2012_2015'!M13</f>
        <v>-3.1099999999999997E-5</v>
      </c>
      <c r="P13">
        <f>'2012_2015'!N13</f>
        <v>1.8399999999999999E-8</v>
      </c>
      <c r="Q13">
        <f>'2012_2015'!O13</f>
        <v>-6.0800000000000001E-5</v>
      </c>
      <c r="R13">
        <f>'2012_2015'!P13</f>
        <v>-3.8899999999999997E-5</v>
      </c>
      <c r="S13">
        <f>'2012_2015'!Q13</f>
        <v>1.81E-6</v>
      </c>
      <c r="T13">
        <f>'2012_2015'!R13</f>
        <v>-7.5599999999999994E-5</v>
      </c>
      <c r="U13">
        <f>'2012_2015'!S13</f>
        <v>-3.6600000000000002E-5</v>
      </c>
      <c r="V13">
        <f>'2012_2015'!T13</f>
        <v>-4.6400000000000003E-5</v>
      </c>
      <c r="W13">
        <f>'2012_2015'!U13</f>
        <v>-5.5399999999999998E-5</v>
      </c>
      <c r="X13">
        <f>'2012_2015'!V13</f>
        <v>-3.6000000000000001E-5</v>
      </c>
      <c r="Y13">
        <f>'2012_2015'!W13</f>
        <v>-5.5800000000000001E-5</v>
      </c>
      <c r="Z13">
        <f>'2012_2015'!X13</f>
        <v>-4.1300000000000001E-5</v>
      </c>
      <c r="AA13">
        <f>'2012_2015'!Y13</f>
        <v>-5.3600000000000002E-5</v>
      </c>
      <c r="AB13">
        <f>'2012_2015'!Z13</f>
        <v>-5.5800000000000001E-5</v>
      </c>
      <c r="AC13">
        <f>'2012_2015'!AA13</f>
        <v>-8.2200000000000006E-5</v>
      </c>
      <c r="AD13">
        <f>'2012_2015'!AB13</f>
        <v>-4.9299999999999999E-5</v>
      </c>
      <c r="AE13">
        <f>'2012_2015'!AC13</f>
        <v>-6.5099999999999997E-5</v>
      </c>
      <c r="AF13">
        <f>'2012_2015'!AD13</f>
        <v>-6.8499999999999998E-5</v>
      </c>
      <c r="AG13">
        <f>'2012_2015'!AE13</f>
        <v>3.6399999999999999E-6</v>
      </c>
      <c r="AH13">
        <f>'2012_2015'!AF13</f>
        <v>-2.2399999999999999E-5</v>
      </c>
      <c r="AI13">
        <f>'2012_2015'!AG13</f>
        <v>-4.9799999999999998E-5</v>
      </c>
      <c r="AJ13">
        <f>'2012_2015'!AH13</f>
        <v>-4.1600000000000002E-5</v>
      </c>
      <c r="AK13">
        <f>'2012_2015'!AI13</f>
        <v>-7.8499999999999997E-5</v>
      </c>
      <c r="AL13">
        <f>'2012_2015'!AJ13</f>
        <v>-4.7599999999999998E-5</v>
      </c>
      <c r="AM13">
        <f>'2012_2015'!AK13</f>
        <v>-3.1000000000000001E-5</v>
      </c>
      <c r="AN13">
        <f>'2012_2015'!AL13</f>
        <v>-6.7899999999999997E-5</v>
      </c>
      <c r="AO13">
        <f>'2012_2015'!AM13</f>
        <v>-3.65E-5</v>
      </c>
      <c r="AP13">
        <f>'2012_2015'!AN13</f>
        <v>-5.8400000000000003E-5</v>
      </c>
      <c r="AQ13">
        <f>'2012_2015'!AO13</f>
        <v>-3.93E-5</v>
      </c>
      <c r="AR13">
        <f>'2012_2015'!AP13</f>
        <v>-1.6099999999999998E-5</v>
      </c>
      <c r="AS13">
        <f>'2012_2015'!AQ13</f>
        <v>-5.3000000000000001E-5</v>
      </c>
      <c r="AT13">
        <f>'2012_2015'!AR13</f>
        <v>-5.1100000000000002E-5</v>
      </c>
      <c r="AU13">
        <f>'2012_2015'!AS13</f>
        <v>-4.8999999999999998E-5</v>
      </c>
      <c r="AV13">
        <f>'2012_2015'!AT13</f>
        <v>-5.1700000000000003E-5</v>
      </c>
      <c r="AW13">
        <f>'2012_2015'!AU13</f>
        <v>-1.3900000000000001E-5</v>
      </c>
      <c r="AX13">
        <f>'2012_2015'!AV13</f>
        <v>-6.6199999999999996E-5</v>
      </c>
      <c r="AY13">
        <f>'2012_2015'!AW13</f>
        <v>-2.5599999999999999E-5</v>
      </c>
      <c r="AZ13">
        <f>'2012_2015'!AX13</f>
        <v>1.84E-5</v>
      </c>
      <c r="BA13">
        <f>'2012_2015'!AY13</f>
        <v>-1.3200000000000001E-5</v>
      </c>
      <c r="BB13">
        <f>'2012_2015'!AZ13</f>
        <v>-8.1300000000000001E-6</v>
      </c>
      <c r="BC13">
        <f>'2012_2015'!BA13</f>
        <v>-5.31E-6</v>
      </c>
      <c r="BD13">
        <f>'2012_2015'!BB13</f>
        <v>-3.41E-6</v>
      </c>
      <c r="BE13">
        <f>'2012_2015'!BC13</f>
        <v>2.7300000000000001E-6</v>
      </c>
      <c r="BF13">
        <f>'2012_2015'!BD13</f>
        <v>2.4300000000000001E-5</v>
      </c>
      <c r="BG13">
        <f>'2012_2015'!BE13</f>
        <v>1.47E-5</v>
      </c>
      <c r="BH13">
        <f>'2012_2015'!BF13</f>
        <v>7.8099999999999998E-6</v>
      </c>
      <c r="BI13">
        <f>'2012_2015'!BG13</f>
        <v>1.5500000000000001E-5</v>
      </c>
      <c r="BJ13">
        <f>'2012_2015'!BH13</f>
        <v>-3.96E-5</v>
      </c>
      <c r="BK13">
        <f>'2012_2015'!BI13</f>
        <v>1.01E-4</v>
      </c>
      <c r="BL13">
        <f>'2012_2015'!BJ13</f>
        <v>2.1299999999999999E-5</v>
      </c>
      <c r="BM13">
        <f>'2012_2015'!BK13</f>
        <v>6.8200000000000004E-5</v>
      </c>
      <c r="BN13">
        <f>'2012_2015'!BL13</f>
        <v>8.9400000000000005E-5</v>
      </c>
      <c r="BO13">
        <f>'2012_2015'!BM13</f>
        <v>9.6500000000000001E-5</v>
      </c>
      <c r="BP13">
        <f>'2012_2015'!BN13</f>
        <v>8.1600000000000005E-5</v>
      </c>
      <c r="BQ13">
        <f>'2012_2015'!BO13</f>
        <v>7.1000000000000005E-5</v>
      </c>
      <c r="BR13">
        <f>'2012_2015'!BP13</f>
        <v>1.05E-4</v>
      </c>
      <c r="BS13">
        <f>'2012_2015'!BQ13</f>
        <v>5.1799999999999999E-5</v>
      </c>
      <c r="BT13">
        <f>'2012_2015'!BR13</f>
        <v>1.1400000000000001E-4</v>
      </c>
      <c r="BU13">
        <f>'2012_2015'!BS13</f>
        <v>1.15E-4</v>
      </c>
      <c r="BV13">
        <f>'2012_2015'!BT13</f>
        <v>7.8499999999999997E-5</v>
      </c>
      <c r="BW13">
        <f>'2012_2015'!BU13</f>
        <v>9.2E-5</v>
      </c>
      <c r="BX13">
        <f>'2012_2015'!BV13</f>
        <v>1.47E-4</v>
      </c>
      <c r="BY13">
        <f>'2012_2015'!BW13</f>
        <v>1.2300000000000001E-4</v>
      </c>
      <c r="BZ13">
        <f>'2012_2015'!BX13</f>
        <v>1.06E-4</v>
      </c>
      <c r="CA13">
        <f>'2012_2015'!BY13</f>
        <v>7.7100000000000004E-5</v>
      </c>
      <c r="CB13">
        <f>'2012_2015'!BZ13</f>
        <v>1.66E-4</v>
      </c>
      <c r="CC13">
        <f>'2012_2015'!CA13</f>
        <v>1.4799999999999999E-4</v>
      </c>
      <c r="CD13">
        <f>'2012_2015'!CB13</f>
        <v>1.95E-4</v>
      </c>
      <c r="CE13">
        <f>'2012_2015'!CC13</f>
        <v>2.0000000000000001E-4</v>
      </c>
      <c r="CF13">
        <f>'2012_2015'!CD13</f>
        <v>2.0799999999999999E-4</v>
      </c>
      <c r="CG13">
        <f>'2012_2015'!CE13</f>
        <v>2.1000000000000001E-4</v>
      </c>
      <c r="CH13">
        <f>'2012_2015'!CF13</f>
        <v>1.93E-4</v>
      </c>
      <c r="CI13">
        <f>'2012_2015'!CG13</f>
        <v>2.5799999999999998E-4</v>
      </c>
      <c r="CJ13">
        <f>'2012_2015'!CH13</f>
        <v>2.2900000000000001E-4</v>
      </c>
      <c r="CK13">
        <f>'2012_2015'!CI13</f>
        <v>3.19E-4</v>
      </c>
      <c r="CL13">
        <f>'2012_2015'!CJ13</f>
        <v>2.9799999999999998E-4</v>
      </c>
      <c r="CM13">
        <f>'2012_2015'!CK13</f>
        <v>2.3800000000000001E-4</v>
      </c>
      <c r="CN13">
        <f>'2012_2015'!CL13</f>
        <v>3.1500000000000001E-4</v>
      </c>
      <c r="CO13">
        <f>'2012_2015'!CM13</f>
        <v>3.19E-4</v>
      </c>
      <c r="CP13">
        <f>'2012_2015'!CN13</f>
        <v>3.5799999999999997E-4</v>
      </c>
      <c r="CQ13">
        <f>'2012_2015'!CO13</f>
        <v>4.26E-4</v>
      </c>
      <c r="CR13">
        <f>'2012_2015'!CP13</f>
        <v>4.75E-4</v>
      </c>
      <c r="CS13">
        <f>'2012_2015'!CQ13</f>
        <v>2.9700000000000001E-4</v>
      </c>
      <c r="CT13">
        <f>'2012_2015'!CR13</f>
        <v>5.0299999999999997E-4</v>
      </c>
      <c r="CU13">
        <f>'2012_2015'!CS13</f>
        <v>3.39E-4</v>
      </c>
      <c r="CV13">
        <f>'2012_2015'!CT13</f>
        <v>3.4699999999999998E-4</v>
      </c>
      <c r="CW13">
        <f>'2012_2015'!CU13</f>
        <v>2.34E-4</v>
      </c>
      <c r="CX13">
        <f>'2012_2015'!CV13</f>
        <v>2.1599999999999999E-4</v>
      </c>
    </row>
    <row r="14" spans="1:102" x14ac:dyDescent="0.2">
      <c r="A14" t="s">
        <v>215</v>
      </c>
      <c r="B14" t="s">
        <v>218</v>
      </c>
      <c r="C14" t="s">
        <v>102</v>
      </c>
      <c r="D14">
        <f>'2012_2015'!B14</f>
        <v>1.61E-2</v>
      </c>
      <c r="E14">
        <f>'2012_2015'!C14</f>
        <v>2.0500000000000001E-2</v>
      </c>
      <c r="F14">
        <f>'2012_2015'!D14</f>
        <v>1.9699999999999999E-2</v>
      </c>
      <c r="G14">
        <f>'2012_2015'!E14</f>
        <v>0.02</v>
      </c>
      <c r="H14">
        <f>'2012_2015'!F14</f>
        <v>1.7899999999999999E-2</v>
      </c>
      <c r="I14">
        <f>'2012_2015'!G14</f>
        <v>1.83E-2</v>
      </c>
      <c r="J14">
        <f>'2012_2015'!H14</f>
        <v>1.7399999999999999E-2</v>
      </c>
      <c r="K14">
        <f>'2012_2015'!I14</f>
        <v>1.5900000000000001E-2</v>
      </c>
      <c r="L14">
        <f>'2012_2015'!J14</f>
        <v>1.5900000000000001E-2</v>
      </c>
      <c r="M14">
        <f>'2012_2015'!K14</f>
        <v>1.2500000000000001E-2</v>
      </c>
      <c r="N14">
        <f>'2012_2015'!L14</f>
        <v>1.18E-2</v>
      </c>
      <c r="O14">
        <f>'2012_2015'!M14</f>
        <v>1.0999999999999999E-2</v>
      </c>
      <c r="P14">
        <f>'2012_2015'!N14</f>
        <v>9.8899999999999995E-3</v>
      </c>
      <c r="Q14">
        <f>'2012_2015'!O14</f>
        <v>8.6999999999999994E-3</v>
      </c>
      <c r="R14">
        <f>'2012_2015'!P14</f>
        <v>6.9300000000000004E-3</v>
      </c>
      <c r="S14">
        <f>'2012_2015'!Q14</f>
        <v>6.2599999999999999E-3</v>
      </c>
      <c r="T14">
        <f>'2012_2015'!R14</f>
        <v>5.7200000000000003E-3</v>
      </c>
      <c r="U14">
        <f>'2012_2015'!S14</f>
        <v>5.4999999999999997E-3</v>
      </c>
      <c r="V14">
        <f>'2012_2015'!T14</f>
        <v>5.1000000000000004E-3</v>
      </c>
      <c r="W14">
        <f>'2012_2015'!U14</f>
        <v>4.8700000000000002E-3</v>
      </c>
      <c r="X14">
        <f>'2012_2015'!V14</f>
        <v>4.6699999999999997E-3</v>
      </c>
      <c r="Y14">
        <f>'2012_2015'!W14</f>
        <v>4.5599999999999998E-3</v>
      </c>
      <c r="Z14">
        <f>'2012_2015'!X14</f>
        <v>4.4600000000000004E-3</v>
      </c>
      <c r="AA14">
        <f>'2012_2015'!Y14</f>
        <v>4.3499999999999997E-3</v>
      </c>
      <c r="AB14">
        <f>'2012_2015'!Z14</f>
        <v>4.2599999999999999E-3</v>
      </c>
      <c r="AC14">
        <f>'2012_2015'!AA14</f>
        <v>4.1099999999999999E-3</v>
      </c>
      <c r="AD14">
        <f>'2012_2015'!AB14</f>
        <v>3.9699999999999996E-3</v>
      </c>
      <c r="AE14">
        <f>'2012_2015'!AC14</f>
        <v>3.8600000000000001E-3</v>
      </c>
      <c r="AF14">
        <f>'2012_2015'!AD14</f>
        <v>3.79E-3</v>
      </c>
      <c r="AG14">
        <f>'2012_2015'!AE14</f>
        <v>3.79E-3</v>
      </c>
      <c r="AH14">
        <f>'2012_2015'!AF14</f>
        <v>3.7699999999999999E-3</v>
      </c>
      <c r="AI14">
        <f>'2012_2015'!AG14</f>
        <v>3.7100000000000002E-3</v>
      </c>
      <c r="AJ14">
        <f>'2012_2015'!AH14</f>
        <v>3.65E-3</v>
      </c>
      <c r="AK14">
        <f>'2012_2015'!AI14</f>
        <v>3.6800000000000001E-3</v>
      </c>
      <c r="AL14">
        <f>'2012_2015'!AJ14</f>
        <v>3.65E-3</v>
      </c>
      <c r="AM14">
        <f>'2012_2015'!AK14</f>
        <v>3.5999999999999999E-3</v>
      </c>
      <c r="AN14">
        <f>'2012_2015'!AL14</f>
        <v>3.5999999999999999E-3</v>
      </c>
      <c r="AO14">
        <f>'2012_2015'!AM14</f>
        <v>3.5599999999999998E-3</v>
      </c>
      <c r="AP14">
        <f>'2012_2015'!AN14</f>
        <v>3.5799999999999998E-3</v>
      </c>
      <c r="AQ14">
        <f>'2012_2015'!AO14</f>
        <v>3.5599999999999998E-3</v>
      </c>
      <c r="AR14">
        <f>'2012_2015'!AP14</f>
        <v>3.5500000000000002E-3</v>
      </c>
      <c r="AS14">
        <f>'2012_2015'!AQ14</f>
        <v>3.5000000000000001E-3</v>
      </c>
      <c r="AT14">
        <f>'2012_2015'!AR14</f>
        <v>3.47E-3</v>
      </c>
      <c r="AU14">
        <f>'2012_2015'!AS14</f>
        <v>3.3899999999999998E-3</v>
      </c>
      <c r="AV14">
        <f>'2012_2015'!AT14</f>
        <v>3.2299999999999998E-3</v>
      </c>
      <c r="AW14">
        <f>'2012_2015'!AU14</f>
        <v>3.1099999999999999E-3</v>
      </c>
      <c r="AX14">
        <f>'2012_2015'!AV14</f>
        <v>3.0999999999999999E-3</v>
      </c>
      <c r="AY14">
        <f>'2012_2015'!AW14</f>
        <v>3.0500000000000002E-3</v>
      </c>
      <c r="AZ14">
        <f>'2012_2015'!AX14</f>
        <v>2.8800000000000002E-3</v>
      </c>
      <c r="BA14">
        <f>'2012_2015'!AY14</f>
        <v>2.9099999999999998E-3</v>
      </c>
      <c r="BB14">
        <f>'2012_2015'!AZ14</f>
        <v>2.8500000000000001E-3</v>
      </c>
      <c r="BC14">
        <f>'2012_2015'!BA14</f>
        <v>2.9299999999999999E-3</v>
      </c>
      <c r="BD14">
        <f>'2012_2015'!BB14</f>
        <v>3.0000000000000001E-3</v>
      </c>
      <c r="BE14">
        <f>'2012_2015'!BC14</f>
        <v>2.9499999999999999E-3</v>
      </c>
      <c r="BF14">
        <f>'2012_2015'!BD14</f>
        <v>2.9399999999999999E-3</v>
      </c>
      <c r="BG14">
        <f>'2012_2015'!BE14</f>
        <v>2.8600000000000001E-3</v>
      </c>
      <c r="BH14">
        <f>'2012_2015'!BF14</f>
        <v>2.7200000000000002E-3</v>
      </c>
      <c r="BI14">
        <f>'2012_2015'!BG14</f>
        <v>2.5400000000000002E-3</v>
      </c>
      <c r="BJ14">
        <f>'2012_2015'!BH14</f>
        <v>2.4099999999999998E-3</v>
      </c>
      <c r="BK14">
        <f>'2012_2015'!BI14</f>
        <v>2.3700000000000001E-3</v>
      </c>
      <c r="BL14">
        <f>'2012_2015'!BJ14</f>
        <v>2.2200000000000002E-3</v>
      </c>
      <c r="BM14">
        <f>'2012_2015'!BK14</f>
        <v>2.1199999999999999E-3</v>
      </c>
      <c r="BN14">
        <f>'2012_2015'!BL14</f>
        <v>2.1800000000000001E-3</v>
      </c>
      <c r="BO14">
        <f>'2012_2015'!BM14</f>
        <v>2.1099999999999999E-3</v>
      </c>
      <c r="BP14">
        <f>'2012_2015'!BN14</f>
        <v>1.98E-3</v>
      </c>
      <c r="BQ14">
        <f>'2012_2015'!BO14</f>
        <v>1.8400000000000001E-3</v>
      </c>
      <c r="BR14">
        <f>'2012_2015'!BP14</f>
        <v>1.7700000000000001E-3</v>
      </c>
      <c r="BS14">
        <f>'2012_2015'!BQ14</f>
        <v>1.6900000000000001E-3</v>
      </c>
      <c r="BT14">
        <f>'2012_2015'!BR14</f>
        <v>1.4E-3</v>
      </c>
      <c r="BU14">
        <f>'2012_2015'!BS14</f>
        <v>1.2099999999999999E-3</v>
      </c>
      <c r="BV14">
        <f>'2012_2015'!BT14</f>
        <v>1.0300000000000001E-3</v>
      </c>
      <c r="BW14">
        <f>'2012_2015'!BU14</f>
        <v>8.7900000000000001E-4</v>
      </c>
      <c r="BX14">
        <f>'2012_2015'!BV14</f>
        <v>7.67E-4</v>
      </c>
      <c r="BY14">
        <f>'2012_2015'!BW14</f>
        <v>6.7299999999999999E-4</v>
      </c>
      <c r="BZ14">
        <f>'2012_2015'!BX14</f>
        <v>4.1300000000000001E-4</v>
      </c>
      <c r="CA14">
        <f>'2012_2015'!BY14</f>
        <v>3.1500000000000001E-4</v>
      </c>
      <c r="CB14">
        <f>'2012_2015'!BZ14</f>
        <v>1.2999999999999999E-4</v>
      </c>
      <c r="CC14">
        <f>'2012_2015'!CA14</f>
        <v>-1.1900000000000001E-4</v>
      </c>
      <c r="CD14">
        <f>'2012_2015'!CB14</f>
        <v>-3.9399999999999998E-4</v>
      </c>
      <c r="CE14">
        <f>'2012_2015'!CC14</f>
        <v>-8.1300000000000003E-4</v>
      </c>
      <c r="CF14">
        <f>'2012_2015'!CD14</f>
        <v>-1.07E-3</v>
      </c>
      <c r="CG14">
        <f>'2012_2015'!CE14</f>
        <v>-1.2099999999999999E-3</v>
      </c>
      <c r="CH14">
        <f>'2012_2015'!CF14</f>
        <v>-1.25E-3</v>
      </c>
      <c r="CI14">
        <f>'2012_2015'!CG14</f>
        <v>-1.4300000000000001E-3</v>
      </c>
      <c r="CJ14">
        <f>'2012_2015'!CH14</f>
        <v>-1.7600000000000001E-3</v>
      </c>
      <c r="CK14">
        <f>'2012_2015'!CI14</f>
        <v>-2.6800000000000001E-3</v>
      </c>
      <c r="CL14">
        <f>'2012_2015'!CJ14</f>
        <v>-3.0799999999999998E-3</v>
      </c>
      <c r="CM14">
        <f>'2012_2015'!CK14</f>
        <v>-3.16E-3</v>
      </c>
      <c r="CN14">
        <f>'2012_2015'!CL14</f>
        <v>-3.79E-3</v>
      </c>
      <c r="CO14">
        <f>'2012_2015'!CM14</f>
        <v>-3.9199999999999999E-3</v>
      </c>
      <c r="CP14">
        <f>'2012_2015'!CN14</f>
        <v>-3.8999999999999998E-3</v>
      </c>
      <c r="CQ14">
        <f>'2012_2015'!CO14</f>
        <v>-4.7999999999999996E-3</v>
      </c>
      <c r="CR14">
        <f>'2012_2015'!CP14</f>
        <v>-5.4200000000000003E-3</v>
      </c>
      <c r="CS14">
        <f>'2012_2015'!CQ14</f>
        <v>-4.4000000000000003E-3</v>
      </c>
      <c r="CT14">
        <f>'2012_2015'!CR14</f>
        <v>-5.5900000000000004E-3</v>
      </c>
      <c r="CU14">
        <f>'2012_2015'!CS14</f>
        <v>-4.9500000000000004E-3</v>
      </c>
      <c r="CV14">
        <f>'2012_2015'!CT14</f>
        <v>-6.3099999999999996E-3</v>
      </c>
      <c r="CW14">
        <f>'2012_2015'!CU14</f>
        <v>-6.9499999999999996E-3</v>
      </c>
      <c r="CX14">
        <f>'2012_2015'!CV14</f>
        <v>-7.9600000000000001E-3</v>
      </c>
    </row>
    <row r="15" spans="1:102" x14ac:dyDescent="0.2">
      <c r="A15" t="s">
        <v>208</v>
      </c>
      <c r="B15" t="s">
        <v>219</v>
      </c>
      <c r="C15" t="s">
        <v>102</v>
      </c>
      <c r="D15">
        <f>'2012_2015'!B15</f>
        <v>0.437</v>
      </c>
      <c r="E15">
        <f>'2012_2015'!C15</f>
        <v>0.20799999999999999</v>
      </c>
      <c r="F15">
        <f>'2012_2015'!D15</f>
        <v>-3.9399999999999998E-2</v>
      </c>
      <c r="G15">
        <f>'2012_2015'!E15</f>
        <v>-4.0899999999999999E-2</v>
      </c>
      <c r="H15">
        <f>'2012_2015'!F15</f>
        <v>-0.16800000000000001</v>
      </c>
      <c r="I15">
        <f>'2012_2015'!G15</f>
        <v>-9.2399999999999996E-2</v>
      </c>
      <c r="J15">
        <f>'2012_2015'!H15</f>
        <v>-0.19</v>
      </c>
      <c r="K15">
        <f>'2012_2015'!I15</f>
        <v>-0.16200000000000001</v>
      </c>
      <c r="L15">
        <f>'2012_2015'!J15</f>
        <v>-0.17699999999999999</v>
      </c>
      <c r="M15">
        <f>'2012_2015'!K15</f>
        <v>-0.13400000000000001</v>
      </c>
      <c r="N15">
        <f>'2012_2015'!L15</f>
        <v>-0.2</v>
      </c>
      <c r="O15">
        <f>'2012_2015'!M15</f>
        <v>-0.28000000000000003</v>
      </c>
      <c r="P15">
        <f>'2012_2015'!N15</f>
        <v>-0.26400000000000001</v>
      </c>
      <c r="Q15">
        <f>'2012_2015'!O15</f>
        <v>-0.21199999999999999</v>
      </c>
      <c r="R15">
        <f>'2012_2015'!P15</f>
        <v>-0.123</v>
      </c>
      <c r="S15">
        <f>'2012_2015'!Q15</f>
        <v>-9.3399999999999997E-2</v>
      </c>
      <c r="T15">
        <f>'2012_2015'!R15</f>
        <v>-9.1200000000000003E-2</v>
      </c>
      <c r="U15">
        <f>'2012_2015'!S15</f>
        <v>-9.11E-2</v>
      </c>
      <c r="V15">
        <f>'2012_2015'!T15</f>
        <v>-6.6600000000000006E-2</v>
      </c>
      <c r="W15">
        <f>'2012_2015'!U15</f>
        <v>-6.1699999999999998E-2</v>
      </c>
      <c r="X15">
        <f>'2012_2015'!V15</f>
        <v>-6.3700000000000007E-2</v>
      </c>
      <c r="Y15">
        <f>'2012_2015'!W15</f>
        <v>-7.3700000000000002E-2</v>
      </c>
      <c r="Z15">
        <f>'2012_2015'!X15</f>
        <v>-7.9399999999999998E-2</v>
      </c>
      <c r="AA15">
        <f>'2012_2015'!Y15</f>
        <v>-8.0399999999999999E-2</v>
      </c>
      <c r="AB15">
        <f>'2012_2015'!Z15</f>
        <v>-6.7500000000000004E-2</v>
      </c>
      <c r="AC15">
        <f>'2012_2015'!AA15</f>
        <v>-5.28E-2</v>
      </c>
      <c r="AD15">
        <f>'2012_2015'!AB15</f>
        <v>-4.2799999999999998E-2</v>
      </c>
      <c r="AE15">
        <f>'2012_2015'!AC15</f>
        <v>-3.9399999999999998E-2</v>
      </c>
      <c r="AF15">
        <f>'2012_2015'!AD15</f>
        <v>-3.3300000000000003E-2</v>
      </c>
      <c r="AG15">
        <f>'2012_2015'!AE15</f>
        <v>-2.9399999999999999E-2</v>
      </c>
      <c r="AH15">
        <f>'2012_2015'!AF15</f>
        <v>-2.8400000000000002E-2</v>
      </c>
      <c r="AI15">
        <f>'2012_2015'!AG15</f>
        <v>-2.1000000000000001E-2</v>
      </c>
      <c r="AJ15">
        <f>'2012_2015'!AH15</f>
        <v>-2.81E-3</v>
      </c>
      <c r="AK15">
        <f>'2012_2015'!AI15</f>
        <v>4.8500000000000001E-3</v>
      </c>
      <c r="AL15">
        <f>'2012_2015'!AJ15</f>
        <v>1.38E-2</v>
      </c>
      <c r="AM15">
        <f>'2012_2015'!AK15</f>
        <v>1.09E-2</v>
      </c>
      <c r="AN15">
        <f>'2012_2015'!AL15</f>
        <v>6.4400000000000004E-3</v>
      </c>
      <c r="AO15">
        <f>'2012_2015'!AM15</f>
        <v>-6.5900000000000004E-3</v>
      </c>
      <c r="AP15">
        <f>'2012_2015'!AN15</f>
        <v>-3.2000000000000001E-2</v>
      </c>
      <c r="AQ15">
        <f>'2012_2015'!AO15</f>
        <v>-5.8200000000000002E-2</v>
      </c>
      <c r="AR15">
        <f>'2012_2015'!AP15</f>
        <v>-6.7199999999999996E-2</v>
      </c>
      <c r="AS15">
        <f>'2012_2015'!AQ15</f>
        <v>-7.6999999999999999E-2</v>
      </c>
      <c r="AT15">
        <f>'2012_2015'!AR15</f>
        <v>-7.7799999999999994E-2</v>
      </c>
      <c r="AU15">
        <f>'2012_2015'!AS15</f>
        <v>-7.7200000000000005E-2</v>
      </c>
      <c r="AV15">
        <f>'2012_2015'!AT15</f>
        <v>-6.4899999999999999E-2</v>
      </c>
      <c r="AW15">
        <f>'2012_2015'!AU15</f>
        <v>-3.6400000000000002E-2</v>
      </c>
      <c r="AX15">
        <f>'2012_2015'!AV15</f>
        <v>-1.8800000000000001E-2</v>
      </c>
      <c r="AY15">
        <f>'2012_2015'!AW15</f>
        <v>-1.5299999999999999E-2</v>
      </c>
      <c r="AZ15">
        <f>'2012_2015'!AX15</f>
        <v>-7.11E-3</v>
      </c>
      <c r="BA15">
        <f>'2012_2015'!AY15</f>
        <v>-7.9900000000000006E-3</v>
      </c>
      <c r="BB15">
        <f>'2012_2015'!AZ15</f>
        <v>-2.2499999999999999E-2</v>
      </c>
      <c r="BC15">
        <f>'2012_2015'!BA15</f>
        <v>-6.3200000000000006E-2</v>
      </c>
      <c r="BD15">
        <f>'2012_2015'!BB15</f>
        <v>-9.1499999999999998E-2</v>
      </c>
      <c r="BE15">
        <f>'2012_2015'!BC15</f>
        <v>-0.111</v>
      </c>
      <c r="BF15">
        <f>'2012_2015'!BD15</f>
        <v>-0.11700000000000001</v>
      </c>
      <c r="BG15">
        <f>'2012_2015'!BE15</f>
        <v>-0.126</v>
      </c>
      <c r="BH15">
        <f>'2012_2015'!BF15</f>
        <v>-0.114</v>
      </c>
      <c r="BI15">
        <f>'2012_2015'!BG15</f>
        <v>-8.3799999999999999E-2</v>
      </c>
      <c r="BJ15">
        <f>'2012_2015'!BH15</f>
        <v>-6.5100000000000005E-2</v>
      </c>
      <c r="BK15">
        <f>'2012_2015'!BI15</f>
        <v>-4.6800000000000001E-2</v>
      </c>
      <c r="BL15">
        <f>'2012_2015'!BJ15</f>
        <v>-4.3499999999999997E-2</v>
      </c>
      <c r="BM15">
        <f>'2012_2015'!BK15</f>
        <v>-5.5599999999999997E-2</v>
      </c>
      <c r="BN15">
        <f>'2012_2015'!BL15</f>
        <v>-7.3599999999999999E-2</v>
      </c>
      <c r="BO15">
        <f>'2012_2015'!BM15</f>
        <v>-0.10100000000000001</v>
      </c>
      <c r="BP15">
        <f>'2012_2015'!BN15</f>
        <v>-0.124</v>
      </c>
      <c r="BQ15">
        <f>'2012_2015'!BO15</f>
        <v>-0.127</v>
      </c>
      <c r="BR15">
        <f>'2012_2015'!BP15</f>
        <v>-0.123</v>
      </c>
      <c r="BS15">
        <f>'2012_2015'!BQ15</f>
        <v>-9.8299999999999998E-2</v>
      </c>
      <c r="BT15">
        <f>'2012_2015'!BR15</f>
        <v>-7.5700000000000003E-2</v>
      </c>
      <c r="BU15">
        <f>'2012_2015'!BS15</f>
        <v>-4.9399999999999999E-2</v>
      </c>
      <c r="BV15">
        <f>'2012_2015'!BT15</f>
        <v>-6.0499999999999998E-2</v>
      </c>
      <c r="BW15">
        <f>'2012_2015'!BU15</f>
        <v>-5.1999999999999998E-2</v>
      </c>
      <c r="BX15">
        <f>'2012_2015'!BV15</f>
        <v>-6.0900000000000003E-2</v>
      </c>
      <c r="BY15">
        <f>'2012_2015'!BW15</f>
        <v>-9.1899999999999996E-2</v>
      </c>
      <c r="BZ15">
        <f>'2012_2015'!BX15</f>
        <v>-0.14399999999999999</v>
      </c>
      <c r="CA15">
        <f>'2012_2015'!BY15</f>
        <v>-0.16400000000000001</v>
      </c>
      <c r="CB15">
        <f>'2012_2015'!BZ15</f>
        <v>-0.158</v>
      </c>
      <c r="CC15">
        <f>'2012_2015'!CA15</f>
        <v>-0.188</v>
      </c>
      <c r="CD15">
        <f>'2012_2015'!CB15</f>
        <v>-0.20200000000000001</v>
      </c>
      <c r="CE15">
        <f>'2012_2015'!CC15</f>
        <v>-8.1299999999999997E-2</v>
      </c>
      <c r="CF15">
        <f>'2012_2015'!CD15</f>
        <v>-5.3199999999999997E-2</v>
      </c>
      <c r="CG15">
        <f>'2012_2015'!CE15</f>
        <v>-4.8000000000000001E-2</v>
      </c>
      <c r="CH15">
        <f>'2012_2015'!CF15</f>
        <v>-2.8500000000000001E-2</v>
      </c>
      <c r="CI15">
        <f>'2012_2015'!CG15</f>
        <v>-1.72E-2</v>
      </c>
      <c r="CJ15">
        <f>'2012_2015'!CH15</f>
        <v>-2.9700000000000001E-2</v>
      </c>
      <c r="CK15">
        <f>'2012_2015'!CI15</f>
        <v>-0.23100000000000001</v>
      </c>
      <c r="CL15">
        <f>'2012_2015'!CJ15</f>
        <v>-0.21199999999999999</v>
      </c>
      <c r="CM15">
        <f>'2012_2015'!CK15</f>
        <v>-0.14099999999999999</v>
      </c>
      <c r="CN15">
        <f>'2012_2015'!CL15</f>
        <v>-5.8099999999999999E-2</v>
      </c>
      <c r="CO15">
        <f>'2012_2015'!CM15</f>
        <v>-4.7199999999999999E-2</v>
      </c>
      <c r="CP15">
        <f>'2012_2015'!CN15</f>
        <v>-0.122</v>
      </c>
      <c r="CQ15">
        <f>'2012_2015'!CO15</f>
        <v>-0.255</v>
      </c>
      <c r="CR15">
        <f>'2012_2015'!CP15</f>
        <v>-0.159</v>
      </c>
      <c r="CS15">
        <f>'2012_2015'!CQ15</f>
        <v>-0.17499999999999999</v>
      </c>
      <c r="CT15">
        <f>'2012_2015'!CR15</f>
        <v>-0.14799999999999999</v>
      </c>
      <c r="CU15">
        <f>'2012_2015'!CS15</f>
        <v>3.4000000000000002E-2</v>
      </c>
      <c r="CV15">
        <f>'2012_2015'!CT15</f>
        <v>-0.105</v>
      </c>
      <c r="CW15">
        <f>'2012_2015'!CU15</f>
        <v>-4.2599999999999999E-2</v>
      </c>
      <c r="CX15">
        <f>'2012_2015'!CV15</f>
        <v>-2.86E-2</v>
      </c>
    </row>
    <row r="16" spans="1:102" x14ac:dyDescent="0.2">
      <c r="A16" t="s">
        <v>209</v>
      </c>
      <c r="B16" t="s">
        <v>219</v>
      </c>
      <c r="C16" t="s">
        <v>102</v>
      </c>
      <c r="D16">
        <f>'2012_2015'!B16</f>
        <v>-8.6099999999999996E-3</v>
      </c>
      <c r="E16">
        <f>'2012_2015'!C16</f>
        <v>4.9099999999999998E-2</v>
      </c>
      <c r="F16">
        <f>'2012_2015'!D16</f>
        <v>-0.115</v>
      </c>
      <c r="G16">
        <f>'2012_2015'!E16</f>
        <v>-9.8000000000000004E-2</v>
      </c>
      <c r="H16">
        <f>'2012_2015'!F16</f>
        <v>-0.127</v>
      </c>
      <c r="I16">
        <f>'2012_2015'!G16</f>
        <v>-0.105</v>
      </c>
      <c r="J16">
        <f>'2012_2015'!H16</f>
        <v>-0.13300000000000001</v>
      </c>
      <c r="K16">
        <f>'2012_2015'!I16</f>
        <v>-0.128</v>
      </c>
      <c r="L16">
        <f>'2012_2015'!J16</f>
        <v>-0.11799999999999999</v>
      </c>
      <c r="M16">
        <f>'2012_2015'!K16</f>
        <v>-0.10299999999999999</v>
      </c>
      <c r="N16">
        <f>'2012_2015'!L16</f>
        <v>-0.123</v>
      </c>
      <c r="O16">
        <f>'2012_2015'!M16</f>
        <v>-0.159</v>
      </c>
      <c r="P16">
        <f>'2012_2015'!N16</f>
        <v>-0.14699999999999999</v>
      </c>
      <c r="Q16">
        <f>'2012_2015'!O16</f>
        <v>-0.11600000000000001</v>
      </c>
      <c r="R16">
        <f>'2012_2015'!P16</f>
        <v>-6.3600000000000004E-2</v>
      </c>
      <c r="S16">
        <f>'2012_2015'!Q16</f>
        <v>-4.4699999999999997E-2</v>
      </c>
      <c r="T16">
        <f>'2012_2015'!R16</f>
        <v>-4.6100000000000002E-2</v>
      </c>
      <c r="U16">
        <f>'2012_2015'!S16</f>
        <v>-3.9100000000000003E-2</v>
      </c>
      <c r="V16">
        <f>'2012_2015'!T16</f>
        <v>-2.7E-2</v>
      </c>
      <c r="W16">
        <f>'2012_2015'!U16</f>
        <v>-1.7299999999999999E-2</v>
      </c>
      <c r="X16">
        <f>'2012_2015'!V16</f>
        <v>-1.9199999999999998E-2</v>
      </c>
      <c r="Y16">
        <f>'2012_2015'!W16</f>
        <v>-3.0499999999999999E-2</v>
      </c>
      <c r="Z16">
        <f>'2012_2015'!X16</f>
        <v>-3.61E-2</v>
      </c>
      <c r="AA16">
        <f>'2012_2015'!Y16</f>
        <v>-4.0099999999999997E-2</v>
      </c>
      <c r="AB16">
        <f>'2012_2015'!Z16</f>
        <v>-0.03</v>
      </c>
      <c r="AC16">
        <f>'2012_2015'!AA16</f>
        <v>-1.7500000000000002E-2</v>
      </c>
      <c r="AD16">
        <f>'2012_2015'!AB16</f>
        <v>-1.4200000000000001E-2</v>
      </c>
      <c r="AE16">
        <f>'2012_2015'!AC16</f>
        <v>-1.0200000000000001E-2</v>
      </c>
      <c r="AF16">
        <f>'2012_2015'!AD16</f>
        <v>2.0600000000000002E-3</v>
      </c>
      <c r="AG16">
        <f>'2012_2015'!AE16</f>
        <v>1.06E-2</v>
      </c>
      <c r="AH16">
        <f>'2012_2015'!AF16</f>
        <v>7.2399999999999999E-3</v>
      </c>
      <c r="AI16">
        <f>'2012_2015'!AG16</f>
        <v>1.5699999999999999E-2</v>
      </c>
      <c r="AJ16">
        <f>'2012_2015'!AH16</f>
        <v>3.5999999999999997E-2</v>
      </c>
      <c r="AK16">
        <f>'2012_2015'!AI16</f>
        <v>4.2599999999999999E-2</v>
      </c>
      <c r="AL16">
        <f>'2012_2015'!AJ16</f>
        <v>4.5100000000000001E-2</v>
      </c>
      <c r="AM16">
        <f>'2012_2015'!AK16</f>
        <v>5.04E-2</v>
      </c>
      <c r="AN16">
        <f>'2012_2015'!AL16</f>
        <v>4.8300000000000003E-2</v>
      </c>
      <c r="AO16">
        <f>'2012_2015'!AM16</f>
        <v>4.0800000000000003E-2</v>
      </c>
      <c r="AP16">
        <f>'2012_2015'!AN16</f>
        <v>1.83E-2</v>
      </c>
      <c r="AQ16">
        <f>'2012_2015'!AO16</f>
        <v>-4.0999999999999999E-4</v>
      </c>
      <c r="AR16">
        <f>'2012_2015'!AP16</f>
        <v>-4.0200000000000001E-3</v>
      </c>
      <c r="AS16">
        <f>'2012_2015'!AQ16</f>
        <v>-1.84E-2</v>
      </c>
      <c r="AT16">
        <f>'2012_2015'!AR16</f>
        <v>-1.37E-2</v>
      </c>
      <c r="AU16">
        <f>'2012_2015'!AS16</f>
        <v>-1.5900000000000001E-2</v>
      </c>
      <c r="AV16">
        <f>'2012_2015'!AT16</f>
        <v>3.0000000000000001E-3</v>
      </c>
      <c r="AW16">
        <f>'2012_2015'!AU16</f>
        <v>2.69E-2</v>
      </c>
      <c r="AX16">
        <f>'2012_2015'!AV16</f>
        <v>5.8299999999999998E-2</v>
      </c>
      <c r="AY16">
        <f>'2012_2015'!AW16</f>
        <v>5.7099999999999998E-2</v>
      </c>
      <c r="AZ16">
        <f>'2012_2015'!AX16</f>
        <v>6.4199999999999993E-2</v>
      </c>
      <c r="BA16">
        <f>'2012_2015'!AY16</f>
        <v>6.2799999999999995E-2</v>
      </c>
      <c r="BB16">
        <f>'2012_2015'!AZ16</f>
        <v>4.8899999999999999E-2</v>
      </c>
      <c r="BC16">
        <f>'2012_2015'!BA16</f>
        <v>1.38E-2</v>
      </c>
      <c r="BD16">
        <f>'2012_2015'!BB16</f>
        <v>-1.67E-2</v>
      </c>
      <c r="BE16">
        <f>'2012_2015'!BC16</f>
        <v>-2.64E-2</v>
      </c>
      <c r="BF16">
        <f>'2012_2015'!BD16</f>
        <v>-2.86E-2</v>
      </c>
      <c r="BG16">
        <f>'2012_2015'!BE16</f>
        <v>-3.1699999999999999E-2</v>
      </c>
      <c r="BH16">
        <f>'2012_2015'!BF16</f>
        <v>-2.2700000000000001E-2</v>
      </c>
      <c r="BI16">
        <f>'2012_2015'!BG16</f>
        <v>3.8899999999999998E-3</v>
      </c>
      <c r="BJ16">
        <f>'2012_2015'!BH16</f>
        <v>1.4999999999999999E-2</v>
      </c>
      <c r="BK16">
        <f>'2012_2015'!BI16</f>
        <v>1.8200000000000001E-2</v>
      </c>
      <c r="BL16">
        <f>'2012_2015'!BJ16</f>
        <v>2.3599999999999999E-2</v>
      </c>
      <c r="BM16">
        <f>'2012_2015'!BK16</f>
        <v>1.72E-2</v>
      </c>
      <c r="BN16">
        <f>'2012_2015'!BL16</f>
        <v>-8.9899999999999997E-3</v>
      </c>
      <c r="BO16">
        <f>'2012_2015'!BM16</f>
        <v>-3.3500000000000002E-2</v>
      </c>
      <c r="BP16">
        <f>'2012_2015'!BN16</f>
        <v>-5.7299999999999997E-2</v>
      </c>
      <c r="BQ16">
        <f>'2012_2015'!BO16</f>
        <v>-6.2799999999999995E-2</v>
      </c>
      <c r="BR16">
        <f>'2012_2015'!BP16</f>
        <v>-5.7599999999999998E-2</v>
      </c>
      <c r="BS16">
        <f>'2012_2015'!BQ16</f>
        <v>-3.3599999999999998E-2</v>
      </c>
      <c r="BT16">
        <f>'2012_2015'!BR16</f>
        <v>-1.3899999999999999E-2</v>
      </c>
      <c r="BU16">
        <f>'2012_2015'!BS16</f>
        <v>1.35E-2</v>
      </c>
      <c r="BV16">
        <f>'2012_2015'!BT16</f>
        <v>-2.82E-3</v>
      </c>
      <c r="BW16">
        <f>'2012_2015'!BU16</f>
        <v>2.6700000000000001E-3</v>
      </c>
      <c r="BX16">
        <f>'2012_2015'!BV16</f>
        <v>-2.8300000000000001E-3</v>
      </c>
      <c r="BY16">
        <f>'2012_2015'!BW16</f>
        <v>-3.2399999999999998E-2</v>
      </c>
      <c r="BZ16">
        <f>'2012_2015'!BX16</f>
        <v>-9.0999999999999998E-2</v>
      </c>
      <c r="CA16">
        <f>'2012_2015'!BY16</f>
        <v>-0.107</v>
      </c>
      <c r="CB16">
        <f>'2012_2015'!BZ16</f>
        <v>-0.10199999999999999</v>
      </c>
      <c r="CC16">
        <f>'2012_2015'!CA16</f>
        <v>-0.128</v>
      </c>
      <c r="CD16">
        <f>'2012_2015'!CB16</f>
        <v>-0.13400000000000001</v>
      </c>
      <c r="CE16">
        <f>'2012_2015'!CC16</f>
        <v>9.1500000000000001E-4</v>
      </c>
      <c r="CF16">
        <f>'2012_2015'!CD16</f>
        <v>1.5599999999999999E-2</v>
      </c>
      <c r="CG16">
        <f>'2012_2015'!CE16</f>
        <v>1.23E-2</v>
      </c>
      <c r="CH16">
        <f>'2012_2015'!CF16</f>
        <v>3.6400000000000002E-2</v>
      </c>
      <c r="CI16">
        <f>'2012_2015'!CG16</f>
        <v>2.9600000000000001E-2</v>
      </c>
      <c r="CJ16">
        <f>'2012_2015'!CH16</f>
        <v>2.52E-2</v>
      </c>
      <c r="CK16">
        <f>'2012_2015'!CI16</f>
        <v>-0.182</v>
      </c>
      <c r="CL16">
        <f>'2012_2015'!CJ16</f>
        <v>-0.16900000000000001</v>
      </c>
      <c r="CM16">
        <f>'2012_2015'!CK16</f>
        <v>-0.113</v>
      </c>
      <c r="CN16">
        <f>'2012_2015'!CL16</f>
        <v>-2.7799999999999998E-2</v>
      </c>
      <c r="CO16">
        <f>'2012_2015'!CM16</f>
        <v>-3.5200000000000001E-3</v>
      </c>
      <c r="CP16">
        <f>'2012_2015'!CN16</f>
        <v>-8.2900000000000001E-2</v>
      </c>
      <c r="CQ16">
        <f>'2012_2015'!CO16</f>
        <v>-0.224</v>
      </c>
      <c r="CR16">
        <f>'2012_2015'!CP16</f>
        <v>-0.14599999999999999</v>
      </c>
      <c r="CS16">
        <f>'2012_2015'!CQ16</f>
        <v>-0.16</v>
      </c>
      <c r="CT16">
        <f>'2012_2015'!CR16</f>
        <v>-0.155</v>
      </c>
      <c r="CU16">
        <f>'2012_2015'!CS16</f>
        <v>3.7199999999999997E-2</v>
      </c>
      <c r="CV16">
        <f>'2012_2015'!CT16</f>
        <v>-0.14599999999999999</v>
      </c>
      <c r="CW16">
        <f>'2012_2015'!CU16</f>
        <v>-9.2600000000000002E-2</v>
      </c>
      <c r="CX16">
        <f>'2012_2015'!CV16</f>
        <v>-1.32E-2</v>
      </c>
    </row>
    <row r="17" spans="1:102" x14ac:dyDescent="0.2">
      <c r="A17" t="s">
        <v>210</v>
      </c>
      <c r="B17" t="s">
        <v>219</v>
      </c>
      <c r="C17" t="s">
        <v>102</v>
      </c>
      <c r="D17">
        <f>'2012_2015'!B17</f>
        <v>-9.7000000000000003E-3</v>
      </c>
      <c r="E17">
        <f>'2012_2015'!C17</f>
        <v>-1.9400000000000001E-2</v>
      </c>
      <c r="F17">
        <f>'2012_2015'!D17</f>
        <v>8.6899999999999998E-3</v>
      </c>
      <c r="G17">
        <f>'2012_2015'!E17</f>
        <v>1.25E-3</v>
      </c>
      <c r="H17">
        <f>'2012_2015'!F17</f>
        <v>2.1899999999999999E-2</v>
      </c>
      <c r="I17">
        <f>'2012_2015'!G17</f>
        <v>1.0999999999999999E-2</v>
      </c>
      <c r="J17">
        <f>'2012_2015'!H17</f>
        <v>1.5699999999999999E-2</v>
      </c>
      <c r="K17">
        <f>'2012_2015'!I17</f>
        <v>1.3100000000000001E-2</v>
      </c>
      <c r="L17">
        <f>'2012_2015'!J17</f>
        <v>9.7000000000000003E-3</v>
      </c>
      <c r="M17">
        <f>'2012_2015'!K17</f>
        <v>5.3E-3</v>
      </c>
      <c r="N17">
        <f>'2012_2015'!L17</f>
        <v>1.23E-2</v>
      </c>
      <c r="O17">
        <f>'2012_2015'!M17</f>
        <v>1.8700000000000001E-2</v>
      </c>
      <c r="P17">
        <f>'2012_2015'!N17</f>
        <v>1.61E-2</v>
      </c>
      <c r="Q17">
        <f>'2012_2015'!O17</f>
        <v>9.11E-3</v>
      </c>
      <c r="R17">
        <f>'2012_2015'!P17</f>
        <v>1.6199999999999999E-3</v>
      </c>
      <c r="S17">
        <f>'2012_2015'!Q17</f>
        <v>-1.73E-3</v>
      </c>
      <c r="T17">
        <f>'2012_2015'!R17</f>
        <v>-1.6000000000000001E-3</v>
      </c>
      <c r="U17">
        <f>'2012_2015'!S17</f>
        <v>-2.4599999999999999E-3</v>
      </c>
      <c r="V17">
        <f>'2012_2015'!T17</f>
        <v>-4.6800000000000001E-3</v>
      </c>
      <c r="W17">
        <f>'2012_2015'!U17</f>
        <v>-4.3099999999999996E-3</v>
      </c>
      <c r="X17">
        <f>'2012_2015'!V17</f>
        <v>-1.3799999999999999E-3</v>
      </c>
      <c r="Y17">
        <f>'2012_2015'!W17</f>
        <v>5.52E-5</v>
      </c>
      <c r="Z17">
        <f>'2012_2015'!X17</f>
        <v>1.16E-3</v>
      </c>
      <c r="AA17">
        <f>'2012_2015'!Y17</f>
        <v>1.66E-3</v>
      </c>
      <c r="AB17">
        <f>'2012_2015'!Z17</f>
        <v>-1.3500000000000001E-3</v>
      </c>
      <c r="AC17">
        <f>'2012_2015'!AA17</f>
        <v>-2.8400000000000001E-3</v>
      </c>
      <c r="AD17">
        <f>'2012_2015'!AB17</f>
        <v>-3.48E-3</v>
      </c>
      <c r="AE17">
        <f>'2012_2015'!AC17</f>
        <v>-3.9300000000000003E-3</v>
      </c>
      <c r="AF17">
        <f>'2012_2015'!AD17</f>
        <v>-6.1900000000000002E-3</v>
      </c>
      <c r="AG17">
        <f>'2012_2015'!AE17</f>
        <v>-6.4200000000000004E-3</v>
      </c>
      <c r="AH17">
        <f>'2012_2015'!AF17</f>
        <v>-5.4200000000000003E-3</v>
      </c>
      <c r="AI17">
        <f>'2012_2015'!AG17</f>
        <v>-7.5599999999999999E-3</v>
      </c>
      <c r="AJ17">
        <f>'2012_2015'!AH17</f>
        <v>-1.2999999999999999E-2</v>
      </c>
      <c r="AK17">
        <f>'2012_2015'!AI17</f>
        <v>-1.44E-2</v>
      </c>
      <c r="AL17">
        <f>'2012_2015'!AJ17</f>
        <v>-1.6299999999999999E-2</v>
      </c>
      <c r="AM17">
        <f>'2012_2015'!AK17</f>
        <v>-1.61E-2</v>
      </c>
      <c r="AN17">
        <f>'2012_2015'!AL17</f>
        <v>-1.6899999999999998E-2</v>
      </c>
      <c r="AO17">
        <f>'2012_2015'!AM17</f>
        <v>-1.5900000000000001E-2</v>
      </c>
      <c r="AP17">
        <f>'2012_2015'!AN17</f>
        <v>-1.0800000000000001E-2</v>
      </c>
      <c r="AQ17">
        <f>'2012_2015'!AO17</f>
        <v>-3.82E-3</v>
      </c>
      <c r="AR17">
        <f>'2012_2015'!AP17</f>
        <v>-8.5400000000000005E-4</v>
      </c>
      <c r="AS17">
        <f>'2012_2015'!AQ17</f>
        <v>1.2099999999999999E-3</v>
      </c>
      <c r="AT17">
        <f>'2012_2015'!AR17</f>
        <v>1.5900000000000001E-3</v>
      </c>
      <c r="AU17">
        <f>'2012_2015'!AS17</f>
        <v>2.15E-3</v>
      </c>
      <c r="AV17">
        <f>'2012_2015'!AT17</f>
        <v>-2.97E-3</v>
      </c>
      <c r="AW17">
        <f>'2012_2015'!AU17</f>
        <v>-9.8300000000000002E-3</v>
      </c>
      <c r="AX17">
        <f>'2012_2015'!AV17</f>
        <v>-1.66E-2</v>
      </c>
      <c r="AY17">
        <f>'2012_2015'!AW17</f>
        <v>-1.7399999999999999E-2</v>
      </c>
      <c r="AZ17">
        <f>'2012_2015'!AX17</f>
        <v>-1.8499999999999999E-2</v>
      </c>
      <c r="BA17">
        <f>'2012_2015'!AY17</f>
        <v>-1.78E-2</v>
      </c>
      <c r="BB17">
        <f>'2012_2015'!AZ17</f>
        <v>-1.6199999999999999E-2</v>
      </c>
      <c r="BC17">
        <f>'2012_2015'!BA17</f>
        <v>-7.0299999999999998E-3</v>
      </c>
      <c r="BD17">
        <f>'2012_2015'!BB17</f>
        <v>-6.0400000000000004E-4</v>
      </c>
      <c r="BE17">
        <f>'2012_2015'!BC17</f>
        <v>2.0600000000000002E-3</v>
      </c>
      <c r="BF17">
        <f>'2012_2015'!BD17</f>
        <v>2.1800000000000001E-3</v>
      </c>
      <c r="BG17">
        <f>'2012_2015'!BE17</f>
        <v>3.81E-3</v>
      </c>
      <c r="BH17">
        <f>'2012_2015'!BF17</f>
        <v>3.9100000000000003E-3</v>
      </c>
      <c r="BI17">
        <f>'2012_2015'!BG17</f>
        <v>-1.56E-3</v>
      </c>
      <c r="BJ17">
        <f>'2012_2015'!BH17</f>
        <v>-3.63E-3</v>
      </c>
      <c r="BK17">
        <f>'2012_2015'!BI17</f>
        <v>-7.0400000000000003E-3</v>
      </c>
      <c r="BL17">
        <f>'2012_2015'!BJ17</f>
        <v>-7.0299999999999998E-3</v>
      </c>
      <c r="BM17">
        <f>'2012_2015'!BK17</f>
        <v>-4.7600000000000003E-3</v>
      </c>
      <c r="BN17">
        <f>'2012_2015'!BL17</f>
        <v>2.7299999999999998E-3</v>
      </c>
      <c r="BO17">
        <f>'2012_2015'!BM17</f>
        <v>5.8300000000000001E-3</v>
      </c>
      <c r="BP17">
        <f>'2012_2015'!BN17</f>
        <v>0.01</v>
      </c>
      <c r="BQ17">
        <f>'2012_2015'!BO17</f>
        <v>1.03E-2</v>
      </c>
      <c r="BR17">
        <f>'2012_2015'!BP17</f>
        <v>1.03E-2</v>
      </c>
      <c r="BS17">
        <f>'2012_2015'!BQ17</f>
        <v>3.8500000000000001E-3</v>
      </c>
      <c r="BT17">
        <f>'2012_2015'!BR17</f>
        <v>-2.4199999999999998E-3</v>
      </c>
      <c r="BU17">
        <f>'2012_2015'!BS17</f>
        <v>-8.0000000000000002E-3</v>
      </c>
      <c r="BV17">
        <f>'2012_2015'!BT17</f>
        <v>-3.14E-3</v>
      </c>
      <c r="BW17">
        <f>'2012_2015'!BU17</f>
        <v>-5.79E-3</v>
      </c>
      <c r="BX17">
        <f>'2012_2015'!BV17</f>
        <v>-5.5199999999999997E-3</v>
      </c>
      <c r="BY17">
        <f>'2012_2015'!BW17</f>
        <v>3.0599999999999998E-3</v>
      </c>
      <c r="BZ17">
        <f>'2012_2015'!BX17</f>
        <v>1.67E-2</v>
      </c>
      <c r="CA17">
        <f>'2012_2015'!BY17</f>
        <v>1.9E-2</v>
      </c>
      <c r="CB17">
        <f>'2012_2015'!BZ17</f>
        <v>1.43E-2</v>
      </c>
      <c r="CC17">
        <f>'2012_2015'!CA17</f>
        <v>2.2100000000000002E-2</v>
      </c>
      <c r="CD17">
        <f>'2012_2015'!CB17</f>
        <v>2.47E-2</v>
      </c>
      <c r="CE17">
        <f>'2012_2015'!CC17</f>
        <v>-7.1000000000000004E-3</v>
      </c>
      <c r="CF17">
        <f>'2012_2015'!CD17</f>
        <v>-9.8300000000000002E-3</v>
      </c>
      <c r="CG17">
        <f>'2012_2015'!CE17</f>
        <v>-9.8799999999999999E-3</v>
      </c>
      <c r="CH17">
        <f>'2012_2015'!CF17</f>
        <v>-9.7900000000000001E-3</v>
      </c>
      <c r="CI17">
        <f>'2012_2015'!CG17</f>
        <v>-1.54E-2</v>
      </c>
      <c r="CJ17">
        <f>'2012_2015'!CH17</f>
        <v>-1.4500000000000001E-2</v>
      </c>
      <c r="CK17">
        <f>'2012_2015'!CI17</f>
        <v>2.69E-2</v>
      </c>
      <c r="CL17">
        <f>'2012_2015'!CJ17</f>
        <v>2.75E-2</v>
      </c>
      <c r="CM17">
        <f>'2012_2015'!CK17</f>
        <v>1.9599999999999999E-2</v>
      </c>
      <c r="CN17">
        <f>'2012_2015'!CL17</f>
        <v>-1.47E-3</v>
      </c>
      <c r="CO17">
        <f>'2012_2015'!CM17</f>
        <v>-3.8E-3</v>
      </c>
      <c r="CP17">
        <f>'2012_2015'!CN17</f>
        <v>2.0199999999999999E-2</v>
      </c>
      <c r="CQ17">
        <f>'2012_2015'!CO17</f>
        <v>5.1999999999999998E-2</v>
      </c>
      <c r="CR17">
        <f>'2012_2015'!CP17</f>
        <v>2.3800000000000002E-2</v>
      </c>
      <c r="CS17">
        <f>'2012_2015'!CQ17</f>
        <v>2.7099999999999999E-2</v>
      </c>
      <c r="CT17">
        <f>'2012_2015'!CR17</f>
        <v>3.2199999999999999E-2</v>
      </c>
      <c r="CU17">
        <f>'2012_2015'!CS17</f>
        <v>-2.1000000000000001E-2</v>
      </c>
      <c r="CV17">
        <f>'2012_2015'!CT17</f>
        <v>6.0800000000000003E-3</v>
      </c>
      <c r="CW17">
        <f>'2012_2015'!CU17</f>
        <v>1.01E-2</v>
      </c>
      <c r="CX17">
        <f>'2012_2015'!CV17</f>
        <v>1.55E-2</v>
      </c>
    </row>
    <row r="18" spans="1:102" x14ac:dyDescent="0.2">
      <c r="A18" t="s">
        <v>211</v>
      </c>
      <c r="B18" t="s">
        <v>219</v>
      </c>
      <c r="C18" t="s">
        <v>102</v>
      </c>
      <c r="D18">
        <f>'2012_2015'!B18</f>
        <v>1.6500000000000001E-2</v>
      </c>
      <c r="E18">
        <f>'2012_2015'!C18</f>
        <v>1.12E-2</v>
      </c>
      <c r="F18">
        <f>'2012_2015'!D18</f>
        <v>2.5499999999999998E-2</v>
      </c>
      <c r="G18">
        <f>'2012_2015'!E18</f>
        <v>1.7899999999999999E-2</v>
      </c>
      <c r="H18">
        <f>'2012_2015'!F18</f>
        <v>2.06E-2</v>
      </c>
      <c r="I18">
        <f>'2012_2015'!G18</f>
        <v>1.6199999999999999E-2</v>
      </c>
      <c r="J18">
        <f>'2012_2015'!H18</f>
        <v>1.17E-2</v>
      </c>
      <c r="K18">
        <f>'2012_2015'!I18</f>
        <v>1.43E-2</v>
      </c>
      <c r="L18">
        <f>'2012_2015'!J18</f>
        <v>9.0500000000000008E-3</v>
      </c>
      <c r="M18">
        <f>'2012_2015'!K18</f>
        <v>8.1399999999999997E-3</v>
      </c>
      <c r="N18">
        <f>'2012_2015'!L18</f>
        <v>1.46E-2</v>
      </c>
      <c r="O18">
        <f>'2012_2015'!M18</f>
        <v>2.1499999999999998E-2</v>
      </c>
      <c r="P18">
        <f>'2012_2015'!N18</f>
        <v>1.8200000000000001E-2</v>
      </c>
      <c r="Q18">
        <f>'2012_2015'!O18</f>
        <v>1.46E-2</v>
      </c>
      <c r="R18">
        <f>'2012_2015'!P18</f>
        <v>1.0699999999999999E-2</v>
      </c>
      <c r="S18">
        <f>'2012_2015'!Q18</f>
        <v>1.21E-2</v>
      </c>
      <c r="T18">
        <f>'2012_2015'!R18</f>
        <v>8.3099999999999997E-3</v>
      </c>
      <c r="U18">
        <f>'2012_2015'!S18</f>
        <v>9.4000000000000004E-3</v>
      </c>
      <c r="V18">
        <f>'2012_2015'!T18</f>
        <v>6.8100000000000001E-3</v>
      </c>
      <c r="W18">
        <f>'2012_2015'!U18</f>
        <v>6.4900000000000001E-3</v>
      </c>
      <c r="X18">
        <f>'2012_2015'!V18</f>
        <v>8.6499999999999997E-3</v>
      </c>
      <c r="Y18">
        <f>'2012_2015'!W18</f>
        <v>8.9599999999999992E-3</v>
      </c>
      <c r="Z18">
        <f>'2012_2015'!X18</f>
        <v>9.0399999999999994E-3</v>
      </c>
      <c r="AA18">
        <f>'2012_2015'!Y18</f>
        <v>8.4799999999999997E-3</v>
      </c>
      <c r="AB18">
        <f>'2012_2015'!Z18</f>
        <v>3.1900000000000001E-3</v>
      </c>
      <c r="AC18">
        <f>'2012_2015'!AA18</f>
        <v>1.4E-3</v>
      </c>
      <c r="AD18">
        <f>'2012_2015'!AB18</f>
        <v>2.5300000000000001E-3</v>
      </c>
      <c r="AE18">
        <f>'2012_2015'!AC18</f>
        <v>2.1900000000000001E-3</v>
      </c>
      <c r="AF18">
        <f>'2012_2015'!AD18</f>
        <v>4.0200000000000001E-3</v>
      </c>
      <c r="AG18">
        <f>'2012_2015'!AE18</f>
        <v>5.7499999999999999E-3</v>
      </c>
      <c r="AH18">
        <f>'2012_2015'!AF18</f>
        <v>4.0699999999999998E-3</v>
      </c>
      <c r="AI18">
        <f>'2012_2015'!AG18</f>
        <v>3.0699999999999998E-3</v>
      </c>
      <c r="AJ18">
        <f>'2012_2015'!AH18</f>
        <v>1.31E-3</v>
      </c>
      <c r="AK18">
        <f>'2012_2015'!AI18</f>
        <v>-8.0199999999999998E-4</v>
      </c>
      <c r="AL18">
        <f>'2012_2015'!AJ18</f>
        <v>-1.7899999999999999E-3</v>
      </c>
      <c r="AM18">
        <f>'2012_2015'!AK18</f>
        <v>-2.8500000000000001E-3</v>
      </c>
      <c r="AN18">
        <f>'2012_2015'!AL18</f>
        <v>-2.7799999999999999E-3</v>
      </c>
      <c r="AO18">
        <f>'2012_2015'!AM18</f>
        <v>3.3300000000000001E-3</v>
      </c>
      <c r="AP18">
        <f>'2012_2015'!AN18</f>
        <v>5.3099999999999996E-3</v>
      </c>
      <c r="AQ18">
        <f>'2012_2015'!AO18</f>
        <v>6.3400000000000001E-3</v>
      </c>
      <c r="AR18">
        <f>'2012_2015'!AP18</f>
        <v>4.7800000000000004E-3</v>
      </c>
      <c r="AS18">
        <f>'2012_2015'!AQ18</f>
        <v>3.3400000000000001E-3</v>
      </c>
      <c r="AT18">
        <f>'2012_2015'!AR18</f>
        <v>3.7000000000000002E-3</v>
      </c>
      <c r="AU18">
        <f>'2012_2015'!AS18</f>
        <v>3.65E-3</v>
      </c>
      <c r="AV18">
        <f>'2012_2015'!AT18</f>
        <v>6.2899999999999996E-3</v>
      </c>
      <c r="AW18">
        <f>'2012_2015'!AU18</f>
        <v>5.1399999999999996E-3</v>
      </c>
      <c r="AX18">
        <f>'2012_2015'!AV18</f>
        <v>3.4099999999999998E-3</v>
      </c>
      <c r="AY18">
        <f>'2012_2015'!AW18</f>
        <v>-1.63E-4</v>
      </c>
      <c r="AZ18">
        <f>'2012_2015'!AX18</f>
        <v>7.0600000000000003E-4</v>
      </c>
      <c r="BA18">
        <f>'2012_2015'!AY18</f>
        <v>2.0300000000000001E-3</v>
      </c>
      <c r="BB18">
        <f>'2012_2015'!AZ18</f>
        <v>1.56E-3</v>
      </c>
      <c r="BC18">
        <f>'2012_2015'!BA18</f>
        <v>3.81E-3</v>
      </c>
      <c r="BD18">
        <f>'2012_2015'!BB18</f>
        <v>4.1700000000000001E-3</v>
      </c>
      <c r="BE18">
        <f>'2012_2015'!BC18</f>
        <v>8.4100000000000008E-3</v>
      </c>
      <c r="BF18">
        <f>'2012_2015'!BD18</f>
        <v>1.29E-2</v>
      </c>
      <c r="BG18">
        <f>'2012_2015'!BE18</f>
        <v>1.1599999999999999E-2</v>
      </c>
      <c r="BH18">
        <f>'2012_2015'!BF18</f>
        <v>1.15E-2</v>
      </c>
      <c r="BI18">
        <f>'2012_2015'!BG18</f>
        <v>8.1899999999999994E-3</v>
      </c>
      <c r="BJ18">
        <f>'2012_2015'!BH18</f>
        <v>8.26E-3</v>
      </c>
      <c r="BK18">
        <f>'2012_2015'!BI18</f>
        <v>4.7499999999999999E-3</v>
      </c>
      <c r="BL18">
        <f>'2012_2015'!BJ18</f>
        <v>4.5799999999999999E-3</v>
      </c>
      <c r="BM18">
        <f>'2012_2015'!BK18</f>
        <v>6.8700000000000002E-3</v>
      </c>
      <c r="BN18">
        <f>'2012_2015'!BL18</f>
        <v>1.2699999999999999E-2</v>
      </c>
      <c r="BO18">
        <f>'2012_2015'!BM18</f>
        <v>1.54E-2</v>
      </c>
      <c r="BP18">
        <f>'2012_2015'!BN18</f>
        <v>1.3100000000000001E-2</v>
      </c>
      <c r="BQ18">
        <f>'2012_2015'!BO18</f>
        <v>1.34E-2</v>
      </c>
      <c r="BR18">
        <f>'2012_2015'!BP18</f>
        <v>2.06E-2</v>
      </c>
      <c r="BS18">
        <f>'2012_2015'!BQ18</f>
        <v>1.5599999999999999E-2</v>
      </c>
      <c r="BT18">
        <f>'2012_2015'!BR18</f>
        <v>9.4999999999999998E-3</v>
      </c>
      <c r="BU18">
        <f>'2012_2015'!BS18</f>
        <v>8.1700000000000002E-3</v>
      </c>
      <c r="BV18">
        <f>'2012_2015'!BT18</f>
        <v>1.09E-2</v>
      </c>
      <c r="BW18">
        <f>'2012_2015'!BU18</f>
        <v>8.5699999999999995E-3</v>
      </c>
      <c r="BX18">
        <f>'2012_2015'!BV18</f>
        <v>5.0600000000000003E-3</v>
      </c>
      <c r="BY18">
        <f>'2012_2015'!BW18</f>
        <v>7.2700000000000004E-3</v>
      </c>
      <c r="BZ18">
        <f>'2012_2015'!BX18</f>
        <v>1.67E-2</v>
      </c>
      <c r="CA18">
        <f>'2012_2015'!BY18</f>
        <v>1.6299999999999999E-2</v>
      </c>
      <c r="CB18">
        <f>'2012_2015'!BZ18</f>
        <v>9.7400000000000004E-3</v>
      </c>
      <c r="CC18">
        <f>'2012_2015'!CA18</f>
        <v>1.46E-2</v>
      </c>
      <c r="CD18">
        <f>'2012_2015'!CB18</f>
        <v>2.46E-2</v>
      </c>
      <c r="CE18">
        <f>'2012_2015'!CC18</f>
        <v>5.8300000000000001E-3</v>
      </c>
      <c r="CF18">
        <f>'2012_2015'!CD18</f>
        <v>2.0300000000000001E-3</v>
      </c>
      <c r="CG18">
        <f>'2012_2015'!CE18</f>
        <v>2.14E-3</v>
      </c>
      <c r="CH18">
        <f>'2012_2015'!CF18</f>
        <v>-4.8399999999999997E-3</v>
      </c>
      <c r="CI18">
        <f>'2012_2015'!CG18</f>
        <v>-1.2200000000000001E-2</v>
      </c>
      <c r="CJ18">
        <f>'2012_2015'!CH18</f>
        <v>-1.1900000000000001E-2</v>
      </c>
      <c r="CK18">
        <f>'2012_2015'!CI18</f>
        <v>1.7299999999999999E-2</v>
      </c>
      <c r="CL18">
        <f>'2012_2015'!CJ18</f>
        <v>7.1700000000000002E-3</v>
      </c>
      <c r="CM18">
        <f>'2012_2015'!CK18</f>
        <v>4.8399999999999997E-3</v>
      </c>
      <c r="CN18">
        <f>'2012_2015'!CL18</f>
        <v>-1.7999999999999999E-2</v>
      </c>
      <c r="CO18">
        <f>'2012_2015'!CM18</f>
        <v>-2.7699999999999999E-2</v>
      </c>
      <c r="CP18">
        <f>'2012_2015'!CN18</f>
        <v>-1.84E-2</v>
      </c>
      <c r="CQ18">
        <f>'2012_2015'!CO18</f>
        <v>1.09E-2</v>
      </c>
      <c r="CR18">
        <f>'2012_2015'!CP18</f>
        <v>-1.03E-2</v>
      </c>
      <c r="CS18">
        <f>'2012_2015'!CQ18</f>
        <v>3.1099999999999999E-3</v>
      </c>
      <c r="CT18">
        <f>'2012_2015'!CR18</f>
        <v>-5.4599999999999996E-3</v>
      </c>
      <c r="CU18">
        <f>'2012_2015'!CS18</f>
        <v>-4.6600000000000003E-2</v>
      </c>
      <c r="CV18">
        <f>'2012_2015'!CT18</f>
        <v>-2.1000000000000001E-2</v>
      </c>
      <c r="CW18">
        <f>'2012_2015'!CU18</f>
        <v>-3.27E-2</v>
      </c>
      <c r="CX18">
        <f>'2012_2015'!CV18</f>
        <v>-4.9799999999999997E-2</v>
      </c>
    </row>
    <row r="19" spans="1:102" x14ac:dyDescent="0.2">
      <c r="A19" t="s">
        <v>212</v>
      </c>
      <c r="B19" t="s">
        <v>219</v>
      </c>
      <c r="C19" t="s">
        <v>102</v>
      </c>
      <c r="D19">
        <f>'2012_2015'!B19</f>
        <v>-3.8999999999999998E-3</v>
      </c>
      <c r="E19">
        <f>'2012_2015'!C19</f>
        <v>-7.0000000000000001E-3</v>
      </c>
      <c r="F19">
        <f>'2012_2015'!D19</f>
        <v>3.7399999999999998E-3</v>
      </c>
      <c r="G19">
        <f>'2012_2015'!E19</f>
        <v>-3.0000000000000001E-3</v>
      </c>
      <c r="H19">
        <f>'2012_2015'!F19</f>
        <v>4.9699999999999996E-3</v>
      </c>
      <c r="I19">
        <f>'2012_2015'!G19</f>
        <v>1.18E-4</v>
      </c>
      <c r="J19">
        <f>'2012_2015'!H19</f>
        <v>4.3E-3</v>
      </c>
      <c r="K19">
        <f>'2012_2015'!I19</f>
        <v>4.79E-3</v>
      </c>
      <c r="L19">
        <f>'2012_2015'!J19</f>
        <v>3.3899999999999998E-3</v>
      </c>
      <c r="M19">
        <f>'2012_2015'!K19</f>
        <v>3.1099999999999999E-3</v>
      </c>
      <c r="N19">
        <f>'2012_2015'!L19</f>
        <v>7.2500000000000004E-3</v>
      </c>
      <c r="O19">
        <f>'2012_2015'!M19</f>
        <v>1.0500000000000001E-2</v>
      </c>
      <c r="P19">
        <f>'2012_2015'!N19</f>
        <v>1.01E-2</v>
      </c>
      <c r="Q19">
        <f>'2012_2015'!O19</f>
        <v>7.1900000000000002E-3</v>
      </c>
      <c r="R19">
        <f>'2012_2015'!P19</f>
        <v>3.0500000000000002E-3</v>
      </c>
      <c r="S19">
        <f>'2012_2015'!Q19</f>
        <v>2.5000000000000001E-3</v>
      </c>
      <c r="T19">
        <f>'2012_2015'!R19</f>
        <v>2.47E-3</v>
      </c>
      <c r="U19">
        <f>'2012_2015'!S19</f>
        <v>2.8400000000000001E-3</v>
      </c>
      <c r="V19">
        <f>'2012_2015'!T19</f>
        <v>1.8699999999999999E-3</v>
      </c>
      <c r="W19">
        <f>'2012_2015'!U19</f>
        <v>1.57E-3</v>
      </c>
      <c r="X19">
        <f>'2012_2015'!V19</f>
        <v>1.8E-3</v>
      </c>
      <c r="Y19">
        <f>'2012_2015'!W19</f>
        <v>1.7799999999999999E-3</v>
      </c>
      <c r="Z19">
        <f>'2012_2015'!X19</f>
        <v>1.98E-3</v>
      </c>
      <c r="AA19">
        <f>'2012_2015'!Y19</f>
        <v>1.73E-3</v>
      </c>
      <c r="AB19">
        <f>'2012_2015'!Z19</f>
        <v>1.01E-3</v>
      </c>
      <c r="AC19">
        <f>'2012_2015'!AA19</f>
        <v>9.4899999999999997E-4</v>
      </c>
      <c r="AD19">
        <f>'2012_2015'!AB19</f>
        <v>5.9500000000000004E-4</v>
      </c>
      <c r="AE19">
        <f>'2012_2015'!AC19</f>
        <v>1.7799999999999999E-4</v>
      </c>
      <c r="AF19">
        <f>'2012_2015'!AD19</f>
        <v>3.86E-4</v>
      </c>
      <c r="AG19">
        <f>'2012_2015'!AE19</f>
        <v>1.46E-4</v>
      </c>
      <c r="AH19">
        <f>'2012_2015'!AF19</f>
        <v>-1.56E-4</v>
      </c>
      <c r="AI19">
        <f>'2012_2015'!AG19</f>
        <v>-4.95E-4</v>
      </c>
      <c r="AJ19">
        <f>'2012_2015'!AH19</f>
        <v>-1.17E-3</v>
      </c>
      <c r="AK19">
        <f>'2012_2015'!AI19</f>
        <v>-1.1999999999999999E-3</v>
      </c>
      <c r="AL19">
        <f>'2012_2015'!AJ19</f>
        <v>-6.8300000000000001E-4</v>
      </c>
      <c r="AM19">
        <f>'2012_2015'!AK19</f>
        <v>-5.7300000000000005E-4</v>
      </c>
      <c r="AN19">
        <f>'2012_2015'!AL19</f>
        <v>-4.5199999999999998E-4</v>
      </c>
      <c r="AO19">
        <f>'2012_2015'!AM19</f>
        <v>-6.3299999999999994E-5</v>
      </c>
      <c r="AP19">
        <f>'2012_2015'!AN19</f>
        <v>3.59E-4</v>
      </c>
      <c r="AQ19">
        <f>'2012_2015'!AO19</f>
        <v>2.8800000000000001E-4</v>
      </c>
      <c r="AR19">
        <f>'2012_2015'!AP19</f>
        <v>4.6700000000000002E-4</v>
      </c>
      <c r="AS19">
        <f>'2012_2015'!AQ19</f>
        <v>7.9900000000000001E-4</v>
      </c>
      <c r="AT19">
        <f>'2012_2015'!AR19</f>
        <v>7.2199999999999999E-4</v>
      </c>
      <c r="AU19">
        <f>'2012_2015'!AS19</f>
        <v>5.0600000000000005E-4</v>
      </c>
      <c r="AV19">
        <f>'2012_2015'!AT19</f>
        <v>9.3199999999999999E-4</v>
      </c>
      <c r="AW19">
        <f>'2012_2015'!AU19</f>
        <v>6.1799999999999995E-4</v>
      </c>
      <c r="AX19">
        <f>'2012_2015'!AV19</f>
        <v>1.2300000000000001E-4</v>
      </c>
      <c r="AY19">
        <f>'2012_2015'!AW19</f>
        <v>-3.9800000000000002E-4</v>
      </c>
      <c r="AZ19">
        <f>'2012_2015'!AX19</f>
        <v>-5.8100000000000003E-4</v>
      </c>
      <c r="BA19">
        <f>'2012_2015'!AY19</f>
        <v>-1.08E-3</v>
      </c>
      <c r="BB19">
        <f>'2012_2015'!AZ19</f>
        <v>-1.14E-3</v>
      </c>
      <c r="BC19">
        <f>'2012_2015'!BA19</f>
        <v>-4.0000000000000002E-4</v>
      </c>
      <c r="BD19">
        <f>'2012_2015'!BB19</f>
        <v>2.5799999999999998E-4</v>
      </c>
      <c r="BE19">
        <f>'2012_2015'!BC19</f>
        <v>5.0199999999999995E-4</v>
      </c>
      <c r="BF19">
        <f>'2012_2015'!BD19</f>
        <v>1.08E-3</v>
      </c>
      <c r="BG19">
        <f>'2012_2015'!BE19</f>
        <v>8.4099999999999995E-4</v>
      </c>
      <c r="BH19">
        <f>'2012_2015'!BF19</f>
        <v>4.55E-4</v>
      </c>
      <c r="BI19">
        <f>'2012_2015'!BG19</f>
        <v>1.83E-4</v>
      </c>
      <c r="BJ19">
        <f>'2012_2015'!BH19</f>
        <v>4.3899999999999999E-4</v>
      </c>
      <c r="BK19">
        <f>'2012_2015'!BI19</f>
        <v>-1.3100000000000001E-4</v>
      </c>
      <c r="BL19">
        <f>'2012_2015'!BJ19</f>
        <v>1.4300000000000001E-4</v>
      </c>
      <c r="BM19">
        <f>'2012_2015'!BK19</f>
        <v>2.3699999999999999E-4</v>
      </c>
      <c r="BN19">
        <f>'2012_2015'!BL19</f>
        <v>5.6899999999999995E-4</v>
      </c>
      <c r="BO19">
        <f>'2012_2015'!BM19</f>
        <v>5.4699999999999996E-4</v>
      </c>
      <c r="BP19">
        <f>'2012_2015'!BN19</f>
        <v>1.2700000000000001E-3</v>
      </c>
      <c r="BQ19">
        <f>'2012_2015'!BO19</f>
        <v>1.8E-3</v>
      </c>
      <c r="BR19">
        <f>'2012_2015'!BP19</f>
        <v>2.0100000000000001E-3</v>
      </c>
      <c r="BS19">
        <f>'2012_2015'!BQ19</f>
        <v>1.23E-3</v>
      </c>
      <c r="BT19">
        <f>'2012_2015'!BR19</f>
        <v>8.1700000000000002E-4</v>
      </c>
      <c r="BU19">
        <f>'2012_2015'!BS19</f>
        <v>9.0200000000000002E-4</v>
      </c>
      <c r="BV19">
        <f>'2012_2015'!BT19</f>
        <v>1.9400000000000001E-3</v>
      </c>
      <c r="BW19">
        <f>'2012_2015'!BU19</f>
        <v>1.6900000000000001E-3</v>
      </c>
      <c r="BX19">
        <f>'2012_2015'!BV19</f>
        <v>8.7200000000000005E-4</v>
      </c>
      <c r="BY19">
        <f>'2012_2015'!BW19</f>
        <v>1.8699999999999999E-3</v>
      </c>
      <c r="BZ19">
        <f>'2012_2015'!BX19</f>
        <v>2.3999999999999998E-3</v>
      </c>
      <c r="CA19">
        <f>'2012_2015'!BY19</f>
        <v>2.8900000000000002E-3</v>
      </c>
      <c r="CB19">
        <f>'2012_2015'!BZ19</f>
        <v>2.7899999999999999E-3</v>
      </c>
      <c r="CC19">
        <f>'2012_2015'!CA19</f>
        <v>3.0899999999999999E-3</v>
      </c>
      <c r="CD19">
        <f>'2012_2015'!CB19</f>
        <v>2.7299999999999998E-3</v>
      </c>
      <c r="CE19">
        <f>'2012_2015'!CC19</f>
        <v>3.4900000000000003E-4</v>
      </c>
      <c r="CF19">
        <f>'2012_2015'!CD19</f>
        <v>-3.0499999999999999E-4</v>
      </c>
      <c r="CG19">
        <f>'2012_2015'!CE19</f>
        <v>-3.0299999999999999E-4</v>
      </c>
      <c r="CH19">
        <f>'2012_2015'!CF19</f>
        <v>-3.8900000000000002E-4</v>
      </c>
      <c r="CI19">
        <f>'2012_2015'!CG19</f>
        <v>-6.9800000000000005E-4</v>
      </c>
      <c r="CJ19">
        <f>'2012_2015'!CH19</f>
        <v>-9.9599999999999992E-4</v>
      </c>
      <c r="CK19">
        <f>'2012_2015'!CI19</f>
        <v>1.9799999999999999E-4</v>
      </c>
      <c r="CL19">
        <f>'2012_2015'!CJ19</f>
        <v>1.14E-3</v>
      </c>
      <c r="CM19">
        <f>'2012_2015'!CK19</f>
        <v>4.2999999999999999E-4</v>
      </c>
      <c r="CN19">
        <f>'2012_2015'!CL19</f>
        <v>-1.9599999999999999E-5</v>
      </c>
      <c r="CO19">
        <f>'2012_2015'!CM19</f>
        <v>-1.23E-3</v>
      </c>
      <c r="CP19">
        <f>'2012_2015'!CN19</f>
        <v>-8.5099999999999998E-4</v>
      </c>
      <c r="CQ19">
        <f>'2012_2015'!CO19</f>
        <v>4.8999999999999998E-4</v>
      </c>
      <c r="CR19">
        <f>'2012_2015'!CP19</f>
        <v>-9.7300000000000002E-4</v>
      </c>
      <c r="CS19">
        <f>'2012_2015'!CQ19</f>
        <v>-4.1199999999999999E-5</v>
      </c>
      <c r="CT19">
        <f>'2012_2015'!CR19</f>
        <v>-8.0400000000000003E-4</v>
      </c>
      <c r="CU19">
        <f>'2012_2015'!CS19</f>
        <v>-1.5200000000000001E-3</v>
      </c>
      <c r="CV19">
        <f>'2012_2015'!CT19</f>
        <v>-1.6800000000000001E-3</v>
      </c>
      <c r="CW19">
        <f>'2012_2015'!CU19</f>
        <v>-3.79E-3</v>
      </c>
      <c r="CX19">
        <f>'2012_2015'!CV19</f>
        <v>-4.9899999999999996E-3</v>
      </c>
    </row>
    <row r="20" spans="1:102" x14ac:dyDescent="0.2">
      <c r="A20" t="s">
        <v>213</v>
      </c>
      <c r="B20" t="s">
        <v>219</v>
      </c>
      <c r="C20" t="s">
        <v>102</v>
      </c>
      <c r="D20">
        <f>'2012_2015'!B20</f>
        <v>7.6499999999999999E-2</v>
      </c>
      <c r="E20">
        <f>'2012_2015'!C20</f>
        <v>0.111</v>
      </c>
      <c r="F20">
        <f>'2012_2015'!D20</f>
        <v>2.5600000000000001E-2</v>
      </c>
      <c r="G20">
        <f>'2012_2015'!E20</f>
        <v>4.0899999999999999E-2</v>
      </c>
      <c r="H20">
        <f>'2012_2015'!F20</f>
        <v>-2.9000000000000001E-2</v>
      </c>
      <c r="I20">
        <f>'2012_2015'!G20</f>
        <v>1.2500000000000001E-2</v>
      </c>
      <c r="J20">
        <f>'2012_2015'!H20</f>
        <v>-2.7799999999999998E-2</v>
      </c>
      <c r="K20">
        <f>'2012_2015'!I20</f>
        <v>-2.3199999999999998E-2</v>
      </c>
      <c r="L20">
        <f>'2012_2015'!J20</f>
        <v>-2.5999999999999999E-2</v>
      </c>
      <c r="M20">
        <f>'2012_2015'!K20</f>
        <v>-2.3199999999999998E-2</v>
      </c>
      <c r="N20">
        <f>'2012_2015'!L20</f>
        <v>-8.0100000000000005E-2</v>
      </c>
      <c r="O20">
        <f>'2012_2015'!M20</f>
        <v>-0.13800000000000001</v>
      </c>
      <c r="P20">
        <f>'2012_2015'!N20</f>
        <v>-0.14000000000000001</v>
      </c>
      <c r="Q20">
        <f>'2012_2015'!O20</f>
        <v>-0.114</v>
      </c>
      <c r="R20">
        <f>'2012_2015'!P20</f>
        <v>-7.1999999999999995E-2</v>
      </c>
      <c r="S20">
        <f>'2012_2015'!Q20</f>
        <v>-5.4800000000000001E-2</v>
      </c>
      <c r="T20">
        <f>'2012_2015'!R20</f>
        <v>-5.5500000000000001E-2</v>
      </c>
      <c r="U20">
        <f>'2012_2015'!S20</f>
        <v>-5.67E-2</v>
      </c>
      <c r="V20">
        <f>'2012_2015'!T20</f>
        <v>-4.7300000000000002E-2</v>
      </c>
      <c r="W20">
        <f>'2012_2015'!U20</f>
        <v>-4.48E-2</v>
      </c>
      <c r="X20">
        <f>'2012_2015'!V20</f>
        <v>-4.8800000000000003E-2</v>
      </c>
      <c r="Y20">
        <f>'2012_2015'!W20</f>
        <v>-5.1200000000000002E-2</v>
      </c>
      <c r="Z20">
        <f>'2012_2015'!X20</f>
        <v>-5.0799999999999998E-2</v>
      </c>
      <c r="AA20">
        <f>'2012_2015'!Y20</f>
        <v>-4.6300000000000001E-2</v>
      </c>
      <c r="AB20">
        <f>'2012_2015'!Z20</f>
        <v>-4.1399999999999999E-2</v>
      </c>
      <c r="AC20">
        <f>'2012_2015'!AA20</f>
        <v>-3.3399999999999999E-2</v>
      </c>
      <c r="AD20">
        <f>'2012_2015'!AB20</f>
        <v>-2.6700000000000002E-2</v>
      </c>
      <c r="AE20">
        <f>'2012_2015'!AC20</f>
        <v>-2.9600000000000001E-2</v>
      </c>
      <c r="AF20">
        <f>'2012_2015'!AD20</f>
        <v>-2.41E-2</v>
      </c>
      <c r="AG20">
        <f>'2012_2015'!AE20</f>
        <v>-2.3400000000000001E-2</v>
      </c>
      <c r="AH20">
        <f>'2012_2015'!AF20</f>
        <v>-2.2499999999999999E-2</v>
      </c>
      <c r="AI20">
        <f>'2012_2015'!AG20</f>
        <v>-1.6299999999999999E-2</v>
      </c>
      <c r="AJ20">
        <f>'2012_2015'!AH20</f>
        <v>-1.2999999999999999E-2</v>
      </c>
      <c r="AK20">
        <f>'2012_2015'!AI20</f>
        <v>-9.6799999999999994E-3</v>
      </c>
      <c r="AL20">
        <f>'2012_2015'!AJ20</f>
        <v>-1.11E-2</v>
      </c>
      <c r="AM20">
        <f>'2012_2015'!AK20</f>
        <v>-1.3599999999999999E-2</v>
      </c>
      <c r="AN20">
        <f>'2012_2015'!AL20</f>
        <v>-2.0299999999999999E-2</v>
      </c>
      <c r="AO20">
        <f>'2012_2015'!AM20</f>
        <v>-2.52E-2</v>
      </c>
      <c r="AP20">
        <f>'2012_2015'!AN20</f>
        <v>-2.7199999999999998E-2</v>
      </c>
      <c r="AQ20">
        <f>'2012_2015'!AO20</f>
        <v>-2.6499999999999999E-2</v>
      </c>
      <c r="AR20">
        <f>'2012_2015'!AP20</f>
        <v>-2.4299999999999999E-2</v>
      </c>
      <c r="AS20">
        <f>'2012_2015'!AQ20</f>
        <v>-1.89E-2</v>
      </c>
      <c r="AT20">
        <f>'2012_2015'!AR20</f>
        <v>-1.6E-2</v>
      </c>
      <c r="AU20">
        <f>'2012_2015'!AS20</f>
        <v>-1.04E-2</v>
      </c>
      <c r="AV20">
        <f>'2012_2015'!AT20</f>
        <v>-6.2899999999999996E-3</v>
      </c>
      <c r="AW20">
        <f>'2012_2015'!AU20</f>
        <v>-3.3400000000000001E-3</v>
      </c>
      <c r="AX20">
        <f>'2012_2015'!AV20</f>
        <v>-1.7799999999999999E-3</v>
      </c>
      <c r="AY20">
        <f>'2012_2015'!AW20</f>
        <v>-3.6900000000000001E-3</v>
      </c>
      <c r="AZ20">
        <f>'2012_2015'!AX20</f>
        <v>-0.01</v>
      </c>
      <c r="BA20">
        <f>'2012_2015'!AY20</f>
        <v>-1.1599999999999999E-2</v>
      </c>
      <c r="BB20">
        <f>'2012_2015'!AZ20</f>
        <v>-1.1299999999999999E-2</v>
      </c>
      <c r="BC20">
        <f>'2012_2015'!BA20</f>
        <v>-1.35E-2</v>
      </c>
      <c r="BD20">
        <f>'2012_2015'!BB20</f>
        <v>-1.2999999999999999E-2</v>
      </c>
      <c r="BE20">
        <f>'2012_2015'!BC20</f>
        <v>-1.29E-2</v>
      </c>
      <c r="BF20">
        <f>'2012_2015'!BD20</f>
        <v>-1.26E-2</v>
      </c>
      <c r="BG20">
        <f>'2012_2015'!BE20</f>
        <v>-7.6099999999999996E-3</v>
      </c>
      <c r="BH20">
        <f>'2012_2015'!BF20</f>
        <v>-5.8999999999999999E-3</v>
      </c>
      <c r="BI20">
        <f>'2012_2015'!BG20</f>
        <v>-8.6800000000000002E-3</v>
      </c>
      <c r="BJ20">
        <f>'2012_2015'!BH20</f>
        <v>-1.2800000000000001E-2</v>
      </c>
      <c r="BK20">
        <f>'2012_2015'!BI20</f>
        <v>-9.6399999999999993E-3</v>
      </c>
      <c r="BL20">
        <f>'2012_2015'!BJ20</f>
        <v>-9.2700000000000005E-3</v>
      </c>
      <c r="BM20">
        <f>'2012_2015'!BK20</f>
        <v>-1.2999999999999999E-2</v>
      </c>
      <c r="BN20">
        <f>'2012_2015'!BL20</f>
        <v>-1.5100000000000001E-2</v>
      </c>
      <c r="BO20">
        <f>'2012_2015'!BM20</f>
        <v>-1.4500000000000001E-2</v>
      </c>
      <c r="BP20">
        <f>'2012_2015'!BN20</f>
        <v>-8.6700000000000006E-3</v>
      </c>
      <c r="BQ20">
        <f>'2012_2015'!BO20</f>
        <v>-7.1000000000000004E-3</v>
      </c>
      <c r="BR20">
        <f>'2012_2015'!BP20</f>
        <v>-6.8300000000000001E-3</v>
      </c>
      <c r="BS20">
        <f>'2012_2015'!BQ20</f>
        <v>-6.6699999999999997E-3</v>
      </c>
      <c r="BT20">
        <f>'2012_2015'!BR20</f>
        <v>-1.01E-3</v>
      </c>
      <c r="BU20">
        <f>'2012_2015'!BS20</f>
        <v>-1.56E-3</v>
      </c>
      <c r="BV20">
        <f>'2012_2015'!BT20</f>
        <v>1.32E-3</v>
      </c>
      <c r="BW20">
        <f>'2012_2015'!BU20</f>
        <v>2.4099999999999998E-3</v>
      </c>
      <c r="BX20">
        <f>'2012_2015'!BV20</f>
        <v>-3.64E-3</v>
      </c>
      <c r="BY20">
        <f>'2012_2015'!BW20</f>
        <v>-5.4099999999999999E-3</v>
      </c>
      <c r="BZ20">
        <f>'2012_2015'!BX20</f>
        <v>-5.8700000000000002E-3</v>
      </c>
      <c r="CA20">
        <f>'2012_2015'!BY20</f>
        <v>-6.3900000000000003E-4</v>
      </c>
      <c r="CB20">
        <f>'2012_2015'!BZ20</f>
        <v>1.06E-2</v>
      </c>
      <c r="CC20">
        <f>'2012_2015'!CA20</f>
        <v>1.0999999999999999E-2</v>
      </c>
      <c r="CD20">
        <f>'2012_2015'!CB20</f>
        <v>1.5100000000000001E-2</v>
      </c>
      <c r="CE20">
        <f>'2012_2015'!CC20</f>
        <v>1.11E-2</v>
      </c>
      <c r="CF20">
        <f>'2012_2015'!CD20</f>
        <v>7.8399999999999997E-3</v>
      </c>
      <c r="CG20">
        <f>'2012_2015'!CE20</f>
        <v>1.67E-2</v>
      </c>
      <c r="CH20">
        <f>'2012_2015'!CF20</f>
        <v>1.8100000000000002E-2</v>
      </c>
      <c r="CI20">
        <f>'2012_2015'!CG20</f>
        <v>1.5299999999999999E-2</v>
      </c>
      <c r="CJ20">
        <f>'2012_2015'!CH20</f>
        <v>1.9599999999999999E-2</v>
      </c>
      <c r="CK20">
        <f>'2012_2015'!CI20</f>
        <v>2.5499999999999998E-2</v>
      </c>
      <c r="CL20">
        <f>'2012_2015'!CJ20</f>
        <v>2.4500000000000001E-2</v>
      </c>
      <c r="CM20">
        <f>'2012_2015'!CK20</f>
        <v>2.2100000000000002E-2</v>
      </c>
      <c r="CN20">
        <f>'2012_2015'!CL20</f>
        <v>3.6799999999999999E-2</v>
      </c>
      <c r="CO20">
        <f>'2012_2015'!CM20</f>
        <v>4.2099999999999999E-2</v>
      </c>
      <c r="CP20">
        <f>'2012_2015'!CN20</f>
        <v>3.04E-2</v>
      </c>
      <c r="CQ20">
        <f>'2012_2015'!CO20</f>
        <v>4.4499999999999998E-2</v>
      </c>
      <c r="CR20">
        <f>'2012_2015'!CP20</f>
        <v>5.2999999999999999E-2</v>
      </c>
      <c r="CS20">
        <f>'2012_2015'!CQ20</f>
        <v>3.7199999999999997E-2</v>
      </c>
      <c r="CT20">
        <f>'2012_2015'!CR20</f>
        <v>4.8000000000000001E-2</v>
      </c>
      <c r="CU20">
        <f>'2012_2015'!CS20</f>
        <v>4.4400000000000002E-2</v>
      </c>
      <c r="CV20">
        <f>'2012_2015'!CT20</f>
        <v>4.8500000000000001E-2</v>
      </c>
      <c r="CW20">
        <f>'2012_2015'!CU20</f>
        <v>5.3999999999999999E-2</v>
      </c>
      <c r="CX20">
        <f>'2012_2015'!CV20</f>
        <v>5.5500000000000001E-2</v>
      </c>
    </row>
    <row r="21" spans="1:102" x14ac:dyDescent="0.2">
      <c r="A21" t="s">
        <v>214</v>
      </c>
      <c r="B21" t="s">
        <v>219</v>
      </c>
      <c r="C21" t="s">
        <v>102</v>
      </c>
      <c r="D21">
        <f>'2012_2015'!B21</f>
        <v>-5.3800000000000002E-3</v>
      </c>
      <c r="E21">
        <f>'2012_2015'!C21</f>
        <v>-2.5999999999999999E-3</v>
      </c>
      <c r="F21">
        <f>'2012_2015'!D21</f>
        <v>1.1299999999999999E-2</v>
      </c>
      <c r="G21">
        <f>'2012_2015'!E21</f>
        <v>1.49E-2</v>
      </c>
      <c r="H21">
        <f>'2012_2015'!F21</f>
        <v>1.4E-2</v>
      </c>
      <c r="I21">
        <f>'2012_2015'!G21</f>
        <v>7.6299999999999996E-3</v>
      </c>
      <c r="J21">
        <f>'2012_2015'!H21</f>
        <v>7.1300000000000001E-3</v>
      </c>
      <c r="K21">
        <f>'2012_2015'!I21</f>
        <v>2.6700000000000001E-3</v>
      </c>
      <c r="L21">
        <f>'2012_2015'!J21</f>
        <v>7.2100000000000003E-3</v>
      </c>
      <c r="M21">
        <f>'2012_2015'!K21</f>
        <v>5.7499999999999999E-3</v>
      </c>
      <c r="N21">
        <f>'2012_2015'!L21</f>
        <v>5.45E-3</v>
      </c>
      <c r="O21">
        <f>'2012_2015'!M21</f>
        <v>4.8599999999999997E-3</v>
      </c>
      <c r="P21">
        <f>'2012_2015'!N21</f>
        <v>3.5699999999999998E-3</v>
      </c>
      <c r="Q21">
        <f>'2012_2015'!O21</f>
        <v>3.1900000000000001E-3</v>
      </c>
      <c r="R21">
        <f>'2012_2015'!P21</f>
        <v>8.3099999999999997E-3</v>
      </c>
      <c r="S21">
        <f>'2012_2015'!Q21</f>
        <v>9.1299999999999992E-3</v>
      </c>
      <c r="T21">
        <f>'2012_2015'!R21</f>
        <v>1.57E-3</v>
      </c>
      <c r="U21">
        <f>'2012_2015'!S21</f>
        <v>3.5899999999999999E-3</v>
      </c>
      <c r="V21">
        <f>'2012_2015'!T21</f>
        <v>5.4200000000000003E-3</v>
      </c>
      <c r="W21">
        <f>'2012_2015'!U21</f>
        <v>6.1999999999999998E-3</v>
      </c>
      <c r="X21">
        <f>'2012_2015'!V21</f>
        <v>7.45E-3</v>
      </c>
      <c r="Y21">
        <f>'2012_2015'!W21</f>
        <v>5.7800000000000004E-3</v>
      </c>
      <c r="Z21">
        <f>'2012_2015'!X21</f>
        <v>6.3200000000000001E-3</v>
      </c>
      <c r="AA21">
        <f>'2012_2015'!Y21</f>
        <v>3.96E-3</v>
      </c>
      <c r="AB21">
        <f>'2012_2015'!Z21</f>
        <v>2.7100000000000002E-3</v>
      </c>
      <c r="AC21">
        <f>'2012_2015'!AA21</f>
        <v>8.4699999999999999E-4</v>
      </c>
      <c r="AD21">
        <f>'2012_2015'!AB21</f>
        <v>3.0699999999999998E-3</v>
      </c>
      <c r="AE21">
        <f>'2012_2015'!AC21</f>
        <v>3.6800000000000001E-3</v>
      </c>
      <c r="AF21">
        <f>'2012_2015'!AD21</f>
        <v>3.8099999999999999E-4</v>
      </c>
      <c r="AG21">
        <f>'2012_2015'!AE21</f>
        <v>8.0099999999999998E-3</v>
      </c>
      <c r="AH21">
        <f>'2012_2015'!AF21</f>
        <v>5.5799999999999999E-3</v>
      </c>
      <c r="AI21">
        <f>'2012_2015'!AG21</f>
        <v>1.4300000000000001E-3</v>
      </c>
      <c r="AJ21">
        <f>'2012_2015'!AH21</f>
        <v>3.2799999999999999E-3</v>
      </c>
      <c r="AK21">
        <f>'2012_2015'!AI21</f>
        <v>-4.57E-4</v>
      </c>
      <c r="AL21">
        <f>'2012_2015'!AJ21</f>
        <v>1.7799999999999999E-3</v>
      </c>
      <c r="AM21">
        <f>'2012_2015'!AK21</f>
        <v>6.3899999999999998E-3</v>
      </c>
      <c r="AN21">
        <f>'2012_2015'!AL21</f>
        <v>3.79E-4</v>
      </c>
      <c r="AO21">
        <f>'2012_2015'!AM21</f>
        <v>2.2000000000000001E-3</v>
      </c>
      <c r="AP21">
        <f>'2012_2015'!AN21</f>
        <v>1.7100000000000001E-4</v>
      </c>
      <c r="AQ21">
        <f>'2012_2015'!AO21</f>
        <v>2.15E-3</v>
      </c>
      <c r="AR21">
        <f>'2012_2015'!AP21</f>
        <v>-2.7299999999999998E-3</v>
      </c>
      <c r="AS21">
        <f>'2012_2015'!AQ21</f>
        <v>3.5599999999999998E-3</v>
      </c>
      <c r="AT21">
        <f>'2012_2015'!AR21</f>
        <v>2.7100000000000002E-3</v>
      </c>
      <c r="AU21">
        <f>'2012_2015'!AS21</f>
        <v>2.5500000000000002E-3</v>
      </c>
      <c r="AV21">
        <f>'2012_2015'!AT21</f>
        <v>-5.8199999999999997E-3</v>
      </c>
      <c r="AW21">
        <f>'2012_2015'!AU21</f>
        <v>-1.7699999999999999E-4</v>
      </c>
      <c r="AX21">
        <f>'2012_2015'!AV21</f>
        <v>-4.13E-3</v>
      </c>
      <c r="AY21">
        <f>'2012_2015'!AW21</f>
        <v>2.4499999999999999E-4</v>
      </c>
      <c r="AZ21">
        <f>'2012_2015'!AX21</f>
        <v>1.65E-3</v>
      </c>
      <c r="BA21">
        <f>'2012_2015'!AY21</f>
        <v>-8.0400000000000003E-4</v>
      </c>
      <c r="BB21">
        <f>'2012_2015'!AZ21</f>
        <v>2.12E-4</v>
      </c>
      <c r="BC21">
        <f>'2012_2015'!BA21</f>
        <v>5.2999999999999998E-4</v>
      </c>
      <c r="BD21">
        <f>'2012_2015'!BB21</f>
        <v>1.4799999999999999E-4</v>
      </c>
      <c r="BE21">
        <f>'2012_2015'!BC21</f>
        <v>5.3299999999999997E-3</v>
      </c>
      <c r="BF21">
        <f>'2012_2015'!BD21</f>
        <v>-6.8999999999999997E-4</v>
      </c>
      <c r="BG21">
        <f>'2012_2015'!BE21</f>
        <v>1.67E-3</v>
      </c>
      <c r="BH21">
        <f>'2012_2015'!BF21</f>
        <v>-2.1299999999999999E-3</v>
      </c>
      <c r="BI21">
        <f>'2012_2015'!BG21</f>
        <v>-5.8100000000000003E-4</v>
      </c>
      <c r="BJ21">
        <f>'2012_2015'!BH21</f>
        <v>-8.5199999999999998E-3</v>
      </c>
      <c r="BK21">
        <f>'2012_2015'!BI21</f>
        <v>7.11E-3</v>
      </c>
      <c r="BL21">
        <f>'2012_2015'!BJ21</f>
        <v>-1.83E-3</v>
      </c>
      <c r="BM21">
        <f>'2012_2015'!BK21</f>
        <v>2.7699999999999999E-3</v>
      </c>
      <c r="BN21">
        <f>'2012_2015'!BL21</f>
        <v>3.5999999999999999E-3</v>
      </c>
      <c r="BO21">
        <f>'2012_2015'!BM21</f>
        <v>4.7000000000000002E-3</v>
      </c>
      <c r="BP21">
        <f>'2012_2015'!BN21</f>
        <v>2.5000000000000001E-3</v>
      </c>
      <c r="BQ21">
        <f>'2012_2015'!BO21</f>
        <v>5.9500000000000004E-3</v>
      </c>
      <c r="BR21">
        <f>'2012_2015'!BP21</f>
        <v>1.2600000000000001E-3</v>
      </c>
      <c r="BS21">
        <f>'2012_2015'!BQ21</f>
        <v>-3.16E-3</v>
      </c>
      <c r="BT21">
        <f>'2012_2015'!BR21</f>
        <v>3.0999999999999999E-3</v>
      </c>
      <c r="BU21">
        <f>'2012_2015'!BS21</f>
        <v>-5.5699999999999999E-4</v>
      </c>
      <c r="BV21">
        <f>'2012_2015'!BT21</f>
        <v>7.1900000000000002E-4</v>
      </c>
      <c r="BW21">
        <f>'2012_2015'!BU21</f>
        <v>-2.66E-3</v>
      </c>
      <c r="BX21">
        <f>'2012_2015'!BV21</f>
        <v>8.1899999999999996E-4</v>
      </c>
      <c r="BY21">
        <f>'2012_2015'!BW21</f>
        <v>-7.9799999999999999E-4</v>
      </c>
      <c r="BZ21">
        <f>'2012_2015'!BX21</f>
        <v>8.3799999999999999E-4</v>
      </c>
      <c r="CA21">
        <f>'2012_2015'!BY21</f>
        <v>-4.8599999999999997E-3</v>
      </c>
      <c r="CB21">
        <f>'2012_2015'!BZ21</f>
        <v>1.4E-2</v>
      </c>
      <c r="CC21">
        <f>'2012_2015'!CA21</f>
        <v>1.29E-2</v>
      </c>
      <c r="CD21">
        <f>'2012_2015'!CB21</f>
        <v>2.4199999999999998E-3</v>
      </c>
      <c r="CE21">
        <f>'2012_2015'!CC21</f>
        <v>-9.810000000000001E-4</v>
      </c>
      <c r="CF21">
        <f>'2012_2015'!CD21</f>
        <v>-5.1900000000000004E-4</v>
      </c>
      <c r="CG21">
        <f>'2012_2015'!CE21</f>
        <v>6.4000000000000005E-4</v>
      </c>
      <c r="CH21">
        <f>'2012_2015'!CF21</f>
        <v>4.4600000000000004E-3</v>
      </c>
      <c r="CI21">
        <f>'2012_2015'!CG21</f>
        <v>2.5100000000000001E-3</v>
      </c>
      <c r="CJ21">
        <f>'2012_2015'!CH21</f>
        <v>-5.1699999999999999E-4</v>
      </c>
      <c r="CK21">
        <f>'2012_2015'!CI21</f>
        <v>6.6800000000000002E-3</v>
      </c>
      <c r="CL21">
        <f>'2012_2015'!CJ21</f>
        <v>1.23E-2</v>
      </c>
      <c r="CM21">
        <f>'2012_2015'!CK21</f>
        <v>-1.2800000000000001E-3</v>
      </c>
      <c r="CN21">
        <f>'2012_2015'!CL21</f>
        <v>5.4200000000000003E-3</v>
      </c>
      <c r="CO21">
        <f>'2012_2015'!CM21</f>
        <v>-5.8100000000000003E-4</v>
      </c>
      <c r="CP21">
        <f>'2012_2015'!CN21</f>
        <v>5.1200000000000004E-3</v>
      </c>
      <c r="CQ21">
        <f>'2012_2015'!CO21</f>
        <v>6.94E-3</v>
      </c>
      <c r="CR21">
        <f>'2012_2015'!CP21</f>
        <v>1.35E-2</v>
      </c>
      <c r="CS21">
        <f>'2012_2015'!CQ21</f>
        <v>8.8900000000000003E-3</v>
      </c>
      <c r="CT21">
        <f>'2012_2015'!CR21</f>
        <v>1.2200000000000001E-2</v>
      </c>
      <c r="CU21">
        <f>'2012_2015'!CS21</f>
        <v>-1.2999999999999999E-3</v>
      </c>
      <c r="CV21">
        <f>'2012_2015'!CT21</f>
        <v>7.2700000000000004E-3</v>
      </c>
      <c r="CW21">
        <f>'2012_2015'!CU21</f>
        <v>8.4000000000000003E-4</v>
      </c>
      <c r="CX21">
        <f>'2012_2015'!CV21</f>
        <v>1.3599999999999999E-2</v>
      </c>
    </row>
    <row r="22" spans="1:102" x14ac:dyDescent="0.2">
      <c r="A22" t="s">
        <v>215</v>
      </c>
      <c r="B22" t="s">
        <v>219</v>
      </c>
      <c r="C22" t="s">
        <v>102</v>
      </c>
      <c r="D22">
        <f>'2012_2015'!B22</f>
        <v>-3.1699999999999999E-2</v>
      </c>
      <c r="E22">
        <f>'2012_2015'!C22</f>
        <v>5.45E-2</v>
      </c>
      <c r="F22">
        <f>'2012_2015'!D22</f>
        <v>1.09E-2</v>
      </c>
      <c r="G22">
        <f>'2012_2015'!E22</f>
        <v>-6.2700000000000006E-2</v>
      </c>
      <c r="H22">
        <f>'2012_2015'!F22</f>
        <v>-5.9299999999999999E-2</v>
      </c>
      <c r="I22">
        <f>'2012_2015'!G22</f>
        <v>-6.83E-2</v>
      </c>
      <c r="J22">
        <f>'2012_2015'!H22</f>
        <v>-8.9800000000000005E-2</v>
      </c>
      <c r="K22">
        <f>'2012_2015'!I22</f>
        <v>-5.9400000000000001E-2</v>
      </c>
      <c r="L22">
        <f>'2012_2015'!J22</f>
        <v>-6.2899999999999998E-2</v>
      </c>
      <c r="M22">
        <f>'2012_2015'!K22</f>
        <v>-4.4900000000000002E-2</v>
      </c>
      <c r="N22">
        <f>'2012_2015'!L22</f>
        <v>-4.6199999999999998E-2</v>
      </c>
      <c r="O22">
        <f>'2012_2015'!M22</f>
        <v>-3.8199999999999998E-2</v>
      </c>
      <c r="P22">
        <f>'2012_2015'!N22</f>
        <v>-3.2800000000000003E-2</v>
      </c>
      <c r="Q22">
        <f>'2012_2015'!O22</f>
        <v>-2.5600000000000001E-2</v>
      </c>
      <c r="R22">
        <f>'2012_2015'!P22</f>
        <v>-1.9699999999999999E-2</v>
      </c>
      <c r="S22">
        <f>'2012_2015'!Q22</f>
        <v>-1.8599999999999998E-2</v>
      </c>
      <c r="T22">
        <f>'2012_2015'!R22</f>
        <v>-1.61E-2</v>
      </c>
      <c r="U22">
        <f>'2012_2015'!S22</f>
        <v>-1.67E-2</v>
      </c>
      <c r="V22">
        <f>'2012_2015'!T22</f>
        <v>-1.7500000000000002E-2</v>
      </c>
      <c r="W22">
        <f>'2012_2015'!U22</f>
        <v>-1.9E-2</v>
      </c>
      <c r="X22">
        <f>'2012_2015'!V22</f>
        <v>-1.43E-2</v>
      </c>
      <c r="Y22">
        <f>'2012_2015'!W22</f>
        <v>-1.5599999999999999E-2</v>
      </c>
      <c r="Z22">
        <f>'2012_2015'!X22</f>
        <v>-1.0999999999999999E-2</v>
      </c>
      <c r="AA22">
        <f>'2012_2015'!Y22</f>
        <v>-1.14E-2</v>
      </c>
      <c r="AB22">
        <f>'2012_2015'!Z22</f>
        <v>-1.1599999999999999E-2</v>
      </c>
      <c r="AC22">
        <f>'2012_2015'!AA22</f>
        <v>-1.14E-2</v>
      </c>
      <c r="AD22">
        <f>'2012_2015'!AB22</f>
        <v>-1.0800000000000001E-2</v>
      </c>
      <c r="AE22">
        <f>'2012_2015'!AC22</f>
        <v>-9.4999999999999998E-3</v>
      </c>
      <c r="AF22">
        <f>'2012_2015'!AD22</f>
        <v>-1.0699999999999999E-2</v>
      </c>
      <c r="AG22">
        <f>'2012_2015'!AE22</f>
        <v>-1.0999999999999999E-2</v>
      </c>
      <c r="AH22">
        <f>'2012_2015'!AF22</f>
        <v>-1.34E-2</v>
      </c>
      <c r="AI22">
        <f>'2012_2015'!AG22</f>
        <v>-1.4200000000000001E-2</v>
      </c>
      <c r="AJ22">
        <f>'2012_2015'!AH22</f>
        <v>-9.9100000000000004E-3</v>
      </c>
      <c r="AK22">
        <f>'2012_2015'!AI22</f>
        <v>4.1700000000000001E-3</v>
      </c>
      <c r="AL22">
        <f>'2012_2015'!AJ22</f>
        <v>1.3500000000000001E-3</v>
      </c>
      <c r="AM22">
        <f>'2012_2015'!AK22</f>
        <v>3.8200000000000002E-4</v>
      </c>
      <c r="AN22">
        <f>'2012_2015'!AL22</f>
        <v>-9.5600000000000004E-4</v>
      </c>
      <c r="AO22">
        <f>'2012_2015'!AM22</f>
        <v>-1.1800000000000001E-3</v>
      </c>
      <c r="AP22">
        <f>'2012_2015'!AN22</f>
        <v>6.45E-3</v>
      </c>
      <c r="AQ22">
        <f>'2012_2015'!AO22</f>
        <v>6.45E-3</v>
      </c>
      <c r="AR22">
        <f>'2012_2015'!AP22</f>
        <v>7.3299999999999997E-3</v>
      </c>
      <c r="AS22">
        <f>'2012_2015'!AQ22</f>
        <v>9.7999999999999997E-4</v>
      </c>
      <c r="AT22">
        <f>'2012_2015'!AR22</f>
        <v>1.47E-3</v>
      </c>
      <c r="AU22">
        <f>'2012_2015'!AS22</f>
        <v>2.6199999999999999E-3</v>
      </c>
      <c r="AV22">
        <f>'2012_2015'!AT22</f>
        <v>1.67E-3</v>
      </c>
      <c r="AW22">
        <f>'2012_2015'!AU22</f>
        <v>1.1999999999999999E-3</v>
      </c>
      <c r="AX22">
        <f>'2012_2015'!AV22</f>
        <v>-1.3799999999999999E-3</v>
      </c>
      <c r="AY22">
        <f>'2012_2015'!AW22</f>
        <v>-1.07E-3</v>
      </c>
      <c r="AZ22">
        <f>'2012_2015'!AX22</f>
        <v>-5.5100000000000001E-3</v>
      </c>
      <c r="BA22">
        <f>'2012_2015'!AY22</f>
        <v>-1.21E-2</v>
      </c>
      <c r="BB22">
        <f>'2012_2015'!AZ22</f>
        <v>-1.29E-2</v>
      </c>
      <c r="BC22">
        <f>'2012_2015'!BA22</f>
        <v>-1.38E-2</v>
      </c>
      <c r="BD22">
        <f>'2012_2015'!BB22</f>
        <v>-1.6299999999999999E-2</v>
      </c>
      <c r="BE22">
        <f>'2012_2015'!BC22</f>
        <v>-1.34E-2</v>
      </c>
      <c r="BF22">
        <f>'2012_2015'!BD22</f>
        <v>-1.61E-2</v>
      </c>
      <c r="BG22">
        <f>'2012_2015'!BE22</f>
        <v>-1.7000000000000001E-2</v>
      </c>
      <c r="BH22">
        <f>'2012_2015'!BF22</f>
        <v>-1.9400000000000001E-2</v>
      </c>
      <c r="BI22">
        <f>'2012_2015'!BG22</f>
        <v>6.0200000000000002E-3</v>
      </c>
      <c r="BJ22">
        <f>'2012_2015'!BH22</f>
        <v>1.0999999999999999E-2</v>
      </c>
      <c r="BK22">
        <f>'2012_2015'!BI22</f>
        <v>1.23E-2</v>
      </c>
      <c r="BL22">
        <f>'2012_2015'!BJ22</f>
        <v>1.06E-2</v>
      </c>
      <c r="BM22">
        <f>'2012_2015'!BK22</f>
        <v>2.06E-2</v>
      </c>
      <c r="BN22">
        <f>'2012_2015'!BL22</f>
        <v>2.1100000000000001E-2</v>
      </c>
      <c r="BO22">
        <f>'2012_2015'!BM22</f>
        <v>1.6799999999999999E-2</v>
      </c>
      <c r="BP22">
        <f>'2012_2015'!BN22</f>
        <v>1.37E-2</v>
      </c>
      <c r="BQ22">
        <f>'2012_2015'!BO22</f>
        <v>1.4200000000000001E-2</v>
      </c>
      <c r="BR22">
        <f>'2012_2015'!BP22</f>
        <v>1.34E-2</v>
      </c>
      <c r="BS22">
        <f>'2012_2015'!BQ22</f>
        <v>1.11E-2</v>
      </c>
      <c r="BT22">
        <f>'2012_2015'!BR22</f>
        <v>1.72E-2</v>
      </c>
      <c r="BU22">
        <f>'2012_2015'!BS22</f>
        <v>1.6299999999999999E-2</v>
      </c>
      <c r="BV22">
        <f>'2012_2015'!BT22</f>
        <v>1.6299999999999999E-2</v>
      </c>
      <c r="BW22">
        <f>'2012_2015'!BU22</f>
        <v>1.8700000000000001E-2</v>
      </c>
      <c r="BX22">
        <f>'2012_2015'!BV22</f>
        <v>1.47E-2</v>
      </c>
      <c r="BY22">
        <f>'2012_2015'!BW22</f>
        <v>1.2699999999999999E-2</v>
      </c>
      <c r="BZ22">
        <f>'2012_2015'!BX22</f>
        <v>9.1000000000000004E-3</v>
      </c>
      <c r="CA22">
        <f>'2012_2015'!BY22</f>
        <v>7.4700000000000001E-3</v>
      </c>
      <c r="CB22">
        <f>'2012_2015'!BZ22</f>
        <v>6.28E-3</v>
      </c>
      <c r="CC22">
        <f>'2012_2015'!CA22</f>
        <v>8.6800000000000002E-3</v>
      </c>
      <c r="CD22">
        <f>'2012_2015'!CB22</f>
        <v>1.5699999999999999E-2</v>
      </c>
      <c r="CE22">
        <f>'2012_2015'!CC22</f>
        <v>1.5699999999999999E-2</v>
      </c>
      <c r="CF22">
        <f>'2012_2015'!CD22</f>
        <v>1.3299999999999999E-2</v>
      </c>
      <c r="CG22">
        <f>'2012_2015'!CE22</f>
        <v>1.15E-2</v>
      </c>
      <c r="CH22">
        <f>'2012_2015'!CF22</f>
        <v>7.3000000000000001E-3</v>
      </c>
      <c r="CI22">
        <f>'2012_2015'!CG22</f>
        <v>6.4400000000000004E-3</v>
      </c>
      <c r="CJ22">
        <f>'2012_2015'!CH22</f>
        <v>3.0499999999999999E-2</v>
      </c>
      <c r="CK22">
        <f>'2012_2015'!CI22</f>
        <v>3.0599999999999999E-2</v>
      </c>
      <c r="CL22">
        <f>'2012_2015'!CJ22</f>
        <v>2.07E-2</v>
      </c>
      <c r="CM22">
        <f>'2012_2015'!CK22</f>
        <v>9.4800000000000006E-3</v>
      </c>
      <c r="CN22">
        <f>'2012_2015'!CL22</f>
        <v>5.8700000000000002E-3</v>
      </c>
      <c r="CO22">
        <f>'2012_2015'!CM22</f>
        <v>-7.6800000000000002E-3</v>
      </c>
      <c r="CP22">
        <f>'2012_2015'!CN22</f>
        <v>-6.5799999999999999E-3</v>
      </c>
      <c r="CQ22">
        <f>'2012_2015'!CO22</f>
        <v>-6.7499999999999999E-3</v>
      </c>
      <c r="CR22">
        <f>'2012_2015'!CP22</f>
        <v>-2.8500000000000001E-2</v>
      </c>
      <c r="CS22">
        <f>'2012_2015'!CQ22</f>
        <v>-2.53E-2</v>
      </c>
      <c r="CT22">
        <f>'2012_2015'!CR22</f>
        <v>6.7799999999999999E-2</v>
      </c>
      <c r="CU22">
        <f>'2012_2015'!CS22</f>
        <v>7.5399999999999995E-2</v>
      </c>
      <c r="CV22">
        <f>'2012_2015'!CT22</f>
        <v>7.1599999999999997E-2</v>
      </c>
      <c r="CW22">
        <f>'2012_2015'!CU22</f>
        <v>7.2499999999999995E-2</v>
      </c>
      <c r="CX22">
        <f>'2012_2015'!CV22</f>
        <v>6.9400000000000003E-2</v>
      </c>
    </row>
    <row r="23" spans="1:102" x14ac:dyDescent="0.2">
      <c r="A23" t="s">
        <v>216</v>
      </c>
      <c r="B23" t="s">
        <v>219</v>
      </c>
      <c r="C23" t="s">
        <v>102</v>
      </c>
      <c r="D23">
        <f>'2012_2015'!B23</f>
        <v>-0.24199999999999999</v>
      </c>
      <c r="E23">
        <f>'2012_2015'!C23</f>
        <v>-0.22900000000000001</v>
      </c>
      <c r="F23">
        <f>'2012_2015'!D23</f>
        <v>0.26900000000000002</v>
      </c>
      <c r="G23">
        <f>'2012_2015'!E23</f>
        <v>0.33200000000000002</v>
      </c>
      <c r="H23">
        <f>'2012_2015'!F23</f>
        <v>0.53300000000000003</v>
      </c>
      <c r="I23">
        <f>'2012_2015'!G23</f>
        <v>0.375</v>
      </c>
      <c r="J23">
        <f>'2012_2015'!H23</f>
        <v>0.59799999999999998</v>
      </c>
      <c r="K23">
        <f>'2012_2015'!I23</f>
        <v>0.49399999999999999</v>
      </c>
      <c r="L23">
        <f>'2012_2015'!J23</f>
        <v>0.50800000000000001</v>
      </c>
      <c r="M23">
        <f>'2012_2015'!K23</f>
        <v>0.43</v>
      </c>
      <c r="N23">
        <f>'2012_2015'!L23</f>
        <v>0.56699999999999995</v>
      </c>
      <c r="O23">
        <f>'2012_2015'!M23</f>
        <v>0.71799999999999997</v>
      </c>
      <c r="P23">
        <f>'2012_2015'!N23</f>
        <v>0.67900000000000005</v>
      </c>
      <c r="Q23">
        <f>'2012_2015'!O23</f>
        <v>0.56599999999999995</v>
      </c>
      <c r="R23">
        <f>'2012_2015'!P23</f>
        <v>0.36</v>
      </c>
      <c r="S23">
        <f>'2012_2015'!Q23</f>
        <v>0.29299999999999998</v>
      </c>
      <c r="T23">
        <f>'2012_2015'!R23</f>
        <v>0.31</v>
      </c>
      <c r="U23">
        <f>'2012_2015'!S23</f>
        <v>0.30399999999999999</v>
      </c>
      <c r="V23">
        <f>'2012_2015'!T23</f>
        <v>0.252</v>
      </c>
      <c r="W23">
        <f>'2012_2015'!U23</f>
        <v>0.23100000000000001</v>
      </c>
      <c r="X23">
        <f>'2012_2015'!V23</f>
        <v>0.22900000000000001</v>
      </c>
      <c r="Y23">
        <f>'2012_2015'!W23</f>
        <v>0.25800000000000001</v>
      </c>
      <c r="Z23">
        <f>'2012_2015'!X23</f>
        <v>0.27500000000000002</v>
      </c>
      <c r="AA23">
        <f>'2012_2015'!Y23</f>
        <v>0.27300000000000002</v>
      </c>
      <c r="AB23">
        <f>'2012_2015'!Z23</f>
        <v>0.24199999999999999</v>
      </c>
      <c r="AC23">
        <f>'2012_2015'!AA23</f>
        <v>0.20200000000000001</v>
      </c>
      <c r="AD23">
        <f>'2012_2015'!AB23</f>
        <v>0.16900000000000001</v>
      </c>
      <c r="AE23">
        <f>'2012_2015'!AC23</f>
        <v>0.153</v>
      </c>
      <c r="AF23">
        <f>'2012_2015'!AD23</f>
        <v>0.13400000000000001</v>
      </c>
      <c r="AG23">
        <f>'2012_2015'!AE23</f>
        <v>0.11700000000000001</v>
      </c>
      <c r="AH23">
        <f>'2012_2015'!AF23</f>
        <v>0.121</v>
      </c>
      <c r="AI23">
        <f>'2012_2015'!AG23</f>
        <v>0.112</v>
      </c>
      <c r="AJ23">
        <f>'2012_2015'!AH23</f>
        <v>8.7599999999999997E-2</v>
      </c>
      <c r="AK23">
        <f>'2012_2015'!AI23</f>
        <v>6.0499999999999998E-2</v>
      </c>
      <c r="AL23">
        <f>'2012_2015'!AJ23</f>
        <v>5.0900000000000001E-2</v>
      </c>
      <c r="AM23">
        <f>'2012_2015'!AK23</f>
        <v>4.8599999999999997E-2</v>
      </c>
      <c r="AN23">
        <f>'2012_2015'!AL23</f>
        <v>6.0699999999999997E-2</v>
      </c>
      <c r="AO23">
        <f>'2012_2015'!AM23</f>
        <v>7.4399999999999994E-2</v>
      </c>
      <c r="AP23">
        <f>'2012_2015'!AN23</f>
        <v>0.124</v>
      </c>
      <c r="AQ23">
        <f>'2012_2015'!AO23</f>
        <v>0.17699999999999999</v>
      </c>
      <c r="AR23">
        <f>'2012_2015'!AP23</f>
        <v>0.17799999999999999</v>
      </c>
      <c r="AS23">
        <f>'2012_2015'!AQ23</f>
        <v>0.186</v>
      </c>
      <c r="AT23">
        <f>'2012_2015'!AR23</f>
        <v>0.16700000000000001</v>
      </c>
      <c r="AU23">
        <f>'2012_2015'!AS23</f>
        <v>0.159</v>
      </c>
      <c r="AV23">
        <f>'2012_2015'!AT23</f>
        <v>0.108</v>
      </c>
      <c r="AW23">
        <f>'2012_2015'!AU23</f>
        <v>6.5699999999999995E-2</v>
      </c>
      <c r="AX23">
        <f>'2012_2015'!AV23</f>
        <v>3.7400000000000003E-2</v>
      </c>
      <c r="AY23">
        <f>'2012_2015'!AW23</f>
        <v>4.7199999999999999E-2</v>
      </c>
      <c r="AZ23">
        <f>'2012_2015'!AX23</f>
        <v>4.4900000000000002E-2</v>
      </c>
      <c r="BA23">
        <f>'2012_2015'!AY23</f>
        <v>5.1900000000000002E-2</v>
      </c>
      <c r="BB23">
        <f>'2012_2015'!AZ23</f>
        <v>0.10100000000000001</v>
      </c>
      <c r="BC23">
        <f>'2012_2015'!BA23</f>
        <v>0.16600000000000001</v>
      </c>
      <c r="BD23">
        <f>'2012_2015'!BB23</f>
        <v>0.19800000000000001</v>
      </c>
      <c r="BE23">
        <f>'2012_2015'!BC23</f>
        <v>0.21099999999999999</v>
      </c>
      <c r="BF23">
        <f>'2012_2015'!BD23</f>
        <v>0.20599999999999999</v>
      </c>
      <c r="BG23">
        <f>'2012_2015'!BE23</f>
        <v>0.218</v>
      </c>
      <c r="BH23">
        <f>'2012_2015'!BF23</f>
        <v>0.188</v>
      </c>
      <c r="BI23">
        <f>'2012_2015'!BG23</f>
        <v>0.11899999999999999</v>
      </c>
      <c r="BJ23">
        <f>'2012_2015'!BH23</f>
        <v>9.2600000000000002E-2</v>
      </c>
      <c r="BK23">
        <f>'2012_2015'!BI23</f>
        <v>7.8799999999999995E-2</v>
      </c>
      <c r="BL23">
        <f>'2012_2015'!BJ23</f>
        <v>7.7600000000000002E-2</v>
      </c>
      <c r="BM23">
        <f>'2012_2015'!BK23</f>
        <v>7.9500000000000001E-2</v>
      </c>
      <c r="BN23">
        <f>'2012_2015'!BL23</f>
        <v>0.105</v>
      </c>
      <c r="BO23">
        <f>'2012_2015'!BM23</f>
        <v>0.16400000000000001</v>
      </c>
      <c r="BP23">
        <f>'2012_2015'!BN23</f>
        <v>0.19700000000000001</v>
      </c>
      <c r="BQ23">
        <f>'2012_2015'!BO23</f>
        <v>0.182</v>
      </c>
      <c r="BR23">
        <f>'2012_2015'!BP23</f>
        <v>0.14699999999999999</v>
      </c>
      <c r="BS23">
        <f>'2012_2015'!BQ23</f>
        <v>0.129</v>
      </c>
      <c r="BT23">
        <f>'2012_2015'!BR23</f>
        <v>9.7299999999999998E-2</v>
      </c>
      <c r="BU23">
        <f>'2012_2015'!BS23</f>
        <v>4.9299999999999997E-2</v>
      </c>
      <c r="BV23">
        <f>'2012_2015'!BT23</f>
        <v>4.99E-2</v>
      </c>
      <c r="BW23">
        <f>'2012_2015'!BU23</f>
        <v>4.0300000000000002E-2</v>
      </c>
      <c r="BX23">
        <f>'2012_2015'!BV23</f>
        <v>7.3899999999999993E-2</v>
      </c>
      <c r="BY23">
        <f>'2012_2015'!BW23</f>
        <v>0.11</v>
      </c>
      <c r="BZ23">
        <f>'2012_2015'!BX23</f>
        <v>0.21299999999999999</v>
      </c>
      <c r="CA23">
        <f>'2012_2015'!BY23</f>
        <v>0.247</v>
      </c>
      <c r="CB23">
        <f>'2012_2015'!BZ23</f>
        <v>0.222</v>
      </c>
      <c r="CC23">
        <f>'2012_2015'!CA23</f>
        <v>0.23699999999999999</v>
      </c>
      <c r="CD23">
        <f>'2012_2015'!CB23</f>
        <v>0.21299999999999999</v>
      </c>
      <c r="CE23">
        <f>'2012_2015'!CC23</f>
        <v>3.9800000000000002E-2</v>
      </c>
      <c r="CF23">
        <f>'2012_2015'!CD23</f>
        <v>-5.5300000000000002E-3</v>
      </c>
      <c r="CG23">
        <f>'2012_2015'!CE23</f>
        <v>8.1200000000000005E-3</v>
      </c>
      <c r="CH23">
        <f>'2012_2015'!CF23</f>
        <v>-5.3100000000000001E-2</v>
      </c>
      <c r="CI23">
        <f>'2012_2015'!CG23</f>
        <v>-1.4200000000000001E-2</v>
      </c>
      <c r="CJ23">
        <f>'2012_2015'!CH23</f>
        <v>-1.4500000000000001E-2</v>
      </c>
      <c r="CK23">
        <f>'2012_2015'!CI23</f>
        <v>0.29499999999999998</v>
      </c>
      <c r="CL23">
        <f>'2012_2015'!CJ23</f>
        <v>0.24199999999999999</v>
      </c>
      <c r="CM23">
        <f>'2012_2015'!CK23</f>
        <v>0.14000000000000001</v>
      </c>
      <c r="CN23">
        <f>'2012_2015'!CL23</f>
        <v>2.2200000000000001E-2</v>
      </c>
      <c r="CO23">
        <f>'2012_2015'!CM23</f>
        <v>-3.3100000000000002E-4</v>
      </c>
      <c r="CP23">
        <f>'2012_2015'!CN23</f>
        <v>0.18099999999999999</v>
      </c>
      <c r="CQ23">
        <f>'2012_2015'!CO23</f>
        <v>0.30299999999999999</v>
      </c>
      <c r="CR23">
        <f>'2012_2015'!CP23</f>
        <v>0.2</v>
      </c>
      <c r="CS23">
        <f>'2012_2015'!CQ23</f>
        <v>0.21299999999999999</v>
      </c>
      <c r="CT23">
        <f>'2012_2015'!CR23</f>
        <v>5.5599999999999997E-2</v>
      </c>
      <c r="CU23">
        <f>'2012_2015'!CS23</f>
        <v>-0.16</v>
      </c>
      <c r="CV23">
        <f>'2012_2015'!CT23</f>
        <v>8.9599999999999999E-2</v>
      </c>
      <c r="CW23">
        <f>'2012_2015'!CU23</f>
        <v>-4.41E-2</v>
      </c>
      <c r="CX23">
        <f>'2012_2015'!CV23</f>
        <v>-0.11</v>
      </c>
    </row>
    <row r="24" spans="1:102" x14ac:dyDescent="0.2">
      <c r="A24" t="s">
        <v>208</v>
      </c>
      <c r="B24" t="s">
        <v>220</v>
      </c>
      <c r="C24" t="s">
        <v>102</v>
      </c>
      <c r="D24">
        <f>D7+D15</f>
        <v>0.4602</v>
      </c>
      <c r="E24">
        <f t="shared" ref="E24:BP28" si="0">E7+E15</f>
        <v>0.24009999999999998</v>
      </c>
      <c r="F24">
        <f t="shared" si="0"/>
        <v>-8.6999999999999959E-3</v>
      </c>
      <c r="G24">
        <f t="shared" si="0"/>
        <v>-1.15E-2</v>
      </c>
      <c r="H24">
        <f t="shared" si="0"/>
        <v>-0.14050000000000001</v>
      </c>
      <c r="I24">
        <f t="shared" si="0"/>
        <v>-6.2699999999999992E-2</v>
      </c>
      <c r="J24">
        <f t="shared" si="0"/>
        <v>-0.161</v>
      </c>
      <c r="K24">
        <f t="shared" si="0"/>
        <v>-0.1348</v>
      </c>
      <c r="L24">
        <f t="shared" si="0"/>
        <v>-0.14889999999999998</v>
      </c>
      <c r="M24">
        <f t="shared" si="0"/>
        <v>-0.11150000000000002</v>
      </c>
      <c r="N24">
        <f t="shared" si="0"/>
        <v>-0.1779</v>
      </c>
      <c r="O24">
        <f t="shared" si="0"/>
        <v>-0.25900000000000001</v>
      </c>
      <c r="P24">
        <f t="shared" si="0"/>
        <v>-0.24460000000000001</v>
      </c>
      <c r="Q24">
        <f t="shared" si="0"/>
        <v>-0.19400000000000001</v>
      </c>
      <c r="R24">
        <f t="shared" si="0"/>
        <v>-0.1076</v>
      </c>
      <c r="S24">
        <f t="shared" si="0"/>
        <v>-7.9199999999999993E-2</v>
      </c>
      <c r="T24">
        <f t="shared" si="0"/>
        <v>-7.7399999999999997E-2</v>
      </c>
      <c r="U24">
        <f t="shared" si="0"/>
        <v>-7.7300000000000008E-2</v>
      </c>
      <c r="V24">
        <f t="shared" si="0"/>
        <v>-5.3000000000000005E-2</v>
      </c>
      <c r="W24">
        <f t="shared" si="0"/>
        <v>-4.8099999999999997E-2</v>
      </c>
      <c r="X24">
        <f t="shared" si="0"/>
        <v>-0.05</v>
      </c>
      <c r="Y24">
        <f t="shared" si="0"/>
        <v>-5.9700000000000003E-2</v>
      </c>
      <c r="Z24">
        <f t="shared" si="0"/>
        <v>-6.5199999999999994E-2</v>
      </c>
      <c r="AA24">
        <f t="shared" si="0"/>
        <v>-6.5799999999999997E-2</v>
      </c>
      <c r="AB24">
        <f t="shared" si="0"/>
        <v>-5.2800000000000007E-2</v>
      </c>
      <c r="AC24">
        <f t="shared" si="0"/>
        <v>-3.7999999999999999E-2</v>
      </c>
      <c r="AD24">
        <f t="shared" si="0"/>
        <v>-2.7899999999999998E-2</v>
      </c>
      <c r="AE24">
        <f t="shared" si="0"/>
        <v>-2.4299999999999995E-2</v>
      </c>
      <c r="AF24">
        <f t="shared" si="0"/>
        <v>-1.7800000000000003E-2</v>
      </c>
      <c r="AG24">
        <f t="shared" si="0"/>
        <v>-1.3299999999999999E-2</v>
      </c>
      <c r="AH24">
        <f t="shared" si="0"/>
        <v>-1.1600000000000003E-2</v>
      </c>
      <c r="AI24">
        <f t="shared" si="0"/>
        <v>-3.4999999999999996E-3</v>
      </c>
      <c r="AJ24">
        <f t="shared" si="0"/>
        <v>1.5390000000000001E-2</v>
      </c>
      <c r="AK24">
        <f t="shared" si="0"/>
        <v>2.3949999999999999E-2</v>
      </c>
      <c r="AL24">
        <f t="shared" si="0"/>
        <v>3.3799999999999997E-2</v>
      </c>
      <c r="AM24">
        <f t="shared" si="0"/>
        <v>3.1600000000000003E-2</v>
      </c>
      <c r="AN24">
        <f t="shared" si="0"/>
        <v>2.794E-2</v>
      </c>
      <c r="AO24">
        <f t="shared" si="0"/>
        <v>1.6210000000000002E-2</v>
      </c>
      <c r="AP24">
        <f t="shared" si="0"/>
        <v>-8.3000000000000018E-3</v>
      </c>
      <c r="AQ24">
        <f t="shared" si="0"/>
        <v>-3.3600000000000005E-2</v>
      </c>
      <c r="AR24">
        <f t="shared" si="0"/>
        <v>-4.1799999999999997E-2</v>
      </c>
      <c r="AS24">
        <f t="shared" si="0"/>
        <v>-5.0699999999999995E-2</v>
      </c>
      <c r="AT24">
        <f t="shared" si="0"/>
        <v>-5.0899999999999994E-2</v>
      </c>
      <c r="AU24">
        <f t="shared" si="0"/>
        <v>-5.0100000000000006E-2</v>
      </c>
      <c r="AV24">
        <f t="shared" si="0"/>
        <v>-3.7599999999999995E-2</v>
      </c>
      <c r="AW24">
        <f t="shared" si="0"/>
        <v>-9.0000000000000011E-3</v>
      </c>
      <c r="AX24">
        <f t="shared" si="0"/>
        <v>8.7999999999999988E-3</v>
      </c>
      <c r="AY24">
        <f t="shared" si="0"/>
        <v>1.3100000000000002E-2</v>
      </c>
      <c r="AZ24">
        <f t="shared" si="0"/>
        <v>2.1789999999999997E-2</v>
      </c>
      <c r="BA24">
        <f t="shared" si="0"/>
        <v>2.2009999999999998E-2</v>
      </c>
      <c r="BB24">
        <f t="shared" si="0"/>
        <v>8.4000000000000012E-3</v>
      </c>
      <c r="BC24">
        <f t="shared" si="0"/>
        <v>-3.0300000000000007E-2</v>
      </c>
      <c r="BD24">
        <f t="shared" si="0"/>
        <v>-5.6499999999999995E-2</v>
      </c>
      <c r="BE24">
        <f t="shared" si="0"/>
        <v>-7.4500000000000011E-2</v>
      </c>
      <c r="BF24">
        <f t="shared" si="0"/>
        <v>-7.9500000000000015E-2</v>
      </c>
      <c r="BG24">
        <f t="shared" si="0"/>
        <v>-8.7999999999999995E-2</v>
      </c>
      <c r="BH24">
        <f t="shared" si="0"/>
        <v>-7.6200000000000004E-2</v>
      </c>
      <c r="BI24">
        <f t="shared" si="0"/>
        <v>-4.6399999999999997E-2</v>
      </c>
      <c r="BJ24">
        <f t="shared" si="0"/>
        <v>-2.7600000000000006E-2</v>
      </c>
      <c r="BK24">
        <f t="shared" si="0"/>
        <v>-9.1999999999999998E-3</v>
      </c>
      <c r="BL24">
        <f t="shared" si="0"/>
        <v>-5.4999999999999979E-3</v>
      </c>
      <c r="BM24">
        <f t="shared" si="0"/>
        <v>-1.5899999999999997E-2</v>
      </c>
      <c r="BN24">
        <f t="shared" si="0"/>
        <v>-3.1800000000000002E-2</v>
      </c>
      <c r="BO24">
        <f t="shared" si="0"/>
        <v>-5.7500000000000009E-2</v>
      </c>
      <c r="BP24">
        <f t="shared" si="0"/>
        <v>-7.9100000000000004E-2</v>
      </c>
      <c r="BQ24">
        <f t="shared" ref="BQ24:CX31" si="1">BQ7+BQ15</f>
        <v>-8.1100000000000005E-2</v>
      </c>
      <c r="BR24">
        <f t="shared" si="1"/>
        <v>-7.7199999999999991E-2</v>
      </c>
      <c r="BS24">
        <f t="shared" si="1"/>
        <v>-5.2499999999999998E-2</v>
      </c>
      <c r="BT24">
        <f t="shared" si="1"/>
        <v>-2.9700000000000004E-2</v>
      </c>
      <c r="BU24">
        <f t="shared" si="1"/>
        <v>-2.0000000000000018E-3</v>
      </c>
      <c r="BV24">
        <f t="shared" si="1"/>
        <v>-9.7999999999999962E-3</v>
      </c>
      <c r="BW24">
        <f t="shared" si="1"/>
        <v>1.5000000000000013E-3</v>
      </c>
      <c r="BX24">
        <f t="shared" si="1"/>
        <v>-5.6000000000000008E-3</v>
      </c>
      <c r="BY24">
        <f t="shared" si="1"/>
        <v>-3.4799999999999998E-2</v>
      </c>
      <c r="BZ24">
        <f t="shared" si="1"/>
        <v>-8.7099999999999983E-2</v>
      </c>
      <c r="CA24">
        <f t="shared" si="1"/>
        <v>-0.10750000000000001</v>
      </c>
      <c r="CB24">
        <f t="shared" si="1"/>
        <v>-0.1022</v>
      </c>
      <c r="CC24">
        <f t="shared" si="1"/>
        <v>-0.129</v>
      </c>
      <c r="CD24">
        <f t="shared" si="1"/>
        <v>-0.13930000000000001</v>
      </c>
      <c r="CE24">
        <f t="shared" si="1"/>
        <v>-1.5299999999999994E-2</v>
      </c>
      <c r="CF24">
        <f t="shared" si="1"/>
        <v>1.5600000000000003E-2</v>
      </c>
      <c r="CG24">
        <f t="shared" si="1"/>
        <v>1.7699999999999994E-2</v>
      </c>
      <c r="CH24">
        <f t="shared" si="1"/>
        <v>3.2299999999999995E-2</v>
      </c>
      <c r="CI24">
        <f t="shared" si="1"/>
        <v>4.2099999999999999E-2</v>
      </c>
      <c r="CJ24">
        <f t="shared" si="1"/>
        <v>3.3199999999999993E-2</v>
      </c>
      <c r="CK24">
        <f t="shared" si="1"/>
        <v>-0.15210000000000001</v>
      </c>
      <c r="CL24">
        <f t="shared" si="1"/>
        <v>-0.13550000000000001</v>
      </c>
      <c r="CM24">
        <f t="shared" si="1"/>
        <v>-6.8399999999999989E-2</v>
      </c>
      <c r="CN24">
        <f t="shared" si="1"/>
        <v>1.7600000000000005E-2</v>
      </c>
      <c r="CO24">
        <f t="shared" si="1"/>
        <v>2.7699999999999995E-2</v>
      </c>
      <c r="CP24">
        <f t="shared" si="1"/>
        <v>-5.2900000000000003E-2</v>
      </c>
      <c r="CQ24">
        <f t="shared" si="1"/>
        <v>-0.17549999999999999</v>
      </c>
      <c r="CR24">
        <f t="shared" si="1"/>
        <v>-7.1099999999999997E-2</v>
      </c>
      <c r="CS24">
        <f t="shared" si="1"/>
        <v>-9.9699999999999983E-2</v>
      </c>
      <c r="CT24">
        <f t="shared" si="1"/>
        <v>-6.0899999999999996E-2</v>
      </c>
      <c r="CU24">
        <f t="shared" si="1"/>
        <v>0.10110000000000001</v>
      </c>
      <c r="CV24">
        <f t="shared" si="1"/>
        <v>-2.7200000000000002E-2</v>
      </c>
      <c r="CW24">
        <f t="shared" si="1"/>
        <v>3.2200000000000006E-2</v>
      </c>
      <c r="CX24">
        <f t="shared" si="1"/>
        <v>3.7900000000000003E-2</v>
      </c>
    </row>
    <row r="25" spans="1:102" x14ac:dyDescent="0.2">
      <c r="A25" t="s">
        <v>209</v>
      </c>
      <c r="B25" t="s">
        <v>220</v>
      </c>
      <c r="C25" t="s">
        <v>102</v>
      </c>
      <c r="D25">
        <f t="shared" ref="D25:S31" si="2">D8+D16</f>
        <v>-5.4199999999999995E-3</v>
      </c>
      <c r="E25">
        <f t="shared" si="2"/>
        <v>5.5299999999999995E-2</v>
      </c>
      <c r="F25">
        <f t="shared" si="2"/>
        <v>-0.10747000000000001</v>
      </c>
      <c r="G25">
        <f t="shared" si="2"/>
        <v>-9.017E-2</v>
      </c>
      <c r="H25">
        <f t="shared" si="2"/>
        <v>-0.11928</v>
      </c>
      <c r="I25">
        <f t="shared" si="2"/>
        <v>-9.6279999999999991E-2</v>
      </c>
      <c r="J25">
        <f t="shared" si="2"/>
        <v>-0.12455000000000001</v>
      </c>
      <c r="K25">
        <f t="shared" si="2"/>
        <v>-0.11998</v>
      </c>
      <c r="L25">
        <f t="shared" si="2"/>
        <v>-0.10973999999999999</v>
      </c>
      <c r="M25">
        <f t="shared" si="2"/>
        <v>-9.620999999999999E-2</v>
      </c>
      <c r="N25">
        <f t="shared" si="2"/>
        <v>-0.11633</v>
      </c>
      <c r="O25">
        <f t="shared" si="2"/>
        <v>-0.15263000000000002</v>
      </c>
      <c r="P25">
        <f t="shared" si="2"/>
        <v>-0.14102999999999999</v>
      </c>
      <c r="Q25">
        <f t="shared" si="2"/>
        <v>-0.11042</v>
      </c>
      <c r="R25">
        <f t="shared" si="2"/>
        <v>-5.8780000000000006E-2</v>
      </c>
      <c r="S25">
        <f t="shared" si="2"/>
        <v>-4.0149999999999998E-2</v>
      </c>
      <c r="T25">
        <f t="shared" si="0"/>
        <v>-4.163E-2</v>
      </c>
      <c r="U25">
        <f t="shared" si="0"/>
        <v>-3.465E-2</v>
      </c>
      <c r="V25">
        <f t="shared" si="0"/>
        <v>-2.2599999999999999E-2</v>
      </c>
      <c r="W25">
        <f t="shared" si="0"/>
        <v>-1.2879999999999999E-2</v>
      </c>
      <c r="X25">
        <f t="shared" si="0"/>
        <v>-1.4809999999999999E-2</v>
      </c>
      <c r="Y25">
        <f t="shared" si="0"/>
        <v>-2.5999999999999999E-2</v>
      </c>
      <c r="Z25">
        <f t="shared" si="0"/>
        <v>-3.1539999999999999E-2</v>
      </c>
      <c r="AA25">
        <f t="shared" si="0"/>
        <v>-3.5439999999999999E-2</v>
      </c>
      <c r="AB25">
        <f t="shared" si="0"/>
        <v>-2.5219999999999999E-2</v>
      </c>
      <c r="AC25">
        <f t="shared" si="0"/>
        <v>-1.2700000000000003E-2</v>
      </c>
      <c r="AD25">
        <f t="shared" si="0"/>
        <v>-9.3200000000000019E-3</v>
      </c>
      <c r="AE25">
        <f t="shared" si="0"/>
        <v>-5.2400000000000007E-3</v>
      </c>
      <c r="AF25">
        <f t="shared" si="0"/>
        <v>7.11E-3</v>
      </c>
      <c r="AG25">
        <f t="shared" si="0"/>
        <v>1.5820000000000001E-2</v>
      </c>
      <c r="AH25">
        <f t="shared" si="0"/>
        <v>1.261E-2</v>
      </c>
      <c r="AI25">
        <f t="shared" si="0"/>
        <v>2.1249999999999998E-2</v>
      </c>
      <c r="AJ25">
        <f t="shared" si="0"/>
        <v>4.172E-2</v>
      </c>
      <c r="AK25">
        <f t="shared" si="0"/>
        <v>4.8649999999999999E-2</v>
      </c>
      <c r="AL25">
        <f t="shared" si="0"/>
        <v>5.1389999999999998E-2</v>
      </c>
      <c r="AM25">
        <f t="shared" si="0"/>
        <v>5.6870000000000004E-2</v>
      </c>
      <c r="AN25">
        <f t="shared" si="0"/>
        <v>5.5019999999999999E-2</v>
      </c>
      <c r="AO25">
        <f t="shared" si="0"/>
        <v>4.7850000000000004E-2</v>
      </c>
      <c r="AP25">
        <f t="shared" si="0"/>
        <v>2.563E-2</v>
      </c>
      <c r="AQ25">
        <f t="shared" si="0"/>
        <v>7.26E-3</v>
      </c>
      <c r="AR25">
        <f t="shared" si="0"/>
        <v>3.8599999999999997E-3</v>
      </c>
      <c r="AS25">
        <f t="shared" si="0"/>
        <v>-1.021E-2</v>
      </c>
      <c r="AT25">
        <f t="shared" si="0"/>
        <v>-5.340000000000001E-3</v>
      </c>
      <c r="AU25">
        <f t="shared" si="0"/>
        <v>-7.4600000000000014E-3</v>
      </c>
      <c r="AV25">
        <f t="shared" si="0"/>
        <v>1.1429999999999999E-2</v>
      </c>
      <c r="AW25">
        <f t="shared" si="0"/>
        <v>3.5339999999999996E-2</v>
      </c>
      <c r="AX25">
        <f t="shared" si="0"/>
        <v>6.6790000000000002E-2</v>
      </c>
      <c r="AY25">
        <f t="shared" si="0"/>
        <v>6.583E-2</v>
      </c>
      <c r="AZ25">
        <f t="shared" si="0"/>
        <v>7.3019999999999988E-2</v>
      </c>
      <c r="BA25">
        <f t="shared" si="0"/>
        <v>7.1929999999999994E-2</v>
      </c>
      <c r="BB25">
        <f t="shared" si="0"/>
        <v>5.824E-2</v>
      </c>
      <c r="BC25">
        <f t="shared" si="0"/>
        <v>2.368E-2</v>
      </c>
      <c r="BD25">
        <f t="shared" si="0"/>
        <v>-6.3E-3</v>
      </c>
      <c r="BE25">
        <f t="shared" si="0"/>
        <v>-1.5599999999999999E-2</v>
      </c>
      <c r="BF25">
        <f t="shared" si="0"/>
        <v>-1.7500000000000002E-2</v>
      </c>
      <c r="BG25">
        <f t="shared" si="0"/>
        <v>-2.0499999999999997E-2</v>
      </c>
      <c r="BH25">
        <f t="shared" si="0"/>
        <v>-1.1600000000000001E-2</v>
      </c>
      <c r="BI25">
        <f t="shared" si="0"/>
        <v>1.4789999999999999E-2</v>
      </c>
      <c r="BJ25">
        <f t="shared" si="0"/>
        <v>2.5899999999999999E-2</v>
      </c>
      <c r="BK25">
        <f t="shared" si="0"/>
        <v>2.9100000000000001E-2</v>
      </c>
      <c r="BL25">
        <f t="shared" si="0"/>
        <v>3.4500000000000003E-2</v>
      </c>
      <c r="BM25">
        <f t="shared" si="0"/>
        <v>2.8400000000000002E-2</v>
      </c>
      <c r="BN25">
        <f t="shared" si="0"/>
        <v>2.7100000000000006E-3</v>
      </c>
      <c r="BO25">
        <f t="shared" si="0"/>
        <v>-2.1299999999999999E-2</v>
      </c>
      <c r="BP25">
        <f t="shared" si="0"/>
        <v>-4.4899999999999995E-2</v>
      </c>
      <c r="BQ25">
        <f t="shared" si="1"/>
        <v>-5.0199999999999995E-2</v>
      </c>
      <c r="BR25">
        <f t="shared" si="1"/>
        <v>-4.5199999999999997E-2</v>
      </c>
      <c r="BS25">
        <f t="shared" si="1"/>
        <v>-2.1199999999999997E-2</v>
      </c>
      <c r="BT25">
        <f t="shared" si="1"/>
        <v>-1.3999999999999985E-3</v>
      </c>
      <c r="BU25">
        <f t="shared" si="1"/>
        <v>2.6099999999999998E-2</v>
      </c>
      <c r="BV25">
        <f t="shared" si="1"/>
        <v>1.0580000000000001E-2</v>
      </c>
      <c r="BW25">
        <f t="shared" si="1"/>
        <v>1.677E-2</v>
      </c>
      <c r="BX25">
        <f t="shared" si="1"/>
        <v>1.157E-2</v>
      </c>
      <c r="BY25">
        <f t="shared" si="1"/>
        <v>-1.7599999999999998E-2</v>
      </c>
      <c r="BZ25">
        <f t="shared" si="1"/>
        <v>-7.6399999999999996E-2</v>
      </c>
      <c r="CA25">
        <f t="shared" si="1"/>
        <v>-9.2600000000000002E-2</v>
      </c>
      <c r="CB25">
        <f t="shared" si="1"/>
        <v>-8.7799999999999989E-2</v>
      </c>
      <c r="CC25">
        <f t="shared" si="1"/>
        <v>-0.1132</v>
      </c>
      <c r="CD25">
        <f t="shared" si="1"/>
        <v>-0.11830000000000002</v>
      </c>
      <c r="CE25">
        <f t="shared" si="1"/>
        <v>1.7114999999999998E-2</v>
      </c>
      <c r="CF25">
        <f t="shared" si="1"/>
        <v>3.2500000000000001E-2</v>
      </c>
      <c r="CG25">
        <f t="shared" si="1"/>
        <v>2.8400000000000002E-2</v>
      </c>
      <c r="CH25">
        <f t="shared" si="1"/>
        <v>5.1299999999999998E-2</v>
      </c>
      <c r="CI25">
        <f t="shared" si="1"/>
        <v>4.4299999999999999E-2</v>
      </c>
      <c r="CJ25">
        <f t="shared" si="1"/>
        <v>4.07E-2</v>
      </c>
      <c r="CK25">
        <f t="shared" si="1"/>
        <v>-0.16259999999999999</v>
      </c>
      <c r="CL25">
        <f t="shared" si="1"/>
        <v>-0.1502</v>
      </c>
      <c r="CM25">
        <f t="shared" si="1"/>
        <v>-9.5200000000000007E-2</v>
      </c>
      <c r="CN25">
        <f t="shared" si="1"/>
        <v>-9.1999999999999998E-3</v>
      </c>
      <c r="CO25">
        <f t="shared" si="1"/>
        <v>1.468E-2</v>
      </c>
      <c r="CP25">
        <f t="shared" si="1"/>
        <v>-6.5700000000000008E-2</v>
      </c>
      <c r="CQ25">
        <f t="shared" si="1"/>
        <v>-0.2041</v>
      </c>
      <c r="CR25">
        <f t="shared" si="1"/>
        <v>-0.124</v>
      </c>
      <c r="CS25">
        <f t="shared" si="1"/>
        <v>-0.14119999999999999</v>
      </c>
      <c r="CT25">
        <f t="shared" si="1"/>
        <v>-0.1328</v>
      </c>
      <c r="CU25">
        <f t="shared" si="1"/>
        <v>5.4300000000000001E-2</v>
      </c>
      <c r="CV25">
        <f t="shared" si="1"/>
        <v>-0.12539999999999998</v>
      </c>
      <c r="CW25">
        <f t="shared" si="1"/>
        <v>-7.17E-2</v>
      </c>
      <c r="CX25">
        <f t="shared" si="1"/>
        <v>6.3999999999999994E-3</v>
      </c>
    </row>
    <row r="26" spans="1:102" x14ac:dyDescent="0.2">
      <c r="A26" t="s">
        <v>210</v>
      </c>
      <c r="B26" t="s">
        <v>220</v>
      </c>
      <c r="C26" t="s">
        <v>102</v>
      </c>
      <c r="D26">
        <f t="shared" si="2"/>
        <v>-1.2160000000000001E-2</v>
      </c>
      <c r="E26">
        <f t="shared" si="2"/>
        <v>-2.2360000000000001E-2</v>
      </c>
      <c r="F26">
        <f t="shared" si="2"/>
        <v>5.96E-3</v>
      </c>
      <c r="G26">
        <f t="shared" si="2"/>
        <v>-1.1599999999999998E-3</v>
      </c>
      <c r="H26">
        <f t="shared" si="2"/>
        <v>1.9740000000000001E-2</v>
      </c>
      <c r="I26">
        <f t="shared" si="2"/>
        <v>8.8099999999999984E-3</v>
      </c>
      <c r="J26">
        <f t="shared" si="2"/>
        <v>1.3779999999999999E-2</v>
      </c>
      <c r="K26">
        <f t="shared" si="2"/>
        <v>1.14E-2</v>
      </c>
      <c r="L26">
        <f t="shared" si="2"/>
        <v>8.0700000000000008E-3</v>
      </c>
      <c r="M26">
        <f t="shared" si="2"/>
        <v>4.0699999999999998E-3</v>
      </c>
      <c r="N26">
        <f t="shared" si="2"/>
        <v>1.1169999999999999E-2</v>
      </c>
      <c r="O26">
        <f t="shared" si="2"/>
        <v>1.77E-2</v>
      </c>
      <c r="P26">
        <f t="shared" si="2"/>
        <v>1.5214999999999999E-2</v>
      </c>
      <c r="Q26">
        <f t="shared" si="2"/>
        <v>8.3409999999999995E-3</v>
      </c>
      <c r="R26">
        <f t="shared" si="2"/>
        <v>9.8400000000000007E-4</v>
      </c>
      <c r="S26">
        <f t="shared" si="2"/>
        <v>-2.317E-3</v>
      </c>
      <c r="T26">
        <f t="shared" si="0"/>
        <v>-2.1740000000000002E-3</v>
      </c>
      <c r="U26">
        <f t="shared" si="0"/>
        <v>-3.0219999999999999E-3</v>
      </c>
      <c r="V26">
        <f t="shared" si="0"/>
        <v>-5.2459999999999998E-3</v>
      </c>
      <c r="W26">
        <f t="shared" si="0"/>
        <v>-4.8779999999999995E-3</v>
      </c>
      <c r="X26">
        <f t="shared" si="0"/>
        <v>-1.9849999999999998E-3</v>
      </c>
      <c r="Y26">
        <f t="shared" si="0"/>
        <v>-5.8079999999999991E-4</v>
      </c>
      <c r="Z26">
        <f t="shared" si="0"/>
        <v>5.0500000000000002E-4</v>
      </c>
      <c r="AA26">
        <f t="shared" si="0"/>
        <v>9.7500000000000006E-4</v>
      </c>
      <c r="AB26">
        <f t="shared" si="0"/>
        <v>-2.0460000000000001E-3</v>
      </c>
      <c r="AC26">
        <f t="shared" si="0"/>
        <v>-3.5560000000000001E-3</v>
      </c>
      <c r="AD26">
        <f t="shared" si="0"/>
        <v>-4.2209999999999999E-3</v>
      </c>
      <c r="AE26">
        <f t="shared" si="0"/>
        <v>-4.7070000000000002E-3</v>
      </c>
      <c r="AF26">
        <f t="shared" si="0"/>
        <v>-6.9960000000000005E-3</v>
      </c>
      <c r="AG26">
        <f t="shared" si="0"/>
        <v>-7.2700000000000004E-3</v>
      </c>
      <c r="AH26">
        <f t="shared" si="0"/>
        <v>-6.3310000000000007E-3</v>
      </c>
      <c r="AI26">
        <f t="shared" si="0"/>
        <v>-8.5140000000000007E-3</v>
      </c>
      <c r="AJ26">
        <f t="shared" si="0"/>
        <v>-1.3991E-2</v>
      </c>
      <c r="AK26">
        <f t="shared" si="0"/>
        <v>-1.545E-2</v>
      </c>
      <c r="AL26">
        <f t="shared" si="0"/>
        <v>-1.7409999999999998E-2</v>
      </c>
      <c r="AM26">
        <f t="shared" si="0"/>
        <v>-1.7260000000000001E-2</v>
      </c>
      <c r="AN26">
        <f t="shared" si="0"/>
        <v>-1.8099999999999998E-2</v>
      </c>
      <c r="AO26">
        <f t="shared" si="0"/>
        <v>-1.7180000000000001E-2</v>
      </c>
      <c r="AP26">
        <f t="shared" si="0"/>
        <v>-1.2140000000000001E-2</v>
      </c>
      <c r="AQ26">
        <f t="shared" si="0"/>
        <v>-5.2500000000000003E-3</v>
      </c>
      <c r="AR26">
        <f t="shared" si="0"/>
        <v>-2.3340000000000001E-3</v>
      </c>
      <c r="AS26">
        <f t="shared" si="0"/>
        <v>-3.1000000000000016E-4</v>
      </c>
      <c r="AT26">
        <f t="shared" si="0"/>
        <v>5.0000000000000131E-5</v>
      </c>
      <c r="AU26">
        <f t="shared" si="0"/>
        <v>6.0000000000000006E-4</v>
      </c>
      <c r="AV26">
        <f t="shared" si="0"/>
        <v>-4.5100000000000001E-3</v>
      </c>
      <c r="AW26">
        <f t="shared" si="0"/>
        <v>-1.1379999999999999E-2</v>
      </c>
      <c r="AX26">
        <f t="shared" si="0"/>
        <v>-1.8149999999999999E-2</v>
      </c>
      <c r="AY26">
        <f t="shared" si="0"/>
        <v>-1.9E-2</v>
      </c>
      <c r="AZ26">
        <f t="shared" si="0"/>
        <v>-2.0119999999999999E-2</v>
      </c>
      <c r="BA26">
        <f t="shared" si="0"/>
        <v>-1.949E-2</v>
      </c>
      <c r="BB26">
        <f t="shared" si="0"/>
        <v>-1.7919999999999998E-2</v>
      </c>
      <c r="BC26">
        <f t="shared" si="0"/>
        <v>-8.8500000000000002E-3</v>
      </c>
      <c r="BD26">
        <f t="shared" si="0"/>
        <v>-2.5240000000000002E-3</v>
      </c>
      <c r="BE26">
        <f t="shared" si="0"/>
        <v>1.0000000000000026E-4</v>
      </c>
      <c r="BF26">
        <f t="shared" si="0"/>
        <v>2.0000000000000009E-4</v>
      </c>
      <c r="BG26">
        <f t="shared" si="0"/>
        <v>1.82E-3</v>
      </c>
      <c r="BH26">
        <f t="shared" si="0"/>
        <v>1.9400000000000003E-3</v>
      </c>
      <c r="BI26">
        <f t="shared" si="0"/>
        <v>-3.48E-3</v>
      </c>
      <c r="BJ26">
        <f t="shared" si="0"/>
        <v>-5.5399999999999998E-3</v>
      </c>
      <c r="BK26">
        <f t="shared" si="0"/>
        <v>-8.94E-3</v>
      </c>
      <c r="BL26">
        <f t="shared" si="0"/>
        <v>-8.9300000000000004E-3</v>
      </c>
      <c r="BM26">
        <f t="shared" si="0"/>
        <v>-6.7100000000000007E-3</v>
      </c>
      <c r="BN26">
        <f t="shared" si="0"/>
        <v>6.7999999999999962E-4</v>
      </c>
      <c r="BO26">
        <f t="shared" si="0"/>
        <v>3.7699999999999999E-3</v>
      </c>
      <c r="BP26">
        <f t="shared" si="0"/>
        <v>7.8900000000000012E-3</v>
      </c>
      <c r="BQ26">
        <f t="shared" si="1"/>
        <v>8.1899999999999994E-3</v>
      </c>
      <c r="BR26">
        <f t="shared" si="1"/>
        <v>8.2199999999999999E-3</v>
      </c>
      <c r="BS26">
        <f t="shared" si="1"/>
        <v>1.7800000000000003E-3</v>
      </c>
      <c r="BT26">
        <f t="shared" si="1"/>
        <v>-4.47E-3</v>
      </c>
      <c r="BU26">
        <f t="shared" si="1"/>
        <v>-1.0059999999999999E-2</v>
      </c>
      <c r="BV26">
        <f t="shared" si="1"/>
        <v>-5.3299999999999997E-3</v>
      </c>
      <c r="BW26">
        <f t="shared" si="1"/>
        <v>-8.0700000000000008E-3</v>
      </c>
      <c r="BX26">
        <f t="shared" si="1"/>
        <v>-7.8300000000000002E-3</v>
      </c>
      <c r="BY26">
        <f t="shared" si="1"/>
        <v>6.7999999999999962E-4</v>
      </c>
      <c r="BZ26">
        <f t="shared" si="1"/>
        <v>1.435E-2</v>
      </c>
      <c r="CA26">
        <f t="shared" si="1"/>
        <v>1.668E-2</v>
      </c>
      <c r="CB26">
        <f t="shared" si="1"/>
        <v>1.2070000000000001E-2</v>
      </c>
      <c r="CC26">
        <f t="shared" si="1"/>
        <v>1.9740000000000001E-2</v>
      </c>
      <c r="CD26">
        <f t="shared" si="1"/>
        <v>2.2210000000000001E-2</v>
      </c>
      <c r="CE26">
        <f t="shared" si="1"/>
        <v>-9.6100000000000005E-3</v>
      </c>
      <c r="CF26">
        <f t="shared" si="1"/>
        <v>-1.244E-2</v>
      </c>
      <c r="CG26">
        <f t="shared" si="1"/>
        <v>-1.2359999999999999E-2</v>
      </c>
      <c r="CH26">
        <f t="shared" si="1"/>
        <v>-1.2109999999999999E-2</v>
      </c>
      <c r="CI26">
        <f t="shared" si="1"/>
        <v>-1.7649999999999999E-2</v>
      </c>
      <c r="CJ26">
        <f t="shared" si="1"/>
        <v>-1.6890000000000002E-2</v>
      </c>
      <c r="CK26">
        <f t="shared" si="1"/>
        <v>2.4E-2</v>
      </c>
      <c r="CL26">
        <f t="shared" si="1"/>
        <v>2.4680000000000001E-2</v>
      </c>
      <c r="CM26">
        <f t="shared" si="1"/>
        <v>1.6840000000000001E-2</v>
      </c>
      <c r="CN26">
        <f t="shared" si="1"/>
        <v>-4.3400000000000001E-3</v>
      </c>
      <c r="CO26">
        <f t="shared" si="1"/>
        <v>-6.6600000000000001E-3</v>
      </c>
      <c r="CP26">
        <f t="shared" si="1"/>
        <v>1.745E-2</v>
      </c>
      <c r="CQ26">
        <f t="shared" si="1"/>
        <v>4.8749999999999995E-2</v>
      </c>
      <c r="CR26">
        <f t="shared" si="1"/>
        <v>2.0230000000000001E-2</v>
      </c>
      <c r="CS26">
        <f t="shared" si="1"/>
        <v>2.4029999999999999E-2</v>
      </c>
      <c r="CT26">
        <f t="shared" si="1"/>
        <v>2.835E-2</v>
      </c>
      <c r="CU26">
        <f t="shared" si="1"/>
        <v>-2.4040000000000002E-2</v>
      </c>
      <c r="CV26">
        <f t="shared" si="1"/>
        <v>2.6000000000000003E-3</v>
      </c>
      <c r="CW26">
        <f t="shared" si="1"/>
        <v>6.4700000000000001E-3</v>
      </c>
      <c r="CX26">
        <f t="shared" si="1"/>
        <v>1.1979999999999999E-2</v>
      </c>
    </row>
    <row r="27" spans="1:102" x14ac:dyDescent="0.2">
      <c r="A27" t="s">
        <v>211</v>
      </c>
      <c r="B27" t="s">
        <v>220</v>
      </c>
      <c r="C27" t="s">
        <v>102</v>
      </c>
      <c r="D27">
        <f t="shared" si="2"/>
        <v>1.4350000000000002E-2</v>
      </c>
      <c r="E27">
        <f t="shared" si="0"/>
        <v>8.7299999999999999E-3</v>
      </c>
      <c r="F27">
        <f t="shared" si="0"/>
        <v>2.3189999999999999E-2</v>
      </c>
      <c r="G27">
        <f t="shared" si="0"/>
        <v>1.575E-2</v>
      </c>
      <c r="H27">
        <f t="shared" si="0"/>
        <v>1.8679999999999999E-2</v>
      </c>
      <c r="I27">
        <f t="shared" si="0"/>
        <v>1.4259999999999998E-2</v>
      </c>
      <c r="J27">
        <f t="shared" si="0"/>
        <v>9.8500000000000011E-3</v>
      </c>
      <c r="K27">
        <f t="shared" si="0"/>
        <v>1.2410000000000001E-2</v>
      </c>
      <c r="L27">
        <f t="shared" si="0"/>
        <v>7.2900000000000005E-3</v>
      </c>
      <c r="M27">
        <f t="shared" si="0"/>
        <v>6.6599999999999993E-3</v>
      </c>
      <c r="N27">
        <f t="shared" si="0"/>
        <v>1.308E-2</v>
      </c>
      <c r="O27">
        <f t="shared" si="0"/>
        <v>1.9999999999999997E-2</v>
      </c>
      <c r="P27">
        <f t="shared" si="0"/>
        <v>1.678E-2</v>
      </c>
      <c r="Q27">
        <f t="shared" si="0"/>
        <v>1.323E-2</v>
      </c>
      <c r="R27">
        <f t="shared" si="0"/>
        <v>9.5499999999999995E-3</v>
      </c>
      <c r="S27">
        <f t="shared" si="0"/>
        <v>1.098E-2</v>
      </c>
      <c r="T27">
        <f t="shared" si="0"/>
        <v>7.28E-3</v>
      </c>
      <c r="U27">
        <f t="shared" si="0"/>
        <v>8.320000000000001E-3</v>
      </c>
      <c r="V27">
        <f t="shared" si="0"/>
        <v>5.7600000000000004E-3</v>
      </c>
      <c r="W27">
        <f t="shared" si="0"/>
        <v>5.45E-3</v>
      </c>
      <c r="X27">
        <f t="shared" si="0"/>
        <v>7.6E-3</v>
      </c>
      <c r="Y27">
        <f t="shared" si="0"/>
        <v>7.8599999999999989E-3</v>
      </c>
      <c r="Z27">
        <f t="shared" si="0"/>
        <v>7.9499999999999987E-3</v>
      </c>
      <c r="AA27">
        <f t="shared" si="0"/>
        <v>7.3499999999999998E-3</v>
      </c>
      <c r="AB27">
        <f t="shared" si="0"/>
        <v>2.0899999999999998E-3</v>
      </c>
      <c r="AC27">
        <f t="shared" si="0"/>
        <v>2.9999999999999992E-4</v>
      </c>
      <c r="AD27">
        <f t="shared" si="0"/>
        <v>1.3900000000000002E-3</v>
      </c>
      <c r="AE27">
        <f t="shared" si="0"/>
        <v>1.0600000000000002E-3</v>
      </c>
      <c r="AF27">
        <f t="shared" si="0"/>
        <v>2.8600000000000001E-3</v>
      </c>
      <c r="AG27">
        <f t="shared" si="0"/>
        <v>4.45E-3</v>
      </c>
      <c r="AH27">
        <f t="shared" si="0"/>
        <v>2.7499999999999998E-3</v>
      </c>
      <c r="AI27">
        <f t="shared" si="0"/>
        <v>1.6999999999999999E-3</v>
      </c>
      <c r="AJ27">
        <f t="shared" si="0"/>
        <v>-1.3000000000000012E-4</v>
      </c>
      <c r="AK27">
        <f t="shared" si="0"/>
        <v>-2.2919999999999998E-3</v>
      </c>
      <c r="AL27">
        <f t="shared" si="0"/>
        <v>-3.3499999999999997E-3</v>
      </c>
      <c r="AM27">
        <f t="shared" si="0"/>
        <v>-4.45E-3</v>
      </c>
      <c r="AN27">
        <f t="shared" si="0"/>
        <v>-4.3899999999999998E-3</v>
      </c>
      <c r="AO27">
        <f t="shared" si="0"/>
        <v>1.57E-3</v>
      </c>
      <c r="AP27">
        <f t="shared" si="0"/>
        <v>3.4799999999999996E-3</v>
      </c>
      <c r="AQ27">
        <f t="shared" si="0"/>
        <v>4.4900000000000001E-3</v>
      </c>
      <c r="AR27">
        <f t="shared" si="0"/>
        <v>2.8500000000000001E-3</v>
      </c>
      <c r="AS27">
        <f t="shared" si="0"/>
        <v>1.3800000000000002E-3</v>
      </c>
      <c r="AT27">
        <f t="shared" si="0"/>
        <v>1.7200000000000002E-3</v>
      </c>
      <c r="AU27">
        <f t="shared" si="0"/>
        <v>1.67E-3</v>
      </c>
      <c r="AV27">
        <f t="shared" si="0"/>
        <v>4.3299999999999996E-3</v>
      </c>
      <c r="AW27">
        <f t="shared" si="0"/>
        <v>3.1299999999999995E-3</v>
      </c>
      <c r="AX27">
        <f t="shared" si="0"/>
        <v>1.3599999999999997E-3</v>
      </c>
      <c r="AY27">
        <f t="shared" si="0"/>
        <v>-2.183E-3</v>
      </c>
      <c r="AZ27">
        <f t="shared" si="0"/>
        <v>-1.3839999999999998E-3</v>
      </c>
      <c r="BA27">
        <f t="shared" si="0"/>
        <v>-1.0999999999999985E-4</v>
      </c>
      <c r="BB27">
        <f t="shared" si="0"/>
        <v>-6.1000000000000008E-4</v>
      </c>
      <c r="BC27">
        <f t="shared" si="0"/>
        <v>1.5400000000000001E-3</v>
      </c>
      <c r="BD27">
        <f t="shared" si="0"/>
        <v>1.7600000000000003E-3</v>
      </c>
      <c r="BE27">
        <f t="shared" si="0"/>
        <v>5.850000000000001E-3</v>
      </c>
      <c r="BF27">
        <f t="shared" si="0"/>
        <v>1.0330000000000001E-2</v>
      </c>
      <c r="BG27">
        <f t="shared" si="0"/>
        <v>8.9999999999999993E-3</v>
      </c>
      <c r="BH27">
        <f t="shared" si="0"/>
        <v>8.8999999999999999E-3</v>
      </c>
      <c r="BI27">
        <f t="shared" si="0"/>
        <v>5.5799999999999999E-3</v>
      </c>
      <c r="BJ27">
        <f t="shared" si="0"/>
        <v>5.5799999999999999E-3</v>
      </c>
      <c r="BK27">
        <f t="shared" si="0"/>
        <v>2.15E-3</v>
      </c>
      <c r="BL27">
        <f t="shared" si="0"/>
        <v>2.0100000000000001E-3</v>
      </c>
      <c r="BM27">
        <f t="shared" si="0"/>
        <v>4.1400000000000005E-3</v>
      </c>
      <c r="BN27">
        <f t="shared" si="0"/>
        <v>9.7900000000000001E-3</v>
      </c>
      <c r="BO27">
        <f t="shared" si="0"/>
        <v>1.238E-2</v>
      </c>
      <c r="BP27">
        <f t="shared" si="0"/>
        <v>0.01</v>
      </c>
      <c r="BQ27">
        <f t="shared" si="1"/>
        <v>1.0270000000000001E-2</v>
      </c>
      <c r="BR27">
        <f t="shared" si="1"/>
        <v>1.736E-2</v>
      </c>
      <c r="BS27">
        <f t="shared" si="1"/>
        <v>1.2359999999999999E-2</v>
      </c>
      <c r="BT27">
        <f t="shared" si="1"/>
        <v>6.3299999999999997E-3</v>
      </c>
      <c r="BU27">
        <f t="shared" si="1"/>
        <v>4.96E-3</v>
      </c>
      <c r="BV27">
        <f t="shared" si="1"/>
        <v>7.4099999999999999E-3</v>
      </c>
      <c r="BW27">
        <f t="shared" si="1"/>
        <v>4.9099999999999994E-3</v>
      </c>
      <c r="BX27">
        <f t="shared" si="1"/>
        <v>1.3500000000000001E-3</v>
      </c>
      <c r="BY27">
        <f t="shared" si="1"/>
        <v>3.5000000000000005E-3</v>
      </c>
      <c r="BZ27">
        <f t="shared" si="1"/>
        <v>1.294E-2</v>
      </c>
      <c r="CA27">
        <f t="shared" si="1"/>
        <v>1.2469999999999998E-2</v>
      </c>
      <c r="CB27">
        <f t="shared" si="1"/>
        <v>6.1200000000000004E-3</v>
      </c>
      <c r="CC27">
        <f t="shared" si="1"/>
        <v>1.0790000000000001E-2</v>
      </c>
      <c r="CD27">
        <f t="shared" si="1"/>
        <v>2.0639999999999999E-2</v>
      </c>
      <c r="CE27">
        <f t="shared" si="1"/>
        <v>1.7099999999999997E-3</v>
      </c>
      <c r="CF27">
        <f t="shared" si="1"/>
        <v>-2.2499999999999998E-3</v>
      </c>
      <c r="CG27">
        <f t="shared" si="1"/>
        <v>-1.97E-3</v>
      </c>
      <c r="CH27">
        <f t="shared" si="1"/>
        <v>-8.7399999999999995E-3</v>
      </c>
      <c r="CI27">
        <f t="shared" si="1"/>
        <v>-1.5790000000000002E-2</v>
      </c>
      <c r="CJ27">
        <f t="shared" si="1"/>
        <v>-1.5690000000000003E-2</v>
      </c>
      <c r="CK27">
        <f t="shared" si="1"/>
        <v>1.2559999999999998E-2</v>
      </c>
      <c r="CL27">
        <f t="shared" si="1"/>
        <v>2.5999999999999999E-3</v>
      </c>
      <c r="CM27">
        <f t="shared" si="1"/>
        <v>3.6000000000000008E-4</v>
      </c>
      <c r="CN27">
        <f t="shared" si="1"/>
        <v>-2.2579999999999999E-2</v>
      </c>
      <c r="CO27">
        <f t="shared" si="1"/>
        <v>-3.2099999999999997E-2</v>
      </c>
      <c r="CP27">
        <f t="shared" si="1"/>
        <v>-2.2589999999999999E-2</v>
      </c>
      <c r="CQ27">
        <f t="shared" si="1"/>
        <v>6.0000000000000001E-3</v>
      </c>
      <c r="CR27">
        <f t="shared" si="1"/>
        <v>-1.5900000000000001E-2</v>
      </c>
      <c r="CS27">
        <f t="shared" si="1"/>
        <v>-1.8500000000000001E-3</v>
      </c>
      <c r="CT27">
        <f t="shared" si="1"/>
        <v>-1.112E-2</v>
      </c>
      <c r="CU27">
        <f t="shared" si="1"/>
        <v>-5.1119999999999999E-2</v>
      </c>
      <c r="CV27">
        <f t="shared" si="1"/>
        <v>-2.6610000000000002E-2</v>
      </c>
      <c r="CW27">
        <f t="shared" si="1"/>
        <v>-3.8010000000000002E-2</v>
      </c>
      <c r="CX27">
        <f t="shared" si="1"/>
        <v>-5.4339999999999999E-2</v>
      </c>
    </row>
    <row r="28" spans="1:102" x14ac:dyDescent="0.2">
      <c r="A28" t="s">
        <v>212</v>
      </c>
      <c r="B28" t="s">
        <v>220</v>
      </c>
      <c r="C28" t="s">
        <v>102</v>
      </c>
      <c r="D28">
        <f t="shared" si="2"/>
        <v>-1.8599999999999997E-3</v>
      </c>
      <c r="E28">
        <f t="shared" si="0"/>
        <v>-4.5800000000000007E-3</v>
      </c>
      <c r="F28">
        <f t="shared" si="0"/>
        <v>5.9500000000000004E-3</v>
      </c>
      <c r="G28">
        <f t="shared" si="0"/>
        <v>-1.0400000000000001E-3</v>
      </c>
      <c r="H28">
        <f t="shared" si="0"/>
        <v>6.7099999999999998E-3</v>
      </c>
      <c r="I28">
        <f t="shared" si="0"/>
        <v>1.7880000000000001E-3</v>
      </c>
      <c r="J28">
        <f t="shared" si="0"/>
        <v>5.8700000000000002E-3</v>
      </c>
      <c r="K28">
        <f t="shared" si="0"/>
        <v>6.2500000000000003E-3</v>
      </c>
      <c r="L28">
        <f t="shared" si="0"/>
        <v>4.7699999999999999E-3</v>
      </c>
      <c r="M28">
        <f t="shared" si="0"/>
        <v>4.1900000000000001E-3</v>
      </c>
      <c r="N28">
        <f t="shared" si="0"/>
        <v>8.2360000000000003E-3</v>
      </c>
      <c r="O28">
        <f t="shared" si="0"/>
        <v>1.1368000000000001E-2</v>
      </c>
      <c r="P28">
        <f t="shared" si="0"/>
        <v>1.0877999999999999E-2</v>
      </c>
      <c r="Q28">
        <f t="shared" si="0"/>
        <v>7.8510000000000003E-3</v>
      </c>
      <c r="R28">
        <f t="shared" si="0"/>
        <v>3.5740000000000004E-3</v>
      </c>
      <c r="S28">
        <f t="shared" si="0"/>
        <v>2.9690000000000003E-3</v>
      </c>
      <c r="T28">
        <f t="shared" si="0"/>
        <v>2.898E-3</v>
      </c>
      <c r="U28">
        <f t="shared" si="0"/>
        <v>3.2469999999999999E-3</v>
      </c>
      <c r="V28">
        <f t="shared" si="0"/>
        <v>2.245E-3</v>
      </c>
      <c r="W28">
        <f t="shared" si="0"/>
        <v>1.9250000000000001E-3</v>
      </c>
      <c r="X28">
        <f t="shared" si="0"/>
        <v>2.1449999999999998E-3</v>
      </c>
      <c r="Y28">
        <f t="shared" si="0"/>
        <v>2.1099999999999999E-3</v>
      </c>
      <c r="Z28">
        <f t="shared" si="0"/>
        <v>2.3010000000000001E-3</v>
      </c>
      <c r="AA28">
        <f t="shared" si="0"/>
        <v>2.0460000000000001E-3</v>
      </c>
      <c r="AB28">
        <f t="shared" si="0"/>
        <v>1.312E-3</v>
      </c>
      <c r="AC28">
        <f t="shared" si="0"/>
        <v>1.2489999999999999E-3</v>
      </c>
      <c r="AD28">
        <f t="shared" si="0"/>
        <v>8.830000000000001E-4</v>
      </c>
      <c r="AE28">
        <f t="shared" si="0"/>
        <v>4.5399999999999998E-4</v>
      </c>
      <c r="AF28">
        <f t="shared" si="0"/>
        <v>6.6399999999999999E-4</v>
      </c>
      <c r="AG28">
        <f t="shared" si="0"/>
        <v>4.15E-4</v>
      </c>
      <c r="AH28">
        <f t="shared" ref="AH28:CS29" si="3">AH11+AH19</f>
        <v>1.1099999999999999E-4</v>
      </c>
      <c r="AI28">
        <f t="shared" si="3"/>
        <v>-2.3099999999999998E-4</v>
      </c>
      <c r="AJ28">
        <f t="shared" si="3"/>
        <v>-8.9900000000000006E-4</v>
      </c>
      <c r="AK28">
        <f t="shared" si="3"/>
        <v>-9.2499999999999982E-4</v>
      </c>
      <c r="AL28">
        <f t="shared" si="3"/>
        <v>-3.9600000000000003E-4</v>
      </c>
      <c r="AM28">
        <f t="shared" si="3"/>
        <v>-2.8800000000000006E-4</v>
      </c>
      <c r="AN28">
        <f t="shared" si="3"/>
        <v>-1.6799999999999996E-4</v>
      </c>
      <c r="AO28">
        <f t="shared" si="3"/>
        <v>2.2770000000000003E-4</v>
      </c>
      <c r="AP28">
        <f t="shared" si="3"/>
        <v>6.4799999999999992E-4</v>
      </c>
      <c r="AQ28">
        <f t="shared" si="3"/>
        <v>5.7799999999999995E-4</v>
      </c>
      <c r="AR28">
        <f t="shared" si="3"/>
        <v>7.5900000000000002E-4</v>
      </c>
      <c r="AS28">
        <f t="shared" si="3"/>
        <v>1.093E-3</v>
      </c>
      <c r="AT28">
        <f t="shared" si="3"/>
        <v>1.0119999999999999E-3</v>
      </c>
      <c r="AU28">
        <f t="shared" si="3"/>
        <v>7.9100000000000004E-4</v>
      </c>
      <c r="AV28">
        <f t="shared" si="3"/>
        <v>1.2079999999999999E-3</v>
      </c>
      <c r="AW28">
        <f t="shared" si="3"/>
        <v>8.9700000000000001E-4</v>
      </c>
      <c r="AX28">
        <f t="shared" si="3"/>
        <v>3.97E-4</v>
      </c>
      <c r="AY28">
        <f t="shared" si="3"/>
        <v>-1.3700000000000002E-4</v>
      </c>
      <c r="AZ28">
        <f t="shared" si="3"/>
        <v>-3.2400000000000001E-4</v>
      </c>
      <c r="BA28">
        <f t="shared" si="3"/>
        <v>-8.2799999999999996E-4</v>
      </c>
      <c r="BB28">
        <f t="shared" si="3"/>
        <v>-8.879999999999999E-4</v>
      </c>
      <c r="BC28">
        <f t="shared" si="3"/>
        <v>-1.36E-4</v>
      </c>
      <c r="BD28">
        <f t="shared" si="3"/>
        <v>5.3199999999999992E-4</v>
      </c>
      <c r="BE28">
        <f t="shared" si="3"/>
        <v>7.7799999999999994E-4</v>
      </c>
      <c r="BF28">
        <f t="shared" si="3"/>
        <v>1.356E-3</v>
      </c>
      <c r="BG28">
        <f t="shared" si="3"/>
        <v>1.111E-3</v>
      </c>
      <c r="BH28">
        <f t="shared" si="3"/>
        <v>7.1000000000000002E-4</v>
      </c>
      <c r="BI28">
        <f t="shared" si="3"/>
        <v>4.3399999999999998E-4</v>
      </c>
      <c r="BJ28">
        <f t="shared" si="3"/>
        <v>6.96E-4</v>
      </c>
      <c r="BK28">
        <f t="shared" si="3"/>
        <v>1.15E-4</v>
      </c>
      <c r="BL28">
        <f t="shared" si="3"/>
        <v>3.8699999999999997E-4</v>
      </c>
      <c r="BM28">
        <f t="shared" si="3"/>
        <v>4.8300000000000003E-4</v>
      </c>
      <c r="BN28">
        <f t="shared" si="3"/>
        <v>8.1700000000000002E-4</v>
      </c>
      <c r="BO28">
        <f t="shared" si="3"/>
        <v>7.9299999999999998E-4</v>
      </c>
      <c r="BP28">
        <f t="shared" si="3"/>
        <v>1.526E-3</v>
      </c>
      <c r="BQ28">
        <f t="shared" si="1"/>
        <v>2.0629999999999997E-3</v>
      </c>
      <c r="BR28">
        <f t="shared" si="1"/>
        <v>2.2620000000000001E-3</v>
      </c>
      <c r="BS28">
        <f t="shared" si="1"/>
        <v>1.475E-3</v>
      </c>
      <c r="BT28">
        <f t="shared" si="1"/>
        <v>1.065E-3</v>
      </c>
      <c r="BU28">
        <f t="shared" si="1"/>
        <v>1.1590000000000001E-3</v>
      </c>
      <c r="BV28">
        <f t="shared" si="1"/>
        <v>2.2240000000000003E-3</v>
      </c>
      <c r="BW28">
        <f t="shared" si="1"/>
        <v>1.99E-3</v>
      </c>
      <c r="BX28">
        <f t="shared" si="1"/>
        <v>1.1560000000000001E-3</v>
      </c>
      <c r="BY28">
        <f t="shared" si="1"/>
        <v>2.163E-3</v>
      </c>
      <c r="BZ28">
        <f t="shared" si="1"/>
        <v>2.6909999999999998E-3</v>
      </c>
      <c r="CA28">
        <f t="shared" si="1"/>
        <v>3.1780000000000003E-3</v>
      </c>
      <c r="CB28">
        <f t="shared" si="1"/>
        <v>3.0620000000000001E-3</v>
      </c>
      <c r="CC28">
        <f t="shared" si="1"/>
        <v>3.3709999999999999E-3</v>
      </c>
      <c r="CD28">
        <f t="shared" si="1"/>
        <v>2.9969999999999997E-3</v>
      </c>
      <c r="CE28">
        <f t="shared" si="1"/>
        <v>6.1000000000000008E-4</v>
      </c>
      <c r="CF28">
        <f t="shared" si="1"/>
        <v>-5.0999999999999993E-5</v>
      </c>
      <c r="CG28">
        <f t="shared" si="1"/>
        <v>-6.2999999999999986E-5</v>
      </c>
      <c r="CH28">
        <f t="shared" si="1"/>
        <v>-1.7400000000000003E-4</v>
      </c>
      <c r="CI28">
        <f t="shared" si="1"/>
        <v>-4.9800000000000007E-4</v>
      </c>
      <c r="CJ28">
        <f t="shared" si="1"/>
        <v>-8.209999999999999E-4</v>
      </c>
      <c r="CK28">
        <f t="shared" si="1"/>
        <v>4.1100000000000002E-4</v>
      </c>
      <c r="CL28">
        <f t="shared" si="1"/>
        <v>1.3519999999999999E-3</v>
      </c>
      <c r="CM28">
        <f t="shared" si="1"/>
        <v>6.2799999999999998E-4</v>
      </c>
      <c r="CN28">
        <f t="shared" si="1"/>
        <v>1.864E-4</v>
      </c>
      <c r="CO28">
        <f t="shared" si="1"/>
        <v>-1.0430000000000001E-3</v>
      </c>
      <c r="CP28">
        <f t="shared" si="1"/>
        <v>-6.7599999999999995E-4</v>
      </c>
      <c r="CQ28">
        <f t="shared" si="1"/>
        <v>6.7599999999999995E-4</v>
      </c>
      <c r="CR28">
        <f t="shared" si="1"/>
        <v>-7.7300000000000003E-4</v>
      </c>
      <c r="CS28">
        <f t="shared" si="1"/>
        <v>1.228E-4</v>
      </c>
      <c r="CT28">
        <f t="shared" si="1"/>
        <v>-6.3299999999999999E-4</v>
      </c>
      <c r="CU28">
        <f t="shared" si="1"/>
        <v>-1.395E-3</v>
      </c>
      <c r="CV28">
        <f t="shared" si="1"/>
        <v>-1.513E-3</v>
      </c>
      <c r="CW28">
        <f t="shared" si="1"/>
        <v>-3.6740000000000002E-3</v>
      </c>
      <c r="CX28">
        <f t="shared" si="1"/>
        <v>-4.8329999999999996E-3</v>
      </c>
    </row>
    <row r="29" spans="1:102" x14ac:dyDescent="0.2">
      <c r="A29" t="s">
        <v>213</v>
      </c>
      <c r="B29" t="s">
        <v>220</v>
      </c>
      <c r="C29" t="s">
        <v>102</v>
      </c>
      <c r="D29">
        <f t="shared" si="2"/>
        <v>8.4430000000000005E-2</v>
      </c>
      <c r="E29">
        <f t="shared" si="2"/>
        <v>0.12240000000000001</v>
      </c>
      <c r="F29">
        <f t="shared" si="2"/>
        <v>3.78E-2</v>
      </c>
      <c r="G29">
        <f t="shared" si="2"/>
        <v>5.3400000000000003E-2</v>
      </c>
      <c r="H29">
        <f t="shared" si="2"/>
        <v>-1.6600000000000004E-2</v>
      </c>
      <c r="I29">
        <f t="shared" si="2"/>
        <v>2.6200000000000001E-2</v>
      </c>
      <c r="J29">
        <f t="shared" si="2"/>
        <v>-1.4099999999999998E-2</v>
      </c>
      <c r="K29">
        <f t="shared" si="2"/>
        <v>-9.9999999999999985E-3</v>
      </c>
      <c r="L29">
        <f t="shared" si="2"/>
        <v>-1.2499999999999999E-2</v>
      </c>
      <c r="M29">
        <f t="shared" si="2"/>
        <v>-1.2299999999999998E-2</v>
      </c>
      <c r="N29">
        <f t="shared" si="2"/>
        <v>-6.9500000000000006E-2</v>
      </c>
      <c r="O29">
        <f t="shared" si="2"/>
        <v>-0.12806000000000001</v>
      </c>
      <c r="P29">
        <f t="shared" si="2"/>
        <v>-0.13103000000000001</v>
      </c>
      <c r="Q29">
        <f t="shared" si="2"/>
        <v>-0.10621</v>
      </c>
      <c r="R29">
        <f t="shared" si="2"/>
        <v>-6.5739999999999993E-2</v>
      </c>
      <c r="S29">
        <f t="shared" si="2"/>
        <v>-4.9250000000000002E-2</v>
      </c>
      <c r="T29">
        <f t="shared" ref="T29:BP31" si="4">T12+T20</f>
        <v>-5.0310000000000001E-2</v>
      </c>
      <c r="U29">
        <f t="shared" si="4"/>
        <v>-5.1700000000000003E-2</v>
      </c>
      <c r="V29">
        <f t="shared" si="4"/>
        <v>-4.292E-2</v>
      </c>
      <c r="W29">
        <f t="shared" si="4"/>
        <v>-4.0759999999999998E-2</v>
      </c>
      <c r="X29">
        <f t="shared" si="4"/>
        <v>-4.496E-2</v>
      </c>
      <c r="Y29">
        <f t="shared" si="4"/>
        <v>-4.7530000000000003E-2</v>
      </c>
      <c r="Z29">
        <f t="shared" si="4"/>
        <v>-4.7349999999999996E-2</v>
      </c>
      <c r="AA29">
        <f t="shared" si="4"/>
        <v>-4.3110000000000002E-2</v>
      </c>
      <c r="AB29">
        <f t="shared" si="4"/>
        <v>-3.8449999999999998E-2</v>
      </c>
      <c r="AC29">
        <f t="shared" si="4"/>
        <v>-3.066E-2</v>
      </c>
      <c r="AD29">
        <f t="shared" si="4"/>
        <v>-2.4100000000000003E-2</v>
      </c>
      <c r="AE29">
        <f t="shared" si="4"/>
        <v>-2.708E-2</v>
      </c>
      <c r="AF29">
        <f t="shared" si="4"/>
        <v>-2.1680000000000001E-2</v>
      </c>
      <c r="AG29">
        <f t="shared" si="4"/>
        <v>-2.102E-2</v>
      </c>
      <c r="AH29">
        <f t="shared" si="4"/>
        <v>-2.0219999999999998E-2</v>
      </c>
      <c r="AI29">
        <f t="shared" si="4"/>
        <v>-1.4159999999999999E-2</v>
      </c>
      <c r="AJ29">
        <f t="shared" si="4"/>
        <v>-1.095E-2</v>
      </c>
      <c r="AK29">
        <f t="shared" si="4"/>
        <v>-7.7099999999999998E-3</v>
      </c>
      <c r="AL29">
        <f t="shared" si="4"/>
        <v>-9.1800000000000007E-3</v>
      </c>
      <c r="AM29">
        <f t="shared" si="4"/>
        <v>-1.172E-2</v>
      </c>
      <c r="AN29">
        <f t="shared" si="4"/>
        <v>-1.8419999999999999E-2</v>
      </c>
      <c r="AO29">
        <f t="shared" si="4"/>
        <v>-2.3359999999999999E-2</v>
      </c>
      <c r="AP29">
        <f t="shared" si="4"/>
        <v>-2.5439999999999997E-2</v>
      </c>
      <c r="AQ29">
        <f t="shared" si="4"/>
        <v>-2.486E-2</v>
      </c>
      <c r="AR29">
        <f t="shared" si="4"/>
        <v>-2.273E-2</v>
      </c>
      <c r="AS29">
        <f t="shared" si="4"/>
        <v>-1.7469999999999999E-2</v>
      </c>
      <c r="AT29">
        <f t="shared" si="4"/>
        <v>-1.473E-2</v>
      </c>
      <c r="AU29">
        <f t="shared" si="4"/>
        <v>-9.2800000000000001E-3</v>
      </c>
      <c r="AV29">
        <f t="shared" si="4"/>
        <v>-5.3399999999999993E-3</v>
      </c>
      <c r="AW29">
        <f t="shared" si="4"/>
        <v>-2.4450000000000001E-3</v>
      </c>
      <c r="AX29">
        <f t="shared" si="4"/>
        <v>-8.9499999999999985E-4</v>
      </c>
      <c r="AY29">
        <f t="shared" si="4"/>
        <v>-2.8419999999999999E-3</v>
      </c>
      <c r="AZ29">
        <f t="shared" si="4"/>
        <v>-9.1490000000000009E-3</v>
      </c>
      <c r="BA29">
        <f t="shared" si="4"/>
        <v>-1.0856999999999999E-2</v>
      </c>
      <c r="BB29">
        <f t="shared" si="4"/>
        <v>-1.0598999999999999E-2</v>
      </c>
      <c r="BC29">
        <f t="shared" si="4"/>
        <v>-1.2881999999999999E-2</v>
      </c>
      <c r="BD29">
        <f t="shared" si="4"/>
        <v>-1.2433999999999999E-2</v>
      </c>
      <c r="BE29">
        <f t="shared" si="4"/>
        <v>-1.2411999999999999E-2</v>
      </c>
      <c r="BF29">
        <f t="shared" si="4"/>
        <v>-1.2279E-2</v>
      </c>
      <c r="BG29">
        <f t="shared" si="4"/>
        <v>-7.4289999999999998E-3</v>
      </c>
      <c r="BH29">
        <f t="shared" si="4"/>
        <v>-5.7879999999999997E-3</v>
      </c>
      <c r="BI29">
        <f t="shared" si="4"/>
        <v>-8.5979999999999997E-3</v>
      </c>
      <c r="BJ29">
        <f t="shared" si="4"/>
        <v>-1.2687E-2</v>
      </c>
      <c r="BK29">
        <f t="shared" si="4"/>
        <v>-9.575199999999999E-3</v>
      </c>
      <c r="BL29">
        <f t="shared" si="4"/>
        <v>-9.2011000000000003E-3</v>
      </c>
      <c r="BM29">
        <f t="shared" si="4"/>
        <v>-1.2921E-2</v>
      </c>
      <c r="BN29">
        <f t="shared" si="4"/>
        <v>-1.5032E-2</v>
      </c>
      <c r="BO29">
        <f t="shared" si="4"/>
        <v>-1.4500599000000001E-2</v>
      </c>
      <c r="BP29">
        <f t="shared" si="3"/>
        <v>-8.8140000000000007E-3</v>
      </c>
      <c r="BQ29">
        <f t="shared" si="3"/>
        <v>-7.3030000000000005E-3</v>
      </c>
      <c r="BR29">
        <f t="shared" si="3"/>
        <v>-7.0569999999999999E-3</v>
      </c>
      <c r="BS29">
        <f t="shared" si="3"/>
        <v>-6.927E-3</v>
      </c>
      <c r="BT29">
        <f t="shared" si="3"/>
        <v>-1.3619999999999999E-3</v>
      </c>
      <c r="BU29">
        <f t="shared" si="3"/>
        <v>-1.9689999999999998E-3</v>
      </c>
      <c r="BV29">
        <f t="shared" si="3"/>
        <v>8.5499999999999997E-4</v>
      </c>
      <c r="BW29">
        <f t="shared" si="3"/>
        <v>1.8479999999999998E-3</v>
      </c>
      <c r="BX29">
        <f t="shared" si="3"/>
        <v>-4.0889999999999998E-3</v>
      </c>
      <c r="BY29">
        <f t="shared" si="3"/>
        <v>-5.9899999999999997E-3</v>
      </c>
      <c r="BZ29">
        <f t="shared" si="3"/>
        <v>-6.4570000000000001E-3</v>
      </c>
      <c r="CA29">
        <f t="shared" si="3"/>
        <v>-1.2300000000000002E-3</v>
      </c>
      <c r="CB29">
        <f t="shared" si="3"/>
        <v>9.9120000000000007E-3</v>
      </c>
      <c r="CC29">
        <f t="shared" si="3"/>
        <v>1.0301999999999999E-2</v>
      </c>
      <c r="CD29">
        <f t="shared" si="3"/>
        <v>1.4441000000000001E-2</v>
      </c>
      <c r="CE29">
        <f t="shared" si="3"/>
        <v>1.0478000000000001E-2</v>
      </c>
      <c r="CF29">
        <f t="shared" si="3"/>
        <v>7.2249999999999997E-3</v>
      </c>
      <c r="CG29">
        <f t="shared" si="3"/>
        <v>1.5941E-2</v>
      </c>
      <c r="CH29">
        <f t="shared" si="3"/>
        <v>1.7398E-2</v>
      </c>
      <c r="CI29">
        <f t="shared" si="3"/>
        <v>1.473E-2</v>
      </c>
      <c r="CJ29">
        <f t="shared" si="3"/>
        <v>1.9106999999999999E-2</v>
      </c>
      <c r="CK29">
        <f t="shared" si="3"/>
        <v>2.4857999999999998E-2</v>
      </c>
      <c r="CL29">
        <f t="shared" si="3"/>
        <v>2.3931000000000001E-2</v>
      </c>
      <c r="CM29">
        <f t="shared" si="3"/>
        <v>2.1624000000000001E-2</v>
      </c>
      <c r="CN29">
        <f t="shared" si="3"/>
        <v>3.6096999999999997E-2</v>
      </c>
      <c r="CO29">
        <f t="shared" si="3"/>
        <v>4.1435E-2</v>
      </c>
      <c r="CP29">
        <f t="shared" si="3"/>
        <v>2.9898999999999998E-2</v>
      </c>
      <c r="CQ29">
        <f t="shared" si="3"/>
        <v>4.3840999999999998E-2</v>
      </c>
      <c r="CR29">
        <f t="shared" si="3"/>
        <v>5.2229999999999999E-2</v>
      </c>
      <c r="CS29">
        <f t="shared" si="3"/>
        <v>3.6625999999999999E-2</v>
      </c>
      <c r="CT29">
        <f t="shared" si="1"/>
        <v>4.7531999999999998E-2</v>
      </c>
      <c r="CU29">
        <f t="shared" si="1"/>
        <v>4.4176E-2</v>
      </c>
      <c r="CV29">
        <f t="shared" si="1"/>
        <v>4.8181000000000002E-2</v>
      </c>
      <c r="CW29">
        <f t="shared" si="1"/>
        <v>5.3423999999999999E-2</v>
      </c>
      <c r="CX29">
        <f t="shared" si="1"/>
        <v>5.4913999999999998E-2</v>
      </c>
    </row>
    <row r="30" spans="1:102" x14ac:dyDescent="0.2">
      <c r="A30" t="s">
        <v>214</v>
      </c>
      <c r="B30" t="s">
        <v>220</v>
      </c>
      <c r="C30" t="s">
        <v>102</v>
      </c>
      <c r="D30">
        <f t="shared" si="2"/>
        <v>-4.8409999999999998E-3</v>
      </c>
      <c r="E30">
        <f t="shared" si="2"/>
        <v>-2.189E-3</v>
      </c>
      <c r="F30">
        <f t="shared" si="2"/>
        <v>1.1628999999999999E-2</v>
      </c>
      <c r="G30">
        <f t="shared" si="2"/>
        <v>1.5162999999999999E-2</v>
      </c>
      <c r="H30">
        <f t="shared" si="2"/>
        <v>1.4209000000000001E-2</v>
      </c>
      <c r="I30">
        <f t="shared" si="2"/>
        <v>7.7539999999999996E-3</v>
      </c>
      <c r="J30">
        <f t="shared" si="2"/>
        <v>7.1621999999999996E-3</v>
      </c>
      <c r="K30">
        <f t="shared" si="2"/>
        <v>2.6350000000000002E-3</v>
      </c>
      <c r="L30">
        <f t="shared" si="2"/>
        <v>7.2204000000000001E-3</v>
      </c>
      <c r="M30">
        <f t="shared" si="2"/>
        <v>5.7229999999999998E-3</v>
      </c>
      <c r="N30">
        <f t="shared" si="2"/>
        <v>5.4082000000000002E-3</v>
      </c>
      <c r="O30">
        <f t="shared" si="2"/>
        <v>4.8288999999999997E-3</v>
      </c>
      <c r="P30">
        <f t="shared" si="2"/>
        <v>3.5700184E-3</v>
      </c>
      <c r="Q30">
        <f t="shared" si="2"/>
        <v>3.1292E-3</v>
      </c>
      <c r="R30">
        <f t="shared" si="2"/>
        <v>8.2711E-3</v>
      </c>
      <c r="S30">
        <f t="shared" si="2"/>
        <v>9.1318099999999989E-3</v>
      </c>
      <c r="T30">
        <f t="shared" si="4"/>
        <v>1.4943999999999999E-3</v>
      </c>
      <c r="U30">
        <f t="shared" si="4"/>
        <v>3.5534E-3</v>
      </c>
      <c r="V30">
        <f t="shared" si="4"/>
        <v>5.3736000000000001E-3</v>
      </c>
      <c r="W30">
        <f t="shared" si="4"/>
        <v>6.1446000000000001E-3</v>
      </c>
      <c r="X30">
        <f t="shared" si="4"/>
        <v>7.4140000000000005E-3</v>
      </c>
      <c r="Y30">
        <f t="shared" si="4"/>
        <v>5.7242000000000005E-3</v>
      </c>
      <c r="Z30">
        <f t="shared" si="4"/>
        <v>6.2786999999999999E-3</v>
      </c>
      <c r="AA30">
        <f t="shared" si="4"/>
        <v>3.9064E-3</v>
      </c>
      <c r="AB30">
        <f t="shared" si="4"/>
        <v>2.6542000000000002E-3</v>
      </c>
      <c r="AC30">
        <f t="shared" si="4"/>
        <v>7.6479999999999994E-4</v>
      </c>
      <c r="AD30">
        <f t="shared" si="4"/>
        <v>3.0206999999999999E-3</v>
      </c>
      <c r="AE30">
        <f t="shared" si="4"/>
        <v>3.6149000000000003E-3</v>
      </c>
      <c r="AF30">
        <f t="shared" si="4"/>
        <v>3.1250000000000001E-4</v>
      </c>
      <c r="AG30">
        <f t="shared" si="4"/>
        <v>8.013639999999999E-3</v>
      </c>
      <c r="AH30">
        <f t="shared" si="4"/>
        <v>5.5576000000000002E-3</v>
      </c>
      <c r="AI30">
        <f t="shared" si="4"/>
        <v>1.3802E-3</v>
      </c>
      <c r="AJ30">
        <f t="shared" si="4"/>
        <v>3.2383999999999998E-3</v>
      </c>
      <c r="AK30">
        <f t="shared" si="4"/>
        <v>-5.3549999999999995E-4</v>
      </c>
      <c r="AL30">
        <f t="shared" si="4"/>
        <v>1.7323999999999998E-3</v>
      </c>
      <c r="AM30">
        <f t="shared" si="4"/>
        <v>6.3590000000000001E-3</v>
      </c>
      <c r="AN30">
        <f t="shared" si="4"/>
        <v>3.1110000000000003E-4</v>
      </c>
      <c r="AO30">
        <f t="shared" si="4"/>
        <v>2.1635000000000001E-3</v>
      </c>
      <c r="AP30">
        <f t="shared" si="4"/>
        <v>1.126E-4</v>
      </c>
      <c r="AQ30">
        <f t="shared" si="4"/>
        <v>2.1107000000000001E-3</v>
      </c>
      <c r="AR30">
        <f t="shared" si="4"/>
        <v>-2.7460999999999996E-3</v>
      </c>
      <c r="AS30">
        <f t="shared" si="4"/>
        <v>3.5069999999999997E-3</v>
      </c>
      <c r="AT30">
        <f t="shared" si="4"/>
        <v>2.6589000000000001E-3</v>
      </c>
      <c r="AU30">
        <f t="shared" si="4"/>
        <v>2.5010000000000002E-3</v>
      </c>
      <c r="AV30">
        <f t="shared" si="4"/>
        <v>-5.8716999999999997E-3</v>
      </c>
      <c r="AW30">
        <f t="shared" si="4"/>
        <v>-1.9090000000000001E-4</v>
      </c>
      <c r="AX30">
        <f t="shared" si="4"/>
        <v>-4.1961999999999998E-3</v>
      </c>
      <c r="AY30">
        <f t="shared" si="4"/>
        <v>2.1939999999999999E-4</v>
      </c>
      <c r="AZ30">
        <f t="shared" si="4"/>
        <v>1.6684E-3</v>
      </c>
      <c r="BA30">
        <f t="shared" si="4"/>
        <v>-8.1720000000000002E-4</v>
      </c>
      <c r="BB30">
        <f t="shared" si="4"/>
        <v>2.0387000000000001E-4</v>
      </c>
      <c r="BC30">
        <f t="shared" si="4"/>
        <v>5.2468999999999997E-4</v>
      </c>
      <c r="BD30">
        <f t="shared" si="4"/>
        <v>1.4459E-4</v>
      </c>
      <c r="BE30">
        <f t="shared" si="4"/>
        <v>5.3327299999999999E-3</v>
      </c>
      <c r="BF30">
        <f t="shared" si="4"/>
        <v>-6.6569999999999997E-4</v>
      </c>
      <c r="BG30">
        <f t="shared" si="4"/>
        <v>1.6847000000000001E-3</v>
      </c>
      <c r="BH30">
        <f t="shared" si="4"/>
        <v>-2.1221899999999999E-3</v>
      </c>
      <c r="BI30">
        <f t="shared" si="4"/>
        <v>-5.6550000000000003E-4</v>
      </c>
      <c r="BJ30">
        <f t="shared" si="4"/>
        <v>-8.5596000000000005E-3</v>
      </c>
      <c r="BK30">
        <f t="shared" si="4"/>
        <v>7.2110000000000004E-3</v>
      </c>
      <c r="BL30">
        <f t="shared" si="4"/>
        <v>-1.8087000000000001E-3</v>
      </c>
      <c r="BM30">
        <f t="shared" si="4"/>
        <v>2.8381999999999999E-3</v>
      </c>
      <c r="BN30">
        <f t="shared" si="4"/>
        <v>3.6893999999999998E-3</v>
      </c>
      <c r="BO30">
        <f t="shared" si="4"/>
        <v>4.7965000000000004E-3</v>
      </c>
      <c r="BP30">
        <f t="shared" si="4"/>
        <v>2.5815999999999999E-3</v>
      </c>
      <c r="BQ30">
        <f t="shared" si="1"/>
        <v>6.0210000000000003E-3</v>
      </c>
      <c r="BR30">
        <f t="shared" si="1"/>
        <v>1.3650000000000001E-3</v>
      </c>
      <c r="BS30">
        <f t="shared" si="1"/>
        <v>-3.1082000000000002E-3</v>
      </c>
      <c r="BT30">
        <f t="shared" si="1"/>
        <v>3.2139999999999998E-3</v>
      </c>
      <c r="BU30">
        <f t="shared" si="1"/>
        <v>-4.4200000000000001E-4</v>
      </c>
      <c r="BV30">
        <f t="shared" si="1"/>
        <v>7.9750000000000003E-4</v>
      </c>
      <c r="BW30">
        <f t="shared" si="1"/>
        <v>-2.568E-3</v>
      </c>
      <c r="BX30">
        <f t="shared" si="1"/>
        <v>9.6599999999999995E-4</v>
      </c>
      <c r="BY30">
        <f t="shared" si="1"/>
        <v>-6.7500000000000004E-4</v>
      </c>
      <c r="BZ30">
        <f t="shared" si="1"/>
        <v>9.4399999999999996E-4</v>
      </c>
      <c r="CA30">
        <f t="shared" si="1"/>
        <v>-4.7828999999999997E-3</v>
      </c>
      <c r="CB30">
        <f t="shared" si="1"/>
        <v>1.4166E-2</v>
      </c>
      <c r="CC30">
        <f t="shared" si="1"/>
        <v>1.3048000000000001E-2</v>
      </c>
      <c r="CD30">
        <f t="shared" si="1"/>
        <v>2.6149999999999997E-3</v>
      </c>
      <c r="CE30">
        <f t="shared" si="1"/>
        <v>-7.8100000000000012E-4</v>
      </c>
      <c r="CF30">
        <f t="shared" si="1"/>
        <v>-3.1100000000000008E-4</v>
      </c>
      <c r="CG30">
        <f t="shared" si="1"/>
        <v>8.5000000000000006E-4</v>
      </c>
      <c r="CH30">
        <f t="shared" si="1"/>
        <v>4.653E-3</v>
      </c>
      <c r="CI30">
        <f t="shared" si="1"/>
        <v>2.7680000000000001E-3</v>
      </c>
      <c r="CJ30">
        <f t="shared" si="1"/>
        <v>-2.8799999999999995E-4</v>
      </c>
      <c r="CK30">
        <f t="shared" si="1"/>
        <v>6.999E-3</v>
      </c>
      <c r="CL30">
        <f t="shared" si="1"/>
        <v>1.2598E-2</v>
      </c>
      <c r="CM30">
        <f t="shared" si="1"/>
        <v>-1.0420000000000002E-3</v>
      </c>
      <c r="CN30">
        <f t="shared" si="1"/>
        <v>5.7350000000000005E-3</v>
      </c>
      <c r="CO30">
        <f t="shared" si="1"/>
        <v>-2.6200000000000003E-4</v>
      </c>
      <c r="CP30">
        <f t="shared" si="1"/>
        <v>5.4780000000000002E-3</v>
      </c>
      <c r="CQ30">
        <f t="shared" si="1"/>
        <v>7.3660000000000002E-3</v>
      </c>
      <c r="CR30">
        <f t="shared" si="1"/>
        <v>1.3975E-2</v>
      </c>
      <c r="CS30">
        <f t="shared" si="1"/>
        <v>9.1870000000000007E-3</v>
      </c>
      <c r="CT30">
        <f t="shared" si="1"/>
        <v>1.2703000000000001E-2</v>
      </c>
      <c r="CU30">
        <f t="shared" si="1"/>
        <v>-9.6099999999999994E-4</v>
      </c>
      <c r="CV30">
        <f t="shared" si="1"/>
        <v>7.6170000000000005E-3</v>
      </c>
      <c r="CW30">
        <f t="shared" si="1"/>
        <v>1.0740000000000001E-3</v>
      </c>
      <c r="CX30">
        <f t="shared" si="1"/>
        <v>1.3815999999999998E-2</v>
      </c>
    </row>
    <row r="31" spans="1:102" x14ac:dyDescent="0.2">
      <c r="A31" t="s">
        <v>215</v>
      </c>
      <c r="B31" t="s">
        <v>220</v>
      </c>
      <c r="C31" t="s">
        <v>102</v>
      </c>
      <c r="D31">
        <f t="shared" si="2"/>
        <v>-1.5599999999999999E-2</v>
      </c>
      <c r="E31">
        <f t="shared" si="2"/>
        <v>7.4999999999999997E-2</v>
      </c>
      <c r="F31">
        <f t="shared" si="2"/>
        <v>3.0599999999999999E-2</v>
      </c>
      <c r="G31">
        <f t="shared" si="2"/>
        <v>-4.2700000000000002E-2</v>
      </c>
      <c r="H31">
        <f t="shared" si="2"/>
        <v>-4.1399999999999999E-2</v>
      </c>
      <c r="I31">
        <f t="shared" si="2"/>
        <v>-0.05</v>
      </c>
      <c r="J31">
        <f t="shared" si="2"/>
        <v>-7.2400000000000006E-2</v>
      </c>
      <c r="K31">
        <f t="shared" si="2"/>
        <v>-4.3499999999999997E-2</v>
      </c>
      <c r="L31">
        <f t="shared" si="2"/>
        <v>-4.7E-2</v>
      </c>
      <c r="M31">
        <f t="shared" si="2"/>
        <v>-3.2399999999999998E-2</v>
      </c>
      <c r="N31">
        <f t="shared" si="2"/>
        <v>-3.44E-2</v>
      </c>
      <c r="O31">
        <f t="shared" si="2"/>
        <v>-2.7199999999999998E-2</v>
      </c>
      <c r="P31">
        <f t="shared" si="2"/>
        <v>-2.2910000000000003E-2</v>
      </c>
      <c r="Q31">
        <f t="shared" si="2"/>
        <v>-1.6900000000000002E-2</v>
      </c>
      <c r="R31">
        <f t="shared" si="2"/>
        <v>-1.2769999999999998E-2</v>
      </c>
      <c r="S31">
        <f t="shared" si="2"/>
        <v>-1.2339999999999999E-2</v>
      </c>
      <c r="T31">
        <f t="shared" si="4"/>
        <v>-1.038E-2</v>
      </c>
      <c r="U31">
        <f t="shared" si="4"/>
        <v>-1.12E-2</v>
      </c>
      <c r="V31">
        <f t="shared" si="4"/>
        <v>-1.2400000000000001E-2</v>
      </c>
      <c r="W31">
        <f t="shared" si="4"/>
        <v>-1.413E-2</v>
      </c>
      <c r="X31">
        <f t="shared" si="4"/>
        <v>-9.6299999999999997E-3</v>
      </c>
      <c r="Y31">
        <f t="shared" si="4"/>
        <v>-1.1039999999999999E-2</v>
      </c>
      <c r="Z31">
        <f t="shared" si="4"/>
        <v>-6.5399999999999989E-3</v>
      </c>
      <c r="AA31">
        <f t="shared" si="4"/>
        <v>-7.0500000000000007E-3</v>
      </c>
      <c r="AB31">
        <f t="shared" si="4"/>
        <v>-7.3399999999999993E-3</v>
      </c>
      <c r="AC31">
        <f t="shared" si="4"/>
        <v>-7.2900000000000005E-3</v>
      </c>
      <c r="AD31">
        <f t="shared" si="4"/>
        <v>-6.830000000000001E-3</v>
      </c>
      <c r="AE31">
        <f t="shared" si="4"/>
        <v>-5.6399999999999992E-3</v>
      </c>
      <c r="AF31">
        <f t="shared" si="4"/>
        <v>-6.9099999999999995E-3</v>
      </c>
      <c r="AG31">
        <f t="shared" si="4"/>
        <v>-7.2099999999999994E-3</v>
      </c>
      <c r="AH31">
        <f t="shared" si="4"/>
        <v>-9.6299999999999997E-3</v>
      </c>
      <c r="AI31">
        <f t="shared" si="4"/>
        <v>-1.0490000000000001E-2</v>
      </c>
      <c r="AJ31">
        <f t="shared" si="4"/>
        <v>-6.2599999999999999E-3</v>
      </c>
      <c r="AK31">
        <f t="shared" si="4"/>
        <v>7.8499999999999993E-3</v>
      </c>
      <c r="AL31">
        <f t="shared" si="4"/>
        <v>5.0000000000000001E-3</v>
      </c>
      <c r="AM31">
        <f t="shared" si="4"/>
        <v>3.9820000000000003E-3</v>
      </c>
      <c r="AN31">
        <f t="shared" si="4"/>
        <v>2.6439999999999996E-3</v>
      </c>
      <c r="AO31">
        <f t="shared" si="4"/>
        <v>2.3799999999999997E-3</v>
      </c>
      <c r="AP31">
        <f t="shared" si="4"/>
        <v>1.0030000000000001E-2</v>
      </c>
      <c r="AQ31">
        <f t="shared" si="4"/>
        <v>1.001E-2</v>
      </c>
      <c r="AR31">
        <f t="shared" si="4"/>
        <v>1.0880000000000001E-2</v>
      </c>
      <c r="AS31">
        <f t="shared" si="4"/>
        <v>4.4799999999999996E-3</v>
      </c>
      <c r="AT31">
        <f t="shared" si="4"/>
        <v>4.9399999999999999E-3</v>
      </c>
      <c r="AU31">
        <f t="shared" si="4"/>
        <v>6.0099999999999997E-3</v>
      </c>
      <c r="AV31">
        <f t="shared" si="4"/>
        <v>4.8999999999999998E-3</v>
      </c>
      <c r="AW31">
        <f t="shared" si="4"/>
        <v>4.3099999999999996E-3</v>
      </c>
      <c r="AX31">
        <f t="shared" si="4"/>
        <v>1.72E-3</v>
      </c>
      <c r="AY31">
        <f t="shared" si="4"/>
        <v>1.98E-3</v>
      </c>
      <c r="AZ31">
        <f t="shared" si="4"/>
        <v>-2.63E-3</v>
      </c>
      <c r="BA31">
        <f t="shared" si="4"/>
        <v>-9.1900000000000003E-3</v>
      </c>
      <c r="BB31">
        <f t="shared" si="4"/>
        <v>-1.005E-2</v>
      </c>
      <c r="BC31">
        <f t="shared" si="4"/>
        <v>-1.0869999999999999E-2</v>
      </c>
      <c r="BD31">
        <f t="shared" si="4"/>
        <v>-1.3299999999999999E-2</v>
      </c>
      <c r="BE31">
        <f t="shared" si="4"/>
        <v>-1.0450000000000001E-2</v>
      </c>
      <c r="BF31">
        <f t="shared" si="4"/>
        <v>-1.316E-2</v>
      </c>
      <c r="BG31">
        <f t="shared" si="4"/>
        <v>-1.4140000000000002E-2</v>
      </c>
      <c r="BH31">
        <f t="shared" si="4"/>
        <v>-1.668E-2</v>
      </c>
      <c r="BI31">
        <f t="shared" si="4"/>
        <v>8.5599999999999999E-3</v>
      </c>
      <c r="BJ31">
        <f t="shared" si="4"/>
        <v>1.3409999999999998E-2</v>
      </c>
      <c r="BK31">
        <f t="shared" si="4"/>
        <v>1.4670000000000001E-2</v>
      </c>
      <c r="BL31">
        <f t="shared" si="4"/>
        <v>1.282E-2</v>
      </c>
      <c r="BM31">
        <f t="shared" si="4"/>
        <v>2.2720000000000001E-2</v>
      </c>
      <c r="BN31">
        <f t="shared" si="4"/>
        <v>2.3280000000000002E-2</v>
      </c>
      <c r="BO31">
        <f t="shared" si="4"/>
        <v>1.891E-2</v>
      </c>
      <c r="BP31">
        <f t="shared" si="4"/>
        <v>1.5679999999999999E-2</v>
      </c>
      <c r="BQ31">
        <f t="shared" si="1"/>
        <v>1.6040000000000002E-2</v>
      </c>
      <c r="BR31">
        <f t="shared" si="1"/>
        <v>1.5170000000000001E-2</v>
      </c>
      <c r="BS31">
        <f t="shared" si="1"/>
        <v>1.2790000000000001E-2</v>
      </c>
      <c r="BT31">
        <f t="shared" si="1"/>
        <v>1.8599999999999998E-2</v>
      </c>
      <c r="BU31">
        <f t="shared" si="1"/>
        <v>1.7509999999999998E-2</v>
      </c>
      <c r="BV31">
        <f t="shared" si="1"/>
        <v>1.7329999999999998E-2</v>
      </c>
      <c r="BW31">
        <f t="shared" si="1"/>
        <v>1.9579000000000003E-2</v>
      </c>
      <c r="BX31">
        <f t="shared" si="1"/>
        <v>1.5467E-2</v>
      </c>
      <c r="BY31">
        <f t="shared" si="1"/>
        <v>1.3372999999999999E-2</v>
      </c>
      <c r="BZ31">
        <f t="shared" si="1"/>
        <v>9.5130000000000006E-3</v>
      </c>
      <c r="CA31">
        <f t="shared" si="1"/>
        <v>7.7850000000000003E-3</v>
      </c>
      <c r="CB31">
        <f t="shared" si="1"/>
        <v>6.4099999999999999E-3</v>
      </c>
      <c r="CC31">
        <f t="shared" si="1"/>
        <v>8.5610000000000009E-3</v>
      </c>
      <c r="CD31">
        <f t="shared" si="1"/>
        <v>1.5305999999999998E-2</v>
      </c>
      <c r="CE31">
        <f t="shared" si="1"/>
        <v>1.4886999999999999E-2</v>
      </c>
      <c r="CF31">
        <f t="shared" si="1"/>
        <v>1.223E-2</v>
      </c>
      <c r="CG31">
        <f t="shared" si="1"/>
        <v>1.0290000000000001E-2</v>
      </c>
      <c r="CH31">
        <f t="shared" si="1"/>
        <v>6.0499999999999998E-3</v>
      </c>
      <c r="CI31">
        <f t="shared" si="1"/>
        <v>5.0100000000000006E-3</v>
      </c>
      <c r="CJ31">
        <f t="shared" si="1"/>
        <v>2.8739999999999998E-2</v>
      </c>
      <c r="CK31">
        <f t="shared" si="1"/>
        <v>2.792E-2</v>
      </c>
      <c r="CL31">
        <f t="shared" si="1"/>
        <v>1.762E-2</v>
      </c>
      <c r="CM31">
        <f t="shared" si="1"/>
        <v>6.320000000000001E-3</v>
      </c>
      <c r="CN31">
        <f t="shared" si="1"/>
        <v>2.0800000000000003E-3</v>
      </c>
      <c r="CO31">
        <f t="shared" si="1"/>
        <v>-1.1599999999999999E-2</v>
      </c>
      <c r="CP31">
        <f t="shared" si="1"/>
        <v>-1.048E-2</v>
      </c>
      <c r="CQ31">
        <f t="shared" si="1"/>
        <v>-1.155E-2</v>
      </c>
      <c r="CR31">
        <f t="shared" si="1"/>
        <v>-3.3919999999999999E-2</v>
      </c>
      <c r="CS31">
        <f t="shared" si="1"/>
        <v>-2.9700000000000001E-2</v>
      </c>
      <c r="CT31">
        <f t="shared" si="1"/>
        <v>6.2210000000000001E-2</v>
      </c>
      <c r="CU31">
        <f t="shared" si="1"/>
        <v>7.0449999999999999E-2</v>
      </c>
      <c r="CV31">
        <f t="shared" si="1"/>
        <v>6.5290000000000001E-2</v>
      </c>
      <c r="CW31">
        <f t="shared" si="1"/>
        <v>6.5549999999999997E-2</v>
      </c>
      <c r="CX31">
        <f t="shared" si="1"/>
        <v>6.1440000000000002E-2</v>
      </c>
    </row>
    <row r="32" spans="1:102" x14ac:dyDescent="0.2">
      <c r="A32" t="s">
        <v>216</v>
      </c>
      <c r="B32" t="s">
        <v>220</v>
      </c>
      <c r="C32" t="s">
        <v>102</v>
      </c>
      <c r="D32">
        <f>D23</f>
        <v>-0.24199999999999999</v>
      </c>
      <c r="E32">
        <f t="shared" ref="E32:BP32" si="5">E23</f>
        <v>-0.22900000000000001</v>
      </c>
      <c r="F32">
        <f t="shared" si="5"/>
        <v>0.26900000000000002</v>
      </c>
      <c r="G32">
        <f t="shared" si="5"/>
        <v>0.33200000000000002</v>
      </c>
      <c r="H32">
        <f t="shared" si="5"/>
        <v>0.53300000000000003</v>
      </c>
      <c r="I32">
        <f t="shared" si="5"/>
        <v>0.375</v>
      </c>
      <c r="J32">
        <f t="shared" si="5"/>
        <v>0.59799999999999998</v>
      </c>
      <c r="K32">
        <f t="shared" si="5"/>
        <v>0.49399999999999999</v>
      </c>
      <c r="L32">
        <f t="shared" si="5"/>
        <v>0.50800000000000001</v>
      </c>
      <c r="M32">
        <f t="shared" si="5"/>
        <v>0.43</v>
      </c>
      <c r="N32">
        <f t="shared" si="5"/>
        <v>0.56699999999999995</v>
      </c>
      <c r="O32">
        <f t="shared" si="5"/>
        <v>0.71799999999999997</v>
      </c>
      <c r="P32">
        <f t="shared" si="5"/>
        <v>0.67900000000000005</v>
      </c>
      <c r="Q32">
        <f t="shared" si="5"/>
        <v>0.56599999999999995</v>
      </c>
      <c r="R32">
        <f t="shared" si="5"/>
        <v>0.36</v>
      </c>
      <c r="S32">
        <f t="shared" si="5"/>
        <v>0.29299999999999998</v>
      </c>
      <c r="T32">
        <f t="shared" si="5"/>
        <v>0.31</v>
      </c>
      <c r="U32">
        <f t="shared" si="5"/>
        <v>0.30399999999999999</v>
      </c>
      <c r="V32">
        <f t="shared" si="5"/>
        <v>0.252</v>
      </c>
      <c r="W32">
        <f t="shared" si="5"/>
        <v>0.23100000000000001</v>
      </c>
      <c r="X32">
        <f t="shared" si="5"/>
        <v>0.22900000000000001</v>
      </c>
      <c r="Y32">
        <f t="shared" si="5"/>
        <v>0.25800000000000001</v>
      </c>
      <c r="Z32">
        <f t="shared" si="5"/>
        <v>0.27500000000000002</v>
      </c>
      <c r="AA32">
        <f t="shared" si="5"/>
        <v>0.27300000000000002</v>
      </c>
      <c r="AB32">
        <f t="shared" si="5"/>
        <v>0.24199999999999999</v>
      </c>
      <c r="AC32">
        <f t="shared" si="5"/>
        <v>0.20200000000000001</v>
      </c>
      <c r="AD32">
        <f t="shared" si="5"/>
        <v>0.16900000000000001</v>
      </c>
      <c r="AE32">
        <f t="shared" si="5"/>
        <v>0.153</v>
      </c>
      <c r="AF32">
        <f t="shared" si="5"/>
        <v>0.13400000000000001</v>
      </c>
      <c r="AG32">
        <f t="shared" si="5"/>
        <v>0.11700000000000001</v>
      </c>
      <c r="AH32">
        <f t="shared" si="5"/>
        <v>0.121</v>
      </c>
      <c r="AI32">
        <f t="shared" si="5"/>
        <v>0.112</v>
      </c>
      <c r="AJ32">
        <f t="shared" si="5"/>
        <v>8.7599999999999997E-2</v>
      </c>
      <c r="AK32">
        <f t="shared" si="5"/>
        <v>6.0499999999999998E-2</v>
      </c>
      <c r="AL32">
        <f t="shared" si="5"/>
        <v>5.0900000000000001E-2</v>
      </c>
      <c r="AM32">
        <f t="shared" si="5"/>
        <v>4.8599999999999997E-2</v>
      </c>
      <c r="AN32">
        <f t="shared" si="5"/>
        <v>6.0699999999999997E-2</v>
      </c>
      <c r="AO32">
        <f t="shared" si="5"/>
        <v>7.4399999999999994E-2</v>
      </c>
      <c r="AP32">
        <f t="shared" si="5"/>
        <v>0.124</v>
      </c>
      <c r="AQ32">
        <f t="shared" si="5"/>
        <v>0.17699999999999999</v>
      </c>
      <c r="AR32">
        <f t="shared" si="5"/>
        <v>0.17799999999999999</v>
      </c>
      <c r="AS32">
        <f t="shared" si="5"/>
        <v>0.186</v>
      </c>
      <c r="AT32">
        <f t="shared" si="5"/>
        <v>0.16700000000000001</v>
      </c>
      <c r="AU32">
        <f t="shared" si="5"/>
        <v>0.159</v>
      </c>
      <c r="AV32">
        <f t="shared" si="5"/>
        <v>0.108</v>
      </c>
      <c r="AW32">
        <f t="shared" si="5"/>
        <v>6.5699999999999995E-2</v>
      </c>
      <c r="AX32">
        <f t="shared" si="5"/>
        <v>3.7400000000000003E-2</v>
      </c>
      <c r="AY32">
        <f t="shared" si="5"/>
        <v>4.7199999999999999E-2</v>
      </c>
      <c r="AZ32">
        <f t="shared" si="5"/>
        <v>4.4900000000000002E-2</v>
      </c>
      <c r="BA32">
        <f t="shared" si="5"/>
        <v>5.1900000000000002E-2</v>
      </c>
      <c r="BB32">
        <f t="shared" si="5"/>
        <v>0.10100000000000001</v>
      </c>
      <c r="BC32">
        <f t="shared" si="5"/>
        <v>0.16600000000000001</v>
      </c>
      <c r="BD32">
        <f t="shared" si="5"/>
        <v>0.19800000000000001</v>
      </c>
      <c r="BE32">
        <f t="shared" si="5"/>
        <v>0.21099999999999999</v>
      </c>
      <c r="BF32">
        <f t="shared" si="5"/>
        <v>0.20599999999999999</v>
      </c>
      <c r="BG32">
        <f t="shared" si="5"/>
        <v>0.218</v>
      </c>
      <c r="BH32">
        <f t="shared" si="5"/>
        <v>0.188</v>
      </c>
      <c r="BI32">
        <f t="shared" si="5"/>
        <v>0.11899999999999999</v>
      </c>
      <c r="BJ32">
        <f t="shared" si="5"/>
        <v>9.2600000000000002E-2</v>
      </c>
      <c r="BK32">
        <f t="shared" si="5"/>
        <v>7.8799999999999995E-2</v>
      </c>
      <c r="BL32">
        <f t="shared" si="5"/>
        <v>7.7600000000000002E-2</v>
      </c>
      <c r="BM32">
        <f t="shared" si="5"/>
        <v>7.9500000000000001E-2</v>
      </c>
      <c r="BN32">
        <f t="shared" si="5"/>
        <v>0.105</v>
      </c>
      <c r="BO32">
        <f t="shared" si="5"/>
        <v>0.16400000000000001</v>
      </c>
      <c r="BP32">
        <f t="shared" si="5"/>
        <v>0.19700000000000001</v>
      </c>
      <c r="BQ32">
        <f t="shared" ref="BQ32:CX32" si="6">BQ23</f>
        <v>0.182</v>
      </c>
      <c r="BR32">
        <f t="shared" si="6"/>
        <v>0.14699999999999999</v>
      </c>
      <c r="BS32">
        <f t="shared" si="6"/>
        <v>0.129</v>
      </c>
      <c r="BT32">
        <f t="shared" si="6"/>
        <v>9.7299999999999998E-2</v>
      </c>
      <c r="BU32">
        <f t="shared" si="6"/>
        <v>4.9299999999999997E-2</v>
      </c>
      <c r="BV32">
        <f t="shared" si="6"/>
        <v>4.99E-2</v>
      </c>
      <c r="BW32">
        <f t="shared" si="6"/>
        <v>4.0300000000000002E-2</v>
      </c>
      <c r="BX32">
        <f t="shared" si="6"/>
        <v>7.3899999999999993E-2</v>
      </c>
      <c r="BY32">
        <f t="shared" si="6"/>
        <v>0.11</v>
      </c>
      <c r="BZ32">
        <f t="shared" si="6"/>
        <v>0.21299999999999999</v>
      </c>
      <c r="CA32">
        <f t="shared" si="6"/>
        <v>0.247</v>
      </c>
      <c r="CB32">
        <f t="shared" si="6"/>
        <v>0.222</v>
      </c>
      <c r="CC32">
        <f t="shared" si="6"/>
        <v>0.23699999999999999</v>
      </c>
      <c r="CD32">
        <f t="shared" si="6"/>
        <v>0.21299999999999999</v>
      </c>
      <c r="CE32">
        <f t="shared" si="6"/>
        <v>3.9800000000000002E-2</v>
      </c>
      <c r="CF32">
        <f t="shared" si="6"/>
        <v>-5.5300000000000002E-3</v>
      </c>
      <c r="CG32">
        <f t="shared" si="6"/>
        <v>8.1200000000000005E-3</v>
      </c>
      <c r="CH32">
        <f t="shared" si="6"/>
        <v>-5.3100000000000001E-2</v>
      </c>
      <c r="CI32">
        <f t="shared" si="6"/>
        <v>-1.4200000000000001E-2</v>
      </c>
      <c r="CJ32">
        <f t="shared" si="6"/>
        <v>-1.4500000000000001E-2</v>
      </c>
      <c r="CK32">
        <f t="shared" si="6"/>
        <v>0.29499999999999998</v>
      </c>
      <c r="CL32">
        <f t="shared" si="6"/>
        <v>0.24199999999999999</v>
      </c>
      <c r="CM32">
        <f t="shared" si="6"/>
        <v>0.14000000000000001</v>
      </c>
      <c r="CN32">
        <f t="shared" si="6"/>
        <v>2.2200000000000001E-2</v>
      </c>
      <c r="CO32">
        <f t="shared" si="6"/>
        <v>-3.3100000000000002E-4</v>
      </c>
      <c r="CP32">
        <f t="shared" si="6"/>
        <v>0.18099999999999999</v>
      </c>
      <c r="CQ32">
        <f t="shared" si="6"/>
        <v>0.30299999999999999</v>
      </c>
      <c r="CR32">
        <f t="shared" si="6"/>
        <v>0.2</v>
      </c>
      <c r="CS32">
        <f t="shared" si="6"/>
        <v>0.21299999999999999</v>
      </c>
      <c r="CT32">
        <f t="shared" si="6"/>
        <v>5.5599999999999997E-2</v>
      </c>
      <c r="CU32">
        <f t="shared" si="6"/>
        <v>-0.16</v>
      </c>
      <c r="CV32">
        <f t="shared" si="6"/>
        <v>8.9599999999999999E-2</v>
      </c>
      <c r="CW32">
        <f t="shared" si="6"/>
        <v>-4.41E-2</v>
      </c>
      <c r="CX32">
        <f t="shared" si="6"/>
        <v>-0.11</v>
      </c>
    </row>
    <row r="33" spans="1:102" x14ac:dyDescent="0.2">
      <c r="A33" t="s">
        <v>203</v>
      </c>
      <c r="B33" t="s">
        <v>217</v>
      </c>
      <c r="C33" t="s">
        <v>221</v>
      </c>
      <c r="D33">
        <f>'2015_2020'!B2</f>
        <v>0.19</v>
      </c>
      <c r="E33">
        <f>'2015_2020'!C2</f>
        <v>0.48399999999999999</v>
      </c>
      <c r="F33">
        <f>'2015_2020'!D2</f>
        <v>0.70499999999999996</v>
      </c>
      <c r="G33">
        <f>'2015_2020'!E2</f>
        <v>0.88800000000000001</v>
      </c>
      <c r="H33">
        <f>'2015_2020'!F2</f>
        <v>0.997</v>
      </c>
      <c r="I33">
        <f>'2015_2020'!G2</f>
        <v>1.111</v>
      </c>
      <c r="J33">
        <f>'2015_2020'!H2</f>
        <v>1.1970000000000001</v>
      </c>
      <c r="K33">
        <f>'2015_2020'!I2</f>
        <v>1.292</v>
      </c>
      <c r="L33">
        <f>'2015_2020'!J2</f>
        <v>1.3879999999999999</v>
      </c>
      <c r="M33">
        <f>'2015_2020'!K2</f>
        <v>1.4219999999999999</v>
      </c>
      <c r="N33">
        <f>'2015_2020'!L2</f>
        <v>1.492</v>
      </c>
      <c r="O33">
        <f>'2015_2020'!M2</f>
        <v>1.575</v>
      </c>
      <c r="P33">
        <f>'2015_2020'!N2</f>
        <v>1.583</v>
      </c>
      <c r="Q33">
        <f>'2015_2020'!O2</f>
        <v>1.613</v>
      </c>
      <c r="R33">
        <f>'2015_2020'!P2</f>
        <v>1.647</v>
      </c>
      <c r="S33">
        <f>'2015_2020'!Q2</f>
        <v>1.6719999999999999</v>
      </c>
      <c r="T33">
        <f>'2015_2020'!R2</f>
        <v>1.704</v>
      </c>
      <c r="U33">
        <f>'2015_2020'!S2</f>
        <v>1.718</v>
      </c>
      <c r="V33">
        <f>'2015_2020'!T2</f>
        <v>1.744</v>
      </c>
      <c r="W33">
        <f>'2015_2020'!U2</f>
        <v>1.7509999999999999</v>
      </c>
      <c r="X33">
        <f>'2015_2020'!V2</f>
        <v>1.758</v>
      </c>
      <c r="Y33">
        <f>'2015_2020'!W2</f>
        <v>1.7949999999999999</v>
      </c>
      <c r="Z33">
        <f>'2015_2020'!X2</f>
        <v>1.802</v>
      </c>
      <c r="AA33">
        <f>'2015_2020'!Y2</f>
        <v>1.8009999999999999</v>
      </c>
      <c r="AB33">
        <f>'2015_2020'!Z2</f>
        <v>1.806</v>
      </c>
      <c r="AC33">
        <f>'2015_2020'!AA2</f>
        <v>1.8109999999999999</v>
      </c>
      <c r="AD33">
        <f>'2015_2020'!AB2</f>
        <v>1.839</v>
      </c>
      <c r="AE33">
        <f>'2015_2020'!AC2</f>
        <v>1.8440000000000001</v>
      </c>
      <c r="AF33">
        <f>'2015_2020'!AD2</f>
        <v>1.8520000000000001</v>
      </c>
      <c r="AG33">
        <f>'2015_2020'!AE2</f>
        <v>1.86</v>
      </c>
      <c r="AH33">
        <f>'2015_2020'!AF2</f>
        <v>1.881</v>
      </c>
      <c r="AI33">
        <f>'2015_2020'!AG2</f>
        <v>1.889</v>
      </c>
      <c r="AJ33">
        <f>'2015_2020'!AH2</f>
        <v>1.895</v>
      </c>
      <c r="AK33">
        <f>'2015_2020'!AI2</f>
        <v>1.9119999999999999</v>
      </c>
      <c r="AL33">
        <f>'2015_2020'!AJ2</f>
        <v>1.95</v>
      </c>
      <c r="AM33">
        <f>'2015_2020'!AK2</f>
        <v>1.9690000000000001</v>
      </c>
      <c r="AN33">
        <f>'2015_2020'!AL2</f>
        <v>1.9810000000000001</v>
      </c>
      <c r="AO33">
        <f>'2015_2020'!AM2</f>
        <v>1.9830000000000001</v>
      </c>
      <c r="AP33">
        <f>'2015_2020'!AN2</f>
        <v>1.9890000000000001</v>
      </c>
      <c r="AQ33">
        <f>'2015_2020'!AO2</f>
        <v>2.008</v>
      </c>
      <c r="AR33">
        <f>'2015_2020'!AP2</f>
        <v>2.028</v>
      </c>
      <c r="AS33">
        <f>'2015_2020'!AQ2</f>
        <v>2.0470000000000002</v>
      </c>
      <c r="AT33">
        <f>'2015_2020'!AR2</f>
        <v>2.0649999999999999</v>
      </c>
      <c r="AU33">
        <f>'2015_2020'!AS2</f>
        <v>2.089</v>
      </c>
      <c r="AV33">
        <f>'2015_2020'!AT2</f>
        <v>2.0950000000000002</v>
      </c>
      <c r="AW33">
        <f>'2015_2020'!AU2</f>
        <v>2.1139999999999999</v>
      </c>
      <c r="AX33">
        <f>'2015_2020'!AV2</f>
        <v>2.1160000000000001</v>
      </c>
      <c r="AY33">
        <f>'2015_2020'!AW2</f>
        <v>2.137</v>
      </c>
      <c r="AZ33">
        <f>'2015_2020'!AX2</f>
        <v>2.1469999999999998</v>
      </c>
      <c r="BA33">
        <f>'2015_2020'!AY2</f>
        <v>2.1760000000000002</v>
      </c>
      <c r="BB33">
        <f>'2015_2020'!AZ2</f>
        <v>2.2029999999999998</v>
      </c>
      <c r="BC33">
        <f>'2015_2020'!BA2</f>
        <v>2.2170000000000001</v>
      </c>
      <c r="BD33">
        <f>'2015_2020'!BB2</f>
        <v>2.2090000000000001</v>
      </c>
      <c r="BE33">
        <f>'2015_2020'!BC2</f>
        <v>2.2290000000000001</v>
      </c>
      <c r="BF33">
        <f>'2015_2020'!BD2</f>
        <v>2.2679999999999998</v>
      </c>
      <c r="BG33">
        <f>'2015_2020'!BE2</f>
        <v>2.2719999999999998</v>
      </c>
      <c r="BH33">
        <f>'2015_2020'!BF2</f>
        <v>2.2919999999999998</v>
      </c>
      <c r="BI33">
        <f>'2015_2020'!BG2</f>
        <v>2.3109999999999999</v>
      </c>
      <c r="BJ33">
        <f>'2015_2020'!BH2</f>
        <v>2.3180000000000001</v>
      </c>
      <c r="BK33">
        <f>'2015_2020'!BI2</f>
        <v>2.3490000000000002</v>
      </c>
      <c r="BL33">
        <f>'2015_2020'!BJ2</f>
        <v>2.39</v>
      </c>
      <c r="BM33">
        <f>'2015_2020'!BK2</f>
        <v>2.4</v>
      </c>
      <c r="BN33">
        <f>'2015_2020'!BL2</f>
        <v>2.4020000000000001</v>
      </c>
      <c r="BO33">
        <f>'2015_2020'!BM2</f>
        <v>2.4359999999999999</v>
      </c>
      <c r="BP33">
        <f>'2015_2020'!BN2</f>
        <v>2.4929999999999999</v>
      </c>
      <c r="BQ33">
        <f>'2015_2020'!BO2</f>
        <v>2.504</v>
      </c>
      <c r="BR33">
        <f>'2015_2020'!BP2</f>
        <v>2.496</v>
      </c>
      <c r="BS33">
        <f>'2015_2020'!BQ2</f>
        <v>2.5</v>
      </c>
      <c r="BT33">
        <f>'2015_2020'!BR2</f>
        <v>2.5030000000000001</v>
      </c>
      <c r="BU33">
        <f>'2015_2020'!BS2</f>
        <v>2.5379999999999998</v>
      </c>
      <c r="BV33">
        <f>'2015_2020'!BT2</f>
        <v>2.5840000000000001</v>
      </c>
      <c r="BW33">
        <f>'2015_2020'!BU2</f>
        <v>2.621</v>
      </c>
      <c r="BX33">
        <f>'2015_2020'!BV2</f>
        <v>2.6389999999999998</v>
      </c>
      <c r="BY33">
        <f>'2015_2020'!BW2</f>
        <v>2.6789999999999998</v>
      </c>
      <c r="BZ33">
        <f>'2015_2020'!BX2</f>
        <v>2.7170000000000001</v>
      </c>
      <c r="CA33">
        <f>'2015_2020'!BY2</f>
        <v>2.7210000000000001</v>
      </c>
      <c r="CB33">
        <f>'2015_2020'!BZ2</f>
        <v>2.7759999999999998</v>
      </c>
      <c r="CC33">
        <f>'2015_2020'!CA2</f>
        <v>2.8039999999999998</v>
      </c>
      <c r="CD33">
        <f>'2015_2020'!CB2</f>
        <v>2.8290000000000002</v>
      </c>
      <c r="CE33">
        <f>'2015_2020'!CC2</f>
        <v>2.8959999999999999</v>
      </c>
      <c r="CF33">
        <f>'2015_2020'!CD2</f>
        <v>2.899</v>
      </c>
      <c r="CG33">
        <f>'2015_2020'!CE2</f>
        <v>2.91</v>
      </c>
      <c r="CH33">
        <f>'2015_2020'!CF2</f>
        <v>2.9649999999999999</v>
      </c>
      <c r="CI33">
        <f>'2015_2020'!CG2</f>
        <v>3.012</v>
      </c>
      <c r="CJ33">
        <f>'2015_2020'!CH2</f>
        <v>3.0640000000000001</v>
      </c>
      <c r="CK33">
        <f>'2015_2020'!CI2</f>
        <v>3.1339999999999999</v>
      </c>
      <c r="CL33">
        <f>'2015_2020'!CJ2</f>
        <v>3.2040000000000002</v>
      </c>
      <c r="CM33">
        <f>'2015_2020'!CK2</f>
        <v>3.198</v>
      </c>
      <c r="CN33">
        <f>'2015_2020'!CL2</f>
        <v>3.2719999999999998</v>
      </c>
      <c r="CO33">
        <f>'2015_2020'!CM2</f>
        <v>3.335</v>
      </c>
      <c r="CP33">
        <f>'2015_2020'!CN2</f>
        <v>3.4140000000000001</v>
      </c>
      <c r="CQ33">
        <f>'2015_2020'!CO2</f>
        <v>3.44</v>
      </c>
      <c r="CR33">
        <f>'2015_2020'!CP2</f>
        <v>3.5590000000000002</v>
      </c>
      <c r="CS33">
        <f>'2015_2020'!CQ2</f>
        <v>3.6520000000000001</v>
      </c>
      <c r="CT33">
        <f>'2015_2020'!CR2</f>
        <v>3.76</v>
      </c>
      <c r="CU33">
        <f>'2015_2020'!CS2</f>
        <v>3.887</v>
      </c>
      <c r="CV33">
        <f>'2015_2020'!CT2</f>
        <v>4.1040000000000001</v>
      </c>
      <c r="CW33">
        <f>'2015_2020'!CU2</f>
        <v>4.2880000000000003</v>
      </c>
      <c r="CX33">
        <f>'2015_2020'!CV2</f>
        <v>4.609</v>
      </c>
    </row>
    <row r="34" spans="1:102" x14ac:dyDescent="0.2">
      <c r="A34" t="s">
        <v>204</v>
      </c>
      <c r="B34" t="s">
        <v>217</v>
      </c>
      <c r="C34" t="s">
        <v>221</v>
      </c>
      <c r="D34">
        <f>'2015_2020'!B3</f>
        <v>0.19900000000000001</v>
      </c>
      <c r="E34">
        <f>'2015_2020'!C3</f>
        <v>0.54900000000000004</v>
      </c>
      <c r="F34">
        <f>'2015_2020'!D3</f>
        <v>0.80400000000000005</v>
      </c>
      <c r="G34">
        <f>'2015_2020'!E3</f>
        <v>0.96</v>
      </c>
      <c r="H34">
        <f>'2015_2020'!F3</f>
        <v>1.1299999999999999</v>
      </c>
      <c r="I34">
        <f>'2015_2020'!G3</f>
        <v>1.1879999999999999</v>
      </c>
      <c r="J34">
        <f>'2015_2020'!H3</f>
        <v>1.3149999999999999</v>
      </c>
      <c r="K34">
        <f>'2015_2020'!I3</f>
        <v>1.3660000000000001</v>
      </c>
      <c r="L34">
        <f>'2015_2020'!J3</f>
        <v>1.4379999999999999</v>
      </c>
      <c r="M34">
        <f>'2015_2020'!K3</f>
        <v>1.5069999999999999</v>
      </c>
      <c r="N34">
        <f>'2015_2020'!L3</f>
        <v>1.5469999999999999</v>
      </c>
      <c r="O34">
        <f>'2015_2020'!M3</f>
        <v>1.5940000000000001</v>
      </c>
      <c r="P34">
        <f>'2015_2020'!N3</f>
        <v>1.6220000000000001</v>
      </c>
      <c r="Q34">
        <f>'2015_2020'!O3</f>
        <v>1.6379999999999999</v>
      </c>
      <c r="R34">
        <f>'2015_2020'!P3</f>
        <v>1.647</v>
      </c>
      <c r="S34">
        <f>'2015_2020'!Q3</f>
        <v>1.6679999999999999</v>
      </c>
      <c r="T34">
        <f>'2015_2020'!R3</f>
        <v>1.694</v>
      </c>
      <c r="U34">
        <f>'2015_2020'!S3</f>
        <v>1.7090000000000001</v>
      </c>
      <c r="V34">
        <f>'2015_2020'!T3</f>
        <v>1.7190000000000001</v>
      </c>
      <c r="W34">
        <f>'2015_2020'!U3</f>
        <v>1.73</v>
      </c>
      <c r="X34">
        <f>'2015_2020'!V3</f>
        <v>1.752</v>
      </c>
      <c r="Y34">
        <f>'2015_2020'!W3</f>
        <v>1.77</v>
      </c>
      <c r="Z34">
        <f>'2015_2020'!X3</f>
        <v>1.7949999999999999</v>
      </c>
      <c r="AA34">
        <f>'2015_2020'!Y3</f>
        <v>1.8069999999999999</v>
      </c>
      <c r="AB34">
        <f>'2015_2020'!Z3</f>
        <v>1.8069999999999999</v>
      </c>
      <c r="AC34">
        <f>'2015_2020'!AA3</f>
        <v>1.8180000000000001</v>
      </c>
      <c r="AD34">
        <f>'2015_2020'!AB3</f>
        <v>1.823</v>
      </c>
      <c r="AE34">
        <f>'2015_2020'!AC3</f>
        <v>1.827</v>
      </c>
      <c r="AF34">
        <f>'2015_2020'!AD3</f>
        <v>1.8380000000000001</v>
      </c>
      <c r="AG34">
        <f>'2015_2020'!AE3</f>
        <v>1.8520000000000001</v>
      </c>
      <c r="AH34">
        <f>'2015_2020'!AF3</f>
        <v>1.8620000000000001</v>
      </c>
      <c r="AI34">
        <f>'2015_2020'!AG3</f>
        <v>1.877</v>
      </c>
      <c r="AJ34">
        <f>'2015_2020'!AH3</f>
        <v>1.903</v>
      </c>
      <c r="AK34">
        <f>'2015_2020'!AI3</f>
        <v>1.9239999999999999</v>
      </c>
      <c r="AL34">
        <f>'2015_2020'!AJ3</f>
        <v>1.9370000000000001</v>
      </c>
      <c r="AM34">
        <f>'2015_2020'!AK3</f>
        <v>1.952</v>
      </c>
      <c r="AN34">
        <f>'2015_2020'!AL3</f>
        <v>1.96</v>
      </c>
      <c r="AO34">
        <f>'2015_2020'!AM3</f>
        <v>1.9750000000000001</v>
      </c>
      <c r="AP34">
        <f>'2015_2020'!AN3</f>
        <v>2.0059999999999998</v>
      </c>
      <c r="AQ34">
        <f>'2015_2020'!AO3</f>
        <v>2.0369999999999999</v>
      </c>
      <c r="AR34">
        <f>'2015_2020'!AP3</f>
        <v>2.0409999999999999</v>
      </c>
      <c r="AS34">
        <f>'2015_2020'!AQ3</f>
        <v>2.048</v>
      </c>
      <c r="AT34">
        <f>'2015_2020'!AR3</f>
        <v>2.0579999999999998</v>
      </c>
      <c r="AU34">
        <f>'2015_2020'!AS3</f>
        <v>2.0720000000000001</v>
      </c>
      <c r="AV34">
        <f>'2015_2020'!AT3</f>
        <v>2.0699999999999998</v>
      </c>
      <c r="AW34">
        <f>'2015_2020'!AU3</f>
        <v>2.097</v>
      </c>
      <c r="AX34">
        <f>'2015_2020'!AV3</f>
        <v>2.121</v>
      </c>
      <c r="AY34">
        <f>'2015_2020'!AW3</f>
        <v>2.1339999999999999</v>
      </c>
      <c r="AZ34">
        <f>'2015_2020'!AX3</f>
        <v>2.1469999999999998</v>
      </c>
      <c r="BA34">
        <f>'2015_2020'!AY3</f>
        <v>2.1629999999999998</v>
      </c>
      <c r="BB34">
        <f>'2015_2020'!AZ3</f>
        <v>2.1970000000000001</v>
      </c>
      <c r="BC34">
        <f>'2015_2020'!BA3</f>
        <v>2.222</v>
      </c>
      <c r="BD34">
        <f>'2015_2020'!BB3</f>
        <v>2.2269999999999999</v>
      </c>
      <c r="BE34">
        <f>'2015_2020'!BC3</f>
        <v>2.2469999999999999</v>
      </c>
      <c r="BF34">
        <f>'2015_2020'!BD3</f>
        <v>2.2450000000000001</v>
      </c>
      <c r="BG34">
        <f>'2015_2020'!BE3</f>
        <v>2.2719999999999998</v>
      </c>
      <c r="BH34">
        <f>'2015_2020'!BF3</f>
        <v>2.2890000000000001</v>
      </c>
      <c r="BI34">
        <f>'2015_2020'!BG3</f>
        <v>2.3130000000000002</v>
      </c>
      <c r="BJ34">
        <f>'2015_2020'!BH3</f>
        <v>2.3290000000000002</v>
      </c>
      <c r="BK34">
        <f>'2015_2020'!BI3</f>
        <v>2.35</v>
      </c>
      <c r="BL34">
        <f>'2015_2020'!BJ3</f>
        <v>2.3610000000000002</v>
      </c>
      <c r="BM34">
        <f>'2015_2020'!BK3</f>
        <v>2.3879999999999999</v>
      </c>
      <c r="BN34">
        <f>'2015_2020'!BL3</f>
        <v>2.41</v>
      </c>
      <c r="BO34">
        <f>'2015_2020'!BM3</f>
        <v>2.4409999999999998</v>
      </c>
      <c r="BP34">
        <f>'2015_2020'!BN3</f>
        <v>2.4500000000000002</v>
      </c>
      <c r="BQ34">
        <f>'2015_2020'!BO3</f>
        <v>2.472</v>
      </c>
      <c r="BR34">
        <f>'2015_2020'!BP3</f>
        <v>2.476</v>
      </c>
      <c r="BS34">
        <f>'2015_2020'!BQ3</f>
        <v>2.5110000000000001</v>
      </c>
      <c r="BT34">
        <f>'2015_2020'!BR3</f>
        <v>2.5310000000000001</v>
      </c>
      <c r="BU34">
        <f>'2015_2020'!BS3</f>
        <v>2.5529999999999999</v>
      </c>
      <c r="BV34">
        <f>'2015_2020'!BT3</f>
        <v>2.577</v>
      </c>
      <c r="BW34">
        <f>'2015_2020'!BU3</f>
        <v>2.6070000000000002</v>
      </c>
      <c r="BX34">
        <f>'2015_2020'!BV3</f>
        <v>2.6360000000000001</v>
      </c>
      <c r="BY34">
        <f>'2015_2020'!BW3</f>
        <v>2.657</v>
      </c>
      <c r="BZ34">
        <f>'2015_2020'!BX3</f>
        <v>2.71</v>
      </c>
      <c r="CA34">
        <f>'2015_2020'!BY3</f>
        <v>2.7410000000000001</v>
      </c>
      <c r="CB34">
        <f>'2015_2020'!BZ3</f>
        <v>2.7519999999999998</v>
      </c>
      <c r="CC34">
        <f>'2015_2020'!CA3</f>
        <v>2.7789999999999999</v>
      </c>
      <c r="CD34">
        <f>'2015_2020'!CB3</f>
        <v>2.7829999999999999</v>
      </c>
      <c r="CE34">
        <f>'2015_2020'!CC3</f>
        <v>2.84</v>
      </c>
      <c r="CF34">
        <f>'2015_2020'!CD3</f>
        <v>2.879</v>
      </c>
      <c r="CG34">
        <f>'2015_2020'!CE3</f>
        <v>2.9359999999999999</v>
      </c>
      <c r="CH34">
        <f>'2015_2020'!CF3</f>
        <v>2.9710000000000001</v>
      </c>
      <c r="CI34">
        <f>'2015_2020'!CG3</f>
        <v>3.0030000000000001</v>
      </c>
      <c r="CJ34">
        <f>'2015_2020'!CH3</f>
        <v>3.0510000000000002</v>
      </c>
      <c r="CK34">
        <f>'2015_2020'!CI3</f>
        <v>3.1179999999999999</v>
      </c>
      <c r="CL34">
        <f>'2015_2020'!CJ3</f>
        <v>3.1560000000000001</v>
      </c>
      <c r="CM34">
        <f>'2015_2020'!CK3</f>
        <v>3.1930000000000001</v>
      </c>
      <c r="CN34">
        <f>'2015_2020'!CL3</f>
        <v>3.27</v>
      </c>
      <c r="CO34">
        <f>'2015_2020'!CM3</f>
        <v>3.3290000000000002</v>
      </c>
      <c r="CP34">
        <f>'2015_2020'!CN3</f>
        <v>3.427</v>
      </c>
      <c r="CQ34">
        <f>'2015_2020'!CO3</f>
        <v>3.4489999999999998</v>
      </c>
      <c r="CR34">
        <f>'2015_2020'!CP3</f>
        <v>3.5630000000000002</v>
      </c>
      <c r="CS34">
        <f>'2015_2020'!CQ3</f>
        <v>3.66</v>
      </c>
      <c r="CT34">
        <f>'2015_2020'!CR3</f>
        <v>3.7480000000000002</v>
      </c>
      <c r="CU34">
        <f>'2015_2020'!CS3</f>
        <v>3.8969999999999998</v>
      </c>
      <c r="CV34">
        <f>'2015_2020'!CT3</f>
        <v>4.0730000000000004</v>
      </c>
      <c r="CW34">
        <f>'2015_2020'!CU3</f>
        <v>4.2949999999999999</v>
      </c>
      <c r="CX34">
        <f>'2015_2020'!CV3</f>
        <v>4.6260000000000003</v>
      </c>
    </row>
    <row r="35" spans="1:102" x14ac:dyDescent="0.2">
      <c r="A35" t="s">
        <v>205</v>
      </c>
      <c r="B35" t="s">
        <v>217</v>
      </c>
      <c r="C35" t="s">
        <v>221</v>
      </c>
      <c r="D35">
        <f>'2015_2020'!B4</f>
        <v>-9.3200000000000002E-3</v>
      </c>
      <c r="E35">
        <f>'2015_2020'!C4</f>
        <v>-6.4600000000000005E-2</v>
      </c>
      <c r="F35">
        <f>'2015_2020'!D4</f>
        <v>-9.9500000000000005E-2</v>
      </c>
      <c r="G35">
        <f>'2015_2020'!E4</f>
        <v>-7.2300000000000003E-2</v>
      </c>
      <c r="H35">
        <f>'2015_2020'!F4</f>
        <v>-0.13300000000000001</v>
      </c>
      <c r="I35">
        <f>'2015_2020'!G4</f>
        <v>-7.6799999999999993E-2</v>
      </c>
      <c r="J35">
        <f>'2015_2020'!H4</f>
        <v>-0.11799999999999999</v>
      </c>
      <c r="K35">
        <f>'2015_2020'!I4</f>
        <v>-7.3999999999999996E-2</v>
      </c>
      <c r="L35">
        <f>'2015_2020'!J4</f>
        <v>-5.04E-2</v>
      </c>
      <c r="M35">
        <f>'2015_2020'!K4</f>
        <v>-8.5300000000000001E-2</v>
      </c>
      <c r="N35">
        <f>'2015_2020'!L4</f>
        <v>-5.45E-2</v>
      </c>
      <c r="O35">
        <f>'2015_2020'!M4</f>
        <v>-1.8800000000000001E-2</v>
      </c>
      <c r="P35">
        <f>'2015_2020'!N4</f>
        <v>-3.8800000000000001E-2</v>
      </c>
      <c r="Q35">
        <f>'2015_2020'!O4</f>
        <v>-2.4199999999999999E-2</v>
      </c>
      <c r="R35">
        <f>'2015_2020'!P4</f>
        <v>-8.25E-4</v>
      </c>
      <c r="S35">
        <f>'2015_2020'!Q4</f>
        <v>3.2100000000000002E-3</v>
      </c>
      <c r="T35">
        <f>'2015_2020'!R4</f>
        <v>9.7199999999999995E-3</v>
      </c>
      <c r="U35">
        <f>'2015_2020'!S4</f>
        <v>8.7200000000000003E-3</v>
      </c>
      <c r="V35">
        <f>'2015_2020'!T4</f>
        <v>2.5100000000000001E-2</v>
      </c>
      <c r="W35">
        <f>'2015_2020'!U4</f>
        <v>2.1499999999999998E-2</v>
      </c>
      <c r="X35">
        <f>'2015_2020'!V4</f>
        <v>6.7099999999999998E-3</v>
      </c>
      <c r="Y35">
        <f>'2015_2020'!W4</f>
        <v>2.5399999999999999E-2</v>
      </c>
      <c r="Z35">
        <f>'2015_2020'!X4</f>
        <v>7.4999999999999997E-3</v>
      </c>
      <c r="AA35">
        <f>'2015_2020'!Y4</f>
        <v>-5.2100000000000002E-3</v>
      </c>
      <c r="AB35">
        <f>'2015_2020'!Z4</f>
        <v>-8.4699999999999999E-4</v>
      </c>
      <c r="AC35">
        <f>'2015_2020'!AA4</f>
        <v>-6.6600000000000001E-3</v>
      </c>
      <c r="AD35">
        <f>'2015_2020'!AB4</f>
        <v>1.6299999999999999E-2</v>
      </c>
      <c r="AE35">
        <f>'2015_2020'!AC4</f>
        <v>1.6799999999999999E-2</v>
      </c>
      <c r="AF35">
        <f>'2015_2020'!AD4</f>
        <v>1.4E-2</v>
      </c>
      <c r="AG35">
        <f>'2015_2020'!AE4</f>
        <v>7.3200000000000001E-3</v>
      </c>
      <c r="AH35">
        <f>'2015_2020'!AF4</f>
        <v>1.9099999999999999E-2</v>
      </c>
      <c r="AI35">
        <f>'2015_2020'!AG4</f>
        <v>1.1900000000000001E-2</v>
      </c>
      <c r="AJ35">
        <f>'2015_2020'!AH4</f>
        <v>-8.09E-3</v>
      </c>
      <c r="AK35">
        <f>'2015_2020'!AI4</f>
        <v>-1.21E-2</v>
      </c>
      <c r="AL35">
        <f>'2015_2020'!AJ4</f>
        <v>1.26E-2</v>
      </c>
      <c r="AM35">
        <f>'2015_2020'!AK4</f>
        <v>1.7100000000000001E-2</v>
      </c>
      <c r="AN35">
        <f>'2015_2020'!AL4</f>
        <v>2.1299999999999999E-2</v>
      </c>
      <c r="AO35">
        <f>'2015_2020'!AM4</f>
        <v>8.6E-3</v>
      </c>
      <c r="AP35">
        <f>'2015_2020'!AN4</f>
        <v>-1.67E-2</v>
      </c>
      <c r="AQ35">
        <f>'2015_2020'!AO4</f>
        <v>-2.8199999999999999E-2</v>
      </c>
      <c r="AR35">
        <f>'2015_2020'!AP4</f>
        <v>-1.23E-2</v>
      </c>
      <c r="AS35">
        <f>'2015_2020'!AQ4</f>
        <v>-1.1299999999999999E-3</v>
      </c>
      <c r="AT35">
        <f>'2015_2020'!AR4</f>
        <v>7.0200000000000002E-3</v>
      </c>
      <c r="AU35">
        <f>'2015_2020'!AS4</f>
        <v>1.6500000000000001E-2</v>
      </c>
      <c r="AV35">
        <f>'2015_2020'!AT4</f>
        <v>2.4799999999999999E-2</v>
      </c>
      <c r="AW35">
        <f>'2015_2020'!AU4</f>
        <v>1.77E-2</v>
      </c>
      <c r="AX35">
        <f>'2015_2020'!AV4</f>
        <v>-4.9899999999999996E-3</v>
      </c>
      <c r="AY35">
        <f>'2015_2020'!AW4</f>
        <v>2.31E-3</v>
      </c>
      <c r="AZ35">
        <f>'2015_2020'!AX4</f>
        <v>7.4100000000000001E-4</v>
      </c>
      <c r="BA35">
        <f>'2015_2020'!AY4</f>
        <v>1.2699999999999999E-2</v>
      </c>
      <c r="BB35">
        <f>'2015_2020'!AZ4</f>
        <v>5.8199999999999997E-3</v>
      </c>
      <c r="BC35">
        <f>'2015_2020'!BA4</f>
        <v>-5.3800000000000002E-3</v>
      </c>
      <c r="BD35">
        <f>'2015_2020'!BB4</f>
        <v>-1.7999999999999999E-2</v>
      </c>
      <c r="BE35">
        <f>'2015_2020'!BC4</f>
        <v>-1.7999999999999999E-2</v>
      </c>
      <c r="BF35">
        <f>'2015_2020'!BD4</f>
        <v>2.3400000000000001E-2</v>
      </c>
      <c r="BG35">
        <f>'2015_2020'!BE4</f>
        <v>3.3300000000000002E-4</v>
      </c>
      <c r="BH35">
        <f>'2015_2020'!BF4</f>
        <v>3.2399999999999998E-3</v>
      </c>
      <c r="BI35">
        <f>'2015_2020'!BG4</f>
        <v>-2.33E-3</v>
      </c>
      <c r="BJ35">
        <f>'2015_2020'!BH4</f>
        <v>-1.0200000000000001E-2</v>
      </c>
      <c r="BK35">
        <f>'2015_2020'!BI4</f>
        <v>-1.39E-3</v>
      </c>
      <c r="BL35">
        <f>'2015_2020'!BJ4</f>
        <v>2.8299999999999999E-2</v>
      </c>
      <c r="BM35">
        <f>'2015_2020'!BK4</f>
        <v>1.2800000000000001E-2</v>
      </c>
      <c r="BN35">
        <f>'2015_2020'!BL4</f>
        <v>-8.3000000000000001E-3</v>
      </c>
      <c r="BO35">
        <f>'2015_2020'!BM4</f>
        <v>-4.1000000000000003E-3</v>
      </c>
      <c r="BP35">
        <f>'2015_2020'!BN4</f>
        <v>4.2500000000000003E-2</v>
      </c>
      <c r="BQ35">
        <f>'2015_2020'!BO4</f>
        <v>3.2199999999999999E-2</v>
      </c>
      <c r="BR35">
        <f>'2015_2020'!BP4</f>
        <v>1.9099999999999999E-2</v>
      </c>
      <c r="BS35">
        <f>'2015_2020'!BQ4</f>
        <v>-1.09E-2</v>
      </c>
      <c r="BT35">
        <f>'2015_2020'!BR4</f>
        <v>-2.8199999999999999E-2</v>
      </c>
      <c r="BU35">
        <f>'2015_2020'!BS4</f>
        <v>-1.47E-2</v>
      </c>
      <c r="BV35">
        <f>'2015_2020'!BT4</f>
        <v>6.2500000000000003E-3</v>
      </c>
      <c r="BW35">
        <f>'2015_2020'!BU4</f>
        <v>1.41E-2</v>
      </c>
      <c r="BX35">
        <f>'2015_2020'!BV4</f>
        <v>2.64E-3</v>
      </c>
      <c r="BY35">
        <f>'2015_2020'!BW4</f>
        <v>2.2499999999999999E-2</v>
      </c>
      <c r="BZ35">
        <f>'2015_2020'!BX4</f>
        <v>7.6800000000000002E-3</v>
      </c>
      <c r="CA35">
        <f>'2015_2020'!BY4</f>
        <v>-2.01E-2</v>
      </c>
      <c r="CB35">
        <f>'2015_2020'!BZ4</f>
        <v>2.4199999999999999E-2</v>
      </c>
      <c r="CC35">
        <f>'2015_2020'!CA4</f>
        <v>2.52E-2</v>
      </c>
      <c r="CD35">
        <f>'2015_2020'!CB4</f>
        <v>4.5900000000000003E-2</v>
      </c>
      <c r="CE35">
        <f>'2015_2020'!CC4</f>
        <v>5.5599999999999997E-2</v>
      </c>
      <c r="CF35">
        <f>'2015_2020'!CD4</f>
        <v>0.02</v>
      </c>
      <c r="CG35">
        <f>'2015_2020'!CE4</f>
        <v>-2.5600000000000001E-2</v>
      </c>
      <c r="CH35">
        <f>'2015_2020'!CF4</f>
        <v>-6.2599999999999999E-3</v>
      </c>
      <c r="CI35">
        <f>'2015_2020'!CG4</f>
        <v>9.5999999999999992E-3</v>
      </c>
      <c r="CJ35">
        <f>'2015_2020'!CH4</f>
        <v>1.26E-2</v>
      </c>
      <c r="CK35">
        <f>'2015_2020'!CI4</f>
        <v>1.55E-2</v>
      </c>
      <c r="CL35">
        <f>'2015_2020'!CJ4</f>
        <v>4.7500000000000001E-2</v>
      </c>
      <c r="CM35">
        <f>'2015_2020'!CK4</f>
        <v>5.4900000000000001E-3</v>
      </c>
      <c r="CN35">
        <f>'2015_2020'!CL4</f>
        <v>1.5E-3</v>
      </c>
      <c r="CO35">
        <f>'2015_2020'!CM4</f>
        <v>6.5500000000000003E-3</v>
      </c>
      <c r="CP35">
        <f>'2015_2020'!CN4</f>
        <v>-1.32E-2</v>
      </c>
      <c r="CQ35">
        <f>'2015_2020'!CO4</f>
        <v>-8.5900000000000004E-3</v>
      </c>
      <c r="CR35">
        <f>'2015_2020'!CP4</f>
        <v>-4.0800000000000003E-3</v>
      </c>
      <c r="CS35">
        <f>'2015_2020'!CQ4</f>
        <v>-8.2799999999999992E-3</v>
      </c>
      <c r="CT35">
        <f>'2015_2020'!CR4</f>
        <v>1.23E-2</v>
      </c>
      <c r="CU35">
        <f>'2015_2020'!CS4</f>
        <v>-9.8600000000000007E-3</v>
      </c>
      <c r="CV35">
        <f>'2015_2020'!CT4</f>
        <v>3.09E-2</v>
      </c>
      <c r="CW35">
        <f>'2015_2020'!CU4</f>
        <v>-6.3600000000000002E-3</v>
      </c>
      <c r="CX35">
        <f>'2015_2020'!CV4</f>
        <v>-1.7600000000000001E-2</v>
      </c>
    </row>
    <row r="36" spans="1:102" x14ac:dyDescent="0.2">
      <c r="A36" t="s">
        <v>206</v>
      </c>
      <c r="B36" t="s">
        <v>217</v>
      </c>
      <c r="C36" t="s">
        <v>221</v>
      </c>
      <c r="D36">
        <f>'2015_2020'!B5</f>
        <v>4.1799999999999997E-2</v>
      </c>
      <c r="E36">
        <f>'2015_2020'!C5</f>
        <v>4.9799999999999997E-2</v>
      </c>
      <c r="F36">
        <f>'2015_2020'!D5</f>
        <v>3.9100000000000003E-2</v>
      </c>
      <c r="G36">
        <f>'2015_2020'!E5</f>
        <v>3.73E-2</v>
      </c>
      <c r="H36">
        <f>'2015_2020'!F5</f>
        <v>2.98E-2</v>
      </c>
      <c r="I36">
        <f>'2015_2020'!G5</f>
        <v>3.3300000000000003E-2</v>
      </c>
      <c r="J36">
        <f>'2015_2020'!H5</f>
        <v>2.75E-2</v>
      </c>
      <c r="K36">
        <f>'2015_2020'!I5</f>
        <v>2.5999999999999999E-2</v>
      </c>
      <c r="L36">
        <f>'2015_2020'!J5</f>
        <v>2.6200000000000001E-2</v>
      </c>
      <c r="M36">
        <f>'2015_2020'!K5</f>
        <v>2.12E-2</v>
      </c>
      <c r="N36">
        <f>'2015_2020'!L5</f>
        <v>1.89E-2</v>
      </c>
      <c r="O36">
        <f>'2015_2020'!M5</f>
        <v>1.6199999999999999E-2</v>
      </c>
      <c r="P36">
        <f>'2015_2020'!N5</f>
        <v>1.6E-2</v>
      </c>
      <c r="Q36">
        <f>'2015_2020'!O5</f>
        <v>1.6299999999999999E-2</v>
      </c>
      <c r="R36">
        <f>'2015_2020'!P5</f>
        <v>1.7899999999999999E-2</v>
      </c>
      <c r="S36">
        <f>'2015_2020'!Q5</f>
        <v>1.78E-2</v>
      </c>
      <c r="T36">
        <f>'2015_2020'!R5</f>
        <v>1.8100000000000002E-2</v>
      </c>
      <c r="U36">
        <f>'2015_2020'!S5</f>
        <v>1.9400000000000001E-2</v>
      </c>
      <c r="V36">
        <f>'2015_2020'!T5</f>
        <v>2.12E-2</v>
      </c>
      <c r="W36">
        <f>'2015_2020'!U5</f>
        <v>2.2599999999999999E-2</v>
      </c>
      <c r="X36">
        <f>'2015_2020'!V5</f>
        <v>2.3199999999999998E-2</v>
      </c>
      <c r="Y36">
        <f>'2015_2020'!W5</f>
        <v>2.35E-2</v>
      </c>
      <c r="Z36">
        <f>'2015_2020'!X5</f>
        <v>2.3599999999999999E-2</v>
      </c>
      <c r="AA36">
        <f>'2015_2020'!Y5</f>
        <v>2.46E-2</v>
      </c>
      <c r="AB36">
        <f>'2015_2020'!Z5</f>
        <v>2.64E-2</v>
      </c>
      <c r="AC36">
        <f>'2015_2020'!AA5</f>
        <v>2.76E-2</v>
      </c>
      <c r="AD36">
        <f>'2015_2020'!AB5</f>
        <v>2.8199999999999999E-2</v>
      </c>
      <c r="AE36">
        <f>'2015_2020'!AC5</f>
        <v>3.0700000000000002E-2</v>
      </c>
      <c r="AF36">
        <f>'2015_2020'!AD5</f>
        <v>3.2199999999999999E-2</v>
      </c>
      <c r="AG36">
        <f>'2015_2020'!AE5</f>
        <v>3.39E-2</v>
      </c>
      <c r="AH36">
        <f>'2015_2020'!AF5</f>
        <v>3.6299999999999999E-2</v>
      </c>
      <c r="AI36">
        <f>'2015_2020'!AG5</f>
        <v>3.8699999999999998E-2</v>
      </c>
      <c r="AJ36">
        <f>'2015_2020'!AH5</f>
        <v>4.2999999999999997E-2</v>
      </c>
      <c r="AK36">
        <f>'2015_2020'!AI5</f>
        <v>4.6100000000000002E-2</v>
      </c>
      <c r="AL36">
        <f>'2015_2020'!AJ5</f>
        <v>4.8899999999999999E-2</v>
      </c>
      <c r="AM36">
        <f>'2015_2020'!AK5</f>
        <v>5.0799999999999998E-2</v>
      </c>
      <c r="AN36">
        <f>'2015_2020'!AL5</f>
        <v>5.2900000000000003E-2</v>
      </c>
      <c r="AO36">
        <f>'2015_2020'!AM5</f>
        <v>5.4899999999999997E-2</v>
      </c>
      <c r="AP36">
        <f>'2015_2020'!AN5</f>
        <v>5.45E-2</v>
      </c>
      <c r="AQ36">
        <f>'2015_2020'!AO5</f>
        <v>5.4100000000000002E-2</v>
      </c>
      <c r="AR36">
        <f>'2015_2020'!AP5</f>
        <v>5.4699999999999999E-2</v>
      </c>
      <c r="AS36">
        <f>'2015_2020'!AQ5</f>
        <v>5.4800000000000001E-2</v>
      </c>
      <c r="AT36">
        <f>'2015_2020'!AR5</f>
        <v>5.6300000000000003E-2</v>
      </c>
      <c r="AU36">
        <f>'2015_2020'!AS5</f>
        <v>5.6300000000000003E-2</v>
      </c>
      <c r="AV36">
        <f>'2015_2020'!AT5</f>
        <v>5.9400000000000001E-2</v>
      </c>
      <c r="AW36">
        <f>'2015_2020'!AU5</f>
        <v>6.25E-2</v>
      </c>
      <c r="AX36">
        <f>'2015_2020'!AV5</f>
        <v>6.6400000000000001E-2</v>
      </c>
      <c r="AY36">
        <f>'2015_2020'!AW5</f>
        <v>6.93E-2</v>
      </c>
      <c r="AZ36">
        <f>'2015_2020'!AX5</f>
        <v>7.22E-2</v>
      </c>
      <c r="BA36">
        <f>'2015_2020'!AY5</f>
        <v>7.51E-2</v>
      </c>
      <c r="BB36">
        <f>'2015_2020'!AZ5</f>
        <v>7.5899999999999995E-2</v>
      </c>
      <c r="BC36">
        <f>'2015_2020'!BA5</f>
        <v>7.6100000000000001E-2</v>
      </c>
      <c r="BD36">
        <f>'2015_2020'!BB5</f>
        <v>7.6499999999999999E-2</v>
      </c>
      <c r="BE36">
        <f>'2015_2020'!BC5</f>
        <v>7.7100000000000002E-2</v>
      </c>
      <c r="BF36">
        <f>'2015_2020'!BD5</f>
        <v>7.9299999999999995E-2</v>
      </c>
      <c r="BG36">
        <f>'2015_2020'!BE5</f>
        <v>7.9799999999999996E-2</v>
      </c>
      <c r="BH36">
        <f>'2015_2020'!BF5</f>
        <v>8.1199999999999994E-2</v>
      </c>
      <c r="BI36">
        <f>'2015_2020'!BG5</f>
        <v>8.4400000000000003E-2</v>
      </c>
      <c r="BJ36">
        <f>'2015_2020'!BH5</f>
        <v>8.6900000000000005E-2</v>
      </c>
      <c r="BK36">
        <f>'2015_2020'!BI5</f>
        <v>8.8599999999999998E-2</v>
      </c>
      <c r="BL36">
        <f>'2015_2020'!BJ5</f>
        <v>8.9899999999999994E-2</v>
      </c>
      <c r="BM36">
        <f>'2015_2020'!BK5</f>
        <v>9.1999999999999998E-2</v>
      </c>
      <c r="BN36">
        <f>'2015_2020'!BL5</f>
        <v>9.3299999999999994E-2</v>
      </c>
      <c r="BO36">
        <f>'2015_2020'!BM5</f>
        <v>9.35E-2</v>
      </c>
      <c r="BP36">
        <f>'2015_2020'!BN5</f>
        <v>9.3100000000000002E-2</v>
      </c>
      <c r="BQ36">
        <f>'2015_2020'!BO5</f>
        <v>9.3700000000000006E-2</v>
      </c>
      <c r="BR36">
        <f>'2015_2020'!BP5</f>
        <v>9.4700000000000006E-2</v>
      </c>
      <c r="BS36">
        <f>'2015_2020'!BQ5</f>
        <v>9.98E-2</v>
      </c>
      <c r="BT36">
        <f>'2015_2020'!BR5</f>
        <v>0.10299999999999999</v>
      </c>
      <c r="BU36">
        <f>'2015_2020'!BS5</f>
        <v>0.11</v>
      </c>
      <c r="BV36">
        <f>'2015_2020'!BT5</f>
        <v>0.114</v>
      </c>
      <c r="BW36">
        <f>'2015_2020'!BU5</f>
        <v>0.124</v>
      </c>
      <c r="BX36">
        <f>'2015_2020'!BV5</f>
        <v>0.127</v>
      </c>
      <c r="BY36">
        <f>'2015_2020'!BW5</f>
        <v>0.126</v>
      </c>
      <c r="BZ36">
        <f>'2015_2020'!BX5</f>
        <v>0.11600000000000001</v>
      </c>
      <c r="CA36">
        <f>'2015_2020'!BY5</f>
        <v>0.113</v>
      </c>
      <c r="CB36">
        <f>'2015_2020'!BZ5</f>
        <v>0.111</v>
      </c>
      <c r="CC36">
        <f>'2015_2020'!CA5</f>
        <v>0.111</v>
      </c>
      <c r="CD36">
        <f>'2015_2020'!CB5</f>
        <v>0.11700000000000001</v>
      </c>
      <c r="CE36">
        <f>'2015_2020'!CC5</f>
        <v>0.14699999999999999</v>
      </c>
      <c r="CF36">
        <f>'2015_2020'!CD5</f>
        <v>0.159</v>
      </c>
      <c r="CG36">
        <f>'2015_2020'!CE5</f>
        <v>0.154</v>
      </c>
      <c r="CH36">
        <f>'2015_2020'!CF5</f>
        <v>0.14799999999999999</v>
      </c>
      <c r="CI36">
        <f>'2015_2020'!CG5</f>
        <v>0.14799999999999999</v>
      </c>
      <c r="CJ36">
        <f>'2015_2020'!CH5</f>
        <v>0.152</v>
      </c>
      <c r="CK36">
        <f>'2015_2020'!CI5</f>
        <v>0.14599999999999999</v>
      </c>
      <c r="CL36">
        <f>'2015_2020'!CJ5</f>
        <v>0.14000000000000001</v>
      </c>
      <c r="CM36">
        <f>'2015_2020'!CK5</f>
        <v>0.14399999999999999</v>
      </c>
      <c r="CN36">
        <f>'2015_2020'!CL5</f>
        <v>0.16700000000000001</v>
      </c>
      <c r="CO36">
        <f>'2015_2020'!CM5</f>
        <v>0.16800000000000001</v>
      </c>
      <c r="CP36">
        <f>'2015_2020'!CN5</f>
        <v>0.14199999999999999</v>
      </c>
      <c r="CQ36">
        <f>'2015_2020'!CO5</f>
        <v>0.13100000000000001</v>
      </c>
      <c r="CR36">
        <f>'2015_2020'!CP5</f>
        <v>0.16700000000000001</v>
      </c>
      <c r="CS36">
        <f>'2015_2020'!CQ5</f>
        <v>0.13600000000000001</v>
      </c>
      <c r="CT36">
        <f>'2015_2020'!CR5</f>
        <v>0.16</v>
      </c>
      <c r="CU36">
        <f>'2015_2020'!CS5</f>
        <v>0.16</v>
      </c>
      <c r="CV36">
        <f>'2015_2020'!CT5</f>
        <v>0.14799999999999999</v>
      </c>
      <c r="CW36">
        <f>'2015_2020'!CU5</f>
        <v>0.152</v>
      </c>
      <c r="CX36">
        <f>'2015_2020'!CV5</f>
        <v>0.14899999999999999</v>
      </c>
    </row>
    <row r="37" spans="1:102" x14ac:dyDescent="0.2">
      <c r="A37" t="s">
        <v>207</v>
      </c>
      <c r="B37" t="s">
        <v>217</v>
      </c>
      <c r="C37" t="s">
        <v>221</v>
      </c>
      <c r="D37">
        <f>'2015_2020'!B6</f>
        <v>-5.11E-2</v>
      </c>
      <c r="E37">
        <f>'2015_2020'!C6</f>
        <v>-0.114</v>
      </c>
      <c r="F37">
        <f>'2015_2020'!D6</f>
        <v>-0.13900000000000001</v>
      </c>
      <c r="G37">
        <f>'2015_2020'!E6</f>
        <v>-0.11</v>
      </c>
      <c r="H37">
        <f>'2015_2020'!F6</f>
        <v>-0.16300000000000001</v>
      </c>
      <c r="I37">
        <f>'2015_2020'!G6</f>
        <v>-0.11</v>
      </c>
      <c r="J37">
        <f>'2015_2020'!H6</f>
        <v>-0.14499999999999999</v>
      </c>
      <c r="K37">
        <f>'2015_2020'!I6</f>
        <v>-0.1</v>
      </c>
      <c r="L37">
        <f>'2015_2020'!J6</f>
        <v>-7.6600000000000001E-2</v>
      </c>
      <c r="M37">
        <f>'2015_2020'!K6</f>
        <v>-0.107</v>
      </c>
      <c r="N37">
        <f>'2015_2020'!L6</f>
        <v>-7.3400000000000007E-2</v>
      </c>
      <c r="O37">
        <f>'2015_2020'!M6</f>
        <v>-3.5000000000000003E-2</v>
      </c>
      <c r="P37">
        <f>'2015_2020'!N6</f>
        <v>-5.4800000000000001E-2</v>
      </c>
      <c r="Q37">
        <f>'2015_2020'!O6</f>
        <v>-4.0500000000000001E-2</v>
      </c>
      <c r="R37">
        <f>'2015_2020'!P6</f>
        <v>-1.8700000000000001E-2</v>
      </c>
      <c r="S37">
        <f>'2015_2020'!Q6</f>
        <v>-1.46E-2</v>
      </c>
      <c r="T37">
        <f>'2015_2020'!R6</f>
        <v>-8.3899999999999999E-3</v>
      </c>
      <c r="U37">
        <f>'2015_2020'!S6</f>
        <v>-1.06E-2</v>
      </c>
      <c r="V37">
        <f>'2015_2020'!T6</f>
        <v>3.8700000000000002E-3</v>
      </c>
      <c r="W37">
        <f>'2015_2020'!U6</f>
        <v>-1.08E-3</v>
      </c>
      <c r="X37">
        <f>'2015_2020'!V6</f>
        <v>-1.6500000000000001E-2</v>
      </c>
      <c r="Y37">
        <f>'2015_2020'!W6</f>
        <v>1.97E-3</v>
      </c>
      <c r="Z37">
        <f>'2015_2020'!X6</f>
        <v>-1.61E-2</v>
      </c>
      <c r="AA37">
        <f>'2015_2020'!Y6</f>
        <v>-2.98E-2</v>
      </c>
      <c r="AB37">
        <f>'2015_2020'!Z6</f>
        <v>-2.7199999999999998E-2</v>
      </c>
      <c r="AC37">
        <f>'2015_2020'!AA6</f>
        <v>-3.4299999999999997E-2</v>
      </c>
      <c r="AD37">
        <f>'2015_2020'!AB6</f>
        <v>-1.1900000000000001E-2</v>
      </c>
      <c r="AE37">
        <f>'2015_2020'!AC6</f>
        <v>-1.38E-2</v>
      </c>
      <c r="AF37">
        <f>'2015_2020'!AD6</f>
        <v>-1.8200000000000001E-2</v>
      </c>
      <c r="AG37">
        <f>'2015_2020'!AE6</f>
        <v>-2.6599999999999999E-2</v>
      </c>
      <c r="AH37">
        <f>'2015_2020'!AF6</f>
        <v>-1.7100000000000001E-2</v>
      </c>
      <c r="AI37">
        <f>'2015_2020'!AG6</f>
        <v>-2.69E-2</v>
      </c>
      <c r="AJ37">
        <f>'2015_2020'!AH6</f>
        <v>-5.11E-2</v>
      </c>
      <c r="AK37">
        <f>'2015_2020'!AI6</f>
        <v>-5.8200000000000002E-2</v>
      </c>
      <c r="AL37">
        <f>'2015_2020'!AJ6</f>
        <v>-3.6299999999999999E-2</v>
      </c>
      <c r="AM37">
        <f>'2015_2020'!AK6</f>
        <v>-3.3599999999999998E-2</v>
      </c>
      <c r="AN37">
        <f>'2015_2020'!AL6</f>
        <v>-3.1600000000000003E-2</v>
      </c>
      <c r="AO37">
        <f>'2015_2020'!AM6</f>
        <v>-4.6300000000000001E-2</v>
      </c>
      <c r="AP37">
        <f>'2015_2020'!AN6</f>
        <v>-7.1199999999999999E-2</v>
      </c>
      <c r="AQ37">
        <f>'2015_2020'!AO6</f>
        <v>-8.2299999999999998E-2</v>
      </c>
      <c r="AR37">
        <f>'2015_2020'!AP6</f>
        <v>-6.7000000000000004E-2</v>
      </c>
      <c r="AS37">
        <f>'2015_2020'!AQ6</f>
        <v>-5.5899999999999998E-2</v>
      </c>
      <c r="AT37">
        <f>'2015_2020'!AR6</f>
        <v>-4.9299999999999997E-2</v>
      </c>
      <c r="AU37">
        <f>'2015_2020'!AS6</f>
        <v>-3.9800000000000002E-2</v>
      </c>
      <c r="AV37">
        <f>'2015_2020'!AT6</f>
        <v>-3.4599999999999999E-2</v>
      </c>
      <c r="AW37">
        <f>'2015_2020'!AU6</f>
        <v>-4.48E-2</v>
      </c>
      <c r="AX37">
        <f>'2015_2020'!AV6</f>
        <v>-7.1400000000000005E-2</v>
      </c>
      <c r="AY37">
        <f>'2015_2020'!AW6</f>
        <v>-6.7000000000000004E-2</v>
      </c>
      <c r="AZ37">
        <f>'2015_2020'!AX6</f>
        <v>-7.1400000000000005E-2</v>
      </c>
      <c r="BA37">
        <f>'2015_2020'!AY6</f>
        <v>-6.2399999999999997E-2</v>
      </c>
      <c r="BB37">
        <f>'2015_2020'!AZ6</f>
        <v>-7.0099999999999996E-2</v>
      </c>
      <c r="BC37">
        <f>'2015_2020'!BA6</f>
        <v>-8.1500000000000003E-2</v>
      </c>
      <c r="BD37">
        <f>'2015_2020'!BB6</f>
        <v>-9.4600000000000004E-2</v>
      </c>
      <c r="BE37">
        <f>'2015_2020'!BC6</f>
        <v>-9.5100000000000004E-2</v>
      </c>
      <c r="BF37">
        <f>'2015_2020'!BD6</f>
        <v>-5.5800000000000002E-2</v>
      </c>
      <c r="BG37">
        <f>'2015_2020'!BE6</f>
        <v>-7.9399999999999998E-2</v>
      </c>
      <c r="BH37">
        <f>'2015_2020'!BF6</f>
        <v>-7.8E-2</v>
      </c>
      <c r="BI37">
        <f>'2015_2020'!BG6</f>
        <v>-8.6699999999999999E-2</v>
      </c>
      <c r="BJ37">
        <f>'2015_2020'!BH6</f>
        <v>-9.7199999999999995E-2</v>
      </c>
      <c r="BK37">
        <f>'2015_2020'!BI6</f>
        <v>-0.09</v>
      </c>
      <c r="BL37">
        <f>'2015_2020'!BJ6</f>
        <v>-6.1499999999999999E-2</v>
      </c>
      <c r="BM37">
        <f>'2015_2020'!BK6</f>
        <v>-7.9200000000000007E-2</v>
      </c>
      <c r="BN37">
        <f>'2015_2020'!BL6</f>
        <v>-0.10199999999999999</v>
      </c>
      <c r="BO37">
        <f>'2015_2020'!BM6</f>
        <v>-9.7600000000000006E-2</v>
      </c>
      <c r="BP37">
        <f>'2015_2020'!BN6</f>
        <v>-5.0599999999999999E-2</v>
      </c>
      <c r="BQ37">
        <f>'2015_2020'!BO6</f>
        <v>-6.1499999999999999E-2</v>
      </c>
      <c r="BR37">
        <f>'2015_2020'!BP6</f>
        <v>-7.5600000000000001E-2</v>
      </c>
      <c r="BS37">
        <f>'2015_2020'!BQ6</f>
        <v>-0.111</v>
      </c>
      <c r="BT37">
        <f>'2015_2020'!BR6</f>
        <v>-0.13100000000000001</v>
      </c>
      <c r="BU37">
        <f>'2015_2020'!BS6</f>
        <v>-0.125</v>
      </c>
      <c r="BV37">
        <f>'2015_2020'!BT6</f>
        <v>-0.108</v>
      </c>
      <c r="BW37">
        <f>'2015_2020'!BU6</f>
        <v>-0.11</v>
      </c>
      <c r="BX37">
        <f>'2015_2020'!BV6</f>
        <v>-0.124</v>
      </c>
      <c r="BY37">
        <f>'2015_2020'!BW6</f>
        <v>-0.10299999999999999</v>
      </c>
      <c r="BZ37">
        <f>'2015_2020'!BX6</f>
        <v>-0.109</v>
      </c>
      <c r="CA37">
        <f>'2015_2020'!BY6</f>
        <v>-0.13300000000000001</v>
      </c>
      <c r="CB37">
        <f>'2015_2020'!BZ6</f>
        <v>-8.6999999999999994E-2</v>
      </c>
      <c r="CC37">
        <f>'2015_2020'!CA6</f>
        <v>-8.5900000000000004E-2</v>
      </c>
      <c r="CD37">
        <f>'2015_2020'!CB6</f>
        <v>-7.0999999999999994E-2</v>
      </c>
      <c r="CE37">
        <f>'2015_2020'!CC6</f>
        <v>-9.1200000000000003E-2</v>
      </c>
      <c r="CF37">
        <f>'2015_2020'!CD6</f>
        <v>-0.13900000000000001</v>
      </c>
      <c r="CG37">
        <f>'2015_2020'!CE6</f>
        <v>-0.18</v>
      </c>
      <c r="CH37">
        <f>'2015_2020'!CF6</f>
        <v>-0.154</v>
      </c>
      <c r="CI37">
        <f>'2015_2020'!CG6</f>
        <v>-0.13800000000000001</v>
      </c>
      <c r="CJ37">
        <f>'2015_2020'!CH6</f>
        <v>-0.14000000000000001</v>
      </c>
      <c r="CK37">
        <f>'2015_2020'!CI6</f>
        <v>-0.13</v>
      </c>
      <c r="CL37">
        <f>'2015_2020'!CJ6</f>
        <v>-9.2299999999999993E-2</v>
      </c>
      <c r="CM37">
        <f>'2015_2020'!CK6</f>
        <v>-0.13800000000000001</v>
      </c>
      <c r="CN37">
        <f>'2015_2020'!CL6</f>
        <v>-0.16600000000000001</v>
      </c>
      <c r="CO37">
        <f>'2015_2020'!CM6</f>
        <v>-0.16200000000000001</v>
      </c>
      <c r="CP37">
        <f>'2015_2020'!CN6</f>
        <v>-0.155</v>
      </c>
      <c r="CQ37">
        <f>'2015_2020'!CO6</f>
        <v>-0.13900000000000001</v>
      </c>
      <c r="CR37">
        <f>'2015_2020'!CP6</f>
        <v>-0.17100000000000001</v>
      </c>
      <c r="CS37">
        <f>'2015_2020'!CQ6</f>
        <v>-0.14499999999999999</v>
      </c>
      <c r="CT37">
        <f>'2015_2020'!CR6</f>
        <v>-0.14699999999999999</v>
      </c>
      <c r="CU37">
        <f>'2015_2020'!CS6</f>
        <v>-0.17</v>
      </c>
      <c r="CV37">
        <f>'2015_2020'!CT6</f>
        <v>-0.11799999999999999</v>
      </c>
      <c r="CW37">
        <f>'2015_2020'!CU6</f>
        <v>-0.158</v>
      </c>
      <c r="CX37">
        <f>'2015_2020'!CV6</f>
        <v>-0.16700000000000001</v>
      </c>
    </row>
    <row r="38" spans="1:102" x14ac:dyDescent="0.2">
      <c r="A38" t="s">
        <v>208</v>
      </c>
      <c r="B38" t="s">
        <v>218</v>
      </c>
      <c r="C38" t="s">
        <v>221</v>
      </c>
      <c r="D38">
        <f>'2015_2020'!B7</f>
        <v>4.1700000000000001E-2</v>
      </c>
      <c r="E38">
        <f>'2015_2020'!C7</f>
        <v>5.1999999999999998E-2</v>
      </c>
      <c r="F38">
        <f>'2015_2020'!D7</f>
        <v>4.41E-2</v>
      </c>
      <c r="G38">
        <f>'2015_2020'!E7</f>
        <v>4.53E-2</v>
      </c>
      <c r="H38">
        <f>'2015_2020'!F7</f>
        <v>3.7900000000000003E-2</v>
      </c>
      <c r="I38">
        <f>'2015_2020'!G7</f>
        <v>4.4499999999999998E-2</v>
      </c>
      <c r="J38">
        <f>'2015_2020'!H7</f>
        <v>4.0099999999999997E-2</v>
      </c>
      <c r="K38">
        <f>'2015_2020'!I7</f>
        <v>3.9800000000000002E-2</v>
      </c>
      <c r="L38">
        <f>'2015_2020'!J7</f>
        <v>4.0300000000000002E-2</v>
      </c>
      <c r="M38">
        <f>'2015_2020'!K7</f>
        <v>3.3799999999999997E-2</v>
      </c>
      <c r="N38">
        <f>'2015_2020'!L7</f>
        <v>2.9399999999999999E-2</v>
      </c>
      <c r="O38">
        <f>'2015_2020'!M7</f>
        <v>2.3400000000000001E-2</v>
      </c>
      <c r="P38">
        <f>'2015_2020'!N7</f>
        <v>2.18E-2</v>
      </c>
      <c r="Q38">
        <f>'2015_2020'!O7</f>
        <v>2.1700000000000001E-2</v>
      </c>
      <c r="R38">
        <f>'2015_2020'!P7</f>
        <v>2.24E-2</v>
      </c>
      <c r="S38">
        <f>'2015_2020'!Q7</f>
        <v>2.1999999999999999E-2</v>
      </c>
      <c r="T38">
        <f>'2015_2020'!R7</f>
        <v>2.1499999999999998E-2</v>
      </c>
      <c r="U38">
        <f>'2015_2020'!S7</f>
        <v>2.18E-2</v>
      </c>
      <c r="V38">
        <f>'2015_2020'!T7</f>
        <v>2.2800000000000001E-2</v>
      </c>
      <c r="W38">
        <f>'2015_2020'!U7</f>
        <v>2.3199999999999998E-2</v>
      </c>
      <c r="X38">
        <f>'2015_2020'!V7</f>
        <v>2.3E-2</v>
      </c>
      <c r="Y38">
        <f>'2015_2020'!W7</f>
        <v>2.3099999999999999E-2</v>
      </c>
      <c r="Z38">
        <f>'2015_2020'!X7</f>
        <v>2.3E-2</v>
      </c>
      <c r="AA38">
        <f>'2015_2020'!Y7</f>
        <v>2.3599999999999999E-2</v>
      </c>
      <c r="AB38">
        <f>'2015_2020'!Z7</f>
        <v>2.53E-2</v>
      </c>
      <c r="AC38">
        <f>'2015_2020'!AA7</f>
        <v>2.6499999999999999E-2</v>
      </c>
      <c r="AD38">
        <f>'2015_2020'!AB7</f>
        <v>2.7300000000000001E-2</v>
      </c>
      <c r="AE38">
        <f>'2015_2020'!AC7</f>
        <v>2.8799999999999999E-2</v>
      </c>
      <c r="AF38">
        <f>'2015_2020'!AD7</f>
        <v>3.0200000000000001E-2</v>
      </c>
      <c r="AG38">
        <f>'2015_2020'!AE7</f>
        <v>3.1600000000000003E-2</v>
      </c>
      <c r="AH38">
        <f>'2015_2020'!AF7</f>
        <v>3.3500000000000002E-2</v>
      </c>
      <c r="AI38">
        <f>'2015_2020'!AG7</f>
        <v>3.5799999999999998E-2</v>
      </c>
      <c r="AJ38">
        <f>'2015_2020'!AH7</f>
        <v>3.9600000000000003E-2</v>
      </c>
      <c r="AK38">
        <f>'2015_2020'!AI7</f>
        <v>4.2700000000000002E-2</v>
      </c>
      <c r="AL38">
        <f>'2015_2020'!AJ7</f>
        <v>4.5100000000000001E-2</v>
      </c>
      <c r="AM38">
        <f>'2015_2020'!AK7</f>
        <v>4.65E-2</v>
      </c>
      <c r="AN38">
        <f>'2015_2020'!AL7</f>
        <v>4.8099999999999997E-2</v>
      </c>
      <c r="AO38">
        <f>'2015_2020'!AM7</f>
        <v>4.9399999999999999E-2</v>
      </c>
      <c r="AP38">
        <f>'2015_2020'!AN7</f>
        <v>4.9099999999999998E-2</v>
      </c>
      <c r="AQ38">
        <f>'2015_2020'!AO7</f>
        <v>4.87E-2</v>
      </c>
      <c r="AR38">
        <f>'2015_2020'!AP7</f>
        <v>4.9299999999999997E-2</v>
      </c>
      <c r="AS38">
        <f>'2015_2020'!AQ7</f>
        <v>4.99E-2</v>
      </c>
      <c r="AT38">
        <f>'2015_2020'!AR7</f>
        <v>5.11E-2</v>
      </c>
      <c r="AU38">
        <f>'2015_2020'!AS7</f>
        <v>5.11E-2</v>
      </c>
      <c r="AV38">
        <f>'2015_2020'!AT7</f>
        <v>5.3400000000000003E-2</v>
      </c>
      <c r="AW38">
        <f>'2015_2020'!AU7</f>
        <v>5.6599999999999998E-2</v>
      </c>
      <c r="AX38">
        <f>'2015_2020'!AV7</f>
        <v>6.0199999999999997E-2</v>
      </c>
      <c r="AY38">
        <f>'2015_2020'!AW7</f>
        <v>6.2600000000000003E-2</v>
      </c>
      <c r="AZ38">
        <f>'2015_2020'!AX7</f>
        <v>6.4899999999999999E-2</v>
      </c>
      <c r="BA38">
        <f>'2015_2020'!AY7</f>
        <v>6.7100000000000007E-2</v>
      </c>
      <c r="BB38">
        <f>'2015_2020'!AZ7</f>
        <v>6.83E-2</v>
      </c>
      <c r="BC38">
        <f>'2015_2020'!BA7</f>
        <v>6.8099999999999994E-2</v>
      </c>
      <c r="BD38">
        <f>'2015_2020'!BB7</f>
        <v>6.8599999999999994E-2</v>
      </c>
      <c r="BE38">
        <f>'2015_2020'!BC7</f>
        <v>6.8900000000000003E-2</v>
      </c>
      <c r="BF38">
        <f>'2015_2020'!BD7</f>
        <v>7.0199999999999999E-2</v>
      </c>
      <c r="BG38">
        <f>'2015_2020'!BE7</f>
        <v>7.0900000000000005E-2</v>
      </c>
      <c r="BH38">
        <f>'2015_2020'!BF7</f>
        <v>7.2300000000000003E-2</v>
      </c>
      <c r="BI38">
        <f>'2015_2020'!BG7</f>
        <v>7.4899999999999994E-2</v>
      </c>
      <c r="BJ38">
        <f>'2015_2020'!BH7</f>
        <v>7.7200000000000005E-2</v>
      </c>
      <c r="BK38">
        <f>'2015_2020'!BI7</f>
        <v>7.9299999999999995E-2</v>
      </c>
      <c r="BL38">
        <f>'2015_2020'!BJ7</f>
        <v>8.0699999999999994E-2</v>
      </c>
      <c r="BM38">
        <f>'2015_2020'!BK7</f>
        <v>8.2400000000000001E-2</v>
      </c>
      <c r="BN38">
        <f>'2015_2020'!BL7</f>
        <v>8.3500000000000005E-2</v>
      </c>
      <c r="BO38">
        <f>'2015_2020'!BM7</f>
        <v>8.3799999999999999E-2</v>
      </c>
      <c r="BP38">
        <f>'2015_2020'!BN7</f>
        <v>8.3699999999999997E-2</v>
      </c>
      <c r="BQ38">
        <f>'2015_2020'!BO7</f>
        <v>8.4099999999999994E-2</v>
      </c>
      <c r="BR38">
        <f>'2015_2020'!BP7</f>
        <v>8.4400000000000003E-2</v>
      </c>
      <c r="BS38">
        <f>'2015_2020'!BQ7</f>
        <v>8.9300000000000004E-2</v>
      </c>
      <c r="BT38">
        <f>'2015_2020'!BR7</f>
        <v>9.2799999999999994E-2</v>
      </c>
      <c r="BU38">
        <f>'2015_2020'!BS7</f>
        <v>9.8900000000000002E-2</v>
      </c>
      <c r="BV38">
        <f>'2015_2020'!BT7</f>
        <v>0.10299999999999999</v>
      </c>
      <c r="BW38">
        <f>'2015_2020'!BU7</f>
        <v>0.113</v>
      </c>
      <c r="BX38">
        <f>'2015_2020'!BV7</f>
        <v>0.115</v>
      </c>
      <c r="BY38">
        <f>'2015_2020'!BW7</f>
        <v>0.114</v>
      </c>
      <c r="BZ38">
        <f>'2015_2020'!BX7</f>
        <v>0.105</v>
      </c>
      <c r="CA38">
        <f>'2015_2020'!BY7</f>
        <v>0.10299999999999999</v>
      </c>
      <c r="CB38">
        <f>'2015_2020'!BZ7</f>
        <v>0.10199999999999999</v>
      </c>
      <c r="CC38">
        <f>'2015_2020'!CA7</f>
        <v>0.10199999999999999</v>
      </c>
      <c r="CD38">
        <f>'2015_2020'!CB7</f>
        <v>0.107</v>
      </c>
      <c r="CE38">
        <f>'2015_2020'!CC7</f>
        <v>0.13500000000000001</v>
      </c>
      <c r="CF38">
        <f>'2015_2020'!CD7</f>
        <v>0.14699999999999999</v>
      </c>
      <c r="CG38">
        <f>'2015_2020'!CE7</f>
        <v>0.14299999999999999</v>
      </c>
      <c r="CH38">
        <f>'2015_2020'!CF7</f>
        <v>0.13800000000000001</v>
      </c>
      <c r="CI38">
        <f>'2015_2020'!CG7</f>
        <v>0.13800000000000001</v>
      </c>
      <c r="CJ38">
        <f>'2015_2020'!CH7</f>
        <v>0.14399999999999999</v>
      </c>
      <c r="CK38">
        <f>'2015_2020'!CI7</f>
        <v>0.13800000000000001</v>
      </c>
      <c r="CL38">
        <f>'2015_2020'!CJ7</f>
        <v>0.13400000000000001</v>
      </c>
      <c r="CM38">
        <f>'2015_2020'!CK7</f>
        <v>0.13700000000000001</v>
      </c>
      <c r="CN38">
        <f>'2015_2020'!CL7</f>
        <v>0.16200000000000001</v>
      </c>
      <c r="CO38">
        <f>'2015_2020'!CM7</f>
        <v>0.16400000000000001</v>
      </c>
      <c r="CP38">
        <f>'2015_2020'!CN7</f>
        <v>0.13900000000000001</v>
      </c>
      <c r="CQ38">
        <f>'2015_2020'!CO7</f>
        <v>0.13</v>
      </c>
      <c r="CR38">
        <f>'2015_2020'!CP7</f>
        <v>0.16600000000000001</v>
      </c>
      <c r="CS38">
        <f>'2015_2020'!CQ7</f>
        <v>0.13700000000000001</v>
      </c>
      <c r="CT38">
        <f>'2015_2020'!CR7</f>
        <v>0.161</v>
      </c>
      <c r="CU38">
        <f>'2015_2020'!CS7</f>
        <v>0.16400000000000001</v>
      </c>
      <c r="CV38">
        <f>'2015_2020'!CT7</f>
        <v>0.153</v>
      </c>
      <c r="CW38">
        <f>'2015_2020'!CU7</f>
        <v>0.153</v>
      </c>
      <c r="CX38">
        <f>'2015_2020'!CV7</f>
        <v>0.14899999999999999</v>
      </c>
    </row>
    <row r="39" spans="1:102" x14ac:dyDescent="0.2">
      <c r="A39" t="s">
        <v>209</v>
      </c>
      <c r="B39" t="s">
        <v>218</v>
      </c>
      <c r="C39" t="s">
        <v>221</v>
      </c>
      <c r="D39">
        <f>'2015_2020'!B8</f>
        <v>2.8700000000000002E-3</v>
      </c>
      <c r="E39">
        <f>'2015_2020'!C8</f>
        <v>6.1700000000000001E-3</v>
      </c>
      <c r="F39">
        <f>'2015_2020'!D8</f>
        <v>6.11E-3</v>
      </c>
      <c r="G39">
        <f>'2015_2020'!E8</f>
        <v>6.4599999999999996E-3</v>
      </c>
      <c r="H39">
        <f>'2015_2020'!F8</f>
        <v>5.7200000000000003E-3</v>
      </c>
      <c r="I39">
        <f>'2015_2020'!G8</f>
        <v>7.1399999999999996E-3</v>
      </c>
      <c r="J39">
        <f>'2015_2020'!H8</f>
        <v>6.2599999999999999E-3</v>
      </c>
      <c r="K39">
        <f>'2015_2020'!I8</f>
        <v>6.2700000000000004E-3</v>
      </c>
      <c r="L39">
        <f>'2015_2020'!J8</f>
        <v>6.3800000000000003E-3</v>
      </c>
      <c r="M39">
        <f>'2015_2020'!K8</f>
        <v>5.1399999999999996E-3</v>
      </c>
      <c r="N39">
        <f>'2015_2020'!L8</f>
        <v>4.5599999999999998E-3</v>
      </c>
      <c r="O39">
        <f>'2015_2020'!M8</f>
        <v>3.6800000000000001E-3</v>
      </c>
      <c r="P39">
        <f>'2015_2020'!N8</f>
        <v>3.4099999999999998E-3</v>
      </c>
      <c r="Q39">
        <f>'2015_2020'!O8</f>
        <v>3.48E-3</v>
      </c>
      <c r="R39">
        <f>'2015_2020'!P8</f>
        <v>3.6600000000000001E-3</v>
      </c>
      <c r="S39">
        <f>'2015_2020'!Q8</f>
        <v>3.64E-3</v>
      </c>
      <c r="T39">
        <f>'2015_2020'!R8</f>
        <v>3.5799999999999998E-3</v>
      </c>
      <c r="U39">
        <f>'2015_2020'!S8</f>
        <v>3.6900000000000001E-3</v>
      </c>
      <c r="V39">
        <f>'2015_2020'!T8</f>
        <v>3.8800000000000002E-3</v>
      </c>
      <c r="W39">
        <f>'2015_2020'!U8</f>
        <v>3.9899999999999996E-3</v>
      </c>
      <c r="X39">
        <f>'2015_2020'!V8</f>
        <v>3.9399999999999999E-3</v>
      </c>
      <c r="Y39">
        <f>'2015_2020'!W8</f>
        <v>3.9100000000000003E-3</v>
      </c>
      <c r="Z39">
        <f>'2015_2020'!X8</f>
        <v>3.9399999999999999E-3</v>
      </c>
      <c r="AA39">
        <f>'2015_2020'!Y8</f>
        <v>3.9300000000000003E-3</v>
      </c>
      <c r="AB39">
        <f>'2015_2020'!Z8</f>
        <v>4.1200000000000004E-3</v>
      </c>
      <c r="AC39">
        <f>'2015_2020'!AA8</f>
        <v>4.3200000000000001E-3</v>
      </c>
      <c r="AD39">
        <f>'2015_2020'!AB8</f>
        <v>4.3899999999999998E-3</v>
      </c>
      <c r="AE39">
        <f>'2015_2020'!AC8</f>
        <v>4.5599999999999998E-3</v>
      </c>
      <c r="AF39">
        <f>'2015_2020'!AD8</f>
        <v>4.7400000000000003E-3</v>
      </c>
      <c r="AG39">
        <f>'2015_2020'!AE8</f>
        <v>5.0000000000000001E-3</v>
      </c>
      <c r="AH39">
        <f>'2015_2020'!AF8</f>
        <v>5.2199999999999998E-3</v>
      </c>
      <c r="AI39">
        <f>'2015_2020'!AG8</f>
        <v>5.5500000000000002E-3</v>
      </c>
      <c r="AJ39">
        <f>'2015_2020'!AH8</f>
        <v>6.0400000000000002E-3</v>
      </c>
      <c r="AK39">
        <f>'2015_2020'!AI8</f>
        <v>6.45E-3</v>
      </c>
      <c r="AL39">
        <f>'2015_2020'!AJ8</f>
        <v>6.7799999999999996E-3</v>
      </c>
      <c r="AM39">
        <f>'2015_2020'!AK8</f>
        <v>7.0600000000000003E-3</v>
      </c>
      <c r="AN39">
        <f>'2015_2020'!AL8</f>
        <v>7.2399999999999999E-3</v>
      </c>
      <c r="AO39">
        <f>'2015_2020'!AM8</f>
        <v>7.4200000000000004E-3</v>
      </c>
      <c r="AP39">
        <f>'2015_2020'!AN8</f>
        <v>7.3299999999999997E-3</v>
      </c>
      <c r="AQ39">
        <f>'2015_2020'!AO8</f>
        <v>7.28E-3</v>
      </c>
      <c r="AR39">
        <f>'2015_2020'!AP8</f>
        <v>7.3000000000000001E-3</v>
      </c>
      <c r="AS39">
        <f>'2015_2020'!AQ8</f>
        <v>7.3400000000000002E-3</v>
      </c>
      <c r="AT39">
        <f>'2015_2020'!AR8</f>
        <v>7.5700000000000003E-3</v>
      </c>
      <c r="AU39">
        <f>'2015_2020'!AS8</f>
        <v>7.5700000000000003E-3</v>
      </c>
      <c r="AV39">
        <f>'2015_2020'!AT8</f>
        <v>7.8399999999999997E-3</v>
      </c>
      <c r="AW39">
        <f>'2015_2020'!AU8</f>
        <v>8.1899999999999994E-3</v>
      </c>
      <c r="AX39">
        <f>'2015_2020'!AV8</f>
        <v>8.6999999999999994E-3</v>
      </c>
      <c r="AY39">
        <f>'2015_2020'!AW8</f>
        <v>9.0100000000000006E-3</v>
      </c>
      <c r="AZ39">
        <f>'2015_2020'!AX8</f>
        <v>9.3200000000000002E-3</v>
      </c>
      <c r="BA39">
        <f>'2015_2020'!AY8</f>
        <v>9.5999999999999992E-3</v>
      </c>
      <c r="BB39">
        <f>'2015_2020'!AZ8</f>
        <v>9.58E-3</v>
      </c>
      <c r="BC39">
        <f>'2015_2020'!BA8</f>
        <v>9.4699999999999993E-3</v>
      </c>
      <c r="BD39">
        <f>'2015_2020'!BB8</f>
        <v>9.4599999999999997E-3</v>
      </c>
      <c r="BE39">
        <f>'2015_2020'!BC8</f>
        <v>9.4999999999999998E-3</v>
      </c>
      <c r="BF39">
        <f>'2015_2020'!BD8</f>
        <v>9.6500000000000006E-3</v>
      </c>
      <c r="BG39">
        <f>'2015_2020'!BE8</f>
        <v>9.6200000000000001E-3</v>
      </c>
      <c r="BH39">
        <f>'2015_2020'!BF8</f>
        <v>9.7099999999999999E-3</v>
      </c>
      <c r="BI39">
        <f>'2015_2020'!BG8</f>
        <v>0.01</v>
      </c>
      <c r="BJ39">
        <f>'2015_2020'!BH8</f>
        <v>1.03E-2</v>
      </c>
      <c r="BK39">
        <f>'2015_2020'!BI8</f>
        <v>1.04E-2</v>
      </c>
      <c r="BL39">
        <f>'2015_2020'!BJ8</f>
        <v>1.0500000000000001E-2</v>
      </c>
      <c r="BM39">
        <f>'2015_2020'!BK8</f>
        <v>1.06E-2</v>
      </c>
      <c r="BN39">
        <f>'2015_2020'!BL8</f>
        <v>1.0699999999999999E-2</v>
      </c>
      <c r="BO39">
        <f>'2015_2020'!BM8</f>
        <v>1.06E-2</v>
      </c>
      <c r="BP39">
        <f>'2015_2020'!BN8</f>
        <v>1.0500000000000001E-2</v>
      </c>
      <c r="BQ39">
        <f>'2015_2020'!BO8</f>
        <v>1.0500000000000001E-2</v>
      </c>
      <c r="BR39">
        <f>'2015_2020'!BP8</f>
        <v>1.0500000000000001E-2</v>
      </c>
      <c r="BS39">
        <f>'2015_2020'!BQ8</f>
        <v>1.0999999999999999E-2</v>
      </c>
      <c r="BT39">
        <f>'2015_2020'!BR8</f>
        <v>1.14E-2</v>
      </c>
      <c r="BU39">
        <f>'2015_2020'!BS8</f>
        <v>1.2200000000000001E-2</v>
      </c>
      <c r="BV39">
        <f>'2015_2020'!BT8</f>
        <v>1.2500000000000001E-2</v>
      </c>
      <c r="BW39">
        <f>'2015_2020'!BU8</f>
        <v>1.3299999999999999E-2</v>
      </c>
      <c r="BX39">
        <f>'2015_2020'!BV8</f>
        <v>1.3599999999999999E-2</v>
      </c>
      <c r="BY39">
        <f>'2015_2020'!BW8</f>
        <v>1.34E-2</v>
      </c>
      <c r="BZ39">
        <f>'2015_2020'!BX8</f>
        <v>1.2200000000000001E-2</v>
      </c>
      <c r="CA39">
        <f>'2015_2020'!BY8</f>
        <v>1.1900000000000001E-2</v>
      </c>
      <c r="CB39">
        <f>'2015_2020'!BZ8</f>
        <v>1.17E-2</v>
      </c>
      <c r="CC39">
        <f>'2015_2020'!CA8</f>
        <v>1.17E-2</v>
      </c>
      <c r="CD39">
        <f>'2015_2020'!CB8</f>
        <v>1.2200000000000001E-2</v>
      </c>
      <c r="CE39">
        <f>'2015_2020'!CC8</f>
        <v>1.5299999999999999E-2</v>
      </c>
      <c r="CF39">
        <f>'2015_2020'!CD8</f>
        <v>1.6400000000000001E-2</v>
      </c>
      <c r="CG39">
        <f>'2015_2020'!CE8</f>
        <v>1.5900000000000001E-2</v>
      </c>
      <c r="CH39">
        <f>'2015_2020'!CF8</f>
        <v>1.52E-2</v>
      </c>
      <c r="CI39">
        <f>'2015_2020'!CG8</f>
        <v>1.4999999999999999E-2</v>
      </c>
      <c r="CJ39">
        <f>'2015_2020'!CH8</f>
        <v>1.55E-2</v>
      </c>
      <c r="CK39">
        <f>'2015_2020'!CI8</f>
        <v>1.4800000000000001E-2</v>
      </c>
      <c r="CL39">
        <f>'2015_2020'!CJ8</f>
        <v>1.43E-2</v>
      </c>
      <c r="CM39">
        <f>'2015_2020'!CK8</f>
        <v>1.4800000000000001E-2</v>
      </c>
      <c r="CN39">
        <f>'2015_2020'!CL8</f>
        <v>1.7399999999999999E-2</v>
      </c>
      <c r="CO39">
        <f>'2015_2020'!CM8</f>
        <v>1.7600000000000001E-2</v>
      </c>
      <c r="CP39">
        <f>'2015_2020'!CN8</f>
        <v>1.4800000000000001E-2</v>
      </c>
      <c r="CQ39">
        <f>'2015_2020'!CO8</f>
        <v>1.43E-2</v>
      </c>
      <c r="CR39">
        <f>'2015_2020'!CP8</f>
        <v>1.8100000000000002E-2</v>
      </c>
      <c r="CS39">
        <f>'2015_2020'!CQ8</f>
        <v>1.5100000000000001E-2</v>
      </c>
      <c r="CT39">
        <f>'2015_2020'!CR8</f>
        <v>1.7999999999999999E-2</v>
      </c>
      <c r="CU39">
        <f>'2015_2020'!CS8</f>
        <v>1.8499999999999999E-2</v>
      </c>
      <c r="CV39">
        <f>'2015_2020'!CT8</f>
        <v>1.7899999999999999E-2</v>
      </c>
      <c r="CW39">
        <f>'2015_2020'!CU8</f>
        <v>1.9300000000000001E-2</v>
      </c>
      <c r="CX39">
        <f>'2015_2020'!CV8</f>
        <v>2.01E-2</v>
      </c>
    </row>
    <row r="40" spans="1:102" x14ac:dyDescent="0.2">
      <c r="A40" t="s">
        <v>210</v>
      </c>
      <c r="B40" t="s">
        <v>218</v>
      </c>
      <c r="C40" t="s">
        <v>221</v>
      </c>
      <c r="D40">
        <f>'2015_2020'!B9</f>
        <v>-4.4299999999999999E-3</v>
      </c>
      <c r="E40">
        <f>'2015_2020'!C9</f>
        <v>-5.4400000000000004E-3</v>
      </c>
      <c r="F40">
        <f>'2015_2020'!D9</f>
        <v>-4.3699999999999998E-3</v>
      </c>
      <c r="G40">
        <f>'2015_2020'!E9</f>
        <v>-4.0499999999999998E-3</v>
      </c>
      <c r="H40">
        <f>'2015_2020'!F9</f>
        <v>-3.0699999999999998E-3</v>
      </c>
      <c r="I40">
        <f>'2015_2020'!G9</f>
        <v>-3.3999999999999998E-3</v>
      </c>
      <c r="J40">
        <f>'2015_2020'!H9</f>
        <v>-2.81E-3</v>
      </c>
      <c r="K40">
        <f>'2015_2020'!I9</f>
        <v>-2.5100000000000001E-3</v>
      </c>
      <c r="L40">
        <f>'2015_2020'!J9</f>
        <v>-2.4499999999999999E-3</v>
      </c>
      <c r="M40">
        <f>'2015_2020'!K9</f>
        <v>-1.91E-3</v>
      </c>
      <c r="N40">
        <f>'2015_2020'!L9</f>
        <v>-1.5499999999999999E-3</v>
      </c>
      <c r="O40">
        <f>'2015_2020'!M9</f>
        <v>-1.17E-3</v>
      </c>
      <c r="P40">
        <f>'2015_2020'!N9</f>
        <v>-1.0399999999999999E-3</v>
      </c>
      <c r="Q40">
        <f>'2015_2020'!O9</f>
        <v>-1.0499999999999999E-3</v>
      </c>
      <c r="R40">
        <f>'2015_2020'!P9</f>
        <v>-1.0300000000000001E-3</v>
      </c>
      <c r="S40">
        <f>'2015_2020'!Q9</f>
        <v>-1.0399999999999999E-3</v>
      </c>
      <c r="T40">
        <f>'2015_2020'!R9</f>
        <v>-1.01E-3</v>
      </c>
      <c r="U40">
        <f>'2015_2020'!S9</f>
        <v>-1.0200000000000001E-3</v>
      </c>
      <c r="V40">
        <f>'2015_2020'!T9</f>
        <v>-1.09E-3</v>
      </c>
      <c r="W40">
        <f>'2015_2020'!U9</f>
        <v>-1.08E-3</v>
      </c>
      <c r="X40">
        <f>'2015_2020'!V9</f>
        <v>-1.06E-3</v>
      </c>
      <c r="Y40">
        <f>'2015_2020'!W9</f>
        <v>-1.08E-3</v>
      </c>
      <c r="Z40">
        <f>'2015_2020'!X9</f>
        <v>-1.08E-3</v>
      </c>
      <c r="AA40">
        <f>'2015_2020'!Y9</f>
        <v>-1.1199999999999999E-3</v>
      </c>
      <c r="AB40">
        <f>'2015_2020'!Z9</f>
        <v>-1.23E-3</v>
      </c>
      <c r="AC40">
        <f>'2015_2020'!AA9</f>
        <v>-1.2999999999999999E-3</v>
      </c>
      <c r="AD40">
        <f>'2015_2020'!AB9</f>
        <v>-1.3699999999999999E-3</v>
      </c>
      <c r="AE40">
        <f>'2015_2020'!AC9</f>
        <v>-1.4400000000000001E-3</v>
      </c>
      <c r="AF40">
        <f>'2015_2020'!AD9</f>
        <v>-1.5499999999999999E-3</v>
      </c>
      <c r="AG40">
        <f>'2015_2020'!AE9</f>
        <v>-1.6299999999999999E-3</v>
      </c>
      <c r="AH40">
        <f>'2015_2020'!AF9</f>
        <v>-1.6999999999999999E-3</v>
      </c>
      <c r="AI40">
        <f>'2015_2020'!AG9</f>
        <v>-1.83E-3</v>
      </c>
      <c r="AJ40">
        <f>'2015_2020'!AH9</f>
        <v>-2.0300000000000001E-3</v>
      </c>
      <c r="AK40">
        <f>'2015_2020'!AI9</f>
        <v>-2.1700000000000001E-3</v>
      </c>
      <c r="AL40">
        <f>'2015_2020'!AJ9</f>
        <v>-2.31E-3</v>
      </c>
      <c r="AM40">
        <f>'2015_2020'!AK9</f>
        <v>-2.3999999999999998E-3</v>
      </c>
      <c r="AN40">
        <f>'2015_2020'!AL9</f>
        <v>-2.48E-3</v>
      </c>
      <c r="AO40">
        <f>'2015_2020'!AM9</f>
        <v>-2.5899999999999999E-3</v>
      </c>
      <c r="AP40">
        <f>'2015_2020'!AN9</f>
        <v>-2.5600000000000002E-3</v>
      </c>
      <c r="AQ40">
        <f>'2015_2020'!AO9</f>
        <v>-2.5400000000000002E-3</v>
      </c>
      <c r="AR40">
        <f>'2015_2020'!AP9</f>
        <v>-2.5300000000000001E-3</v>
      </c>
      <c r="AS40">
        <f>'2015_2020'!AQ9</f>
        <v>-2.5500000000000002E-3</v>
      </c>
      <c r="AT40">
        <f>'2015_2020'!AR9</f>
        <v>-2.5899999999999999E-3</v>
      </c>
      <c r="AU40">
        <f>'2015_2020'!AS9</f>
        <v>-2.5899999999999999E-3</v>
      </c>
      <c r="AV40">
        <f>'2015_2020'!AT9</f>
        <v>-2.7100000000000002E-3</v>
      </c>
      <c r="AW40">
        <f>'2015_2020'!AU9</f>
        <v>-2.8999999999999998E-3</v>
      </c>
      <c r="AX40">
        <f>'2015_2020'!AV9</f>
        <v>-3.0799999999999998E-3</v>
      </c>
      <c r="AY40">
        <f>'2015_2020'!AW9</f>
        <v>-3.1700000000000001E-3</v>
      </c>
      <c r="AZ40">
        <f>'2015_2020'!AX9</f>
        <v>-3.2399999999999998E-3</v>
      </c>
      <c r="BA40">
        <f>'2015_2020'!AY9</f>
        <v>-3.3300000000000001E-3</v>
      </c>
      <c r="BB40">
        <f>'2015_2020'!AZ9</f>
        <v>-3.3600000000000001E-3</v>
      </c>
      <c r="BC40">
        <f>'2015_2020'!BA9</f>
        <v>-3.2799999999999999E-3</v>
      </c>
      <c r="BD40">
        <f>'2015_2020'!BB9</f>
        <v>-3.2599999999999999E-3</v>
      </c>
      <c r="BE40">
        <f>'2015_2020'!BC9</f>
        <v>-3.2699999999999999E-3</v>
      </c>
      <c r="BF40">
        <f>'2015_2020'!BD9</f>
        <v>-3.3E-3</v>
      </c>
      <c r="BG40">
        <f>'2015_2020'!BE9</f>
        <v>-3.2699999999999999E-3</v>
      </c>
      <c r="BH40">
        <f>'2015_2020'!BF9</f>
        <v>-3.2200000000000002E-3</v>
      </c>
      <c r="BI40">
        <f>'2015_2020'!BG9</f>
        <v>-3.29E-3</v>
      </c>
      <c r="BJ40">
        <f>'2015_2020'!BH9</f>
        <v>-3.3300000000000001E-3</v>
      </c>
      <c r="BK40">
        <f>'2015_2020'!BI9</f>
        <v>-3.3899999999999998E-3</v>
      </c>
      <c r="BL40">
        <f>'2015_2020'!BJ9</f>
        <v>-3.3999999999999998E-3</v>
      </c>
      <c r="BM40">
        <f>'2015_2020'!BK9</f>
        <v>-3.4099999999999998E-3</v>
      </c>
      <c r="BN40">
        <f>'2015_2020'!BL9</f>
        <v>-3.3899999999999998E-3</v>
      </c>
      <c r="BO40">
        <f>'2015_2020'!BM9</f>
        <v>-3.3300000000000001E-3</v>
      </c>
      <c r="BP40">
        <f>'2015_2020'!BN9</f>
        <v>-3.29E-3</v>
      </c>
      <c r="BQ40">
        <f>'2015_2020'!BO9</f>
        <v>-3.29E-3</v>
      </c>
      <c r="BR40">
        <f>'2015_2020'!BP9</f>
        <v>-3.2399999999999998E-3</v>
      </c>
      <c r="BS40">
        <f>'2015_2020'!BQ9</f>
        <v>-3.3999999999999998E-3</v>
      </c>
      <c r="BT40">
        <f>'2015_2020'!BR9</f>
        <v>-3.5300000000000002E-3</v>
      </c>
      <c r="BU40">
        <f>'2015_2020'!BS9</f>
        <v>-3.7000000000000002E-3</v>
      </c>
      <c r="BV40">
        <f>'2015_2020'!BT9</f>
        <v>-3.7699999999999999E-3</v>
      </c>
      <c r="BW40">
        <f>'2015_2020'!BU9</f>
        <v>-3.98E-3</v>
      </c>
      <c r="BX40">
        <f>'2015_2020'!BV9</f>
        <v>-4.0099999999999997E-3</v>
      </c>
      <c r="BY40">
        <f>'2015_2020'!BW9</f>
        <v>-3.8899999999999998E-3</v>
      </c>
      <c r="BZ40">
        <f>'2015_2020'!BX9</f>
        <v>-3.5100000000000001E-3</v>
      </c>
      <c r="CA40">
        <f>'2015_2020'!BY9</f>
        <v>-3.4199999999999999E-3</v>
      </c>
      <c r="CB40">
        <f>'2015_2020'!BZ9</f>
        <v>-3.4099999999999998E-3</v>
      </c>
      <c r="CC40">
        <f>'2015_2020'!CA9</f>
        <v>-3.4099999999999998E-3</v>
      </c>
      <c r="CD40">
        <f>'2015_2020'!CB9</f>
        <v>-3.5300000000000002E-3</v>
      </c>
      <c r="CE40">
        <f>'2015_2020'!CC9</f>
        <v>-4.3800000000000002E-3</v>
      </c>
      <c r="CF40">
        <f>'2015_2020'!CD9</f>
        <v>-4.6299999999999996E-3</v>
      </c>
      <c r="CG40">
        <f>'2015_2020'!CE9</f>
        <v>-4.47E-3</v>
      </c>
      <c r="CH40">
        <f>'2015_2020'!CF9</f>
        <v>-4.2199999999999998E-3</v>
      </c>
      <c r="CI40">
        <f>'2015_2020'!CG9</f>
        <v>-4.2500000000000003E-3</v>
      </c>
      <c r="CJ40">
        <f>'2015_2020'!CH9</f>
        <v>-4.4099999999999999E-3</v>
      </c>
      <c r="CK40">
        <f>'2015_2020'!CI9</f>
        <v>-4.1700000000000001E-3</v>
      </c>
      <c r="CL40">
        <f>'2015_2020'!CJ9</f>
        <v>-4.0299999999999997E-3</v>
      </c>
      <c r="CM40">
        <f>'2015_2020'!CK9</f>
        <v>-4.1200000000000004E-3</v>
      </c>
      <c r="CN40">
        <f>'2015_2020'!CL9</f>
        <v>-4.8700000000000002E-3</v>
      </c>
      <c r="CO40">
        <f>'2015_2020'!CM9</f>
        <v>-4.9100000000000003E-3</v>
      </c>
      <c r="CP40">
        <f>'2015_2020'!CN9</f>
        <v>-4.13E-3</v>
      </c>
      <c r="CQ40">
        <f>'2015_2020'!CO9</f>
        <v>-4.0800000000000003E-3</v>
      </c>
      <c r="CR40">
        <f>'2015_2020'!CP9</f>
        <v>-5.2700000000000004E-3</v>
      </c>
      <c r="CS40">
        <f>'2015_2020'!CQ9</f>
        <v>-4.4900000000000001E-3</v>
      </c>
      <c r="CT40">
        <f>'2015_2020'!CR9</f>
        <v>-5.5199999999999997E-3</v>
      </c>
      <c r="CU40">
        <f>'2015_2020'!CS9</f>
        <v>-5.7200000000000003E-3</v>
      </c>
      <c r="CV40">
        <f>'2015_2020'!CT9</f>
        <v>-5.6699999999999997E-3</v>
      </c>
      <c r="CW40">
        <f>'2015_2020'!CU9</f>
        <v>-5.8100000000000001E-3</v>
      </c>
      <c r="CX40">
        <f>'2015_2020'!CV9</f>
        <v>-5.4799999999999996E-3</v>
      </c>
    </row>
    <row r="41" spans="1:102" x14ac:dyDescent="0.2">
      <c r="A41" t="s">
        <v>211</v>
      </c>
      <c r="B41" t="s">
        <v>218</v>
      </c>
      <c r="C41" t="s">
        <v>221</v>
      </c>
      <c r="D41">
        <f>'2015_2020'!B10</f>
        <v>-1.4E-3</v>
      </c>
      <c r="E41">
        <f>'2015_2020'!C10</f>
        <v>-1.8500000000000001E-3</v>
      </c>
      <c r="F41">
        <f>'2015_2020'!D10</f>
        <v>-1.2099999999999999E-3</v>
      </c>
      <c r="G41">
        <f>'2015_2020'!E10</f>
        <v>-1.3500000000000001E-3</v>
      </c>
      <c r="H41">
        <f>'2015_2020'!F10</f>
        <v>-1.0399999999999999E-3</v>
      </c>
      <c r="I41">
        <f>'2015_2020'!G10</f>
        <v>-1.2099999999999999E-3</v>
      </c>
      <c r="J41">
        <f>'2015_2020'!H10</f>
        <v>-1.2899999999999999E-3</v>
      </c>
      <c r="K41">
        <f>'2015_2020'!I10</f>
        <v>-1.24E-3</v>
      </c>
      <c r="L41">
        <f>'2015_2020'!J10</f>
        <v>-1.2899999999999999E-3</v>
      </c>
      <c r="M41">
        <f>'2015_2020'!K10</f>
        <v>-1.06E-3</v>
      </c>
      <c r="N41">
        <f>'2015_2020'!L10</f>
        <v>-8.6899999999999998E-4</v>
      </c>
      <c r="O41">
        <f>'2015_2020'!M10</f>
        <v>-6.0599999999999998E-4</v>
      </c>
      <c r="P41">
        <f>'2015_2020'!N10</f>
        <v>-6.5399999999999996E-4</v>
      </c>
      <c r="Q41">
        <f>'2015_2020'!O10</f>
        <v>-7.3700000000000002E-4</v>
      </c>
      <c r="R41">
        <f>'2015_2020'!P10</f>
        <v>-6.8000000000000005E-4</v>
      </c>
      <c r="S41">
        <f>'2015_2020'!Q10</f>
        <v>-6.0300000000000002E-4</v>
      </c>
      <c r="T41">
        <f>'2015_2020'!R10</f>
        <v>-6.5099999999999999E-4</v>
      </c>
      <c r="U41">
        <f>'2015_2020'!S10</f>
        <v>-6.5899999999999997E-4</v>
      </c>
      <c r="V41">
        <f>'2015_2020'!T10</f>
        <v>-7.2400000000000003E-4</v>
      </c>
      <c r="W41">
        <f>'2015_2020'!U10</f>
        <v>-7.2900000000000005E-4</v>
      </c>
      <c r="X41">
        <f>'2015_2020'!V10</f>
        <v>-6.6200000000000005E-4</v>
      </c>
      <c r="Y41">
        <f>'2015_2020'!W10</f>
        <v>-6.9499999999999998E-4</v>
      </c>
      <c r="Z41">
        <f>'2015_2020'!X10</f>
        <v>-6.9200000000000002E-4</v>
      </c>
      <c r="AA41">
        <f>'2015_2020'!Y10</f>
        <v>-7.5100000000000004E-4</v>
      </c>
      <c r="AB41">
        <f>'2015_2020'!Z10</f>
        <v>-9.1100000000000003E-4</v>
      </c>
      <c r="AC41">
        <f>'2015_2020'!AA10</f>
        <v>-9.7900000000000005E-4</v>
      </c>
      <c r="AD41">
        <f>'2015_2020'!AB10</f>
        <v>-9.7400000000000004E-4</v>
      </c>
      <c r="AE41">
        <f>'2015_2020'!AC10</f>
        <v>-9.7499999999999996E-4</v>
      </c>
      <c r="AF41">
        <f>'2015_2020'!AD10</f>
        <v>-9.3999999999999997E-4</v>
      </c>
      <c r="AG41">
        <f>'2015_2020'!AE10</f>
        <v>-1E-3</v>
      </c>
      <c r="AH41">
        <f>'2015_2020'!AF10</f>
        <v>-1.08E-3</v>
      </c>
      <c r="AI41">
        <f>'2015_2020'!AG10</f>
        <v>-1.16E-3</v>
      </c>
      <c r="AJ41">
        <f>'2015_2020'!AH10</f>
        <v>-1.2899999999999999E-3</v>
      </c>
      <c r="AK41">
        <f>'2015_2020'!AI10</f>
        <v>-1.4E-3</v>
      </c>
      <c r="AL41">
        <f>'2015_2020'!AJ10</f>
        <v>-1.5E-3</v>
      </c>
      <c r="AM41">
        <f>'2015_2020'!AK10</f>
        <v>-1.57E-3</v>
      </c>
      <c r="AN41">
        <f>'2015_2020'!AL10</f>
        <v>-1.5900000000000001E-3</v>
      </c>
      <c r="AO41">
        <f>'2015_2020'!AM10</f>
        <v>-1.5E-3</v>
      </c>
      <c r="AP41">
        <f>'2015_2020'!AN10</f>
        <v>-1.5100000000000001E-3</v>
      </c>
      <c r="AQ41">
        <f>'2015_2020'!AO10</f>
        <v>-1.5E-3</v>
      </c>
      <c r="AR41">
        <f>'2015_2020'!AP10</f>
        <v>-1.6299999999999999E-3</v>
      </c>
      <c r="AS41">
        <f>'2015_2020'!AQ10</f>
        <v>-1.7099999999999999E-3</v>
      </c>
      <c r="AT41">
        <f>'2015_2020'!AR10</f>
        <v>-1.72E-3</v>
      </c>
      <c r="AU41">
        <f>'2015_2020'!AS10</f>
        <v>-1.72E-3</v>
      </c>
      <c r="AV41">
        <f>'2015_2020'!AT10</f>
        <v>-1.6000000000000001E-3</v>
      </c>
      <c r="AW41">
        <f>'2015_2020'!AU10</f>
        <v>-1.6900000000000001E-3</v>
      </c>
      <c r="AX41">
        <f>'2015_2020'!AV10</f>
        <v>-1.7700000000000001E-3</v>
      </c>
      <c r="AY41">
        <f>'2015_2020'!AW10</f>
        <v>-1.8699999999999999E-3</v>
      </c>
      <c r="AZ41">
        <f>'2015_2020'!AX10</f>
        <v>-1.9E-3</v>
      </c>
      <c r="BA41">
        <f>'2015_2020'!AY10</f>
        <v>-1.89E-3</v>
      </c>
      <c r="BB41">
        <f>'2015_2020'!AZ10</f>
        <v>-1.9499999999999999E-3</v>
      </c>
      <c r="BC41">
        <f>'2015_2020'!BA10</f>
        <v>-1.97E-3</v>
      </c>
      <c r="BD41">
        <f>'2015_2020'!BB10</f>
        <v>-2.0799999999999998E-3</v>
      </c>
      <c r="BE41">
        <f>'2015_2020'!BC10</f>
        <v>-2.0799999999999998E-3</v>
      </c>
      <c r="BF41">
        <f>'2015_2020'!BD10</f>
        <v>-1.92E-3</v>
      </c>
      <c r="BG41">
        <f>'2015_2020'!BE10</f>
        <v>-2E-3</v>
      </c>
      <c r="BH41">
        <f>'2015_2020'!BF10</f>
        <v>-2E-3</v>
      </c>
      <c r="BI41">
        <f>'2015_2020'!BG10</f>
        <v>-2.1199999999999999E-3</v>
      </c>
      <c r="BJ41">
        <f>'2015_2020'!BH10</f>
        <v>-2.1800000000000001E-3</v>
      </c>
      <c r="BK41">
        <f>'2015_2020'!BI10</f>
        <v>-2.2300000000000002E-3</v>
      </c>
      <c r="BL41">
        <f>'2015_2020'!BJ10</f>
        <v>-2.2100000000000002E-3</v>
      </c>
      <c r="BM41">
        <f>'2015_2020'!BK10</f>
        <v>-2.2699999999999999E-3</v>
      </c>
      <c r="BN41">
        <f>'2015_2020'!BL10</f>
        <v>-2.2300000000000002E-3</v>
      </c>
      <c r="BO41">
        <f>'2015_2020'!BM10</f>
        <v>-2.2399999999999998E-3</v>
      </c>
      <c r="BP41">
        <f>'2015_2020'!BN10</f>
        <v>-2.4099999999999998E-3</v>
      </c>
      <c r="BQ41">
        <f>'2015_2020'!BO10</f>
        <v>-2.4199999999999998E-3</v>
      </c>
      <c r="BR41">
        <f>'2015_2020'!BP10</f>
        <v>-2.2699999999999999E-3</v>
      </c>
      <c r="BS41">
        <f>'2015_2020'!BQ10</f>
        <v>-2.4499999999999999E-3</v>
      </c>
      <c r="BT41">
        <f>'2015_2020'!BR10</f>
        <v>-2.5999999999999999E-3</v>
      </c>
      <c r="BU41">
        <f>'2015_2020'!BS10</f>
        <v>-2.6700000000000001E-3</v>
      </c>
      <c r="BV41">
        <f>'2015_2020'!BT10</f>
        <v>-2.8400000000000001E-3</v>
      </c>
      <c r="BW41">
        <f>'2015_2020'!BU10</f>
        <v>-3.0599999999999998E-3</v>
      </c>
      <c r="BX41">
        <f>'2015_2020'!BV10</f>
        <v>-3.2200000000000002E-3</v>
      </c>
      <c r="BY41">
        <f>'2015_2020'!BW10</f>
        <v>-3.2100000000000002E-3</v>
      </c>
      <c r="BZ41">
        <f>'2015_2020'!BX10</f>
        <v>-2.8999999999999998E-3</v>
      </c>
      <c r="CA41">
        <f>'2015_2020'!BY10</f>
        <v>-3.0000000000000001E-3</v>
      </c>
      <c r="CB41">
        <f>'2015_2020'!BZ10</f>
        <v>-3.0500000000000002E-3</v>
      </c>
      <c r="CC41">
        <f>'2015_2020'!CA10</f>
        <v>-3.0500000000000002E-3</v>
      </c>
      <c r="CD41">
        <f>'2015_2020'!CB10</f>
        <v>-2.8E-3</v>
      </c>
      <c r="CE41">
        <f>'2015_2020'!CC10</f>
        <v>-3.5599999999999998E-3</v>
      </c>
      <c r="CF41">
        <f>'2015_2020'!CD10</f>
        <v>-3.8500000000000001E-3</v>
      </c>
      <c r="CG41">
        <f>'2015_2020'!CE10</f>
        <v>-3.7499999999999999E-3</v>
      </c>
      <c r="CH41">
        <f>'2015_2020'!CF10</f>
        <v>-3.82E-3</v>
      </c>
      <c r="CI41">
        <f>'2015_2020'!CG10</f>
        <v>-3.79E-3</v>
      </c>
      <c r="CJ41">
        <f>'2015_2020'!CH10</f>
        <v>-3.9300000000000003E-3</v>
      </c>
      <c r="CK41">
        <f>'2015_2020'!CI10</f>
        <v>-3.79E-3</v>
      </c>
      <c r="CL41">
        <f>'2015_2020'!CJ10</f>
        <v>-4.0200000000000001E-3</v>
      </c>
      <c r="CM41">
        <f>'2015_2020'!CK10</f>
        <v>-3.9899999999999996E-3</v>
      </c>
      <c r="CN41">
        <f>'2015_2020'!CL10</f>
        <v>-4.8700000000000002E-3</v>
      </c>
      <c r="CO41">
        <f>'2015_2020'!CM10</f>
        <v>-5.0600000000000003E-3</v>
      </c>
      <c r="CP41">
        <f>'2015_2020'!CN10</f>
        <v>-4.62E-3</v>
      </c>
      <c r="CQ41">
        <f>'2015_2020'!CO10</f>
        <v>-4.2100000000000002E-3</v>
      </c>
      <c r="CR41">
        <f>'2015_2020'!CP10</f>
        <v>-5.4900000000000001E-3</v>
      </c>
      <c r="CS41">
        <f>'2015_2020'!CQ10</f>
        <v>-4.5500000000000002E-3</v>
      </c>
      <c r="CT41">
        <f>'2015_2020'!CR10</f>
        <v>-5.3800000000000002E-3</v>
      </c>
      <c r="CU41">
        <f>'2015_2020'!CS10</f>
        <v>-5.8799999999999998E-3</v>
      </c>
      <c r="CV41">
        <f>'2015_2020'!CT10</f>
        <v>-5.94E-3</v>
      </c>
      <c r="CW41">
        <f>'2015_2020'!CU10</f>
        <v>-6.0899999999999999E-3</v>
      </c>
      <c r="CX41">
        <f>'2015_2020'!CV10</f>
        <v>-5.9899999999999997E-3</v>
      </c>
    </row>
    <row r="42" spans="1:102" x14ac:dyDescent="0.2">
      <c r="A42" t="s">
        <v>212</v>
      </c>
      <c r="B42" t="s">
        <v>218</v>
      </c>
      <c r="C42" t="s">
        <v>221</v>
      </c>
      <c r="D42">
        <f>'2015_2020'!B11</f>
        <v>7.3499999999999998E-3</v>
      </c>
      <c r="E42">
        <f>'2015_2020'!C11</f>
        <v>8.7399999999999995E-3</v>
      </c>
      <c r="F42">
        <f>'2015_2020'!D11</f>
        <v>7.1999999999999998E-3</v>
      </c>
      <c r="G42">
        <f>'2015_2020'!E11</f>
        <v>7.0099999999999997E-3</v>
      </c>
      <c r="H42">
        <f>'2015_2020'!F11</f>
        <v>5.5399999999999998E-3</v>
      </c>
      <c r="I42">
        <f>'2015_2020'!G11</f>
        <v>5.7299999999999999E-3</v>
      </c>
      <c r="J42">
        <f>'2015_2020'!H11</f>
        <v>4.9899999999999996E-3</v>
      </c>
      <c r="K42">
        <f>'2015_2020'!I11</f>
        <v>4.5799999999999999E-3</v>
      </c>
      <c r="L42">
        <f>'2015_2020'!J11</f>
        <v>4.3600000000000002E-3</v>
      </c>
      <c r="M42">
        <f>'2015_2020'!K11</f>
        <v>3.3800000000000002E-3</v>
      </c>
      <c r="N42">
        <f>'2015_2020'!L11</f>
        <v>2.6800000000000001E-3</v>
      </c>
      <c r="O42">
        <f>'2015_2020'!M11</f>
        <v>2.0100000000000001E-3</v>
      </c>
      <c r="P42">
        <f>'2015_2020'!N11</f>
        <v>1.75E-3</v>
      </c>
      <c r="Q42">
        <f>'2015_2020'!O11</f>
        <v>1.6100000000000001E-3</v>
      </c>
      <c r="R42">
        <f>'2015_2020'!P11</f>
        <v>1.5200000000000001E-3</v>
      </c>
      <c r="S42">
        <f>'2015_2020'!Q11</f>
        <v>1.3799999999999999E-3</v>
      </c>
      <c r="T42">
        <f>'2015_2020'!R11</f>
        <v>1.24E-3</v>
      </c>
      <c r="U42">
        <f>'2015_2020'!S11</f>
        <v>1.1299999999999999E-3</v>
      </c>
      <c r="V42">
        <f>'2015_2020'!T11</f>
        <v>1.1100000000000001E-3</v>
      </c>
      <c r="W42">
        <f>'2015_2020'!U11</f>
        <v>1.07E-3</v>
      </c>
      <c r="X42">
        <f>'2015_2020'!V11</f>
        <v>1.0200000000000001E-3</v>
      </c>
      <c r="Y42">
        <f>'2015_2020'!W11</f>
        <v>9.7099999999999997E-4</v>
      </c>
      <c r="Z42">
        <f>'2015_2020'!X11</f>
        <v>9.2299999999999999E-4</v>
      </c>
      <c r="AA42">
        <f>'2015_2020'!Y11</f>
        <v>9.3099999999999997E-4</v>
      </c>
      <c r="AB42">
        <f>'2015_2020'!Z11</f>
        <v>9.5100000000000002E-4</v>
      </c>
      <c r="AC42">
        <f>'2015_2020'!AA11</f>
        <v>9.5E-4</v>
      </c>
      <c r="AD42">
        <f>'2015_2020'!AB11</f>
        <v>9.3999999999999997E-4</v>
      </c>
      <c r="AE42">
        <f>'2015_2020'!AC11</f>
        <v>9.3800000000000003E-4</v>
      </c>
      <c r="AF42">
        <f>'2015_2020'!AD11</f>
        <v>9.2299999999999999E-4</v>
      </c>
      <c r="AG42">
        <f>'2015_2020'!AE11</f>
        <v>9.1399999999999999E-4</v>
      </c>
      <c r="AH42">
        <f>'2015_2020'!AF11</f>
        <v>9.3199999999999999E-4</v>
      </c>
      <c r="AI42">
        <f>'2015_2020'!AG11</f>
        <v>9.4799999999999995E-4</v>
      </c>
      <c r="AJ42">
        <f>'2015_2020'!AH11</f>
        <v>1.0300000000000001E-3</v>
      </c>
      <c r="AK42">
        <f>'2015_2020'!AI11</f>
        <v>1.0399999999999999E-3</v>
      </c>
      <c r="AL42">
        <f>'2015_2020'!AJ11</f>
        <v>1.0300000000000001E-3</v>
      </c>
      <c r="AM42">
        <f>'2015_2020'!AK11</f>
        <v>1.0200000000000001E-3</v>
      </c>
      <c r="AN42">
        <f>'2015_2020'!AL11</f>
        <v>1E-3</v>
      </c>
      <c r="AO42">
        <f>'2015_2020'!AM11</f>
        <v>9.9400000000000009E-4</v>
      </c>
      <c r="AP42">
        <f>'2015_2020'!AN11</f>
        <v>9.5500000000000001E-4</v>
      </c>
      <c r="AQ42">
        <f>'2015_2020'!AO11</f>
        <v>9.7199999999999999E-4</v>
      </c>
      <c r="AR42">
        <f>'2015_2020'!AP11</f>
        <v>9.6400000000000001E-4</v>
      </c>
      <c r="AS42">
        <f>'2015_2020'!AQ11</f>
        <v>9.41E-4</v>
      </c>
      <c r="AT42">
        <f>'2015_2020'!AR11</f>
        <v>9.3499999999999996E-4</v>
      </c>
      <c r="AU42">
        <f>'2015_2020'!AS11</f>
        <v>9.3499999999999996E-4</v>
      </c>
      <c r="AV42">
        <f>'2015_2020'!AT11</f>
        <v>8.6399999999999997E-4</v>
      </c>
      <c r="AW42">
        <f>'2015_2020'!AU11</f>
        <v>8.9899999999999995E-4</v>
      </c>
      <c r="AX42">
        <f>'2015_2020'!AV11</f>
        <v>9.2199999999999997E-4</v>
      </c>
      <c r="AY42">
        <f>'2015_2020'!AW11</f>
        <v>9.2400000000000002E-4</v>
      </c>
      <c r="AZ42">
        <f>'2015_2020'!AX11</f>
        <v>9.2400000000000002E-4</v>
      </c>
      <c r="BA42">
        <f>'2015_2020'!AY11</f>
        <v>9.5299999999999996E-4</v>
      </c>
      <c r="BB42">
        <f>'2015_2020'!AZ11</f>
        <v>9.6199999999999996E-4</v>
      </c>
      <c r="BC42">
        <f>'2015_2020'!BA11</f>
        <v>9.4200000000000002E-4</v>
      </c>
      <c r="BD42">
        <f>'2015_2020'!BB11</f>
        <v>9.1600000000000004E-4</v>
      </c>
      <c r="BE42">
        <f>'2015_2020'!BC11</f>
        <v>9.0300000000000005E-4</v>
      </c>
      <c r="BF42">
        <f>'2015_2020'!BD11</f>
        <v>8.4900000000000004E-4</v>
      </c>
      <c r="BG42">
        <f>'2015_2020'!BE11</f>
        <v>8.4999999999999995E-4</v>
      </c>
      <c r="BH42">
        <f>'2015_2020'!BF11</f>
        <v>8.34E-4</v>
      </c>
      <c r="BI42">
        <f>'2015_2020'!BG11</f>
        <v>8.4199999999999998E-4</v>
      </c>
      <c r="BJ42">
        <f>'2015_2020'!BH11</f>
        <v>8.3900000000000001E-4</v>
      </c>
      <c r="BK42">
        <f>'2015_2020'!BI11</f>
        <v>8.5099999999999998E-4</v>
      </c>
      <c r="BL42">
        <f>'2015_2020'!BJ11</f>
        <v>8.1999999999999998E-4</v>
      </c>
      <c r="BM42">
        <f>'2015_2020'!BK11</f>
        <v>8.1800000000000004E-4</v>
      </c>
      <c r="BN42">
        <f>'2015_2020'!BL11</f>
        <v>7.9299999999999998E-4</v>
      </c>
      <c r="BO42">
        <f>'2015_2020'!BM11</f>
        <v>7.9500000000000003E-4</v>
      </c>
      <c r="BP42">
        <f>'2015_2020'!BN11</f>
        <v>7.6199999999999998E-4</v>
      </c>
      <c r="BQ42">
        <f>'2015_2020'!BO11</f>
        <v>7.3999999999999999E-4</v>
      </c>
      <c r="BR42">
        <f>'2015_2020'!BP11</f>
        <v>6.8499999999999995E-4</v>
      </c>
      <c r="BS42">
        <f>'2015_2020'!BQ11</f>
        <v>7.2999999999999996E-4</v>
      </c>
      <c r="BT42">
        <f>'2015_2020'!BR11</f>
        <v>7.7399999999999995E-4</v>
      </c>
      <c r="BU42">
        <f>'2015_2020'!BS11</f>
        <v>7.9600000000000005E-4</v>
      </c>
      <c r="BV42">
        <f>'2015_2020'!BT11</f>
        <v>7.94E-4</v>
      </c>
      <c r="BW42">
        <f>'2015_2020'!BU11</f>
        <v>8.6700000000000004E-4</v>
      </c>
      <c r="BX42">
        <f>'2015_2020'!BV11</f>
        <v>8.8500000000000004E-4</v>
      </c>
      <c r="BY42">
        <f>'2015_2020'!BW11</f>
        <v>8.2600000000000002E-4</v>
      </c>
      <c r="BZ42">
        <f>'2015_2020'!BX11</f>
        <v>7.8200000000000003E-4</v>
      </c>
      <c r="CA42">
        <f>'2015_2020'!BY11</f>
        <v>7.2999999999999996E-4</v>
      </c>
      <c r="CB42">
        <f>'2015_2020'!BZ11</f>
        <v>6.8800000000000003E-4</v>
      </c>
      <c r="CC42">
        <f>'2015_2020'!CA11</f>
        <v>6.8800000000000003E-4</v>
      </c>
      <c r="CD42">
        <f>'2015_2020'!CB11</f>
        <v>6.7000000000000002E-4</v>
      </c>
      <c r="CE42">
        <f>'2015_2020'!CC11</f>
        <v>8.4900000000000004E-4</v>
      </c>
      <c r="CF42">
        <f>'2015_2020'!CD11</f>
        <v>8.8500000000000004E-4</v>
      </c>
      <c r="CG42">
        <f>'2015_2020'!CE11</f>
        <v>8.52E-4</v>
      </c>
      <c r="CH42">
        <f>'2015_2020'!CF11</f>
        <v>7.7700000000000002E-4</v>
      </c>
      <c r="CI42">
        <f>'2015_2020'!CG11</f>
        <v>7.4799999999999997E-4</v>
      </c>
      <c r="CJ42">
        <f>'2015_2020'!CH11</f>
        <v>6.8499999999999995E-4</v>
      </c>
      <c r="CK42">
        <f>'2015_2020'!CI11</f>
        <v>7.1400000000000001E-4</v>
      </c>
      <c r="CL42">
        <f>'2015_2020'!CJ11</f>
        <v>6.2799999999999998E-4</v>
      </c>
      <c r="CM42">
        <f>'2015_2020'!CK11</f>
        <v>6.38E-4</v>
      </c>
      <c r="CN42">
        <f>'2015_2020'!CL11</f>
        <v>7.0299999999999996E-4</v>
      </c>
      <c r="CO42">
        <f>'2015_2020'!CM11</f>
        <v>7.4600000000000003E-4</v>
      </c>
      <c r="CP42">
        <f>'2015_2020'!CN11</f>
        <v>6.8499999999999995E-4</v>
      </c>
      <c r="CQ42">
        <f>'2015_2020'!CO11</f>
        <v>5.9900000000000003E-4</v>
      </c>
      <c r="CR42">
        <f>'2015_2020'!CP11</f>
        <v>7.6000000000000004E-4</v>
      </c>
      <c r="CS42">
        <f>'2015_2020'!CQ11</f>
        <v>5.7200000000000003E-4</v>
      </c>
      <c r="CT42">
        <f>'2015_2020'!CR11</f>
        <v>6.4899999999999995E-4</v>
      </c>
      <c r="CU42">
        <f>'2015_2020'!CS11</f>
        <v>5.6400000000000005E-4</v>
      </c>
      <c r="CV42">
        <f>'2015_2020'!CT11</f>
        <v>7.1900000000000002E-4</v>
      </c>
      <c r="CW42">
        <f>'2015_2020'!CU11</f>
        <v>7.3700000000000002E-4</v>
      </c>
      <c r="CX42">
        <f>'2015_2020'!CV11</f>
        <v>9.8499999999999998E-4</v>
      </c>
    </row>
    <row r="43" spans="1:102" x14ac:dyDescent="0.2">
      <c r="A43" t="s">
        <v>213</v>
      </c>
      <c r="B43" t="s">
        <v>218</v>
      </c>
      <c r="C43" t="s">
        <v>221</v>
      </c>
      <c r="D43">
        <f>'2015_2020'!B12</f>
        <v>-2.5899999999999999E-2</v>
      </c>
      <c r="E43">
        <f>'2015_2020'!C12</f>
        <v>-3.6700000000000003E-2</v>
      </c>
      <c r="F43">
        <f>'2015_2020'!D12</f>
        <v>-3.3399999999999999E-2</v>
      </c>
      <c r="G43">
        <f>'2015_2020'!E12</f>
        <v>-3.56E-2</v>
      </c>
      <c r="H43">
        <f>'2015_2020'!F12</f>
        <v>-3.0700000000000002E-2</v>
      </c>
      <c r="I43">
        <f>'2015_2020'!G12</f>
        <v>-3.6700000000000003E-2</v>
      </c>
      <c r="J43">
        <f>'2015_2020'!H12</f>
        <v>-3.3799999999999997E-2</v>
      </c>
      <c r="K43">
        <f>'2015_2020'!I12</f>
        <v>-3.32E-2</v>
      </c>
      <c r="L43">
        <f>'2015_2020'!J12</f>
        <v>-3.3099999999999997E-2</v>
      </c>
      <c r="M43">
        <f>'2015_2020'!K12</f>
        <v>-2.6499999999999999E-2</v>
      </c>
      <c r="N43">
        <f>'2015_2020'!L12</f>
        <v>-2.18E-2</v>
      </c>
      <c r="O43">
        <f>'2015_2020'!M12</f>
        <v>-1.6400000000000001E-2</v>
      </c>
      <c r="P43">
        <f>'2015_2020'!N12</f>
        <v>-1.37E-2</v>
      </c>
      <c r="Q43">
        <f>'2015_2020'!O12</f>
        <v>-1.2500000000000001E-2</v>
      </c>
      <c r="R43">
        <f>'2015_2020'!P12</f>
        <v>-1.14E-2</v>
      </c>
      <c r="S43">
        <f>'2015_2020'!Q12</f>
        <v>-1.0699999999999999E-2</v>
      </c>
      <c r="T43">
        <f>'2015_2020'!R12</f>
        <v>-9.7000000000000003E-3</v>
      </c>
      <c r="U43">
        <f>'2015_2020'!S12</f>
        <v>-9.11E-3</v>
      </c>
      <c r="V43">
        <f>'2015_2020'!T12</f>
        <v>-8.1399999999999997E-3</v>
      </c>
      <c r="W43">
        <f>'2015_2020'!U12</f>
        <v>-7.43E-3</v>
      </c>
      <c r="X43">
        <f>'2015_2020'!V12</f>
        <v>-6.6299999999999996E-3</v>
      </c>
      <c r="Y43">
        <f>'2015_2020'!W12</f>
        <v>-6.0400000000000002E-3</v>
      </c>
      <c r="Z43">
        <f>'2015_2020'!X12</f>
        <v>-5.5399999999999998E-3</v>
      </c>
      <c r="AA43">
        <f>'2015_2020'!Y12</f>
        <v>-5.1700000000000001E-3</v>
      </c>
      <c r="AB43">
        <f>'2015_2020'!Z12</f>
        <v>-4.8799999999999998E-3</v>
      </c>
      <c r="AC43">
        <f>'2015_2020'!AA12</f>
        <v>-4.8900000000000002E-3</v>
      </c>
      <c r="AD43">
        <f>'2015_2020'!AB12</f>
        <v>-4.9800000000000001E-3</v>
      </c>
      <c r="AE43">
        <f>'2015_2020'!AC12</f>
        <v>-4.5700000000000003E-3</v>
      </c>
      <c r="AF43">
        <f>'2015_2020'!AD12</f>
        <v>-4.7000000000000002E-3</v>
      </c>
      <c r="AG43">
        <f>'2015_2020'!AE12</f>
        <v>-4.6299999999999996E-3</v>
      </c>
      <c r="AH43">
        <f>'2015_2020'!AF12</f>
        <v>-4.4200000000000003E-3</v>
      </c>
      <c r="AI43">
        <f>'2015_2020'!AG12</f>
        <v>-4.4600000000000004E-3</v>
      </c>
      <c r="AJ43">
        <f>'2015_2020'!AH12</f>
        <v>-4.4200000000000003E-3</v>
      </c>
      <c r="AK43">
        <f>'2015_2020'!AI12</f>
        <v>-4.4400000000000004E-3</v>
      </c>
      <c r="AL43">
        <f>'2015_2020'!AJ12</f>
        <v>-4.1900000000000001E-3</v>
      </c>
      <c r="AM43">
        <f>'2015_2020'!AK12</f>
        <v>-3.9399999999999999E-3</v>
      </c>
      <c r="AN43">
        <f>'2015_2020'!AL12</f>
        <v>-3.48E-3</v>
      </c>
      <c r="AO43">
        <f>'2015_2020'!AM12</f>
        <v>-3.0400000000000002E-3</v>
      </c>
      <c r="AP43">
        <f>'2015_2020'!AN12</f>
        <v>-2.7200000000000002E-3</v>
      </c>
      <c r="AQ43">
        <f>'2015_2020'!AO12</f>
        <v>-2.4499999999999999E-3</v>
      </c>
      <c r="AR43">
        <f>'2015_2020'!AP12</f>
        <v>-2.4299999999999999E-3</v>
      </c>
      <c r="AS43">
        <f>'2015_2020'!AQ12</f>
        <v>-2.4399999999999999E-3</v>
      </c>
      <c r="AT43">
        <f>'2015_2020'!AR12</f>
        <v>-2.2200000000000002E-3</v>
      </c>
      <c r="AU43">
        <f>'2015_2020'!AS12</f>
        <v>-2.2200000000000002E-3</v>
      </c>
      <c r="AV43">
        <f>'2015_2020'!AT12</f>
        <v>-2.0600000000000002E-3</v>
      </c>
      <c r="AW43">
        <f>'2015_2020'!AU12</f>
        <v>-2.1099999999999999E-3</v>
      </c>
      <c r="AX43">
        <f>'2015_2020'!AV12</f>
        <v>-2.1800000000000001E-3</v>
      </c>
      <c r="AY43">
        <f>'2015_2020'!AW12</f>
        <v>-1.9400000000000001E-3</v>
      </c>
      <c r="AZ43">
        <f>'2015_2020'!AX12</f>
        <v>-1.5200000000000001E-3</v>
      </c>
      <c r="BA43">
        <f>'2015_2020'!AY12</f>
        <v>-1.1299999999999999E-3</v>
      </c>
      <c r="BB43">
        <f>'2015_2020'!AZ12</f>
        <v>-1.0499999999999999E-3</v>
      </c>
      <c r="BC43">
        <f>'2015_2020'!BA12</f>
        <v>-6.7900000000000002E-4</v>
      </c>
      <c r="BD43">
        <f>'2015_2020'!BB12</f>
        <v>-5.8E-4</v>
      </c>
      <c r="BE43">
        <f>'2015_2020'!BC12</f>
        <v>-3.8000000000000002E-4</v>
      </c>
      <c r="BF43">
        <f>'2015_2020'!BD12</f>
        <v>3.3699999999999999E-5</v>
      </c>
      <c r="BG43">
        <f>'2015_2020'!BE12</f>
        <v>5.3300000000000001E-5</v>
      </c>
      <c r="BH43">
        <f>'2015_2020'!BF12</f>
        <v>1.1400000000000001E-4</v>
      </c>
      <c r="BI43">
        <f>'2015_2020'!BG12</f>
        <v>3.8400000000000001E-4</v>
      </c>
      <c r="BJ43">
        <f>'2015_2020'!BH12</f>
        <v>5.8399999999999999E-4</v>
      </c>
      <c r="BK43">
        <f>'2015_2020'!BI12</f>
        <v>4.9399999999999997E-4</v>
      </c>
      <c r="BL43">
        <f>'2015_2020'!BJ12</f>
        <v>4.57E-4</v>
      </c>
      <c r="BM43">
        <f>'2015_2020'!BK12</f>
        <v>6.87E-4</v>
      </c>
      <c r="BN43">
        <f>'2015_2020'!BL12</f>
        <v>8.61E-4</v>
      </c>
      <c r="BO43">
        <f>'2015_2020'!BM12</f>
        <v>1E-3</v>
      </c>
      <c r="BP43">
        <f>'2015_2020'!BN12</f>
        <v>9.7400000000000004E-4</v>
      </c>
      <c r="BQ43">
        <f>'2015_2020'!BO12</f>
        <v>1.0200000000000001E-3</v>
      </c>
      <c r="BR43">
        <f>'2015_2020'!BP12</f>
        <v>1.07E-3</v>
      </c>
      <c r="BS43">
        <f>'2015_2020'!BQ12</f>
        <v>1.1299999999999999E-3</v>
      </c>
      <c r="BT43">
        <f>'2015_2020'!BR12</f>
        <v>9.8799999999999995E-4</v>
      </c>
      <c r="BU43">
        <f>'2015_2020'!BS12</f>
        <v>1.17E-3</v>
      </c>
      <c r="BV43">
        <f>'2015_2020'!BT12</f>
        <v>1.1199999999999999E-3</v>
      </c>
      <c r="BW43">
        <f>'2015_2020'!BU12</f>
        <v>1.2899999999999999E-3</v>
      </c>
      <c r="BX43">
        <f>'2015_2020'!BV12</f>
        <v>1.41E-3</v>
      </c>
      <c r="BY43">
        <f>'2015_2020'!BW12</f>
        <v>1.8699999999999999E-3</v>
      </c>
      <c r="BZ43">
        <f>'2015_2020'!BX12</f>
        <v>1.9499999999999999E-3</v>
      </c>
      <c r="CA43">
        <f>'2015_2020'!BY12</f>
        <v>1.6000000000000001E-3</v>
      </c>
      <c r="CB43">
        <f>'2015_2020'!BZ12</f>
        <v>1.08E-3</v>
      </c>
      <c r="CC43">
        <f>'2015_2020'!CA12</f>
        <v>1.08E-3</v>
      </c>
      <c r="CD43">
        <f>'2015_2020'!CB12</f>
        <v>6.8300000000000001E-4</v>
      </c>
      <c r="CE43">
        <f>'2015_2020'!CC12</f>
        <v>8.4400000000000002E-4</v>
      </c>
      <c r="CF43">
        <f>'2015_2020'!CD12</f>
        <v>1.0499999999999999E-3</v>
      </c>
      <c r="CG43">
        <f>'2015_2020'!CE12</f>
        <v>8.2600000000000002E-4</v>
      </c>
      <c r="CH43">
        <f>'2015_2020'!CF12</f>
        <v>5.8200000000000005E-4</v>
      </c>
      <c r="CI43">
        <f>'2015_2020'!CG12</f>
        <v>4.2900000000000002E-4</v>
      </c>
      <c r="CJ43">
        <f>'2015_2020'!CH12</f>
        <v>-6.2799999999999995E-5</v>
      </c>
      <c r="CK43">
        <f>'2015_2020'!CI12</f>
        <v>-8.3200000000000003E-5</v>
      </c>
      <c r="CL43">
        <f>'2015_2020'!CJ12</f>
        <v>-2.05E-4</v>
      </c>
      <c r="CM43">
        <f>'2015_2020'!CK12</f>
        <v>-2.8299999999999999E-4</v>
      </c>
      <c r="CN43">
        <f>'2015_2020'!CL12</f>
        <v>-6.9700000000000003E-4</v>
      </c>
      <c r="CO43">
        <f>'2015_2020'!CM12</f>
        <v>-1.16E-3</v>
      </c>
      <c r="CP43">
        <f>'2015_2020'!CN12</f>
        <v>-7.9500000000000003E-4</v>
      </c>
      <c r="CQ43">
        <f>'2015_2020'!CO12</f>
        <v>-1.3600000000000001E-3</v>
      </c>
      <c r="CR43">
        <f>'2015_2020'!CP12</f>
        <v>-1.6100000000000001E-3</v>
      </c>
      <c r="CS43">
        <f>'2015_2020'!CQ12</f>
        <v>-1.08E-3</v>
      </c>
      <c r="CT43">
        <f>'2015_2020'!CR12</f>
        <v>-2.0600000000000002E-3</v>
      </c>
      <c r="CU43">
        <f>'2015_2020'!CS12</f>
        <v>-2.47E-3</v>
      </c>
      <c r="CV43">
        <f>'2015_2020'!CT12</f>
        <v>-2.49E-3</v>
      </c>
      <c r="CW43">
        <f>'2015_2020'!CU12</f>
        <v>-2.2100000000000002E-3</v>
      </c>
      <c r="CX43">
        <f>'2015_2020'!CV12</f>
        <v>-2.2799999999999999E-3</v>
      </c>
    </row>
    <row r="44" spans="1:102" x14ac:dyDescent="0.2">
      <c r="A44" t="s">
        <v>214</v>
      </c>
      <c r="B44" t="s">
        <v>218</v>
      </c>
      <c r="C44" t="s">
        <v>221</v>
      </c>
      <c r="D44">
        <f>'2015_2020'!B13</f>
        <v>1.2200000000000001E-2</v>
      </c>
      <c r="E44">
        <f>'2015_2020'!C13</f>
        <v>1.5100000000000001E-2</v>
      </c>
      <c r="F44">
        <f>'2015_2020'!D13</f>
        <v>1.24E-2</v>
      </c>
      <c r="G44">
        <f>'2015_2020'!E13</f>
        <v>1.17E-2</v>
      </c>
      <c r="H44">
        <f>'2015_2020'!F13</f>
        <v>1.0200000000000001E-2</v>
      </c>
      <c r="I44">
        <f>'2015_2020'!G13</f>
        <v>1.1299999999999999E-2</v>
      </c>
      <c r="J44">
        <f>'2015_2020'!H13</f>
        <v>9.7699999999999992E-3</v>
      </c>
      <c r="K44">
        <f>'2015_2020'!I13</f>
        <v>8.4600000000000005E-3</v>
      </c>
      <c r="L44">
        <f>'2015_2020'!J13</f>
        <v>8.5299999999999994E-3</v>
      </c>
      <c r="M44">
        <f>'2015_2020'!K13</f>
        <v>6.5900000000000004E-3</v>
      </c>
      <c r="N44">
        <f>'2015_2020'!L13</f>
        <v>5.1599999999999997E-3</v>
      </c>
      <c r="O44">
        <f>'2015_2020'!M13</f>
        <v>4.2199999999999998E-3</v>
      </c>
      <c r="P44">
        <f>'2015_2020'!N13</f>
        <v>3.7799999999999999E-3</v>
      </c>
      <c r="Q44">
        <f>'2015_2020'!O13</f>
        <v>3.3800000000000002E-3</v>
      </c>
      <c r="R44">
        <f>'2015_2020'!P13</f>
        <v>3.4099999999999998E-3</v>
      </c>
      <c r="S44">
        <f>'2015_2020'!Q13</f>
        <v>3.2799999999999999E-3</v>
      </c>
      <c r="T44">
        <f>'2015_2020'!R13</f>
        <v>3.2200000000000002E-3</v>
      </c>
      <c r="U44">
        <f>'2015_2020'!S13</f>
        <v>3.3500000000000001E-3</v>
      </c>
      <c r="V44">
        <f>'2015_2020'!T13</f>
        <v>3.0999999999999999E-3</v>
      </c>
      <c r="W44">
        <f>'2015_2020'!U13</f>
        <v>3.15E-3</v>
      </c>
      <c r="X44">
        <f>'2015_2020'!V13</f>
        <v>3.16E-3</v>
      </c>
      <c r="Y44">
        <f>'2015_2020'!W13</f>
        <v>3.0400000000000002E-3</v>
      </c>
      <c r="Z44">
        <f>'2015_2020'!X13</f>
        <v>2.9299999999999999E-3</v>
      </c>
      <c r="AA44">
        <f>'2015_2020'!Y13</f>
        <v>3.1700000000000001E-3</v>
      </c>
      <c r="AB44">
        <f>'2015_2020'!Z13</f>
        <v>2.8600000000000001E-3</v>
      </c>
      <c r="AC44">
        <f>'2015_2020'!AA13</f>
        <v>2.82E-3</v>
      </c>
      <c r="AD44">
        <f>'2015_2020'!AB13</f>
        <v>2.64E-3</v>
      </c>
      <c r="AE44">
        <f>'2015_2020'!AC13</f>
        <v>3.0599999999999998E-3</v>
      </c>
      <c r="AF44">
        <f>'2015_2020'!AD13</f>
        <v>3.0699999999999998E-3</v>
      </c>
      <c r="AG44">
        <f>'2015_2020'!AE13</f>
        <v>3.1700000000000001E-3</v>
      </c>
      <c r="AH44">
        <f>'2015_2020'!AF13</f>
        <v>3.3899999999999998E-3</v>
      </c>
      <c r="AI44">
        <f>'2015_2020'!AG13</f>
        <v>3.5300000000000002E-3</v>
      </c>
      <c r="AJ44">
        <f>'2015_2020'!AH13</f>
        <v>3.7799999999999999E-3</v>
      </c>
      <c r="AK44">
        <f>'2015_2020'!AI13</f>
        <v>3.9399999999999999E-3</v>
      </c>
      <c r="AL44">
        <f>'2015_2020'!AJ13</f>
        <v>3.9699999999999996E-3</v>
      </c>
      <c r="AM44">
        <f>'2015_2020'!AK13</f>
        <v>3.8700000000000002E-3</v>
      </c>
      <c r="AN44">
        <f>'2015_2020'!AL13</f>
        <v>3.8999999999999998E-3</v>
      </c>
      <c r="AO44">
        <f>'2015_2020'!AM13</f>
        <v>3.8500000000000001E-3</v>
      </c>
      <c r="AP44">
        <f>'2015_2020'!AN13</f>
        <v>3.7299999999999998E-3</v>
      </c>
      <c r="AQ44">
        <f>'2015_2020'!AO13</f>
        <v>3.5300000000000002E-3</v>
      </c>
      <c r="AR44">
        <f>'2015_2020'!AP13</f>
        <v>3.5799999999999998E-3</v>
      </c>
      <c r="AS44">
        <f>'2015_2020'!AQ13</f>
        <v>3.2100000000000002E-3</v>
      </c>
      <c r="AT44">
        <f>'2015_2020'!AR13</f>
        <v>3.0899999999999999E-3</v>
      </c>
      <c r="AU44">
        <f>'2015_2020'!AS13</f>
        <v>3.0899999999999999E-3</v>
      </c>
      <c r="AV44">
        <f>'2015_2020'!AT13</f>
        <v>3.2599999999999999E-3</v>
      </c>
      <c r="AW44">
        <f>'2015_2020'!AU13</f>
        <v>3.3500000000000001E-3</v>
      </c>
      <c r="AX44">
        <f>'2015_2020'!AV13</f>
        <v>3.47E-3</v>
      </c>
      <c r="AY44">
        <f>'2015_2020'!AW13</f>
        <v>3.4299999999999999E-3</v>
      </c>
      <c r="AZ44">
        <f>'2015_2020'!AX13</f>
        <v>3.4099999999999998E-3</v>
      </c>
      <c r="BA44">
        <f>'2015_2020'!AY13</f>
        <v>3.4099999999999998E-3</v>
      </c>
      <c r="BB44">
        <f>'2015_2020'!AZ13</f>
        <v>3.3500000000000001E-3</v>
      </c>
      <c r="BC44">
        <f>'2015_2020'!BA13</f>
        <v>3.3300000000000001E-3</v>
      </c>
      <c r="BD44">
        <f>'2015_2020'!BB13</f>
        <v>3.0500000000000002E-3</v>
      </c>
      <c r="BE44">
        <f>'2015_2020'!BC13</f>
        <v>2.8999999999999998E-3</v>
      </c>
      <c r="BF44">
        <f>'2015_2020'!BD13</f>
        <v>2.8999999999999998E-3</v>
      </c>
      <c r="BG44">
        <f>'2015_2020'!BE13</f>
        <v>2.8E-3</v>
      </c>
      <c r="BH44">
        <f>'2015_2020'!BF13</f>
        <v>2.8700000000000002E-3</v>
      </c>
      <c r="BI44">
        <f>'2015_2020'!BG13</f>
        <v>2.8900000000000002E-3</v>
      </c>
      <c r="BJ44">
        <f>'2015_2020'!BH13</f>
        <v>2.8900000000000002E-3</v>
      </c>
      <c r="BK44">
        <f>'2015_2020'!BI13</f>
        <v>2.7699999999999999E-3</v>
      </c>
      <c r="BL44">
        <f>'2015_2020'!BJ13</f>
        <v>2.7499999999999998E-3</v>
      </c>
      <c r="BM44">
        <f>'2015_2020'!BK13</f>
        <v>2.7200000000000002E-3</v>
      </c>
      <c r="BN44">
        <f>'2015_2020'!BL13</f>
        <v>2.65E-3</v>
      </c>
      <c r="BO44">
        <f>'2015_2020'!BM13</f>
        <v>2.5500000000000002E-3</v>
      </c>
      <c r="BP44">
        <f>'2015_2020'!BN13</f>
        <v>2.3800000000000002E-3</v>
      </c>
      <c r="BQ44">
        <f>'2015_2020'!BO13</f>
        <v>2.2499999999999998E-3</v>
      </c>
      <c r="BR44">
        <f>'2015_2020'!BP13</f>
        <v>2.2399999999999998E-3</v>
      </c>
      <c r="BS44">
        <f>'2015_2020'!BQ13</f>
        <v>2.3500000000000001E-3</v>
      </c>
      <c r="BT44">
        <f>'2015_2020'!BR13</f>
        <v>2.3E-3</v>
      </c>
      <c r="BU44">
        <f>'2015_2020'!BS13</f>
        <v>2.48E-3</v>
      </c>
      <c r="BV44">
        <f>'2015_2020'!BT13</f>
        <v>2.3600000000000001E-3</v>
      </c>
      <c r="BW44">
        <f>'2015_2020'!BU13</f>
        <v>2.47E-3</v>
      </c>
      <c r="BX44">
        <f>'2015_2020'!BV13</f>
        <v>2.3500000000000001E-3</v>
      </c>
      <c r="BY44">
        <f>'2015_2020'!BW13</f>
        <v>2.2000000000000001E-3</v>
      </c>
      <c r="BZ44">
        <f>'2015_2020'!BX13</f>
        <v>1.98E-3</v>
      </c>
      <c r="CA44">
        <f>'2015_2020'!BY13</f>
        <v>1.97E-3</v>
      </c>
      <c r="CB44">
        <f>'2015_2020'!BZ13</f>
        <v>1.4599999999999999E-3</v>
      </c>
      <c r="CC44">
        <f>'2015_2020'!CA13</f>
        <v>1.4599999999999999E-3</v>
      </c>
      <c r="CD44">
        <f>'2015_2020'!CB13</f>
        <v>1.5900000000000001E-3</v>
      </c>
      <c r="CE44">
        <f>'2015_2020'!CC13</f>
        <v>1.9E-3</v>
      </c>
      <c r="CF44">
        <f>'2015_2020'!CD13</f>
        <v>1.89E-3</v>
      </c>
      <c r="CG44">
        <f>'2015_2020'!CE13</f>
        <v>1.73E-3</v>
      </c>
      <c r="CH44">
        <f>'2015_2020'!CF13</f>
        <v>1.47E-3</v>
      </c>
      <c r="CI44">
        <f>'2015_2020'!CG13</f>
        <v>1.41E-3</v>
      </c>
      <c r="CJ44">
        <f>'2015_2020'!CH13</f>
        <v>1.39E-3</v>
      </c>
      <c r="CK44">
        <f>'2015_2020'!CI13</f>
        <v>1.2700000000000001E-3</v>
      </c>
      <c r="CL44">
        <f>'2015_2020'!CJ13</f>
        <v>8.7699999999999996E-4</v>
      </c>
      <c r="CM44">
        <f>'2015_2020'!CK13</f>
        <v>1.1199999999999999E-3</v>
      </c>
      <c r="CN44">
        <f>'2015_2020'!CL13</f>
        <v>1.1100000000000001E-3</v>
      </c>
      <c r="CO44">
        <f>'2015_2020'!CM13</f>
        <v>1.07E-3</v>
      </c>
      <c r="CP44">
        <f>'2015_2020'!CN13</f>
        <v>9.4200000000000002E-4</v>
      </c>
      <c r="CQ44">
        <f>'2015_2020'!CO13</f>
        <v>4.3199999999999998E-4</v>
      </c>
      <c r="CR44">
        <f>'2015_2020'!CP13</f>
        <v>5.3799999999999996E-4</v>
      </c>
      <c r="CS44">
        <f>'2015_2020'!CQ13</f>
        <v>2.1800000000000001E-4</v>
      </c>
      <c r="CT44">
        <f>'2015_2020'!CR13</f>
        <v>3.6999999999999999E-4</v>
      </c>
      <c r="CU44">
        <f>'2015_2020'!CS13</f>
        <v>2.9599999999999998E-4</v>
      </c>
      <c r="CV44">
        <f>'2015_2020'!CT13</f>
        <v>-2.5199999999999999E-5</v>
      </c>
      <c r="CW44">
        <f>'2015_2020'!CU13</f>
        <v>-2.34E-4</v>
      </c>
      <c r="CX44">
        <f>'2015_2020'!CV13</f>
        <v>-7.6600000000000005E-5</v>
      </c>
    </row>
    <row r="45" spans="1:102" x14ac:dyDescent="0.2">
      <c r="A45" t="s">
        <v>215</v>
      </c>
      <c r="B45" t="s">
        <v>218</v>
      </c>
      <c r="C45" t="s">
        <v>221</v>
      </c>
      <c r="D45">
        <f>'2015_2020'!B14</f>
        <v>9.4599999999999997E-3</v>
      </c>
      <c r="E45">
        <f>'2015_2020'!C14</f>
        <v>1.17E-2</v>
      </c>
      <c r="F45">
        <f>'2015_2020'!D14</f>
        <v>8.2299999999999995E-3</v>
      </c>
      <c r="G45">
        <f>'2015_2020'!E14</f>
        <v>7.77E-3</v>
      </c>
      <c r="H45">
        <f>'2015_2020'!F14</f>
        <v>5.2599999999999999E-3</v>
      </c>
      <c r="I45">
        <f>'2015_2020'!G14</f>
        <v>5.9699999999999996E-3</v>
      </c>
      <c r="J45">
        <f>'2015_2020'!H14</f>
        <v>4.28E-3</v>
      </c>
      <c r="K45">
        <f>'2015_2020'!I14</f>
        <v>3.82E-3</v>
      </c>
      <c r="L45">
        <f>'2015_2020'!J14</f>
        <v>3.4399999999999999E-3</v>
      </c>
      <c r="M45">
        <f>'2015_2020'!K14</f>
        <v>1.74E-3</v>
      </c>
      <c r="N45">
        <f>'2015_2020'!L14</f>
        <v>1.31E-3</v>
      </c>
      <c r="O45">
        <f>'2015_2020'!M14</f>
        <v>1.01E-3</v>
      </c>
      <c r="P45">
        <f>'2015_2020'!N14</f>
        <v>6.8199999999999999E-4</v>
      </c>
      <c r="Q45">
        <f>'2015_2020'!O14</f>
        <v>4.0299999999999998E-4</v>
      </c>
      <c r="R45">
        <f>'2015_2020'!P14</f>
        <v>3.0199999999999999E-5</v>
      </c>
      <c r="S45">
        <f>'2015_2020'!Q14</f>
        <v>-1.35E-4</v>
      </c>
      <c r="T45">
        <f>'2015_2020'!R14</f>
        <v>-2.8799999999999999E-5</v>
      </c>
      <c r="U45">
        <f>'2015_2020'!S14</f>
        <v>1.7200000000000001E-4</v>
      </c>
      <c r="V45">
        <f>'2015_2020'!T14</f>
        <v>2.7399999999999999E-4</v>
      </c>
      <c r="W45">
        <f>'2015_2020'!U14</f>
        <v>4.08E-4</v>
      </c>
      <c r="X45">
        <f>'2015_2020'!V14</f>
        <v>4.4700000000000002E-4</v>
      </c>
      <c r="Y45">
        <f>'2015_2020'!W14</f>
        <v>3.0499999999999999E-4</v>
      </c>
      <c r="Z45">
        <f>'2015_2020'!X14</f>
        <v>1.16E-4</v>
      </c>
      <c r="AA45">
        <f>'2015_2020'!Y14</f>
        <v>9.8599999999999998E-5</v>
      </c>
      <c r="AB45">
        <f>'2015_2020'!Z14</f>
        <v>1.36E-4</v>
      </c>
      <c r="AC45">
        <f>'2015_2020'!AA14</f>
        <v>2.0900000000000001E-4</v>
      </c>
      <c r="AD45">
        <f>'2015_2020'!AB14</f>
        <v>2.8200000000000002E-4</v>
      </c>
      <c r="AE45">
        <f>'2015_2020'!AC14</f>
        <v>3.0899999999999998E-4</v>
      </c>
      <c r="AF45">
        <f>'2015_2020'!AD14</f>
        <v>3.9800000000000002E-4</v>
      </c>
      <c r="AG45">
        <f>'2015_2020'!AE14</f>
        <v>4.7600000000000002E-4</v>
      </c>
      <c r="AH45">
        <f>'2015_2020'!AF14</f>
        <v>3.9800000000000002E-4</v>
      </c>
      <c r="AI45">
        <f>'2015_2020'!AG14</f>
        <v>3.68E-4</v>
      </c>
      <c r="AJ45">
        <f>'2015_2020'!AH14</f>
        <v>2.8899999999999998E-4</v>
      </c>
      <c r="AK45">
        <f>'2015_2020'!AI14</f>
        <v>2.5899999999999999E-5</v>
      </c>
      <c r="AL45">
        <f>'2015_2020'!AJ14</f>
        <v>3.54E-5</v>
      </c>
      <c r="AM45">
        <f>'2015_2020'!AK14</f>
        <v>1.7899999999999999E-4</v>
      </c>
      <c r="AN45">
        <f>'2015_2020'!AL14</f>
        <v>2.1499999999999999E-4</v>
      </c>
      <c r="AO45">
        <f>'2015_2020'!AM14</f>
        <v>3.7500000000000001E-4</v>
      </c>
      <c r="AP45">
        <f>'2015_2020'!AN14</f>
        <v>2.0100000000000001E-4</v>
      </c>
      <c r="AQ45">
        <f>'2015_2020'!AO14</f>
        <v>1.0399999999999999E-4</v>
      </c>
      <c r="AR45">
        <f>'2015_2020'!AP14</f>
        <v>7.1000000000000005E-5</v>
      </c>
      <c r="AS45">
        <f>'2015_2020'!AQ14</f>
        <v>1.36E-4</v>
      </c>
      <c r="AT45">
        <f>'2015_2020'!AR14</f>
        <v>1.1E-4</v>
      </c>
      <c r="AU45">
        <f>'2015_2020'!AS14</f>
        <v>1.1E-4</v>
      </c>
      <c r="AV45">
        <f>'2015_2020'!AT14</f>
        <v>4.4299999999999998E-4</v>
      </c>
      <c r="AW45">
        <f>'2015_2020'!AU14</f>
        <v>1.8000000000000001E-4</v>
      </c>
      <c r="AX45">
        <f>'2015_2020'!AV14</f>
        <v>1.02E-4</v>
      </c>
      <c r="AY45">
        <f>'2015_2020'!AW14</f>
        <v>3.0600000000000001E-4</v>
      </c>
      <c r="AZ45">
        <f>'2015_2020'!AX14</f>
        <v>3.0699999999999998E-4</v>
      </c>
      <c r="BA45">
        <f>'2015_2020'!AY14</f>
        <v>3.5799999999999997E-4</v>
      </c>
      <c r="BB45">
        <f>'2015_2020'!AZ14</f>
        <v>7.9300000000000003E-5</v>
      </c>
      <c r="BC45">
        <f>'2015_2020'!BA14</f>
        <v>1.83E-4</v>
      </c>
      <c r="BD45">
        <f>'2015_2020'!BB14</f>
        <v>4.6799999999999999E-4</v>
      </c>
      <c r="BE45">
        <f>'2015_2020'!BC14</f>
        <v>5.8799999999999998E-4</v>
      </c>
      <c r="BF45">
        <f>'2015_2020'!BD14</f>
        <v>8.7100000000000003E-4</v>
      </c>
      <c r="BG45">
        <f>'2015_2020'!BE14</f>
        <v>7.6199999999999998E-4</v>
      </c>
      <c r="BH45">
        <f>'2015_2020'!BF14</f>
        <v>5.5599999999999996E-4</v>
      </c>
      <c r="BI45">
        <f>'2015_2020'!BG14</f>
        <v>6.87E-4</v>
      </c>
      <c r="BJ45">
        <f>'2015_2020'!BH14</f>
        <v>6.5399999999999996E-4</v>
      </c>
      <c r="BK45">
        <f>'2015_2020'!BI14</f>
        <v>3.9500000000000001E-4</v>
      </c>
      <c r="BL45">
        <f>'2015_2020'!BJ14</f>
        <v>1.93E-4</v>
      </c>
      <c r="BM45">
        <f>'2015_2020'!BK14</f>
        <v>4.1800000000000002E-4</v>
      </c>
      <c r="BN45">
        <f>'2015_2020'!BL14</f>
        <v>4.0099999999999999E-4</v>
      </c>
      <c r="BO45">
        <f>'2015_2020'!BM14</f>
        <v>3.1100000000000002E-4</v>
      </c>
      <c r="BP45">
        <f>'2015_2020'!BN14</f>
        <v>5.1400000000000003E-4</v>
      </c>
      <c r="BQ45">
        <f>'2015_2020'!BO14</f>
        <v>7.0299999999999996E-4</v>
      </c>
      <c r="BR45">
        <f>'2015_2020'!BP14</f>
        <v>1.24E-3</v>
      </c>
      <c r="BS45">
        <f>'2015_2020'!BQ14</f>
        <v>1.14E-3</v>
      </c>
      <c r="BT45">
        <f>'2015_2020'!BR14</f>
        <v>8.5099999999999998E-4</v>
      </c>
      <c r="BU45">
        <f>'2015_2020'!BS14</f>
        <v>1.01E-3</v>
      </c>
      <c r="BV45">
        <f>'2015_2020'!BT14</f>
        <v>7.1299999999999998E-4</v>
      </c>
      <c r="BW45">
        <f>'2015_2020'!BU14</f>
        <v>3.1599999999999998E-4</v>
      </c>
      <c r="BX45">
        <f>'2015_2020'!BV14</f>
        <v>5.9900000000000003E-4</v>
      </c>
      <c r="BY45">
        <f>'2015_2020'!BW14</f>
        <v>9.1399999999999999E-4</v>
      </c>
      <c r="BZ45">
        <f>'2015_2020'!BX14</f>
        <v>5.5999999999999995E-4</v>
      </c>
      <c r="CA45">
        <f>'2015_2020'!BY14</f>
        <v>6.6500000000000001E-4</v>
      </c>
      <c r="CB45">
        <f>'2015_2020'!BZ14</f>
        <v>7.9900000000000001E-4</v>
      </c>
      <c r="CC45">
        <f>'2015_2020'!CA14</f>
        <v>7.9900000000000001E-4</v>
      </c>
      <c r="CD45">
        <f>'2015_2020'!CB14</f>
        <v>9.810000000000001E-4</v>
      </c>
      <c r="CE45">
        <f>'2015_2020'!CC14</f>
        <v>8.8900000000000003E-4</v>
      </c>
      <c r="CF45">
        <f>'2015_2020'!CD14</f>
        <v>8.5599999999999999E-4</v>
      </c>
      <c r="CG45">
        <f>'2015_2020'!CE14</f>
        <v>3.2299999999999999E-4</v>
      </c>
      <c r="CH45">
        <f>'2015_2020'!CF14</f>
        <v>1.38E-5</v>
      </c>
      <c r="CI45">
        <f>'2015_2020'!CG14</f>
        <v>1.2999999999999999E-4</v>
      </c>
      <c r="CJ45">
        <f>'2015_2020'!CH14</f>
        <v>-6.3699999999999998E-4</v>
      </c>
      <c r="CK45">
        <f>'2015_2020'!CI14</f>
        <v>-1.4400000000000001E-3</v>
      </c>
      <c r="CL45">
        <f>'2015_2020'!CJ14</f>
        <v>-1.5E-3</v>
      </c>
      <c r="CM45">
        <f>'2015_2020'!CK14</f>
        <v>-1.56E-3</v>
      </c>
      <c r="CN45">
        <f>'2015_2020'!CL14</f>
        <v>-3.0000000000000001E-3</v>
      </c>
      <c r="CO45">
        <f>'2015_2020'!CM14</f>
        <v>-3.65E-3</v>
      </c>
      <c r="CP45">
        <f>'2015_2020'!CN14</f>
        <v>-3.9300000000000003E-3</v>
      </c>
      <c r="CQ45">
        <f>'2015_2020'!CO14</f>
        <v>-4.3400000000000001E-3</v>
      </c>
      <c r="CR45">
        <f>'2015_2020'!CP14</f>
        <v>-6.4999999999999997E-3</v>
      </c>
      <c r="CS45">
        <f>'2015_2020'!CQ14</f>
        <v>-5.9300000000000004E-3</v>
      </c>
      <c r="CT45">
        <f>'2015_2020'!CR14</f>
        <v>-7.1599999999999997E-3</v>
      </c>
      <c r="CU45">
        <f>'2015_2020'!CS14</f>
        <v>-9.1000000000000004E-3</v>
      </c>
      <c r="CV45">
        <f>'2015_2020'!CT14</f>
        <v>-8.6099999999999996E-3</v>
      </c>
      <c r="CW45">
        <f>'2015_2020'!CU14</f>
        <v>-7.4400000000000004E-3</v>
      </c>
      <c r="CX45">
        <f>'2015_2020'!CV14</f>
        <v>-6.7999999999999996E-3</v>
      </c>
    </row>
    <row r="46" spans="1:102" x14ac:dyDescent="0.2">
      <c r="A46" t="s">
        <v>208</v>
      </c>
      <c r="B46" t="s">
        <v>219</v>
      </c>
      <c r="C46" t="s">
        <v>221</v>
      </c>
      <c r="D46">
        <f>'2015_2020'!B15</f>
        <v>-0.41299999999999998</v>
      </c>
      <c r="E46">
        <f>'2015_2020'!C15</f>
        <v>0.24199999999999999</v>
      </c>
      <c r="F46">
        <f>'2015_2020'!D15</f>
        <v>0.77</v>
      </c>
      <c r="G46">
        <f>'2015_2020'!E15</f>
        <v>5.96E-2</v>
      </c>
      <c r="H46">
        <f>'2015_2020'!F15</f>
        <v>1.026</v>
      </c>
      <c r="I46">
        <f>'2015_2020'!G15</f>
        <v>0.35599999999999998</v>
      </c>
      <c r="J46">
        <f>'2015_2020'!H15</f>
        <v>0.65500000000000003</v>
      </c>
      <c r="K46">
        <f>'2015_2020'!I15</f>
        <v>0.51500000000000001</v>
      </c>
      <c r="L46">
        <f>'2015_2020'!J15</f>
        <v>0.374</v>
      </c>
      <c r="M46">
        <f>'2015_2020'!K15</f>
        <v>0.59399999999999997</v>
      </c>
      <c r="N46">
        <f>'2015_2020'!L15</f>
        <v>0.57499999999999996</v>
      </c>
      <c r="O46">
        <f>'2015_2020'!M15</f>
        <v>0.31</v>
      </c>
      <c r="P46">
        <f>'2015_2020'!N15</f>
        <v>0.35699999999999998</v>
      </c>
      <c r="Q46">
        <f>'2015_2020'!O15</f>
        <v>0.29899999999999999</v>
      </c>
      <c r="R46">
        <f>'2015_2020'!P15</f>
        <v>0.23699999999999999</v>
      </c>
      <c r="S46">
        <f>'2015_2020'!Q15</f>
        <v>0.20300000000000001</v>
      </c>
      <c r="T46">
        <f>'2015_2020'!R15</f>
        <v>0.14000000000000001</v>
      </c>
      <c r="U46">
        <f>'2015_2020'!S15</f>
        <v>0.112</v>
      </c>
      <c r="V46">
        <f>'2015_2020'!T15</f>
        <v>5.3999999999999999E-2</v>
      </c>
      <c r="W46">
        <f>'2015_2020'!U15</f>
        <v>4.7100000000000003E-2</v>
      </c>
      <c r="X46">
        <f>'2015_2020'!V15</f>
        <v>5.5100000000000003E-2</v>
      </c>
      <c r="Y46">
        <f>'2015_2020'!W15</f>
        <v>2.4299999999999999E-2</v>
      </c>
      <c r="Z46">
        <f>'2015_2020'!X15</f>
        <v>3.5000000000000003E-2</v>
      </c>
      <c r="AA46">
        <f>'2015_2020'!Y15</f>
        <v>4.1300000000000003E-2</v>
      </c>
      <c r="AB46">
        <f>'2015_2020'!Z15</f>
        <v>3.15E-2</v>
      </c>
      <c r="AC46">
        <f>'2015_2020'!AA15</f>
        <v>1.7899999999999999E-2</v>
      </c>
      <c r="AD46">
        <f>'2015_2020'!AB15</f>
        <v>1.6299999999999999E-2</v>
      </c>
      <c r="AE46">
        <f>'2015_2020'!AC15</f>
        <v>1.9800000000000002E-2</v>
      </c>
      <c r="AF46">
        <f>'2015_2020'!AD15</f>
        <v>1.34E-2</v>
      </c>
      <c r="AG46">
        <f>'2015_2020'!AE15</f>
        <v>9.0900000000000009E-3</v>
      </c>
      <c r="AH46">
        <f>'2015_2020'!AF15</f>
        <v>1.03E-2</v>
      </c>
      <c r="AI46">
        <f>'2015_2020'!AG15</f>
        <v>8.6800000000000002E-3</v>
      </c>
      <c r="AJ46">
        <f>'2015_2020'!AH15</f>
        <v>-5.8700000000000002E-3</v>
      </c>
      <c r="AK46">
        <f>'2015_2020'!AI15</f>
        <v>-1.18E-2</v>
      </c>
      <c r="AL46">
        <f>'2015_2020'!AJ15</f>
        <v>-2.0500000000000002E-3</v>
      </c>
      <c r="AM46">
        <f>'2015_2020'!AK15</f>
        <v>8.1600000000000006E-3</v>
      </c>
      <c r="AN46">
        <f>'2015_2020'!AL15</f>
        <v>4.0600000000000002E-3</v>
      </c>
      <c r="AO46">
        <f>'2015_2020'!AM15</f>
        <v>4.17E-4</v>
      </c>
      <c r="AP46">
        <f>'2015_2020'!AN15</f>
        <v>1.2200000000000001E-2</v>
      </c>
      <c r="AQ46">
        <f>'2015_2020'!AO15</f>
        <v>2.4500000000000001E-2</v>
      </c>
      <c r="AR46">
        <f>'2015_2020'!AP15</f>
        <v>2.9399999999999999E-2</v>
      </c>
      <c r="AS46">
        <f>'2015_2020'!AQ15</f>
        <v>2.5000000000000001E-2</v>
      </c>
      <c r="AT46">
        <f>'2015_2020'!AR15</f>
        <v>2.24E-2</v>
      </c>
      <c r="AU46">
        <f>'2015_2020'!AS15</f>
        <v>2.29E-2</v>
      </c>
      <c r="AV46">
        <f>'2015_2020'!AT15</f>
        <v>1.0200000000000001E-2</v>
      </c>
      <c r="AW46">
        <f>'2015_2020'!AU15</f>
        <v>-1.2E-2</v>
      </c>
      <c r="AX46">
        <f>'2015_2020'!AV15</f>
        <v>-2.69E-2</v>
      </c>
      <c r="AY46">
        <f>'2015_2020'!AW15</f>
        <v>-4.07E-2</v>
      </c>
      <c r="AZ46">
        <f>'2015_2020'!AX15</f>
        <v>-4.6800000000000001E-2</v>
      </c>
      <c r="BA46">
        <f>'2015_2020'!AY15</f>
        <v>-5.8099999999999999E-2</v>
      </c>
      <c r="BB46">
        <f>'2015_2020'!AZ15</f>
        <v>-4.7899999999999998E-2</v>
      </c>
      <c r="BC46">
        <f>'2015_2020'!BA15</f>
        <v>-3.5700000000000003E-2</v>
      </c>
      <c r="BD46">
        <f>'2015_2020'!BB15</f>
        <v>-3.7199999999999997E-2</v>
      </c>
      <c r="BE46">
        <f>'2015_2020'!BC15</f>
        <v>-3.6200000000000003E-2</v>
      </c>
      <c r="BF46">
        <f>'2015_2020'!BD15</f>
        <v>-9.4699999999999993E-3</v>
      </c>
      <c r="BG46">
        <f>'2015_2020'!BE15</f>
        <v>-3.3600000000000001E-3</v>
      </c>
      <c r="BH46">
        <f>'2015_2020'!BF15</f>
        <v>4.3299999999999996E-3</v>
      </c>
      <c r="BI46">
        <f>'2015_2020'!BG15</f>
        <v>-9.6900000000000003E-4</v>
      </c>
      <c r="BJ46">
        <f>'2015_2020'!BH15</f>
        <v>-9.1199999999999996E-3</v>
      </c>
      <c r="BK46">
        <f>'2015_2020'!BI15</f>
        <v>-6.3400000000000001E-3</v>
      </c>
      <c r="BL46">
        <f>'2015_2020'!BJ15</f>
        <v>-4.15E-3</v>
      </c>
      <c r="BM46">
        <f>'2015_2020'!BK15</f>
        <v>-2.07E-2</v>
      </c>
      <c r="BN46">
        <f>'2015_2020'!BL15</f>
        <v>-3.9699999999999999E-2</v>
      </c>
      <c r="BO46">
        <f>'2015_2020'!BM15</f>
        <v>-6.0499999999999998E-2</v>
      </c>
      <c r="BP46">
        <f>'2015_2020'!BN15</f>
        <v>-7.0699999999999999E-2</v>
      </c>
      <c r="BQ46">
        <f>'2015_2020'!BO15</f>
        <v>-7.9000000000000001E-2</v>
      </c>
      <c r="BR46">
        <f>'2015_2020'!BP15</f>
        <v>-7.8200000000000006E-2</v>
      </c>
      <c r="BS46">
        <f>'2015_2020'!BQ15</f>
        <v>-0.11700000000000001</v>
      </c>
      <c r="BT46">
        <f>'2015_2020'!BR15</f>
        <v>-0.14799999999999999</v>
      </c>
      <c r="BU46">
        <f>'2015_2020'!BS15</f>
        <v>-0.14000000000000001</v>
      </c>
      <c r="BV46">
        <f>'2015_2020'!BT15</f>
        <v>-4.7199999999999999E-2</v>
      </c>
      <c r="BW46">
        <f>'2015_2020'!BU15</f>
        <v>-3.0099999999999998E-2</v>
      </c>
      <c r="BX46">
        <f>'2015_2020'!BV15</f>
        <v>-4.8599999999999997E-2</v>
      </c>
      <c r="BY46">
        <f>'2015_2020'!BW15</f>
        <v>-7.2499999999999995E-2</v>
      </c>
      <c r="BZ46">
        <f>'2015_2020'!BX15</f>
        <v>-3.5700000000000003E-2</v>
      </c>
      <c r="CA46">
        <f>'2015_2020'!BY15</f>
        <v>-3.1300000000000001E-2</v>
      </c>
      <c r="CB46">
        <f>'2015_2020'!BZ15</f>
        <v>-1.23E-2</v>
      </c>
      <c r="CC46">
        <f>'2015_2020'!CA15</f>
        <v>-0.02</v>
      </c>
      <c r="CD46">
        <f>'2015_2020'!CB15</f>
        <v>-5.9200000000000003E-2</v>
      </c>
      <c r="CE46">
        <f>'2015_2020'!CC15</f>
        <v>-0.23699999999999999</v>
      </c>
      <c r="CF46">
        <f>'2015_2020'!CD15</f>
        <v>-0.31900000000000001</v>
      </c>
      <c r="CG46">
        <f>'2015_2020'!CE15</f>
        <v>-0.30299999999999999</v>
      </c>
      <c r="CH46">
        <f>'2015_2020'!CF15</f>
        <v>-0.183</v>
      </c>
      <c r="CI46">
        <f>'2015_2020'!CG15</f>
        <v>-0.106</v>
      </c>
      <c r="CJ46">
        <f>'2015_2020'!CH15</f>
        <v>-0.10199999999999999</v>
      </c>
      <c r="CK46">
        <f>'2015_2020'!CI15</f>
        <v>-0.15</v>
      </c>
      <c r="CL46">
        <f>'2015_2020'!CJ15</f>
        <v>-0.183</v>
      </c>
      <c r="CM46">
        <f>'2015_2020'!CK15</f>
        <v>-0.245</v>
      </c>
      <c r="CN46">
        <f>'2015_2020'!CL15</f>
        <v>-0.29399999999999998</v>
      </c>
      <c r="CO46">
        <f>'2015_2020'!CM15</f>
        <v>-0.309</v>
      </c>
      <c r="CP46">
        <f>'2015_2020'!CN15</f>
        <v>-0.22800000000000001</v>
      </c>
      <c r="CQ46">
        <f>'2015_2020'!CO15</f>
        <v>-0.215</v>
      </c>
      <c r="CR46">
        <f>'2015_2020'!CP15</f>
        <v>-0.24</v>
      </c>
      <c r="CS46">
        <f>'2015_2020'!CQ15</f>
        <v>-0.11600000000000001</v>
      </c>
      <c r="CT46">
        <f>'2015_2020'!CR15</f>
        <v>-0.23899999999999999</v>
      </c>
      <c r="CU46">
        <f>'2015_2020'!CS15</f>
        <v>-0.28299999999999997</v>
      </c>
      <c r="CV46">
        <f>'2015_2020'!CT15</f>
        <v>-0.31900000000000001</v>
      </c>
      <c r="CW46">
        <f>'2015_2020'!CU15</f>
        <v>-0.217</v>
      </c>
      <c r="CX46">
        <f>'2015_2020'!CV15</f>
        <v>-0.27400000000000002</v>
      </c>
    </row>
    <row r="47" spans="1:102" x14ac:dyDescent="0.2">
      <c r="A47" t="s">
        <v>209</v>
      </c>
      <c r="B47" t="s">
        <v>219</v>
      </c>
      <c r="C47" t="s">
        <v>221</v>
      </c>
      <c r="D47">
        <f>'2015_2020'!B16</f>
        <v>-0.10199999999999999</v>
      </c>
      <c r="E47">
        <f>'2015_2020'!C16</f>
        <v>-0.122</v>
      </c>
      <c r="F47">
        <f>'2015_2020'!D16</f>
        <v>3.8899999999999997E-2</v>
      </c>
      <c r="G47">
        <f>'2015_2020'!E16</f>
        <v>-0.14000000000000001</v>
      </c>
      <c r="H47">
        <f>'2015_2020'!F16</f>
        <v>0.13</v>
      </c>
      <c r="I47">
        <f>'2015_2020'!G16</f>
        <v>-6.7400000000000002E-2</v>
      </c>
      <c r="J47">
        <f>'2015_2020'!H16</f>
        <v>6.6900000000000001E-2</v>
      </c>
      <c r="K47">
        <f>'2015_2020'!I16</f>
        <v>0.08</v>
      </c>
      <c r="L47">
        <f>'2015_2020'!J16</f>
        <v>3.2099999999999997E-2</v>
      </c>
      <c r="M47">
        <f>'2015_2020'!K16</f>
        <v>0.14399999999999999</v>
      </c>
      <c r="N47">
        <f>'2015_2020'!L16</f>
        <v>0.19</v>
      </c>
      <c r="O47">
        <f>'2015_2020'!M16</f>
        <v>9.5399999999999999E-2</v>
      </c>
      <c r="P47">
        <f>'2015_2020'!N16</f>
        <v>0.14199999999999999</v>
      </c>
      <c r="Q47">
        <f>'2015_2020'!O16</f>
        <v>0.11700000000000001</v>
      </c>
      <c r="R47">
        <f>'2015_2020'!P16</f>
        <v>7.8100000000000003E-2</v>
      </c>
      <c r="S47">
        <f>'2015_2020'!Q16</f>
        <v>5.9799999999999999E-2</v>
      </c>
      <c r="T47">
        <f>'2015_2020'!R16</f>
        <v>3.1600000000000003E-2</v>
      </c>
      <c r="U47">
        <f>'2015_2020'!S16</f>
        <v>2.07E-2</v>
      </c>
      <c r="V47">
        <f>'2015_2020'!T16</f>
        <v>2.3500000000000001E-3</v>
      </c>
      <c r="W47">
        <f>'2015_2020'!U16</f>
        <v>5.5700000000000003E-3</v>
      </c>
      <c r="X47">
        <f>'2015_2020'!V16</f>
        <v>1.2500000000000001E-2</v>
      </c>
      <c r="Y47">
        <f>'2015_2020'!W16</f>
        <v>-3.62E-3</v>
      </c>
      <c r="Z47">
        <f>'2015_2020'!X16</f>
        <v>-6.2100000000000002E-4</v>
      </c>
      <c r="AA47">
        <f>'2015_2020'!Y16</f>
        <v>1.54E-2</v>
      </c>
      <c r="AB47">
        <f>'2015_2020'!Z16</f>
        <v>1.37E-2</v>
      </c>
      <c r="AC47">
        <f>'2015_2020'!AA16</f>
        <v>7.4999999999999997E-3</v>
      </c>
      <c r="AD47">
        <f>'2015_2020'!AB16</f>
        <v>1.06E-2</v>
      </c>
      <c r="AE47">
        <f>'2015_2020'!AC16</f>
        <v>1.15E-2</v>
      </c>
      <c r="AF47">
        <f>'2015_2020'!AD16</f>
        <v>3.1199999999999999E-3</v>
      </c>
      <c r="AG47">
        <f>'2015_2020'!AE16</f>
        <v>1.2600000000000001E-3</v>
      </c>
      <c r="AH47">
        <f>'2015_2020'!AF16</f>
        <v>2.07E-2</v>
      </c>
      <c r="AI47">
        <f>'2015_2020'!AG16</f>
        <v>1.9300000000000001E-2</v>
      </c>
      <c r="AJ47">
        <f>'2015_2020'!AH16</f>
        <v>1.11E-2</v>
      </c>
      <c r="AK47">
        <f>'2015_2020'!AI16</f>
        <v>1.4500000000000001E-2</v>
      </c>
      <c r="AL47">
        <f>'2015_2020'!AJ16</f>
        <v>2.7199999999999998E-2</v>
      </c>
      <c r="AM47">
        <f>'2015_2020'!AK16</f>
        <v>2.18E-2</v>
      </c>
      <c r="AN47">
        <f>'2015_2020'!AL16</f>
        <v>2.5999999999999999E-2</v>
      </c>
      <c r="AO47">
        <f>'2015_2020'!AM16</f>
        <v>2.5700000000000001E-2</v>
      </c>
      <c r="AP47">
        <f>'2015_2020'!AN16</f>
        <v>4.65E-2</v>
      </c>
      <c r="AQ47">
        <f>'2015_2020'!AO16</f>
        <v>6.0900000000000003E-2</v>
      </c>
      <c r="AR47">
        <f>'2015_2020'!AP16</f>
        <v>6.4000000000000001E-2</v>
      </c>
      <c r="AS47">
        <f>'2015_2020'!AQ16</f>
        <v>6.0699999999999997E-2</v>
      </c>
      <c r="AT47">
        <f>'2015_2020'!AR16</f>
        <v>5.6099999999999997E-2</v>
      </c>
      <c r="AU47">
        <f>'2015_2020'!AS16</f>
        <v>5.8299999999999998E-2</v>
      </c>
      <c r="AV47">
        <f>'2015_2020'!AT16</f>
        <v>4.6600000000000003E-2</v>
      </c>
      <c r="AW47">
        <f>'2015_2020'!AU16</f>
        <v>2.3599999999999999E-2</v>
      </c>
      <c r="AX47">
        <f>'2015_2020'!AV16</f>
        <v>-8.6800000000000002E-3</v>
      </c>
      <c r="AY47">
        <f>'2015_2020'!AW16</f>
        <v>-1.5699999999999999E-2</v>
      </c>
      <c r="AZ47">
        <f>'2015_2020'!AX16</f>
        <v>-1.6299999999999999E-2</v>
      </c>
      <c r="BA47">
        <f>'2015_2020'!AY16</f>
        <v>-2.23E-2</v>
      </c>
      <c r="BB47">
        <f>'2015_2020'!AZ16</f>
        <v>-1.5299999999999999E-3</v>
      </c>
      <c r="BC47">
        <f>'2015_2020'!BA16</f>
        <v>5.3600000000000002E-3</v>
      </c>
      <c r="BD47">
        <f>'2015_2020'!BB16</f>
        <v>1.3899999999999999E-2</v>
      </c>
      <c r="BE47">
        <f>'2015_2020'!BC16</f>
        <v>2.1399999999999999E-2</v>
      </c>
      <c r="BF47">
        <f>'2015_2020'!BD16</f>
        <v>3.6600000000000001E-2</v>
      </c>
      <c r="BG47">
        <f>'2015_2020'!BE16</f>
        <v>4.9399999999999999E-2</v>
      </c>
      <c r="BH47">
        <f>'2015_2020'!BF16</f>
        <v>6.0100000000000001E-2</v>
      </c>
      <c r="BI47">
        <f>'2015_2020'!BG16</f>
        <v>5.91E-2</v>
      </c>
      <c r="BJ47">
        <f>'2015_2020'!BH16</f>
        <v>5.0500000000000003E-2</v>
      </c>
      <c r="BK47">
        <f>'2015_2020'!BI16</f>
        <v>6.2199999999999998E-2</v>
      </c>
      <c r="BL47">
        <f>'2015_2020'!BJ16</f>
        <v>6.4199999999999993E-2</v>
      </c>
      <c r="BM47">
        <f>'2015_2020'!BK16</f>
        <v>6.0400000000000002E-2</v>
      </c>
      <c r="BN47">
        <f>'2015_2020'!BL16</f>
        <v>3.8699999999999998E-2</v>
      </c>
      <c r="BO47">
        <f>'2015_2020'!BM16</f>
        <v>1.6899999999999998E-2</v>
      </c>
      <c r="BP47">
        <f>'2015_2020'!BN16</f>
        <v>1.23E-2</v>
      </c>
      <c r="BQ47">
        <f>'2015_2020'!BO16</f>
        <v>1.01E-2</v>
      </c>
      <c r="BR47">
        <f>'2015_2020'!BP16</f>
        <v>7.2399999999999999E-3</v>
      </c>
      <c r="BS47">
        <f>'2015_2020'!BQ16</f>
        <v>-2.2800000000000001E-2</v>
      </c>
      <c r="BT47">
        <f>'2015_2020'!BR16</f>
        <v>-4.8599999999999997E-2</v>
      </c>
      <c r="BU47">
        <f>'2015_2020'!BS16</f>
        <v>-2.5499999999999998E-2</v>
      </c>
      <c r="BV47">
        <f>'2015_2020'!BT16</f>
        <v>9.5100000000000004E-2</v>
      </c>
      <c r="BW47">
        <f>'2015_2020'!BU16</f>
        <v>0.128</v>
      </c>
      <c r="BX47">
        <f>'2015_2020'!BV16</f>
        <v>0.108</v>
      </c>
      <c r="BY47">
        <f>'2015_2020'!BW16</f>
        <v>9.8599999999999993E-2</v>
      </c>
      <c r="BZ47">
        <f>'2015_2020'!BX16</f>
        <v>0.13</v>
      </c>
      <c r="CA47">
        <f>'2015_2020'!BY16</f>
        <v>0.125</v>
      </c>
      <c r="CB47">
        <f>'2015_2020'!BZ16</f>
        <v>0.153</v>
      </c>
      <c r="CC47">
        <f>'2015_2020'!CA16</f>
        <v>0.14899999999999999</v>
      </c>
      <c r="CD47">
        <f>'2015_2020'!CB16</f>
        <v>0.10199999999999999</v>
      </c>
      <c r="CE47">
        <f>'2015_2020'!CC16</f>
        <v>-4.4299999999999999E-2</v>
      </c>
      <c r="CF47">
        <f>'2015_2020'!CD16</f>
        <v>-9.7600000000000006E-2</v>
      </c>
      <c r="CG47">
        <f>'2015_2020'!CE16</f>
        <v>-7.7899999999999997E-2</v>
      </c>
      <c r="CH47">
        <f>'2015_2020'!CF16</f>
        <v>2.6800000000000001E-2</v>
      </c>
      <c r="CI47">
        <f>'2015_2020'!CG16</f>
        <v>0.11799999999999999</v>
      </c>
      <c r="CJ47">
        <f>'2015_2020'!CH16</f>
        <v>0.154</v>
      </c>
      <c r="CK47">
        <f>'2015_2020'!CI16</f>
        <v>0.111</v>
      </c>
      <c r="CL47">
        <f>'2015_2020'!CJ16</f>
        <v>6.2600000000000003E-2</v>
      </c>
      <c r="CM47">
        <f>'2015_2020'!CK16</f>
        <v>8.1099999999999992E-3</v>
      </c>
      <c r="CN47">
        <f>'2015_2020'!CL16</f>
        <v>1.5299999999999999E-2</v>
      </c>
      <c r="CO47">
        <f>'2015_2020'!CM16</f>
        <v>-6.8700000000000002E-3</v>
      </c>
      <c r="CP47">
        <f>'2015_2020'!CN16</f>
        <v>3.8199999999999998E-2</v>
      </c>
      <c r="CQ47">
        <f>'2015_2020'!CO16</f>
        <v>5.8799999999999998E-2</v>
      </c>
      <c r="CR47">
        <f>'2015_2020'!CP16</f>
        <v>0.129</v>
      </c>
      <c r="CS47">
        <f>'2015_2020'!CQ16</f>
        <v>0.22500000000000001</v>
      </c>
      <c r="CT47">
        <f>'2015_2020'!CR16</f>
        <v>0.14000000000000001</v>
      </c>
      <c r="CU47">
        <f>'2015_2020'!CS16</f>
        <v>3.5700000000000003E-2</v>
      </c>
      <c r="CV47">
        <f>'2015_2020'!CT16</f>
        <v>-9.4000000000000004E-3</v>
      </c>
      <c r="CW47">
        <f>'2015_2020'!CU16</f>
        <v>0.123</v>
      </c>
      <c r="CX47">
        <f>'2015_2020'!CV16</f>
        <v>-4.7699999999999999E-2</v>
      </c>
    </row>
    <row r="48" spans="1:102" x14ac:dyDescent="0.2">
      <c r="A48" t="s">
        <v>210</v>
      </c>
      <c r="B48" t="s">
        <v>219</v>
      </c>
      <c r="C48" t="s">
        <v>221</v>
      </c>
      <c r="D48">
        <f>'2015_2020'!B17</f>
        <v>8.7499999999999994E-2</v>
      </c>
      <c r="E48">
        <f>'2015_2020'!C17</f>
        <v>8.5500000000000007E-2</v>
      </c>
      <c r="F48">
        <f>'2015_2020'!D17</f>
        <v>3.04E-2</v>
      </c>
      <c r="G48">
        <f>'2015_2020'!E17</f>
        <v>6.0299999999999999E-2</v>
      </c>
      <c r="H48">
        <f>'2015_2020'!F17</f>
        <v>-3.0800000000000001E-2</v>
      </c>
      <c r="I48">
        <f>'2015_2020'!G17</f>
        <v>2.1499999999999998E-2</v>
      </c>
      <c r="J48">
        <f>'2015_2020'!H17</f>
        <v>-6.0499999999999998E-3</v>
      </c>
      <c r="K48">
        <f>'2015_2020'!I17</f>
        <v>-8.5699999999999995E-3</v>
      </c>
      <c r="L48">
        <f>'2015_2020'!J17</f>
        <v>1.6899999999999999E-4</v>
      </c>
      <c r="M48">
        <f>'2015_2020'!K17</f>
        <v>-2.2599999999999999E-2</v>
      </c>
      <c r="N48">
        <f>'2015_2020'!L17</f>
        <v>-2.6499999999999999E-2</v>
      </c>
      <c r="O48">
        <f>'2015_2020'!M17</f>
        <v>-1.0200000000000001E-2</v>
      </c>
      <c r="P48">
        <f>'2015_2020'!N17</f>
        <v>-1.54E-2</v>
      </c>
      <c r="Q48">
        <f>'2015_2020'!O17</f>
        <v>-1.06E-2</v>
      </c>
      <c r="R48">
        <f>'2015_2020'!P17</f>
        <v>-5.7099999999999998E-3</v>
      </c>
      <c r="S48">
        <f>'2015_2020'!Q17</f>
        <v>-2E-3</v>
      </c>
      <c r="T48">
        <f>'2015_2020'!R17</f>
        <v>3.3300000000000001E-3</v>
      </c>
      <c r="U48">
        <f>'2015_2020'!S17</f>
        <v>4.47E-3</v>
      </c>
      <c r="V48">
        <f>'2015_2020'!T17</f>
        <v>9.4400000000000005E-3</v>
      </c>
      <c r="W48">
        <f>'2015_2020'!U17</f>
        <v>7.6800000000000002E-3</v>
      </c>
      <c r="X48">
        <f>'2015_2020'!V17</f>
        <v>5.4200000000000003E-3</v>
      </c>
      <c r="Y48">
        <f>'2015_2020'!W17</f>
        <v>8.5800000000000008E-3</v>
      </c>
      <c r="Z48">
        <f>'2015_2020'!X17</f>
        <v>7.2899999999999996E-3</v>
      </c>
      <c r="AA48">
        <f>'2015_2020'!Y17</f>
        <v>7.2700000000000004E-3</v>
      </c>
      <c r="AB48">
        <f>'2015_2020'!Z17</f>
        <v>9.75E-3</v>
      </c>
      <c r="AC48">
        <f>'2015_2020'!AA17</f>
        <v>1.1900000000000001E-2</v>
      </c>
      <c r="AD48">
        <f>'2015_2020'!AB17</f>
        <v>1.2800000000000001E-2</v>
      </c>
      <c r="AE48">
        <f>'2015_2020'!AC17</f>
        <v>1.2699999999999999E-2</v>
      </c>
      <c r="AF48">
        <f>'2015_2020'!AD17</f>
        <v>1.47E-2</v>
      </c>
      <c r="AG48">
        <f>'2015_2020'!AE17</f>
        <v>1.43E-2</v>
      </c>
      <c r="AH48">
        <f>'2015_2020'!AF17</f>
        <v>1.34E-2</v>
      </c>
      <c r="AI48">
        <f>'2015_2020'!AG17</f>
        <v>1.5100000000000001E-2</v>
      </c>
      <c r="AJ48">
        <f>'2015_2020'!AH17</f>
        <v>1.9400000000000001E-2</v>
      </c>
      <c r="AK48">
        <f>'2015_2020'!AI17</f>
        <v>1.89E-2</v>
      </c>
      <c r="AL48">
        <f>'2015_2020'!AJ17</f>
        <v>1.8100000000000002E-2</v>
      </c>
      <c r="AM48">
        <f>'2015_2020'!AK17</f>
        <v>1.8499999999999999E-2</v>
      </c>
      <c r="AN48">
        <f>'2015_2020'!AL17</f>
        <v>2.01E-2</v>
      </c>
      <c r="AO48">
        <f>'2015_2020'!AM17</f>
        <v>2.07E-2</v>
      </c>
      <c r="AP48">
        <f>'2015_2020'!AN17</f>
        <v>1.7999999999999999E-2</v>
      </c>
      <c r="AQ48">
        <f>'2015_2020'!AO17</f>
        <v>1.46E-2</v>
      </c>
      <c r="AR48">
        <f>'2015_2020'!AP17</f>
        <v>1.46E-2</v>
      </c>
      <c r="AS48">
        <f>'2015_2020'!AQ17</f>
        <v>1.5299999999999999E-2</v>
      </c>
      <c r="AT48">
        <f>'2015_2020'!AR17</f>
        <v>1.47E-2</v>
      </c>
      <c r="AU48">
        <f>'2015_2020'!AS17</f>
        <v>1.38E-2</v>
      </c>
      <c r="AV48">
        <f>'2015_2020'!AT17</f>
        <v>1.66E-2</v>
      </c>
      <c r="AW48">
        <f>'2015_2020'!AU17</f>
        <v>2.3300000000000001E-2</v>
      </c>
      <c r="AX48">
        <f>'2015_2020'!AV17</f>
        <v>2.9000000000000001E-2</v>
      </c>
      <c r="AY48">
        <f>'2015_2020'!AW17</f>
        <v>2.9899999999999999E-2</v>
      </c>
      <c r="AZ48">
        <f>'2015_2020'!AX17</f>
        <v>2.8400000000000002E-2</v>
      </c>
      <c r="BA48">
        <f>'2015_2020'!AY17</f>
        <v>2.8299999999999999E-2</v>
      </c>
      <c r="BB48">
        <f>'2015_2020'!AZ17</f>
        <v>2.6599999999999999E-2</v>
      </c>
      <c r="BC48">
        <f>'2015_2020'!BA17</f>
        <v>2.3699999999999999E-2</v>
      </c>
      <c r="BD48">
        <f>'2015_2020'!BB17</f>
        <v>1.9300000000000001E-2</v>
      </c>
      <c r="BE48">
        <f>'2015_2020'!BC17</f>
        <v>1.8200000000000001E-2</v>
      </c>
      <c r="BF48">
        <f>'2015_2020'!BD17</f>
        <v>1.4800000000000001E-2</v>
      </c>
      <c r="BG48">
        <f>'2015_2020'!BE17</f>
        <v>1.17E-2</v>
      </c>
      <c r="BH48">
        <f>'2015_2020'!BF17</f>
        <v>7.3400000000000002E-3</v>
      </c>
      <c r="BI48">
        <f>'2015_2020'!BG17</f>
        <v>9.4900000000000002E-3</v>
      </c>
      <c r="BJ48">
        <f>'2015_2020'!BH17</f>
        <v>1.2800000000000001E-2</v>
      </c>
      <c r="BK48">
        <f>'2015_2020'!BI17</f>
        <v>1.2200000000000001E-2</v>
      </c>
      <c r="BL48">
        <f>'2015_2020'!BJ17</f>
        <v>1.03E-2</v>
      </c>
      <c r="BM48">
        <f>'2015_2020'!BK17</f>
        <v>1.3100000000000001E-2</v>
      </c>
      <c r="BN48">
        <f>'2015_2020'!BL17</f>
        <v>1.55E-2</v>
      </c>
      <c r="BO48">
        <f>'2015_2020'!BM17</f>
        <v>1.95E-2</v>
      </c>
      <c r="BP48">
        <f>'2015_2020'!BN17</f>
        <v>2.2200000000000001E-2</v>
      </c>
      <c r="BQ48">
        <f>'2015_2020'!BO17</f>
        <v>2.23E-2</v>
      </c>
      <c r="BR48">
        <f>'2015_2020'!BP17</f>
        <v>2.07E-2</v>
      </c>
      <c r="BS48">
        <f>'2015_2020'!BQ17</f>
        <v>2.6200000000000001E-2</v>
      </c>
      <c r="BT48">
        <f>'2015_2020'!BR17</f>
        <v>3.0800000000000001E-2</v>
      </c>
      <c r="BU48">
        <f>'2015_2020'!BS17</f>
        <v>2.7400000000000001E-2</v>
      </c>
      <c r="BV48">
        <f>'2015_2020'!BT17</f>
        <v>5.2500000000000003E-3</v>
      </c>
      <c r="BW48">
        <f>'2015_2020'!BU17</f>
        <v>1.81E-3</v>
      </c>
      <c r="BX48">
        <f>'2015_2020'!BV17</f>
        <v>5.9699999999999996E-3</v>
      </c>
      <c r="BY48">
        <f>'2015_2020'!BW17</f>
        <v>8.5699999999999995E-3</v>
      </c>
      <c r="BZ48">
        <f>'2015_2020'!BX17</f>
        <v>1.25E-3</v>
      </c>
      <c r="CA48">
        <f>'2015_2020'!BY17</f>
        <v>2.5799999999999998E-4</v>
      </c>
      <c r="CB48">
        <f>'2015_2020'!BZ17</f>
        <v>-5.64E-3</v>
      </c>
      <c r="CC48">
        <f>'2015_2020'!CA17</f>
        <v>-9.9699999999999997E-3</v>
      </c>
      <c r="CD48">
        <f>'2015_2020'!CB17</f>
        <v>-1.6999999999999999E-3</v>
      </c>
      <c r="CE48">
        <f>'2015_2020'!CC17</f>
        <v>3.0599999999999999E-2</v>
      </c>
      <c r="CF48">
        <f>'2015_2020'!CD17</f>
        <v>4.1599999999999998E-2</v>
      </c>
      <c r="CG48">
        <f>'2015_2020'!CE17</f>
        <v>3.6600000000000001E-2</v>
      </c>
      <c r="CH48">
        <f>'2015_2020'!CF17</f>
        <v>1.18E-2</v>
      </c>
      <c r="CI48">
        <f>'2015_2020'!CG17</f>
        <v>-2.98E-3</v>
      </c>
      <c r="CJ48">
        <f>'2015_2020'!CH17</f>
        <v>-1.15E-2</v>
      </c>
      <c r="CK48">
        <f>'2015_2020'!CI17</f>
        <v>-1.49E-3</v>
      </c>
      <c r="CL48">
        <f>'2015_2020'!CJ17</f>
        <v>7.0899999999999999E-3</v>
      </c>
      <c r="CM48">
        <f>'2015_2020'!CK17</f>
        <v>1.2200000000000001E-2</v>
      </c>
      <c r="CN48">
        <f>'2015_2020'!CL17</f>
        <v>1.1299999999999999E-2</v>
      </c>
      <c r="CO48">
        <f>'2015_2020'!CM17</f>
        <v>1.7399999999999999E-2</v>
      </c>
      <c r="CP48">
        <f>'2015_2020'!CN17</f>
        <v>-1.8699999999999999E-3</v>
      </c>
      <c r="CQ48">
        <f>'2015_2020'!CO17</f>
        <v>-9.1699999999999993E-3</v>
      </c>
      <c r="CR48">
        <f>'2015_2020'!CP17</f>
        <v>-2.4199999999999999E-2</v>
      </c>
      <c r="CS48">
        <f>'2015_2020'!CQ17</f>
        <v>-5.5399999999999998E-2</v>
      </c>
      <c r="CT48">
        <f>'2015_2020'!CR17</f>
        <v>-2.9399999999999999E-2</v>
      </c>
      <c r="CU48">
        <f>'2015_2020'!CS17</f>
        <v>-1.7399999999999999E-2</v>
      </c>
      <c r="CV48">
        <f>'2015_2020'!CT17</f>
        <v>8.0499999999999999E-3</v>
      </c>
      <c r="CW48">
        <f>'2015_2020'!CU17</f>
        <v>-4.0599999999999997E-2</v>
      </c>
      <c r="CX48">
        <f>'2015_2020'!CV17</f>
        <v>2.5399999999999999E-2</v>
      </c>
    </row>
    <row r="49" spans="1:102" x14ac:dyDescent="0.2">
      <c r="A49" t="s">
        <v>211</v>
      </c>
      <c r="B49" t="s">
        <v>219</v>
      </c>
      <c r="C49" t="s">
        <v>221</v>
      </c>
      <c r="D49">
        <f>'2015_2020'!B18</f>
        <v>4.3099999999999996E-3</v>
      </c>
      <c r="E49">
        <f>'2015_2020'!C18</f>
        <v>9.5699999999999995E-4</v>
      </c>
      <c r="F49">
        <f>'2015_2020'!D18</f>
        <v>-1.04E-2</v>
      </c>
      <c r="G49">
        <f>'2015_2020'!E18</f>
        <v>1.03E-2</v>
      </c>
      <c r="H49">
        <f>'2015_2020'!F18</f>
        <v>-1.54E-2</v>
      </c>
      <c r="I49">
        <f>'2015_2020'!G18</f>
        <v>-1.2199999999999999E-3</v>
      </c>
      <c r="J49">
        <f>'2015_2020'!H18</f>
        <v>-5.5900000000000004E-3</v>
      </c>
      <c r="K49">
        <f>'2015_2020'!I18</f>
        <v>-1.65E-3</v>
      </c>
      <c r="L49">
        <f>'2015_2020'!J18</f>
        <v>7.7400000000000004E-3</v>
      </c>
      <c r="M49">
        <f>'2015_2020'!K18</f>
        <v>-1.31E-3</v>
      </c>
      <c r="N49">
        <f>'2015_2020'!L18</f>
        <v>-5.1399999999999996E-3</v>
      </c>
      <c r="O49">
        <f>'2015_2020'!M18</f>
        <v>-3.4499999999999999E-3</v>
      </c>
      <c r="P49">
        <f>'2015_2020'!N18</f>
        <v>-3.5100000000000001E-3</v>
      </c>
      <c r="Q49">
        <f>'2015_2020'!O18</f>
        <v>7.6300000000000001E-4</v>
      </c>
      <c r="R49">
        <f>'2015_2020'!P18</f>
        <v>1.47E-3</v>
      </c>
      <c r="S49">
        <f>'2015_2020'!Q18</f>
        <v>-1.82E-3</v>
      </c>
      <c r="T49">
        <f>'2015_2020'!R18</f>
        <v>4.3399999999999998E-4</v>
      </c>
      <c r="U49">
        <f>'2015_2020'!S18</f>
        <v>1.3600000000000001E-3</v>
      </c>
      <c r="V49">
        <f>'2015_2020'!T18</f>
        <v>3.1199999999999999E-3</v>
      </c>
      <c r="W49">
        <f>'2015_2020'!U18</f>
        <v>2.5100000000000001E-3</v>
      </c>
      <c r="X49">
        <f>'2015_2020'!V18</f>
        <v>-3.9300000000000001E-4</v>
      </c>
      <c r="Y49">
        <f>'2015_2020'!W18</f>
        <v>2.5000000000000001E-3</v>
      </c>
      <c r="Z49">
        <f>'2015_2020'!X18</f>
        <v>6.5099999999999999E-4</v>
      </c>
      <c r="AA49">
        <f>'2015_2020'!Y18</f>
        <v>2.8500000000000001E-3</v>
      </c>
      <c r="AB49">
        <f>'2015_2020'!Z18</f>
        <v>7.1900000000000002E-3</v>
      </c>
      <c r="AC49">
        <f>'2015_2020'!AA18</f>
        <v>7.9699999999999997E-3</v>
      </c>
      <c r="AD49">
        <f>'2015_2020'!AB18</f>
        <v>7.5799999999999999E-3</v>
      </c>
      <c r="AE49">
        <f>'2015_2020'!AC18</f>
        <v>6.3099999999999996E-3</v>
      </c>
      <c r="AF49">
        <f>'2015_2020'!AD18</f>
        <v>4.4600000000000004E-3</v>
      </c>
      <c r="AG49">
        <f>'2015_2020'!AE18</f>
        <v>4.6899999999999997E-3</v>
      </c>
      <c r="AH49">
        <f>'2015_2020'!AF18</f>
        <v>4.4900000000000001E-3</v>
      </c>
      <c r="AI49">
        <f>'2015_2020'!AG18</f>
        <v>4.6699999999999997E-3</v>
      </c>
      <c r="AJ49">
        <f>'2015_2020'!AH18</f>
        <v>5.7800000000000004E-3</v>
      </c>
      <c r="AK49">
        <f>'2015_2020'!AI18</f>
        <v>4.6499999999999996E-3</v>
      </c>
      <c r="AL49">
        <f>'2015_2020'!AJ18</f>
        <v>3.5799999999999998E-3</v>
      </c>
      <c r="AM49">
        <f>'2015_2020'!AK18</f>
        <v>4.5900000000000003E-3</v>
      </c>
      <c r="AN49">
        <f>'2015_2020'!AL18</f>
        <v>1.8600000000000001E-3</v>
      </c>
      <c r="AO49">
        <f>'2015_2020'!AM18</f>
        <v>6.4899999999999995E-4</v>
      </c>
      <c r="AP49">
        <f>'2015_2020'!AN18</f>
        <v>2.9300000000000002E-4</v>
      </c>
      <c r="AQ49">
        <f>'2015_2020'!AO18</f>
        <v>-2.5500000000000002E-3</v>
      </c>
      <c r="AR49">
        <f>'2015_2020'!AP18</f>
        <v>1.0900000000000001E-4</v>
      </c>
      <c r="AS49">
        <f>'2015_2020'!AQ18</f>
        <v>9.7099999999999997E-4</v>
      </c>
      <c r="AT49">
        <f>'2015_2020'!AR18</f>
        <v>-4.75E-4</v>
      </c>
      <c r="AU49">
        <f>'2015_2020'!AS18</f>
        <v>-2.4599999999999999E-3</v>
      </c>
      <c r="AV49">
        <f>'2015_2020'!AT18</f>
        <v>-4.8999999999999998E-3</v>
      </c>
      <c r="AW49">
        <f>'2015_2020'!AU18</f>
        <v>-3.5000000000000001E-3</v>
      </c>
      <c r="AX49">
        <f>'2015_2020'!AV18</f>
        <v>-5.6599999999999999E-4</v>
      </c>
      <c r="AY49">
        <f>'2015_2020'!AW18</f>
        <v>-1.25E-4</v>
      </c>
      <c r="AZ49">
        <f>'2015_2020'!AX18</f>
        <v>-5.4699999999999996E-4</v>
      </c>
      <c r="BA49">
        <f>'2015_2020'!AY18</f>
        <v>-3.65E-3</v>
      </c>
      <c r="BB49">
        <f>'2015_2020'!AZ18</f>
        <v>-4.7999999999999996E-3</v>
      </c>
      <c r="BC49">
        <f>'2015_2020'!BA18</f>
        <v>-6.2199999999999998E-3</v>
      </c>
      <c r="BD49">
        <f>'2015_2020'!BB18</f>
        <v>-1.4300000000000001E-3</v>
      </c>
      <c r="BE49">
        <f>'2015_2020'!BC18</f>
        <v>-4.3499999999999997E-3</v>
      </c>
      <c r="BF49">
        <f>'2015_2020'!BD18</f>
        <v>-1.37E-2</v>
      </c>
      <c r="BG49">
        <f>'2015_2020'!BE18</f>
        <v>-1.0699999999999999E-2</v>
      </c>
      <c r="BH49">
        <f>'2015_2020'!BF18</f>
        <v>-1.54E-2</v>
      </c>
      <c r="BI49">
        <f>'2015_2020'!BG18</f>
        <v>-1.5299999999999999E-2</v>
      </c>
      <c r="BJ49">
        <f>'2015_2020'!BH18</f>
        <v>-1.3599999999999999E-2</v>
      </c>
      <c r="BK49">
        <f>'2015_2020'!BI18</f>
        <v>-1.4999999999999999E-2</v>
      </c>
      <c r="BL49">
        <f>'2015_2020'!BJ18</f>
        <v>-1.78E-2</v>
      </c>
      <c r="BM49">
        <f>'2015_2020'!BK18</f>
        <v>-1.6199999999999999E-2</v>
      </c>
      <c r="BN49">
        <f>'2015_2020'!BL18</f>
        <v>-1.43E-2</v>
      </c>
      <c r="BO49">
        <f>'2015_2020'!BM18</f>
        <v>-1.11E-2</v>
      </c>
      <c r="BP49">
        <f>'2015_2020'!BN18</f>
        <v>-3.5500000000000002E-3</v>
      </c>
      <c r="BQ49">
        <f>'2015_2020'!BO18</f>
        <v>-6.2599999999999999E-3</v>
      </c>
      <c r="BR49">
        <f>'2015_2020'!BP18</f>
        <v>-3.9899999999999996E-3</v>
      </c>
      <c r="BS49">
        <f>'2015_2020'!BQ18</f>
        <v>3.79E-3</v>
      </c>
      <c r="BT49">
        <f>'2015_2020'!BR18</f>
        <v>3.6099999999999999E-3</v>
      </c>
      <c r="BU49">
        <f>'2015_2020'!BS18</f>
        <v>-2.1900000000000001E-3</v>
      </c>
      <c r="BV49">
        <f>'2015_2020'!BT18</f>
        <v>-1.7000000000000001E-2</v>
      </c>
      <c r="BW49">
        <f>'2015_2020'!BU18</f>
        <v>-2.3099999999999999E-2</v>
      </c>
      <c r="BX49">
        <f>'2015_2020'!BV18</f>
        <v>-1.8499999999999999E-2</v>
      </c>
      <c r="BY49">
        <f>'2015_2020'!BW18</f>
        <v>-1.6E-2</v>
      </c>
      <c r="BZ49">
        <f>'2015_2020'!BX18</f>
        <v>-2.3099999999999999E-2</v>
      </c>
      <c r="CA49">
        <f>'2015_2020'!BY18</f>
        <v>-1.5900000000000001E-2</v>
      </c>
      <c r="CB49">
        <f>'2015_2020'!BZ18</f>
        <v>-2.24E-2</v>
      </c>
      <c r="CC49">
        <f>'2015_2020'!CA18</f>
        <v>-2.3199999999999998E-2</v>
      </c>
      <c r="CD49">
        <f>'2015_2020'!CB18</f>
        <v>-3.0200000000000001E-2</v>
      </c>
      <c r="CE49">
        <f>'2015_2020'!CC18</f>
        <v>-8.4700000000000001E-3</v>
      </c>
      <c r="CF49">
        <f>'2015_2020'!CD18</f>
        <v>5.1999999999999998E-3</v>
      </c>
      <c r="CG49">
        <f>'2015_2020'!CE18</f>
        <v>1.73E-3</v>
      </c>
      <c r="CH49">
        <f>'2015_2020'!CF18</f>
        <v>-9.2499999999999995E-3</v>
      </c>
      <c r="CI49">
        <f>'2015_2020'!CG18</f>
        <v>-2.2700000000000001E-2</v>
      </c>
      <c r="CJ49">
        <f>'2015_2020'!CH18</f>
        <v>-3.1300000000000001E-2</v>
      </c>
      <c r="CK49">
        <f>'2015_2020'!CI18</f>
        <v>-2.2800000000000001E-2</v>
      </c>
      <c r="CL49">
        <f>'2015_2020'!CJ18</f>
        <v>-6.8199999999999997E-3</v>
      </c>
      <c r="CM49">
        <f>'2015_2020'!CK18</f>
        <v>-2.5200000000000001E-3</v>
      </c>
      <c r="CN49">
        <f>'2015_2020'!CL18</f>
        <v>-1.15E-2</v>
      </c>
      <c r="CO49">
        <f>'2015_2020'!CM18</f>
        <v>-3.15E-3</v>
      </c>
      <c r="CP49">
        <f>'2015_2020'!CN18</f>
        <v>-7.8799999999999996E-4</v>
      </c>
      <c r="CQ49">
        <f>'2015_2020'!CO18</f>
        <v>-1.0800000000000001E-2</v>
      </c>
      <c r="CR49">
        <f>'2015_2020'!CP18</f>
        <v>-1.7600000000000001E-2</v>
      </c>
      <c r="CS49">
        <f>'2015_2020'!CQ18</f>
        <v>-4.41E-2</v>
      </c>
      <c r="CT49">
        <f>'2015_2020'!CR18</f>
        <v>-3.3599999999999998E-2</v>
      </c>
      <c r="CU49">
        <f>'2015_2020'!CS18</f>
        <v>-1.6299999999999999E-2</v>
      </c>
      <c r="CV49">
        <f>'2015_2020'!CT18</f>
        <v>2.6099999999999999E-3</v>
      </c>
      <c r="CW49">
        <f>'2015_2020'!CU18</f>
        <v>-2.92E-2</v>
      </c>
      <c r="CX49">
        <f>'2015_2020'!CV18</f>
        <v>1.4E-2</v>
      </c>
    </row>
    <row r="50" spans="1:102" x14ac:dyDescent="0.2">
      <c r="A50" t="s">
        <v>212</v>
      </c>
      <c r="B50" t="s">
        <v>219</v>
      </c>
      <c r="C50" t="s">
        <v>221</v>
      </c>
      <c r="D50">
        <f>'2015_2020'!B19</f>
        <v>3.5099999999999999E-2</v>
      </c>
      <c r="E50">
        <f>'2015_2020'!C19</f>
        <v>1.6199999999999999E-2</v>
      </c>
      <c r="F50">
        <f>'2015_2020'!D19</f>
        <v>-8.1700000000000002E-3</v>
      </c>
      <c r="G50">
        <f>'2015_2020'!E19</f>
        <v>2.2499999999999999E-2</v>
      </c>
      <c r="H50">
        <f>'2015_2020'!F19</f>
        <v>-1.72E-2</v>
      </c>
      <c r="I50">
        <f>'2015_2020'!G19</f>
        <v>3.7299999999999998E-3</v>
      </c>
      <c r="J50">
        <f>'2015_2020'!H19</f>
        <v>-6.2500000000000003E-3</v>
      </c>
      <c r="K50">
        <f>'2015_2020'!I19</f>
        <v>-6.2700000000000004E-3</v>
      </c>
      <c r="L50">
        <f>'2015_2020'!J19</f>
        <v>-1.7899999999999999E-3</v>
      </c>
      <c r="M50">
        <f>'2015_2020'!K19</f>
        <v>-1.1900000000000001E-2</v>
      </c>
      <c r="N50">
        <f>'2015_2020'!L19</f>
        <v>-1.32E-2</v>
      </c>
      <c r="O50">
        <f>'2015_2020'!M19</f>
        <v>-4.45E-3</v>
      </c>
      <c r="P50">
        <f>'2015_2020'!N19</f>
        <v>-6.4400000000000004E-3</v>
      </c>
      <c r="Q50">
        <f>'2015_2020'!O19</f>
        <v>-4.5500000000000002E-3</v>
      </c>
      <c r="R50">
        <f>'2015_2020'!P19</f>
        <v>-3.3700000000000002E-3</v>
      </c>
      <c r="S50">
        <f>'2015_2020'!Q19</f>
        <v>-2.8600000000000001E-3</v>
      </c>
      <c r="T50">
        <f>'2015_2020'!R19</f>
        <v>-1.7700000000000001E-3</v>
      </c>
      <c r="U50">
        <f>'2015_2020'!S19</f>
        <v>-1.5E-3</v>
      </c>
      <c r="V50">
        <f>'2015_2020'!T19</f>
        <v>1.3E-6</v>
      </c>
      <c r="W50">
        <f>'2015_2020'!U19</f>
        <v>-1.6899999999999999E-4</v>
      </c>
      <c r="X50">
        <f>'2015_2020'!V19</f>
        <v>2.87E-5</v>
      </c>
      <c r="Y50">
        <f>'2015_2020'!W19</f>
        <v>7.9600000000000005E-4</v>
      </c>
      <c r="Z50">
        <f>'2015_2020'!X19</f>
        <v>4.5100000000000001E-4</v>
      </c>
      <c r="AA50">
        <f>'2015_2020'!Y19</f>
        <v>6.7500000000000004E-4</v>
      </c>
      <c r="AB50">
        <f>'2015_2020'!Z19</f>
        <v>1.1199999999999999E-3</v>
      </c>
      <c r="AC50">
        <f>'2015_2020'!AA19</f>
        <v>1.0300000000000001E-3</v>
      </c>
      <c r="AD50">
        <f>'2015_2020'!AB19</f>
        <v>9.1500000000000001E-4</v>
      </c>
      <c r="AE50">
        <f>'2015_2020'!AC19</f>
        <v>6.5799999999999995E-4</v>
      </c>
      <c r="AF50">
        <f>'2015_2020'!AD19</f>
        <v>2.9599999999999998E-4</v>
      </c>
      <c r="AG50">
        <f>'2015_2020'!AE19</f>
        <v>-6.6E-4</v>
      </c>
      <c r="AH50">
        <f>'2015_2020'!AF19</f>
        <v>-8.1700000000000002E-4</v>
      </c>
      <c r="AI50">
        <f>'2015_2020'!AG19</f>
        <v>-5.31E-4</v>
      </c>
      <c r="AJ50">
        <f>'2015_2020'!AH19</f>
        <v>4.2499999999999998E-4</v>
      </c>
      <c r="AK50">
        <f>'2015_2020'!AI19</f>
        <v>4.35E-4</v>
      </c>
      <c r="AL50">
        <f>'2015_2020'!AJ19</f>
        <v>-1.02E-4</v>
      </c>
      <c r="AM50">
        <f>'2015_2020'!AK19</f>
        <v>-2.4499999999999999E-4</v>
      </c>
      <c r="AN50">
        <f>'2015_2020'!AL19</f>
        <v>-4.4299999999999998E-4</v>
      </c>
      <c r="AO50">
        <f>'2015_2020'!AM19</f>
        <v>-3.4900000000000003E-4</v>
      </c>
      <c r="AP50">
        <f>'2015_2020'!AN19</f>
        <v>-2.32E-4</v>
      </c>
      <c r="AQ50">
        <f>'2015_2020'!AO19</f>
        <v>2.34E-4</v>
      </c>
      <c r="AR50">
        <f>'2015_2020'!AP19</f>
        <v>4.26E-4</v>
      </c>
      <c r="AS50">
        <f>'2015_2020'!AQ19</f>
        <v>-1.3200000000000001E-5</v>
      </c>
      <c r="AT50">
        <f>'2015_2020'!AR19</f>
        <v>1.07E-4</v>
      </c>
      <c r="AU50">
        <f>'2015_2020'!AS19</f>
        <v>3.4200000000000002E-4</v>
      </c>
      <c r="AV50">
        <f>'2015_2020'!AT19</f>
        <v>-2.9500000000000001E-4</v>
      </c>
      <c r="AW50">
        <f>'2015_2020'!AU19</f>
        <v>8.7899999999999995E-5</v>
      </c>
      <c r="AX50">
        <f>'2015_2020'!AV19</f>
        <v>5.0000000000000001E-4</v>
      </c>
      <c r="AY50">
        <f>'2015_2020'!AW19</f>
        <v>5.1999999999999995E-4</v>
      </c>
      <c r="AZ50">
        <f>'2015_2020'!AX19</f>
        <v>3.9399999999999998E-4</v>
      </c>
      <c r="BA50">
        <f>'2015_2020'!AY19</f>
        <v>3.9300000000000001E-4</v>
      </c>
      <c r="BB50">
        <f>'2015_2020'!AZ19</f>
        <v>2.0699999999999999E-4</v>
      </c>
      <c r="BC50">
        <f>'2015_2020'!BA19</f>
        <v>4.6300000000000001E-5</v>
      </c>
      <c r="BD50">
        <f>'2015_2020'!BB19</f>
        <v>2.1699999999999999E-4</v>
      </c>
      <c r="BE50">
        <f>'2015_2020'!BC19</f>
        <v>1.01E-4</v>
      </c>
      <c r="BF50">
        <f>'2015_2020'!BD19</f>
        <v>-5.9900000000000003E-4</v>
      </c>
      <c r="BG50">
        <f>'2015_2020'!BE19</f>
        <v>-2.13E-4</v>
      </c>
      <c r="BH50">
        <f>'2015_2020'!BF19</f>
        <v>-1.85E-4</v>
      </c>
      <c r="BI50">
        <f>'2015_2020'!BG19</f>
        <v>-1.54E-4</v>
      </c>
      <c r="BJ50">
        <f>'2015_2020'!BH19</f>
        <v>-2.34E-4</v>
      </c>
      <c r="BK50">
        <f>'2015_2020'!BI19</f>
        <v>1.2400000000000001E-4</v>
      </c>
      <c r="BL50">
        <f>'2015_2020'!BJ19</f>
        <v>-1.3300000000000001E-4</v>
      </c>
      <c r="BM50">
        <f>'2015_2020'!BK19</f>
        <v>2.1100000000000001E-4</v>
      </c>
      <c r="BN50">
        <f>'2015_2020'!BL19</f>
        <v>4.3399999999999998E-4</v>
      </c>
      <c r="BO50">
        <f>'2015_2020'!BM19</f>
        <v>1.23E-3</v>
      </c>
      <c r="BP50">
        <f>'2015_2020'!BN19</f>
        <v>1.1199999999999999E-3</v>
      </c>
      <c r="BQ50">
        <f>'2015_2020'!BO19</f>
        <v>1.07E-3</v>
      </c>
      <c r="BR50">
        <f>'2015_2020'!BP19</f>
        <v>9.1500000000000001E-4</v>
      </c>
      <c r="BS50">
        <f>'2015_2020'!BQ19</f>
        <v>9.3000000000000005E-4</v>
      </c>
      <c r="BT50">
        <f>'2015_2020'!BR19</f>
        <v>1.9499999999999999E-3</v>
      </c>
      <c r="BU50">
        <f>'2015_2020'!BS19</f>
        <v>1.6999999999999999E-3</v>
      </c>
      <c r="BV50">
        <f>'2015_2020'!BT19</f>
        <v>-3.1599999999999998E-4</v>
      </c>
      <c r="BW50">
        <f>'2015_2020'!BU19</f>
        <v>2.4000000000000001E-4</v>
      </c>
      <c r="BX50">
        <f>'2015_2020'!BV19</f>
        <v>4.6299999999999998E-4</v>
      </c>
      <c r="BY50">
        <f>'2015_2020'!BW19</f>
        <v>2.5300000000000002E-4</v>
      </c>
      <c r="BZ50">
        <f>'2015_2020'!BX19</f>
        <v>3.6299999999999999E-4</v>
      </c>
      <c r="CA50">
        <f>'2015_2020'!BY19</f>
        <v>8.3500000000000002E-4</v>
      </c>
      <c r="CB50">
        <f>'2015_2020'!BZ19</f>
        <v>7.2300000000000001E-4</v>
      </c>
      <c r="CC50">
        <f>'2015_2020'!CA19</f>
        <v>5.6300000000000002E-4</v>
      </c>
      <c r="CD50">
        <f>'2015_2020'!CB19</f>
        <v>9.5199999999999997E-5</v>
      </c>
      <c r="CE50">
        <f>'2015_2020'!CC19</f>
        <v>1.89E-3</v>
      </c>
      <c r="CF50">
        <f>'2015_2020'!CD19</f>
        <v>2.4099999999999998E-3</v>
      </c>
      <c r="CG50">
        <f>'2015_2020'!CE19</f>
        <v>2.5799999999999998E-3</v>
      </c>
      <c r="CH50">
        <f>'2015_2020'!CF19</f>
        <v>1.17E-3</v>
      </c>
      <c r="CI50">
        <f>'2015_2020'!CG19</f>
        <v>-1.26E-6</v>
      </c>
      <c r="CJ50">
        <f>'2015_2020'!CH19</f>
        <v>-1.01E-3</v>
      </c>
      <c r="CK50">
        <f>'2015_2020'!CI19</f>
        <v>1.37E-4</v>
      </c>
      <c r="CL50">
        <f>'2015_2020'!CJ19</f>
        <v>-2.03E-4</v>
      </c>
      <c r="CM50">
        <f>'2015_2020'!CK19</f>
        <v>7.0299999999999996E-4</v>
      </c>
      <c r="CN50">
        <f>'2015_2020'!CL19</f>
        <v>6.4899999999999995E-4</v>
      </c>
      <c r="CO50">
        <f>'2015_2020'!CM19</f>
        <v>9.2400000000000002E-4</v>
      </c>
      <c r="CP50">
        <f>'2015_2020'!CN19</f>
        <v>-3.1900000000000003E-5</v>
      </c>
      <c r="CQ50">
        <f>'2015_2020'!CO19</f>
        <v>-3.1700000000000001E-4</v>
      </c>
      <c r="CR50">
        <f>'2015_2020'!CP19</f>
        <v>-1.07E-3</v>
      </c>
      <c r="CS50">
        <f>'2015_2020'!CQ19</f>
        <v>-3.15E-3</v>
      </c>
      <c r="CT50">
        <f>'2015_2020'!CR19</f>
        <v>-2.5300000000000001E-3</v>
      </c>
      <c r="CU50">
        <f>'2015_2020'!CS19</f>
        <v>-2.8800000000000002E-3</v>
      </c>
      <c r="CV50">
        <f>'2015_2020'!CT19</f>
        <v>-1.8799999999999999E-3</v>
      </c>
      <c r="CW50">
        <f>'2015_2020'!CU19</f>
        <v>-1.39E-3</v>
      </c>
      <c r="CX50">
        <f>'2015_2020'!CV19</f>
        <v>4.0099999999999997E-3</v>
      </c>
    </row>
    <row r="51" spans="1:102" x14ac:dyDescent="0.2">
      <c r="A51" t="s">
        <v>213</v>
      </c>
      <c r="B51" t="s">
        <v>219</v>
      </c>
      <c r="C51" t="s">
        <v>221</v>
      </c>
      <c r="D51">
        <f>'2015_2020'!B20</f>
        <v>-0.13900000000000001</v>
      </c>
      <c r="E51">
        <f>'2015_2020'!C20</f>
        <v>-0.126</v>
      </c>
      <c r="F51">
        <f>'2015_2020'!D20</f>
        <v>6.2300000000000003E-3</v>
      </c>
      <c r="G51">
        <f>'2015_2020'!E20</f>
        <v>-0.14799999999999999</v>
      </c>
      <c r="H51">
        <f>'2015_2020'!F20</f>
        <v>0.13</v>
      </c>
      <c r="I51">
        <f>'2015_2020'!G20</f>
        <v>-6.3399999999999998E-2</v>
      </c>
      <c r="J51">
        <f>'2015_2020'!H20</f>
        <v>5.21E-2</v>
      </c>
      <c r="K51">
        <f>'2015_2020'!I20</f>
        <v>4.2500000000000003E-2</v>
      </c>
      <c r="L51">
        <f>'2015_2020'!J20</f>
        <v>1.49E-2</v>
      </c>
      <c r="M51">
        <f>'2015_2020'!K20</f>
        <v>0.14099999999999999</v>
      </c>
      <c r="N51">
        <f>'2015_2020'!L20</f>
        <v>0.18099999999999999</v>
      </c>
      <c r="O51">
        <f>'2015_2020'!M20</f>
        <v>9.3200000000000005E-2</v>
      </c>
      <c r="P51">
        <f>'2015_2020'!N20</f>
        <v>0.14399999999999999</v>
      </c>
      <c r="Q51">
        <f>'2015_2020'!O20</f>
        <v>0.13800000000000001</v>
      </c>
      <c r="R51">
        <f>'2015_2020'!P20</f>
        <v>0.12</v>
      </c>
      <c r="S51">
        <f>'2015_2020'!Q20</f>
        <v>8.7800000000000003E-2</v>
      </c>
      <c r="T51">
        <f>'2015_2020'!R20</f>
        <v>6.6100000000000006E-2</v>
      </c>
      <c r="U51">
        <f>'2015_2020'!S20</f>
        <v>5.6899999999999999E-2</v>
      </c>
      <c r="V51">
        <f>'2015_2020'!T20</f>
        <v>4.3799999999999999E-2</v>
      </c>
      <c r="W51">
        <f>'2015_2020'!U20</f>
        <v>3.8600000000000002E-2</v>
      </c>
      <c r="X51">
        <f>'2015_2020'!V20</f>
        <v>3.4700000000000002E-2</v>
      </c>
      <c r="Y51">
        <f>'2015_2020'!W20</f>
        <v>2.23E-2</v>
      </c>
      <c r="Z51">
        <f>'2015_2020'!X20</f>
        <v>2.9000000000000001E-2</v>
      </c>
      <c r="AA51">
        <f>'2015_2020'!Y20</f>
        <v>3.6999999999999998E-2</v>
      </c>
      <c r="AB51">
        <f>'2015_2020'!Z20</f>
        <v>4.2999999999999997E-2</v>
      </c>
      <c r="AC51">
        <f>'2015_2020'!AA20</f>
        <v>4.4299999999999999E-2</v>
      </c>
      <c r="AD51">
        <f>'2015_2020'!AB20</f>
        <v>4.0300000000000002E-2</v>
      </c>
      <c r="AE51">
        <f>'2015_2020'!AC20</f>
        <v>4.1399999999999999E-2</v>
      </c>
      <c r="AF51">
        <f>'2015_2020'!AD20</f>
        <v>3.6700000000000003E-2</v>
      </c>
      <c r="AG51">
        <f>'2015_2020'!AE20</f>
        <v>3.1899999999999998E-2</v>
      </c>
      <c r="AH51">
        <f>'2015_2020'!AF20</f>
        <v>3.9699999999999999E-2</v>
      </c>
      <c r="AI51">
        <f>'2015_2020'!AG20</f>
        <v>3.2199999999999999E-2</v>
      </c>
      <c r="AJ51">
        <f>'2015_2020'!AH20</f>
        <v>2.5999999999999999E-2</v>
      </c>
      <c r="AK51">
        <f>'2015_2020'!AI20</f>
        <v>2.4799999999999999E-2</v>
      </c>
      <c r="AL51">
        <f>'2015_2020'!AJ20</f>
        <v>2.9000000000000001E-2</v>
      </c>
      <c r="AM51">
        <f>'2015_2020'!AK20</f>
        <v>2.4899999999999999E-2</v>
      </c>
      <c r="AN51">
        <f>'2015_2020'!AL20</f>
        <v>2.6200000000000001E-2</v>
      </c>
      <c r="AO51">
        <f>'2015_2020'!AM20</f>
        <v>3.0599999999999999E-2</v>
      </c>
      <c r="AP51">
        <f>'2015_2020'!AN20</f>
        <v>3.6400000000000002E-2</v>
      </c>
      <c r="AQ51">
        <f>'2015_2020'!AO20</f>
        <v>3.7900000000000003E-2</v>
      </c>
      <c r="AR51">
        <f>'2015_2020'!AP20</f>
        <v>3.4500000000000003E-2</v>
      </c>
      <c r="AS51">
        <f>'2015_2020'!AQ20</f>
        <v>2.7199999999999998E-2</v>
      </c>
      <c r="AT51">
        <f>'2015_2020'!AR20</f>
        <v>2.3900000000000001E-2</v>
      </c>
      <c r="AU51">
        <f>'2015_2020'!AS20</f>
        <v>2.2100000000000002E-2</v>
      </c>
      <c r="AV51">
        <f>'2015_2020'!AT20</f>
        <v>3.0599999999999999E-2</v>
      </c>
      <c r="AW51">
        <f>'2015_2020'!AU20</f>
        <v>3.0800000000000001E-2</v>
      </c>
      <c r="AX51">
        <f>'2015_2020'!AV20</f>
        <v>1.9900000000000001E-2</v>
      </c>
      <c r="AY51">
        <f>'2015_2020'!AW20</f>
        <v>0.02</v>
      </c>
      <c r="AZ51">
        <f>'2015_2020'!AX20</f>
        <v>2.23E-2</v>
      </c>
      <c r="BA51">
        <f>'2015_2020'!AY20</f>
        <v>2.52E-2</v>
      </c>
      <c r="BB51">
        <f>'2015_2020'!AZ20</f>
        <v>2.06E-2</v>
      </c>
      <c r="BC51">
        <f>'2015_2020'!BA20</f>
        <v>2.5700000000000001E-2</v>
      </c>
      <c r="BD51">
        <f>'2015_2020'!BB20</f>
        <v>2.18E-2</v>
      </c>
      <c r="BE51">
        <f>'2015_2020'!BC20</f>
        <v>2.3699999999999999E-2</v>
      </c>
      <c r="BF51">
        <f>'2015_2020'!BD20</f>
        <v>2.4E-2</v>
      </c>
      <c r="BG51">
        <f>'2015_2020'!BE20</f>
        <v>2.7199999999999998E-2</v>
      </c>
      <c r="BH51">
        <f>'2015_2020'!BF20</f>
        <v>3.0499999999999999E-2</v>
      </c>
      <c r="BI51">
        <f>'2015_2020'!BG20</f>
        <v>2.6599999999999999E-2</v>
      </c>
      <c r="BJ51">
        <f>'2015_2020'!BH20</f>
        <v>0.03</v>
      </c>
      <c r="BK51">
        <f>'2015_2020'!BI20</f>
        <v>2.46E-2</v>
      </c>
      <c r="BL51">
        <f>'2015_2020'!BJ20</f>
        <v>2.3099999999999999E-2</v>
      </c>
      <c r="BM51">
        <f>'2015_2020'!BK20</f>
        <v>2.0899999999999998E-2</v>
      </c>
      <c r="BN51">
        <f>'2015_2020'!BL20</f>
        <v>1.8100000000000002E-2</v>
      </c>
      <c r="BO51">
        <f>'2015_2020'!BM20</f>
        <v>1.5299999999999999E-2</v>
      </c>
      <c r="BP51">
        <f>'2015_2020'!BN20</f>
        <v>9.7800000000000005E-3</v>
      </c>
      <c r="BQ51">
        <f>'2015_2020'!BO20</f>
        <v>1.4E-2</v>
      </c>
      <c r="BR51">
        <f>'2015_2020'!BP20</f>
        <v>1.9900000000000001E-2</v>
      </c>
      <c r="BS51">
        <f>'2015_2020'!BQ20</f>
        <v>2.4799999999999999E-2</v>
      </c>
      <c r="BT51">
        <f>'2015_2020'!BR20</f>
        <v>2.9899999999999999E-2</v>
      </c>
      <c r="BU51">
        <f>'2015_2020'!BS20</f>
        <v>3.32E-2</v>
      </c>
      <c r="BV51">
        <f>'2015_2020'!BT20</f>
        <v>3.5299999999999998E-2</v>
      </c>
      <c r="BW51">
        <f>'2015_2020'!BU20</f>
        <v>3.6600000000000001E-2</v>
      </c>
      <c r="BX51">
        <f>'2015_2020'!BV20</f>
        <v>2.7099999999999999E-2</v>
      </c>
      <c r="BY51">
        <f>'2015_2020'!BW20</f>
        <v>3.9199999999999999E-2</v>
      </c>
      <c r="BZ51">
        <f>'2015_2020'!BX20</f>
        <v>4.0500000000000001E-2</v>
      </c>
      <c r="CA51">
        <f>'2015_2020'!BY20</f>
        <v>3.3300000000000003E-2</v>
      </c>
      <c r="CB51">
        <f>'2015_2020'!BZ20</f>
        <v>2.3599999999999999E-2</v>
      </c>
      <c r="CC51">
        <f>'2015_2020'!CA20</f>
        <v>3.49E-2</v>
      </c>
      <c r="CD51">
        <f>'2015_2020'!CB20</f>
        <v>1.9699999999999999E-2</v>
      </c>
      <c r="CE51">
        <f>'2015_2020'!CC20</f>
        <v>2.06E-2</v>
      </c>
      <c r="CF51">
        <f>'2015_2020'!CD20</f>
        <v>2.41E-2</v>
      </c>
      <c r="CG51">
        <f>'2015_2020'!CE20</f>
        <v>2.5999999999999999E-2</v>
      </c>
      <c r="CH51">
        <f>'2015_2020'!CF20</f>
        <v>2.01E-2</v>
      </c>
      <c r="CI51">
        <f>'2015_2020'!CG20</f>
        <v>2.4899999999999999E-2</v>
      </c>
      <c r="CJ51">
        <f>'2015_2020'!CH20</f>
        <v>1.4E-2</v>
      </c>
      <c r="CK51">
        <f>'2015_2020'!CI20</f>
        <v>6.1599999999999997E-3</v>
      </c>
      <c r="CL51">
        <f>'2015_2020'!CJ20</f>
        <v>2.31E-3</v>
      </c>
      <c r="CM51">
        <f>'2015_2020'!CK20</f>
        <v>1.6500000000000001E-2</v>
      </c>
      <c r="CN51">
        <f>'2015_2020'!CL20</f>
        <v>1.9699999999999999E-2</v>
      </c>
      <c r="CO51">
        <f>'2015_2020'!CM20</f>
        <v>7.6899999999999998E-3</v>
      </c>
      <c r="CP51">
        <f>'2015_2020'!CN20</f>
        <v>1.8200000000000001E-2</v>
      </c>
      <c r="CQ51">
        <f>'2015_2020'!CO20</f>
        <v>9.8200000000000006E-3</v>
      </c>
      <c r="CR51">
        <f>'2015_2020'!CP20</f>
        <v>1.38E-2</v>
      </c>
      <c r="CS51">
        <f>'2015_2020'!CQ20</f>
        <v>2.63E-2</v>
      </c>
      <c r="CT51">
        <f>'2015_2020'!CR20</f>
        <v>1.9900000000000001E-2</v>
      </c>
      <c r="CU51">
        <f>'2015_2020'!CS20</f>
        <v>1.5299999999999999E-2</v>
      </c>
      <c r="CV51">
        <f>'2015_2020'!CT20</f>
        <v>-6.6499999999999997E-3</v>
      </c>
      <c r="CW51">
        <f>'2015_2020'!CU20</f>
        <v>1.6199999999999999E-2</v>
      </c>
      <c r="CX51">
        <f>'2015_2020'!CV20</f>
        <v>1.52E-2</v>
      </c>
    </row>
    <row r="52" spans="1:102" x14ac:dyDescent="0.2">
      <c r="A52" t="s">
        <v>214</v>
      </c>
      <c r="B52" t="s">
        <v>219</v>
      </c>
      <c r="C52" t="s">
        <v>221</v>
      </c>
      <c r="D52">
        <f>'2015_2020'!B21</f>
        <v>3.6400000000000002E-2</v>
      </c>
      <c r="E52">
        <f>'2015_2020'!C21</f>
        <v>4.3700000000000003E-2</v>
      </c>
      <c r="F52">
        <f>'2015_2020'!D21</f>
        <v>2.6499999999999999E-2</v>
      </c>
      <c r="G52">
        <f>'2015_2020'!E21</f>
        <v>1.3899999999999999E-2</v>
      </c>
      <c r="H52">
        <f>'2015_2020'!F21</f>
        <v>4.0099999999999997E-2</v>
      </c>
      <c r="I52">
        <f>'2015_2020'!G21</f>
        <v>3.4099999999999998E-2</v>
      </c>
      <c r="J52">
        <f>'2015_2020'!H21</f>
        <v>2.7400000000000001E-2</v>
      </c>
      <c r="K52">
        <f>'2015_2020'!I21</f>
        <v>2.24E-2</v>
      </c>
      <c r="L52">
        <f>'2015_2020'!J21</f>
        <v>1.72E-2</v>
      </c>
      <c r="M52">
        <f>'2015_2020'!K21</f>
        <v>1.5699999999999999E-2</v>
      </c>
      <c r="N52">
        <f>'2015_2020'!L21</f>
        <v>1.2E-2</v>
      </c>
      <c r="O52">
        <f>'2015_2020'!M21</f>
        <v>1.2899999999999999E-3</v>
      </c>
      <c r="P52">
        <f>'2015_2020'!N21</f>
        <v>1.5800000000000002E-2</v>
      </c>
      <c r="Q52">
        <f>'2015_2020'!O21</f>
        <v>1.3500000000000001E-3</v>
      </c>
      <c r="R52">
        <f>'2015_2020'!P21</f>
        <v>-2.7599999999999999E-3</v>
      </c>
      <c r="S52">
        <f>'2015_2020'!Q21</f>
        <v>-1.25E-4</v>
      </c>
      <c r="T52">
        <f>'2015_2020'!R21</f>
        <v>-1.91E-3</v>
      </c>
      <c r="U52">
        <f>'2015_2020'!S21</f>
        <v>1.47E-3</v>
      </c>
      <c r="V52">
        <f>'2015_2020'!T21</f>
        <v>-2.4599999999999999E-3</v>
      </c>
      <c r="W52">
        <f>'2015_2020'!U21</f>
        <v>-3.8999999999999998E-3</v>
      </c>
      <c r="X52">
        <f>'2015_2020'!V21</f>
        <v>-3.98E-3</v>
      </c>
      <c r="Y52">
        <f>'2015_2020'!W21</f>
        <v>-5.3200000000000001E-3</v>
      </c>
      <c r="Z52">
        <f>'2015_2020'!X21</f>
        <v>-7.8300000000000002E-3</v>
      </c>
      <c r="AA52">
        <f>'2015_2020'!Y21</f>
        <v>-9.0799999999999995E-3</v>
      </c>
      <c r="AB52">
        <f>'2015_2020'!Z21</f>
        <v>2.1099999999999999E-3</v>
      </c>
      <c r="AC52">
        <f>'2015_2020'!AA21</f>
        <v>-3.4099999999999998E-3</v>
      </c>
      <c r="AD52">
        <f>'2015_2020'!AB21</f>
        <v>-3.3700000000000002E-3</v>
      </c>
      <c r="AE52">
        <f>'2015_2020'!AC21</f>
        <v>-5.7600000000000004E-3</v>
      </c>
      <c r="AF52">
        <f>'2015_2020'!AD21</f>
        <v>4.2900000000000004E-3</v>
      </c>
      <c r="AG52">
        <f>'2015_2020'!AE21</f>
        <v>-1.42E-3</v>
      </c>
      <c r="AH52">
        <f>'2015_2020'!AF21</f>
        <v>-3.1E-4</v>
      </c>
      <c r="AI52">
        <f>'2015_2020'!AG21</f>
        <v>-8.1599999999999999E-4</v>
      </c>
      <c r="AJ52">
        <f>'2015_2020'!AH21</f>
        <v>1.9799999999999999E-4</v>
      </c>
      <c r="AK52">
        <f>'2015_2020'!AI21</f>
        <v>-3.6600000000000002E-5</v>
      </c>
      <c r="AL52">
        <f>'2015_2020'!AJ21</f>
        <v>1.83E-4</v>
      </c>
      <c r="AM52">
        <f>'2015_2020'!AK21</f>
        <v>-4.0699999999999998E-3</v>
      </c>
      <c r="AN52">
        <f>'2015_2020'!AL21</f>
        <v>-2.1199999999999999E-3</v>
      </c>
      <c r="AO52">
        <f>'2015_2020'!AM21</f>
        <v>-4.47E-3</v>
      </c>
      <c r="AP52">
        <f>'2015_2020'!AN21</f>
        <v>3.7499999999999999E-3</v>
      </c>
      <c r="AQ52">
        <f>'2015_2020'!AO21</f>
        <v>4.4700000000000002E-4</v>
      </c>
      <c r="AR52">
        <f>'2015_2020'!AP21</f>
        <v>6.6800000000000002E-3</v>
      </c>
      <c r="AS52">
        <f>'2015_2020'!AQ21</f>
        <v>-3.47E-3</v>
      </c>
      <c r="AT52">
        <f>'2015_2020'!AR21</f>
        <v>-2.98E-3</v>
      </c>
      <c r="AU52">
        <f>'2015_2020'!AS21</f>
        <v>-3.7499999999999999E-3</v>
      </c>
      <c r="AV52">
        <f>'2015_2020'!AT21</f>
        <v>6.4200000000000004E-3</v>
      </c>
      <c r="AW52">
        <f>'2015_2020'!AU21</f>
        <v>6.0999999999999997E-4</v>
      </c>
      <c r="AX52">
        <f>'2015_2020'!AV21</f>
        <v>3.2399999999999998E-3</v>
      </c>
      <c r="AY52">
        <f>'2015_2020'!AW21</f>
        <v>3.86E-4</v>
      </c>
      <c r="AZ52">
        <f>'2015_2020'!AX21</f>
        <v>2.3999999999999998E-3</v>
      </c>
      <c r="BA52">
        <f>'2015_2020'!AY21</f>
        <v>1.9499999999999999E-3</v>
      </c>
      <c r="BB52">
        <f>'2015_2020'!AZ21</f>
        <v>1.49E-3</v>
      </c>
      <c r="BC52">
        <f>'2015_2020'!BA21</f>
        <v>-7.4600000000000003E-4</v>
      </c>
      <c r="BD52">
        <f>'2015_2020'!BB21</f>
        <v>5.4500000000000002E-4</v>
      </c>
      <c r="BE52">
        <f>'2015_2020'!BC21</f>
        <v>-4.1399999999999996E-3</v>
      </c>
      <c r="BF52">
        <f>'2015_2020'!BD21</f>
        <v>3.5699999999999998E-3</v>
      </c>
      <c r="BG52">
        <f>'2015_2020'!BE21</f>
        <v>5.2499999999999997E-4</v>
      </c>
      <c r="BH52">
        <f>'2015_2020'!BF21</f>
        <v>3.6700000000000001E-3</v>
      </c>
      <c r="BI52">
        <f>'2015_2020'!BG21</f>
        <v>2.3600000000000001E-3</v>
      </c>
      <c r="BJ52">
        <f>'2015_2020'!BH21</f>
        <v>6.2500000000000003E-3</v>
      </c>
      <c r="BK52">
        <f>'2015_2020'!BI21</f>
        <v>8.0000000000000004E-4</v>
      </c>
      <c r="BL52">
        <f>'2015_2020'!BJ21</f>
        <v>2.8600000000000001E-3</v>
      </c>
      <c r="BM52">
        <f>'2015_2020'!BK21</f>
        <v>9.6500000000000004E-4</v>
      </c>
      <c r="BN52">
        <f>'2015_2020'!BL21</f>
        <v>1.7700000000000001E-3</v>
      </c>
      <c r="BO52">
        <f>'2015_2020'!BM21</f>
        <v>2.4199999999999998E-3</v>
      </c>
      <c r="BP52">
        <f>'2015_2020'!BN21</f>
        <v>3.7699999999999999E-3</v>
      </c>
      <c r="BQ52">
        <f>'2015_2020'!BO21</f>
        <v>-4.0699999999999998E-3</v>
      </c>
      <c r="BR52">
        <f>'2015_2020'!BP21</f>
        <v>-9.8399999999999998E-3</v>
      </c>
      <c r="BS52">
        <f>'2015_2020'!BQ21</f>
        <v>5.1400000000000003E-4</v>
      </c>
      <c r="BT52">
        <f>'2015_2020'!BR21</f>
        <v>2.3999999999999998E-3</v>
      </c>
      <c r="BU52">
        <f>'2015_2020'!BS21</f>
        <v>6.1900000000000002E-3</v>
      </c>
      <c r="BV52">
        <f>'2015_2020'!BT21</f>
        <v>3.3999999999999998E-3</v>
      </c>
      <c r="BW52">
        <f>'2015_2020'!BU21</f>
        <v>5.0499999999999998E-3</v>
      </c>
      <c r="BX52">
        <f>'2015_2020'!BV21</f>
        <v>6.6299999999999996E-3</v>
      </c>
      <c r="BY52">
        <f>'2015_2020'!BW21</f>
        <v>6.1000000000000004E-3</v>
      </c>
      <c r="BZ52">
        <f>'2015_2020'!BX21</f>
        <v>1.3999999999999999E-4</v>
      </c>
      <c r="CA52">
        <f>'2015_2020'!BY21</f>
        <v>8.1399999999999997E-3</v>
      </c>
      <c r="CB52">
        <f>'2015_2020'!BZ21</f>
        <v>-3.0300000000000001E-3</v>
      </c>
      <c r="CC52">
        <f>'2015_2020'!CA21</f>
        <v>-5.4900000000000001E-3</v>
      </c>
      <c r="CD52">
        <f>'2015_2020'!CB21</f>
        <v>1.03E-2</v>
      </c>
      <c r="CE52">
        <f>'2015_2020'!CC21</f>
        <v>1.34E-2</v>
      </c>
      <c r="CF52">
        <f>'2015_2020'!CD21</f>
        <v>-4.8999999999999998E-4</v>
      </c>
      <c r="CG52">
        <f>'2015_2020'!CE21</f>
        <v>1.14E-2</v>
      </c>
      <c r="CH52">
        <f>'2015_2020'!CF21</f>
        <v>4.2199999999999998E-3</v>
      </c>
      <c r="CI52">
        <f>'2015_2020'!CG21</f>
        <v>1.3100000000000001E-2</v>
      </c>
      <c r="CJ52">
        <f>'2015_2020'!CH21</f>
        <v>1.01E-2</v>
      </c>
      <c r="CK52">
        <f>'2015_2020'!CI21</f>
        <v>1.1299999999999999E-2</v>
      </c>
      <c r="CL52">
        <f>'2015_2020'!CJ21</f>
        <v>2.0999999999999999E-3</v>
      </c>
      <c r="CM52">
        <f>'2015_2020'!CK21</f>
        <v>1.77E-2</v>
      </c>
      <c r="CN52">
        <f>'2015_2020'!CL21</f>
        <v>1.14E-2</v>
      </c>
      <c r="CO52">
        <f>'2015_2020'!CM21</f>
        <v>1.5900000000000001E-2</v>
      </c>
      <c r="CP52">
        <f>'2015_2020'!CN21</f>
        <v>1.03E-2</v>
      </c>
      <c r="CQ52">
        <f>'2015_2020'!CO21</f>
        <v>2.0799999999999999E-2</v>
      </c>
      <c r="CR52">
        <f>'2015_2020'!CP21</f>
        <v>1.6899999999999998E-2</v>
      </c>
      <c r="CS52">
        <f>'2015_2020'!CQ21</f>
        <v>1.2500000000000001E-2</v>
      </c>
      <c r="CT52">
        <f>'2015_2020'!CR21</f>
        <v>2.9499999999999998E-2</v>
      </c>
      <c r="CU52">
        <f>'2015_2020'!CS21</f>
        <v>3.8199999999999998E-2</v>
      </c>
      <c r="CV52">
        <f>'2015_2020'!CT21</f>
        <v>3.15E-2</v>
      </c>
      <c r="CW52">
        <f>'2015_2020'!CU21</f>
        <v>3.9199999999999999E-2</v>
      </c>
      <c r="CX52">
        <f>'2015_2020'!CV21</f>
        <v>2.9000000000000001E-2</v>
      </c>
    </row>
    <row r="53" spans="1:102" x14ac:dyDescent="0.2">
      <c r="A53" t="s">
        <v>215</v>
      </c>
      <c r="B53" t="s">
        <v>219</v>
      </c>
      <c r="C53" t="s">
        <v>221</v>
      </c>
      <c r="D53">
        <f>'2015_2020'!B22</f>
        <v>-1.24E-2</v>
      </c>
      <c r="E53">
        <f>'2015_2020'!C22</f>
        <v>-0.113</v>
      </c>
      <c r="F53">
        <f>'2015_2020'!D22</f>
        <v>-6.3700000000000007E-2</v>
      </c>
      <c r="G53">
        <f>'2015_2020'!E22</f>
        <v>-2.6100000000000002E-2</v>
      </c>
      <c r="H53">
        <f>'2015_2020'!F22</f>
        <v>3.2199999999999999E-2</v>
      </c>
      <c r="I53">
        <f>'2015_2020'!G22</f>
        <v>4.1700000000000001E-2</v>
      </c>
      <c r="J53">
        <f>'2015_2020'!H22</f>
        <v>4.07E-2</v>
      </c>
      <c r="K53">
        <f>'2015_2020'!I22</f>
        <v>1.23E-2</v>
      </c>
      <c r="L53">
        <f>'2015_2020'!J22</f>
        <v>1.3599999999999999E-2</v>
      </c>
      <c r="M53">
        <f>'2015_2020'!K22</f>
        <v>1.15E-2</v>
      </c>
      <c r="N53">
        <f>'2015_2020'!L22</f>
        <v>2.6599999999999999E-2</v>
      </c>
      <c r="O53">
        <f>'2015_2020'!M22</f>
        <v>1.5100000000000001E-2</v>
      </c>
      <c r="P53">
        <f>'2015_2020'!N22</f>
        <v>2.4E-2</v>
      </c>
      <c r="Q53">
        <f>'2015_2020'!O22</f>
        <v>2.0299999999999999E-2</v>
      </c>
      <c r="R53">
        <f>'2015_2020'!P22</f>
        <v>2.2499999999999999E-2</v>
      </c>
      <c r="S53">
        <f>'2015_2020'!Q22</f>
        <v>1.9599999999999999E-2</v>
      </c>
      <c r="T53">
        <f>'2015_2020'!R22</f>
        <v>1.9599999999999999E-2</v>
      </c>
      <c r="U53">
        <f>'2015_2020'!S22</f>
        <v>1.66E-2</v>
      </c>
      <c r="V53">
        <f>'2015_2020'!T22</f>
        <v>1.8100000000000002E-2</v>
      </c>
      <c r="W53">
        <f>'2015_2020'!U22</f>
        <v>1.7000000000000001E-2</v>
      </c>
      <c r="X53">
        <f>'2015_2020'!V22</f>
        <v>1.2500000000000001E-2</v>
      </c>
      <c r="Y53">
        <f>'2015_2020'!W22</f>
        <v>1.2699999999999999E-2</v>
      </c>
      <c r="Z53">
        <f>'2015_2020'!X22</f>
        <v>1.23E-2</v>
      </c>
      <c r="AA53">
        <f>'2015_2020'!Y22</f>
        <v>1.18E-2</v>
      </c>
      <c r="AB53">
        <f>'2015_2020'!Z22</f>
        <v>1.3299999999999999E-2</v>
      </c>
      <c r="AC53">
        <f>'2015_2020'!AA22</f>
        <v>1.2999999999999999E-2</v>
      </c>
      <c r="AD53">
        <f>'2015_2020'!AB22</f>
        <v>1.43E-2</v>
      </c>
      <c r="AE53">
        <f>'2015_2020'!AC22</f>
        <v>1.4200000000000001E-2</v>
      </c>
      <c r="AF53">
        <f>'2015_2020'!AD22</f>
        <v>1.35E-2</v>
      </c>
      <c r="AG53">
        <f>'2015_2020'!AE22</f>
        <v>1.4E-2</v>
      </c>
      <c r="AH53">
        <f>'2015_2020'!AF22</f>
        <v>1.7299999999999999E-2</v>
      </c>
      <c r="AI53">
        <f>'2015_2020'!AG22</f>
        <v>1.77E-2</v>
      </c>
      <c r="AJ53">
        <f>'2015_2020'!AH22</f>
        <v>1.23E-2</v>
      </c>
      <c r="AK53">
        <f>'2015_2020'!AI22</f>
        <v>1.64E-3</v>
      </c>
      <c r="AL53">
        <f>'2015_2020'!AJ22</f>
        <v>3.47E-3</v>
      </c>
      <c r="AM53">
        <f>'2015_2020'!AK22</f>
        <v>3.3300000000000001E-3</v>
      </c>
      <c r="AN53">
        <f>'2015_2020'!AL22</f>
        <v>2.9199999999999999E-3</v>
      </c>
      <c r="AO53">
        <f>'2015_2020'!AM22</f>
        <v>4.7600000000000003E-3</v>
      </c>
      <c r="AP53">
        <f>'2015_2020'!AN22</f>
        <v>-3.0699999999999998E-3</v>
      </c>
      <c r="AQ53">
        <f>'2015_2020'!AO22</f>
        <v>-1.6800000000000001E-3</v>
      </c>
      <c r="AR53">
        <f>'2015_2020'!AP22</f>
        <v>2.16E-3</v>
      </c>
      <c r="AS53">
        <f>'2015_2020'!AQ22</f>
        <v>2.7799999999999999E-3</v>
      </c>
      <c r="AT53">
        <f>'2015_2020'!AR22</f>
        <v>3.1099999999999999E-3</v>
      </c>
      <c r="AU53">
        <f>'2015_2020'!AS22</f>
        <v>3.6800000000000001E-3</v>
      </c>
      <c r="AV53">
        <f>'2015_2020'!AT22</f>
        <v>6.2100000000000002E-3</v>
      </c>
      <c r="AW53">
        <f>'2015_2020'!AU22</f>
        <v>6.8100000000000001E-3</v>
      </c>
      <c r="AX53">
        <f>'2015_2020'!AV22</f>
        <v>6.6E-3</v>
      </c>
      <c r="AY53">
        <f>'2015_2020'!AW22</f>
        <v>6.4999999999999997E-3</v>
      </c>
      <c r="AZ53">
        <f>'2015_2020'!AX22</f>
        <v>9.0100000000000006E-3</v>
      </c>
      <c r="BA53">
        <f>'2015_2020'!AY22</f>
        <v>1.24E-2</v>
      </c>
      <c r="BB53">
        <f>'2015_2020'!AZ22</f>
        <v>1.17E-2</v>
      </c>
      <c r="BC53">
        <f>'2015_2020'!BA22</f>
        <v>1.2699999999999999E-2</v>
      </c>
      <c r="BD53">
        <f>'2015_2020'!BB22</f>
        <v>1.6199999999999999E-2</v>
      </c>
      <c r="BE53">
        <f>'2015_2020'!BC22</f>
        <v>1.37E-2</v>
      </c>
      <c r="BF53">
        <f>'2015_2020'!BD22</f>
        <v>1.66E-2</v>
      </c>
      <c r="BG53">
        <f>'2015_2020'!BE22</f>
        <v>1.8599999999999998E-2</v>
      </c>
      <c r="BH53">
        <f>'2015_2020'!BF22</f>
        <v>2.1399999999999999E-2</v>
      </c>
      <c r="BI53">
        <f>'2015_2020'!BG22</f>
        <v>-1.0200000000000001E-2</v>
      </c>
      <c r="BJ53">
        <f>'2015_2020'!BH22</f>
        <v>-1.61E-2</v>
      </c>
      <c r="BK53">
        <f>'2015_2020'!BI22</f>
        <v>-1.5100000000000001E-2</v>
      </c>
      <c r="BL53">
        <f>'2015_2020'!BJ22</f>
        <v>-1.21E-2</v>
      </c>
      <c r="BM53">
        <f>'2015_2020'!BK22</f>
        <v>-2.1299999999999999E-2</v>
      </c>
      <c r="BN53">
        <f>'2015_2020'!BL22</f>
        <v>-2.4400000000000002E-2</v>
      </c>
      <c r="BO53">
        <f>'2015_2020'!BM22</f>
        <v>-2.4400000000000002E-2</v>
      </c>
      <c r="BP53">
        <f>'2015_2020'!BN22</f>
        <v>-2.0899999999999998E-2</v>
      </c>
      <c r="BQ53">
        <f>'2015_2020'!BO22</f>
        <v>-2.0899999999999998E-2</v>
      </c>
      <c r="BR53">
        <f>'2015_2020'!BP22</f>
        <v>-2.0500000000000001E-2</v>
      </c>
      <c r="BS53">
        <f>'2015_2020'!BQ22</f>
        <v>-1.55E-2</v>
      </c>
      <c r="BT53">
        <f>'2015_2020'!BR22</f>
        <v>-1.7299999999999999E-2</v>
      </c>
      <c r="BU53">
        <f>'2015_2020'!BS22</f>
        <v>-1.7100000000000001E-2</v>
      </c>
      <c r="BV53">
        <f>'2015_2020'!BT22</f>
        <v>-1.8499999999999999E-2</v>
      </c>
      <c r="BW53">
        <f>'2015_2020'!BU22</f>
        <v>-2.0500000000000001E-2</v>
      </c>
      <c r="BX53">
        <f>'2015_2020'!BV22</f>
        <v>-2.1899999999999999E-2</v>
      </c>
      <c r="BY53">
        <f>'2015_2020'!BW22</f>
        <v>-2.0899999999999998E-2</v>
      </c>
      <c r="BZ53">
        <f>'2015_2020'!BX22</f>
        <v>-1.7899999999999999E-2</v>
      </c>
      <c r="CA53">
        <f>'2015_2020'!BY22</f>
        <v>-3.0500000000000002E-3</v>
      </c>
      <c r="CB53">
        <f>'2015_2020'!BZ22</f>
        <v>-7.6100000000000007E-5</v>
      </c>
      <c r="CC53">
        <f>'2015_2020'!CA22</f>
        <v>1.5900000000000001E-3</v>
      </c>
      <c r="CD53">
        <f>'2015_2020'!CB22</f>
        <v>-5.9899999999999997E-3</v>
      </c>
      <c r="CE53">
        <f>'2015_2020'!CC22</f>
        <v>-4.7999999999999996E-3</v>
      </c>
      <c r="CF53">
        <f>'2015_2020'!CD22</f>
        <v>-2.7299999999999998E-3</v>
      </c>
      <c r="CG53">
        <f>'2015_2020'!CE22</f>
        <v>-2.0200000000000001E-3</v>
      </c>
      <c r="CH53">
        <f>'2015_2020'!CF22</f>
        <v>5.9100000000000005E-4</v>
      </c>
      <c r="CI53">
        <f>'2015_2020'!CG22</f>
        <v>2.98E-3</v>
      </c>
      <c r="CJ53">
        <f>'2015_2020'!CH22</f>
        <v>-1.4999999999999999E-2</v>
      </c>
      <c r="CK53">
        <f>'2015_2020'!CI22</f>
        <v>-8.0800000000000004E-3</v>
      </c>
      <c r="CL53">
        <f>'2015_2020'!CJ22</f>
        <v>-3.2499999999999999E-3</v>
      </c>
      <c r="CM53">
        <f>'2015_2020'!CK22</f>
        <v>-2.2599999999999999E-3</v>
      </c>
      <c r="CN53">
        <f>'2015_2020'!CL22</f>
        <v>-6.4900000000000005E-5</v>
      </c>
      <c r="CO53">
        <f>'2015_2020'!CM22</f>
        <v>5.3800000000000002E-3</v>
      </c>
      <c r="CP53">
        <f>'2015_2020'!CN22</f>
        <v>6.6499999999999997E-3</v>
      </c>
      <c r="CQ53">
        <f>'2015_2020'!CO22</f>
        <v>9.7400000000000004E-3</v>
      </c>
      <c r="CR53">
        <f>'2015_2020'!CP22</f>
        <v>1.78E-2</v>
      </c>
      <c r="CS53">
        <f>'2015_2020'!CQ22</f>
        <v>1.83E-2</v>
      </c>
      <c r="CT53">
        <f>'2015_2020'!CR22</f>
        <v>-7.3800000000000004E-2</v>
      </c>
      <c r="CU53">
        <f>'2015_2020'!CS22</f>
        <v>-7.9000000000000001E-2</v>
      </c>
      <c r="CV53">
        <f>'2015_2020'!CT22</f>
        <v>-6.6299999999999998E-2</v>
      </c>
      <c r="CW53">
        <f>'2015_2020'!CU22</f>
        <v>-7.6499999999999999E-2</v>
      </c>
      <c r="CX53">
        <f>'2015_2020'!CV22</f>
        <v>-7.5999999999999998E-2</v>
      </c>
    </row>
    <row r="54" spans="1:102" x14ac:dyDescent="0.2">
      <c r="A54" t="s">
        <v>216</v>
      </c>
      <c r="B54" t="s">
        <v>219</v>
      </c>
      <c r="C54" t="s">
        <v>221</v>
      </c>
      <c r="D54">
        <f>'2015_2020'!B23</f>
        <v>0.45200000000000001</v>
      </c>
      <c r="E54">
        <f>'2015_2020'!C23</f>
        <v>-0.14199999999999999</v>
      </c>
      <c r="F54">
        <f>'2015_2020'!D23</f>
        <v>-0.92800000000000005</v>
      </c>
      <c r="G54">
        <f>'2015_2020'!E23</f>
        <v>3.7900000000000003E-2</v>
      </c>
      <c r="H54">
        <f>'2015_2020'!F23</f>
        <v>-1.458</v>
      </c>
      <c r="I54">
        <f>'2015_2020'!G23</f>
        <v>-0.435</v>
      </c>
      <c r="J54">
        <f>'2015_2020'!H23</f>
        <v>-0.97</v>
      </c>
      <c r="K54">
        <f>'2015_2020'!I23</f>
        <v>-0.75600000000000001</v>
      </c>
      <c r="L54">
        <f>'2015_2020'!J23</f>
        <v>-0.53400000000000003</v>
      </c>
      <c r="M54">
        <f>'2015_2020'!K23</f>
        <v>-0.97699999999999998</v>
      </c>
      <c r="N54">
        <f>'2015_2020'!L23</f>
        <v>-1.0129999999999999</v>
      </c>
      <c r="O54">
        <f>'2015_2020'!M23</f>
        <v>-0.53200000000000003</v>
      </c>
      <c r="P54">
        <f>'2015_2020'!N23</f>
        <v>-0.71199999999999997</v>
      </c>
      <c r="Q54">
        <f>'2015_2020'!O23</f>
        <v>-0.60199999999999998</v>
      </c>
      <c r="R54">
        <f>'2015_2020'!P23</f>
        <v>-0.46600000000000003</v>
      </c>
      <c r="S54">
        <f>'2015_2020'!Q23</f>
        <v>-0.378</v>
      </c>
      <c r="T54">
        <f>'2015_2020'!R23</f>
        <v>-0.26500000000000001</v>
      </c>
      <c r="U54">
        <f>'2015_2020'!S23</f>
        <v>-0.222</v>
      </c>
      <c r="V54">
        <f>'2015_2020'!T23</f>
        <v>-0.124</v>
      </c>
      <c r="W54">
        <f>'2015_2020'!U23</f>
        <v>-0.115</v>
      </c>
      <c r="X54">
        <f>'2015_2020'!V23</f>
        <v>-0.13200000000000001</v>
      </c>
      <c r="Y54">
        <f>'2015_2020'!W23</f>
        <v>-6.0299999999999999E-2</v>
      </c>
      <c r="Z54">
        <f>'2015_2020'!X23</f>
        <v>-9.2499999999999999E-2</v>
      </c>
      <c r="AA54">
        <f>'2015_2020'!Y23</f>
        <v>-0.13700000000000001</v>
      </c>
      <c r="AB54">
        <f>'2015_2020'!Z23</f>
        <v>-0.14899999999999999</v>
      </c>
      <c r="AC54">
        <f>'2015_2020'!AA23</f>
        <v>-0.13400000000000001</v>
      </c>
      <c r="AD54">
        <f>'2015_2020'!AB23</f>
        <v>-0.111</v>
      </c>
      <c r="AE54">
        <f>'2015_2020'!AC23</f>
        <v>-0.115</v>
      </c>
      <c r="AF54">
        <f>'2015_2020'!AD23</f>
        <v>-0.109</v>
      </c>
      <c r="AG54">
        <f>'2015_2020'!AE23</f>
        <v>-9.98E-2</v>
      </c>
      <c r="AH54">
        <f>'2015_2020'!AF23</f>
        <v>-0.122</v>
      </c>
      <c r="AI54">
        <f>'2015_2020'!AG23</f>
        <v>-0.123</v>
      </c>
      <c r="AJ54">
        <f>'2015_2020'!AH23</f>
        <v>-0.12</v>
      </c>
      <c r="AK54">
        <f>'2015_2020'!AI23</f>
        <v>-0.111</v>
      </c>
      <c r="AL54">
        <f>'2015_2020'!AJ23</f>
        <v>-0.11600000000000001</v>
      </c>
      <c r="AM54">
        <f>'2015_2020'!AK23</f>
        <v>-0.111</v>
      </c>
      <c r="AN54">
        <f>'2015_2020'!AL23</f>
        <v>-0.11</v>
      </c>
      <c r="AO54">
        <f>'2015_2020'!AM23</f>
        <v>-0.124</v>
      </c>
      <c r="AP54">
        <f>'2015_2020'!AN23</f>
        <v>-0.185</v>
      </c>
      <c r="AQ54">
        <f>'2015_2020'!AO23</f>
        <v>-0.217</v>
      </c>
      <c r="AR54">
        <f>'2015_2020'!AP23</f>
        <v>-0.219</v>
      </c>
      <c r="AS54">
        <f>'2015_2020'!AQ23</f>
        <v>-0.184</v>
      </c>
      <c r="AT54">
        <f>'2015_2020'!AR23</f>
        <v>-0.16600000000000001</v>
      </c>
      <c r="AU54">
        <f>'2015_2020'!AS23</f>
        <v>-0.155</v>
      </c>
      <c r="AV54">
        <f>'2015_2020'!AT23</f>
        <v>-0.14599999999999999</v>
      </c>
      <c r="AW54">
        <f>'2015_2020'!AU23</f>
        <v>-0.114</v>
      </c>
      <c r="AX54">
        <f>'2015_2020'!AV23</f>
        <v>-9.4399999999999998E-2</v>
      </c>
      <c r="AY54">
        <f>'2015_2020'!AW23</f>
        <v>-6.7699999999999996E-2</v>
      </c>
      <c r="AZ54">
        <f>'2015_2020'!AX23</f>
        <v>-7.0400000000000004E-2</v>
      </c>
      <c r="BA54">
        <f>'2015_2020'!AY23</f>
        <v>-4.6600000000000003E-2</v>
      </c>
      <c r="BB54">
        <f>'2015_2020'!AZ23</f>
        <v>-7.6300000000000007E-2</v>
      </c>
      <c r="BC54">
        <f>'2015_2020'!BA23</f>
        <v>-0.106</v>
      </c>
      <c r="BD54">
        <f>'2015_2020'!BB23</f>
        <v>-0.128</v>
      </c>
      <c r="BE54">
        <f>'2015_2020'!BC23</f>
        <v>-0.128</v>
      </c>
      <c r="BF54">
        <f>'2015_2020'!BD23</f>
        <v>-0.128</v>
      </c>
      <c r="BG54">
        <f>'2015_2020'!BE23</f>
        <v>-0.17199999999999999</v>
      </c>
      <c r="BH54">
        <f>'2015_2020'!BF23</f>
        <v>-0.19</v>
      </c>
      <c r="BI54">
        <f>'2015_2020'!BG23</f>
        <v>-0.158</v>
      </c>
      <c r="BJ54">
        <f>'2015_2020'!BH23</f>
        <v>-0.158</v>
      </c>
      <c r="BK54">
        <f>'2015_2020'!BI23</f>
        <v>-0.153</v>
      </c>
      <c r="BL54">
        <f>'2015_2020'!BJ23</f>
        <v>-0.128</v>
      </c>
      <c r="BM54">
        <f>'2015_2020'!BK23</f>
        <v>-0.11700000000000001</v>
      </c>
      <c r="BN54">
        <f>'2015_2020'!BL23</f>
        <v>-9.7799999999999998E-2</v>
      </c>
      <c r="BO54">
        <f>'2015_2020'!BM23</f>
        <v>-5.7000000000000002E-2</v>
      </c>
      <c r="BP54">
        <f>'2015_2020'!BN23</f>
        <v>-4.7600000000000003E-3</v>
      </c>
      <c r="BQ54">
        <f>'2015_2020'!BO23</f>
        <v>1.3500000000000001E-3</v>
      </c>
      <c r="BR54">
        <f>'2015_2020'!BP23</f>
        <v>-1.17E-2</v>
      </c>
      <c r="BS54">
        <f>'2015_2020'!BQ23</f>
        <v>-1.18E-2</v>
      </c>
      <c r="BT54">
        <f>'2015_2020'!BR23</f>
        <v>1.3899999999999999E-2</v>
      </c>
      <c r="BU54">
        <f>'2015_2020'!BS23</f>
        <v>-9.0299999999999998E-3</v>
      </c>
      <c r="BV54">
        <f>'2015_2020'!BT23</f>
        <v>-0.16400000000000001</v>
      </c>
      <c r="BW54">
        <f>'2015_2020'!BU23</f>
        <v>-0.20799999999999999</v>
      </c>
      <c r="BX54">
        <f>'2015_2020'!BV23</f>
        <v>-0.183</v>
      </c>
      <c r="BY54">
        <f>'2015_2020'!BW23</f>
        <v>-0.14699999999999999</v>
      </c>
      <c r="BZ54">
        <f>'2015_2020'!BX23</f>
        <v>-0.20499999999999999</v>
      </c>
      <c r="CA54">
        <f>'2015_2020'!BY23</f>
        <v>-0.25</v>
      </c>
      <c r="CB54">
        <f>'2015_2020'!BZ23</f>
        <v>-0.221</v>
      </c>
      <c r="CC54">
        <f>'2015_2020'!CA23</f>
        <v>-0.21299999999999999</v>
      </c>
      <c r="CD54">
        <f>'2015_2020'!CB23</f>
        <v>-0.106</v>
      </c>
      <c r="CE54">
        <f>'2015_2020'!CC23</f>
        <v>0.13700000000000001</v>
      </c>
      <c r="CF54">
        <f>'2015_2020'!CD23</f>
        <v>0.20699999999999999</v>
      </c>
      <c r="CG54">
        <f>'2015_2020'!CE23</f>
        <v>0.124</v>
      </c>
      <c r="CH54">
        <f>'2015_2020'!CF23</f>
        <v>-2.63E-2</v>
      </c>
      <c r="CI54">
        <f>'2015_2020'!CG23</f>
        <v>-0.16500000000000001</v>
      </c>
      <c r="CJ54">
        <f>'2015_2020'!CH23</f>
        <v>-0.157</v>
      </c>
      <c r="CK54">
        <f>'2015_2020'!CI23</f>
        <v>-7.6499999999999999E-2</v>
      </c>
      <c r="CL54">
        <f>'2015_2020'!CJ23</f>
        <v>2.6499999999999999E-2</v>
      </c>
      <c r="CM54">
        <f>'2015_2020'!CK23</f>
        <v>5.6000000000000001E-2</v>
      </c>
      <c r="CN54">
        <f>'2015_2020'!CL23</f>
        <v>8.1500000000000003E-2</v>
      </c>
      <c r="CO54">
        <f>'2015_2020'!CM23</f>
        <v>0.11</v>
      </c>
      <c r="CP54">
        <f>'2015_2020'!CN23</f>
        <v>2.4099999999999998E-3</v>
      </c>
      <c r="CQ54">
        <f>'2015_2020'!CO23</f>
        <v>-3.1700000000000001E-3</v>
      </c>
      <c r="CR54">
        <f>'2015_2020'!CP23</f>
        <v>-6.5500000000000003E-2</v>
      </c>
      <c r="CS54">
        <f>'2015_2020'!CQ23</f>
        <v>-0.20899999999999999</v>
      </c>
      <c r="CT54">
        <f>'2015_2020'!CR23</f>
        <v>4.1000000000000002E-2</v>
      </c>
      <c r="CU54">
        <f>'2015_2020'!CS23</f>
        <v>0.14000000000000001</v>
      </c>
      <c r="CV54">
        <f>'2015_2020'!CT23</f>
        <v>0.24399999999999999</v>
      </c>
      <c r="CW54">
        <f>'2015_2020'!CU23</f>
        <v>2.87E-2</v>
      </c>
      <c r="CX54">
        <f>'2015_2020'!CV23</f>
        <v>0.14299999999999999</v>
      </c>
    </row>
    <row r="55" spans="1:102" x14ac:dyDescent="0.2">
      <c r="A55" t="s">
        <v>208</v>
      </c>
      <c r="B55" t="s">
        <v>220</v>
      </c>
      <c r="C55" t="s">
        <v>221</v>
      </c>
      <c r="D55">
        <f>D38+D46</f>
        <v>-0.37129999999999996</v>
      </c>
      <c r="E55">
        <f t="shared" ref="E55:BP62" si="7">E38+E46</f>
        <v>0.29399999999999998</v>
      </c>
      <c r="F55">
        <f t="shared" si="7"/>
        <v>0.81410000000000005</v>
      </c>
      <c r="G55">
        <f t="shared" si="7"/>
        <v>0.10489999999999999</v>
      </c>
      <c r="H55">
        <f t="shared" si="7"/>
        <v>1.0639000000000001</v>
      </c>
      <c r="I55">
        <f t="shared" si="7"/>
        <v>0.40049999999999997</v>
      </c>
      <c r="J55">
        <f t="shared" si="7"/>
        <v>0.69510000000000005</v>
      </c>
      <c r="K55">
        <f t="shared" si="7"/>
        <v>0.55479999999999996</v>
      </c>
      <c r="L55">
        <f t="shared" si="7"/>
        <v>0.4143</v>
      </c>
      <c r="M55">
        <f t="shared" si="7"/>
        <v>0.62779999999999991</v>
      </c>
      <c r="N55">
        <f t="shared" si="7"/>
        <v>0.60439999999999994</v>
      </c>
      <c r="O55">
        <f t="shared" si="7"/>
        <v>0.33339999999999997</v>
      </c>
      <c r="P55">
        <f t="shared" si="7"/>
        <v>0.37879999999999997</v>
      </c>
      <c r="Q55">
        <f t="shared" si="7"/>
        <v>0.32069999999999999</v>
      </c>
      <c r="R55">
        <f t="shared" si="7"/>
        <v>0.25939999999999996</v>
      </c>
      <c r="S55">
        <f t="shared" si="7"/>
        <v>0.22500000000000001</v>
      </c>
      <c r="T55">
        <f t="shared" si="7"/>
        <v>0.1615</v>
      </c>
      <c r="U55">
        <f t="shared" si="7"/>
        <v>0.1338</v>
      </c>
      <c r="V55">
        <f t="shared" si="7"/>
        <v>7.6800000000000007E-2</v>
      </c>
      <c r="W55">
        <f t="shared" si="7"/>
        <v>7.0300000000000001E-2</v>
      </c>
      <c r="X55">
        <f t="shared" si="7"/>
        <v>7.8100000000000003E-2</v>
      </c>
      <c r="Y55">
        <f t="shared" si="7"/>
        <v>4.7399999999999998E-2</v>
      </c>
      <c r="Z55">
        <f t="shared" si="7"/>
        <v>5.8000000000000003E-2</v>
      </c>
      <c r="AA55">
        <f t="shared" si="7"/>
        <v>6.4899999999999999E-2</v>
      </c>
      <c r="AB55">
        <f t="shared" si="7"/>
        <v>5.6800000000000003E-2</v>
      </c>
      <c r="AC55">
        <f t="shared" si="7"/>
        <v>4.4399999999999995E-2</v>
      </c>
      <c r="AD55">
        <f t="shared" si="7"/>
        <v>4.36E-2</v>
      </c>
      <c r="AE55">
        <f t="shared" si="7"/>
        <v>4.8600000000000004E-2</v>
      </c>
      <c r="AF55">
        <f t="shared" si="7"/>
        <v>4.36E-2</v>
      </c>
      <c r="AG55">
        <f t="shared" si="7"/>
        <v>4.0690000000000004E-2</v>
      </c>
      <c r="AH55">
        <f t="shared" si="7"/>
        <v>4.3800000000000006E-2</v>
      </c>
      <c r="AI55">
        <f t="shared" si="7"/>
        <v>4.4479999999999999E-2</v>
      </c>
      <c r="AJ55">
        <f t="shared" si="7"/>
        <v>3.3730000000000003E-2</v>
      </c>
      <c r="AK55">
        <f t="shared" si="7"/>
        <v>3.0900000000000004E-2</v>
      </c>
      <c r="AL55">
        <f t="shared" si="7"/>
        <v>4.3049999999999998E-2</v>
      </c>
      <c r="AM55">
        <f t="shared" si="7"/>
        <v>5.466E-2</v>
      </c>
      <c r="AN55">
        <f t="shared" si="7"/>
        <v>5.2159999999999998E-2</v>
      </c>
      <c r="AO55">
        <f t="shared" si="7"/>
        <v>4.9817E-2</v>
      </c>
      <c r="AP55">
        <f t="shared" si="7"/>
        <v>6.13E-2</v>
      </c>
      <c r="AQ55">
        <f t="shared" si="7"/>
        <v>7.3200000000000001E-2</v>
      </c>
      <c r="AR55">
        <f t="shared" si="7"/>
        <v>7.8699999999999992E-2</v>
      </c>
      <c r="AS55">
        <f t="shared" si="7"/>
        <v>7.4899999999999994E-2</v>
      </c>
      <c r="AT55">
        <f t="shared" si="7"/>
        <v>7.3499999999999996E-2</v>
      </c>
      <c r="AU55">
        <f t="shared" si="7"/>
        <v>7.3999999999999996E-2</v>
      </c>
      <c r="AV55">
        <f t="shared" si="7"/>
        <v>6.3600000000000004E-2</v>
      </c>
      <c r="AW55">
        <f t="shared" si="7"/>
        <v>4.4600000000000001E-2</v>
      </c>
      <c r="AX55">
        <f t="shared" si="7"/>
        <v>3.3299999999999996E-2</v>
      </c>
      <c r="AY55">
        <f t="shared" si="7"/>
        <v>2.1900000000000003E-2</v>
      </c>
      <c r="AZ55">
        <f t="shared" si="7"/>
        <v>1.8099999999999998E-2</v>
      </c>
      <c r="BA55">
        <f t="shared" si="7"/>
        <v>9.000000000000008E-3</v>
      </c>
      <c r="BB55">
        <f t="shared" si="7"/>
        <v>2.0400000000000001E-2</v>
      </c>
      <c r="BC55">
        <f t="shared" si="7"/>
        <v>3.2399999999999991E-2</v>
      </c>
      <c r="BD55">
        <f t="shared" si="7"/>
        <v>3.1399999999999997E-2</v>
      </c>
      <c r="BE55">
        <f t="shared" si="7"/>
        <v>3.27E-2</v>
      </c>
      <c r="BF55">
        <f t="shared" si="7"/>
        <v>6.0729999999999999E-2</v>
      </c>
      <c r="BG55">
        <f t="shared" si="7"/>
        <v>6.7540000000000003E-2</v>
      </c>
      <c r="BH55">
        <f t="shared" si="7"/>
        <v>7.6630000000000004E-2</v>
      </c>
      <c r="BI55">
        <f t="shared" si="7"/>
        <v>7.3930999999999997E-2</v>
      </c>
      <c r="BJ55">
        <f t="shared" si="7"/>
        <v>6.8080000000000002E-2</v>
      </c>
      <c r="BK55">
        <f t="shared" si="7"/>
        <v>7.2959999999999997E-2</v>
      </c>
      <c r="BL55">
        <f t="shared" si="7"/>
        <v>7.6549999999999993E-2</v>
      </c>
      <c r="BM55">
        <f t="shared" si="7"/>
        <v>6.1700000000000005E-2</v>
      </c>
      <c r="BN55">
        <f t="shared" si="7"/>
        <v>4.3800000000000006E-2</v>
      </c>
      <c r="BO55">
        <f t="shared" si="7"/>
        <v>2.3300000000000001E-2</v>
      </c>
      <c r="BP55">
        <f t="shared" si="7"/>
        <v>1.2999999999999998E-2</v>
      </c>
      <c r="BQ55">
        <f t="shared" ref="BQ55:CX62" si="8">BQ38+BQ46</f>
        <v>5.0999999999999934E-3</v>
      </c>
      <c r="BR55">
        <f t="shared" si="8"/>
        <v>6.1999999999999972E-3</v>
      </c>
      <c r="BS55">
        <f t="shared" si="8"/>
        <v>-2.7700000000000002E-2</v>
      </c>
      <c r="BT55">
        <f t="shared" si="8"/>
        <v>-5.5199999999999999E-2</v>
      </c>
      <c r="BU55">
        <f t="shared" si="8"/>
        <v>-4.1100000000000012E-2</v>
      </c>
      <c r="BV55">
        <f t="shared" si="8"/>
        <v>5.5799999999999995E-2</v>
      </c>
      <c r="BW55">
        <f t="shared" si="8"/>
        <v>8.2900000000000001E-2</v>
      </c>
      <c r="BX55">
        <f t="shared" si="8"/>
        <v>6.6400000000000015E-2</v>
      </c>
      <c r="BY55">
        <f t="shared" si="8"/>
        <v>4.1500000000000009E-2</v>
      </c>
      <c r="BZ55">
        <f t="shared" si="8"/>
        <v>6.93E-2</v>
      </c>
      <c r="CA55">
        <f t="shared" si="8"/>
        <v>7.1699999999999986E-2</v>
      </c>
      <c r="CB55">
        <f t="shared" si="8"/>
        <v>8.9699999999999988E-2</v>
      </c>
      <c r="CC55">
        <f t="shared" si="8"/>
        <v>8.199999999999999E-2</v>
      </c>
      <c r="CD55">
        <f t="shared" si="8"/>
        <v>4.7799999999999995E-2</v>
      </c>
      <c r="CE55">
        <f t="shared" si="8"/>
        <v>-0.10199999999999998</v>
      </c>
      <c r="CF55">
        <f t="shared" si="8"/>
        <v>-0.17200000000000001</v>
      </c>
      <c r="CG55">
        <f t="shared" si="8"/>
        <v>-0.16</v>
      </c>
      <c r="CH55">
        <f t="shared" si="8"/>
        <v>-4.4999999999999984E-2</v>
      </c>
      <c r="CI55">
        <f t="shared" si="8"/>
        <v>3.2000000000000015E-2</v>
      </c>
      <c r="CJ55">
        <f t="shared" si="8"/>
        <v>4.1999999999999996E-2</v>
      </c>
      <c r="CK55">
        <f t="shared" si="8"/>
        <v>-1.1999999999999983E-2</v>
      </c>
      <c r="CL55">
        <f t="shared" si="8"/>
        <v>-4.8999999999999988E-2</v>
      </c>
      <c r="CM55">
        <f t="shared" si="8"/>
        <v>-0.10799999999999998</v>
      </c>
      <c r="CN55">
        <f t="shared" si="8"/>
        <v>-0.13199999999999998</v>
      </c>
      <c r="CO55">
        <f t="shared" si="8"/>
        <v>-0.14499999999999999</v>
      </c>
      <c r="CP55">
        <f t="shared" si="8"/>
        <v>-8.8999999999999996E-2</v>
      </c>
      <c r="CQ55">
        <f t="shared" si="8"/>
        <v>-8.4999999999999992E-2</v>
      </c>
      <c r="CR55">
        <f t="shared" si="8"/>
        <v>-7.3999999999999982E-2</v>
      </c>
      <c r="CS55">
        <f t="shared" si="8"/>
        <v>2.1000000000000005E-2</v>
      </c>
      <c r="CT55">
        <f t="shared" si="8"/>
        <v>-7.7999999999999986E-2</v>
      </c>
      <c r="CU55">
        <f t="shared" si="8"/>
        <v>-0.11899999999999997</v>
      </c>
      <c r="CV55">
        <f t="shared" si="8"/>
        <v>-0.16600000000000001</v>
      </c>
      <c r="CW55">
        <f t="shared" si="8"/>
        <v>-6.4000000000000001E-2</v>
      </c>
      <c r="CX55">
        <f t="shared" si="8"/>
        <v>-0.12500000000000003</v>
      </c>
    </row>
    <row r="56" spans="1:102" x14ac:dyDescent="0.2">
      <c r="A56" t="s">
        <v>209</v>
      </c>
      <c r="B56" t="s">
        <v>220</v>
      </c>
      <c r="C56" t="s">
        <v>221</v>
      </c>
      <c r="D56">
        <f t="shared" ref="D56:BO59" si="9">D39+D47</f>
        <v>-9.9129999999999996E-2</v>
      </c>
      <c r="E56">
        <f t="shared" si="9"/>
        <v>-0.11583</v>
      </c>
      <c r="F56">
        <f t="shared" si="9"/>
        <v>4.5009999999999994E-2</v>
      </c>
      <c r="G56">
        <f t="shared" si="9"/>
        <v>-0.13354000000000002</v>
      </c>
      <c r="H56">
        <f t="shared" si="9"/>
        <v>0.13572000000000001</v>
      </c>
      <c r="I56">
        <f t="shared" si="9"/>
        <v>-6.0260000000000001E-2</v>
      </c>
      <c r="J56">
        <f t="shared" si="9"/>
        <v>7.3160000000000003E-2</v>
      </c>
      <c r="K56">
        <f t="shared" si="9"/>
        <v>8.6269999999999999E-2</v>
      </c>
      <c r="L56">
        <f t="shared" si="9"/>
        <v>3.848E-2</v>
      </c>
      <c r="M56">
        <f t="shared" si="9"/>
        <v>0.14913999999999999</v>
      </c>
      <c r="N56">
        <f t="shared" si="9"/>
        <v>0.19456000000000001</v>
      </c>
      <c r="O56">
        <f t="shared" si="9"/>
        <v>9.9080000000000001E-2</v>
      </c>
      <c r="P56">
        <f t="shared" si="9"/>
        <v>0.14540999999999998</v>
      </c>
      <c r="Q56">
        <f t="shared" si="9"/>
        <v>0.12048</v>
      </c>
      <c r="R56">
        <f t="shared" si="9"/>
        <v>8.1759999999999999E-2</v>
      </c>
      <c r="S56">
        <f t="shared" si="9"/>
        <v>6.3439999999999996E-2</v>
      </c>
      <c r="T56">
        <f t="shared" si="9"/>
        <v>3.5180000000000003E-2</v>
      </c>
      <c r="U56">
        <f t="shared" si="9"/>
        <v>2.4389999999999998E-2</v>
      </c>
      <c r="V56">
        <f t="shared" si="9"/>
        <v>6.2300000000000003E-3</v>
      </c>
      <c r="W56">
        <f t="shared" si="9"/>
        <v>9.5599999999999991E-3</v>
      </c>
      <c r="X56">
        <f t="shared" si="9"/>
        <v>1.644E-2</v>
      </c>
      <c r="Y56">
        <f t="shared" si="9"/>
        <v>2.9000000000000033E-4</v>
      </c>
      <c r="Z56">
        <f t="shared" si="9"/>
        <v>3.3189999999999999E-3</v>
      </c>
      <c r="AA56">
        <f t="shared" si="9"/>
        <v>1.933E-2</v>
      </c>
      <c r="AB56">
        <f t="shared" si="9"/>
        <v>1.7820000000000003E-2</v>
      </c>
      <c r="AC56">
        <f t="shared" si="9"/>
        <v>1.1820000000000001E-2</v>
      </c>
      <c r="AD56">
        <f t="shared" si="9"/>
        <v>1.499E-2</v>
      </c>
      <c r="AE56">
        <f t="shared" si="9"/>
        <v>1.6059999999999998E-2</v>
      </c>
      <c r="AF56">
        <f t="shared" si="9"/>
        <v>7.8600000000000007E-3</v>
      </c>
      <c r="AG56">
        <f t="shared" si="9"/>
        <v>6.2599999999999999E-3</v>
      </c>
      <c r="AH56">
        <f t="shared" si="9"/>
        <v>2.5919999999999999E-2</v>
      </c>
      <c r="AI56">
        <f t="shared" si="9"/>
        <v>2.4850000000000001E-2</v>
      </c>
      <c r="AJ56">
        <f t="shared" si="9"/>
        <v>1.7140000000000002E-2</v>
      </c>
      <c r="AK56">
        <f t="shared" si="9"/>
        <v>2.095E-2</v>
      </c>
      <c r="AL56">
        <f t="shared" si="9"/>
        <v>3.3979999999999996E-2</v>
      </c>
      <c r="AM56">
        <f t="shared" si="9"/>
        <v>2.886E-2</v>
      </c>
      <c r="AN56">
        <f t="shared" si="9"/>
        <v>3.3239999999999999E-2</v>
      </c>
      <c r="AO56">
        <f t="shared" si="9"/>
        <v>3.3120000000000004E-2</v>
      </c>
      <c r="AP56">
        <f t="shared" si="9"/>
        <v>5.3830000000000003E-2</v>
      </c>
      <c r="AQ56">
        <f t="shared" si="9"/>
        <v>6.8180000000000004E-2</v>
      </c>
      <c r="AR56">
        <f t="shared" si="9"/>
        <v>7.1300000000000002E-2</v>
      </c>
      <c r="AS56">
        <f t="shared" si="9"/>
        <v>6.8040000000000003E-2</v>
      </c>
      <c r="AT56">
        <f t="shared" si="9"/>
        <v>6.3670000000000004E-2</v>
      </c>
      <c r="AU56">
        <f t="shared" si="9"/>
        <v>6.5869999999999998E-2</v>
      </c>
      <c r="AV56">
        <f t="shared" si="9"/>
        <v>5.4440000000000002E-2</v>
      </c>
      <c r="AW56">
        <f t="shared" si="9"/>
        <v>3.1789999999999999E-2</v>
      </c>
      <c r="AX56">
        <f t="shared" si="9"/>
        <v>1.9999999999999185E-5</v>
      </c>
      <c r="AY56">
        <f t="shared" si="9"/>
        <v>-6.689999999999998E-3</v>
      </c>
      <c r="AZ56">
        <f t="shared" si="9"/>
        <v>-6.9799999999999984E-3</v>
      </c>
      <c r="BA56">
        <f t="shared" si="9"/>
        <v>-1.2700000000000001E-2</v>
      </c>
      <c r="BB56">
        <f t="shared" si="9"/>
        <v>8.0499999999999999E-3</v>
      </c>
      <c r="BC56">
        <f t="shared" si="9"/>
        <v>1.4829999999999999E-2</v>
      </c>
      <c r="BD56">
        <f t="shared" si="9"/>
        <v>2.3359999999999999E-2</v>
      </c>
      <c r="BE56">
        <f t="shared" si="9"/>
        <v>3.0899999999999997E-2</v>
      </c>
      <c r="BF56">
        <f t="shared" si="9"/>
        <v>4.6249999999999999E-2</v>
      </c>
      <c r="BG56">
        <f t="shared" si="9"/>
        <v>5.9020000000000003E-2</v>
      </c>
      <c r="BH56">
        <f t="shared" si="9"/>
        <v>6.9809999999999997E-2</v>
      </c>
      <c r="BI56">
        <f t="shared" si="9"/>
        <v>6.9099999999999995E-2</v>
      </c>
      <c r="BJ56">
        <f t="shared" si="9"/>
        <v>6.0800000000000007E-2</v>
      </c>
      <c r="BK56">
        <f t="shared" si="9"/>
        <v>7.2599999999999998E-2</v>
      </c>
      <c r="BL56">
        <f t="shared" si="9"/>
        <v>7.4699999999999989E-2</v>
      </c>
      <c r="BM56">
        <f t="shared" si="9"/>
        <v>7.1000000000000008E-2</v>
      </c>
      <c r="BN56">
        <f t="shared" si="9"/>
        <v>4.9399999999999999E-2</v>
      </c>
      <c r="BO56">
        <f t="shared" si="9"/>
        <v>2.7499999999999997E-2</v>
      </c>
      <c r="BP56">
        <f t="shared" si="7"/>
        <v>2.2800000000000001E-2</v>
      </c>
      <c r="BQ56">
        <f t="shared" si="8"/>
        <v>2.06E-2</v>
      </c>
      <c r="BR56">
        <f t="shared" si="8"/>
        <v>1.7739999999999999E-2</v>
      </c>
      <c r="BS56">
        <f t="shared" si="8"/>
        <v>-1.1800000000000001E-2</v>
      </c>
      <c r="BT56">
        <f t="shared" si="8"/>
        <v>-3.7199999999999997E-2</v>
      </c>
      <c r="BU56">
        <f t="shared" si="8"/>
        <v>-1.3299999999999998E-2</v>
      </c>
      <c r="BV56">
        <f t="shared" si="8"/>
        <v>0.1076</v>
      </c>
      <c r="BW56">
        <f t="shared" si="8"/>
        <v>0.14130000000000001</v>
      </c>
      <c r="BX56">
        <f t="shared" si="8"/>
        <v>0.1216</v>
      </c>
      <c r="BY56">
        <f t="shared" si="8"/>
        <v>0.11199999999999999</v>
      </c>
      <c r="BZ56">
        <f t="shared" si="8"/>
        <v>0.14219999999999999</v>
      </c>
      <c r="CA56">
        <f t="shared" si="8"/>
        <v>0.13689999999999999</v>
      </c>
      <c r="CB56">
        <f t="shared" si="8"/>
        <v>0.16469999999999999</v>
      </c>
      <c r="CC56">
        <f t="shared" si="8"/>
        <v>0.16069999999999998</v>
      </c>
      <c r="CD56">
        <f t="shared" si="8"/>
        <v>0.1142</v>
      </c>
      <c r="CE56">
        <f t="shared" si="8"/>
        <v>-2.8999999999999998E-2</v>
      </c>
      <c r="CF56">
        <f t="shared" si="8"/>
        <v>-8.1200000000000008E-2</v>
      </c>
      <c r="CG56">
        <f t="shared" si="8"/>
        <v>-6.2E-2</v>
      </c>
      <c r="CH56">
        <f t="shared" si="8"/>
        <v>4.2000000000000003E-2</v>
      </c>
      <c r="CI56">
        <f t="shared" si="8"/>
        <v>0.13300000000000001</v>
      </c>
      <c r="CJ56">
        <f t="shared" si="8"/>
        <v>0.16949999999999998</v>
      </c>
      <c r="CK56">
        <f t="shared" si="8"/>
        <v>0.1258</v>
      </c>
      <c r="CL56">
        <f t="shared" si="8"/>
        <v>7.6899999999999996E-2</v>
      </c>
      <c r="CM56">
        <f t="shared" si="8"/>
        <v>2.291E-2</v>
      </c>
      <c r="CN56">
        <f t="shared" si="8"/>
        <v>3.27E-2</v>
      </c>
      <c r="CO56">
        <f t="shared" si="8"/>
        <v>1.073E-2</v>
      </c>
      <c r="CP56">
        <f t="shared" si="8"/>
        <v>5.2999999999999999E-2</v>
      </c>
      <c r="CQ56">
        <f t="shared" si="8"/>
        <v>7.3099999999999998E-2</v>
      </c>
      <c r="CR56">
        <f t="shared" si="8"/>
        <v>0.14710000000000001</v>
      </c>
      <c r="CS56">
        <f t="shared" si="8"/>
        <v>0.24010000000000001</v>
      </c>
      <c r="CT56">
        <f t="shared" si="8"/>
        <v>0.158</v>
      </c>
      <c r="CU56">
        <f t="shared" si="8"/>
        <v>5.4199999999999998E-2</v>
      </c>
      <c r="CV56">
        <f t="shared" si="8"/>
        <v>8.4999999999999989E-3</v>
      </c>
      <c r="CW56">
        <f t="shared" si="8"/>
        <v>0.14230000000000001</v>
      </c>
      <c r="CX56">
        <f t="shared" si="8"/>
        <v>-2.76E-2</v>
      </c>
    </row>
    <row r="57" spans="1:102" x14ac:dyDescent="0.2">
      <c r="A57" t="s">
        <v>210</v>
      </c>
      <c r="B57" t="s">
        <v>220</v>
      </c>
      <c r="C57" t="s">
        <v>221</v>
      </c>
      <c r="D57">
        <f t="shared" si="9"/>
        <v>8.3069999999999991E-2</v>
      </c>
      <c r="E57">
        <f t="shared" si="9"/>
        <v>8.0060000000000006E-2</v>
      </c>
      <c r="F57">
        <f t="shared" si="9"/>
        <v>2.6030000000000001E-2</v>
      </c>
      <c r="G57">
        <f t="shared" si="9"/>
        <v>5.6250000000000001E-2</v>
      </c>
      <c r="H57">
        <f t="shared" si="9"/>
        <v>-3.3869999999999997E-2</v>
      </c>
      <c r="I57">
        <f t="shared" si="9"/>
        <v>1.8099999999999998E-2</v>
      </c>
      <c r="J57">
        <f t="shared" si="9"/>
        <v>-8.8599999999999998E-3</v>
      </c>
      <c r="K57">
        <f t="shared" si="9"/>
        <v>-1.108E-2</v>
      </c>
      <c r="L57">
        <f t="shared" si="9"/>
        <v>-2.281E-3</v>
      </c>
      <c r="M57">
        <f t="shared" si="9"/>
        <v>-2.4509999999999997E-2</v>
      </c>
      <c r="N57">
        <f t="shared" si="9"/>
        <v>-2.8049999999999999E-2</v>
      </c>
      <c r="O57">
        <f t="shared" si="9"/>
        <v>-1.1370000000000002E-2</v>
      </c>
      <c r="P57">
        <f t="shared" si="9"/>
        <v>-1.644E-2</v>
      </c>
      <c r="Q57">
        <f t="shared" si="9"/>
        <v>-1.1650000000000001E-2</v>
      </c>
      <c r="R57">
        <f t="shared" si="9"/>
        <v>-6.7399999999999995E-3</v>
      </c>
      <c r="S57">
        <f t="shared" si="9"/>
        <v>-3.0400000000000002E-3</v>
      </c>
      <c r="T57">
        <f t="shared" si="9"/>
        <v>2.32E-3</v>
      </c>
      <c r="U57">
        <f t="shared" si="9"/>
        <v>3.4499999999999999E-3</v>
      </c>
      <c r="V57">
        <f t="shared" si="9"/>
        <v>8.3499999999999998E-3</v>
      </c>
      <c r="W57">
        <f t="shared" si="9"/>
        <v>6.6E-3</v>
      </c>
      <c r="X57">
        <f t="shared" si="9"/>
        <v>4.3600000000000002E-3</v>
      </c>
      <c r="Y57">
        <f t="shared" si="9"/>
        <v>7.5000000000000006E-3</v>
      </c>
      <c r="Z57">
        <f t="shared" si="9"/>
        <v>6.2099999999999994E-3</v>
      </c>
      <c r="AA57">
        <f t="shared" si="9"/>
        <v>6.150000000000001E-3</v>
      </c>
      <c r="AB57">
        <f t="shared" si="9"/>
        <v>8.5199999999999998E-3</v>
      </c>
      <c r="AC57">
        <f t="shared" si="9"/>
        <v>1.0600000000000002E-2</v>
      </c>
      <c r="AD57">
        <f t="shared" si="9"/>
        <v>1.1430000000000001E-2</v>
      </c>
      <c r="AE57">
        <f t="shared" si="9"/>
        <v>1.1259999999999999E-2</v>
      </c>
      <c r="AF57">
        <f t="shared" si="9"/>
        <v>1.315E-2</v>
      </c>
      <c r="AG57">
        <f t="shared" si="9"/>
        <v>1.2670000000000001E-2</v>
      </c>
      <c r="AH57">
        <f t="shared" si="9"/>
        <v>1.17E-2</v>
      </c>
      <c r="AI57">
        <f t="shared" si="9"/>
        <v>1.3270000000000001E-2</v>
      </c>
      <c r="AJ57">
        <f t="shared" si="9"/>
        <v>1.737E-2</v>
      </c>
      <c r="AK57">
        <f t="shared" si="9"/>
        <v>1.6730000000000002E-2</v>
      </c>
      <c r="AL57">
        <f t="shared" si="9"/>
        <v>1.5790000000000002E-2</v>
      </c>
      <c r="AM57">
        <f t="shared" si="9"/>
        <v>1.61E-2</v>
      </c>
      <c r="AN57">
        <f t="shared" si="9"/>
        <v>1.762E-2</v>
      </c>
      <c r="AO57">
        <f t="shared" si="9"/>
        <v>1.8110000000000001E-2</v>
      </c>
      <c r="AP57">
        <f t="shared" si="9"/>
        <v>1.5439999999999999E-2</v>
      </c>
      <c r="AQ57">
        <f t="shared" si="9"/>
        <v>1.206E-2</v>
      </c>
      <c r="AR57">
        <f t="shared" si="9"/>
        <v>1.2070000000000001E-2</v>
      </c>
      <c r="AS57">
        <f t="shared" si="9"/>
        <v>1.2749999999999999E-2</v>
      </c>
      <c r="AT57">
        <f t="shared" si="9"/>
        <v>1.2109999999999999E-2</v>
      </c>
      <c r="AU57">
        <f t="shared" si="9"/>
        <v>1.1209999999999999E-2</v>
      </c>
      <c r="AV57">
        <f t="shared" si="9"/>
        <v>1.389E-2</v>
      </c>
      <c r="AW57">
        <f t="shared" si="9"/>
        <v>2.0400000000000001E-2</v>
      </c>
      <c r="AX57">
        <f t="shared" si="9"/>
        <v>2.5920000000000002E-2</v>
      </c>
      <c r="AY57">
        <f t="shared" si="9"/>
        <v>2.673E-2</v>
      </c>
      <c r="AZ57">
        <f t="shared" si="9"/>
        <v>2.5160000000000002E-2</v>
      </c>
      <c r="BA57">
        <f t="shared" si="9"/>
        <v>2.4969999999999999E-2</v>
      </c>
      <c r="BB57">
        <f t="shared" si="9"/>
        <v>2.3239999999999997E-2</v>
      </c>
      <c r="BC57">
        <f t="shared" si="9"/>
        <v>2.0420000000000001E-2</v>
      </c>
      <c r="BD57">
        <f t="shared" si="9"/>
        <v>1.6040000000000002E-2</v>
      </c>
      <c r="BE57">
        <f t="shared" si="9"/>
        <v>1.4930000000000001E-2</v>
      </c>
      <c r="BF57">
        <f t="shared" si="9"/>
        <v>1.15E-2</v>
      </c>
      <c r="BG57">
        <f t="shared" si="9"/>
        <v>8.43E-3</v>
      </c>
      <c r="BH57">
        <f t="shared" si="9"/>
        <v>4.1200000000000004E-3</v>
      </c>
      <c r="BI57">
        <f t="shared" si="9"/>
        <v>6.2000000000000006E-3</v>
      </c>
      <c r="BJ57">
        <f t="shared" si="9"/>
        <v>9.470000000000001E-3</v>
      </c>
      <c r="BK57">
        <f t="shared" si="9"/>
        <v>8.8100000000000019E-3</v>
      </c>
      <c r="BL57">
        <f t="shared" si="9"/>
        <v>6.8999999999999999E-3</v>
      </c>
      <c r="BM57">
        <f t="shared" si="9"/>
        <v>9.6900000000000007E-3</v>
      </c>
      <c r="BN57">
        <f t="shared" si="9"/>
        <v>1.2109999999999999E-2</v>
      </c>
      <c r="BO57">
        <f t="shared" si="9"/>
        <v>1.617E-2</v>
      </c>
      <c r="BP57">
        <f t="shared" si="7"/>
        <v>1.891E-2</v>
      </c>
      <c r="BQ57">
        <f t="shared" si="8"/>
        <v>1.9009999999999999E-2</v>
      </c>
      <c r="BR57">
        <f t="shared" si="8"/>
        <v>1.746E-2</v>
      </c>
      <c r="BS57">
        <f t="shared" si="8"/>
        <v>2.2800000000000001E-2</v>
      </c>
      <c r="BT57">
        <f t="shared" si="8"/>
        <v>2.7270000000000003E-2</v>
      </c>
      <c r="BU57">
        <f t="shared" si="8"/>
        <v>2.3699999999999999E-2</v>
      </c>
      <c r="BV57">
        <f t="shared" si="8"/>
        <v>1.4800000000000004E-3</v>
      </c>
      <c r="BW57">
        <f t="shared" si="8"/>
        <v>-2.1700000000000001E-3</v>
      </c>
      <c r="BX57">
        <f t="shared" si="8"/>
        <v>1.9599999999999999E-3</v>
      </c>
      <c r="BY57">
        <f t="shared" si="8"/>
        <v>4.6800000000000001E-3</v>
      </c>
      <c r="BZ57">
        <f t="shared" si="8"/>
        <v>-2.2599999999999999E-3</v>
      </c>
      <c r="CA57">
        <f t="shared" si="8"/>
        <v>-3.1619999999999999E-3</v>
      </c>
      <c r="CB57">
        <f t="shared" si="8"/>
        <v>-9.049999999999999E-3</v>
      </c>
      <c r="CC57">
        <f t="shared" si="8"/>
        <v>-1.338E-2</v>
      </c>
      <c r="CD57">
        <f t="shared" si="8"/>
        <v>-5.2300000000000003E-3</v>
      </c>
      <c r="CE57">
        <f t="shared" si="8"/>
        <v>2.622E-2</v>
      </c>
      <c r="CF57">
        <f t="shared" si="8"/>
        <v>3.6969999999999996E-2</v>
      </c>
      <c r="CG57">
        <f t="shared" si="8"/>
        <v>3.2129999999999999E-2</v>
      </c>
      <c r="CH57">
        <f t="shared" si="8"/>
        <v>7.5799999999999999E-3</v>
      </c>
      <c r="CI57">
        <f t="shared" si="8"/>
        <v>-7.2300000000000003E-3</v>
      </c>
      <c r="CJ57">
        <f t="shared" si="8"/>
        <v>-1.5910000000000001E-2</v>
      </c>
      <c r="CK57">
        <f t="shared" si="8"/>
        <v>-5.6600000000000001E-3</v>
      </c>
      <c r="CL57">
        <f t="shared" si="8"/>
        <v>3.0600000000000002E-3</v>
      </c>
      <c r="CM57">
        <f t="shared" si="8"/>
        <v>8.0800000000000004E-3</v>
      </c>
      <c r="CN57">
        <f t="shared" si="8"/>
        <v>6.4299999999999991E-3</v>
      </c>
      <c r="CO57">
        <f t="shared" si="8"/>
        <v>1.2489999999999998E-2</v>
      </c>
      <c r="CP57">
        <f t="shared" si="8"/>
        <v>-6.0000000000000001E-3</v>
      </c>
      <c r="CQ57">
        <f t="shared" si="8"/>
        <v>-1.325E-2</v>
      </c>
      <c r="CR57">
        <f t="shared" si="8"/>
        <v>-2.947E-2</v>
      </c>
      <c r="CS57">
        <f t="shared" si="8"/>
        <v>-5.9889999999999999E-2</v>
      </c>
      <c r="CT57">
        <f t="shared" si="8"/>
        <v>-3.492E-2</v>
      </c>
      <c r="CU57">
        <f t="shared" si="8"/>
        <v>-2.3119999999999998E-2</v>
      </c>
      <c r="CV57">
        <f t="shared" si="8"/>
        <v>2.3800000000000002E-3</v>
      </c>
      <c r="CW57">
        <f t="shared" si="8"/>
        <v>-4.641E-2</v>
      </c>
      <c r="CX57">
        <f t="shared" si="8"/>
        <v>1.992E-2</v>
      </c>
    </row>
    <row r="58" spans="1:102" x14ac:dyDescent="0.2">
      <c r="A58" t="s">
        <v>211</v>
      </c>
      <c r="B58" t="s">
        <v>220</v>
      </c>
      <c r="C58" t="s">
        <v>221</v>
      </c>
      <c r="D58">
        <f t="shared" si="9"/>
        <v>2.9099999999999994E-3</v>
      </c>
      <c r="E58">
        <f t="shared" si="9"/>
        <v>-8.9300000000000013E-4</v>
      </c>
      <c r="F58">
        <f t="shared" si="9"/>
        <v>-1.1609999999999999E-2</v>
      </c>
      <c r="G58">
        <f t="shared" si="9"/>
        <v>8.9499999999999996E-3</v>
      </c>
      <c r="H58">
        <f t="shared" si="9"/>
        <v>-1.644E-2</v>
      </c>
      <c r="I58">
        <f t="shared" si="9"/>
        <v>-2.4299999999999999E-3</v>
      </c>
      <c r="J58">
        <f t="shared" si="9"/>
        <v>-6.8800000000000007E-3</v>
      </c>
      <c r="K58">
        <f t="shared" si="9"/>
        <v>-2.8900000000000002E-3</v>
      </c>
      <c r="L58">
        <f t="shared" si="9"/>
        <v>6.4500000000000009E-3</v>
      </c>
      <c r="M58">
        <f t="shared" si="9"/>
        <v>-2.3699999999999997E-3</v>
      </c>
      <c r="N58">
        <f t="shared" si="9"/>
        <v>-6.0089999999999996E-3</v>
      </c>
      <c r="O58">
        <f t="shared" si="9"/>
        <v>-4.0559999999999997E-3</v>
      </c>
      <c r="P58">
        <f t="shared" si="9"/>
        <v>-4.1640000000000002E-3</v>
      </c>
      <c r="Q58">
        <f t="shared" si="9"/>
        <v>2.5999999999999981E-5</v>
      </c>
      <c r="R58">
        <f t="shared" si="9"/>
        <v>7.899999999999999E-4</v>
      </c>
      <c r="S58">
        <f t="shared" si="9"/>
        <v>-2.4229999999999998E-3</v>
      </c>
      <c r="T58">
        <f t="shared" si="9"/>
        <v>-2.1700000000000002E-4</v>
      </c>
      <c r="U58">
        <f t="shared" si="9"/>
        <v>7.0100000000000013E-4</v>
      </c>
      <c r="V58">
        <f t="shared" si="9"/>
        <v>2.3959999999999997E-3</v>
      </c>
      <c r="W58">
        <f t="shared" si="9"/>
        <v>1.781E-3</v>
      </c>
      <c r="X58">
        <f t="shared" si="9"/>
        <v>-1.0549999999999999E-3</v>
      </c>
      <c r="Y58">
        <f t="shared" si="9"/>
        <v>1.8050000000000002E-3</v>
      </c>
      <c r="Z58">
        <f t="shared" si="9"/>
        <v>-4.1000000000000021E-5</v>
      </c>
      <c r="AA58">
        <f t="shared" si="9"/>
        <v>2.0990000000000002E-3</v>
      </c>
      <c r="AB58">
        <f t="shared" si="9"/>
        <v>6.2789999999999999E-3</v>
      </c>
      <c r="AC58">
        <f t="shared" si="9"/>
        <v>6.9909999999999998E-3</v>
      </c>
      <c r="AD58">
        <f t="shared" si="9"/>
        <v>6.6059999999999999E-3</v>
      </c>
      <c r="AE58">
        <f t="shared" si="9"/>
        <v>5.3349999999999995E-3</v>
      </c>
      <c r="AF58">
        <f t="shared" si="9"/>
        <v>3.5200000000000006E-3</v>
      </c>
      <c r="AG58">
        <f t="shared" si="9"/>
        <v>3.6899999999999997E-3</v>
      </c>
      <c r="AH58">
        <f t="shared" si="9"/>
        <v>3.4099999999999998E-3</v>
      </c>
      <c r="AI58">
        <f t="shared" si="9"/>
        <v>3.5099999999999997E-3</v>
      </c>
      <c r="AJ58">
        <f t="shared" si="9"/>
        <v>4.4900000000000009E-3</v>
      </c>
      <c r="AK58">
        <f t="shared" si="9"/>
        <v>3.2499999999999994E-3</v>
      </c>
      <c r="AL58">
        <f t="shared" si="9"/>
        <v>2.0799999999999998E-3</v>
      </c>
      <c r="AM58">
        <f t="shared" si="9"/>
        <v>3.0200000000000001E-3</v>
      </c>
      <c r="AN58">
        <f t="shared" si="9"/>
        <v>2.7000000000000006E-4</v>
      </c>
      <c r="AO58">
        <f t="shared" si="9"/>
        <v>-8.5100000000000009E-4</v>
      </c>
      <c r="AP58">
        <f t="shared" si="9"/>
        <v>-1.217E-3</v>
      </c>
      <c r="AQ58">
        <f t="shared" si="9"/>
        <v>-4.0499999999999998E-3</v>
      </c>
      <c r="AR58">
        <f t="shared" si="9"/>
        <v>-1.521E-3</v>
      </c>
      <c r="AS58">
        <f t="shared" si="9"/>
        <v>-7.3899999999999997E-4</v>
      </c>
      <c r="AT58">
        <f t="shared" si="9"/>
        <v>-2.1949999999999999E-3</v>
      </c>
      <c r="AU58">
        <f t="shared" si="9"/>
        <v>-4.1799999999999997E-3</v>
      </c>
      <c r="AV58">
        <f t="shared" si="9"/>
        <v>-6.4999999999999997E-3</v>
      </c>
      <c r="AW58">
        <f t="shared" si="9"/>
        <v>-5.1900000000000002E-3</v>
      </c>
      <c r="AX58">
        <f t="shared" si="9"/>
        <v>-2.336E-3</v>
      </c>
      <c r="AY58">
        <f t="shared" si="9"/>
        <v>-1.9949999999999998E-3</v>
      </c>
      <c r="AZ58">
        <f t="shared" si="9"/>
        <v>-2.447E-3</v>
      </c>
      <c r="BA58">
        <f t="shared" si="9"/>
        <v>-5.5399999999999998E-3</v>
      </c>
      <c r="BB58">
        <f t="shared" si="9"/>
        <v>-6.7499999999999991E-3</v>
      </c>
      <c r="BC58">
        <f t="shared" si="9"/>
        <v>-8.1899999999999994E-3</v>
      </c>
      <c r="BD58">
        <f t="shared" si="9"/>
        <v>-3.5100000000000001E-3</v>
      </c>
      <c r="BE58">
        <f t="shared" si="9"/>
        <v>-6.43E-3</v>
      </c>
      <c r="BF58">
        <f t="shared" si="9"/>
        <v>-1.562E-2</v>
      </c>
      <c r="BG58">
        <f t="shared" si="9"/>
        <v>-1.2699999999999999E-2</v>
      </c>
      <c r="BH58">
        <f t="shared" si="9"/>
        <v>-1.7399999999999999E-2</v>
      </c>
      <c r="BI58">
        <f t="shared" si="9"/>
        <v>-1.7419999999999998E-2</v>
      </c>
      <c r="BJ58">
        <f t="shared" si="9"/>
        <v>-1.5779999999999999E-2</v>
      </c>
      <c r="BK58">
        <f t="shared" si="9"/>
        <v>-1.7229999999999999E-2</v>
      </c>
      <c r="BL58">
        <f t="shared" si="9"/>
        <v>-2.001E-2</v>
      </c>
      <c r="BM58">
        <f t="shared" si="9"/>
        <v>-1.847E-2</v>
      </c>
      <c r="BN58">
        <f t="shared" si="9"/>
        <v>-1.653E-2</v>
      </c>
      <c r="BO58">
        <f t="shared" si="9"/>
        <v>-1.3340000000000001E-2</v>
      </c>
      <c r="BP58">
        <f t="shared" si="7"/>
        <v>-5.96E-3</v>
      </c>
      <c r="BQ58">
        <f t="shared" si="8"/>
        <v>-8.6800000000000002E-3</v>
      </c>
      <c r="BR58">
        <f t="shared" si="8"/>
        <v>-6.2599999999999999E-3</v>
      </c>
      <c r="BS58">
        <f t="shared" si="8"/>
        <v>1.34E-3</v>
      </c>
      <c r="BT58">
        <f t="shared" si="8"/>
        <v>1.01E-3</v>
      </c>
      <c r="BU58">
        <f t="shared" si="8"/>
        <v>-4.8599999999999997E-3</v>
      </c>
      <c r="BV58">
        <f t="shared" si="8"/>
        <v>-1.984E-2</v>
      </c>
      <c r="BW58">
        <f t="shared" si="8"/>
        <v>-2.6159999999999999E-2</v>
      </c>
      <c r="BX58">
        <f t="shared" si="8"/>
        <v>-2.172E-2</v>
      </c>
      <c r="BY58">
        <f t="shared" si="8"/>
        <v>-1.9210000000000001E-2</v>
      </c>
      <c r="BZ58">
        <f t="shared" si="8"/>
        <v>-2.5999999999999999E-2</v>
      </c>
      <c r="CA58">
        <f t="shared" si="8"/>
        <v>-1.89E-2</v>
      </c>
      <c r="CB58">
        <f t="shared" si="8"/>
        <v>-2.545E-2</v>
      </c>
      <c r="CC58">
        <f t="shared" si="8"/>
        <v>-2.6249999999999999E-2</v>
      </c>
      <c r="CD58">
        <f t="shared" si="8"/>
        <v>-3.3000000000000002E-2</v>
      </c>
      <c r="CE58">
        <f t="shared" si="8"/>
        <v>-1.2029999999999999E-2</v>
      </c>
      <c r="CF58">
        <f t="shared" si="8"/>
        <v>1.3499999999999996E-3</v>
      </c>
      <c r="CG58">
        <f t="shared" si="8"/>
        <v>-2.0200000000000001E-3</v>
      </c>
      <c r="CH58">
        <f t="shared" si="8"/>
        <v>-1.307E-2</v>
      </c>
      <c r="CI58">
        <f t="shared" si="8"/>
        <v>-2.649E-2</v>
      </c>
      <c r="CJ58">
        <f t="shared" si="8"/>
        <v>-3.5230000000000004E-2</v>
      </c>
      <c r="CK58">
        <f t="shared" si="8"/>
        <v>-2.6590000000000003E-2</v>
      </c>
      <c r="CL58">
        <f t="shared" si="8"/>
        <v>-1.0839999999999999E-2</v>
      </c>
      <c r="CM58">
        <f t="shared" si="8"/>
        <v>-6.5100000000000002E-3</v>
      </c>
      <c r="CN58">
        <f t="shared" si="8"/>
        <v>-1.6369999999999999E-2</v>
      </c>
      <c r="CO58">
        <f t="shared" si="8"/>
        <v>-8.2100000000000003E-3</v>
      </c>
      <c r="CP58">
        <f t="shared" si="8"/>
        <v>-5.4079999999999996E-3</v>
      </c>
      <c r="CQ58">
        <f t="shared" si="8"/>
        <v>-1.5010000000000001E-2</v>
      </c>
      <c r="CR58">
        <f t="shared" si="8"/>
        <v>-2.3089999999999999E-2</v>
      </c>
      <c r="CS58">
        <f t="shared" si="8"/>
        <v>-4.8649999999999999E-2</v>
      </c>
      <c r="CT58">
        <f t="shared" si="8"/>
        <v>-3.8980000000000001E-2</v>
      </c>
      <c r="CU58">
        <f t="shared" si="8"/>
        <v>-2.2179999999999998E-2</v>
      </c>
      <c r="CV58">
        <f t="shared" si="8"/>
        <v>-3.3300000000000001E-3</v>
      </c>
      <c r="CW58">
        <f t="shared" si="8"/>
        <v>-3.5290000000000002E-2</v>
      </c>
      <c r="CX58">
        <f t="shared" si="8"/>
        <v>8.0099999999999998E-3</v>
      </c>
    </row>
    <row r="59" spans="1:102" x14ac:dyDescent="0.2">
      <c r="A59" t="s">
        <v>212</v>
      </c>
      <c r="B59" t="s">
        <v>220</v>
      </c>
      <c r="C59" t="s">
        <v>221</v>
      </c>
      <c r="D59">
        <f t="shared" si="9"/>
        <v>4.2450000000000002E-2</v>
      </c>
      <c r="E59">
        <f t="shared" si="9"/>
        <v>2.4939999999999997E-2</v>
      </c>
      <c r="F59">
        <f t="shared" si="9"/>
        <v>-9.7000000000000038E-4</v>
      </c>
      <c r="G59">
        <f t="shared" si="9"/>
        <v>2.9509999999999998E-2</v>
      </c>
      <c r="H59">
        <f t="shared" si="9"/>
        <v>-1.166E-2</v>
      </c>
      <c r="I59">
        <f t="shared" si="9"/>
        <v>9.4599999999999997E-3</v>
      </c>
      <c r="J59">
        <f t="shared" si="9"/>
        <v>-1.2600000000000007E-3</v>
      </c>
      <c r="K59">
        <f t="shared" si="9"/>
        <v>-1.6900000000000005E-3</v>
      </c>
      <c r="L59">
        <f t="shared" si="9"/>
        <v>2.5700000000000002E-3</v>
      </c>
      <c r="M59">
        <f t="shared" si="9"/>
        <v>-8.5199999999999998E-3</v>
      </c>
      <c r="N59">
        <f t="shared" si="9"/>
        <v>-1.052E-2</v>
      </c>
      <c r="O59">
        <f t="shared" si="9"/>
        <v>-2.4399999999999999E-3</v>
      </c>
      <c r="P59">
        <f t="shared" si="9"/>
        <v>-4.6900000000000006E-3</v>
      </c>
      <c r="Q59">
        <f t="shared" si="9"/>
        <v>-2.9399999999999999E-3</v>
      </c>
      <c r="R59">
        <f t="shared" si="9"/>
        <v>-1.8500000000000001E-3</v>
      </c>
      <c r="S59">
        <f t="shared" si="9"/>
        <v>-1.4800000000000002E-3</v>
      </c>
      <c r="T59">
        <f t="shared" si="9"/>
        <v>-5.3000000000000009E-4</v>
      </c>
      <c r="U59">
        <f t="shared" si="9"/>
        <v>-3.700000000000001E-4</v>
      </c>
      <c r="V59">
        <f t="shared" si="9"/>
        <v>1.1113000000000002E-3</v>
      </c>
      <c r="W59">
        <f t="shared" si="9"/>
        <v>9.01E-4</v>
      </c>
      <c r="X59">
        <f t="shared" si="9"/>
        <v>1.0487000000000001E-3</v>
      </c>
      <c r="Y59">
        <f t="shared" si="9"/>
        <v>1.7669999999999999E-3</v>
      </c>
      <c r="Z59">
        <f t="shared" si="9"/>
        <v>1.374E-3</v>
      </c>
      <c r="AA59">
        <f t="shared" si="9"/>
        <v>1.606E-3</v>
      </c>
      <c r="AB59">
        <f t="shared" si="9"/>
        <v>2.0709999999999999E-3</v>
      </c>
      <c r="AC59">
        <f t="shared" si="9"/>
        <v>1.98E-3</v>
      </c>
      <c r="AD59">
        <f t="shared" si="9"/>
        <v>1.8549999999999999E-3</v>
      </c>
      <c r="AE59">
        <f t="shared" si="9"/>
        <v>1.596E-3</v>
      </c>
      <c r="AF59">
        <f t="shared" si="9"/>
        <v>1.219E-3</v>
      </c>
      <c r="AG59">
        <f t="shared" si="9"/>
        <v>2.5399999999999999E-4</v>
      </c>
      <c r="AH59">
        <f t="shared" si="9"/>
        <v>1.1499999999999998E-4</v>
      </c>
      <c r="AI59">
        <f t="shared" si="9"/>
        <v>4.1699999999999994E-4</v>
      </c>
      <c r="AJ59">
        <f t="shared" si="9"/>
        <v>1.4550000000000001E-3</v>
      </c>
      <c r="AK59">
        <f t="shared" si="9"/>
        <v>1.475E-3</v>
      </c>
      <c r="AL59">
        <f t="shared" si="9"/>
        <v>9.2800000000000011E-4</v>
      </c>
      <c r="AM59">
        <f t="shared" si="9"/>
        <v>7.7500000000000008E-4</v>
      </c>
      <c r="AN59">
        <f t="shared" si="9"/>
        <v>5.5699999999999999E-4</v>
      </c>
      <c r="AO59">
        <f t="shared" si="9"/>
        <v>6.4500000000000007E-4</v>
      </c>
      <c r="AP59">
        <f t="shared" si="9"/>
        <v>7.2300000000000001E-4</v>
      </c>
      <c r="AQ59">
        <f t="shared" si="9"/>
        <v>1.206E-3</v>
      </c>
      <c r="AR59">
        <f t="shared" si="9"/>
        <v>1.39E-3</v>
      </c>
      <c r="AS59">
        <f t="shared" si="9"/>
        <v>9.278E-4</v>
      </c>
      <c r="AT59">
        <f t="shared" si="9"/>
        <v>1.042E-3</v>
      </c>
      <c r="AU59">
        <f t="shared" si="9"/>
        <v>1.2769999999999999E-3</v>
      </c>
      <c r="AV59">
        <f t="shared" si="9"/>
        <v>5.6899999999999995E-4</v>
      </c>
      <c r="AW59">
        <f t="shared" si="9"/>
        <v>9.8689999999999997E-4</v>
      </c>
      <c r="AX59">
        <f t="shared" si="9"/>
        <v>1.4220000000000001E-3</v>
      </c>
      <c r="AY59">
        <f t="shared" si="9"/>
        <v>1.444E-3</v>
      </c>
      <c r="AZ59">
        <f t="shared" si="9"/>
        <v>1.3179999999999999E-3</v>
      </c>
      <c r="BA59">
        <f t="shared" si="9"/>
        <v>1.346E-3</v>
      </c>
      <c r="BB59">
        <f t="shared" si="9"/>
        <v>1.1689999999999999E-3</v>
      </c>
      <c r="BC59">
        <f t="shared" si="9"/>
        <v>9.8830000000000012E-4</v>
      </c>
      <c r="BD59">
        <f t="shared" si="9"/>
        <v>1.1330000000000001E-3</v>
      </c>
      <c r="BE59">
        <f t="shared" si="9"/>
        <v>1.0040000000000001E-3</v>
      </c>
      <c r="BF59">
        <f t="shared" si="9"/>
        <v>2.5000000000000001E-4</v>
      </c>
      <c r="BG59">
        <f t="shared" si="9"/>
        <v>6.3699999999999998E-4</v>
      </c>
      <c r="BH59">
        <f t="shared" si="9"/>
        <v>6.4900000000000005E-4</v>
      </c>
      <c r="BI59">
        <f t="shared" si="9"/>
        <v>6.8800000000000003E-4</v>
      </c>
      <c r="BJ59">
        <f t="shared" si="9"/>
        <v>6.0500000000000007E-4</v>
      </c>
      <c r="BK59">
        <f t="shared" si="9"/>
        <v>9.7499999999999996E-4</v>
      </c>
      <c r="BL59">
        <f t="shared" si="9"/>
        <v>6.87E-4</v>
      </c>
      <c r="BM59">
        <f t="shared" si="9"/>
        <v>1.029E-3</v>
      </c>
      <c r="BN59">
        <f t="shared" si="9"/>
        <v>1.227E-3</v>
      </c>
      <c r="BO59">
        <f t="shared" ref="BO59" si="10">BO42+BO50</f>
        <v>2.0249999999999999E-3</v>
      </c>
      <c r="BP59">
        <f t="shared" si="7"/>
        <v>1.882E-3</v>
      </c>
      <c r="BQ59">
        <f t="shared" si="8"/>
        <v>1.81E-3</v>
      </c>
      <c r="BR59">
        <f t="shared" si="8"/>
        <v>1.5999999999999999E-3</v>
      </c>
      <c r="BS59">
        <f t="shared" si="8"/>
        <v>1.66E-3</v>
      </c>
      <c r="BT59">
        <f t="shared" si="8"/>
        <v>2.7239999999999999E-3</v>
      </c>
      <c r="BU59">
        <f t="shared" si="8"/>
        <v>2.496E-3</v>
      </c>
      <c r="BV59">
        <f t="shared" si="8"/>
        <v>4.7800000000000002E-4</v>
      </c>
      <c r="BW59">
        <f t="shared" si="8"/>
        <v>1.1070000000000001E-3</v>
      </c>
      <c r="BX59">
        <f t="shared" si="8"/>
        <v>1.348E-3</v>
      </c>
      <c r="BY59">
        <f t="shared" si="8"/>
        <v>1.0790000000000001E-3</v>
      </c>
      <c r="BZ59">
        <f t="shared" si="8"/>
        <v>1.145E-3</v>
      </c>
      <c r="CA59">
        <f t="shared" si="8"/>
        <v>1.565E-3</v>
      </c>
      <c r="CB59">
        <f t="shared" si="8"/>
        <v>1.4109999999999999E-3</v>
      </c>
      <c r="CC59">
        <f t="shared" si="8"/>
        <v>1.2509999999999999E-3</v>
      </c>
      <c r="CD59">
        <f t="shared" si="8"/>
        <v>7.6520000000000006E-4</v>
      </c>
      <c r="CE59">
        <f t="shared" si="8"/>
        <v>2.7390000000000001E-3</v>
      </c>
      <c r="CF59">
        <f t="shared" si="8"/>
        <v>3.2949999999999998E-3</v>
      </c>
      <c r="CG59">
        <f t="shared" si="8"/>
        <v>3.4319999999999997E-3</v>
      </c>
      <c r="CH59">
        <f t="shared" si="8"/>
        <v>1.9469999999999999E-3</v>
      </c>
      <c r="CI59">
        <f t="shared" si="8"/>
        <v>7.4673999999999997E-4</v>
      </c>
      <c r="CJ59">
        <f t="shared" si="8"/>
        <v>-3.2500000000000009E-4</v>
      </c>
      <c r="CK59">
        <f t="shared" si="8"/>
        <v>8.5099999999999998E-4</v>
      </c>
      <c r="CL59">
        <f t="shared" si="8"/>
        <v>4.2499999999999998E-4</v>
      </c>
      <c r="CM59">
        <f t="shared" si="8"/>
        <v>1.341E-3</v>
      </c>
      <c r="CN59">
        <f t="shared" si="8"/>
        <v>1.3519999999999999E-3</v>
      </c>
      <c r="CO59">
        <f t="shared" si="8"/>
        <v>1.67E-3</v>
      </c>
      <c r="CP59">
        <f t="shared" si="8"/>
        <v>6.5309999999999999E-4</v>
      </c>
      <c r="CQ59">
        <f t="shared" si="8"/>
        <v>2.8200000000000002E-4</v>
      </c>
      <c r="CR59">
        <f t="shared" si="8"/>
        <v>-3.0999999999999995E-4</v>
      </c>
      <c r="CS59">
        <f t="shared" si="8"/>
        <v>-2.578E-3</v>
      </c>
      <c r="CT59">
        <f t="shared" si="8"/>
        <v>-1.8810000000000003E-3</v>
      </c>
      <c r="CU59">
        <f t="shared" si="8"/>
        <v>-2.3160000000000004E-3</v>
      </c>
      <c r="CV59">
        <f t="shared" si="8"/>
        <v>-1.1609999999999999E-3</v>
      </c>
      <c r="CW59">
        <f t="shared" si="8"/>
        <v>-6.5299999999999993E-4</v>
      </c>
      <c r="CX59">
        <f t="shared" si="8"/>
        <v>4.9949999999999994E-3</v>
      </c>
    </row>
    <row r="60" spans="1:102" x14ac:dyDescent="0.2">
      <c r="A60" t="s">
        <v>213</v>
      </c>
      <c r="B60" t="s">
        <v>220</v>
      </c>
      <c r="C60" t="s">
        <v>221</v>
      </c>
      <c r="D60">
        <f t="shared" ref="D60:BO62" si="11">D43+D51</f>
        <v>-0.16490000000000002</v>
      </c>
      <c r="E60">
        <f t="shared" si="11"/>
        <v>-0.16270000000000001</v>
      </c>
      <c r="F60">
        <f t="shared" si="11"/>
        <v>-2.717E-2</v>
      </c>
      <c r="G60">
        <f t="shared" si="11"/>
        <v>-0.18359999999999999</v>
      </c>
      <c r="H60">
        <f t="shared" si="11"/>
        <v>9.9299999999999999E-2</v>
      </c>
      <c r="I60">
        <f t="shared" si="11"/>
        <v>-0.10009999999999999</v>
      </c>
      <c r="J60">
        <f t="shared" si="11"/>
        <v>1.8300000000000004E-2</v>
      </c>
      <c r="K60">
        <f t="shared" si="11"/>
        <v>9.3000000000000027E-3</v>
      </c>
      <c r="L60">
        <f t="shared" si="11"/>
        <v>-1.8199999999999997E-2</v>
      </c>
      <c r="M60">
        <f t="shared" si="11"/>
        <v>0.11449999999999999</v>
      </c>
      <c r="N60">
        <f t="shared" si="11"/>
        <v>0.15920000000000001</v>
      </c>
      <c r="O60">
        <f t="shared" si="11"/>
        <v>7.6800000000000007E-2</v>
      </c>
      <c r="P60">
        <f t="shared" si="11"/>
        <v>0.1303</v>
      </c>
      <c r="Q60">
        <f t="shared" si="11"/>
        <v>0.1255</v>
      </c>
      <c r="R60">
        <f t="shared" si="11"/>
        <v>0.1086</v>
      </c>
      <c r="S60">
        <f t="shared" si="11"/>
        <v>7.7100000000000002E-2</v>
      </c>
      <c r="T60">
        <f t="shared" si="11"/>
        <v>5.6400000000000006E-2</v>
      </c>
      <c r="U60">
        <f t="shared" si="11"/>
        <v>4.7789999999999999E-2</v>
      </c>
      <c r="V60">
        <f t="shared" si="11"/>
        <v>3.5659999999999997E-2</v>
      </c>
      <c r="W60">
        <f t="shared" si="11"/>
        <v>3.1170000000000003E-2</v>
      </c>
      <c r="X60">
        <f t="shared" si="11"/>
        <v>2.8070000000000001E-2</v>
      </c>
      <c r="Y60">
        <f t="shared" si="11"/>
        <v>1.626E-2</v>
      </c>
      <c r="Z60">
        <f t="shared" si="11"/>
        <v>2.3460000000000002E-2</v>
      </c>
      <c r="AA60">
        <f t="shared" si="11"/>
        <v>3.1829999999999997E-2</v>
      </c>
      <c r="AB60">
        <f t="shared" si="11"/>
        <v>3.8119999999999994E-2</v>
      </c>
      <c r="AC60">
        <f t="shared" si="11"/>
        <v>3.9410000000000001E-2</v>
      </c>
      <c r="AD60">
        <f t="shared" si="11"/>
        <v>3.5320000000000004E-2</v>
      </c>
      <c r="AE60">
        <f t="shared" si="11"/>
        <v>3.6830000000000002E-2</v>
      </c>
      <c r="AF60">
        <f t="shared" si="11"/>
        <v>3.2000000000000001E-2</v>
      </c>
      <c r="AG60">
        <f t="shared" si="11"/>
        <v>2.7269999999999999E-2</v>
      </c>
      <c r="AH60">
        <f t="shared" si="11"/>
        <v>3.5279999999999999E-2</v>
      </c>
      <c r="AI60">
        <f t="shared" si="11"/>
        <v>2.7740000000000001E-2</v>
      </c>
      <c r="AJ60">
        <f t="shared" si="11"/>
        <v>2.1579999999999998E-2</v>
      </c>
      <c r="AK60">
        <f t="shared" si="11"/>
        <v>2.036E-2</v>
      </c>
      <c r="AL60">
        <f t="shared" si="11"/>
        <v>2.4810000000000002E-2</v>
      </c>
      <c r="AM60">
        <f t="shared" si="11"/>
        <v>2.0959999999999999E-2</v>
      </c>
      <c r="AN60">
        <f t="shared" si="11"/>
        <v>2.2720000000000001E-2</v>
      </c>
      <c r="AO60">
        <f t="shared" si="11"/>
        <v>2.7559999999999998E-2</v>
      </c>
      <c r="AP60">
        <f t="shared" si="11"/>
        <v>3.3680000000000002E-2</v>
      </c>
      <c r="AQ60">
        <f t="shared" si="11"/>
        <v>3.5450000000000002E-2</v>
      </c>
      <c r="AR60">
        <f t="shared" si="11"/>
        <v>3.2070000000000001E-2</v>
      </c>
      <c r="AS60">
        <f t="shared" si="11"/>
        <v>2.4759999999999997E-2</v>
      </c>
      <c r="AT60">
        <f t="shared" si="11"/>
        <v>2.1680000000000001E-2</v>
      </c>
      <c r="AU60">
        <f t="shared" si="11"/>
        <v>1.9880000000000002E-2</v>
      </c>
      <c r="AV60">
        <f t="shared" si="11"/>
        <v>2.8539999999999999E-2</v>
      </c>
      <c r="AW60">
        <f t="shared" si="11"/>
        <v>2.869E-2</v>
      </c>
      <c r="AX60">
        <f t="shared" si="11"/>
        <v>1.772E-2</v>
      </c>
      <c r="AY60">
        <f t="shared" si="11"/>
        <v>1.806E-2</v>
      </c>
      <c r="AZ60">
        <f t="shared" si="11"/>
        <v>2.078E-2</v>
      </c>
      <c r="BA60">
        <f t="shared" si="11"/>
        <v>2.4070000000000001E-2</v>
      </c>
      <c r="BB60">
        <f t="shared" si="11"/>
        <v>1.9550000000000001E-2</v>
      </c>
      <c r="BC60">
        <f t="shared" si="11"/>
        <v>2.5021000000000002E-2</v>
      </c>
      <c r="BD60">
        <f t="shared" si="11"/>
        <v>2.1219999999999999E-2</v>
      </c>
      <c r="BE60">
        <f t="shared" si="11"/>
        <v>2.332E-2</v>
      </c>
      <c r="BF60">
        <f t="shared" si="11"/>
        <v>2.4033700000000002E-2</v>
      </c>
      <c r="BG60">
        <f t="shared" si="11"/>
        <v>2.7253299999999998E-2</v>
      </c>
      <c r="BH60">
        <f t="shared" si="11"/>
        <v>3.0613999999999999E-2</v>
      </c>
      <c r="BI60">
        <f t="shared" si="11"/>
        <v>2.6983999999999998E-2</v>
      </c>
      <c r="BJ60">
        <f t="shared" si="11"/>
        <v>3.0584E-2</v>
      </c>
      <c r="BK60">
        <f t="shared" si="11"/>
        <v>2.5094000000000002E-2</v>
      </c>
      <c r="BL60">
        <f t="shared" si="11"/>
        <v>2.3556999999999998E-2</v>
      </c>
      <c r="BM60">
        <f t="shared" si="11"/>
        <v>2.1586999999999999E-2</v>
      </c>
      <c r="BN60">
        <f t="shared" si="11"/>
        <v>1.8961000000000002E-2</v>
      </c>
      <c r="BO60">
        <f t="shared" si="11"/>
        <v>1.6299999999999999E-2</v>
      </c>
      <c r="BP60">
        <f t="shared" si="7"/>
        <v>1.0754E-2</v>
      </c>
      <c r="BQ60">
        <f t="shared" si="8"/>
        <v>1.502E-2</v>
      </c>
      <c r="BR60">
        <f t="shared" si="8"/>
        <v>2.0970000000000003E-2</v>
      </c>
      <c r="BS60">
        <f t="shared" si="8"/>
        <v>2.5929999999999998E-2</v>
      </c>
      <c r="BT60">
        <f t="shared" si="8"/>
        <v>3.0887999999999999E-2</v>
      </c>
      <c r="BU60">
        <f t="shared" si="8"/>
        <v>3.4369999999999998E-2</v>
      </c>
      <c r="BV60">
        <f t="shared" si="8"/>
        <v>3.6420000000000001E-2</v>
      </c>
      <c r="BW60">
        <f t="shared" si="8"/>
        <v>3.789E-2</v>
      </c>
      <c r="BX60">
        <f t="shared" si="8"/>
        <v>2.8510000000000001E-2</v>
      </c>
      <c r="BY60">
        <f t="shared" si="8"/>
        <v>4.1069999999999995E-2</v>
      </c>
      <c r="BZ60">
        <f t="shared" si="8"/>
        <v>4.2450000000000002E-2</v>
      </c>
      <c r="CA60">
        <f t="shared" si="8"/>
        <v>3.49E-2</v>
      </c>
      <c r="CB60">
        <f t="shared" si="8"/>
        <v>2.4680000000000001E-2</v>
      </c>
      <c r="CC60">
        <f t="shared" si="8"/>
        <v>3.5979999999999998E-2</v>
      </c>
      <c r="CD60">
        <f t="shared" si="8"/>
        <v>2.0382999999999998E-2</v>
      </c>
      <c r="CE60">
        <f t="shared" si="8"/>
        <v>2.1444000000000001E-2</v>
      </c>
      <c r="CF60">
        <f t="shared" si="8"/>
        <v>2.5149999999999999E-2</v>
      </c>
      <c r="CG60">
        <f t="shared" si="8"/>
        <v>2.6825999999999999E-2</v>
      </c>
      <c r="CH60">
        <f t="shared" si="8"/>
        <v>2.0681999999999999E-2</v>
      </c>
      <c r="CI60">
        <f t="shared" si="8"/>
        <v>2.5328999999999997E-2</v>
      </c>
      <c r="CJ60">
        <f t="shared" si="8"/>
        <v>1.39372E-2</v>
      </c>
      <c r="CK60">
        <f t="shared" si="8"/>
        <v>6.0767999999999994E-3</v>
      </c>
      <c r="CL60">
        <f t="shared" si="8"/>
        <v>2.1050000000000001E-3</v>
      </c>
      <c r="CM60">
        <f t="shared" si="8"/>
        <v>1.6217000000000002E-2</v>
      </c>
      <c r="CN60">
        <f t="shared" si="8"/>
        <v>1.9002999999999999E-2</v>
      </c>
      <c r="CO60">
        <f t="shared" si="8"/>
        <v>6.5299999999999993E-3</v>
      </c>
      <c r="CP60">
        <f t="shared" si="8"/>
        <v>1.7405E-2</v>
      </c>
      <c r="CQ60">
        <f t="shared" si="8"/>
        <v>8.4600000000000005E-3</v>
      </c>
      <c r="CR60">
        <f t="shared" si="8"/>
        <v>1.2189999999999999E-2</v>
      </c>
      <c r="CS60">
        <f t="shared" si="8"/>
        <v>2.5219999999999999E-2</v>
      </c>
      <c r="CT60">
        <f t="shared" si="8"/>
        <v>1.7840000000000002E-2</v>
      </c>
      <c r="CU60">
        <f t="shared" si="8"/>
        <v>1.2829999999999999E-2</v>
      </c>
      <c r="CV60">
        <f t="shared" si="8"/>
        <v>-9.1399999999999988E-3</v>
      </c>
      <c r="CW60">
        <f t="shared" si="8"/>
        <v>1.3989999999999999E-2</v>
      </c>
      <c r="CX60">
        <f t="shared" si="8"/>
        <v>1.2920000000000001E-2</v>
      </c>
    </row>
    <row r="61" spans="1:102" x14ac:dyDescent="0.2">
      <c r="A61" t="s">
        <v>214</v>
      </c>
      <c r="B61" t="s">
        <v>220</v>
      </c>
      <c r="C61" t="s">
        <v>221</v>
      </c>
      <c r="D61">
        <f t="shared" si="11"/>
        <v>4.8600000000000004E-2</v>
      </c>
      <c r="E61">
        <f t="shared" si="11"/>
        <v>5.8800000000000005E-2</v>
      </c>
      <c r="F61">
        <f t="shared" si="11"/>
        <v>3.8899999999999997E-2</v>
      </c>
      <c r="G61">
        <f t="shared" si="11"/>
        <v>2.5599999999999998E-2</v>
      </c>
      <c r="H61">
        <f t="shared" si="11"/>
        <v>5.0299999999999997E-2</v>
      </c>
      <c r="I61">
        <f t="shared" si="11"/>
        <v>4.5399999999999996E-2</v>
      </c>
      <c r="J61">
        <f t="shared" si="11"/>
        <v>3.7170000000000002E-2</v>
      </c>
      <c r="K61">
        <f t="shared" si="11"/>
        <v>3.0859999999999999E-2</v>
      </c>
      <c r="L61">
        <f t="shared" si="11"/>
        <v>2.5729999999999999E-2</v>
      </c>
      <c r="M61">
        <f t="shared" si="11"/>
        <v>2.2289999999999997E-2</v>
      </c>
      <c r="N61">
        <f t="shared" si="11"/>
        <v>1.7160000000000002E-2</v>
      </c>
      <c r="O61">
        <f t="shared" si="11"/>
        <v>5.5099999999999993E-3</v>
      </c>
      <c r="P61">
        <f t="shared" si="11"/>
        <v>1.958E-2</v>
      </c>
      <c r="Q61">
        <f t="shared" si="11"/>
        <v>4.7299999999999998E-3</v>
      </c>
      <c r="R61">
        <f t="shared" si="11"/>
        <v>6.4999999999999997E-4</v>
      </c>
      <c r="S61">
        <f t="shared" si="11"/>
        <v>3.1549999999999998E-3</v>
      </c>
      <c r="T61">
        <f t="shared" si="11"/>
        <v>1.3100000000000002E-3</v>
      </c>
      <c r="U61">
        <f t="shared" si="11"/>
        <v>4.8199999999999996E-3</v>
      </c>
      <c r="V61">
        <f t="shared" si="11"/>
        <v>6.3999999999999994E-4</v>
      </c>
      <c r="W61">
        <f t="shared" si="11"/>
        <v>-7.499999999999998E-4</v>
      </c>
      <c r="X61">
        <f t="shared" si="11"/>
        <v>-8.1999999999999998E-4</v>
      </c>
      <c r="Y61">
        <f t="shared" si="11"/>
        <v>-2.2799999999999999E-3</v>
      </c>
      <c r="Z61">
        <f t="shared" si="11"/>
        <v>-4.8999999999999998E-3</v>
      </c>
      <c r="AA61">
        <f t="shared" si="11"/>
        <v>-5.9099999999999995E-3</v>
      </c>
      <c r="AB61">
        <f t="shared" si="11"/>
        <v>4.9700000000000005E-3</v>
      </c>
      <c r="AC61">
        <f t="shared" si="11"/>
        <v>-5.8999999999999981E-4</v>
      </c>
      <c r="AD61">
        <f t="shared" si="11"/>
        <v>-7.3000000000000018E-4</v>
      </c>
      <c r="AE61">
        <f t="shared" si="11"/>
        <v>-2.7000000000000006E-3</v>
      </c>
      <c r="AF61">
        <f t="shared" si="11"/>
        <v>7.3600000000000002E-3</v>
      </c>
      <c r="AG61">
        <f t="shared" si="11"/>
        <v>1.75E-3</v>
      </c>
      <c r="AH61">
        <f t="shared" si="11"/>
        <v>3.0799999999999998E-3</v>
      </c>
      <c r="AI61">
        <f t="shared" si="11"/>
        <v>2.7140000000000003E-3</v>
      </c>
      <c r="AJ61">
        <f t="shared" si="11"/>
        <v>3.9779999999999998E-3</v>
      </c>
      <c r="AK61">
        <f t="shared" si="11"/>
        <v>3.9034E-3</v>
      </c>
      <c r="AL61">
        <f t="shared" si="11"/>
        <v>4.1529999999999996E-3</v>
      </c>
      <c r="AM61">
        <f t="shared" si="11"/>
        <v>-1.9999999999999966E-4</v>
      </c>
      <c r="AN61">
        <f t="shared" si="11"/>
        <v>1.7799999999999999E-3</v>
      </c>
      <c r="AO61">
        <f t="shared" si="11"/>
        <v>-6.1999999999999989E-4</v>
      </c>
      <c r="AP61">
        <f t="shared" si="11"/>
        <v>7.4799999999999997E-3</v>
      </c>
      <c r="AQ61">
        <f t="shared" si="11"/>
        <v>3.9770000000000005E-3</v>
      </c>
      <c r="AR61">
        <f t="shared" si="11"/>
        <v>1.026E-2</v>
      </c>
      <c r="AS61">
        <f t="shared" si="11"/>
        <v>-2.5999999999999981E-4</v>
      </c>
      <c r="AT61">
        <f t="shared" si="11"/>
        <v>1.0999999999999985E-4</v>
      </c>
      <c r="AU61">
        <f t="shared" si="11"/>
        <v>-6.6E-4</v>
      </c>
      <c r="AV61">
        <f t="shared" si="11"/>
        <v>9.6800000000000011E-3</v>
      </c>
      <c r="AW61">
        <f t="shared" si="11"/>
        <v>3.96E-3</v>
      </c>
      <c r="AX61">
        <f t="shared" si="11"/>
        <v>6.7099999999999998E-3</v>
      </c>
      <c r="AY61">
        <f t="shared" si="11"/>
        <v>3.8159999999999999E-3</v>
      </c>
      <c r="AZ61">
        <f t="shared" si="11"/>
        <v>5.8099999999999992E-3</v>
      </c>
      <c r="BA61">
        <f t="shared" si="11"/>
        <v>5.3600000000000002E-3</v>
      </c>
      <c r="BB61">
        <f t="shared" si="11"/>
        <v>4.8400000000000006E-3</v>
      </c>
      <c r="BC61">
        <f t="shared" si="11"/>
        <v>2.5839999999999999E-3</v>
      </c>
      <c r="BD61">
        <f t="shared" si="11"/>
        <v>3.5950000000000001E-3</v>
      </c>
      <c r="BE61">
        <f t="shared" si="11"/>
        <v>-1.2399999999999998E-3</v>
      </c>
      <c r="BF61">
        <f t="shared" si="11"/>
        <v>6.4700000000000001E-3</v>
      </c>
      <c r="BG61">
        <f t="shared" si="11"/>
        <v>3.3249999999999998E-3</v>
      </c>
      <c r="BH61">
        <f t="shared" si="11"/>
        <v>6.5400000000000007E-3</v>
      </c>
      <c r="BI61">
        <f t="shared" si="11"/>
        <v>5.2500000000000003E-3</v>
      </c>
      <c r="BJ61">
        <f t="shared" si="11"/>
        <v>9.1400000000000006E-3</v>
      </c>
      <c r="BK61">
        <f t="shared" si="11"/>
        <v>3.5699999999999998E-3</v>
      </c>
      <c r="BL61">
        <f t="shared" si="11"/>
        <v>5.6100000000000004E-3</v>
      </c>
      <c r="BM61">
        <f t="shared" si="11"/>
        <v>3.6850000000000003E-3</v>
      </c>
      <c r="BN61">
        <f t="shared" si="11"/>
        <v>4.4200000000000003E-3</v>
      </c>
      <c r="BO61">
        <f t="shared" si="11"/>
        <v>4.9700000000000005E-3</v>
      </c>
      <c r="BP61">
        <f t="shared" si="7"/>
        <v>6.1500000000000001E-3</v>
      </c>
      <c r="BQ61">
        <f t="shared" si="8"/>
        <v>-1.82E-3</v>
      </c>
      <c r="BR61">
        <f t="shared" si="8"/>
        <v>-7.6E-3</v>
      </c>
      <c r="BS61">
        <f t="shared" si="8"/>
        <v>2.8640000000000002E-3</v>
      </c>
      <c r="BT61">
        <f t="shared" si="8"/>
        <v>4.6999999999999993E-3</v>
      </c>
      <c r="BU61">
        <f t="shared" si="8"/>
        <v>8.6700000000000006E-3</v>
      </c>
      <c r="BV61">
        <f t="shared" si="8"/>
        <v>5.7599999999999995E-3</v>
      </c>
      <c r="BW61">
        <f t="shared" si="8"/>
        <v>7.5199999999999998E-3</v>
      </c>
      <c r="BX61">
        <f t="shared" si="8"/>
        <v>8.9800000000000001E-3</v>
      </c>
      <c r="BY61">
        <f t="shared" si="8"/>
        <v>8.3000000000000001E-3</v>
      </c>
      <c r="BZ61">
        <f t="shared" si="8"/>
        <v>2.1199999999999999E-3</v>
      </c>
      <c r="CA61">
        <f t="shared" si="8"/>
        <v>1.0109999999999999E-2</v>
      </c>
      <c r="CB61">
        <f t="shared" si="8"/>
        <v>-1.5700000000000002E-3</v>
      </c>
      <c r="CC61">
        <f t="shared" si="8"/>
        <v>-4.0300000000000006E-3</v>
      </c>
      <c r="CD61">
        <f t="shared" si="8"/>
        <v>1.189E-2</v>
      </c>
      <c r="CE61">
        <f t="shared" si="8"/>
        <v>1.5300000000000001E-2</v>
      </c>
      <c r="CF61">
        <f t="shared" si="8"/>
        <v>1.4E-3</v>
      </c>
      <c r="CG61">
        <f t="shared" si="8"/>
        <v>1.3130000000000001E-2</v>
      </c>
      <c r="CH61">
        <f t="shared" si="8"/>
        <v>5.6899999999999997E-3</v>
      </c>
      <c r="CI61">
        <f t="shared" si="8"/>
        <v>1.451E-2</v>
      </c>
      <c r="CJ61">
        <f t="shared" si="8"/>
        <v>1.149E-2</v>
      </c>
      <c r="CK61">
        <f t="shared" si="8"/>
        <v>1.257E-2</v>
      </c>
      <c r="CL61">
        <f t="shared" si="8"/>
        <v>2.9769999999999996E-3</v>
      </c>
      <c r="CM61">
        <f t="shared" si="8"/>
        <v>1.882E-2</v>
      </c>
      <c r="CN61">
        <f t="shared" si="8"/>
        <v>1.251E-2</v>
      </c>
      <c r="CO61">
        <f t="shared" si="8"/>
        <v>1.6970000000000002E-2</v>
      </c>
      <c r="CP61">
        <f t="shared" si="8"/>
        <v>1.1242E-2</v>
      </c>
      <c r="CQ61">
        <f t="shared" si="8"/>
        <v>2.1231999999999997E-2</v>
      </c>
      <c r="CR61">
        <f t="shared" si="8"/>
        <v>1.7437999999999999E-2</v>
      </c>
      <c r="CS61">
        <f t="shared" si="8"/>
        <v>1.2718E-2</v>
      </c>
      <c r="CT61">
        <f t="shared" si="8"/>
        <v>2.9869999999999997E-2</v>
      </c>
      <c r="CU61">
        <f t="shared" si="8"/>
        <v>3.8495999999999996E-2</v>
      </c>
      <c r="CV61">
        <f t="shared" si="8"/>
        <v>3.1474799999999997E-2</v>
      </c>
      <c r="CW61">
        <f t="shared" si="8"/>
        <v>3.8966000000000001E-2</v>
      </c>
      <c r="CX61">
        <f t="shared" si="8"/>
        <v>2.8923400000000002E-2</v>
      </c>
    </row>
    <row r="62" spans="1:102" x14ac:dyDescent="0.2">
      <c r="A62" t="s">
        <v>215</v>
      </c>
      <c r="B62" t="s">
        <v>220</v>
      </c>
      <c r="C62" t="s">
        <v>221</v>
      </c>
      <c r="D62">
        <f t="shared" si="11"/>
        <v>-2.9399999999999999E-3</v>
      </c>
      <c r="E62">
        <f t="shared" si="11"/>
        <v>-0.1013</v>
      </c>
      <c r="F62">
        <f t="shared" si="11"/>
        <v>-5.5470000000000005E-2</v>
      </c>
      <c r="G62">
        <f t="shared" si="11"/>
        <v>-1.8330000000000003E-2</v>
      </c>
      <c r="H62">
        <f t="shared" si="11"/>
        <v>3.746E-2</v>
      </c>
      <c r="I62">
        <f t="shared" si="11"/>
        <v>4.7670000000000004E-2</v>
      </c>
      <c r="J62">
        <f t="shared" si="11"/>
        <v>4.4979999999999999E-2</v>
      </c>
      <c r="K62">
        <f t="shared" si="11"/>
        <v>1.6119999999999999E-2</v>
      </c>
      <c r="L62">
        <f t="shared" si="11"/>
        <v>1.704E-2</v>
      </c>
      <c r="M62">
        <f t="shared" si="11"/>
        <v>1.324E-2</v>
      </c>
      <c r="N62">
        <f t="shared" si="11"/>
        <v>2.7909999999999997E-2</v>
      </c>
      <c r="O62">
        <f t="shared" si="11"/>
        <v>1.6109999999999999E-2</v>
      </c>
      <c r="P62">
        <f t="shared" si="11"/>
        <v>2.4681999999999999E-2</v>
      </c>
      <c r="Q62">
        <f t="shared" si="11"/>
        <v>2.0702999999999999E-2</v>
      </c>
      <c r="R62">
        <f t="shared" si="11"/>
        <v>2.25302E-2</v>
      </c>
      <c r="S62">
        <f t="shared" si="11"/>
        <v>1.9465E-2</v>
      </c>
      <c r="T62">
        <f t="shared" si="11"/>
        <v>1.95712E-2</v>
      </c>
      <c r="U62">
        <f t="shared" si="11"/>
        <v>1.6771999999999999E-2</v>
      </c>
      <c r="V62">
        <f t="shared" si="11"/>
        <v>1.8374000000000001E-2</v>
      </c>
      <c r="W62">
        <f t="shared" si="11"/>
        <v>1.7408E-2</v>
      </c>
      <c r="X62">
        <f t="shared" si="11"/>
        <v>1.2947E-2</v>
      </c>
      <c r="Y62">
        <f t="shared" si="11"/>
        <v>1.3004999999999999E-2</v>
      </c>
      <c r="Z62">
        <f t="shared" si="11"/>
        <v>1.2416E-2</v>
      </c>
      <c r="AA62">
        <f t="shared" si="11"/>
        <v>1.18986E-2</v>
      </c>
      <c r="AB62">
        <f t="shared" si="11"/>
        <v>1.3436E-2</v>
      </c>
      <c r="AC62">
        <f t="shared" si="11"/>
        <v>1.3209E-2</v>
      </c>
      <c r="AD62">
        <f t="shared" si="11"/>
        <v>1.4581999999999999E-2</v>
      </c>
      <c r="AE62">
        <f t="shared" si="11"/>
        <v>1.4509000000000001E-2</v>
      </c>
      <c r="AF62">
        <f t="shared" si="11"/>
        <v>1.3898000000000001E-2</v>
      </c>
      <c r="AG62">
        <f t="shared" si="11"/>
        <v>1.4476000000000001E-2</v>
      </c>
      <c r="AH62">
        <f t="shared" si="11"/>
        <v>1.7697999999999998E-2</v>
      </c>
      <c r="AI62">
        <f t="shared" si="11"/>
        <v>1.8068000000000001E-2</v>
      </c>
      <c r="AJ62">
        <f t="shared" si="11"/>
        <v>1.2588999999999999E-2</v>
      </c>
      <c r="AK62">
        <f t="shared" si="11"/>
        <v>1.6658999999999999E-3</v>
      </c>
      <c r="AL62">
        <f t="shared" si="11"/>
        <v>3.5054000000000001E-3</v>
      </c>
      <c r="AM62">
        <f t="shared" si="11"/>
        <v>3.509E-3</v>
      </c>
      <c r="AN62">
        <f t="shared" si="11"/>
        <v>3.1349999999999998E-3</v>
      </c>
      <c r="AO62">
        <f t="shared" si="11"/>
        <v>5.1350000000000007E-3</v>
      </c>
      <c r="AP62">
        <f t="shared" si="11"/>
        <v>-2.869E-3</v>
      </c>
      <c r="AQ62">
        <f t="shared" si="11"/>
        <v>-1.5760000000000001E-3</v>
      </c>
      <c r="AR62">
        <f t="shared" si="11"/>
        <v>2.2309999999999999E-3</v>
      </c>
      <c r="AS62">
        <f t="shared" si="11"/>
        <v>2.9159999999999998E-3</v>
      </c>
      <c r="AT62">
        <f t="shared" si="11"/>
        <v>3.2199999999999998E-3</v>
      </c>
      <c r="AU62">
        <f t="shared" si="11"/>
        <v>3.79E-3</v>
      </c>
      <c r="AV62">
        <f t="shared" si="11"/>
        <v>6.6530000000000001E-3</v>
      </c>
      <c r="AW62">
        <f t="shared" si="11"/>
        <v>6.9899999999999997E-3</v>
      </c>
      <c r="AX62">
        <f t="shared" si="11"/>
        <v>6.7019999999999996E-3</v>
      </c>
      <c r="AY62">
        <f t="shared" si="11"/>
        <v>6.8059999999999996E-3</v>
      </c>
      <c r="AZ62">
        <f t="shared" si="11"/>
        <v>9.3170000000000006E-3</v>
      </c>
      <c r="BA62">
        <f t="shared" si="11"/>
        <v>1.2758E-2</v>
      </c>
      <c r="BB62">
        <f t="shared" si="11"/>
        <v>1.1779299999999999E-2</v>
      </c>
      <c r="BC62">
        <f t="shared" si="11"/>
        <v>1.2882999999999999E-2</v>
      </c>
      <c r="BD62">
        <f t="shared" si="11"/>
        <v>1.6667999999999999E-2</v>
      </c>
      <c r="BE62">
        <f t="shared" si="11"/>
        <v>1.4288E-2</v>
      </c>
      <c r="BF62">
        <f t="shared" si="11"/>
        <v>1.7471E-2</v>
      </c>
      <c r="BG62">
        <f t="shared" si="11"/>
        <v>1.9361999999999997E-2</v>
      </c>
      <c r="BH62">
        <f t="shared" si="11"/>
        <v>2.1956E-2</v>
      </c>
      <c r="BI62">
        <f t="shared" si="11"/>
        <v>-9.5130000000000006E-3</v>
      </c>
      <c r="BJ62">
        <f t="shared" si="11"/>
        <v>-1.5446E-2</v>
      </c>
      <c r="BK62">
        <f t="shared" si="11"/>
        <v>-1.4705000000000001E-2</v>
      </c>
      <c r="BL62">
        <f t="shared" si="11"/>
        <v>-1.1906999999999999E-2</v>
      </c>
      <c r="BM62">
        <f t="shared" si="11"/>
        <v>-2.0881999999999998E-2</v>
      </c>
      <c r="BN62">
        <f t="shared" si="11"/>
        <v>-2.3999000000000003E-2</v>
      </c>
      <c r="BO62">
        <f t="shared" si="11"/>
        <v>-2.4089000000000003E-2</v>
      </c>
      <c r="BP62">
        <f t="shared" si="7"/>
        <v>-2.0385999999999998E-2</v>
      </c>
      <c r="BQ62">
        <f t="shared" si="8"/>
        <v>-2.0197E-2</v>
      </c>
      <c r="BR62">
        <f t="shared" si="8"/>
        <v>-1.9259999999999999E-2</v>
      </c>
      <c r="BS62">
        <f t="shared" si="8"/>
        <v>-1.436E-2</v>
      </c>
      <c r="BT62">
        <f t="shared" si="8"/>
        <v>-1.6448999999999998E-2</v>
      </c>
      <c r="BU62">
        <f t="shared" si="8"/>
        <v>-1.609E-2</v>
      </c>
      <c r="BV62">
        <f t="shared" si="8"/>
        <v>-1.7787000000000001E-2</v>
      </c>
      <c r="BW62">
        <f t="shared" si="8"/>
        <v>-2.0184000000000001E-2</v>
      </c>
      <c r="BX62">
        <f t="shared" si="8"/>
        <v>-2.1301E-2</v>
      </c>
      <c r="BY62">
        <f t="shared" si="8"/>
        <v>-1.9985999999999997E-2</v>
      </c>
      <c r="BZ62">
        <f t="shared" si="8"/>
        <v>-1.7339999999999998E-2</v>
      </c>
      <c r="CA62">
        <f t="shared" si="8"/>
        <v>-2.385E-3</v>
      </c>
      <c r="CB62">
        <f t="shared" si="8"/>
        <v>7.2290000000000006E-4</v>
      </c>
      <c r="CC62">
        <f t="shared" si="8"/>
        <v>2.3890000000000001E-3</v>
      </c>
      <c r="CD62">
        <f t="shared" si="8"/>
        <v>-5.0089999999999996E-3</v>
      </c>
      <c r="CE62">
        <f t="shared" si="8"/>
        <v>-3.9109999999999995E-3</v>
      </c>
      <c r="CF62">
        <f t="shared" si="8"/>
        <v>-1.8739999999999998E-3</v>
      </c>
      <c r="CG62">
        <f t="shared" si="8"/>
        <v>-1.6970000000000002E-3</v>
      </c>
      <c r="CH62">
        <f t="shared" ref="CH62:CX62" si="12">CH45+CH53</f>
        <v>6.0480000000000006E-4</v>
      </c>
      <c r="CI62">
        <f t="shared" si="12"/>
        <v>3.1099999999999999E-3</v>
      </c>
      <c r="CJ62">
        <f t="shared" si="12"/>
        <v>-1.5636999999999998E-2</v>
      </c>
      <c r="CK62">
        <f t="shared" si="12"/>
        <v>-9.5200000000000007E-3</v>
      </c>
      <c r="CL62">
        <f t="shared" si="12"/>
        <v>-4.7499999999999999E-3</v>
      </c>
      <c r="CM62">
        <f t="shared" si="12"/>
        <v>-3.8199999999999996E-3</v>
      </c>
      <c r="CN62">
        <f t="shared" si="12"/>
        <v>-3.0649000000000002E-3</v>
      </c>
      <c r="CO62">
        <f t="shared" si="12"/>
        <v>1.7300000000000002E-3</v>
      </c>
      <c r="CP62">
        <f t="shared" si="12"/>
        <v>2.7199999999999993E-3</v>
      </c>
      <c r="CQ62">
        <f t="shared" si="12"/>
        <v>5.4000000000000003E-3</v>
      </c>
      <c r="CR62">
        <f t="shared" si="12"/>
        <v>1.1300000000000001E-2</v>
      </c>
      <c r="CS62">
        <f t="shared" si="12"/>
        <v>1.2369999999999999E-2</v>
      </c>
      <c r="CT62">
        <f t="shared" si="12"/>
        <v>-8.0960000000000004E-2</v>
      </c>
      <c r="CU62">
        <f t="shared" si="12"/>
        <v>-8.8099999999999998E-2</v>
      </c>
      <c r="CV62">
        <f t="shared" si="12"/>
        <v>-7.4910000000000004E-2</v>
      </c>
      <c r="CW62">
        <f t="shared" si="12"/>
        <v>-8.3940000000000001E-2</v>
      </c>
      <c r="CX62">
        <f t="shared" si="12"/>
        <v>-8.2799999999999999E-2</v>
      </c>
    </row>
    <row r="63" spans="1:102" x14ac:dyDescent="0.2">
      <c r="A63" t="s">
        <v>216</v>
      </c>
      <c r="B63" t="s">
        <v>220</v>
      </c>
      <c r="C63" t="s">
        <v>221</v>
      </c>
      <c r="D63">
        <f>D54</f>
        <v>0.45200000000000001</v>
      </c>
      <c r="E63">
        <f t="shared" ref="E63:BP63" si="13">E54</f>
        <v>-0.14199999999999999</v>
      </c>
      <c r="F63">
        <f t="shared" si="13"/>
        <v>-0.92800000000000005</v>
      </c>
      <c r="G63">
        <f t="shared" si="13"/>
        <v>3.7900000000000003E-2</v>
      </c>
      <c r="H63">
        <f t="shared" si="13"/>
        <v>-1.458</v>
      </c>
      <c r="I63">
        <f t="shared" si="13"/>
        <v>-0.435</v>
      </c>
      <c r="J63">
        <f t="shared" si="13"/>
        <v>-0.97</v>
      </c>
      <c r="K63">
        <f t="shared" si="13"/>
        <v>-0.75600000000000001</v>
      </c>
      <c r="L63">
        <f t="shared" si="13"/>
        <v>-0.53400000000000003</v>
      </c>
      <c r="M63">
        <f t="shared" si="13"/>
        <v>-0.97699999999999998</v>
      </c>
      <c r="N63">
        <f t="shared" si="13"/>
        <v>-1.0129999999999999</v>
      </c>
      <c r="O63">
        <f t="shared" si="13"/>
        <v>-0.53200000000000003</v>
      </c>
      <c r="P63">
        <f t="shared" si="13"/>
        <v>-0.71199999999999997</v>
      </c>
      <c r="Q63">
        <f t="shared" si="13"/>
        <v>-0.60199999999999998</v>
      </c>
      <c r="R63">
        <f t="shared" si="13"/>
        <v>-0.46600000000000003</v>
      </c>
      <c r="S63">
        <f t="shared" si="13"/>
        <v>-0.378</v>
      </c>
      <c r="T63">
        <f t="shared" si="13"/>
        <v>-0.26500000000000001</v>
      </c>
      <c r="U63">
        <f t="shared" si="13"/>
        <v>-0.222</v>
      </c>
      <c r="V63">
        <f t="shared" si="13"/>
        <v>-0.124</v>
      </c>
      <c r="W63">
        <f t="shared" si="13"/>
        <v>-0.115</v>
      </c>
      <c r="X63">
        <f t="shared" si="13"/>
        <v>-0.13200000000000001</v>
      </c>
      <c r="Y63">
        <f t="shared" si="13"/>
        <v>-6.0299999999999999E-2</v>
      </c>
      <c r="Z63">
        <f t="shared" si="13"/>
        <v>-9.2499999999999999E-2</v>
      </c>
      <c r="AA63">
        <f t="shared" si="13"/>
        <v>-0.13700000000000001</v>
      </c>
      <c r="AB63">
        <f t="shared" si="13"/>
        <v>-0.14899999999999999</v>
      </c>
      <c r="AC63">
        <f t="shared" si="13"/>
        <v>-0.13400000000000001</v>
      </c>
      <c r="AD63">
        <f t="shared" si="13"/>
        <v>-0.111</v>
      </c>
      <c r="AE63">
        <f t="shared" si="13"/>
        <v>-0.115</v>
      </c>
      <c r="AF63">
        <f t="shared" si="13"/>
        <v>-0.109</v>
      </c>
      <c r="AG63">
        <f t="shared" si="13"/>
        <v>-9.98E-2</v>
      </c>
      <c r="AH63">
        <f t="shared" si="13"/>
        <v>-0.122</v>
      </c>
      <c r="AI63">
        <f t="shared" si="13"/>
        <v>-0.123</v>
      </c>
      <c r="AJ63">
        <f t="shared" si="13"/>
        <v>-0.12</v>
      </c>
      <c r="AK63">
        <f t="shared" si="13"/>
        <v>-0.111</v>
      </c>
      <c r="AL63">
        <f t="shared" si="13"/>
        <v>-0.11600000000000001</v>
      </c>
      <c r="AM63">
        <f t="shared" si="13"/>
        <v>-0.111</v>
      </c>
      <c r="AN63">
        <f t="shared" si="13"/>
        <v>-0.11</v>
      </c>
      <c r="AO63">
        <f t="shared" si="13"/>
        <v>-0.124</v>
      </c>
      <c r="AP63">
        <f t="shared" si="13"/>
        <v>-0.185</v>
      </c>
      <c r="AQ63">
        <f t="shared" si="13"/>
        <v>-0.217</v>
      </c>
      <c r="AR63">
        <f t="shared" si="13"/>
        <v>-0.219</v>
      </c>
      <c r="AS63">
        <f t="shared" si="13"/>
        <v>-0.184</v>
      </c>
      <c r="AT63">
        <f t="shared" si="13"/>
        <v>-0.16600000000000001</v>
      </c>
      <c r="AU63">
        <f t="shared" si="13"/>
        <v>-0.155</v>
      </c>
      <c r="AV63">
        <f t="shared" si="13"/>
        <v>-0.14599999999999999</v>
      </c>
      <c r="AW63">
        <f t="shared" si="13"/>
        <v>-0.114</v>
      </c>
      <c r="AX63">
        <f t="shared" si="13"/>
        <v>-9.4399999999999998E-2</v>
      </c>
      <c r="AY63">
        <f t="shared" si="13"/>
        <v>-6.7699999999999996E-2</v>
      </c>
      <c r="AZ63">
        <f t="shared" si="13"/>
        <v>-7.0400000000000004E-2</v>
      </c>
      <c r="BA63">
        <f t="shared" si="13"/>
        <v>-4.6600000000000003E-2</v>
      </c>
      <c r="BB63">
        <f t="shared" si="13"/>
        <v>-7.6300000000000007E-2</v>
      </c>
      <c r="BC63">
        <f t="shared" si="13"/>
        <v>-0.106</v>
      </c>
      <c r="BD63">
        <f t="shared" si="13"/>
        <v>-0.128</v>
      </c>
      <c r="BE63">
        <f t="shared" si="13"/>
        <v>-0.128</v>
      </c>
      <c r="BF63">
        <f t="shared" si="13"/>
        <v>-0.128</v>
      </c>
      <c r="BG63">
        <f t="shared" si="13"/>
        <v>-0.17199999999999999</v>
      </c>
      <c r="BH63">
        <f t="shared" si="13"/>
        <v>-0.19</v>
      </c>
      <c r="BI63">
        <f t="shared" si="13"/>
        <v>-0.158</v>
      </c>
      <c r="BJ63">
        <f t="shared" si="13"/>
        <v>-0.158</v>
      </c>
      <c r="BK63">
        <f t="shared" si="13"/>
        <v>-0.153</v>
      </c>
      <c r="BL63">
        <f t="shared" si="13"/>
        <v>-0.128</v>
      </c>
      <c r="BM63">
        <f t="shared" si="13"/>
        <v>-0.11700000000000001</v>
      </c>
      <c r="BN63">
        <f t="shared" si="13"/>
        <v>-9.7799999999999998E-2</v>
      </c>
      <c r="BO63">
        <f t="shared" si="13"/>
        <v>-5.7000000000000002E-2</v>
      </c>
      <c r="BP63">
        <f t="shared" si="13"/>
        <v>-4.7600000000000003E-3</v>
      </c>
      <c r="BQ63">
        <f t="shared" ref="BQ63:CX63" si="14">BQ54</f>
        <v>1.3500000000000001E-3</v>
      </c>
      <c r="BR63">
        <f t="shared" si="14"/>
        <v>-1.17E-2</v>
      </c>
      <c r="BS63">
        <f t="shared" si="14"/>
        <v>-1.18E-2</v>
      </c>
      <c r="BT63">
        <f t="shared" si="14"/>
        <v>1.3899999999999999E-2</v>
      </c>
      <c r="BU63">
        <f t="shared" si="14"/>
        <v>-9.0299999999999998E-3</v>
      </c>
      <c r="BV63">
        <f t="shared" si="14"/>
        <v>-0.16400000000000001</v>
      </c>
      <c r="BW63">
        <f t="shared" si="14"/>
        <v>-0.20799999999999999</v>
      </c>
      <c r="BX63">
        <f t="shared" si="14"/>
        <v>-0.183</v>
      </c>
      <c r="BY63">
        <f t="shared" si="14"/>
        <v>-0.14699999999999999</v>
      </c>
      <c r="BZ63">
        <f t="shared" si="14"/>
        <v>-0.20499999999999999</v>
      </c>
      <c r="CA63">
        <f t="shared" si="14"/>
        <v>-0.25</v>
      </c>
      <c r="CB63">
        <f t="shared" si="14"/>
        <v>-0.221</v>
      </c>
      <c r="CC63">
        <f t="shared" si="14"/>
        <v>-0.21299999999999999</v>
      </c>
      <c r="CD63">
        <f t="shared" si="14"/>
        <v>-0.106</v>
      </c>
      <c r="CE63">
        <f t="shared" si="14"/>
        <v>0.13700000000000001</v>
      </c>
      <c r="CF63">
        <f t="shared" si="14"/>
        <v>0.20699999999999999</v>
      </c>
      <c r="CG63">
        <f t="shared" si="14"/>
        <v>0.124</v>
      </c>
      <c r="CH63">
        <f t="shared" si="14"/>
        <v>-2.63E-2</v>
      </c>
      <c r="CI63">
        <f t="shared" si="14"/>
        <v>-0.16500000000000001</v>
      </c>
      <c r="CJ63">
        <f t="shared" si="14"/>
        <v>-0.157</v>
      </c>
      <c r="CK63">
        <f t="shared" si="14"/>
        <v>-7.6499999999999999E-2</v>
      </c>
      <c r="CL63">
        <f t="shared" si="14"/>
        <v>2.6499999999999999E-2</v>
      </c>
      <c r="CM63">
        <f t="shared" si="14"/>
        <v>5.6000000000000001E-2</v>
      </c>
      <c r="CN63">
        <f t="shared" si="14"/>
        <v>8.1500000000000003E-2</v>
      </c>
      <c r="CO63">
        <f t="shared" si="14"/>
        <v>0.11</v>
      </c>
      <c r="CP63">
        <f t="shared" si="14"/>
        <v>2.4099999999999998E-3</v>
      </c>
      <c r="CQ63">
        <f t="shared" si="14"/>
        <v>-3.1700000000000001E-3</v>
      </c>
      <c r="CR63">
        <f t="shared" si="14"/>
        <v>-6.5500000000000003E-2</v>
      </c>
      <c r="CS63">
        <f t="shared" si="14"/>
        <v>-0.20899999999999999</v>
      </c>
      <c r="CT63">
        <f t="shared" si="14"/>
        <v>4.1000000000000002E-2</v>
      </c>
      <c r="CU63">
        <f t="shared" si="14"/>
        <v>0.14000000000000001</v>
      </c>
      <c r="CV63">
        <f t="shared" si="14"/>
        <v>0.24399999999999999</v>
      </c>
      <c r="CW63">
        <f t="shared" si="14"/>
        <v>2.87E-2</v>
      </c>
      <c r="CX63">
        <f t="shared" si="14"/>
        <v>0.14299999999999999</v>
      </c>
    </row>
    <row r="64" spans="1:102" x14ac:dyDescent="0.2">
      <c r="A64" t="s">
        <v>203</v>
      </c>
      <c r="B64" t="s">
        <v>217</v>
      </c>
      <c r="C64" t="s">
        <v>222</v>
      </c>
      <c r="D64">
        <f>'2012_2020'!B2</f>
        <v>0.19</v>
      </c>
      <c r="E64">
        <f>'2012_2020'!C2</f>
        <v>0.48399999999999999</v>
      </c>
      <c r="F64">
        <f>'2012_2020'!D2</f>
        <v>0.70499999999999996</v>
      </c>
      <c r="G64">
        <f>'2012_2020'!E2</f>
        <v>0.88800000000000001</v>
      </c>
      <c r="H64">
        <f>'2012_2020'!F2</f>
        <v>0.997</v>
      </c>
      <c r="I64">
        <f>'2012_2020'!G2</f>
        <v>1.111</v>
      </c>
      <c r="J64">
        <f>'2012_2020'!H2</f>
        <v>1.1970000000000001</v>
      </c>
      <c r="K64">
        <f>'2012_2020'!I2</f>
        <v>1.292</v>
      </c>
      <c r="L64">
        <f>'2012_2020'!J2</f>
        <v>1.3879999999999999</v>
      </c>
      <c r="M64">
        <f>'2012_2020'!K2</f>
        <v>1.4219999999999999</v>
      </c>
      <c r="N64">
        <f>'2012_2020'!L2</f>
        <v>1.492</v>
      </c>
      <c r="O64">
        <f>'2012_2020'!M2</f>
        <v>1.575</v>
      </c>
      <c r="P64">
        <f>'2012_2020'!N2</f>
        <v>1.583</v>
      </c>
      <c r="Q64">
        <f>'2012_2020'!O2</f>
        <v>1.613</v>
      </c>
      <c r="R64">
        <f>'2012_2020'!P2</f>
        <v>1.647</v>
      </c>
      <c r="S64">
        <f>'2012_2020'!Q2</f>
        <v>1.6719999999999999</v>
      </c>
      <c r="T64">
        <f>'2012_2020'!R2</f>
        <v>1.704</v>
      </c>
      <c r="U64">
        <f>'2012_2020'!S2</f>
        <v>1.718</v>
      </c>
      <c r="V64">
        <f>'2012_2020'!T2</f>
        <v>1.744</v>
      </c>
      <c r="W64">
        <f>'2012_2020'!U2</f>
        <v>1.7509999999999999</v>
      </c>
      <c r="X64">
        <f>'2012_2020'!V2</f>
        <v>1.758</v>
      </c>
      <c r="Y64">
        <f>'2012_2020'!W2</f>
        <v>1.7949999999999999</v>
      </c>
      <c r="Z64">
        <f>'2012_2020'!X2</f>
        <v>1.802</v>
      </c>
      <c r="AA64">
        <f>'2012_2020'!Y2</f>
        <v>1.8009999999999999</v>
      </c>
      <c r="AB64">
        <f>'2012_2020'!Z2</f>
        <v>1.806</v>
      </c>
      <c r="AC64">
        <f>'2012_2020'!AA2</f>
        <v>1.8109999999999999</v>
      </c>
      <c r="AD64">
        <f>'2012_2020'!AB2</f>
        <v>1.839</v>
      </c>
      <c r="AE64">
        <f>'2012_2020'!AC2</f>
        <v>1.8440000000000001</v>
      </c>
      <c r="AF64">
        <f>'2012_2020'!AD2</f>
        <v>1.8520000000000001</v>
      </c>
      <c r="AG64">
        <f>'2012_2020'!AE2</f>
        <v>1.86</v>
      </c>
      <c r="AH64">
        <f>'2012_2020'!AF2</f>
        <v>1.881</v>
      </c>
      <c r="AI64">
        <f>'2012_2020'!AG2</f>
        <v>1.889</v>
      </c>
      <c r="AJ64">
        <f>'2012_2020'!AH2</f>
        <v>1.895</v>
      </c>
      <c r="AK64">
        <f>'2012_2020'!AI2</f>
        <v>1.9119999999999999</v>
      </c>
      <c r="AL64">
        <f>'2012_2020'!AJ2</f>
        <v>1.95</v>
      </c>
      <c r="AM64">
        <f>'2012_2020'!AK2</f>
        <v>1.9690000000000001</v>
      </c>
      <c r="AN64">
        <f>'2012_2020'!AL2</f>
        <v>1.9810000000000001</v>
      </c>
      <c r="AO64">
        <f>'2012_2020'!AM2</f>
        <v>1.9830000000000001</v>
      </c>
      <c r="AP64">
        <f>'2012_2020'!AN2</f>
        <v>1.9890000000000001</v>
      </c>
      <c r="AQ64">
        <f>'2012_2020'!AO2</f>
        <v>2.008</v>
      </c>
      <c r="AR64">
        <f>'2012_2020'!AP2</f>
        <v>2.028</v>
      </c>
      <c r="AS64">
        <f>'2012_2020'!AQ2</f>
        <v>2.0470000000000002</v>
      </c>
      <c r="AT64">
        <f>'2012_2020'!AR2</f>
        <v>2.0649999999999999</v>
      </c>
      <c r="AU64">
        <f>'2012_2020'!AS2</f>
        <v>2.089</v>
      </c>
      <c r="AV64">
        <f>'2012_2020'!AT2</f>
        <v>2.0950000000000002</v>
      </c>
      <c r="AW64">
        <f>'2012_2020'!AU2</f>
        <v>2.1139999999999999</v>
      </c>
      <c r="AX64">
        <f>'2012_2020'!AV2</f>
        <v>2.1160000000000001</v>
      </c>
      <c r="AY64">
        <f>'2012_2020'!AW2</f>
        <v>2.137</v>
      </c>
      <c r="AZ64">
        <f>'2012_2020'!AX2</f>
        <v>2.1469999999999998</v>
      </c>
      <c r="BA64">
        <f>'2012_2020'!AY2</f>
        <v>2.1760000000000002</v>
      </c>
      <c r="BB64">
        <f>'2012_2020'!AZ2</f>
        <v>2.2029999999999998</v>
      </c>
      <c r="BC64">
        <f>'2012_2020'!BA2</f>
        <v>2.2170000000000001</v>
      </c>
      <c r="BD64">
        <f>'2012_2020'!BB2</f>
        <v>2.2090000000000001</v>
      </c>
      <c r="BE64">
        <f>'2012_2020'!BC2</f>
        <v>2.2290000000000001</v>
      </c>
      <c r="BF64">
        <f>'2012_2020'!BD2</f>
        <v>2.2679999999999998</v>
      </c>
      <c r="BG64">
        <f>'2012_2020'!BE2</f>
        <v>2.2719999999999998</v>
      </c>
      <c r="BH64">
        <f>'2012_2020'!BF2</f>
        <v>2.2919999999999998</v>
      </c>
      <c r="BI64">
        <f>'2012_2020'!BG2</f>
        <v>2.3109999999999999</v>
      </c>
      <c r="BJ64">
        <f>'2012_2020'!BH2</f>
        <v>2.3180000000000001</v>
      </c>
      <c r="BK64">
        <f>'2012_2020'!BI2</f>
        <v>2.3490000000000002</v>
      </c>
      <c r="BL64">
        <f>'2012_2020'!BJ2</f>
        <v>2.39</v>
      </c>
      <c r="BM64">
        <f>'2012_2020'!BK2</f>
        <v>2.4</v>
      </c>
      <c r="BN64">
        <f>'2012_2020'!BL2</f>
        <v>2.4020000000000001</v>
      </c>
      <c r="BO64">
        <f>'2012_2020'!BM2</f>
        <v>2.4359999999999999</v>
      </c>
      <c r="BP64">
        <f>'2012_2020'!BN2</f>
        <v>2.4929999999999999</v>
      </c>
      <c r="BQ64">
        <f>'2012_2020'!BO2</f>
        <v>2.504</v>
      </c>
      <c r="BR64">
        <f>'2012_2020'!BP2</f>
        <v>2.496</v>
      </c>
      <c r="BS64">
        <f>'2012_2020'!BQ2</f>
        <v>2.5</v>
      </c>
      <c r="BT64">
        <f>'2012_2020'!BR2</f>
        <v>2.5030000000000001</v>
      </c>
      <c r="BU64">
        <f>'2012_2020'!BS2</f>
        <v>2.5379999999999998</v>
      </c>
      <c r="BV64">
        <f>'2012_2020'!BT2</f>
        <v>2.5840000000000001</v>
      </c>
      <c r="BW64">
        <f>'2012_2020'!BU2</f>
        <v>2.621</v>
      </c>
      <c r="BX64">
        <f>'2012_2020'!BV2</f>
        <v>2.6389999999999998</v>
      </c>
      <c r="BY64">
        <f>'2012_2020'!BW2</f>
        <v>2.6789999999999998</v>
      </c>
      <c r="BZ64">
        <f>'2012_2020'!BX2</f>
        <v>2.7170000000000001</v>
      </c>
      <c r="CA64">
        <f>'2012_2020'!BY2</f>
        <v>2.7210000000000001</v>
      </c>
      <c r="CB64">
        <f>'2012_2020'!BZ2</f>
        <v>2.7759999999999998</v>
      </c>
      <c r="CC64">
        <f>'2012_2020'!CA2</f>
        <v>2.8039999999999998</v>
      </c>
      <c r="CD64">
        <f>'2012_2020'!CB2</f>
        <v>2.8290000000000002</v>
      </c>
      <c r="CE64">
        <f>'2012_2020'!CC2</f>
        <v>2.8959999999999999</v>
      </c>
      <c r="CF64">
        <f>'2012_2020'!CD2</f>
        <v>2.899</v>
      </c>
      <c r="CG64">
        <f>'2012_2020'!CE2</f>
        <v>2.91</v>
      </c>
      <c r="CH64">
        <f>'2012_2020'!CF2</f>
        <v>2.9649999999999999</v>
      </c>
      <c r="CI64">
        <f>'2012_2020'!CG2</f>
        <v>3.012</v>
      </c>
      <c r="CJ64">
        <f>'2012_2020'!CH2</f>
        <v>3.0640000000000001</v>
      </c>
      <c r="CK64">
        <f>'2012_2020'!CI2</f>
        <v>3.1339999999999999</v>
      </c>
      <c r="CL64">
        <f>'2012_2020'!CJ2</f>
        <v>3.2040000000000002</v>
      </c>
      <c r="CM64">
        <f>'2012_2020'!CK2</f>
        <v>3.198</v>
      </c>
      <c r="CN64">
        <f>'2012_2020'!CL2</f>
        <v>3.2719999999999998</v>
      </c>
      <c r="CO64">
        <f>'2012_2020'!CM2</f>
        <v>3.335</v>
      </c>
      <c r="CP64">
        <f>'2012_2020'!CN2</f>
        <v>3.4140000000000001</v>
      </c>
      <c r="CQ64">
        <f>'2012_2020'!CO2</f>
        <v>3.44</v>
      </c>
      <c r="CR64">
        <f>'2012_2020'!CP2</f>
        <v>3.5590000000000002</v>
      </c>
      <c r="CS64">
        <f>'2012_2020'!CQ2</f>
        <v>3.6520000000000001</v>
      </c>
      <c r="CT64">
        <f>'2012_2020'!CR2</f>
        <v>3.76</v>
      </c>
      <c r="CU64">
        <f>'2012_2020'!CS2</f>
        <v>3.887</v>
      </c>
      <c r="CV64">
        <f>'2012_2020'!CT2</f>
        <v>4.1040000000000001</v>
      </c>
      <c r="CW64">
        <f>'2012_2020'!CU2</f>
        <v>4.2880000000000003</v>
      </c>
      <c r="CX64">
        <f>'2012_2020'!CV2</f>
        <v>4.609</v>
      </c>
    </row>
    <row r="65" spans="1:102" x14ac:dyDescent="0.2">
      <c r="A65" t="s">
        <v>204</v>
      </c>
      <c r="B65" t="s">
        <v>217</v>
      </c>
      <c r="C65" t="s">
        <v>222</v>
      </c>
      <c r="D65">
        <f>'2012_2020'!B3</f>
        <v>-7.6999999999999999E-2</v>
      </c>
      <c r="E65">
        <f>'2012_2020'!C3</f>
        <v>0.30599999999999999</v>
      </c>
      <c r="F65">
        <f>'2012_2020'!D3</f>
        <v>0.53600000000000003</v>
      </c>
      <c r="G65">
        <f>'2012_2020'!E3</f>
        <v>0.69099999999999995</v>
      </c>
      <c r="H65">
        <f>'2012_2020'!F3</f>
        <v>0.85599999999999998</v>
      </c>
      <c r="I65">
        <f>'2012_2020'!G3</f>
        <v>0.96299999999999997</v>
      </c>
      <c r="J65">
        <f>'2012_2020'!H3</f>
        <v>1.0529999999999999</v>
      </c>
      <c r="K65">
        <f>'2012_2020'!I3</f>
        <v>1.149</v>
      </c>
      <c r="L65">
        <f>'2012_2020'!J3</f>
        <v>1.22</v>
      </c>
      <c r="M65">
        <f>'2012_2020'!K3</f>
        <v>1.3089999999999999</v>
      </c>
      <c r="N65">
        <f>'2012_2020'!L3</f>
        <v>1.34</v>
      </c>
      <c r="O65">
        <f>'2012_2020'!M3</f>
        <v>1.389</v>
      </c>
      <c r="P65">
        <f>'2012_2020'!N3</f>
        <v>1.4359999999999999</v>
      </c>
      <c r="Q65">
        <f>'2012_2020'!O3</f>
        <v>1.468</v>
      </c>
      <c r="R65">
        <f>'2012_2020'!P3</f>
        <v>1.5089999999999999</v>
      </c>
      <c r="S65">
        <f>'2012_2020'!Q3</f>
        <v>1.536</v>
      </c>
      <c r="T65">
        <f>'2012_2020'!R3</f>
        <v>1.5549999999999999</v>
      </c>
      <c r="U65">
        <f>'2012_2020'!S3</f>
        <v>1.5680000000000001</v>
      </c>
      <c r="V65">
        <f>'2012_2020'!T3</f>
        <v>1.59</v>
      </c>
      <c r="W65">
        <f>'2012_2020'!U3</f>
        <v>1.6060000000000001</v>
      </c>
      <c r="X65">
        <f>'2012_2020'!V3</f>
        <v>1.627</v>
      </c>
      <c r="Y65">
        <f>'2012_2020'!W3</f>
        <v>1.641</v>
      </c>
      <c r="Z65">
        <f>'2012_2020'!X3</f>
        <v>1.653</v>
      </c>
      <c r="AA65">
        <f>'2012_2020'!Y3</f>
        <v>1.671</v>
      </c>
      <c r="AB65">
        <f>'2012_2020'!Z3</f>
        <v>1.6850000000000001</v>
      </c>
      <c r="AC65">
        <f>'2012_2020'!AA3</f>
        <v>1.7050000000000001</v>
      </c>
      <c r="AD65">
        <f>'2012_2020'!AB3</f>
        <v>1.7210000000000001</v>
      </c>
      <c r="AE65">
        <f>'2012_2020'!AC3</f>
        <v>1.736</v>
      </c>
      <c r="AF65">
        <f>'2012_2020'!AD3</f>
        <v>1.7470000000000001</v>
      </c>
      <c r="AG65">
        <f>'2012_2020'!AE3</f>
        <v>1.756</v>
      </c>
      <c r="AH65">
        <f>'2012_2020'!AF3</f>
        <v>1.7669999999999999</v>
      </c>
      <c r="AI65">
        <f>'2012_2020'!AG3</f>
        <v>1.7769999999999999</v>
      </c>
      <c r="AJ65">
        <f>'2012_2020'!AH3</f>
        <v>1.7869999999999999</v>
      </c>
      <c r="AK65">
        <f>'2012_2020'!AI3</f>
        <v>1.81</v>
      </c>
      <c r="AL65">
        <f>'2012_2020'!AJ3</f>
        <v>1.825</v>
      </c>
      <c r="AM65">
        <f>'2012_2020'!AK3</f>
        <v>1.8380000000000001</v>
      </c>
      <c r="AN65">
        <f>'2012_2020'!AL3</f>
        <v>1.8540000000000001</v>
      </c>
      <c r="AO65">
        <f>'2012_2020'!AM3</f>
        <v>1.87</v>
      </c>
      <c r="AP65">
        <f>'2012_2020'!AN3</f>
        <v>1.8879999999999999</v>
      </c>
      <c r="AQ65">
        <f>'2012_2020'!AO3</f>
        <v>1.899</v>
      </c>
      <c r="AR65">
        <f>'2012_2020'!AP3</f>
        <v>1.9139999999999999</v>
      </c>
      <c r="AS65">
        <f>'2012_2020'!AQ3</f>
        <v>1.93</v>
      </c>
      <c r="AT65">
        <f>'2012_2020'!AR3</f>
        <v>1.952</v>
      </c>
      <c r="AU65">
        <f>'2012_2020'!AS3</f>
        <v>1.9690000000000001</v>
      </c>
      <c r="AV65">
        <f>'2012_2020'!AT3</f>
        <v>1.9930000000000001</v>
      </c>
      <c r="AW65">
        <f>'2012_2020'!AU3</f>
        <v>2.0099999999999998</v>
      </c>
      <c r="AX65">
        <f>'2012_2020'!AV3</f>
        <v>2.028</v>
      </c>
      <c r="AY65">
        <f>'2012_2020'!AW3</f>
        <v>2.0299999999999998</v>
      </c>
      <c r="AZ65">
        <f>'2012_2020'!AX3</f>
        <v>2.0390000000000001</v>
      </c>
      <c r="BA65">
        <f>'2012_2020'!AY3</f>
        <v>2.0579999999999998</v>
      </c>
      <c r="BB65">
        <f>'2012_2020'!AZ3</f>
        <v>2.0699999999999998</v>
      </c>
      <c r="BC65">
        <f>'2012_2020'!BA3</f>
        <v>2.093</v>
      </c>
      <c r="BD65">
        <f>'2012_2020'!BB3</f>
        <v>2.1179999999999999</v>
      </c>
      <c r="BE65">
        <f>'2012_2020'!BC3</f>
        <v>2.1379999999999999</v>
      </c>
      <c r="BF65">
        <f>'2012_2020'!BD3</f>
        <v>2.15</v>
      </c>
      <c r="BG65">
        <f>'2012_2020'!BE3</f>
        <v>2.17</v>
      </c>
      <c r="BH65">
        <f>'2012_2020'!BF3</f>
        <v>2.2010000000000001</v>
      </c>
      <c r="BI65">
        <f>'2012_2020'!BG3</f>
        <v>2.2240000000000002</v>
      </c>
      <c r="BJ65">
        <f>'2012_2020'!BH3</f>
        <v>2.2450000000000001</v>
      </c>
      <c r="BK65">
        <f>'2012_2020'!BI3</f>
        <v>2.246</v>
      </c>
      <c r="BL65">
        <f>'2012_2020'!BJ3</f>
        <v>2.2589999999999999</v>
      </c>
      <c r="BM65">
        <f>'2012_2020'!BK3</f>
        <v>2.2850000000000001</v>
      </c>
      <c r="BN65">
        <f>'2012_2020'!BL3</f>
        <v>2.3109999999999999</v>
      </c>
      <c r="BO65">
        <f>'2012_2020'!BM3</f>
        <v>2.3290000000000002</v>
      </c>
      <c r="BP65">
        <f>'2012_2020'!BN3</f>
        <v>2.3479999999999999</v>
      </c>
      <c r="BQ65">
        <f>'2012_2020'!BO3</f>
        <v>2.3860000000000001</v>
      </c>
      <c r="BR65">
        <f>'2012_2020'!BP3</f>
        <v>2.4140000000000001</v>
      </c>
      <c r="BS65">
        <f>'2012_2020'!BQ3</f>
        <v>2.4369999999999998</v>
      </c>
      <c r="BT65">
        <f>'2012_2020'!BR3</f>
        <v>2.4409999999999998</v>
      </c>
      <c r="BU65">
        <f>'2012_2020'!BS3</f>
        <v>2.468</v>
      </c>
      <c r="BV65">
        <f>'2012_2020'!BT3</f>
        <v>2.5030000000000001</v>
      </c>
      <c r="BW65">
        <f>'2012_2020'!BU3</f>
        <v>2.5310000000000001</v>
      </c>
      <c r="BX65">
        <f>'2012_2020'!BV3</f>
        <v>2.5499999999999998</v>
      </c>
      <c r="BY65">
        <f>'2012_2020'!BW3</f>
        <v>2.5859999999999999</v>
      </c>
      <c r="BZ65">
        <f>'2012_2020'!BX3</f>
        <v>2.6269999999999998</v>
      </c>
      <c r="CA65">
        <f>'2012_2020'!BY3</f>
        <v>2.66</v>
      </c>
      <c r="CB65">
        <f>'2012_2020'!BZ3</f>
        <v>2.6669999999999998</v>
      </c>
      <c r="CC65">
        <f>'2012_2020'!CA3</f>
        <v>2.7189999999999999</v>
      </c>
      <c r="CD65">
        <f>'2012_2020'!CB3</f>
        <v>2.7490000000000001</v>
      </c>
      <c r="CE65">
        <f>'2012_2020'!CC3</f>
        <v>2.7810000000000001</v>
      </c>
      <c r="CF65">
        <f>'2012_2020'!CD3</f>
        <v>2.8330000000000002</v>
      </c>
      <c r="CG65">
        <f>'2012_2020'!CE3</f>
        <v>2.8690000000000002</v>
      </c>
      <c r="CH65">
        <f>'2012_2020'!CF3</f>
        <v>2.9329999999999998</v>
      </c>
      <c r="CI65">
        <f>'2012_2020'!CG3</f>
        <v>2.9420000000000002</v>
      </c>
      <c r="CJ65">
        <f>'2012_2020'!CH3</f>
        <v>2.9780000000000002</v>
      </c>
      <c r="CK65">
        <f>'2012_2020'!CI3</f>
        <v>3.0419999999999998</v>
      </c>
      <c r="CL65">
        <f>'2012_2020'!CJ3</f>
        <v>3.117</v>
      </c>
      <c r="CM65">
        <f>'2012_2020'!CK3</f>
        <v>3.1720000000000002</v>
      </c>
      <c r="CN65">
        <f>'2012_2020'!CL3</f>
        <v>3.222</v>
      </c>
      <c r="CO65">
        <f>'2012_2020'!CM3</f>
        <v>3.2970000000000002</v>
      </c>
      <c r="CP65">
        <f>'2012_2020'!CN3</f>
        <v>3.3460000000000001</v>
      </c>
      <c r="CQ65">
        <f>'2012_2020'!CO3</f>
        <v>3.4289999999999998</v>
      </c>
      <c r="CR65">
        <f>'2012_2020'!CP3</f>
        <v>3.5230000000000001</v>
      </c>
      <c r="CS65">
        <f>'2012_2020'!CQ3</f>
        <v>3.6509999999999998</v>
      </c>
      <c r="CT65">
        <f>'2012_2020'!CR3</f>
        <v>3.7469999999999999</v>
      </c>
      <c r="CU65">
        <f>'2012_2020'!CS3</f>
        <v>3.8639999999999999</v>
      </c>
      <c r="CV65">
        <f>'2012_2020'!CT3</f>
        <v>4.0410000000000004</v>
      </c>
      <c r="CW65">
        <f>'2012_2020'!CU3</f>
        <v>4.2939999999999996</v>
      </c>
      <c r="CX65">
        <f>'2012_2020'!CV3</f>
        <v>4.609</v>
      </c>
    </row>
    <row r="66" spans="1:102" x14ac:dyDescent="0.2">
      <c r="A66" t="s">
        <v>205</v>
      </c>
      <c r="B66" t="s">
        <v>217</v>
      </c>
      <c r="C66" t="s">
        <v>222</v>
      </c>
      <c r="D66">
        <f>'2012_2020'!B4</f>
        <v>0.26700000000000002</v>
      </c>
      <c r="E66">
        <f>'2012_2020'!C4</f>
        <v>0.17799999999999999</v>
      </c>
      <c r="F66">
        <f>'2012_2020'!D4</f>
        <v>0.16900000000000001</v>
      </c>
      <c r="G66">
        <f>'2012_2020'!E4</f>
        <v>0.19700000000000001</v>
      </c>
      <c r="H66">
        <f>'2012_2020'!F4</f>
        <v>0.14099999999999999</v>
      </c>
      <c r="I66">
        <f>'2012_2020'!G4</f>
        <v>0.14899999999999999</v>
      </c>
      <c r="J66">
        <f>'2012_2020'!H4</f>
        <v>0.14499999999999999</v>
      </c>
      <c r="K66">
        <f>'2012_2020'!I4</f>
        <v>0.14299999999999999</v>
      </c>
      <c r="L66">
        <f>'2012_2020'!J4</f>
        <v>0.16700000000000001</v>
      </c>
      <c r="M66">
        <f>'2012_2020'!K4</f>
        <v>0.113</v>
      </c>
      <c r="N66">
        <f>'2012_2020'!L4</f>
        <v>0.152</v>
      </c>
      <c r="O66">
        <f>'2012_2020'!M4</f>
        <v>0.186</v>
      </c>
      <c r="P66">
        <f>'2012_2020'!N4</f>
        <v>0.14799999999999999</v>
      </c>
      <c r="Q66">
        <f>'2012_2020'!O4</f>
        <v>0.14599999999999999</v>
      </c>
      <c r="R66">
        <f>'2012_2020'!P4</f>
        <v>0.13700000000000001</v>
      </c>
      <c r="S66">
        <f>'2012_2020'!Q4</f>
        <v>0.13600000000000001</v>
      </c>
      <c r="T66">
        <f>'2012_2020'!R4</f>
        <v>0.15</v>
      </c>
      <c r="U66">
        <f>'2012_2020'!S4</f>
        <v>0.15</v>
      </c>
      <c r="V66">
        <f>'2012_2020'!T4</f>
        <v>0.154</v>
      </c>
      <c r="W66">
        <f>'2012_2020'!U4</f>
        <v>0.14599999999999999</v>
      </c>
      <c r="X66">
        <f>'2012_2020'!V4</f>
        <v>0.13100000000000001</v>
      </c>
      <c r="Y66">
        <f>'2012_2020'!W4</f>
        <v>0.154</v>
      </c>
      <c r="Z66">
        <f>'2012_2020'!X4</f>
        <v>0.14899999999999999</v>
      </c>
      <c r="AA66">
        <f>'2012_2020'!Y4</f>
        <v>0.13100000000000001</v>
      </c>
      <c r="AB66">
        <f>'2012_2020'!Z4</f>
        <v>0.121</v>
      </c>
      <c r="AC66">
        <f>'2012_2020'!AA4</f>
        <v>0.105</v>
      </c>
      <c r="AD66">
        <f>'2012_2020'!AB4</f>
        <v>0.11799999999999999</v>
      </c>
      <c r="AE66">
        <f>'2012_2020'!AC4</f>
        <v>0.108</v>
      </c>
      <c r="AF66">
        <f>'2012_2020'!AD4</f>
        <v>0.105</v>
      </c>
      <c r="AG66">
        <f>'2012_2020'!AE4</f>
        <v>0.104</v>
      </c>
      <c r="AH66">
        <f>'2012_2020'!AF4</f>
        <v>0.114</v>
      </c>
      <c r="AI66">
        <f>'2012_2020'!AG4</f>
        <v>0.112</v>
      </c>
      <c r="AJ66">
        <f>'2012_2020'!AH4</f>
        <v>0.108</v>
      </c>
      <c r="AK66">
        <f>'2012_2020'!AI4</f>
        <v>0.10199999999999999</v>
      </c>
      <c r="AL66">
        <f>'2012_2020'!AJ4</f>
        <v>0.125</v>
      </c>
      <c r="AM66">
        <f>'2012_2020'!AK4</f>
        <v>0.13100000000000001</v>
      </c>
      <c r="AN66">
        <f>'2012_2020'!AL4</f>
        <v>0.127</v>
      </c>
      <c r="AO66">
        <f>'2012_2020'!AM4</f>
        <v>0.113</v>
      </c>
      <c r="AP66">
        <f>'2012_2020'!AN4</f>
        <v>0.10100000000000001</v>
      </c>
      <c r="AQ66">
        <f>'2012_2020'!AO4</f>
        <v>0.11</v>
      </c>
      <c r="AR66">
        <f>'2012_2020'!AP4</f>
        <v>0.115</v>
      </c>
      <c r="AS66">
        <f>'2012_2020'!AQ4</f>
        <v>0.11700000000000001</v>
      </c>
      <c r="AT66">
        <f>'2012_2020'!AR4</f>
        <v>0.113</v>
      </c>
      <c r="AU66">
        <f>'2012_2020'!AS4</f>
        <v>0.12</v>
      </c>
      <c r="AV66">
        <f>'2012_2020'!AT4</f>
        <v>0.10199999999999999</v>
      </c>
      <c r="AW66">
        <f>'2012_2020'!AU4</f>
        <v>0.104</v>
      </c>
      <c r="AX66">
        <f>'2012_2020'!AV4</f>
        <v>8.8200000000000001E-2</v>
      </c>
      <c r="AY66">
        <f>'2012_2020'!AW4</f>
        <v>0.107</v>
      </c>
      <c r="AZ66">
        <f>'2012_2020'!AX4</f>
        <v>0.108</v>
      </c>
      <c r="BA66">
        <f>'2012_2020'!AY4</f>
        <v>0.11700000000000001</v>
      </c>
      <c r="BB66">
        <f>'2012_2020'!AZ4</f>
        <v>0.13300000000000001</v>
      </c>
      <c r="BC66">
        <f>'2012_2020'!BA4</f>
        <v>0.124</v>
      </c>
      <c r="BD66">
        <f>'2012_2020'!BB4</f>
        <v>9.11E-2</v>
      </c>
      <c r="BE66">
        <f>'2012_2020'!BC4</f>
        <v>9.1600000000000001E-2</v>
      </c>
      <c r="BF66">
        <f>'2012_2020'!BD4</f>
        <v>0.11799999999999999</v>
      </c>
      <c r="BG66">
        <f>'2012_2020'!BE4</f>
        <v>0.10199999999999999</v>
      </c>
      <c r="BH66">
        <f>'2012_2020'!BF4</f>
        <v>9.0700000000000003E-2</v>
      </c>
      <c r="BI66">
        <f>'2012_2020'!BG4</f>
        <v>8.6599999999999996E-2</v>
      </c>
      <c r="BJ66">
        <f>'2012_2020'!BH4</f>
        <v>7.3599999999999999E-2</v>
      </c>
      <c r="BK66">
        <f>'2012_2020'!BI4</f>
        <v>0.10299999999999999</v>
      </c>
      <c r="BL66">
        <f>'2012_2020'!BJ4</f>
        <v>0.13</v>
      </c>
      <c r="BM66">
        <f>'2012_2020'!BK4</f>
        <v>0.115</v>
      </c>
      <c r="BN66">
        <f>'2012_2020'!BL4</f>
        <v>9.0999999999999998E-2</v>
      </c>
      <c r="BO66">
        <f>'2012_2020'!BM4</f>
        <v>0.108</v>
      </c>
      <c r="BP66">
        <f>'2012_2020'!BN4</f>
        <v>0.14399999999999999</v>
      </c>
      <c r="BQ66">
        <f>'2012_2020'!BO4</f>
        <v>0.11799999999999999</v>
      </c>
      <c r="BR66">
        <f>'2012_2020'!BP4</f>
        <v>8.1199999999999994E-2</v>
      </c>
      <c r="BS66">
        <f>'2012_2020'!BQ4</f>
        <v>6.2700000000000006E-2</v>
      </c>
      <c r="BT66">
        <f>'2012_2020'!BR4</f>
        <v>6.1400000000000003E-2</v>
      </c>
      <c r="BU66">
        <f>'2012_2020'!BS4</f>
        <v>6.9800000000000001E-2</v>
      </c>
      <c r="BV66">
        <f>'2012_2020'!BT4</f>
        <v>8.0199999999999994E-2</v>
      </c>
      <c r="BW66">
        <f>'2012_2020'!BU4</f>
        <v>9.0399999999999994E-2</v>
      </c>
      <c r="BX66">
        <f>'2012_2020'!BV4</f>
        <v>8.9499999999999996E-2</v>
      </c>
      <c r="BY66">
        <f>'2012_2020'!BW4</f>
        <v>9.3299999999999994E-2</v>
      </c>
      <c r="BZ66">
        <f>'2012_2020'!BX4</f>
        <v>9.0300000000000005E-2</v>
      </c>
      <c r="CA66">
        <f>'2012_2020'!BY4</f>
        <v>6.0999999999999999E-2</v>
      </c>
      <c r="CB66">
        <f>'2012_2020'!BZ4</f>
        <v>0.109</v>
      </c>
      <c r="CC66">
        <f>'2012_2020'!CA4</f>
        <v>8.5699999999999998E-2</v>
      </c>
      <c r="CD66">
        <f>'2012_2020'!CB4</f>
        <v>8.0299999999999996E-2</v>
      </c>
      <c r="CE66">
        <f>'2012_2020'!CC4</f>
        <v>0.114</v>
      </c>
      <c r="CF66">
        <f>'2012_2020'!CD4</f>
        <v>6.6900000000000001E-2</v>
      </c>
      <c r="CG66">
        <f>'2012_2020'!CE4</f>
        <v>4.1399999999999999E-2</v>
      </c>
      <c r="CH66">
        <f>'2012_2020'!CF4</f>
        <v>3.1399999999999997E-2</v>
      </c>
      <c r="CI66">
        <f>'2012_2020'!CG4</f>
        <v>7.0499999999999993E-2</v>
      </c>
      <c r="CJ66">
        <f>'2012_2020'!CH4</f>
        <v>8.6099999999999996E-2</v>
      </c>
      <c r="CK66">
        <f>'2012_2020'!CI4</f>
        <v>9.1800000000000007E-2</v>
      </c>
      <c r="CL66">
        <f>'2012_2020'!CJ4</f>
        <v>8.6800000000000002E-2</v>
      </c>
      <c r="CM66">
        <f>'2012_2020'!CK4</f>
        <v>2.64E-2</v>
      </c>
      <c r="CN66">
        <f>'2012_2020'!CL4</f>
        <v>4.9099999999999998E-2</v>
      </c>
      <c r="CO66">
        <f>'2012_2020'!CM4</f>
        <v>3.8399999999999997E-2</v>
      </c>
      <c r="CP66">
        <f>'2012_2020'!CN4</f>
        <v>6.8099999999999994E-2</v>
      </c>
      <c r="CQ66">
        <f>'2012_2020'!CO4</f>
        <v>1.12E-2</v>
      </c>
      <c r="CR66">
        <f>'2012_2020'!CP4</f>
        <v>3.5900000000000001E-2</v>
      </c>
      <c r="CS66">
        <f>'2012_2020'!CQ4</f>
        <v>1.3699999999999999E-3</v>
      </c>
      <c r="CT66">
        <f>'2012_2020'!CR4</f>
        <v>1.3100000000000001E-2</v>
      </c>
      <c r="CU66">
        <f>'2012_2020'!CS4</f>
        <v>2.2499999999999999E-2</v>
      </c>
      <c r="CV66">
        <f>'2012_2020'!CT4</f>
        <v>6.3299999999999995E-2</v>
      </c>
      <c r="CW66">
        <f>'2012_2020'!CU4</f>
        <v>-5.1200000000000004E-3</v>
      </c>
      <c r="CX66">
        <f>'2012_2020'!CV4</f>
        <v>-2.2900000000000001E-4</v>
      </c>
    </row>
    <row r="67" spans="1:102" x14ac:dyDescent="0.2">
      <c r="A67" t="s">
        <v>206</v>
      </c>
      <c r="B67" t="s">
        <v>217</v>
      </c>
      <c r="C67" t="s">
        <v>222</v>
      </c>
      <c r="D67">
        <f>'2012_2020'!B5</f>
        <v>8.0299999999999996E-2</v>
      </c>
      <c r="E67">
        <f>'2012_2020'!C5</f>
        <v>0.109</v>
      </c>
      <c r="F67">
        <f>'2012_2020'!D5</f>
        <v>0.106</v>
      </c>
      <c r="G67">
        <f>'2012_2020'!E5</f>
        <v>0.105</v>
      </c>
      <c r="H67">
        <f>'2012_2020'!F5</f>
        <v>9.7500000000000003E-2</v>
      </c>
      <c r="I67">
        <f>'2012_2020'!G5</f>
        <v>0.10299999999999999</v>
      </c>
      <c r="J67">
        <f>'2012_2020'!H5</f>
        <v>9.9299999999999999E-2</v>
      </c>
      <c r="K67">
        <f>'2012_2020'!I5</f>
        <v>9.1700000000000004E-2</v>
      </c>
      <c r="L67">
        <f>'2012_2020'!J5</f>
        <v>9.3799999999999994E-2</v>
      </c>
      <c r="M67">
        <f>'2012_2020'!K5</f>
        <v>7.6200000000000004E-2</v>
      </c>
      <c r="N67">
        <f>'2012_2020'!L5</f>
        <v>7.4200000000000002E-2</v>
      </c>
      <c r="O67">
        <f>'2012_2020'!M5</f>
        <v>7.0300000000000001E-2</v>
      </c>
      <c r="P67">
        <f>'2012_2020'!N5</f>
        <v>6.4899999999999999E-2</v>
      </c>
      <c r="Q67">
        <f>'2012_2020'!O5</f>
        <v>6.0499999999999998E-2</v>
      </c>
      <c r="R67">
        <f>'2012_2020'!P5</f>
        <v>5.2200000000000003E-2</v>
      </c>
      <c r="S67">
        <f>'2012_2020'!Q5</f>
        <v>4.87E-2</v>
      </c>
      <c r="T67">
        <f>'2012_2020'!R5</f>
        <v>4.7199999999999999E-2</v>
      </c>
      <c r="U67">
        <f>'2012_2020'!S5</f>
        <v>4.7399999999999998E-2</v>
      </c>
      <c r="V67">
        <f>'2012_2020'!T5</f>
        <v>4.6800000000000001E-2</v>
      </c>
      <c r="W67">
        <f>'2012_2020'!U5</f>
        <v>4.7500000000000001E-2</v>
      </c>
      <c r="X67">
        <f>'2012_2020'!V5</f>
        <v>4.7600000000000003E-2</v>
      </c>
      <c r="Y67">
        <f>'2012_2020'!W5</f>
        <v>4.8800000000000003E-2</v>
      </c>
      <c r="Z67">
        <f>'2012_2020'!X5</f>
        <v>5.0200000000000002E-2</v>
      </c>
      <c r="AA67">
        <f>'2012_2020'!Y5</f>
        <v>5.16E-2</v>
      </c>
      <c r="AB67">
        <f>'2012_2020'!Z5</f>
        <v>5.2999999999999999E-2</v>
      </c>
      <c r="AC67">
        <f>'2012_2020'!AA5</f>
        <v>5.3400000000000003E-2</v>
      </c>
      <c r="AD67">
        <f>'2012_2020'!AB5</f>
        <v>5.3999999999999999E-2</v>
      </c>
      <c r="AE67">
        <f>'2012_2020'!AC5</f>
        <v>5.4899999999999997E-2</v>
      </c>
      <c r="AF67">
        <f>'2012_2020'!AD5</f>
        <v>5.67E-2</v>
      </c>
      <c r="AG67">
        <f>'2012_2020'!AE5</f>
        <v>5.8799999999999998E-2</v>
      </c>
      <c r="AH67">
        <f>'2012_2020'!AF5</f>
        <v>6.0999999999999999E-2</v>
      </c>
      <c r="AI67">
        <f>'2012_2020'!AG5</f>
        <v>6.3700000000000007E-2</v>
      </c>
      <c r="AJ67">
        <f>'2012_2020'!AH5</f>
        <v>6.6199999999999995E-2</v>
      </c>
      <c r="AK67">
        <f>'2012_2020'!AI5</f>
        <v>6.9699999999999998E-2</v>
      </c>
      <c r="AL67">
        <f>'2012_2020'!AJ5</f>
        <v>7.2800000000000004E-2</v>
      </c>
      <c r="AM67">
        <f>'2012_2020'!AK5</f>
        <v>7.5200000000000003E-2</v>
      </c>
      <c r="AN67">
        <f>'2012_2020'!AL5</f>
        <v>7.7899999999999997E-2</v>
      </c>
      <c r="AO67">
        <f>'2012_2020'!AM5</f>
        <v>8.2000000000000003E-2</v>
      </c>
      <c r="AP67">
        <f>'2012_2020'!AN5</f>
        <v>8.5099999999999995E-2</v>
      </c>
      <c r="AQ67">
        <f>'2012_2020'!AO5</f>
        <v>8.8900000000000007E-2</v>
      </c>
      <c r="AR67">
        <f>'2012_2020'!AP5</f>
        <v>9.1499999999999998E-2</v>
      </c>
      <c r="AS67">
        <f>'2012_2020'!AQ5</f>
        <v>9.4600000000000004E-2</v>
      </c>
      <c r="AT67">
        <f>'2012_2020'!AR5</f>
        <v>9.7100000000000006E-2</v>
      </c>
      <c r="AU67">
        <f>'2012_2020'!AS5</f>
        <v>9.8400000000000001E-2</v>
      </c>
      <c r="AV67">
        <f>'2012_2020'!AT5</f>
        <v>9.9299999999999999E-2</v>
      </c>
      <c r="AW67">
        <f>'2012_2020'!AU5</f>
        <v>9.9900000000000003E-2</v>
      </c>
      <c r="AX67">
        <f>'2012_2020'!AV5</f>
        <v>0.10100000000000001</v>
      </c>
      <c r="AY67">
        <f>'2012_2020'!AW5</f>
        <v>0.104</v>
      </c>
      <c r="AZ67">
        <f>'2012_2020'!AX5</f>
        <v>0.105</v>
      </c>
      <c r="BA67">
        <f>'2012_2020'!AY5</f>
        <v>0.109</v>
      </c>
      <c r="BB67">
        <f>'2012_2020'!AZ5</f>
        <v>0.112</v>
      </c>
      <c r="BC67">
        <f>'2012_2020'!BA5</f>
        <v>0.11899999999999999</v>
      </c>
      <c r="BD67">
        <f>'2012_2020'!BB5</f>
        <v>0.126</v>
      </c>
      <c r="BE67">
        <f>'2012_2020'!BC5</f>
        <v>0.13200000000000001</v>
      </c>
      <c r="BF67">
        <f>'2012_2020'!BD5</f>
        <v>0.13500000000000001</v>
      </c>
      <c r="BG67">
        <f>'2012_2020'!BE5</f>
        <v>0.13800000000000001</v>
      </c>
      <c r="BH67">
        <f>'2012_2020'!BF5</f>
        <v>0.13700000000000001</v>
      </c>
      <c r="BI67">
        <f>'2012_2020'!BG5</f>
        <v>0.13600000000000001</v>
      </c>
      <c r="BJ67">
        <f>'2012_2020'!BH5</f>
        <v>0.13700000000000001</v>
      </c>
      <c r="BK67">
        <f>'2012_2020'!BI5</f>
        <v>0.13700000000000001</v>
      </c>
      <c r="BL67">
        <f>'2012_2020'!BJ5</f>
        <v>0.13900000000000001</v>
      </c>
      <c r="BM67">
        <f>'2012_2020'!BK5</f>
        <v>0.14399999999999999</v>
      </c>
      <c r="BN67">
        <f>'2012_2020'!BL5</f>
        <v>0.151</v>
      </c>
      <c r="BO67">
        <f>'2012_2020'!BM5</f>
        <v>0.156</v>
      </c>
      <c r="BP67">
        <f>'2012_2020'!BN5</f>
        <v>0.161</v>
      </c>
      <c r="BQ67">
        <f>'2012_2020'!BO5</f>
        <v>0.16500000000000001</v>
      </c>
      <c r="BR67">
        <f>'2012_2020'!BP5</f>
        <v>0.16500000000000001</v>
      </c>
      <c r="BS67">
        <f>'2012_2020'!BQ5</f>
        <v>0.16500000000000001</v>
      </c>
      <c r="BT67">
        <f>'2012_2020'!BR5</f>
        <v>0.16700000000000001</v>
      </c>
      <c r="BU67">
        <f>'2012_2020'!BS5</f>
        <v>0.17100000000000001</v>
      </c>
      <c r="BV67">
        <f>'2012_2020'!BT5</f>
        <v>0.182</v>
      </c>
      <c r="BW67">
        <f>'2012_2020'!BU5</f>
        <v>0.191</v>
      </c>
      <c r="BX67">
        <f>'2012_2020'!BV5</f>
        <v>0.19600000000000001</v>
      </c>
      <c r="BY67">
        <f>'2012_2020'!BW5</f>
        <v>0.20300000000000001</v>
      </c>
      <c r="BZ67">
        <f>'2012_2020'!BX5</f>
        <v>0.20200000000000001</v>
      </c>
      <c r="CA67">
        <f>'2012_2020'!BY5</f>
        <v>0.20100000000000001</v>
      </c>
      <c r="CB67">
        <f>'2012_2020'!BZ5</f>
        <v>0.2</v>
      </c>
      <c r="CC67">
        <f>'2012_2020'!CA5</f>
        <v>0.21</v>
      </c>
      <c r="CD67">
        <f>'2012_2020'!CB5</f>
        <v>0.222</v>
      </c>
      <c r="CE67">
        <f>'2012_2020'!CC5</f>
        <v>0.23100000000000001</v>
      </c>
      <c r="CF67">
        <f>'2012_2020'!CD5</f>
        <v>0.24</v>
      </c>
      <c r="CG67">
        <f>'2012_2020'!CE5</f>
        <v>0.23</v>
      </c>
      <c r="CH67">
        <f>'2012_2020'!CF5</f>
        <v>0.216</v>
      </c>
      <c r="CI67">
        <f>'2012_2020'!CG5</f>
        <v>0.21099999999999999</v>
      </c>
      <c r="CJ67">
        <f>'2012_2020'!CH5</f>
        <v>0.221</v>
      </c>
      <c r="CK67">
        <f>'2012_2020'!CI5</f>
        <v>0.27100000000000002</v>
      </c>
      <c r="CL67">
        <f>'2012_2020'!CJ5</f>
        <v>0.26600000000000001</v>
      </c>
      <c r="CM67">
        <f>'2012_2020'!CK5</f>
        <v>0.252</v>
      </c>
      <c r="CN67">
        <f>'2012_2020'!CL5</f>
        <v>0.25900000000000001</v>
      </c>
      <c r="CO67">
        <f>'2012_2020'!CM5</f>
        <v>0.25700000000000001</v>
      </c>
      <c r="CP67">
        <f>'2012_2020'!CN5</f>
        <v>0.23799999999999999</v>
      </c>
      <c r="CQ67">
        <f>'2012_2020'!CO5</f>
        <v>0.27</v>
      </c>
      <c r="CR67">
        <f>'2012_2020'!CP5</f>
        <v>0.29599999999999999</v>
      </c>
      <c r="CS67">
        <f>'2012_2020'!CQ5</f>
        <v>0.25700000000000001</v>
      </c>
      <c r="CT67">
        <f>'2012_2020'!CR5</f>
        <v>0.28999999999999998</v>
      </c>
      <c r="CU67">
        <f>'2012_2020'!CS5</f>
        <v>0.22700000000000001</v>
      </c>
      <c r="CV67">
        <f>'2012_2020'!CT5</f>
        <v>0.26100000000000001</v>
      </c>
      <c r="CW67">
        <f>'2012_2020'!CU5</f>
        <v>0.25</v>
      </c>
      <c r="CX67">
        <f>'2012_2020'!CV5</f>
        <v>0.22</v>
      </c>
    </row>
    <row r="68" spans="1:102" x14ac:dyDescent="0.2">
      <c r="A68" t="s">
        <v>207</v>
      </c>
      <c r="B68" t="s">
        <v>217</v>
      </c>
      <c r="C68" t="s">
        <v>222</v>
      </c>
      <c r="D68">
        <f>'2012_2020'!B6</f>
        <v>0.187</v>
      </c>
      <c r="E68">
        <f>'2012_2020'!C6</f>
        <v>6.9400000000000003E-2</v>
      </c>
      <c r="F68">
        <f>'2012_2020'!D6</f>
        <v>6.2300000000000001E-2</v>
      </c>
      <c r="G68">
        <f>'2012_2020'!E6</f>
        <v>9.2299999999999993E-2</v>
      </c>
      <c r="H68">
        <f>'2012_2020'!F6</f>
        <v>4.3200000000000002E-2</v>
      </c>
      <c r="I68">
        <f>'2012_2020'!G6</f>
        <v>4.5699999999999998E-2</v>
      </c>
      <c r="J68">
        <f>'2012_2020'!H6</f>
        <v>4.53E-2</v>
      </c>
      <c r="K68">
        <f>'2012_2020'!I6</f>
        <v>5.1700000000000003E-2</v>
      </c>
      <c r="L68">
        <f>'2012_2020'!J6</f>
        <v>7.3300000000000004E-2</v>
      </c>
      <c r="M68">
        <f>'2012_2020'!K6</f>
        <v>3.6900000000000002E-2</v>
      </c>
      <c r="N68">
        <f>'2012_2020'!L6</f>
        <v>7.8E-2</v>
      </c>
      <c r="O68">
        <f>'2012_2020'!M6</f>
        <v>0.11600000000000001</v>
      </c>
      <c r="P68">
        <f>'2012_2020'!N6</f>
        <v>8.2900000000000001E-2</v>
      </c>
      <c r="Q68">
        <f>'2012_2020'!O6</f>
        <v>8.5199999999999998E-2</v>
      </c>
      <c r="R68">
        <f>'2012_2020'!P6</f>
        <v>8.5099999999999995E-2</v>
      </c>
      <c r="S68">
        <f>'2012_2020'!Q6</f>
        <v>8.7300000000000003E-2</v>
      </c>
      <c r="T68">
        <f>'2012_2020'!R6</f>
        <v>0.10199999999999999</v>
      </c>
      <c r="U68">
        <f>'2012_2020'!S6</f>
        <v>0.10199999999999999</v>
      </c>
      <c r="V68">
        <f>'2012_2020'!T6</f>
        <v>0.107</v>
      </c>
      <c r="W68">
        <f>'2012_2020'!U6</f>
        <v>9.8299999999999998E-2</v>
      </c>
      <c r="X68">
        <f>'2012_2020'!V6</f>
        <v>8.3699999999999997E-2</v>
      </c>
      <c r="Y68">
        <f>'2012_2020'!W6</f>
        <v>0.106</v>
      </c>
      <c r="Z68">
        <f>'2012_2020'!X6</f>
        <v>9.8500000000000004E-2</v>
      </c>
      <c r="AA68">
        <f>'2012_2020'!Y6</f>
        <v>7.8899999999999998E-2</v>
      </c>
      <c r="AB68">
        <f>'2012_2020'!Z6</f>
        <v>6.7900000000000002E-2</v>
      </c>
      <c r="AC68">
        <f>'2012_2020'!AA6</f>
        <v>5.21E-2</v>
      </c>
      <c r="AD68">
        <f>'2012_2020'!AB6</f>
        <v>6.3899999999999998E-2</v>
      </c>
      <c r="AE68">
        <f>'2012_2020'!AC6</f>
        <v>5.2600000000000001E-2</v>
      </c>
      <c r="AF68">
        <f>'2012_2020'!AD6</f>
        <v>4.82E-2</v>
      </c>
      <c r="AG68">
        <f>'2012_2020'!AE6</f>
        <v>4.4999999999999998E-2</v>
      </c>
      <c r="AH68">
        <f>'2012_2020'!AF6</f>
        <v>5.2499999999999998E-2</v>
      </c>
      <c r="AI68">
        <f>'2012_2020'!AG6</f>
        <v>4.8000000000000001E-2</v>
      </c>
      <c r="AJ68">
        <f>'2012_2020'!AH6</f>
        <v>4.1399999999999999E-2</v>
      </c>
      <c r="AK68">
        <f>'2012_2020'!AI6</f>
        <v>3.2199999999999999E-2</v>
      </c>
      <c r="AL68">
        <f>'2012_2020'!AJ6</f>
        <v>5.2200000000000003E-2</v>
      </c>
      <c r="AM68">
        <f>'2012_2020'!AK6</f>
        <v>5.57E-2</v>
      </c>
      <c r="AN68">
        <f>'2012_2020'!AL6</f>
        <v>4.9099999999999998E-2</v>
      </c>
      <c r="AO68">
        <f>'2012_2020'!AM6</f>
        <v>3.09E-2</v>
      </c>
      <c r="AP68">
        <f>'2012_2020'!AN6</f>
        <v>1.6299999999999999E-2</v>
      </c>
      <c r="AQ68">
        <f>'2012_2020'!AO6</f>
        <v>2.1000000000000001E-2</v>
      </c>
      <c r="AR68">
        <f>'2012_2020'!AP6</f>
        <v>2.3199999999999998E-2</v>
      </c>
      <c r="AS68">
        <f>'2012_2020'!AQ6</f>
        <v>2.1899999999999999E-2</v>
      </c>
      <c r="AT68">
        <f>'2012_2020'!AR6</f>
        <v>1.5699999999999999E-2</v>
      </c>
      <c r="AU68">
        <f>'2012_2020'!AS6</f>
        <v>2.1499999999999998E-2</v>
      </c>
      <c r="AV68">
        <f>'2012_2020'!AT6</f>
        <v>2.2599999999999999E-3</v>
      </c>
      <c r="AW68">
        <f>'2012_2020'!AU6</f>
        <v>4.0000000000000001E-3</v>
      </c>
      <c r="AX68">
        <f>'2012_2020'!AV6</f>
        <v>-1.2500000000000001E-2</v>
      </c>
      <c r="AY68">
        <f>'2012_2020'!AW6</f>
        <v>2.7200000000000002E-3</v>
      </c>
      <c r="AZ68">
        <f>'2012_2020'!AX6</f>
        <v>3.2100000000000002E-3</v>
      </c>
      <c r="BA68">
        <f>'2012_2020'!AY6</f>
        <v>7.8799999999999999E-3</v>
      </c>
      <c r="BB68">
        <f>'2012_2020'!AZ6</f>
        <v>2.0799999999999999E-2</v>
      </c>
      <c r="BC68">
        <f>'2012_2020'!BA6</f>
        <v>4.7099999999999998E-3</v>
      </c>
      <c r="BD68">
        <f>'2012_2020'!BB6</f>
        <v>-3.5400000000000001E-2</v>
      </c>
      <c r="BE68">
        <f>'2012_2020'!BC6</f>
        <v>-0.04</v>
      </c>
      <c r="BF68">
        <f>'2012_2020'!BD6</f>
        <v>-1.7100000000000001E-2</v>
      </c>
      <c r="BG68">
        <f>'2012_2020'!BE6</f>
        <v>-3.5499999999999997E-2</v>
      </c>
      <c r="BH68">
        <f>'2012_2020'!BF6</f>
        <v>-4.65E-2</v>
      </c>
      <c r="BI68">
        <f>'2012_2020'!BG6</f>
        <v>-4.9700000000000001E-2</v>
      </c>
      <c r="BJ68">
        <f>'2012_2020'!BH6</f>
        <v>-6.2899999999999998E-2</v>
      </c>
      <c r="BK68">
        <f>'2012_2020'!BI6</f>
        <v>-3.4500000000000003E-2</v>
      </c>
      <c r="BL68">
        <f>'2012_2020'!BJ6</f>
        <v>-8.5400000000000007E-3</v>
      </c>
      <c r="BM68">
        <f>'2012_2020'!BK6</f>
        <v>-2.86E-2</v>
      </c>
      <c r="BN68">
        <f>'2012_2020'!BL6</f>
        <v>-5.9700000000000003E-2</v>
      </c>
      <c r="BO68">
        <f>'2012_2020'!BM6</f>
        <v>-4.87E-2</v>
      </c>
      <c r="BP68">
        <f>'2012_2020'!BN6</f>
        <v>-1.6899999999999998E-2</v>
      </c>
      <c r="BQ68">
        <f>'2012_2020'!BO6</f>
        <v>-4.7100000000000003E-2</v>
      </c>
      <c r="BR68">
        <f>'2012_2020'!BP6</f>
        <v>-8.3699999999999997E-2</v>
      </c>
      <c r="BS68">
        <f>'2012_2020'!BQ6</f>
        <v>-0.10299999999999999</v>
      </c>
      <c r="BT68">
        <f>'2012_2020'!BR6</f>
        <v>-0.105</v>
      </c>
      <c r="BU68">
        <f>'2012_2020'!BS6</f>
        <v>-0.10100000000000001</v>
      </c>
      <c r="BV68">
        <f>'2012_2020'!BT6</f>
        <v>-0.10100000000000001</v>
      </c>
      <c r="BW68">
        <f>'2012_2020'!BU6</f>
        <v>-0.10100000000000001</v>
      </c>
      <c r="BX68">
        <f>'2012_2020'!BV6</f>
        <v>-0.106</v>
      </c>
      <c r="BY68">
        <f>'2012_2020'!BW6</f>
        <v>-0.11</v>
      </c>
      <c r="BZ68">
        <f>'2012_2020'!BX6</f>
        <v>-0.112</v>
      </c>
      <c r="CA68">
        <f>'2012_2020'!BY6</f>
        <v>-0.14000000000000001</v>
      </c>
      <c r="CB68">
        <f>'2012_2020'!BZ6</f>
        <v>-9.0999999999999998E-2</v>
      </c>
      <c r="CC68">
        <f>'2012_2020'!CA6</f>
        <v>-0.124</v>
      </c>
      <c r="CD68">
        <f>'2012_2020'!CB6</f>
        <v>-0.14099999999999999</v>
      </c>
      <c r="CE68">
        <f>'2012_2020'!CC6</f>
        <v>-0.11700000000000001</v>
      </c>
      <c r="CF68">
        <f>'2012_2020'!CD6</f>
        <v>-0.17299999999999999</v>
      </c>
      <c r="CG68">
        <f>'2012_2020'!CE6</f>
        <v>-0.189</v>
      </c>
      <c r="CH68">
        <f>'2012_2020'!CF6</f>
        <v>-0.184</v>
      </c>
      <c r="CI68">
        <f>'2012_2020'!CG6</f>
        <v>-0.14000000000000001</v>
      </c>
      <c r="CJ68">
        <f>'2012_2020'!CH6</f>
        <v>-0.13500000000000001</v>
      </c>
      <c r="CK68">
        <f>'2012_2020'!CI6</f>
        <v>-0.17899999999999999</v>
      </c>
      <c r="CL68">
        <f>'2012_2020'!CJ6</f>
        <v>-0.17899999999999999</v>
      </c>
      <c r="CM68">
        <f>'2012_2020'!CK6</f>
        <v>-0.22600000000000001</v>
      </c>
      <c r="CN68">
        <f>'2012_2020'!CL6</f>
        <v>-0.21</v>
      </c>
      <c r="CO68">
        <f>'2012_2020'!CM6</f>
        <v>-0.218</v>
      </c>
      <c r="CP68">
        <f>'2012_2020'!CN6</f>
        <v>-0.17</v>
      </c>
      <c r="CQ68">
        <f>'2012_2020'!CO6</f>
        <v>-0.25900000000000001</v>
      </c>
      <c r="CR68">
        <f>'2012_2020'!CP6</f>
        <v>-0.26</v>
      </c>
      <c r="CS68">
        <f>'2012_2020'!CQ6</f>
        <v>-0.25600000000000001</v>
      </c>
      <c r="CT68">
        <f>'2012_2020'!CR6</f>
        <v>-0.27700000000000002</v>
      </c>
      <c r="CU68">
        <f>'2012_2020'!CS6</f>
        <v>-0.20399999999999999</v>
      </c>
      <c r="CV68">
        <f>'2012_2020'!CT6</f>
        <v>-0.19800000000000001</v>
      </c>
      <c r="CW68">
        <f>'2012_2020'!CU6</f>
        <v>-0.255</v>
      </c>
      <c r="CX68">
        <f>'2012_2020'!CV6</f>
        <v>-0.22</v>
      </c>
    </row>
    <row r="69" spans="1:102" x14ac:dyDescent="0.2">
      <c r="A69" t="s">
        <v>208</v>
      </c>
      <c r="B69" t="s">
        <v>218</v>
      </c>
      <c r="C69" t="s">
        <v>222</v>
      </c>
      <c r="D69">
        <f>'2012_2020'!B7</f>
        <v>5.1700000000000003E-2</v>
      </c>
      <c r="E69">
        <f>'2012_2020'!C7</f>
        <v>7.2599999999999998E-2</v>
      </c>
      <c r="F69">
        <f>'2012_2020'!D7</f>
        <v>7.0300000000000001E-2</v>
      </c>
      <c r="G69">
        <f>'2012_2020'!E7</f>
        <v>6.9000000000000006E-2</v>
      </c>
      <c r="H69">
        <f>'2012_2020'!F7</f>
        <v>6.6500000000000004E-2</v>
      </c>
      <c r="I69">
        <f>'2012_2020'!G7</f>
        <v>7.1900000000000006E-2</v>
      </c>
      <c r="J69">
        <f>'2012_2020'!H7</f>
        <v>7.1300000000000002E-2</v>
      </c>
      <c r="K69">
        <f>'2012_2020'!I7</f>
        <v>6.7699999999999996E-2</v>
      </c>
      <c r="L69">
        <f>'2012_2020'!J7</f>
        <v>7.0199999999999999E-2</v>
      </c>
      <c r="M69">
        <f>'2012_2020'!K7</f>
        <v>5.79E-2</v>
      </c>
      <c r="N69">
        <f>'2012_2020'!L7</f>
        <v>5.7299999999999997E-2</v>
      </c>
      <c r="O69">
        <f>'2012_2020'!M7</f>
        <v>5.4699999999999999E-2</v>
      </c>
      <c r="P69">
        <f>'2012_2020'!N7</f>
        <v>5.0700000000000002E-2</v>
      </c>
      <c r="Q69">
        <f>'2012_2020'!O7</f>
        <v>4.7800000000000002E-2</v>
      </c>
      <c r="R69">
        <f>'2012_2020'!P7</f>
        <v>4.1500000000000002E-2</v>
      </c>
      <c r="S69">
        <f>'2012_2020'!Q7</f>
        <v>3.8399999999999997E-2</v>
      </c>
      <c r="T69">
        <f>'2012_2020'!R7</f>
        <v>3.78E-2</v>
      </c>
      <c r="U69">
        <f>'2012_2020'!S7</f>
        <v>3.7999999999999999E-2</v>
      </c>
      <c r="V69">
        <f>'2012_2020'!T7</f>
        <v>3.78E-2</v>
      </c>
      <c r="W69">
        <f>'2012_2020'!U7</f>
        <v>3.8199999999999998E-2</v>
      </c>
      <c r="X69">
        <f>'2012_2020'!V7</f>
        <v>3.8600000000000002E-2</v>
      </c>
      <c r="Y69">
        <f>'2012_2020'!W7</f>
        <v>3.9800000000000002E-2</v>
      </c>
      <c r="Z69">
        <f>'2012_2020'!X7</f>
        <v>4.0599999999999997E-2</v>
      </c>
      <c r="AA69">
        <f>'2012_2020'!Y7</f>
        <v>4.1799999999999997E-2</v>
      </c>
      <c r="AB69">
        <f>'2012_2020'!Z7</f>
        <v>4.2599999999999999E-2</v>
      </c>
      <c r="AC69">
        <f>'2012_2020'!AA7</f>
        <v>4.2999999999999997E-2</v>
      </c>
      <c r="AD69">
        <f>'2012_2020'!AB7</f>
        <v>4.3499999999999997E-2</v>
      </c>
      <c r="AE69">
        <f>'2012_2020'!AC7</f>
        <v>4.4400000000000002E-2</v>
      </c>
      <c r="AF69">
        <f>'2012_2020'!AD7</f>
        <v>4.58E-2</v>
      </c>
      <c r="AG69">
        <f>'2012_2020'!AE7</f>
        <v>4.7800000000000002E-2</v>
      </c>
      <c r="AH69">
        <f>'2012_2020'!AF7</f>
        <v>0.05</v>
      </c>
      <c r="AI69">
        <f>'2012_2020'!AG7</f>
        <v>5.2299999999999999E-2</v>
      </c>
      <c r="AJ69">
        <f>'2012_2020'!AH7</f>
        <v>5.45E-2</v>
      </c>
      <c r="AK69">
        <f>'2012_2020'!AI7</f>
        <v>5.7299999999999997E-2</v>
      </c>
      <c r="AL69">
        <f>'2012_2020'!AJ7</f>
        <v>5.9900000000000002E-2</v>
      </c>
      <c r="AM69">
        <f>'2012_2020'!AK7</f>
        <v>6.2300000000000001E-2</v>
      </c>
      <c r="AN69">
        <f>'2012_2020'!AL7</f>
        <v>6.4799999999999996E-2</v>
      </c>
      <c r="AO69">
        <f>'2012_2020'!AM7</f>
        <v>6.8699999999999997E-2</v>
      </c>
      <c r="AP69">
        <f>'2012_2020'!AN7</f>
        <v>7.1400000000000005E-2</v>
      </c>
      <c r="AQ69">
        <f>'2012_2020'!AO7</f>
        <v>7.4499999999999997E-2</v>
      </c>
      <c r="AR69">
        <f>'2012_2020'!AP7</f>
        <v>7.6799999999999993E-2</v>
      </c>
      <c r="AS69">
        <f>'2012_2020'!AQ7</f>
        <v>7.9500000000000001E-2</v>
      </c>
      <c r="AT69">
        <f>'2012_2020'!AR7</f>
        <v>8.1500000000000003E-2</v>
      </c>
      <c r="AU69">
        <f>'2012_2020'!AS7</f>
        <v>8.2600000000000007E-2</v>
      </c>
      <c r="AV69">
        <f>'2012_2020'!AT7</f>
        <v>8.3799999999999999E-2</v>
      </c>
      <c r="AW69">
        <f>'2012_2020'!AU7</f>
        <v>8.4400000000000003E-2</v>
      </c>
      <c r="AX69">
        <f>'2012_2020'!AV7</f>
        <v>8.5099999999999995E-2</v>
      </c>
      <c r="AY69">
        <f>'2012_2020'!AW7</f>
        <v>8.7800000000000003E-2</v>
      </c>
      <c r="AZ69">
        <f>'2012_2020'!AX7</f>
        <v>8.9399999999999993E-2</v>
      </c>
      <c r="BA69">
        <f>'2012_2020'!AY7</f>
        <v>9.2899999999999996E-2</v>
      </c>
      <c r="BB69">
        <f>'2012_2020'!AZ7</f>
        <v>9.5799999999999996E-2</v>
      </c>
      <c r="BC69">
        <f>'2012_2020'!BA7</f>
        <v>0.10199999999999999</v>
      </c>
      <c r="BD69">
        <f>'2012_2020'!BB7</f>
        <v>0.108</v>
      </c>
      <c r="BE69">
        <f>'2012_2020'!BC7</f>
        <v>0.113</v>
      </c>
      <c r="BF69">
        <f>'2012_2020'!BD7</f>
        <v>0.115</v>
      </c>
      <c r="BG69">
        <f>'2012_2020'!BE7</f>
        <v>0.11799999999999999</v>
      </c>
      <c r="BH69">
        <f>'2012_2020'!BF7</f>
        <v>0.11700000000000001</v>
      </c>
      <c r="BI69">
        <f>'2012_2020'!BG7</f>
        <v>0.11700000000000001</v>
      </c>
      <c r="BJ69">
        <f>'2012_2020'!BH7</f>
        <v>0.11799999999999999</v>
      </c>
      <c r="BK69">
        <f>'2012_2020'!BI7</f>
        <v>0.11799999999999999</v>
      </c>
      <c r="BL69">
        <f>'2012_2020'!BJ7</f>
        <v>0.12</v>
      </c>
      <c r="BM69">
        <f>'2012_2020'!BK7</f>
        <v>0.125</v>
      </c>
      <c r="BN69">
        <f>'2012_2020'!BL7</f>
        <v>0.13100000000000001</v>
      </c>
      <c r="BO69">
        <f>'2012_2020'!BM7</f>
        <v>0.13600000000000001</v>
      </c>
      <c r="BP69">
        <f>'2012_2020'!BN7</f>
        <v>0.14000000000000001</v>
      </c>
      <c r="BQ69">
        <f>'2012_2020'!BO7</f>
        <v>0.14399999999999999</v>
      </c>
      <c r="BR69">
        <f>'2012_2020'!BP7</f>
        <v>0.14499999999999999</v>
      </c>
      <c r="BS69">
        <f>'2012_2020'!BQ7</f>
        <v>0.14499999999999999</v>
      </c>
      <c r="BT69">
        <f>'2012_2020'!BR7</f>
        <v>0.14599999999999999</v>
      </c>
      <c r="BU69">
        <f>'2012_2020'!BS7</f>
        <v>0.151</v>
      </c>
      <c r="BV69">
        <f>'2012_2020'!BT7</f>
        <v>0.161</v>
      </c>
      <c r="BW69">
        <f>'2012_2020'!BU7</f>
        <v>0.16900000000000001</v>
      </c>
      <c r="BX69">
        <f>'2012_2020'!BV7</f>
        <v>0.17399999999999999</v>
      </c>
      <c r="BY69">
        <f>'2012_2020'!BW7</f>
        <v>0.18099999999999999</v>
      </c>
      <c r="BZ69">
        <f>'2012_2020'!BX7</f>
        <v>0.18099999999999999</v>
      </c>
      <c r="CA69">
        <f>'2012_2020'!BY7</f>
        <v>0.18</v>
      </c>
      <c r="CB69">
        <f>'2012_2020'!BZ7</f>
        <v>0.17799999999999999</v>
      </c>
      <c r="CC69">
        <f>'2012_2020'!CA7</f>
        <v>0.188</v>
      </c>
      <c r="CD69">
        <f>'2012_2020'!CB7</f>
        <v>0.2</v>
      </c>
      <c r="CE69">
        <f>'2012_2020'!CC7</f>
        <v>0.21</v>
      </c>
      <c r="CF69">
        <f>'2012_2020'!CD7</f>
        <v>0.218</v>
      </c>
      <c r="CG69">
        <f>'2012_2020'!CE7</f>
        <v>0.20899999999999999</v>
      </c>
      <c r="CH69">
        <f>'2012_2020'!CF7</f>
        <v>0.19700000000000001</v>
      </c>
      <c r="CI69">
        <f>'2012_2020'!CG7</f>
        <v>0.192</v>
      </c>
      <c r="CJ69">
        <f>'2012_2020'!CH7</f>
        <v>0.20300000000000001</v>
      </c>
      <c r="CK69">
        <f>'2012_2020'!CI7</f>
        <v>0.249</v>
      </c>
      <c r="CL69">
        <f>'2012_2020'!CJ7</f>
        <v>0.246</v>
      </c>
      <c r="CM69">
        <f>'2012_2020'!CK7</f>
        <v>0.23499999999999999</v>
      </c>
      <c r="CN69">
        <f>'2012_2020'!CL7</f>
        <v>0.24199999999999999</v>
      </c>
      <c r="CO69">
        <f>'2012_2020'!CM7</f>
        <v>0.24099999999999999</v>
      </c>
      <c r="CP69">
        <f>'2012_2020'!CN7</f>
        <v>0.224</v>
      </c>
      <c r="CQ69">
        <f>'2012_2020'!CO7</f>
        <v>0.254</v>
      </c>
      <c r="CR69">
        <f>'2012_2020'!CP7</f>
        <v>0.28000000000000003</v>
      </c>
      <c r="CS69">
        <f>'2012_2020'!CQ7</f>
        <v>0.245</v>
      </c>
      <c r="CT69">
        <f>'2012_2020'!CR7</f>
        <v>0.27600000000000002</v>
      </c>
      <c r="CU69">
        <f>'2012_2020'!CS7</f>
        <v>0.218</v>
      </c>
      <c r="CV69">
        <f>'2012_2020'!CT7</f>
        <v>0.251</v>
      </c>
      <c r="CW69">
        <f>'2012_2020'!CU7</f>
        <v>0.24099999999999999</v>
      </c>
      <c r="CX69">
        <f>'2012_2020'!CV7</f>
        <v>0.21299999999999999</v>
      </c>
    </row>
    <row r="70" spans="1:102" x14ac:dyDescent="0.2">
      <c r="A70" t="s">
        <v>209</v>
      </c>
      <c r="B70" t="s">
        <v>218</v>
      </c>
      <c r="C70" t="s">
        <v>222</v>
      </c>
      <c r="D70">
        <f>'2012_2020'!B8</f>
        <v>5.4999999999999997E-3</v>
      </c>
      <c r="E70">
        <f>'2012_2020'!C8</f>
        <v>1.14E-2</v>
      </c>
      <c r="F70">
        <f>'2012_2020'!D8</f>
        <v>1.43E-2</v>
      </c>
      <c r="G70">
        <f>'2012_2020'!E8</f>
        <v>1.4999999999999999E-2</v>
      </c>
      <c r="H70">
        <f>'2012_2020'!F8</f>
        <v>1.5100000000000001E-2</v>
      </c>
      <c r="I70">
        <f>'2012_2020'!G8</f>
        <v>1.6899999999999998E-2</v>
      </c>
      <c r="J70">
        <f>'2012_2020'!H8</f>
        <v>1.6500000000000001E-2</v>
      </c>
      <c r="K70">
        <f>'2012_2020'!I8</f>
        <v>1.5699999999999999E-2</v>
      </c>
      <c r="L70">
        <f>'2012_2020'!J8</f>
        <v>1.6E-2</v>
      </c>
      <c r="M70">
        <f>'2012_2020'!K8</f>
        <v>1.34E-2</v>
      </c>
      <c r="N70">
        <f>'2012_2020'!L8</f>
        <v>1.3100000000000001E-2</v>
      </c>
      <c r="O70">
        <f>'2012_2020'!M8</f>
        <v>1.2500000000000001E-2</v>
      </c>
      <c r="P70">
        <f>'2012_2020'!N8</f>
        <v>1.17E-2</v>
      </c>
      <c r="Q70">
        <f>'2012_2020'!O8</f>
        <v>1.09E-2</v>
      </c>
      <c r="R70">
        <f>'2012_2020'!P8</f>
        <v>9.4900000000000002E-3</v>
      </c>
      <c r="S70">
        <f>'2012_2020'!Q8</f>
        <v>9.0100000000000006E-3</v>
      </c>
      <c r="T70">
        <f>'2012_2020'!R8</f>
        <v>8.8699999999999994E-3</v>
      </c>
      <c r="U70">
        <f>'2012_2020'!S8</f>
        <v>8.8400000000000006E-3</v>
      </c>
      <c r="V70">
        <f>'2012_2020'!T8</f>
        <v>8.7299999999999999E-3</v>
      </c>
      <c r="W70">
        <f>'2012_2020'!U8</f>
        <v>8.7600000000000004E-3</v>
      </c>
      <c r="X70">
        <f>'2012_2020'!V8</f>
        <v>8.6800000000000002E-3</v>
      </c>
      <c r="Y70">
        <f>'2012_2020'!W8</f>
        <v>8.8900000000000003E-3</v>
      </c>
      <c r="Z70">
        <f>'2012_2020'!X8</f>
        <v>8.9999999999999993E-3</v>
      </c>
      <c r="AA70">
        <f>'2012_2020'!Y8</f>
        <v>9.1800000000000007E-3</v>
      </c>
      <c r="AB70">
        <f>'2012_2020'!Z8</f>
        <v>9.4299999999999991E-3</v>
      </c>
      <c r="AC70">
        <f>'2012_2020'!AA8</f>
        <v>9.4800000000000006E-3</v>
      </c>
      <c r="AD70">
        <f>'2012_2020'!AB8</f>
        <v>9.6799999999999994E-3</v>
      </c>
      <c r="AE70">
        <f>'2012_2020'!AC8</f>
        <v>9.8300000000000002E-3</v>
      </c>
      <c r="AF70">
        <f>'2012_2020'!AD8</f>
        <v>0.01</v>
      </c>
      <c r="AG70">
        <f>'2012_2020'!AE8</f>
        <v>1.03E-2</v>
      </c>
      <c r="AH70">
        <f>'2012_2020'!AF8</f>
        <v>1.06E-2</v>
      </c>
      <c r="AI70">
        <f>'2012_2020'!AG8</f>
        <v>1.0999999999999999E-2</v>
      </c>
      <c r="AJ70">
        <f>'2012_2020'!AH8</f>
        <v>1.1299999999999999E-2</v>
      </c>
      <c r="AK70">
        <f>'2012_2020'!AI8</f>
        <v>1.1900000000000001E-2</v>
      </c>
      <c r="AL70">
        <f>'2012_2020'!AJ8</f>
        <v>1.24E-2</v>
      </c>
      <c r="AM70">
        <f>'2012_2020'!AK8</f>
        <v>1.2699999999999999E-2</v>
      </c>
      <c r="AN70">
        <f>'2012_2020'!AL8</f>
        <v>1.32E-2</v>
      </c>
      <c r="AO70">
        <f>'2012_2020'!AM8</f>
        <v>1.3899999999999999E-2</v>
      </c>
      <c r="AP70">
        <f>'2012_2020'!AN8</f>
        <v>1.44E-2</v>
      </c>
      <c r="AQ70">
        <f>'2012_2020'!AO8</f>
        <v>1.4999999999999999E-2</v>
      </c>
      <c r="AR70">
        <f>'2012_2020'!AP8</f>
        <v>1.54E-2</v>
      </c>
      <c r="AS70">
        <f>'2012_2020'!AQ8</f>
        <v>1.6E-2</v>
      </c>
      <c r="AT70">
        <f>'2012_2020'!AR8</f>
        <v>1.6400000000000001E-2</v>
      </c>
      <c r="AU70">
        <f>'2012_2020'!AS8</f>
        <v>1.6500000000000001E-2</v>
      </c>
      <c r="AV70">
        <f>'2012_2020'!AT8</f>
        <v>1.66E-2</v>
      </c>
      <c r="AW70">
        <f>'2012_2020'!AU8</f>
        <v>1.66E-2</v>
      </c>
      <c r="AX70">
        <f>'2012_2020'!AV8</f>
        <v>1.67E-2</v>
      </c>
      <c r="AY70">
        <f>'2012_2020'!AW8</f>
        <v>1.72E-2</v>
      </c>
      <c r="AZ70">
        <f>'2012_2020'!AX8</f>
        <v>1.7399999999999999E-2</v>
      </c>
      <c r="BA70">
        <f>'2012_2020'!AY8</f>
        <v>1.7999999999999999E-2</v>
      </c>
      <c r="BB70">
        <f>'2012_2020'!AZ8</f>
        <v>1.83E-2</v>
      </c>
      <c r="BC70">
        <f>'2012_2020'!BA8</f>
        <v>1.9300000000000001E-2</v>
      </c>
      <c r="BD70">
        <f>'2012_2020'!BB8</f>
        <v>2.0400000000000001E-2</v>
      </c>
      <c r="BE70">
        <f>'2012_2020'!BC8</f>
        <v>2.1100000000000001E-2</v>
      </c>
      <c r="BF70">
        <f>'2012_2020'!BD8</f>
        <v>2.1600000000000001E-2</v>
      </c>
      <c r="BG70">
        <f>'2012_2020'!BE8</f>
        <v>2.18E-2</v>
      </c>
      <c r="BH70">
        <f>'2012_2020'!BF8</f>
        <v>2.1700000000000001E-2</v>
      </c>
      <c r="BI70">
        <f>'2012_2020'!BG8</f>
        <v>2.1399999999999999E-2</v>
      </c>
      <c r="BJ70">
        <f>'2012_2020'!BH8</f>
        <v>2.1499999999999998E-2</v>
      </c>
      <c r="BK70">
        <f>'2012_2020'!BI8</f>
        <v>2.1399999999999999E-2</v>
      </c>
      <c r="BL70">
        <f>'2012_2020'!BJ8</f>
        <v>2.1499999999999998E-2</v>
      </c>
      <c r="BM70">
        <f>'2012_2020'!BK8</f>
        <v>2.1999999999999999E-2</v>
      </c>
      <c r="BN70">
        <f>'2012_2020'!BL8</f>
        <v>2.29E-2</v>
      </c>
      <c r="BO70">
        <f>'2012_2020'!BM8</f>
        <v>2.3699999999999999E-2</v>
      </c>
      <c r="BP70">
        <f>'2012_2020'!BN8</f>
        <v>2.4199999999999999E-2</v>
      </c>
      <c r="BQ70">
        <f>'2012_2020'!BO8</f>
        <v>2.4500000000000001E-2</v>
      </c>
      <c r="BR70">
        <f>'2012_2020'!BP8</f>
        <v>2.4299999999999999E-2</v>
      </c>
      <c r="BS70">
        <f>'2012_2020'!BQ8</f>
        <v>2.4400000000000002E-2</v>
      </c>
      <c r="BT70">
        <f>'2012_2020'!BR8</f>
        <v>2.4400000000000002E-2</v>
      </c>
      <c r="BU70">
        <f>'2012_2020'!BS8</f>
        <v>2.4799999999999999E-2</v>
      </c>
      <c r="BV70">
        <f>'2012_2020'!BT8</f>
        <v>2.6200000000000001E-2</v>
      </c>
      <c r="BW70">
        <f>'2012_2020'!BU8</f>
        <v>2.7400000000000001E-2</v>
      </c>
      <c r="BX70">
        <f>'2012_2020'!BV8</f>
        <v>2.81E-2</v>
      </c>
      <c r="BY70">
        <f>'2012_2020'!BW8</f>
        <v>2.8799999999999999E-2</v>
      </c>
      <c r="BZ70">
        <f>'2012_2020'!BX8</f>
        <v>2.8500000000000001E-2</v>
      </c>
      <c r="CA70">
        <f>'2012_2020'!BY8</f>
        <v>2.8400000000000002E-2</v>
      </c>
      <c r="CB70">
        <f>'2012_2020'!BZ8</f>
        <v>2.7799999999999998E-2</v>
      </c>
      <c r="CC70">
        <f>'2012_2020'!CA8</f>
        <v>2.9000000000000001E-2</v>
      </c>
      <c r="CD70">
        <f>'2012_2020'!CB8</f>
        <v>3.0599999999999999E-2</v>
      </c>
      <c r="CE70">
        <f>'2012_2020'!CC8</f>
        <v>3.15E-2</v>
      </c>
      <c r="CF70">
        <f>'2012_2020'!CD8</f>
        <v>3.27E-2</v>
      </c>
      <c r="CG70">
        <f>'2012_2020'!CE8</f>
        <v>3.1199999999999999E-2</v>
      </c>
      <c r="CH70">
        <f>'2012_2020'!CF8</f>
        <v>2.93E-2</v>
      </c>
      <c r="CI70">
        <f>'2012_2020'!CG8</f>
        <v>2.8899999999999999E-2</v>
      </c>
      <c r="CJ70">
        <f>'2012_2020'!CH8</f>
        <v>3.0300000000000001E-2</v>
      </c>
      <c r="CK70">
        <f>'2012_2020'!CI8</f>
        <v>3.7199999999999997E-2</v>
      </c>
      <c r="CL70">
        <f>'2012_2020'!CJ8</f>
        <v>3.6600000000000001E-2</v>
      </c>
      <c r="CM70">
        <f>'2012_2020'!CK8</f>
        <v>3.4799999999999998E-2</v>
      </c>
      <c r="CN70">
        <f>'2012_2020'!CL8</f>
        <v>3.5900000000000001E-2</v>
      </c>
      <c r="CO70">
        <f>'2012_2020'!CM8</f>
        <v>3.5400000000000001E-2</v>
      </c>
      <c r="CP70">
        <f>'2012_2020'!CN8</f>
        <v>3.3599999999999998E-2</v>
      </c>
      <c r="CQ70">
        <f>'2012_2020'!CO8</f>
        <v>3.8399999999999997E-2</v>
      </c>
      <c r="CR70">
        <f>'2012_2020'!CP8</f>
        <v>4.24E-2</v>
      </c>
      <c r="CS70">
        <f>'2012_2020'!CQ8</f>
        <v>3.6999999999999998E-2</v>
      </c>
      <c r="CT70">
        <f>'2012_2020'!CR8</f>
        <v>4.2599999999999999E-2</v>
      </c>
      <c r="CU70">
        <f>'2012_2020'!CS8</f>
        <v>3.3700000000000001E-2</v>
      </c>
      <c r="CV70">
        <f>'2012_2020'!CT8</f>
        <v>4.0099999999999997E-2</v>
      </c>
      <c r="CW70">
        <f>'2012_2020'!CU8</f>
        <v>4.0500000000000001E-2</v>
      </c>
      <c r="CX70">
        <f>'2012_2020'!CV8</f>
        <v>3.78E-2</v>
      </c>
    </row>
    <row r="71" spans="1:102" x14ac:dyDescent="0.2">
      <c r="A71" t="s">
        <v>210</v>
      </c>
      <c r="B71" t="s">
        <v>218</v>
      </c>
      <c r="C71" t="s">
        <v>222</v>
      </c>
      <c r="D71">
        <f>'2012_2020'!B9</f>
        <v>-6.6899999999999998E-3</v>
      </c>
      <c r="E71">
        <f>'2012_2020'!C9</f>
        <v>-7.92E-3</v>
      </c>
      <c r="F71">
        <f>'2012_2020'!D9</f>
        <v>-7.2700000000000004E-3</v>
      </c>
      <c r="G71">
        <f>'2012_2020'!E9</f>
        <v>-6.4700000000000001E-3</v>
      </c>
      <c r="H71">
        <f>'2012_2020'!F9</f>
        <v>-5.8599999999999998E-3</v>
      </c>
      <c r="I71">
        <f>'2012_2020'!G9</f>
        <v>-5.8700000000000002E-3</v>
      </c>
      <c r="J71">
        <f>'2012_2020'!H9</f>
        <v>-5.1700000000000001E-3</v>
      </c>
      <c r="K71">
        <f>'2012_2020'!I9</f>
        <v>-4.5700000000000003E-3</v>
      </c>
      <c r="L71">
        <f>'2012_2020'!J9</f>
        <v>-4.3400000000000001E-3</v>
      </c>
      <c r="M71">
        <f>'2012_2020'!K9</f>
        <v>-3.31E-3</v>
      </c>
      <c r="N71">
        <f>'2012_2020'!L9</f>
        <v>-3.0500000000000002E-3</v>
      </c>
      <c r="O71">
        <f>'2012_2020'!M9</f>
        <v>-2.6900000000000001E-3</v>
      </c>
      <c r="P71">
        <f>'2012_2020'!N9</f>
        <v>-2.3600000000000001E-3</v>
      </c>
      <c r="Q71">
        <f>'2012_2020'!O9</f>
        <v>-2.0500000000000002E-3</v>
      </c>
      <c r="R71">
        <f>'2012_2020'!P9</f>
        <v>-1.6999999999999999E-3</v>
      </c>
      <c r="S71">
        <f>'2012_2020'!Q9</f>
        <v>-1.58E-3</v>
      </c>
      <c r="T71">
        <f>'2012_2020'!R9</f>
        <v>-1.5499999999999999E-3</v>
      </c>
      <c r="U71">
        <f>'2012_2020'!S9</f>
        <v>-1.5200000000000001E-3</v>
      </c>
      <c r="V71">
        <f>'2012_2020'!T9</f>
        <v>-1.5299999999999999E-3</v>
      </c>
      <c r="W71">
        <f>'2012_2020'!U9</f>
        <v>-1.5299999999999999E-3</v>
      </c>
      <c r="X71">
        <f>'2012_2020'!V9</f>
        <v>-1.6299999999999999E-3</v>
      </c>
      <c r="Y71">
        <f>'2012_2020'!W9</f>
        <v>-1.7099999999999999E-3</v>
      </c>
      <c r="Z71">
        <f>'2012_2020'!X9</f>
        <v>-1.7600000000000001E-3</v>
      </c>
      <c r="AA71">
        <f>'2012_2020'!Y9</f>
        <v>-1.8400000000000001E-3</v>
      </c>
      <c r="AB71">
        <f>'2012_2020'!Z9</f>
        <v>-1.8699999999999999E-3</v>
      </c>
      <c r="AC71">
        <f>'2012_2020'!AA9</f>
        <v>-1.9300000000000001E-3</v>
      </c>
      <c r="AD71">
        <f>'2012_2020'!AB9</f>
        <v>-2E-3</v>
      </c>
      <c r="AE71">
        <f>'2012_2020'!AC9</f>
        <v>-2.0999999999999999E-3</v>
      </c>
      <c r="AF71">
        <f>'2012_2020'!AD9</f>
        <v>-2.1800000000000001E-3</v>
      </c>
      <c r="AG71">
        <f>'2012_2020'!AE9</f>
        <v>-2.3E-3</v>
      </c>
      <c r="AH71">
        <f>'2012_2020'!AF9</f>
        <v>-2.4599999999999999E-3</v>
      </c>
      <c r="AI71">
        <f>'2012_2020'!AG9</f>
        <v>-2.5799999999999998E-3</v>
      </c>
      <c r="AJ71">
        <f>'2012_2020'!AH9</f>
        <v>-2.6800000000000001E-3</v>
      </c>
      <c r="AK71">
        <f>'2012_2020'!AI9</f>
        <v>-2.8400000000000001E-3</v>
      </c>
      <c r="AL71">
        <f>'2012_2020'!AJ9</f>
        <v>-2.98E-3</v>
      </c>
      <c r="AM71">
        <f>'2012_2020'!AK9</f>
        <v>-3.13E-3</v>
      </c>
      <c r="AN71">
        <f>'2012_2020'!AL9</f>
        <v>-3.2200000000000002E-3</v>
      </c>
      <c r="AO71">
        <f>'2012_2020'!AM9</f>
        <v>-3.4399999999999999E-3</v>
      </c>
      <c r="AP71">
        <f>'2012_2020'!AN9</f>
        <v>-3.5899999999999999E-3</v>
      </c>
      <c r="AQ71">
        <f>'2012_2020'!AO9</f>
        <v>-3.8400000000000001E-3</v>
      </c>
      <c r="AR71">
        <f>'2012_2020'!AP9</f>
        <v>-3.9500000000000004E-3</v>
      </c>
      <c r="AS71">
        <f>'2012_2020'!AQ9</f>
        <v>-4.0699999999999998E-3</v>
      </c>
      <c r="AT71">
        <f>'2012_2020'!AR9</f>
        <v>-4.1399999999999996E-3</v>
      </c>
      <c r="AU71">
        <f>'2012_2020'!AS9</f>
        <v>-4.1700000000000001E-3</v>
      </c>
      <c r="AV71">
        <f>'2012_2020'!AT9</f>
        <v>-4.1599999999999996E-3</v>
      </c>
      <c r="AW71">
        <f>'2012_2020'!AU9</f>
        <v>-4.1799999999999997E-3</v>
      </c>
      <c r="AX71">
        <f>'2012_2020'!AV9</f>
        <v>-4.1999999999999997E-3</v>
      </c>
      <c r="AY71">
        <f>'2012_2020'!AW9</f>
        <v>-4.3200000000000001E-3</v>
      </c>
      <c r="AZ71">
        <f>'2012_2020'!AX9</f>
        <v>-4.4000000000000003E-3</v>
      </c>
      <c r="BA71">
        <f>'2012_2020'!AY9</f>
        <v>-4.5599999999999998E-3</v>
      </c>
      <c r="BB71">
        <f>'2012_2020'!AZ9</f>
        <v>-4.6499999999999996E-3</v>
      </c>
      <c r="BC71">
        <f>'2012_2020'!BA9</f>
        <v>-4.8999999999999998E-3</v>
      </c>
      <c r="BD71">
        <f>'2012_2020'!BB9</f>
        <v>-5.13E-3</v>
      </c>
      <c r="BE71">
        <f>'2012_2020'!BC9</f>
        <v>-5.2399999999999999E-3</v>
      </c>
      <c r="BF71">
        <f>'2012_2020'!BD9</f>
        <v>-5.2900000000000004E-3</v>
      </c>
      <c r="BG71">
        <f>'2012_2020'!BE9</f>
        <v>-5.3200000000000001E-3</v>
      </c>
      <c r="BH71">
        <f>'2012_2020'!BF9</f>
        <v>-5.28E-3</v>
      </c>
      <c r="BI71">
        <f>'2012_2020'!BG9</f>
        <v>-5.1799999999999997E-3</v>
      </c>
      <c r="BJ71">
        <f>'2012_2020'!BH9</f>
        <v>-5.1700000000000001E-3</v>
      </c>
      <c r="BK71">
        <f>'2012_2020'!BI9</f>
        <v>-5.13E-3</v>
      </c>
      <c r="BL71">
        <f>'2012_2020'!BJ9</f>
        <v>-5.1500000000000001E-3</v>
      </c>
      <c r="BM71">
        <f>'2012_2020'!BK9</f>
        <v>-5.2500000000000003E-3</v>
      </c>
      <c r="BN71">
        <f>'2012_2020'!BL9</f>
        <v>-5.5100000000000001E-3</v>
      </c>
      <c r="BO71">
        <f>'2012_2020'!BM9</f>
        <v>-5.5199999999999997E-3</v>
      </c>
      <c r="BP71">
        <f>'2012_2020'!BN9</f>
        <v>-5.64E-3</v>
      </c>
      <c r="BQ71">
        <f>'2012_2020'!BO9</f>
        <v>-5.6600000000000001E-3</v>
      </c>
      <c r="BR71">
        <f>'2012_2020'!BP9</f>
        <v>-5.6100000000000004E-3</v>
      </c>
      <c r="BS71">
        <f>'2012_2020'!BQ9</f>
        <v>-5.5900000000000004E-3</v>
      </c>
      <c r="BT71">
        <f>'2012_2020'!BR9</f>
        <v>-5.5300000000000002E-3</v>
      </c>
      <c r="BU71">
        <f>'2012_2020'!BS9</f>
        <v>-5.5599999999999998E-3</v>
      </c>
      <c r="BV71">
        <f>'2012_2020'!BT9</f>
        <v>-5.8799999999999998E-3</v>
      </c>
      <c r="BW71">
        <f>'2012_2020'!BU9</f>
        <v>-6.1000000000000004E-3</v>
      </c>
      <c r="BX71">
        <f>'2012_2020'!BV9</f>
        <v>-6.1700000000000001E-3</v>
      </c>
      <c r="BY71">
        <f>'2012_2020'!BW9</f>
        <v>-6.3600000000000002E-3</v>
      </c>
      <c r="BZ71">
        <f>'2012_2020'!BX9</f>
        <v>-6.3099999999999996E-3</v>
      </c>
      <c r="CA71">
        <f>'2012_2020'!BY9</f>
        <v>-6.2500000000000003E-3</v>
      </c>
      <c r="CB71">
        <f>'2012_2020'!BZ9</f>
        <v>-6.0099999999999997E-3</v>
      </c>
      <c r="CC71">
        <f>'2012_2020'!CA9</f>
        <v>-6.3499999999999997E-3</v>
      </c>
      <c r="CD71">
        <f>'2012_2020'!CB9</f>
        <v>-6.6800000000000002E-3</v>
      </c>
      <c r="CE71">
        <f>'2012_2020'!CC9</f>
        <v>-6.7299999999999999E-3</v>
      </c>
      <c r="CF71">
        <f>'2012_2020'!CD9</f>
        <v>-6.9800000000000001E-3</v>
      </c>
      <c r="CG71">
        <f>'2012_2020'!CE9</f>
        <v>-6.6299999999999996E-3</v>
      </c>
      <c r="CH71">
        <f>'2012_2020'!CF9</f>
        <v>-6.3E-3</v>
      </c>
      <c r="CI71">
        <f>'2012_2020'!CG9</f>
        <v>-6.1199999999999996E-3</v>
      </c>
      <c r="CJ71">
        <f>'2012_2020'!CH9</f>
        <v>-6.45E-3</v>
      </c>
      <c r="CK71">
        <f>'2012_2020'!CI9</f>
        <v>-7.7099999999999998E-3</v>
      </c>
      <c r="CL71">
        <f>'2012_2020'!CJ9</f>
        <v>-7.5900000000000004E-3</v>
      </c>
      <c r="CM71">
        <f>'2012_2020'!CK9</f>
        <v>-7.4700000000000001E-3</v>
      </c>
      <c r="CN71">
        <f>'2012_2020'!CL9</f>
        <v>-7.7000000000000002E-3</v>
      </c>
      <c r="CO71">
        <f>'2012_2020'!CM9</f>
        <v>-7.7000000000000002E-3</v>
      </c>
      <c r="CP71">
        <f>'2012_2020'!CN9</f>
        <v>-7.4599999999999996E-3</v>
      </c>
      <c r="CQ71">
        <f>'2012_2020'!CO9</f>
        <v>-8.6999999999999994E-3</v>
      </c>
      <c r="CR71">
        <f>'2012_2020'!CP9</f>
        <v>-9.5200000000000007E-3</v>
      </c>
      <c r="CS71">
        <f>'2012_2020'!CQ9</f>
        <v>-8.3499999999999998E-3</v>
      </c>
      <c r="CT71">
        <f>'2012_2020'!CR9</f>
        <v>-1.0200000000000001E-2</v>
      </c>
      <c r="CU71">
        <f>'2012_2020'!CS9</f>
        <v>-8.2900000000000005E-3</v>
      </c>
      <c r="CV71">
        <f>'2012_2020'!CT9</f>
        <v>-9.3900000000000008E-3</v>
      </c>
      <c r="CW71">
        <f>'2012_2020'!CU9</f>
        <v>-9.7900000000000001E-3</v>
      </c>
      <c r="CX71">
        <f>'2012_2020'!CV9</f>
        <v>-9.4500000000000001E-3</v>
      </c>
    </row>
    <row r="72" spans="1:102" x14ac:dyDescent="0.2">
      <c r="A72" t="s">
        <v>211</v>
      </c>
      <c r="B72" t="s">
        <v>218</v>
      </c>
      <c r="C72" t="s">
        <v>222</v>
      </c>
      <c r="D72">
        <f>'2012_2020'!B10</f>
        <v>-4.1999999999999997E-3</v>
      </c>
      <c r="E72">
        <f>'2012_2020'!C10</f>
        <v>-4.7400000000000003E-3</v>
      </c>
      <c r="F72">
        <f>'2012_2020'!D10</f>
        <v>-4.4000000000000003E-3</v>
      </c>
      <c r="G72">
        <f>'2012_2020'!E10</f>
        <v>-4.15E-3</v>
      </c>
      <c r="H72">
        <f>'2012_2020'!F10</f>
        <v>-3.7299999999999998E-3</v>
      </c>
      <c r="I72">
        <f>'2012_2020'!G10</f>
        <v>-3.7200000000000002E-3</v>
      </c>
      <c r="J72">
        <f>'2012_2020'!H10</f>
        <v>-3.5699999999999998E-3</v>
      </c>
      <c r="K72">
        <f>'2012_2020'!I10</f>
        <v>-3.64E-3</v>
      </c>
      <c r="L72">
        <f>'2012_2020'!J10</f>
        <v>-3.3700000000000002E-3</v>
      </c>
      <c r="M72">
        <f>'2012_2020'!K10</f>
        <v>-2.8500000000000001E-3</v>
      </c>
      <c r="N72">
        <f>'2012_2020'!L10</f>
        <v>-2.9399999999999999E-3</v>
      </c>
      <c r="O72">
        <f>'2012_2020'!M10</f>
        <v>-2.8800000000000002E-3</v>
      </c>
      <c r="P72">
        <f>'2012_2020'!N10</f>
        <v>-2.7100000000000002E-3</v>
      </c>
      <c r="Q72">
        <f>'2012_2020'!O10</f>
        <v>-2.6099999999999999E-3</v>
      </c>
      <c r="R72">
        <f>'2012_2020'!P10</f>
        <v>-2.2100000000000002E-3</v>
      </c>
      <c r="S72">
        <f>'2012_2020'!Q10</f>
        <v>-2.1700000000000001E-3</v>
      </c>
      <c r="T72">
        <f>'2012_2020'!R10</f>
        <v>-1.99E-3</v>
      </c>
      <c r="U72">
        <f>'2012_2020'!S10</f>
        <v>-2.0899999999999998E-3</v>
      </c>
      <c r="V72">
        <f>'2012_2020'!T10</f>
        <v>-2.0300000000000001E-3</v>
      </c>
      <c r="W72">
        <f>'2012_2020'!U10</f>
        <v>-2.0200000000000001E-3</v>
      </c>
      <c r="X72">
        <f>'2012_2020'!V10</f>
        <v>-2.0400000000000001E-3</v>
      </c>
      <c r="Y72">
        <f>'2012_2020'!W10</f>
        <v>-2.1199999999999999E-3</v>
      </c>
      <c r="Z72">
        <f>'2012_2020'!X10</f>
        <v>-2.1099999999999999E-3</v>
      </c>
      <c r="AA72">
        <f>'2012_2020'!Y10</f>
        <v>-2.1900000000000001E-3</v>
      </c>
      <c r="AB72">
        <f>'2012_2020'!Z10</f>
        <v>-2.1199999999999999E-3</v>
      </c>
      <c r="AC72">
        <f>'2012_2020'!AA10</f>
        <v>-2.1199999999999999E-3</v>
      </c>
      <c r="AD72">
        <f>'2012_2020'!AB10</f>
        <v>-2.2000000000000001E-3</v>
      </c>
      <c r="AE72">
        <f>'2012_2020'!AC10</f>
        <v>-2.1800000000000001E-3</v>
      </c>
      <c r="AF72">
        <f>'2012_2020'!AD10</f>
        <v>-2.2499999999999998E-3</v>
      </c>
      <c r="AG72">
        <f>'2012_2020'!AE10</f>
        <v>-2.5200000000000001E-3</v>
      </c>
      <c r="AH72">
        <f>'2012_2020'!AF10</f>
        <v>-2.5500000000000002E-3</v>
      </c>
      <c r="AI72">
        <f>'2012_2020'!AG10</f>
        <v>-2.65E-3</v>
      </c>
      <c r="AJ72">
        <f>'2012_2020'!AH10</f>
        <v>-2.8E-3</v>
      </c>
      <c r="AK72">
        <f>'2012_2020'!AI10</f>
        <v>-2.8700000000000002E-3</v>
      </c>
      <c r="AL72">
        <f>'2012_2020'!AJ10</f>
        <v>-3.0100000000000001E-3</v>
      </c>
      <c r="AM72">
        <f>'2012_2020'!AK10</f>
        <v>-3.0799999999999998E-3</v>
      </c>
      <c r="AN72">
        <f>'2012_2020'!AL10</f>
        <v>-3.1099999999999999E-3</v>
      </c>
      <c r="AO72">
        <f>'2012_2020'!AM10</f>
        <v>-3.3800000000000002E-3</v>
      </c>
      <c r="AP72">
        <f>'2012_2020'!AN10</f>
        <v>-3.5300000000000002E-3</v>
      </c>
      <c r="AQ72">
        <f>'2012_2020'!AO10</f>
        <v>-3.5699999999999998E-3</v>
      </c>
      <c r="AR72">
        <f>'2012_2020'!AP10</f>
        <v>-3.7200000000000002E-3</v>
      </c>
      <c r="AS72">
        <f>'2012_2020'!AQ10</f>
        <v>-3.7499999999999999E-3</v>
      </c>
      <c r="AT72">
        <f>'2012_2020'!AR10</f>
        <v>-3.8E-3</v>
      </c>
      <c r="AU72">
        <f>'2012_2020'!AS10</f>
        <v>-3.8E-3</v>
      </c>
      <c r="AV72">
        <f>'2012_2020'!AT10</f>
        <v>-3.79E-3</v>
      </c>
      <c r="AW72">
        <f>'2012_2020'!AU10</f>
        <v>-3.8999999999999998E-3</v>
      </c>
      <c r="AX72">
        <f>'2012_2020'!AV10</f>
        <v>-3.9699999999999996E-3</v>
      </c>
      <c r="AY72">
        <f>'2012_2020'!AW10</f>
        <v>-3.9199999999999999E-3</v>
      </c>
      <c r="AZ72">
        <f>'2012_2020'!AX10</f>
        <v>-4.0499999999999998E-3</v>
      </c>
      <c r="BA72">
        <f>'2012_2020'!AY10</f>
        <v>-4.1399999999999996E-3</v>
      </c>
      <c r="BB72">
        <f>'2012_2020'!AZ10</f>
        <v>-4.1999999999999997E-3</v>
      </c>
      <c r="BC72">
        <f>'2012_2020'!BA10</f>
        <v>-4.3800000000000002E-3</v>
      </c>
      <c r="BD72">
        <f>'2012_2020'!BB10</f>
        <v>-4.62E-3</v>
      </c>
      <c r="BE72">
        <f>'2012_2020'!BC10</f>
        <v>-4.9100000000000003E-3</v>
      </c>
      <c r="BF72">
        <f>'2012_2020'!BD10</f>
        <v>-4.9199999999999999E-3</v>
      </c>
      <c r="BG72">
        <f>'2012_2020'!BE10</f>
        <v>-4.9800000000000001E-3</v>
      </c>
      <c r="BH72">
        <f>'2012_2020'!BF10</f>
        <v>-5.0099999999999997E-3</v>
      </c>
      <c r="BI72">
        <f>'2012_2020'!BG10</f>
        <v>-5.0499999999999998E-3</v>
      </c>
      <c r="BJ72">
        <f>'2012_2020'!BH10</f>
        <v>-5.1999999999999998E-3</v>
      </c>
      <c r="BK72">
        <f>'2012_2020'!BI10</f>
        <v>-5.0400000000000002E-3</v>
      </c>
      <c r="BL72">
        <f>'2012_2020'!BJ10</f>
        <v>-4.9800000000000001E-3</v>
      </c>
      <c r="BM72">
        <f>'2012_2020'!BK10</f>
        <v>-5.2700000000000004E-3</v>
      </c>
      <c r="BN72">
        <f>'2012_2020'!BL10</f>
        <v>-5.5999999999999999E-3</v>
      </c>
      <c r="BO72">
        <f>'2012_2020'!BM10</f>
        <v>-5.79E-3</v>
      </c>
      <c r="BP72">
        <f>'2012_2020'!BN10</f>
        <v>-5.94E-3</v>
      </c>
      <c r="BQ72">
        <f>'2012_2020'!BO10</f>
        <v>-6.0099999999999997E-3</v>
      </c>
      <c r="BR72">
        <f>'2012_2020'!BP10</f>
        <v>-6.2599999999999999E-3</v>
      </c>
      <c r="BS72">
        <f>'2012_2020'!BQ10</f>
        <v>-6.2700000000000004E-3</v>
      </c>
      <c r="BT72">
        <f>'2012_2020'!BR10</f>
        <v>-6.13E-3</v>
      </c>
      <c r="BU72">
        <f>'2012_2020'!BS10</f>
        <v>-6.2100000000000002E-3</v>
      </c>
      <c r="BV72">
        <f>'2012_2020'!BT10</f>
        <v>-6.7400000000000003E-3</v>
      </c>
      <c r="BW72">
        <f>'2012_2020'!BU10</f>
        <v>-7.0299999999999998E-3</v>
      </c>
      <c r="BX72">
        <f>'2012_2020'!BV10</f>
        <v>-7.11E-3</v>
      </c>
      <c r="BY72">
        <f>'2012_2020'!BW10</f>
        <v>-7.2399999999999999E-3</v>
      </c>
      <c r="BZ72">
        <f>'2012_2020'!BX10</f>
        <v>-7.26E-3</v>
      </c>
      <c r="CA72">
        <f>'2012_2020'!BY10</f>
        <v>-7.4099999999999999E-3</v>
      </c>
      <c r="CB72">
        <f>'2012_2020'!BZ10</f>
        <v>-7.0099999999999997E-3</v>
      </c>
      <c r="CC72">
        <f>'2012_2020'!CA10</f>
        <v>-7.3600000000000002E-3</v>
      </c>
      <c r="CD72">
        <f>'2012_2020'!CB10</f>
        <v>-7.6299999999999996E-3</v>
      </c>
      <c r="CE72">
        <f>'2012_2020'!CC10</f>
        <v>-7.9100000000000004E-3</v>
      </c>
      <c r="CF72">
        <f>'2012_2020'!CD10</f>
        <v>-8.2000000000000007E-3</v>
      </c>
      <c r="CG72">
        <f>'2012_2020'!CE10</f>
        <v>-7.9000000000000008E-3</v>
      </c>
      <c r="CH72">
        <f>'2012_2020'!CF10</f>
        <v>-7.6099999999999996E-3</v>
      </c>
      <c r="CI72">
        <f>'2012_2020'!CG10</f>
        <v>-7.0099999999999997E-3</v>
      </c>
      <c r="CJ72">
        <f>'2012_2020'!CH10</f>
        <v>-7.3499999999999998E-3</v>
      </c>
      <c r="CK72">
        <f>'2012_2020'!CI10</f>
        <v>-9.0200000000000002E-3</v>
      </c>
      <c r="CL72">
        <f>'2012_2020'!CJ10</f>
        <v>-8.8299999999999993E-3</v>
      </c>
      <c r="CM72">
        <f>'2012_2020'!CK10</f>
        <v>-8.7100000000000007E-3</v>
      </c>
      <c r="CN72">
        <f>'2012_2020'!CL10</f>
        <v>-8.7899999999999992E-3</v>
      </c>
      <c r="CO72">
        <f>'2012_2020'!CM10</f>
        <v>-8.4799999999999997E-3</v>
      </c>
      <c r="CP72">
        <f>'2012_2020'!CN10</f>
        <v>-8.1399999999999997E-3</v>
      </c>
      <c r="CQ72">
        <f>'2012_2020'!CO10</f>
        <v>-9.41E-3</v>
      </c>
      <c r="CR72">
        <f>'2012_2020'!CP10</f>
        <v>-1.0699999999999999E-2</v>
      </c>
      <c r="CS72">
        <f>'2012_2020'!CQ10</f>
        <v>-9.6799999999999994E-3</v>
      </c>
      <c r="CT72">
        <f>'2012_2020'!CR10</f>
        <v>-1.0800000000000001E-2</v>
      </c>
      <c r="CU72">
        <f>'2012_2020'!CS10</f>
        <v>-8.8100000000000001E-3</v>
      </c>
      <c r="CV72">
        <f>'2012_2020'!CT10</f>
        <v>-1.09E-2</v>
      </c>
      <c r="CW72">
        <f>'2012_2020'!CU10</f>
        <v>-1.03E-2</v>
      </c>
      <c r="CX72">
        <f>'2012_2020'!CV10</f>
        <v>-8.7299999999999999E-3</v>
      </c>
    </row>
    <row r="73" spans="1:102" x14ac:dyDescent="0.2">
      <c r="A73" t="s">
        <v>212</v>
      </c>
      <c r="B73" t="s">
        <v>218</v>
      </c>
      <c r="C73" t="s">
        <v>222</v>
      </c>
      <c r="D73">
        <f>'2012_2020'!B11</f>
        <v>9.1500000000000001E-3</v>
      </c>
      <c r="E73">
        <f>'2012_2020'!C11</f>
        <v>1.06E-2</v>
      </c>
      <c r="F73">
        <f>'2012_2020'!D11</f>
        <v>9.6500000000000006E-3</v>
      </c>
      <c r="G73">
        <f>'2012_2020'!E11</f>
        <v>8.6700000000000006E-3</v>
      </c>
      <c r="H73">
        <f>'2012_2020'!F11</f>
        <v>7.7200000000000003E-3</v>
      </c>
      <c r="I73">
        <f>'2012_2020'!G11</f>
        <v>7.3699999999999998E-3</v>
      </c>
      <c r="J73">
        <f>'2012_2020'!H11</f>
        <v>6.94E-3</v>
      </c>
      <c r="K73">
        <f>'2012_2020'!I11</f>
        <v>6.4599999999999996E-3</v>
      </c>
      <c r="L73">
        <f>'2012_2020'!J11</f>
        <v>6.0499999999999998E-3</v>
      </c>
      <c r="M73">
        <f>'2012_2020'!K11</f>
        <v>4.79E-3</v>
      </c>
      <c r="N73">
        <f>'2012_2020'!L11</f>
        <v>4.3699999999999998E-3</v>
      </c>
      <c r="O73">
        <f>'2012_2020'!M11</f>
        <v>3.82E-3</v>
      </c>
      <c r="P73">
        <f>'2012_2020'!N11</f>
        <v>3.4099999999999998E-3</v>
      </c>
      <c r="Q73">
        <f>'2012_2020'!O11</f>
        <v>2.8999999999999998E-3</v>
      </c>
      <c r="R73">
        <f>'2012_2020'!P11</f>
        <v>2.31E-3</v>
      </c>
      <c r="S73">
        <f>'2012_2020'!Q11</f>
        <v>2.0699999999999998E-3</v>
      </c>
      <c r="T73">
        <f>'2012_2020'!R11</f>
        <v>1.9E-3</v>
      </c>
      <c r="U73">
        <f>'2012_2020'!S11</f>
        <v>1.8E-3</v>
      </c>
      <c r="V73">
        <f>'2012_2020'!T11</f>
        <v>1.66E-3</v>
      </c>
      <c r="W73">
        <f>'2012_2020'!U11</f>
        <v>1.57E-3</v>
      </c>
      <c r="X73">
        <f>'2012_2020'!V11</f>
        <v>1.5299999999999999E-3</v>
      </c>
      <c r="Y73">
        <f>'2012_2020'!W11</f>
        <v>1.4599999999999999E-3</v>
      </c>
      <c r="Z73">
        <f>'2012_2020'!X11</f>
        <v>1.42E-3</v>
      </c>
      <c r="AA73">
        <f>'2012_2020'!Y11</f>
        <v>1.39E-3</v>
      </c>
      <c r="AB73">
        <f>'2012_2020'!Z11</f>
        <v>1.34E-3</v>
      </c>
      <c r="AC73">
        <f>'2012_2020'!AA11</f>
        <v>1.33E-3</v>
      </c>
      <c r="AD73">
        <f>'2012_2020'!AB11</f>
        <v>1.2700000000000001E-3</v>
      </c>
      <c r="AE73">
        <f>'2012_2020'!AC11</f>
        <v>1.23E-3</v>
      </c>
      <c r="AF73">
        <f>'2012_2020'!AD11</f>
        <v>1.23E-3</v>
      </c>
      <c r="AG73">
        <f>'2012_2020'!AE11</f>
        <v>1.1999999999999999E-3</v>
      </c>
      <c r="AH73">
        <f>'2012_2020'!AF11</f>
        <v>1.1900000000000001E-3</v>
      </c>
      <c r="AI73">
        <f>'2012_2020'!AG11</f>
        <v>1.17E-3</v>
      </c>
      <c r="AJ73">
        <f>'2012_2020'!AH11</f>
        <v>1.1999999999999999E-3</v>
      </c>
      <c r="AK73">
        <f>'2012_2020'!AI11</f>
        <v>1.2199999999999999E-3</v>
      </c>
      <c r="AL73">
        <f>'2012_2020'!AJ11</f>
        <v>1.2700000000000001E-3</v>
      </c>
      <c r="AM73">
        <f>'2012_2020'!AK11</f>
        <v>1.2600000000000001E-3</v>
      </c>
      <c r="AN73">
        <f>'2012_2020'!AL11</f>
        <v>1.25E-3</v>
      </c>
      <c r="AO73">
        <f>'2012_2020'!AM11</f>
        <v>1.2800000000000001E-3</v>
      </c>
      <c r="AP73">
        <f>'2012_2020'!AN11</f>
        <v>1.2700000000000001E-3</v>
      </c>
      <c r="AQ73">
        <f>'2012_2020'!AO11</f>
        <v>1.2800000000000001E-3</v>
      </c>
      <c r="AR73">
        <f>'2012_2020'!AP11</f>
        <v>1.2899999999999999E-3</v>
      </c>
      <c r="AS73">
        <f>'2012_2020'!AQ11</f>
        <v>1.2999999999999999E-3</v>
      </c>
      <c r="AT73">
        <f>'2012_2020'!AR11</f>
        <v>1.2800000000000001E-3</v>
      </c>
      <c r="AU73">
        <f>'2012_2020'!AS11</f>
        <v>1.25E-3</v>
      </c>
      <c r="AV73">
        <f>'2012_2020'!AT11</f>
        <v>1.2199999999999999E-3</v>
      </c>
      <c r="AW73">
        <f>'2012_2020'!AU11</f>
        <v>1.24E-3</v>
      </c>
      <c r="AX73">
        <f>'2012_2020'!AV11</f>
        <v>1.2199999999999999E-3</v>
      </c>
      <c r="AY73">
        <f>'2012_2020'!AW11</f>
        <v>1.16E-3</v>
      </c>
      <c r="AZ73">
        <f>'2012_2020'!AX11</f>
        <v>1.14E-3</v>
      </c>
      <c r="BA73">
        <f>'2012_2020'!AY11</f>
        <v>1.1199999999999999E-3</v>
      </c>
      <c r="BB73">
        <f>'2012_2020'!AZ11</f>
        <v>1.1199999999999999E-3</v>
      </c>
      <c r="BC73">
        <f>'2012_2020'!BA11</f>
        <v>1.17E-3</v>
      </c>
      <c r="BD73">
        <f>'2012_2020'!BB11</f>
        <v>1.2099999999999999E-3</v>
      </c>
      <c r="BE73">
        <f>'2012_2020'!BC11</f>
        <v>1.2099999999999999E-3</v>
      </c>
      <c r="BF73">
        <f>'2012_2020'!BD11</f>
        <v>1.2099999999999999E-3</v>
      </c>
      <c r="BG73">
        <f>'2012_2020'!BE11</f>
        <v>1.1900000000000001E-3</v>
      </c>
      <c r="BH73">
        <f>'2012_2020'!BF11</f>
        <v>1.1299999999999999E-3</v>
      </c>
      <c r="BI73">
        <f>'2012_2020'!BG11</f>
        <v>1.1100000000000001E-3</v>
      </c>
      <c r="BJ73">
        <f>'2012_2020'!BH11</f>
        <v>1.14E-3</v>
      </c>
      <c r="BK73">
        <f>'2012_2020'!BI11</f>
        <v>1.09E-3</v>
      </c>
      <c r="BL73">
        <f>'2012_2020'!BJ11</f>
        <v>1.09E-3</v>
      </c>
      <c r="BM73">
        <f>'2012_2020'!BK11</f>
        <v>1.09E-3</v>
      </c>
      <c r="BN73">
        <f>'2012_2020'!BL11</f>
        <v>1.09E-3</v>
      </c>
      <c r="BO73">
        <f>'2012_2020'!BM11</f>
        <v>1.08E-3</v>
      </c>
      <c r="BP73">
        <f>'2012_2020'!BN11</f>
        <v>1.1199999999999999E-3</v>
      </c>
      <c r="BQ73">
        <f>'2012_2020'!BO11</f>
        <v>1.16E-3</v>
      </c>
      <c r="BR73">
        <f>'2012_2020'!BP11</f>
        <v>1.1199999999999999E-3</v>
      </c>
      <c r="BS73">
        <f>'2012_2020'!BQ11</f>
        <v>1.09E-3</v>
      </c>
      <c r="BT73">
        <f>'2012_2020'!BR11</f>
        <v>1.1000000000000001E-3</v>
      </c>
      <c r="BU73">
        <f>'2012_2020'!BS11</f>
        <v>1.14E-3</v>
      </c>
      <c r="BV73">
        <f>'2012_2020'!BT11</f>
        <v>1.2600000000000001E-3</v>
      </c>
      <c r="BW73">
        <f>'2012_2020'!BU11</f>
        <v>1.32E-3</v>
      </c>
      <c r="BX73">
        <f>'2012_2020'!BV11</f>
        <v>1.25E-3</v>
      </c>
      <c r="BY73">
        <f>'2012_2020'!BW11</f>
        <v>1.2899999999999999E-3</v>
      </c>
      <c r="BZ73">
        <f>'2012_2020'!BX11</f>
        <v>1.2899999999999999E-3</v>
      </c>
      <c r="CA73">
        <f>'2012_2020'!BY11</f>
        <v>1.2800000000000001E-3</v>
      </c>
      <c r="CB73">
        <f>'2012_2020'!BZ11</f>
        <v>1.2099999999999999E-3</v>
      </c>
      <c r="CC73">
        <f>'2012_2020'!CA11</f>
        <v>1.24E-3</v>
      </c>
      <c r="CD73">
        <f>'2012_2020'!CB11</f>
        <v>1.1800000000000001E-3</v>
      </c>
      <c r="CE73">
        <f>'2012_2020'!CC11</f>
        <v>1.15E-3</v>
      </c>
      <c r="CF73">
        <f>'2012_2020'!CD11</f>
        <v>1.1100000000000001E-3</v>
      </c>
      <c r="CG73">
        <f>'2012_2020'!CE11</f>
        <v>1.06E-3</v>
      </c>
      <c r="CH73">
        <f>'2012_2020'!CF11</f>
        <v>9.6299999999999999E-4</v>
      </c>
      <c r="CI73">
        <f>'2012_2020'!CG11</f>
        <v>8.92E-4</v>
      </c>
      <c r="CJ73">
        <f>'2012_2020'!CH11</f>
        <v>7.7899999999999996E-4</v>
      </c>
      <c r="CK73">
        <f>'2012_2020'!CI11</f>
        <v>9.3000000000000005E-4</v>
      </c>
      <c r="CL73">
        <f>'2012_2020'!CJ11</f>
        <v>9.3999999999999997E-4</v>
      </c>
      <c r="CM73">
        <f>'2012_2020'!CK11</f>
        <v>8.8000000000000003E-4</v>
      </c>
      <c r="CN73">
        <f>'2012_2020'!CL11</f>
        <v>9.0799999999999995E-4</v>
      </c>
      <c r="CO73">
        <f>'2012_2020'!CM11</f>
        <v>8.2600000000000002E-4</v>
      </c>
      <c r="CP73">
        <f>'2012_2020'!CN11</f>
        <v>7.7999999999999999E-4</v>
      </c>
      <c r="CQ73">
        <f>'2012_2020'!CO11</f>
        <v>8.1700000000000002E-4</v>
      </c>
      <c r="CR73">
        <f>'2012_2020'!CP11</f>
        <v>8.7699999999999996E-4</v>
      </c>
      <c r="CS73">
        <f>'2012_2020'!CQ11</f>
        <v>7.3300000000000004E-4</v>
      </c>
      <c r="CT73">
        <f>'2012_2020'!CR11</f>
        <v>7.45E-4</v>
      </c>
      <c r="CU73">
        <f>'2012_2020'!CS11</f>
        <v>5.5800000000000001E-4</v>
      </c>
      <c r="CV73">
        <f>'2012_2020'!CT11</f>
        <v>7.3999999999999999E-4</v>
      </c>
      <c r="CW73">
        <f>'2012_2020'!CU11</f>
        <v>5.13E-4</v>
      </c>
      <c r="CX73">
        <f>'2012_2020'!CV11</f>
        <v>6.9200000000000002E-4</v>
      </c>
    </row>
    <row r="74" spans="1:102" x14ac:dyDescent="0.2">
      <c r="A74" t="s">
        <v>213</v>
      </c>
      <c r="B74" t="s">
        <v>218</v>
      </c>
      <c r="C74" t="s">
        <v>222</v>
      </c>
      <c r="D74">
        <f>'2012_2020'!B12</f>
        <v>-1.29E-2</v>
      </c>
      <c r="E74">
        <f>'2012_2020'!C12</f>
        <v>-1.83E-2</v>
      </c>
      <c r="F74">
        <f>'2012_2020'!D12</f>
        <v>-1.9300000000000001E-2</v>
      </c>
      <c r="G74">
        <f>'2012_2020'!E12</f>
        <v>-2.01E-2</v>
      </c>
      <c r="H74">
        <f>'2012_2020'!F12</f>
        <v>-2.01E-2</v>
      </c>
      <c r="I74">
        <f>'2012_2020'!G12</f>
        <v>-2.1999999999999999E-2</v>
      </c>
      <c r="J74">
        <f>'2012_2020'!H12</f>
        <v>-2.1999999999999999E-2</v>
      </c>
      <c r="K74">
        <f>'2012_2020'!I12</f>
        <v>-2.1299999999999999E-2</v>
      </c>
      <c r="L74">
        <f>'2012_2020'!J12</f>
        <v>-2.1600000000000001E-2</v>
      </c>
      <c r="M74">
        <f>'2012_2020'!K12</f>
        <v>-1.7500000000000002E-2</v>
      </c>
      <c r="N74">
        <f>'2012_2020'!L12</f>
        <v>-1.7000000000000001E-2</v>
      </c>
      <c r="O74">
        <f>'2012_2020'!M12</f>
        <v>-1.5900000000000001E-2</v>
      </c>
      <c r="P74">
        <f>'2012_2020'!N12</f>
        <v>-1.43E-2</v>
      </c>
      <c r="Q74">
        <f>'2012_2020'!O12</f>
        <v>-1.24E-2</v>
      </c>
      <c r="R74">
        <f>'2012_2020'!P12</f>
        <v>-0.01</v>
      </c>
      <c r="S74">
        <f>'2012_2020'!Q12</f>
        <v>-8.9099999999999995E-3</v>
      </c>
      <c r="T74">
        <f>'2012_2020'!R12</f>
        <v>-8.3499999999999998E-3</v>
      </c>
      <c r="U74">
        <f>'2012_2020'!S12</f>
        <v>-8.0499999999999999E-3</v>
      </c>
      <c r="V74">
        <f>'2012_2020'!T12</f>
        <v>-7.0600000000000003E-3</v>
      </c>
      <c r="W74">
        <f>'2012_2020'!U12</f>
        <v>-6.5100000000000002E-3</v>
      </c>
      <c r="X74">
        <f>'2012_2020'!V12</f>
        <v>-6.1599999999999997E-3</v>
      </c>
      <c r="Y74">
        <f>'2012_2020'!W12</f>
        <v>-5.8799999999999998E-3</v>
      </c>
      <c r="Z74">
        <f>'2012_2020'!X12</f>
        <v>-5.5399999999999998E-3</v>
      </c>
      <c r="AA74">
        <f>'2012_2020'!Y12</f>
        <v>-5.11E-3</v>
      </c>
      <c r="AB74">
        <f>'2012_2020'!Z12</f>
        <v>-4.7299999999999998E-3</v>
      </c>
      <c r="AC74">
        <f>'2012_2020'!AA12</f>
        <v>-4.4000000000000003E-3</v>
      </c>
      <c r="AD74">
        <f>'2012_2020'!AB12</f>
        <v>-4.1799999999999997E-3</v>
      </c>
      <c r="AE74">
        <f>'2012_2020'!AC12</f>
        <v>-4.0600000000000002E-3</v>
      </c>
      <c r="AF74">
        <f>'2012_2020'!AD12</f>
        <v>-3.9100000000000003E-3</v>
      </c>
      <c r="AG74">
        <f>'2012_2020'!AE12</f>
        <v>-3.8400000000000001E-3</v>
      </c>
      <c r="AH74">
        <f>'2012_2020'!AF12</f>
        <v>-3.6800000000000001E-3</v>
      </c>
      <c r="AI74">
        <f>'2012_2020'!AG12</f>
        <v>-3.4499999999999999E-3</v>
      </c>
      <c r="AJ74">
        <f>'2012_2020'!AH12</f>
        <v>-3.3E-3</v>
      </c>
      <c r="AK74">
        <f>'2012_2020'!AI12</f>
        <v>-3.1700000000000001E-3</v>
      </c>
      <c r="AL74">
        <f>'2012_2020'!AJ12</f>
        <v>-3.0699999999999998E-3</v>
      </c>
      <c r="AM74">
        <f>'2012_2020'!AK12</f>
        <v>-3.0200000000000001E-3</v>
      </c>
      <c r="AN74">
        <f>'2012_2020'!AL12</f>
        <v>-3.0200000000000001E-3</v>
      </c>
      <c r="AO74">
        <f>'2012_2020'!AM12</f>
        <v>-2.9499999999999999E-3</v>
      </c>
      <c r="AP74">
        <f>'2012_2020'!AN12</f>
        <v>-2.82E-3</v>
      </c>
      <c r="AQ74">
        <f>'2012_2020'!AO12</f>
        <v>-2.6199999999999999E-3</v>
      </c>
      <c r="AR74">
        <f>'2012_2020'!AP12</f>
        <v>-2.5000000000000001E-3</v>
      </c>
      <c r="AS74">
        <f>'2012_2020'!AQ12</f>
        <v>-2.2799999999999999E-3</v>
      </c>
      <c r="AT74">
        <f>'2012_2020'!AR12</f>
        <v>-2.0300000000000001E-3</v>
      </c>
      <c r="AU74">
        <f>'2012_2020'!AS12</f>
        <v>-1.7899999999999999E-3</v>
      </c>
      <c r="AV74">
        <f>'2012_2020'!AT12</f>
        <v>-1.5299999999999999E-3</v>
      </c>
      <c r="AW74">
        <f>'2012_2020'!AU12</f>
        <v>-1.4400000000000001E-3</v>
      </c>
      <c r="AX74">
        <f>'2012_2020'!AV12</f>
        <v>-1.4300000000000001E-3</v>
      </c>
      <c r="AY74">
        <f>'2012_2020'!AW12</f>
        <v>-1.3699999999999999E-3</v>
      </c>
      <c r="AZ74">
        <f>'2012_2020'!AX12</f>
        <v>-1.3699999999999999E-3</v>
      </c>
      <c r="BA74">
        <f>'2012_2020'!AY12</f>
        <v>-1.1999999999999999E-3</v>
      </c>
      <c r="BB74">
        <f>'2012_2020'!AZ12</f>
        <v>-1.1299999999999999E-3</v>
      </c>
      <c r="BC74">
        <f>'2012_2020'!BA12</f>
        <v>-9.8999999999999999E-4</v>
      </c>
      <c r="BD74">
        <f>'2012_2020'!BB12</f>
        <v>-9.0399999999999996E-4</v>
      </c>
      <c r="BE74">
        <f>'2012_2020'!BC12</f>
        <v>-7.7700000000000002E-4</v>
      </c>
      <c r="BF74">
        <f>'2012_2020'!BD12</f>
        <v>-5.1099999999999995E-4</v>
      </c>
      <c r="BG74">
        <f>'2012_2020'!BE12</f>
        <v>-2.8800000000000001E-4</v>
      </c>
      <c r="BH74">
        <f>'2012_2020'!BF12</f>
        <v>-1.8000000000000001E-4</v>
      </c>
      <c r="BI74">
        <f>'2012_2020'!BG12</f>
        <v>-1.3200000000000001E-4</v>
      </c>
      <c r="BJ74">
        <f>'2012_2020'!BH12</f>
        <v>-1.83E-4</v>
      </c>
      <c r="BK74">
        <f>'2012_2020'!BI12</f>
        <v>-1.05E-4</v>
      </c>
      <c r="BL74">
        <f>'2012_2020'!BJ12</f>
        <v>-1.11E-4</v>
      </c>
      <c r="BM74">
        <f>'2012_2020'!BK12</f>
        <v>-1.27E-4</v>
      </c>
      <c r="BN74">
        <f>'2012_2020'!BL12</f>
        <v>-1.0900000000000001E-4</v>
      </c>
      <c r="BO74">
        <f>'2012_2020'!BM12</f>
        <v>9.5600000000000004E-7</v>
      </c>
      <c r="BP74">
        <f>'2012_2020'!BN12</f>
        <v>2.2900000000000001E-4</v>
      </c>
      <c r="BQ74">
        <f>'2012_2020'!BO12</f>
        <v>3.2499999999999999E-4</v>
      </c>
      <c r="BR74">
        <f>'2012_2020'!BP12</f>
        <v>3.6400000000000001E-4</v>
      </c>
      <c r="BS74">
        <f>'2012_2020'!BQ12</f>
        <v>4.1399999999999998E-4</v>
      </c>
      <c r="BT74">
        <f>'2012_2020'!BR12</f>
        <v>5.6700000000000001E-4</v>
      </c>
      <c r="BU74">
        <f>'2012_2020'!BS12</f>
        <v>6.5899999999999997E-4</v>
      </c>
      <c r="BV74">
        <f>'2012_2020'!BT12</f>
        <v>7.4600000000000003E-4</v>
      </c>
      <c r="BW74">
        <f>'2012_2020'!BU12</f>
        <v>8.9800000000000004E-4</v>
      </c>
      <c r="BX74">
        <f>'2012_2020'!BV12</f>
        <v>7.1699999999999997E-4</v>
      </c>
      <c r="BY74">
        <f>'2012_2020'!BW12</f>
        <v>9.2500000000000004E-4</v>
      </c>
      <c r="BZ74">
        <f>'2012_2020'!BX12</f>
        <v>9.4300000000000004E-4</v>
      </c>
      <c r="CA74">
        <f>'2012_2020'!BY12</f>
        <v>9.5E-4</v>
      </c>
      <c r="CB74">
        <f>'2012_2020'!BZ12</f>
        <v>1.1100000000000001E-3</v>
      </c>
      <c r="CC74">
        <f>'2012_2020'!CA12</f>
        <v>1.1199999999999999E-3</v>
      </c>
      <c r="CD74">
        <f>'2012_2020'!CB12</f>
        <v>1.06E-3</v>
      </c>
      <c r="CE74">
        <f>'2012_2020'!CC12</f>
        <v>9.9400000000000009E-4</v>
      </c>
      <c r="CF74">
        <f>'2012_2020'!CD12</f>
        <v>9.7900000000000005E-4</v>
      </c>
      <c r="CG74">
        <f>'2012_2020'!CE12</f>
        <v>1.2099999999999999E-3</v>
      </c>
      <c r="CH74">
        <f>'2012_2020'!CF12</f>
        <v>1.14E-3</v>
      </c>
      <c r="CI74">
        <f>'2012_2020'!CG12</f>
        <v>9.2500000000000004E-4</v>
      </c>
      <c r="CJ74">
        <f>'2012_2020'!CH12</f>
        <v>7.9500000000000003E-4</v>
      </c>
      <c r="CK74">
        <f>'2012_2020'!CI12</f>
        <v>1.0200000000000001E-3</v>
      </c>
      <c r="CL74">
        <f>'2012_2020'!CJ12</f>
        <v>9.1299999999999997E-4</v>
      </c>
      <c r="CM74">
        <f>'2012_2020'!CK12</f>
        <v>7.6999999999999996E-4</v>
      </c>
      <c r="CN74">
        <f>'2012_2020'!CL12</f>
        <v>1.1199999999999999E-3</v>
      </c>
      <c r="CO74">
        <f>'2012_2020'!CM12</f>
        <v>1.07E-3</v>
      </c>
      <c r="CP74">
        <f>'2012_2020'!CN12</f>
        <v>8.1099999999999998E-4</v>
      </c>
      <c r="CQ74">
        <f>'2012_2020'!CO12</f>
        <v>1.0499999999999999E-3</v>
      </c>
      <c r="CR74">
        <f>'2012_2020'!CP12</f>
        <v>1.23E-3</v>
      </c>
      <c r="CS74">
        <f>'2012_2020'!CQ12</f>
        <v>9.3000000000000005E-4</v>
      </c>
      <c r="CT74">
        <f>'2012_2020'!CR12</f>
        <v>7.3999999999999999E-4</v>
      </c>
      <c r="CU74">
        <f>'2012_2020'!CS12</f>
        <v>3.6299999999999999E-4</v>
      </c>
      <c r="CV74">
        <f>'2012_2020'!CT12</f>
        <v>5.1400000000000003E-4</v>
      </c>
      <c r="CW74">
        <f>'2012_2020'!CU12</f>
        <v>9.2699999999999998E-4</v>
      </c>
      <c r="CX74">
        <f>'2012_2020'!CV12</f>
        <v>9.3700000000000001E-4</v>
      </c>
    </row>
    <row r="75" spans="1:102" x14ac:dyDescent="0.2">
      <c r="A75" t="s">
        <v>214</v>
      </c>
      <c r="B75" t="s">
        <v>218</v>
      </c>
      <c r="C75" t="s">
        <v>222</v>
      </c>
      <c r="D75">
        <f>'2012_2020'!B13</f>
        <v>1.2200000000000001E-2</v>
      </c>
      <c r="E75">
        <f>'2012_2020'!C13</f>
        <v>1.37E-2</v>
      </c>
      <c r="F75">
        <f>'2012_2020'!D13</f>
        <v>1.34E-2</v>
      </c>
      <c r="G75">
        <f>'2012_2020'!E13</f>
        <v>1.2800000000000001E-2</v>
      </c>
      <c r="H75">
        <f>'2012_2020'!F13</f>
        <v>1.14E-2</v>
      </c>
      <c r="I75">
        <f>'2012_2020'!G13</f>
        <v>1.17E-2</v>
      </c>
      <c r="J75">
        <f>'2012_2020'!H13</f>
        <v>1.0999999999999999E-2</v>
      </c>
      <c r="K75">
        <f>'2012_2020'!I13</f>
        <v>9.6900000000000007E-3</v>
      </c>
      <c r="L75">
        <f>'2012_2020'!J13</f>
        <v>1.01E-2</v>
      </c>
      <c r="M75">
        <f>'2012_2020'!K13</f>
        <v>7.9399999999999991E-3</v>
      </c>
      <c r="N75">
        <f>'2012_2020'!L13</f>
        <v>7.4400000000000004E-3</v>
      </c>
      <c r="O75">
        <f>'2012_2020'!M13</f>
        <v>6.96E-3</v>
      </c>
      <c r="P75">
        <f>'2012_2020'!N13</f>
        <v>6.2899999999999996E-3</v>
      </c>
      <c r="Q75">
        <f>'2012_2020'!O13</f>
        <v>5.4200000000000003E-3</v>
      </c>
      <c r="R75">
        <f>'2012_2020'!P13</f>
        <v>4.5700000000000003E-3</v>
      </c>
      <c r="S75">
        <f>'2012_2020'!Q13</f>
        <v>4.2100000000000002E-3</v>
      </c>
      <c r="T75">
        <f>'2012_2020'!R13</f>
        <v>3.5599999999999998E-3</v>
      </c>
      <c r="U75">
        <f>'2012_2020'!S13</f>
        <v>3.81E-3</v>
      </c>
      <c r="V75">
        <f>'2012_2020'!T13</f>
        <v>3.3999999999999998E-3</v>
      </c>
      <c r="W75">
        <f>'2012_2020'!U13</f>
        <v>3.5300000000000002E-3</v>
      </c>
      <c r="X75">
        <f>'2012_2020'!V13</f>
        <v>3.3999999999999998E-3</v>
      </c>
      <c r="Y75">
        <f>'2012_2020'!W13</f>
        <v>3.2699999999999999E-3</v>
      </c>
      <c r="Z75">
        <f>'2012_2020'!X13</f>
        <v>3.4299999999999999E-3</v>
      </c>
      <c r="AA75">
        <f>'2012_2020'!Y13</f>
        <v>3.2499999999999999E-3</v>
      </c>
      <c r="AB75">
        <f>'2012_2020'!Z13</f>
        <v>3.3E-3</v>
      </c>
      <c r="AC75">
        <f>'2012_2020'!AA13</f>
        <v>3.1800000000000001E-3</v>
      </c>
      <c r="AD75">
        <f>'2012_2020'!AB13</f>
        <v>3.1199999999999999E-3</v>
      </c>
      <c r="AE75">
        <f>'2012_2020'!AC13</f>
        <v>3.0100000000000001E-3</v>
      </c>
      <c r="AF75">
        <f>'2012_2020'!AD13</f>
        <v>3.2399999999999998E-3</v>
      </c>
      <c r="AG75">
        <f>'2012_2020'!AE13</f>
        <v>3.2299999999999998E-3</v>
      </c>
      <c r="AH75">
        <f>'2012_2020'!AF13</f>
        <v>3.0899999999999999E-3</v>
      </c>
      <c r="AI75">
        <f>'2012_2020'!AG13</f>
        <v>3.1199999999999999E-3</v>
      </c>
      <c r="AJ75">
        <f>'2012_2020'!AH13</f>
        <v>3.2399999999999998E-3</v>
      </c>
      <c r="AK75">
        <f>'2012_2020'!AI13</f>
        <v>3.2000000000000002E-3</v>
      </c>
      <c r="AL75">
        <f>'2012_2020'!AJ13</f>
        <v>3.4299999999999999E-3</v>
      </c>
      <c r="AM75">
        <f>'2012_2020'!AK13</f>
        <v>3.3500000000000001E-3</v>
      </c>
      <c r="AN75">
        <f>'2012_2020'!AL13</f>
        <v>3.3899999999999998E-3</v>
      </c>
      <c r="AO75">
        <f>'2012_2020'!AM13</f>
        <v>3.4499999999999999E-3</v>
      </c>
      <c r="AP75">
        <f>'2012_2020'!AN13</f>
        <v>3.4099999999999998E-3</v>
      </c>
      <c r="AQ75">
        <f>'2012_2020'!AO13</f>
        <v>3.47E-3</v>
      </c>
      <c r="AR75">
        <f>'2012_2020'!AP13</f>
        <v>3.48E-3</v>
      </c>
      <c r="AS75">
        <f>'2012_2020'!AQ13</f>
        <v>3.3400000000000001E-3</v>
      </c>
      <c r="AT75">
        <f>'2012_2020'!AR13</f>
        <v>3.3899999999999998E-3</v>
      </c>
      <c r="AU75">
        <f>'2012_2020'!AS13</f>
        <v>3.2799999999999999E-3</v>
      </c>
      <c r="AV75">
        <f>'2012_2020'!AT13</f>
        <v>3.16E-3</v>
      </c>
      <c r="AW75">
        <f>'2012_2020'!AU13</f>
        <v>3.2100000000000002E-3</v>
      </c>
      <c r="AX75">
        <f>'2012_2020'!AV13</f>
        <v>3.0400000000000002E-3</v>
      </c>
      <c r="AY75">
        <f>'2012_2020'!AW13</f>
        <v>2.8900000000000002E-3</v>
      </c>
      <c r="AZ75">
        <f>'2012_2020'!AX13</f>
        <v>2.9099999999999998E-3</v>
      </c>
      <c r="BA75">
        <f>'2012_2020'!AY13</f>
        <v>2.9099999999999998E-3</v>
      </c>
      <c r="BB75">
        <f>'2012_2020'!AZ13</f>
        <v>2.9499999999999999E-3</v>
      </c>
      <c r="BC75">
        <f>'2012_2020'!BA13</f>
        <v>3.0599999999999998E-3</v>
      </c>
      <c r="BD75">
        <f>'2012_2020'!BB13</f>
        <v>3.2100000000000002E-3</v>
      </c>
      <c r="BE75">
        <f>'2012_2020'!BC13</f>
        <v>3.1800000000000001E-3</v>
      </c>
      <c r="BF75">
        <f>'2012_2020'!BD13</f>
        <v>3.0799999999999998E-3</v>
      </c>
      <c r="BG75">
        <f>'2012_2020'!BE13</f>
        <v>3.0400000000000002E-3</v>
      </c>
      <c r="BH75">
        <f>'2012_2020'!BF13</f>
        <v>2.96E-3</v>
      </c>
      <c r="BI75">
        <f>'2012_2020'!BG13</f>
        <v>2.99E-3</v>
      </c>
      <c r="BJ75">
        <f>'2012_2020'!BH13</f>
        <v>2.66E-3</v>
      </c>
      <c r="BK75">
        <f>'2012_2020'!BI13</f>
        <v>2.6099999999999999E-3</v>
      </c>
      <c r="BL75">
        <f>'2012_2020'!BJ13</f>
        <v>2.5500000000000002E-3</v>
      </c>
      <c r="BM75">
        <f>'2012_2020'!BK13</f>
        <v>2.5799999999999998E-3</v>
      </c>
      <c r="BN75">
        <f>'2012_2020'!BL13</f>
        <v>2.7799999999999999E-3</v>
      </c>
      <c r="BO75">
        <f>'2012_2020'!BM13</f>
        <v>2.7000000000000001E-3</v>
      </c>
      <c r="BP75">
        <f>'2012_2020'!BN13</f>
        <v>2.66E-3</v>
      </c>
      <c r="BQ75">
        <f>'2012_2020'!BO13</f>
        <v>2.64E-3</v>
      </c>
      <c r="BR75">
        <f>'2012_2020'!BP13</f>
        <v>2.63E-3</v>
      </c>
      <c r="BS75">
        <f>'2012_2020'!BQ13</f>
        <v>2.4399999999999999E-3</v>
      </c>
      <c r="BT75">
        <f>'2012_2020'!BR13</f>
        <v>2.33E-3</v>
      </c>
      <c r="BU75">
        <f>'2012_2020'!BS13</f>
        <v>2.2599999999999999E-3</v>
      </c>
      <c r="BV75">
        <f>'2012_2020'!BT13</f>
        <v>2.4199999999999998E-3</v>
      </c>
      <c r="BW75">
        <f>'2012_2020'!BU13</f>
        <v>2.48E-3</v>
      </c>
      <c r="BX75">
        <f>'2012_2020'!BV13</f>
        <v>2.4599999999999999E-3</v>
      </c>
      <c r="BY75">
        <f>'2012_2020'!BW13</f>
        <v>2.3800000000000002E-3</v>
      </c>
      <c r="BZ75">
        <f>'2012_2020'!BX13</f>
        <v>2.3800000000000002E-3</v>
      </c>
      <c r="CA75">
        <f>'2012_2020'!BY13</f>
        <v>2.1800000000000001E-3</v>
      </c>
      <c r="CB75">
        <f>'2012_2020'!BZ13</f>
        <v>2.1199999999999999E-3</v>
      </c>
      <c r="CC75">
        <f>'2012_2020'!CA13</f>
        <v>2.2100000000000002E-3</v>
      </c>
      <c r="CD75">
        <f>'2012_2020'!CB13</f>
        <v>2.2499999999999998E-3</v>
      </c>
      <c r="CE75">
        <f>'2012_2020'!CC13</f>
        <v>2.2300000000000002E-3</v>
      </c>
      <c r="CF75">
        <f>'2012_2020'!CD13</f>
        <v>2.2200000000000002E-3</v>
      </c>
      <c r="CG75">
        <f>'2012_2020'!CE13</f>
        <v>2.0400000000000001E-3</v>
      </c>
      <c r="CH75">
        <f>'2012_2020'!CF13</f>
        <v>1.9599999999999999E-3</v>
      </c>
      <c r="CI75">
        <f>'2012_2020'!CG13</f>
        <v>1.6199999999999999E-3</v>
      </c>
      <c r="CJ75">
        <f>'2012_2020'!CH13</f>
        <v>1.74E-3</v>
      </c>
      <c r="CK75">
        <f>'2012_2020'!CI13</f>
        <v>2.15E-3</v>
      </c>
      <c r="CL75">
        <f>'2012_2020'!CJ13</f>
        <v>1.9499999999999999E-3</v>
      </c>
      <c r="CM75">
        <f>'2012_2020'!CK13</f>
        <v>1.6999999999999999E-3</v>
      </c>
      <c r="CN75">
        <f>'2012_2020'!CL13</f>
        <v>1.8500000000000001E-3</v>
      </c>
      <c r="CO75">
        <f>'2012_2020'!CM13</f>
        <v>1.74E-3</v>
      </c>
      <c r="CP75">
        <f>'2012_2020'!CN13</f>
        <v>1.33E-3</v>
      </c>
      <c r="CQ75">
        <f>'2012_2020'!CO13</f>
        <v>1.7799999999999999E-3</v>
      </c>
      <c r="CR75">
        <f>'2012_2020'!CP13</f>
        <v>1.73E-3</v>
      </c>
      <c r="CS75">
        <f>'2012_2020'!CQ13</f>
        <v>1.24E-3</v>
      </c>
      <c r="CT75">
        <f>'2012_2020'!CR13</f>
        <v>1.56E-3</v>
      </c>
      <c r="CU75">
        <f>'2012_2020'!CS13</f>
        <v>9.0600000000000001E-4</v>
      </c>
      <c r="CV75">
        <f>'2012_2020'!CT13</f>
        <v>8.3299999999999997E-4</v>
      </c>
      <c r="CW75">
        <f>'2012_2020'!CU13</f>
        <v>7.85E-4</v>
      </c>
      <c r="CX75">
        <f>'2012_2020'!CV13</f>
        <v>9.4700000000000003E-4</v>
      </c>
    </row>
    <row r="76" spans="1:102" x14ac:dyDescent="0.2">
      <c r="A76" t="s">
        <v>215</v>
      </c>
      <c r="B76" t="s">
        <v>218</v>
      </c>
      <c r="C76" t="s">
        <v>222</v>
      </c>
      <c r="D76">
        <f>'2012_2020'!B14</f>
        <v>2.5499999999999998E-2</v>
      </c>
      <c r="E76">
        <f>'2012_2020'!C14</f>
        <v>3.1300000000000001E-2</v>
      </c>
      <c r="F76">
        <f>'2012_2020'!D14</f>
        <v>2.9700000000000001E-2</v>
      </c>
      <c r="G76">
        <f>'2012_2020'!E14</f>
        <v>0.03</v>
      </c>
      <c r="H76">
        <f>'2012_2020'!F14</f>
        <v>2.6499999999999999E-2</v>
      </c>
      <c r="I76">
        <f>'2012_2020'!G14</f>
        <v>2.6700000000000002E-2</v>
      </c>
      <c r="J76">
        <f>'2012_2020'!H14</f>
        <v>2.4199999999999999E-2</v>
      </c>
      <c r="K76">
        <f>'2012_2020'!I14</f>
        <v>2.1700000000000001E-2</v>
      </c>
      <c r="L76">
        <f>'2012_2020'!J14</f>
        <v>2.07E-2</v>
      </c>
      <c r="M76">
        <f>'2012_2020'!K14</f>
        <v>1.5800000000000002E-2</v>
      </c>
      <c r="N76">
        <f>'2012_2020'!L14</f>
        <v>1.49E-2</v>
      </c>
      <c r="O76">
        <f>'2012_2020'!M14</f>
        <v>1.38E-2</v>
      </c>
      <c r="P76">
        <f>'2012_2020'!N14</f>
        <v>1.2200000000000001E-2</v>
      </c>
      <c r="Q76">
        <f>'2012_2020'!O14</f>
        <v>1.0500000000000001E-2</v>
      </c>
      <c r="R76">
        <f>'2012_2020'!P14</f>
        <v>8.2100000000000003E-3</v>
      </c>
      <c r="S76">
        <f>'2012_2020'!Q14</f>
        <v>7.62E-3</v>
      </c>
      <c r="T76">
        <f>'2012_2020'!R14</f>
        <v>6.8900000000000003E-3</v>
      </c>
      <c r="U76">
        <f>'2012_2020'!S14</f>
        <v>6.6100000000000004E-3</v>
      </c>
      <c r="V76">
        <f>'2012_2020'!T14</f>
        <v>5.8100000000000001E-3</v>
      </c>
      <c r="W76">
        <f>'2012_2020'!U14</f>
        <v>5.4099999999999999E-3</v>
      </c>
      <c r="X76">
        <f>'2012_2020'!V14</f>
        <v>5.2500000000000003E-3</v>
      </c>
      <c r="Y76">
        <f>'2012_2020'!W14</f>
        <v>5.1799999999999997E-3</v>
      </c>
      <c r="Z76">
        <f>'2012_2020'!X14</f>
        <v>5.2199999999999998E-3</v>
      </c>
      <c r="AA76">
        <f>'2012_2020'!Y14</f>
        <v>5.13E-3</v>
      </c>
      <c r="AB76">
        <f>'2012_2020'!Z14</f>
        <v>5.0899999999999999E-3</v>
      </c>
      <c r="AC76">
        <f>'2012_2020'!AA14</f>
        <v>4.9300000000000004E-3</v>
      </c>
      <c r="AD76">
        <f>'2012_2020'!AB14</f>
        <v>4.8700000000000002E-3</v>
      </c>
      <c r="AE76">
        <f>'2012_2020'!AC14</f>
        <v>4.8300000000000001E-3</v>
      </c>
      <c r="AF76">
        <f>'2012_2020'!AD14</f>
        <v>4.8199999999999996E-3</v>
      </c>
      <c r="AG76">
        <f>'2012_2020'!AE14</f>
        <v>4.8999999999999998E-3</v>
      </c>
      <c r="AH76">
        <f>'2012_2020'!AF14</f>
        <v>4.8399999999999997E-3</v>
      </c>
      <c r="AI76">
        <f>'2012_2020'!AG14</f>
        <v>4.81E-3</v>
      </c>
      <c r="AJ76">
        <f>'2012_2020'!AH14</f>
        <v>4.7600000000000003E-3</v>
      </c>
      <c r="AK76">
        <f>'2012_2020'!AI14</f>
        <v>4.9899999999999996E-3</v>
      </c>
      <c r="AL76">
        <f>'2012_2020'!AJ14</f>
        <v>4.9300000000000004E-3</v>
      </c>
      <c r="AM76">
        <f>'2012_2020'!AK14</f>
        <v>4.7499999999999999E-3</v>
      </c>
      <c r="AN76">
        <f>'2012_2020'!AL14</f>
        <v>4.62E-3</v>
      </c>
      <c r="AO76">
        <f>'2012_2020'!AM14</f>
        <v>4.4799999999999996E-3</v>
      </c>
      <c r="AP76">
        <f>'2012_2020'!AN14</f>
        <v>4.5300000000000002E-3</v>
      </c>
      <c r="AQ76">
        <f>'2012_2020'!AO14</f>
        <v>4.6299999999999996E-3</v>
      </c>
      <c r="AR76">
        <f>'2012_2020'!AP14</f>
        <v>4.7000000000000002E-3</v>
      </c>
      <c r="AS76">
        <f>'2012_2020'!AQ14</f>
        <v>4.5700000000000003E-3</v>
      </c>
      <c r="AT76">
        <f>'2012_2020'!AR14</f>
        <v>4.5900000000000003E-3</v>
      </c>
      <c r="AU76">
        <f>'2012_2020'!AS14</f>
        <v>4.45E-3</v>
      </c>
      <c r="AV76">
        <f>'2012_2020'!AT14</f>
        <v>4.0699999999999998E-3</v>
      </c>
      <c r="AW76">
        <f>'2012_2020'!AU14</f>
        <v>4.0400000000000002E-3</v>
      </c>
      <c r="AX76">
        <f>'2012_2020'!AV14</f>
        <v>4.1399999999999996E-3</v>
      </c>
      <c r="AY76">
        <f>'2012_2020'!AW14</f>
        <v>4.4099999999999999E-3</v>
      </c>
      <c r="AZ76">
        <f>'2012_2020'!AX14</f>
        <v>4.13E-3</v>
      </c>
      <c r="BA76">
        <f>'2012_2020'!AY14</f>
        <v>4.2399999999999998E-3</v>
      </c>
      <c r="BB76">
        <f>'2012_2020'!AZ14</f>
        <v>4.1399999999999996E-3</v>
      </c>
      <c r="BC76">
        <f>'2012_2020'!BA14</f>
        <v>4.2399999999999998E-3</v>
      </c>
      <c r="BD76">
        <f>'2012_2020'!BB14</f>
        <v>4.3899999999999998E-3</v>
      </c>
      <c r="BE76">
        <f>'2012_2020'!BC14</f>
        <v>4.4999999999999997E-3</v>
      </c>
      <c r="BF76">
        <f>'2012_2020'!BD14</f>
        <v>4.7400000000000003E-3</v>
      </c>
      <c r="BG76">
        <f>'2012_2020'!BE14</f>
        <v>4.7600000000000003E-3</v>
      </c>
      <c r="BH76">
        <f>'2012_2020'!BF14</f>
        <v>4.4400000000000004E-3</v>
      </c>
      <c r="BI76">
        <f>'2012_2020'!BG14</f>
        <v>4.13E-3</v>
      </c>
      <c r="BJ76">
        <f>'2012_2020'!BH14</f>
        <v>4.2199999999999998E-3</v>
      </c>
      <c r="BK76">
        <f>'2012_2020'!BI14</f>
        <v>4.3400000000000001E-3</v>
      </c>
      <c r="BL76">
        <f>'2012_2020'!BJ14</f>
        <v>4.2599999999999999E-3</v>
      </c>
      <c r="BM76">
        <f>'2012_2020'!BK14</f>
        <v>4.1599999999999996E-3</v>
      </c>
      <c r="BN76">
        <f>'2012_2020'!BL14</f>
        <v>4.3899999999999998E-3</v>
      </c>
      <c r="BO76">
        <f>'2012_2020'!BM14</f>
        <v>4.3E-3</v>
      </c>
      <c r="BP76">
        <f>'2012_2020'!BN14</f>
        <v>4.1700000000000001E-3</v>
      </c>
      <c r="BQ76">
        <f>'2012_2020'!BO14</f>
        <v>3.7599999999999999E-3</v>
      </c>
      <c r="BR76">
        <f>'2012_2020'!BP14</f>
        <v>3.7499999999999999E-3</v>
      </c>
      <c r="BS76">
        <f>'2012_2020'!BQ14</f>
        <v>3.7499999999999999E-3</v>
      </c>
      <c r="BT76">
        <f>'2012_2020'!BR14</f>
        <v>3.7799999999999999E-3</v>
      </c>
      <c r="BU76">
        <f>'2012_2020'!BS14</f>
        <v>3.3400000000000001E-3</v>
      </c>
      <c r="BV76">
        <f>'2012_2020'!BT14</f>
        <v>2.9399999999999999E-3</v>
      </c>
      <c r="BW76">
        <f>'2012_2020'!BU14</f>
        <v>2.7299999999999998E-3</v>
      </c>
      <c r="BX76">
        <f>'2012_2020'!BV14</f>
        <v>2.2899999999999999E-3</v>
      </c>
      <c r="BY76">
        <f>'2012_2020'!BW14</f>
        <v>2.5300000000000001E-3</v>
      </c>
      <c r="BZ76">
        <f>'2012_2020'!BX14</f>
        <v>1.89E-3</v>
      </c>
      <c r="CA76">
        <f>'2012_2020'!BY14</f>
        <v>1.89E-3</v>
      </c>
      <c r="CB76">
        <f>'2012_2020'!BZ14</f>
        <v>2.1199999999999999E-3</v>
      </c>
      <c r="CC76">
        <f>'2012_2020'!CA14</f>
        <v>1.66E-3</v>
      </c>
      <c r="CD76">
        <f>'2012_2020'!CB14</f>
        <v>1.2899999999999999E-3</v>
      </c>
      <c r="CE76">
        <f>'2012_2020'!CC14</f>
        <v>-8.1500000000000002E-5</v>
      </c>
      <c r="CF76">
        <f>'2012_2020'!CD14</f>
        <v>-4.8999999999999998E-4</v>
      </c>
      <c r="CG76">
        <f>'2012_2020'!CE14</f>
        <v>-3.4499999999999998E-4</v>
      </c>
      <c r="CH76">
        <f>'2012_2020'!CF14</f>
        <v>-8.0400000000000003E-4</v>
      </c>
      <c r="CI76">
        <f>'2012_2020'!CG14</f>
        <v>-4.8899999999999996E-4</v>
      </c>
      <c r="CJ76">
        <f>'2012_2020'!CH14</f>
        <v>-1.1100000000000001E-3</v>
      </c>
      <c r="CK76">
        <f>'2012_2020'!CI14</f>
        <v>-2.8600000000000001E-3</v>
      </c>
      <c r="CL76">
        <f>'2012_2020'!CJ14</f>
        <v>-4.1999999999999997E-3</v>
      </c>
      <c r="CM76">
        <f>'2012_2020'!CK14</f>
        <v>-4.7800000000000004E-3</v>
      </c>
      <c r="CN76">
        <f>'2012_2020'!CL14</f>
        <v>-6.1999999999999998E-3</v>
      </c>
      <c r="CO76">
        <f>'2012_2020'!CM14</f>
        <v>-6.6299999999999996E-3</v>
      </c>
      <c r="CP76">
        <f>'2012_2020'!CN14</f>
        <v>-6.3600000000000002E-3</v>
      </c>
      <c r="CQ76">
        <f>'2012_2020'!CO14</f>
        <v>-8.0000000000000002E-3</v>
      </c>
      <c r="CR76">
        <f>'2012_2020'!CP14</f>
        <v>-9.7999999999999997E-3</v>
      </c>
      <c r="CS76">
        <f>'2012_2020'!CQ14</f>
        <v>-9.0299999999999998E-3</v>
      </c>
      <c r="CT76">
        <f>'2012_2020'!CR14</f>
        <v>-1.0800000000000001E-2</v>
      </c>
      <c r="CU76">
        <f>'2012_2020'!CS14</f>
        <v>-9.4800000000000006E-3</v>
      </c>
      <c r="CV76">
        <f>'2012_2020'!CT14</f>
        <v>-1.17E-2</v>
      </c>
      <c r="CW76">
        <f>'2012_2020'!CU14</f>
        <v>-1.44E-2</v>
      </c>
      <c r="CX76">
        <f>'2012_2020'!CV14</f>
        <v>-1.52E-2</v>
      </c>
    </row>
    <row r="77" spans="1:102" x14ac:dyDescent="0.2">
      <c r="A77" t="s">
        <v>208</v>
      </c>
      <c r="B77" t="s">
        <v>219</v>
      </c>
      <c r="C77" t="s">
        <v>222</v>
      </c>
      <c r="D77">
        <f>'2012_2020'!B15</f>
        <v>2.29E-2</v>
      </c>
      <c r="E77">
        <f>'2012_2020'!C15</f>
        <v>0.435</v>
      </c>
      <c r="F77">
        <f>'2012_2020'!D15</f>
        <v>0.749</v>
      </c>
      <c r="G77">
        <f>'2012_2020'!E15</f>
        <v>2.9700000000000001E-2</v>
      </c>
      <c r="H77">
        <f>'2012_2020'!F15</f>
        <v>0.86</v>
      </c>
      <c r="I77">
        <f>'2012_2020'!G15</f>
        <v>0.27300000000000002</v>
      </c>
      <c r="J77">
        <f>'2012_2020'!H15</f>
        <v>0.46500000000000002</v>
      </c>
      <c r="K77">
        <f>'2012_2020'!I15</f>
        <v>0.35599999999999998</v>
      </c>
      <c r="L77">
        <f>'2012_2020'!J15</f>
        <v>0.19400000000000001</v>
      </c>
      <c r="M77">
        <f>'2012_2020'!K15</f>
        <v>0.45</v>
      </c>
      <c r="N77">
        <f>'2012_2020'!L15</f>
        <v>0.36099999999999999</v>
      </c>
      <c r="O77">
        <f>'2012_2020'!M15</f>
        <v>2.0899999999999998E-2</v>
      </c>
      <c r="P77">
        <f>'2012_2020'!N15</f>
        <v>8.8900000000000007E-2</v>
      </c>
      <c r="Q77">
        <f>'2012_2020'!O15</f>
        <v>8.4000000000000005E-2</v>
      </c>
      <c r="R77">
        <f>'2012_2020'!P15</f>
        <v>0.114</v>
      </c>
      <c r="S77">
        <f>'2012_2020'!Q15</f>
        <v>0.108</v>
      </c>
      <c r="T77">
        <f>'2012_2020'!R15</f>
        <v>4.48E-2</v>
      </c>
      <c r="U77">
        <f>'2012_2020'!S15</f>
        <v>1.6400000000000001E-2</v>
      </c>
      <c r="V77">
        <f>'2012_2020'!T15</f>
        <v>-1.6E-2</v>
      </c>
      <c r="W77">
        <f>'2012_2020'!U15</f>
        <v>-1.77E-2</v>
      </c>
      <c r="X77">
        <f>'2012_2020'!V15</f>
        <v>-1.11E-2</v>
      </c>
      <c r="Y77">
        <f>'2012_2020'!W15</f>
        <v>-5.1299999999999998E-2</v>
      </c>
      <c r="Z77">
        <f>'2012_2020'!X15</f>
        <v>-4.5400000000000003E-2</v>
      </c>
      <c r="AA77">
        <f>'2012_2020'!Y15</f>
        <v>-3.9899999999999998E-2</v>
      </c>
      <c r="AB77">
        <f>'2012_2020'!Z15</f>
        <v>-3.5499999999999997E-2</v>
      </c>
      <c r="AC77">
        <f>'2012_2020'!AA15</f>
        <v>-3.3700000000000001E-2</v>
      </c>
      <c r="AD77">
        <f>'2012_2020'!AB15</f>
        <v>-2.5600000000000001E-2</v>
      </c>
      <c r="AE77">
        <f>'2012_2020'!AC15</f>
        <v>-1.84E-2</v>
      </c>
      <c r="AF77">
        <f>'2012_2020'!AD15</f>
        <v>-1.8700000000000001E-2</v>
      </c>
      <c r="AG77">
        <f>'2012_2020'!AE15</f>
        <v>-1.9800000000000002E-2</v>
      </c>
      <c r="AH77">
        <f>'2012_2020'!AF15</f>
        <v>-1.7999999999999999E-2</v>
      </c>
      <c r="AI77">
        <f>'2012_2020'!AG15</f>
        <v>-1.29E-2</v>
      </c>
      <c r="AJ77">
        <f>'2012_2020'!AH15</f>
        <v>-8.9499999999999996E-3</v>
      </c>
      <c r="AK77">
        <f>'2012_2020'!AI15</f>
        <v>-6.3899999999999998E-3</v>
      </c>
      <c r="AL77">
        <f>'2012_2020'!AJ15</f>
        <v>1.2999999999999999E-2</v>
      </c>
      <c r="AM77">
        <f>'2012_2020'!AK15</f>
        <v>2.0400000000000001E-2</v>
      </c>
      <c r="AN77">
        <f>'2012_2020'!AL15</f>
        <v>1.2200000000000001E-2</v>
      </c>
      <c r="AO77">
        <f>'2012_2020'!AM15</f>
        <v>-4.9399999999999999E-3</v>
      </c>
      <c r="AP77">
        <f>'2012_2020'!AN15</f>
        <v>-1.78E-2</v>
      </c>
      <c r="AQ77">
        <f>'2012_2020'!AO15</f>
        <v>-3.1099999999999999E-2</v>
      </c>
      <c r="AR77">
        <f>'2012_2020'!AP15</f>
        <v>-3.5499999999999997E-2</v>
      </c>
      <c r="AS77">
        <f>'2012_2020'!AQ15</f>
        <v>-5.0200000000000002E-2</v>
      </c>
      <c r="AT77">
        <f>'2012_2020'!AR15</f>
        <v>-5.3499999999999999E-2</v>
      </c>
      <c r="AU77">
        <f>'2012_2020'!AS15</f>
        <v>-5.4100000000000002E-2</v>
      </c>
      <c r="AV77">
        <f>'2012_2020'!AT15</f>
        <v>-5.5199999999999999E-2</v>
      </c>
      <c r="AW77">
        <f>'2012_2020'!AU15</f>
        <v>-4.9599999999999998E-2</v>
      </c>
      <c r="AX77">
        <f>'2012_2020'!AV15</f>
        <v>-4.6800000000000001E-2</v>
      </c>
      <c r="AY77">
        <f>'2012_2020'!AW15</f>
        <v>-5.8299999999999998E-2</v>
      </c>
      <c r="AZ77">
        <f>'2012_2020'!AX15</f>
        <v>-5.6000000000000001E-2</v>
      </c>
      <c r="BA77">
        <f>'2012_2020'!AY15</f>
        <v>-6.8000000000000005E-2</v>
      </c>
      <c r="BB77">
        <f>'2012_2020'!AZ15</f>
        <v>-7.0000000000000007E-2</v>
      </c>
      <c r="BC77">
        <f>'2012_2020'!BA15</f>
        <v>-9.8199999999999996E-2</v>
      </c>
      <c r="BD77">
        <f>'2012_2020'!BB15</f>
        <v>-0.129</v>
      </c>
      <c r="BE77">
        <f>'2012_2020'!BC15</f>
        <v>-0.14899999999999999</v>
      </c>
      <c r="BF77">
        <f>'2012_2020'!BD15</f>
        <v>-0.128</v>
      </c>
      <c r="BG77">
        <f>'2012_2020'!BE15</f>
        <v>-0.13200000000000001</v>
      </c>
      <c r="BH77">
        <f>'2012_2020'!BF15</f>
        <v>-0.115</v>
      </c>
      <c r="BI77">
        <f>'2012_2020'!BG15</f>
        <v>-9.1200000000000003E-2</v>
      </c>
      <c r="BJ77">
        <f>'2012_2020'!BH15</f>
        <v>-8.09E-2</v>
      </c>
      <c r="BK77">
        <f>'2012_2020'!BI15</f>
        <v>-5.91E-2</v>
      </c>
      <c r="BL77">
        <f>'2012_2020'!BJ15</f>
        <v>-5.3800000000000001E-2</v>
      </c>
      <c r="BM77">
        <f>'2012_2020'!BK15</f>
        <v>-8.2799999999999999E-2</v>
      </c>
      <c r="BN77">
        <f>'2012_2020'!BL15</f>
        <v>-0.11899999999999999</v>
      </c>
      <c r="BO77">
        <f>'2012_2020'!BM15</f>
        <v>-0.16600000000000001</v>
      </c>
      <c r="BP77">
        <f>'2012_2020'!BN15</f>
        <v>-0.20100000000000001</v>
      </c>
      <c r="BQ77">
        <f>'2012_2020'!BO15</f>
        <v>-0.216</v>
      </c>
      <c r="BR77">
        <f>'2012_2020'!BP15</f>
        <v>-0.214</v>
      </c>
      <c r="BS77">
        <f>'2012_2020'!BQ15</f>
        <v>-0.22500000000000001</v>
      </c>
      <c r="BT77">
        <f>'2012_2020'!BR15</f>
        <v>-0.23300000000000001</v>
      </c>
      <c r="BU77">
        <f>'2012_2020'!BS15</f>
        <v>-0.19600000000000001</v>
      </c>
      <c r="BV77">
        <f>'2012_2020'!BT15</f>
        <v>-0.11600000000000001</v>
      </c>
      <c r="BW77">
        <f>'2012_2020'!BU15</f>
        <v>-8.7900000000000006E-2</v>
      </c>
      <c r="BX77">
        <f>'2012_2020'!BV15</f>
        <v>-0.11700000000000001</v>
      </c>
      <c r="BY77">
        <f>'2012_2020'!BW15</f>
        <v>-0.17699999999999999</v>
      </c>
      <c r="BZ77">
        <f>'2012_2020'!BX15</f>
        <v>-0.19600000000000001</v>
      </c>
      <c r="CA77">
        <f>'2012_2020'!BY15</f>
        <v>-0.21199999999999999</v>
      </c>
      <c r="CB77">
        <f>'2012_2020'!BZ15</f>
        <v>-0.186</v>
      </c>
      <c r="CC77">
        <f>'2012_2020'!CA15</f>
        <v>-0.22900000000000001</v>
      </c>
      <c r="CD77">
        <f>'2012_2020'!CB15</f>
        <v>-0.28599999999999998</v>
      </c>
      <c r="CE77">
        <f>'2012_2020'!CC15</f>
        <v>-0.33400000000000002</v>
      </c>
      <c r="CF77">
        <f>'2012_2020'!CD15</f>
        <v>-0.379</v>
      </c>
      <c r="CG77">
        <f>'2012_2020'!CE15</f>
        <v>-0.34699999999999998</v>
      </c>
      <c r="CH77">
        <f>'2012_2020'!CF15</f>
        <v>-0.21299999999999999</v>
      </c>
      <c r="CI77">
        <f>'2012_2020'!CG15</f>
        <v>-0.124</v>
      </c>
      <c r="CJ77">
        <f>'2012_2020'!CH15</f>
        <v>-0.13600000000000001</v>
      </c>
      <c r="CK77">
        <f>'2012_2020'!CI15</f>
        <v>-0.4</v>
      </c>
      <c r="CL77">
        <f>'2012_2020'!CJ15</f>
        <v>-0.42499999999999999</v>
      </c>
      <c r="CM77">
        <f>'2012_2020'!CK15</f>
        <v>-0.41499999999999998</v>
      </c>
      <c r="CN77">
        <f>'2012_2020'!CL15</f>
        <v>-0.35899999999999999</v>
      </c>
      <c r="CO77">
        <f>'2012_2020'!CM15</f>
        <v>-0.36299999999999999</v>
      </c>
      <c r="CP77">
        <f>'2012_2020'!CN15</f>
        <v>-0.36399999999999999</v>
      </c>
      <c r="CQ77">
        <f>'2012_2020'!CO15</f>
        <v>-0.503</v>
      </c>
      <c r="CR77">
        <f>'2012_2020'!CP15</f>
        <v>-0.43</v>
      </c>
      <c r="CS77">
        <f>'2012_2020'!CQ15</f>
        <v>-0.32300000000000001</v>
      </c>
      <c r="CT77">
        <f>'2012_2020'!CR15</f>
        <v>-0.41299999999999998</v>
      </c>
      <c r="CU77">
        <f>'2012_2020'!CS15</f>
        <v>-0.24399999999999999</v>
      </c>
      <c r="CV77">
        <f>'2012_2020'!CT15</f>
        <v>-0.45100000000000001</v>
      </c>
      <c r="CW77">
        <f>'2012_2020'!CU15</f>
        <v>-0.27900000000000003</v>
      </c>
      <c r="CX77">
        <f>'2012_2020'!CV15</f>
        <v>-0.30199999999999999</v>
      </c>
    </row>
    <row r="78" spans="1:102" x14ac:dyDescent="0.2">
      <c r="A78" t="s">
        <v>209</v>
      </c>
      <c r="B78" t="s">
        <v>219</v>
      </c>
      <c r="C78" t="s">
        <v>222</v>
      </c>
      <c r="D78">
        <f>'2012_2020'!B16</f>
        <v>-0.115</v>
      </c>
      <c r="E78">
        <f>'2012_2020'!C16</f>
        <v>-0.08</v>
      </c>
      <c r="F78">
        <f>'2012_2020'!D16</f>
        <v>-7.0499999999999993E-2</v>
      </c>
      <c r="G78">
        <f>'2012_2020'!E16</f>
        <v>-0.23699999999999999</v>
      </c>
      <c r="H78">
        <f>'2012_2020'!F16</f>
        <v>2.0300000000000001E-3</v>
      </c>
      <c r="I78">
        <f>'2012_2020'!G16</f>
        <v>-0.17</v>
      </c>
      <c r="J78">
        <f>'2012_2020'!H16</f>
        <v>-6.7500000000000004E-2</v>
      </c>
      <c r="K78">
        <f>'2012_2020'!I16</f>
        <v>-4.7899999999999998E-2</v>
      </c>
      <c r="L78">
        <f>'2012_2020'!J16</f>
        <v>-8.72E-2</v>
      </c>
      <c r="M78">
        <f>'2012_2020'!K16</f>
        <v>3.5999999999999997E-2</v>
      </c>
      <c r="N78">
        <f>'2012_2020'!L16</f>
        <v>6.0699999999999997E-2</v>
      </c>
      <c r="O78">
        <f>'2012_2020'!M16</f>
        <v>-6.5199999999999994E-2</v>
      </c>
      <c r="P78">
        <f>'2012_2020'!N16</f>
        <v>-3.32E-3</v>
      </c>
      <c r="Q78">
        <f>'2012_2020'!O16</f>
        <v>2.48E-3</v>
      </c>
      <c r="R78">
        <f>'2012_2020'!P16</f>
        <v>1.5299999999999999E-2</v>
      </c>
      <c r="S78">
        <f>'2012_2020'!Q16</f>
        <v>1.47E-2</v>
      </c>
      <c r="T78">
        <f>'2012_2020'!R16</f>
        <v>-1.6E-2</v>
      </c>
      <c r="U78">
        <f>'2012_2020'!S16</f>
        <v>-2.0199999999999999E-2</v>
      </c>
      <c r="V78">
        <f>'2012_2020'!T16</f>
        <v>-2.6499999999999999E-2</v>
      </c>
      <c r="W78">
        <f>'2012_2020'!U16</f>
        <v>-1.3299999999999999E-2</v>
      </c>
      <c r="X78">
        <f>'2012_2020'!V16</f>
        <v>-7.43E-3</v>
      </c>
      <c r="Y78">
        <f>'2012_2020'!W16</f>
        <v>-3.4099999999999998E-2</v>
      </c>
      <c r="Z78">
        <f>'2012_2020'!X16</f>
        <v>-3.5400000000000001E-2</v>
      </c>
      <c r="AA78">
        <f>'2012_2020'!Y16</f>
        <v>-2.3099999999999999E-2</v>
      </c>
      <c r="AB78">
        <f>'2012_2020'!Z16</f>
        <v>-1.4500000000000001E-2</v>
      </c>
      <c r="AC78">
        <f>'2012_2020'!AA16</f>
        <v>-8.1099999999999992E-3</v>
      </c>
      <c r="AD78">
        <f>'2012_2020'!AB16</f>
        <v>-2.1700000000000001E-3</v>
      </c>
      <c r="AE78">
        <f>'2012_2020'!AC16</f>
        <v>2.5999999999999999E-3</v>
      </c>
      <c r="AF78">
        <f>'2012_2020'!AD16</f>
        <v>6.2300000000000003E-3</v>
      </c>
      <c r="AG78">
        <f>'2012_2020'!AE16</f>
        <v>1.24E-2</v>
      </c>
      <c r="AH78">
        <f>'2012_2020'!AF16</f>
        <v>2.7799999999999998E-2</v>
      </c>
      <c r="AI78">
        <f>'2012_2020'!AG16</f>
        <v>3.4000000000000002E-2</v>
      </c>
      <c r="AJ78">
        <f>'2012_2020'!AH16</f>
        <v>4.4400000000000002E-2</v>
      </c>
      <c r="AK78">
        <f>'2012_2020'!AI16</f>
        <v>5.4100000000000002E-2</v>
      </c>
      <c r="AL78">
        <f>'2012_2020'!AJ16</f>
        <v>6.9500000000000006E-2</v>
      </c>
      <c r="AM78">
        <f>'2012_2020'!AK16</f>
        <v>6.9699999999999998E-2</v>
      </c>
      <c r="AN78">
        <f>'2012_2020'!AL16</f>
        <v>7.22E-2</v>
      </c>
      <c r="AO78">
        <f>'2012_2020'!AM16</f>
        <v>6.5000000000000002E-2</v>
      </c>
      <c r="AP78">
        <f>'2012_2020'!AN16</f>
        <v>6.5600000000000006E-2</v>
      </c>
      <c r="AQ78">
        <f>'2012_2020'!AO16</f>
        <v>6.3899999999999998E-2</v>
      </c>
      <c r="AR78">
        <f>'2012_2020'!AP16</f>
        <v>6.3799999999999996E-2</v>
      </c>
      <c r="AS78">
        <f>'2012_2020'!AQ16</f>
        <v>4.65E-2</v>
      </c>
      <c r="AT78">
        <f>'2012_2020'!AR16</f>
        <v>4.6899999999999997E-2</v>
      </c>
      <c r="AU78">
        <f>'2012_2020'!AS16</f>
        <v>4.6100000000000002E-2</v>
      </c>
      <c r="AV78">
        <f>'2012_2020'!AT16</f>
        <v>5.1900000000000002E-2</v>
      </c>
      <c r="AW78">
        <f>'2012_2020'!AU16</f>
        <v>0.05</v>
      </c>
      <c r="AX78">
        <f>'2012_2020'!AV16</f>
        <v>4.6600000000000003E-2</v>
      </c>
      <c r="AY78">
        <f>'2012_2020'!AW16</f>
        <v>3.6700000000000003E-2</v>
      </c>
      <c r="AZ78">
        <f>'2012_2020'!AX16</f>
        <v>4.2500000000000003E-2</v>
      </c>
      <c r="BA78">
        <f>'2012_2020'!AY16</f>
        <v>3.5299999999999998E-2</v>
      </c>
      <c r="BB78">
        <f>'2012_2020'!AZ16</f>
        <v>4.5100000000000001E-2</v>
      </c>
      <c r="BC78">
        <f>'2012_2020'!BA16</f>
        <v>2.0400000000000001E-2</v>
      </c>
      <c r="BD78">
        <f>'2012_2020'!BB16</f>
        <v>1.4799999999999999E-4</v>
      </c>
      <c r="BE78">
        <f>'2012_2020'!BC16</f>
        <v>-6.8599999999999998E-4</v>
      </c>
      <c r="BF78">
        <f>'2012_2020'!BD16</f>
        <v>1.26E-2</v>
      </c>
      <c r="BG78">
        <f>'2012_2020'!BE16</f>
        <v>2.1600000000000001E-2</v>
      </c>
      <c r="BH78">
        <f>'2012_2020'!BF16</f>
        <v>3.8199999999999998E-2</v>
      </c>
      <c r="BI78">
        <f>'2012_2020'!BG16</f>
        <v>6.0999999999999999E-2</v>
      </c>
      <c r="BJ78">
        <f>'2012_2020'!BH16</f>
        <v>6.1800000000000001E-2</v>
      </c>
      <c r="BK78">
        <f>'2012_2020'!BI16</f>
        <v>7.5800000000000006E-2</v>
      </c>
      <c r="BL78">
        <f>'2012_2020'!BJ16</f>
        <v>8.2600000000000007E-2</v>
      </c>
      <c r="BM78">
        <f>'2012_2020'!BK16</f>
        <v>7.3700000000000002E-2</v>
      </c>
      <c r="BN78">
        <f>'2012_2020'!BL16</f>
        <v>2.9000000000000001E-2</v>
      </c>
      <c r="BO78">
        <f>'2012_2020'!BM16</f>
        <v>-1.37E-2</v>
      </c>
      <c r="BP78">
        <f>'2012_2020'!BN16</f>
        <v>-4.1000000000000002E-2</v>
      </c>
      <c r="BQ78">
        <f>'2012_2020'!BO16</f>
        <v>-5.0200000000000002E-2</v>
      </c>
      <c r="BR78">
        <f>'2012_2020'!BP16</f>
        <v>-5.0200000000000002E-2</v>
      </c>
      <c r="BS78">
        <f>'2012_2020'!BQ16</f>
        <v>-5.7299999999999997E-2</v>
      </c>
      <c r="BT78">
        <f>'2012_2020'!BR16</f>
        <v>-6.4600000000000005E-2</v>
      </c>
      <c r="BU78">
        <f>'2012_2020'!BS16</f>
        <v>-1.4800000000000001E-2</v>
      </c>
      <c r="BV78">
        <f>'2012_2020'!BT16</f>
        <v>9.0200000000000002E-2</v>
      </c>
      <c r="BW78">
        <f>'2012_2020'!BU16</f>
        <v>0.128</v>
      </c>
      <c r="BX78">
        <f>'2012_2020'!BV16</f>
        <v>0.10199999999999999</v>
      </c>
      <c r="BY78">
        <f>'2012_2020'!BW16</f>
        <v>6.3E-2</v>
      </c>
      <c r="BZ78">
        <f>'2012_2020'!BX16</f>
        <v>4.0800000000000003E-2</v>
      </c>
      <c r="CA78">
        <f>'2012_2020'!BY16</f>
        <v>2.0899999999999998E-2</v>
      </c>
      <c r="CB78">
        <f>'2012_2020'!BZ16</f>
        <v>5.45E-2</v>
      </c>
      <c r="CC78">
        <f>'2012_2020'!CA16</f>
        <v>2.4899999999999999E-2</v>
      </c>
      <c r="CD78">
        <f>'2012_2020'!CB16</f>
        <v>-2.9399999999999999E-2</v>
      </c>
      <c r="CE78">
        <f>'2012_2020'!CC16</f>
        <v>-5.0500000000000003E-2</v>
      </c>
      <c r="CF78">
        <f>'2012_2020'!CD16</f>
        <v>-8.5900000000000004E-2</v>
      </c>
      <c r="CG78">
        <f>'2012_2020'!CE16</f>
        <v>-6.0900000000000003E-2</v>
      </c>
      <c r="CH78">
        <f>'2012_2020'!CF16</f>
        <v>6.13E-2</v>
      </c>
      <c r="CI78">
        <f>'2012_2020'!CG16</f>
        <v>0.14399999999999999</v>
      </c>
      <c r="CJ78">
        <f>'2012_2020'!CH16</f>
        <v>0.17100000000000001</v>
      </c>
      <c r="CK78">
        <f>'2012_2020'!CI16</f>
        <v>-6.13E-2</v>
      </c>
      <c r="CL78">
        <f>'2012_2020'!CJ16</f>
        <v>-0.105</v>
      </c>
      <c r="CM78">
        <f>'2012_2020'!CK16</f>
        <v>-0.11</v>
      </c>
      <c r="CN78">
        <f>'2012_2020'!CL16</f>
        <v>-1.3899999999999999E-2</v>
      </c>
      <c r="CO78">
        <f>'2012_2020'!CM16</f>
        <v>-1.4999999999999999E-2</v>
      </c>
      <c r="CP78">
        <f>'2012_2020'!CN16</f>
        <v>-4.4200000000000003E-2</v>
      </c>
      <c r="CQ78">
        <f>'2012_2020'!CO16</f>
        <v>-0.158</v>
      </c>
      <c r="CR78">
        <f>'2012_2020'!CP16</f>
        <v>-2.3900000000000001E-2</v>
      </c>
      <c r="CS78">
        <f>'2012_2020'!CQ16</f>
        <v>6.1499999999999999E-2</v>
      </c>
      <c r="CT78">
        <f>'2012_2020'!CR16</f>
        <v>-1.47E-2</v>
      </c>
      <c r="CU78">
        <f>'2012_2020'!CS16</f>
        <v>6.6400000000000001E-2</v>
      </c>
      <c r="CV78">
        <f>'2012_2020'!CT16</f>
        <v>-0.16300000000000001</v>
      </c>
      <c r="CW78">
        <f>'2012_2020'!CU16</f>
        <v>2.52E-2</v>
      </c>
      <c r="CX78">
        <f>'2012_2020'!CV16</f>
        <v>-6.08E-2</v>
      </c>
    </row>
    <row r="79" spans="1:102" x14ac:dyDescent="0.2">
      <c r="A79" t="s">
        <v>210</v>
      </c>
      <c r="B79" t="s">
        <v>219</v>
      </c>
      <c r="C79" t="s">
        <v>222</v>
      </c>
      <c r="D79">
        <f>'2012_2020'!B17</f>
        <v>7.9500000000000001E-2</v>
      </c>
      <c r="E79">
        <f>'2012_2020'!C17</f>
        <v>6.8500000000000005E-2</v>
      </c>
      <c r="F79">
        <f>'2012_2020'!D17</f>
        <v>3.7600000000000001E-2</v>
      </c>
      <c r="G79">
        <f>'2012_2020'!E17</f>
        <v>6.0999999999999999E-2</v>
      </c>
      <c r="H79">
        <f>'2012_2020'!F17</f>
        <v>-8.5500000000000003E-3</v>
      </c>
      <c r="I79">
        <f>'2012_2020'!G17</f>
        <v>3.1899999999999998E-2</v>
      </c>
      <c r="J79">
        <f>'2012_2020'!H17</f>
        <v>9.9500000000000005E-3</v>
      </c>
      <c r="K79">
        <f>'2012_2020'!I17</f>
        <v>4.47E-3</v>
      </c>
      <c r="L79">
        <f>'2012_2020'!J17</f>
        <v>1.03E-2</v>
      </c>
      <c r="M79">
        <f>'2012_2020'!K17</f>
        <v>-1.6199999999999999E-2</v>
      </c>
      <c r="N79">
        <f>'2012_2020'!L17</f>
        <v>-1.3100000000000001E-2</v>
      </c>
      <c r="O79">
        <f>'2012_2020'!M17</f>
        <v>8.8999999999999999E-3</v>
      </c>
      <c r="P79">
        <f>'2012_2020'!N17</f>
        <v>6.4700000000000001E-4</v>
      </c>
      <c r="Q79">
        <f>'2012_2020'!O17</f>
        <v>-1.7799999999999999E-3</v>
      </c>
      <c r="R79">
        <f>'2012_2020'!P17</f>
        <v>-4.3400000000000001E-3</v>
      </c>
      <c r="S79">
        <f>'2012_2020'!Q17</f>
        <v>-3.8700000000000002E-3</v>
      </c>
      <c r="T79">
        <f>'2012_2020'!R17</f>
        <v>1.7799999999999999E-3</v>
      </c>
      <c r="U79">
        <f>'2012_2020'!S17</f>
        <v>2.1099999999999999E-3</v>
      </c>
      <c r="V79">
        <f>'2012_2020'!T17</f>
        <v>4.8399999999999997E-3</v>
      </c>
      <c r="W79">
        <f>'2012_2020'!U17</f>
        <v>3.4399999999999999E-3</v>
      </c>
      <c r="X79">
        <f>'2012_2020'!V17</f>
        <v>4.0600000000000002E-3</v>
      </c>
      <c r="Y79">
        <f>'2012_2020'!W17</f>
        <v>8.5299999999999994E-3</v>
      </c>
      <c r="Z79">
        <f>'2012_2020'!X17</f>
        <v>8.1499999999999993E-3</v>
      </c>
      <c r="AA79">
        <f>'2012_2020'!Y17</f>
        <v>8.5699999999999995E-3</v>
      </c>
      <c r="AB79">
        <f>'2012_2020'!Z17</f>
        <v>7.9000000000000008E-3</v>
      </c>
      <c r="AC79">
        <f>'2012_2020'!AA17</f>
        <v>8.5199999999999998E-3</v>
      </c>
      <c r="AD79">
        <f>'2012_2020'!AB17</f>
        <v>8.8000000000000005E-3</v>
      </c>
      <c r="AE79">
        <f>'2012_2020'!AC17</f>
        <v>8.3300000000000006E-3</v>
      </c>
      <c r="AF79">
        <f>'2012_2020'!AD17</f>
        <v>8.0800000000000004E-3</v>
      </c>
      <c r="AG79">
        <f>'2012_2020'!AE17</f>
        <v>7.5700000000000003E-3</v>
      </c>
      <c r="AH79">
        <f>'2012_2020'!AF17</f>
        <v>7.8300000000000002E-3</v>
      </c>
      <c r="AI79">
        <f>'2012_2020'!AG17</f>
        <v>7.62E-3</v>
      </c>
      <c r="AJ79">
        <f>'2012_2020'!AH17</f>
        <v>6.7400000000000003E-3</v>
      </c>
      <c r="AK79">
        <f>'2012_2020'!AI17</f>
        <v>4.7999999999999996E-3</v>
      </c>
      <c r="AL79">
        <f>'2012_2020'!AJ17</f>
        <v>2.16E-3</v>
      </c>
      <c r="AM79">
        <f>'2012_2020'!AK17</f>
        <v>2.7000000000000001E-3</v>
      </c>
      <c r="AN79">
        <f>'2012_2020'!AL17</f>
        <v>3.3500000000000001E-3</v>
      </c>
      <c r="AO79">
        <f>'2012_2020'!AM17</f>
        <v>4.9100000000000003E-3</v>
      </c>
      <c r="AP79">
        <f>'2012_2020'!AN17</f>
        <v>6.7999999999999996E-3</v>
      </c>
      <c r="AQ79">
        <f>'2012_2020'!AO17</f>
        <v>9.8300000000000002E-3</v>
      </c>
      <c r="AR79">
        <f>'2012_2020'!AP17</f>
        <v>1.2800000000000001E-2</v>
      </c>
      <c r="AS79">
        <f>'2012_2020'!AQ17</f>
        <v>1.54E-2</v>
      </c>
      <c r="AT79">
        <f>'2012_2020'!AR17</f>
        <v>1.52E-2</v>
      </c>
      <c r="AU79">
        <f>'2012_2020'!AS17</f>
        <v>1.4999999999999999E-2</v>
      </c>
      <c r="AV79">
        <f>'2012_2020'!AT17</f>
        <v>1.2999999999999999E-2</v>
      </c>
      <c r="AW79">
        <f>'2012_2020'!AU17</f>
        <v>1.3299999999999999E-2</v>
      </c>
      <c r="AX79">
        <f>'2012_2020'!AV17</f>
        <v>1.2699999999999999E-2</v>
      </c>
      <c r="AY79">
        <f>'2012_2020'!AW17</f>
        <v>1.32E-2</v>
      </c>
      <c r="AZ79">
        <f>'2012_2020'!AX17</f>
        <v>1.0800000000000001E-2</v>
      </c>
      <c r="BA79">
        <f>'2012_2020'!AY17</f>
        <v>1.14E-2</v>
      </c>
      <c r="BB79">
        <f>'2012_2020'!AZ17</f>
        <v>1.06E-2</v>
      </c>
      <c r="BC79">
        <f>'2012_2020'!BA17</f>
        <v>1.6199999999999999E-2</v>
      </c>
      <c r="BD79">
        <f>'2012_2020'!BB17</f>
        <v>1.7899999999999999E-2</v>
      </c>
      <c r="BE79">
        <f>'2012_2020'!BC17</f>
        <v>1.9099999999999999E-2</v>
      </c>
      <c r="BF79">
        <f>'2012_2020'!BD17</f>
        <v>1.5699999999999999E-2</v>
      </c>
      <c r="BG79">
        <f>'2012_2020'!BE17</f>
        <v>1.44E-2</v>
      </c>
      <c r="BH79">
        <f>'2012_2020'!BF17</f>
        <v>1.0999999999999999E-2</v>
      </c>
      <c r="BI79">
        <f>'2012_2020'!BG17</f>
        <v>8.26E-3</v>
      </c>
      <c r="BJ79">
        <f>'2012_2020'!BH17</f>
        <v>9.8700000000000003E-3</v>
      </c>
      <c r="BK79">
        <f>'2012_2020'!BI17</f>
        <v>5.9699999999999996E-3</v>
      </c>
      <c r="BL79">
        <f>'2012_2020'!BJ17</f>
        <v>4.2700000000000004E-3</v>
      </c>
      <c r="BM79">
        <f>'2012_2020'!BK17</f>
        <v>9.0799999999999995E-3</v>
      </c>
      <c r="BN79">
        <f>'2012_2020'!BL17</f>
        <v>1.84E-2</v>
      </c>
      <c r="BO79">
        <f>'2012_2020'!BM17</f>
        <v>2.46E-2</v>
      </c>
      <c r="BP79">
        <f>'2012_2020'!BN17</f>
        <v>3.1300000000000001E-2</v>
      </c>
      <c r="BQ79">
        <f>'2012_2020'!BO17</f>
        <v>3.2000000000000001E-2</v>
      </c>
      <c r="BR79">
        <f>'2012_2020'!BP17</f>
        <v>3.09E-2</v>
      </c>
      <c r="BS79">
        <f>'2012_2020'!BQ17</f>
        <v>3.0099999999999998E-2</v>
      </c>
      <c r="BT79">
        <f>'2012_2020'!BR17</f>
        <v>2.87E-2</v>
      </c>
      <c r="BU79">
        <f>'2012_2020'!BS17</f>
        <v>1.9800000000000002E-2</v>
      </c>
      <c r="BV79">
        <f>'2012_2020'!BT17</f>
        <v>2.4299999999999999E-3</v>
      </c>
      <c r="BW79">
        <f>'2012_2020'!BU17</f>
        <v>-3.5300000000000002E-3</v>
      </c>
      <c r="BX79">
        <f>'2012_2020'!BV17</f>
        <v>9.6900000000000003E-4</v>
      </c>
      <c r="BY79">
        <f>'2012_2020'!BW17</f>
        <v>1.23E-2</v>
      </c>
      <c r="BZ79">
        <f>'2012_2020'!BX17</f>
        <v>1.77E-2</v>
      </c>
      <c r="CA79">
        <f>'2012_2020'!BY17</f>
        <v>1.8700000000000001E-2</v>
      </c>
      <c r="CB79">
        <f>'2012_2020'!BZ17</f>
        <v>7.8499999999999993E-3</v>
      </c>
      <c r="CC79">
        <f>'2012_2020'!CA17</f>
        <v>1.1299999999999999E-2</v>
      </c>
      <c r="CD79">
        <f>'2012_2020'!CB17</f>
        <v>2.2599999999999999E-2</v>
      </c>
      <c r="CE79">
        <f>'2012_2020'!CC17</f>
        <v>2.4899999999999999E-2</v>
      </c>
      <c r="CF79">
        <f>'2012_2020'!CD17</f>
        <v>3.2500000000000001E-2</v>
      </c>
      <c r="CG79">
        <f>'2012_2020'!CE17</f>
        <v>2.5600000000000001E-2</v>
      </c>
      <c r="CH79">
        <f>'2012_2020'!CF17</f>
        <v>2.3500000000000001E-3</v>
      </c>
      <c r="CI79">
        <f>'2012_2020'!CG17</f>
        <v>-1.7600000000000001E-2</v>
      </c>
      <c r="CJ79">
        <f>'2012_2020'!CH17</f>
        <v>-2.4400000000000002E-2</v>
      </c>
      <c r="CK79">
        <f>'2012_2020'!CI17</f>
        <v>2.3199999999999998E-2</v>
      </c>
      <c r="CL79">
        <f>'2012_2020'!CJ17</f>
        <v>3.4200000000000001E-2</v>
      </c>
      <c r="CM79">
        <f>'2012_2020'!CK17</f>
        <v>3.3300000000000003E-2</v>
      </c>
      <c r="CN79">
        <f>'2012_2020'!CL17</f>
        <v>1.01E-2</v>
      </c>
      <c r="CO79">
        <f>'2012_2020'!CM17</f>
        <v>1.47E-2</v>
      </c>
      <c r="CP79">
        <f>'2012_2020'!CN17</f>
        <v>1.84E-2</v>
      </c>
      <c r="CQ79">
        <f>'2012_2020'!CO17</f>
        <v>4.1300000000000003E-2</v>
      </c>
      <c r="CR79">
        <f>'2012_2020'!CP17</f>
        <v>1.64E-3</v>
      </c>
      <c r="CS79">
        <f>'2012_2020'!CQ17</f>
        <v>-2.7699999999999999E-2</v>
      </c>
      <c r="CT79">
        <f>'2012_2020'!CR17</f>
        <v>3.0400000000000002E-3</v>
      </c>
      <c r="CU79">
        <f>'2012_2020'!CS17</f>
        <v>-3.6400000000000002E-2</v>
      </c>
      <c r="CV79">
        <f>'2012_2020'!CT17</f>
        <v>1.6199999999999999E-2</v>
      </c>
      <c r="CW79">
        <f>'2012_2020'!CU17</f>
        <v>-2.8400000000000002E-2</v>
      </c>
      <c r="CX79">
        <f>'2012_2020'!CV17</f>
        <v>4.19E-2</v>
      </c>
    </row>
    <row r="80" spans="1:102" x14ac:dyDescent="0.2">
      <c r="A80" t="s">
        <v>211</v>
      </c>
      <c r="B80" t="s">
        <v>219</v>
      </c>
      <c r="C80" t="s">
        <v>222</v>
      </c>
      <c r="D80">
        <f>'2012_2020'!B18</f>
        <v>2.2100000000000002E-2</v>
      </c>
      <c r="E80">
        <f>'2012_2020'!C18</f>
        <v>1.3299999999999999E-2</v>
      </c>
      <c r="F80">
        <f>'2012_2020'!D18</f>
        <v>1.5299999999999999E-2</v>
      </c>
      <c r="G80">
        <f>'2012_2020'!E18</f>
        <v>2.87E-2</v>
      </c>
      <c r="H80">
        <f>'2012_2020'!F18</f>
        <v>5.96E-3</v>
      </c>
      <c r="I80">
        <f>'2012_2020'!G18</f>
        <v>1.5299999999999999E-2</v>
      </c>
      <c r="J80">
        <f>'2012_2020'!H18</f>
        <v>6.4599999999999996E-3</v>
      </c>
      <c r="K80">
        <f>'2012_2020'!I18</f>
        <v>1.2999999999999999E-2</v>
      </c>
      <c r="L80">
        <f>'2012_2020'!J18</f>
        <v>1.7100000000000001E-2</v>
      </c>
      <c r="M80">
        <f>'2012_2020'!K18</f>
        <v>7.5199999999999998E-3</v>
      </c>
      <c r="N80">
        <f>'2012_2020'!L18</f>
        <v>1.04E-2</v>
      </c>
      <c r="O80">
        <f>'2012_2020'!M18</f>
        <v>1.8800000000000001E-2</v>
      </c>
      <c r="P80">
        <f>'2012_2020'!N18</f>
        <v>1.4999999999999999E-2</v>
      </c>
      <c r="Q80">
        <f>'2012_2020'!O18</f>
        <v>1.55E-2</v>
      </c>
      <c r="R80">
        <f>'2012_2020'!P18</f>
        <v>1.24E-2</v>
      </c>
      <c r="S80">
        <f>'2012_2020'!Q18</f>
        <v>1.0699999999999999E-2</v>
      </c>
      <c r="T80">
        <f>'2012_2020'!R18</f>
        <v>9.1299999999999992E-3</v>
      </c>
      <c r="U80">
        <f>'2012_2020'!S18</f>
        <v>1.12E-2</v>
      </c>
      <c r="V80">
        <f>'2012_2020'!T18</f>
        <v>1.03E-2</v>
      </c>
      <c r="W80">
        <f>'2012_2020'!U18</f>
        <v>9.3699999999999999E-3</v>
      </c>
      <c r="X80">
        <f>'2012_2020'!V18</f>
        <v>8.6199999999999992E-3</v>
      </c>
      <c r="Y80">
        <f>'2012_2020'!W18</f>
        <v>1.17E-2</v>
      </c>
      <c r="Z80">
        <f>'2012_2020'!X18</f>
        <v>9.8600000000000007E-3</v>
      </c>
      <c r="AA80">
        <f>'2012_2020'!Y18</f>
        <v>1.14E-2</v>
      </c>
      <c r="AB80">
        <f>'2012_2020'!Z18</f>
        <v>1.0200000000000001E-2</v>
      </c>
      <c r="AC80">
        <f>'2012_2020'!AA18</f>
        <v>9.1599999999999997E-3</v>
      </c>
      <c r="AD80">
        <f>'2012_2020'!AB18</f>
        <v>9.9900000000000006E-3</v>
      </c>
      <c r="AE80">
        <f>'2012_2020'!AC18</f>
        <v>8.4200000000000004E-3</v>
      </c>
      <c r="AF80">
        <f>'2012_2020'!AD18</f>
        <v>8.5299999999999994E-3</v>
      </c>
      <c r="AG80">
        <f>'2012_2020'!AE18</f>
        <v>1.06E-2</v>
      </c>
      <c r="AH80">
        <f>'2012_2020'!AF18</f>
        <v>8.7500000000000008E-3</v>
      </c>
      <c r="AI80">
        <f>'2012_2020'!AG18</f>
        <v>8.0099999999999998E-3</v>
      </c>
      <c r="AJ80">
        <f>'2012_2020'!AH18</f>
        <v>7.4999999999999997E-3</v>
      </c>
      <c r="AK80">
        <f>'2012_2020'!AI18</f>
        <v>4.2300000000000003E-3</v>
      </c>
      <c r="AL80">
        <f>'2012_2020'!AJ18</f>
        <v>2.1299999999999999E-3</v>
      </c>
      <c r="AM80">
        <f>'2012_2020'!AK18</f>
        <v>2.0100000000000001E-3</v>
      </c>
      <c r="AN80">
        <f>'2012_2020'!AL18</f>
        <v>-6.8300000000000001E-4</v>
      </c>
      <c r="AO80">
        <f>'2012_2020'!AM18</f>
        <v>4.3200000000000001E-3</v>
      </c>
      <c r="AP80">
        <f>'2012_2020'!AN18</f>
        <v>5.7200000000000003E-3</v>
      </c>
      <c r="AQ80">
        <f>'2012_2020'!AO18</f>
        <v>3.63E-3</v>
      </c>
      <c r="AR80">
        <f>'2012_2020'!AP18</f>
        <v>4.5700000000000003E-3</v>
      </c>
      <c r="AS80">
        <f>'2012_2020'!AQ18</f>
        <v>3.8400000000000001E-3</v>
      </c>
      <c r="AT80">
        <f>'2012_2020'!AR18</f>
        <v>2.7499999999999998E-3</v>
      </c>
      <c r="AU80">
        <f>'2012_2020'!AS18</f>
        <v>8.1099999999999998E-4</v>
      </c>
      <c r="AV80">
        <f>'2012_2020'!AT18</f>
        <v>1.3600000000000001E-3</v>
      </c>
      <c r="AW80">
        <f>'2012_2020'!AU18</f>
        <v>1.92E-3</v>
      </c>
      <c r="AX80">
        <f>'2012_2020'!AV18</f>
        <v>3.3999999999999998E-3</v>
      </c>
      <c r="AY80">
        <f>'2012_2020'!AW18</f>
        <v>3.3100000000000002E-4</v>
      </c>
      <c r="AZ80">
        <f>'2012_2020'!AX18</f>
        <v>9.1100000000000003E-4</v>
      </c>
      <c r="BA80">
        <f>'2012_2020'!AY18</f>
        <v>-8.6799999999999996E-4</v>
      </c>
      <c r="BB80">
        <f>'2012_2020'!AZ18</f>
        <v>-2.8500000000000001E-3</v>
      </c>
      <c r="BC80">
        <f>'2012_2020'!BA18</f>
        <v>-2.4099999999999998E-3</v>
      </c>
      <c r="BD80">
        <f>'2012_2020'!BB18</f>
        <v>2.47E-3</v>
      </c>
      <c r="BE80">
        <f>'2012_2020'!BC18</f>
        <v>3.7200000000000002E-3</v>
      </c>
      <c r="BF80">
        <f>'2012_2020'!BD18</f>
        <v>-9.1600000000000004E-4</v>
      </c>
      <c r="BG80">
        <f>'2012_2020'!BE18</f>
        <v>7.2099999999999996E-4</v>
      </c>
      <c r="BH80">
        <f>'2012_2020'!BF18</f>
        <v>-3.6800000000000001E-3</v>
      </c>
      <c r="BI80">
        <f>'2012_2020'!BG18</f>
        <v>-6.5900000000000004E-3</v>
      </c>
      <c r="BJ80">
        <f>'2012_2020'!BH18</f>
        <v>-4.5199999999999997E-3</v>
      </c>
      <c r="BK80">
        <f>'2012_2020'!BI18</f>
        <v>-9.5099999999999994E-3</v>
      </c>
      <c r="BL80">
        <f>'2012_2020'!BJ18</f>
        <v>-1.24E-2</v>
      </c>
      <c r="BM80">
        <f>'2012_2020'!BK18</f>
        <v>-8.5699999999999995E-3</v>
      </c>
      <c r="BN80">
        <f>'2012_2020'!BL18</f>
        <v>-1.09E-3</v>
      </c>
      <c r="BO80">
        <f>'2012_2020'!BM18</f>
        <v>4.3499999999999997E-3</v>
      </c>
      <c r="BP80">
        <f>'2012_2020'!BN18</f>
        <v>9.2599999999999991E-3</v>
      </c>
      <c r="BQ80">
        <f>'2012_2020'!BO18</f>
        <v>7.0600000000000003E-3</v>
      </c>
      <c r="BR80">
        <f>'2012_2020'!BP18</f>
        <v>1.72E-2</v>
      </c>
      <c r="BS80">
        <f>'2012_2020'!BQ18</f>
        <v>0.02</v>
      </c>
      <c r="BT80">
        <f>'2012_2020'!BR18</f>
        <v>1.37E-2</v>
      </c>
      <c r="BU80">
        <f>'2012_2020'!BS18</f>
        <v>6.7000000000000002E-3</v>
      </c>
      <c r="BV80">
        <f>'2012_2020'!BT18</f>
        <v>-5.4999999999999997E-3</v>
      </c>
      <c r="BW80">
        <f>'2012_2020'!BU18</f>
        <v>-1.3899999999999999E-2</v>
      </c>
      <c r="BX80">
        <f>'2012_2020'!BV18</f>
        <v>-1.29E-2</v>
      </c>
      <c r="BY80">
        <f>'2012_2020'!BW18</f>
        <v>-8.0999999999999996E-3</v>
      </c>
      <c r="BZ80">
        <f>'2012_2020'!BX18</f>
        <v>-6.2300000000000003E-3</v>
      </c>
      <c r="CA80">
        <f>'2012_2020'!BY18</f>
        <v>2.4699999999999999E-4</v>
      </c>
      <c r="CB80">
        <f>'2012_2020'!BZ18</f>
        <v>-1.3100000000000001E-2</v>
      </c>
      <c r="CC80">
        <f>'2012_2020'!CA18</f>
        <v>-9.1199999999999996E-3</v>
      </c>
      <c r="CD80">
        <f>'2012_2020'!CB18</f>
        <v>-5.4000000000000003E-3</v>
      </c>
      <c r="CE80">
        <f>'2012_2020'!CC18</f>
        <v>-1.4599999999999999E-3</v>
      </c>
      <c r="CF80">
        <f>'2012_2020'!CD18</f>
        <v>7.9000000000000008E-3</v>
      </c>
      <c r="CG80">
        <f>'2012_2020'!CE18</f>
        <v>3.3300000000000001E-3</v>
      </c>
      <c r="CH80">
        <f>'2012_2020'!CF18</f>
        <v>-1.38E-2</v>
      </c>
      <c r="CI80">
        <f>'2012_2020'!CG18</f>
        <v>-3.4599999999999999E-2</v>
      </c>
      <c r="CJ80">
        <f>'2012_2020'!CH18</f>
        <v>-4.2299999999999997E-2</v>
      </c>
      <c r="CK80">
        <f>'2012_2020'!CI18</f>
        <v>-6.96E-3</v>
      </c>
      <c r="CL80">
        <f>'2012_2020'!CJ18</f>
        <v>-2.72E-4</v>
      </c>
      <c r="CM80">
        <f>'2012_2020'!CK18</f>
        <v>3.0699999999999998E-3</v>
      </c>
      <c r="CN80">
        <f>'2012_2020'!CL18</f>
        <v>-2.98E-2</v>
      </c>
      <c r="CO80">
        <f>'2012_2020'!CM18</f>
        <v>-3.0800000000000001E-2</v>
      </c>
      <c r="CP80">
        <f>'2012_2020'!CN18</f>
        <v>-2.06E-2</v>
      </c>
      <c r="CQ80">
        <f>'2012_2020'!CO18</f>
        <v>-1.6999999999999999E-3</v>
      </c>
      <c r="CR80">
        <f>'2012_2020'!CP18</f>
        <v>-2.7E-2</v>
      </c>
      <c r="CS80">
        <f>'2012_2020'!CQ18</f>
        <v>-4.1200000000000001E-2</v>
      </c>
      <c r="CT80">
        <f>'2012_2020'!CR18</f>
        <v>-3.9300000000000002E-2</v>
      </c>
      <c r="CU80">
        <f>'2012_2020'!CS18</f>
        <v>-6.2799999999999995E-2</v>
      </c>
      <c r="CV80">
        <f>'2012_2020'!CT18</f>
        <v>-1.77E-2</v>
      </c>
      <c r="CW80">
        <f>'2012_2020'!CU18</f>
        <v>-6.1800000000000001E-2</v>
      </c>
      <c r="CX80">
        <f>'2012_2020'!CV18</f>
        <v>-3.6900000000000002E-2</v>
      </c>
    </row>
    <row r="81" spans="1:102" x14ac:dyDescent="0.2">
      <c r="A81" t="s">
        <v>212</v>
      </c>
      <c r="B81" t="s">
        <v>219</v>
      </c>
      <c r="C81" t="s">
        <v>222</v>
      </c>
      <c r="D81">
        <f>'2012_2020'!B19</f>
        <v>3.2399999999999998E-2</v>
      </c>
      <c r="E81">
        <f>'2012_2020'!C19</f>
        <v>1.11E-2</v>
      </c>
      <c r="F81">
        <f>'2012_2020'!D19</f>
        <v>-5.5799999999999999E-3</v>
      </c>
      <c r="G81">
        <f>'2012_2020'!E19</f>
        <v>1.95E-2</v>
      </c>
      <c r="H81">
        <f>'2012_2020'!F19</f>
        <v>-1.29E-2</v>
      </c>
      <c r="I81">
        <f>'2012_2020'!G19</f>
        <v>3.46E-3</v>
      </c>
      <c r="J81">
        <f>'2012_2020'!H19</f>
        <v>-2.4299999999999999E-3</v>
      </c>
      <c r="K81">
        <f>'2012_2020'!I19</f>
        <v>-2.15E-3</v>
      </c>
      <c r="L81">
        <f>'2012_2020'!J19</f>
        <v>1.3799999999999999E-3</v>
      </c>
      <c r="M81">
        <f>'2012_2020'!K19</f>
        <v>-8.6700000000000006E-3</v>
      </c>
      <c r="N81">
        <f>'2012_2020'!L19</f>
        <v>-6.2599999999999999E-3</v>
      </c>
      <c r="O81">
        <f>'2012_2020'!M19</f>
        <v>5.0699999999999999E-3</v>
      </c>
      <c r="P81">
        <f>'2012_2020'!N19</f>
        <v>2.4599999999999999E-3</v>
      </c>
      <c r="Q81">
        <f>'2012_2020'!O19</f>
        <v>1.74E-3</v>
      </c>
      <c r="R81">
        <f>'2012_2020'!P19</f>
        <v>-7.2999999999999996E-4</v>
      </c>
      <c r="S81">
        <f>'2012_2020'!Q19</f>
        <v>-6.1799999999999995E-4</v>
      </c>
      <c r="T81">
        <f>'2012_2020'!R19</f>
        <v>5.13E-4</v>
      </c>
      <c r="U81">
        <f>'2012_2020'!S19</f>
        <v>1.15E-3</v>
      </c>
      <c r="V81">
        <f>'2012_2020'!T19</f>
        <v>1.7700000000000001E-3</v>
      </c>
      <c r="W81">
        <f>'2012_2020'!U19</f>
        <v>1.32E-3</v>
      </c>
      <c r="X81">
        <f>'2012_2020'!V19</f>
        <v>1.6800000000000001E-3</v>
      </c>
      <c r="Y81">
        <f>'2012_2020'!W19</f>
        <v>2.3800000000000002E-3</v>
      </c>
      <c r="Z81">
        <f>'2012_2020'!X19</f>
        <v>2.1800000000000001E-3</v>
      </c>
      <c r="AA81">
        <f>'2012_2020'!Y19</f>
        <v>2.15E-3</v>
      </c>
      <c r="AB81">
        <f>'2012_2020'!Z19</f>
        <v>1.9499999999999999E-3</v>
      </c>
      <c r="AC81">
        <f>'2012_2020'!AA19</f>
        <v>1.8E-3</v>
      </c>
      <c r="AD81">
        <f>'2012_2020'!AB19</f>
        <v>1.3799999999999999E-3</v>
      </c>
      <c r="AE81">
        <f>'2012_2020'!AC19</f>
        <v>7.6300000000000001E-4</v>
      </c>
      <c r="AF81">
        <f>'2012_2020'!AD19</f>
        <v>6.0599999999999998E-4</v>
      </c>
      <c r="AG81">
        <f>'2012_2020'!AE19</f>
        <v>-5.44E-4</v>
      </c>
      <c r="AH81">
        <f>'2012_2020'!AF19</f>
        <v>-9.5399999999999999E-4</v>
      </c>
      <c r="AI81">
        <f>'2012_2020'!AG19</f>
        <v>-9.4300000000000004E-4</v>
      </c>
      <c r="AJ81">
        <f>'2012_2020'!AH19</f>
        <v>-5.4600000000000004E-4</v>
      </c>
      <c r="AK81">
        <f>'2012_2020'!AI19</f>
        <v>-5.5099999999999995E-4</v>
      </c>
      <c r="AL81">
        <f>'2012_2020'!AJ19</f>
        <v>-6.2600000000000004E-4</v>
      </c>
      <c r="AM81">
        <f>'2012_2020'!AK19</f>
        <v>-6.8000000000000005E-4</v>
      </c>
      <c r="AN81">
        <f>'2012_2020'!AL19</f>
        <v>-7.7999999999999999E-4</v>
      </c>
      <c r="AO81">
        <f>'2012_2020'!AM19</f>
        <v>-3.5599999999999998E-4</v>
      </c>
      <c r="AP81">
        <f>'2012_2020'!AN19</f>
        <v>7.86E-5</v>
      </c>
      <c r="AQ81">
        <f>'2012_2020'!AO19</f>
        <v>4.0999999999999999E-4</v>
      </c>
      <c r="AR81">
        <f>'2012_2020'!AP19</f>
        <v>7.5000000000000002E-4</v>
      </c>
      <c r="AS81">
        <f>'2012_2020'!AQ19</f>
        <v>5.9800000000000001E-4</v>
      </c>
      <c r="AT81">
        <f>'2012_2020'!AR19</f>
        <v>6.4800000000000003E-4</v>
      </c>
      <c r="AU81">
        <f>'2012_2020'!AS19</f>
        <v>7.0399999999999998E-4</v>
      </c>
      <c r="AV81">
        <f>'2012_2020'!AT19</f>
        <v>5.0199999999999995E-4</v>
      </c>
      <c r="AW81">
        <f>'2012_2020'!AU19</f>
        <v>6.6600000000000003E-4</v>
      </c>
      <c r="AX81">
        <f>'2012_2020'!AV19</f>
        <v>6.8900000000000005E-4</v>
      </c>
      <c r="AY81">
        <f>'2012_2020'!AW19</f>
        <v>2.6400000000000002E-4</v>
      </c>
      <c r="AZ81">
        <f>'2012_2020'!AX19</f>
        <v>-1.33E-5</v>
      </c>
      <c r="BA81">
        <f>'2012_2020'!AY19</f>
        <v>-4.8000000000000001E-4</v>
      </c>
      <c r="BB81">
        <f>'2012_2020'!AZ19</f>
        <v>-7.7700000000000002E-4</v>
      </c>
      <c r="BC81">
        <f>'2012_2020'!BA19</f>
        <v>-3.4000000000000002E-4</v>
      </c>
      <c r="BD81">
        <f>'2012_2020'!BB19</f>
        <v>3.8699999999999997E-4</v>
      </c>
      <c r="BE81">
        <f>'2012_2020'!BC19</f>
        <v>4.64E-4</v>
      </c>
      <c r="BF81">
        <f>'2012_2020'!BD19</f>
        <v>2.8899999999999998E-4</v>
      </c>
      <c r="BG81">
        <f>'2012_2020'!BE19</f>
        <v>4.66E-4</v>
      </c>
      <c r="BH81">
        <f>'2012_2020'!BF19</f>
        <v>2.02E-4</v>
      </c>
      <c r="BI81">
        <f>'2012_2020'!BG19</f>
        <v>3.9199999999999997E-5</v>
      </c>
      <c r="BJ81">
        <f>'2012_2020'!BH19</f>
        <v>2.2599999999999999E-4</v>
      </c>
      <c r="BK81">
        <f>'2012_2020'!BI19</f>
        <v>7.7700000000000005E-5</v>
      </c>
      <c r="BL81">
        <f>'2012_2020'!BJ19</f>
        <v>7.8399999999999995E-5</v>
      </c>
      <c r="BM81">
        <f>'2012_2020'!BK19</f>
        <v>4.8500000000000003E-4</v>
      </c>
      <c r="BN81">
        <f>'2012_2020'!BL19</f>
        <v>9.5399999999999999E-4</v>
      </c>
      <c r="BO81">
        <f>'2012_2020'!BM19</f>
        <v>1.67E-3</v>
      </c>
      <c r="BP81">
        <f>'2012_2020'!BN19</f>
        <v>2.1900000000000001E-3</v>
      </c>
      <c r="BQ81">
        <f>'2012_2020'!BO19</f>
        <v>2.65E-3</v>
      </c>
      <c r="BR81">
        <f>'2012_2020'!BP19</f>
        <v>2.7200000000000002E-3</v>
      </c>
      <c r="BS81">
        <f>'2012_2020'!BQ19</f>
        <v>2.0500000000000002E-3</v>
      </c>
      <c r="BT81">
        <f>'2012_2020'!BR19</f>
        <v>2.7200000000000002E-3</v>
      </c>
      <c r="BU81">
        <f>'2012_2020'!BS19</f>
        <v>2.5600000000000002E-3</v>
      </c>
      <c r="BV81">
        <f>'2012_2020'!BT19</f>
        <v>1.47E-3</v>
      </c>
      <c r="BW81">
        <f>'2012_2020'!BU19</f>
        <v>1.81E-3</v>
      </c>
      <c r="BX81">
        <f>'2012_2020'!BV19</f>
        <v>1.2899999999999999E-3</v>
      </c>
      <c r="BY81">
        <f>'2012_2020'!BW19</f>
        <v>1.98E-3</v>
      </c>
      <c r="BZ81">
        <f>'2012_2020'!BX19</f>
        <v>2.5000000000000001E-3</v>
      </c>
      <c r="CA81">
        <f>'2012_2020'!BY19</f>
        <v>3.3999999999999998E-3</v>
      </c>
      <c r="CB81">
        <f>'2012_2020'!BZ19</f>
        <v>3.2000000000000002E-3</v>
      </c>
      <c r="CC81">
        <f>'2012_2020'!CA19</f>
        <v>3.3E-3</v>
      </c>
      <c r="CD81">
        <f>'2012_2020'!CB19</f>
        <v>2.5200000000000001E-3</v>
      </c>
      <c r="CE81">
        <f>'2012_2020'!CC19</f>
        <v>2.2899999999999999E-3</v>
      </c>
      <c r="CF81">
        <f>'2012_2020'!CD19</f>
        <v>2.1900000000000001E-3</v>
      </c>
      <c r="CG81">
        <f>'2012_2020'!CE19</f>
        <v>2.2599999999999999E-3</v>
      </c>
      <c r="CH81">
        <f>'2012_2020'!CF19</f>
        <v>8.52E-4</v>
      </c>
      <c r="CI81">
        <f>'2012_2020'!CG19</f>
        <v>-5.7700000000000004E-4</v>
      </c>
      <c r="CJ81">
        <f>'2012_2020'!CH19</f>
        <v>-1.8400000000000001E-3</v>
      </c>
      <c r="CK81">
        <f>'2012_2020'!CI19</f>
        <v>1.9100000000000001E-4</v>
      </c>
      <c r="CL81">
        <f>'2012_2020'!CJ19</f>
        <v>7.9000000000000001E-4</v>
      </c>
      <c r="CM81">
        <f>'2012_2020'!CK19</f>
        <v>1.1299999999999999E-3</v>
      </c>
      <c r="CN81">
        <f>'2012_2020'!CL19</f>
        <v>6.4499999999999996E-4</v>
      </c>
      <c r="CO81">
        <f>'2012_2020'!CM19</f>
        <v>-1.4100000000000001E-4</v>
      </c>
      <c r="CP81">
        <f>'2012_2020'!CN19</f>
        <v>-8.43E-4</v>
      </c>
      <c r="CQ81">
        <f>'2012_2020'!CO19</f>
        <v>1.66E-5</v>
      </c>
      <c r="CR81">
        <f>'2012_2020'!CP19</f>
        <v>-1.89E-3</v>
      </c>
      <c r="CS81">
        <f>'2012_2020'!CQ19</f>
        <v>-3.2000000000000002E-3</v>
      </c>
      <c r="CT81">
        <f>'2012_2020'!CR19</f>
        <v>-3.2599999999999999E-3</v>
      </c>
      <c r="CU81">
        <f>'2012_2020'!CS19</f>
        <v>-4.1999999999999997E-3</v>
      </c>
      <c r="CV81">
        <f>'2012_2020'!CT19</f>
        <v>-3.3400000000000001E-3</v>
      </c>
      <c r="CW81">
        <f>'2012_2020'!CU19</f>
        <v>-4.79E-3</v>
      </c>
      <c r="CX81">
        <f>'2012_2020'!CV19</f>
        <v>-4.8099999999999998E-4</v>
      </c>
    </row>
    <row r="82" spans="1:102" x14ac:dyDescent="0.2">
      <c r="A82" t="s">
        <v>213</v>
      </c>
      <c r="B82" t="s">
        <v>219</v>
      </c>
      <c r="C82" t="s">
        <v>222</v>
      </c>
      <c r="D82">
        <f>'2012_2020'!B20</f>
        <v>-7.1499999999999994E-2</v>
      </c>
      <c r="E82">
        <f>'2012_2020'!C20</f>
        <v>-0.03</v>
      </c>
      <c r="F82">
        <f>'2012_2020'!D20</f>
        <v>3.4700000000000002E-2</v>
      </c>
      <c r="G82">
        <f>'2012_2020'!E20</f>
        <v>-0.108</v>
      </c>
      <c r="H82">
        <f>'2012_2020'!F20</f>
        <v>0.104</v>
      </c>
      <c r="I82">
        <f>'2012_2020'!G20</f>
        <v>-4.8599999999999997E-2</v>
      </c>
      <c r="J82">
        <f>'2012_2020'!H20</f>
        <v>2.7E-2</v>
      </c>
      <c r="K82">
        <f>'2012_2020'!I20</f>
        <v>2.3199999999999998E-2</v>
      </c>
      <c r="L82">
        <f>'2012_2020'!J20</f>
        <v>-1.0200000000000001E-2</v>
      </c>
      <c r="M82">
        <f>'2012_2020'!K20</f>
        <v>0.115</v>
      </c>
      <c r="N82">
        <f>'2012_2020'!L20</f>
        <v>0.10299999999999999</v>
      </c>
      <c r="O82">
        <f>'2012_2020'!M20</f>
        <v>-3.4099999999999998E-2</v>
      </c>
      <c r="P82">
        <f>'2012_2020'!N20</f>
        <v>1.6199999999999999E-2</v>
      </c>
      <c r="Q82">
        <f>'2012_2020'!O20</f>
        <v>3.4599999999999999E-2</v>
      </c>
      <c r="R82">
        <f>'2012_2020'!P20</f>
        <v>5.45E-2</v>
      </c>
      <c r="S82">
        <f>'2012_2020'!Q20</f>
        <v>3.7100000000000001E-2</v>
      </c>
      <c r="T82">
        <f>'2012_2020'!R20</f>
        <v>1.3899999999999999E-2</v>
      </c>
      <c r="U82">
        <f>'2012_2020'!S20</f>
        <v>3.3600000000000001E-3</v>
      </c>
      <c r="V82">
        <f>'2012_2020'!T20</f>
        <v>-1.1299999999999999E-3</v>
      </c>
      <c r="W82">
        <f>'2012_2020'!U20</f>
        <v>-3.8E-3</v>
      </c>
      <c r="X82">
        <f>'2012_2020'!V20</f>
        <v>-1.0999999999999999E-2</v>
      </c>
      <c r="Y82">
        <f>'2012_2020'!W20</f>
        <v>-2.52E-2</v>
      </c>
      <c r="Z82">
        <f>'2012_2020'!X20</f>
        <v>-1.7600000000000001E-2</v>
      </c>
      <c r="AA82">
        <f>'2012_2020'!Y20</f>
        <v>-5.3299999999999997E-3</v>
      </c>
      <c r="AB82">
        <f>'2012_2020'!Z20</f>
        <v>5.1000000000000004E-3</v>
      </c>
      <c r="AC82">
        <f>'2012_2020'!AA20</f>
        <v>1.38E-2</v>
      </c>
      <c r="AD82">
        <f>'2012_2020'!AB20</f>
        <v>1.5900000000000001E-2</v>
      </c>
      <c r="AE82">
        <f>'2012_2020'!AC20</f>
        <v>1.41E-2</v>
      </c>
      <c r="AF82">
        <f>'2012_2020'!AD20</f>
        <v>1.44E-2</v>
      </c>
      <c r="AG82">
        <f>'2012_2020'!AE20</f>
        <v>1.01E-2</v>
      </c>
      <c r="AH82">
        <f>'2012_2020'!AF20</f>
        <v>1.8599999999999998E-2</v>
      </c>
      <c r="AI82">
        <f>'2012_2020'!AG20</f>
        <v>1.67E-2</v>
      </c>
      <c r="AJ82">
        <f>'2012_2020'!AH20</f>
        <v>1.3299999999999999E-2</v>
      </c>
      <c r="AK82">
        <f>'2012_2020'!AI20</f>
        <v>1.5100000000000001E-2</v>
      </c>
      <c r="AL82">
        <f>'2012_2020'!AJ20</f>
        <v>1.8100000000000002E-2</v>
      </c>
      <c r="AM82">
        <f>'2012_2020'!AK20</f>
        <v>1.18E-2</v>
      </c>
      <c r="AN82">
        <f>'2012_2020'!AL20</f>
        <v>7.0299999999999998E-3</v>
      </c>
      <c r="AO82">
        <f>'2012_2020'!AM20</f>
        <v>6.96E-3</v>
      </c>
      <c r="AP82">
        <f>'2012_2020'!AN20</f>
        <v>1.12E-2</v>
      </c>
      <c r="AQ82">
        <f>'2012_2020'!AO20</f>
        <v>1.3599999999999999E-2</v>
      </c>
      <c r="AR82">
        <f>'2012_2020'!AP20</f>
        <v>1.23E-2</v>
      </c>
      <c r="AS82">
        <f>'2012_2020'!AQ20</f>
        <v>1.01E-2</v>
      </c>
      <c r="AT82">
        <f>'2012_2020'!AR20</f>
        <v>9.3500000000000007E-3</v>
      </c>
      <c r="AU82">
        <f>'2012_2020'!AS20</f>
        <v>1.2699999999999999E-2</v>
      </c>
      <c r="AV82">
        <f>'2012_2020'!AT20</f>
        <v>2.4899999999999999E-2</v>
      </c>
      <c r="AW82">
        <f>'2012_2020'!AU20</f>
        <v>2.76E-2</v>
      </c>
      <c r="AX82">
        <f>'2012_2020'!AV20</f>
        <v>1.7999999999999999E-2</v>
      </c>
      <c r="AY82">
        <f>'2012_2020'!AW20</f>
        <v>1.6199999999999999E-2</v>
      </c>
      <c r="AZ82">
        <f>'2012_2020'!AX20</f>
        <v>1.26E-2</v>
      </c>
      <c r="BA82">
        <f>'2012_2020'!AY20</f>
        <v>1.4200000000000001E-2</v>
      </c>
      <c r="BB82">
        <f>'2012_2020'!AZ20</f>
        <v>9.9500000000000005E-3</v>
      </c>
      <c r="BC82">
        <f>'2012_2020'!BA20</f>
        <v>1.3100000000000001E-2</v>
      </c>
      <c r="BD82">
        <f>'2012_2020'!BB20</f>
        <v>9.8099999999999993E-3</v>
      </c>
      <c r="BE82">
        <f>'2012_2020'!BC20</f>
        <v>1.17E-2</v>
      </c>
      <c r="BF82">
        <f>'2012_2020'!BD20</f>
        <v>1.23E-2</v>
      </c>
      <c r="BG82">
        <f>'2012_2020'!BE20</f>
        <v>2.01E-2</v>
      </c>
      <c r="BH82">
        <f>'2012_2020'!BF20</f>
        <v>2.5000000000000001E-2</v>
      </c>
      <c r="BI82">
        <f>'2012_2020'!BG20</f>
        <v>1.8499999999999999E-2</v>
      </c>
      <c r="BJ82">
        <f>'2012_2020'!BH20</f>
        <v>1.8100000000000002E-2</v>
      </c>
      <c r="BK82">
        <f>'2012_2020'!BI20</f>
        <v>1.5599999999999999E-2</v>
      </c>
      <c r="BL82">
        <f>'2012_2020'!BJ20</f>
        <v>1.4500000000000001E-2</v>
      </c>
      <c r="BM82">
        <f>'2012_2020'!BK20</f>
        <v>8.7899999999999992E-3</v>
      </c>
      <c r="BN82">
        <f>'2012_2020'!BL20</f>
        <v>4.1000000000000003E-3</v>
      </c>
      <c r="BO82">
        <f>'2012_2020'!BM20</f>
        <v>1.7799999999999999E-3</v>
      </c>
      <c r="BP82">
        <f>'2012_2020'!BN20</f>
        <v>1.6299999999999999E-3</v>
      </c>
      <c r="BQ82">
        <f>'2012_2020'!BO20</f>
        <v>7.28E-3</v>
      </c>
      <c r="BR82">
        <f>'2012_2020'!BP20</f>
        <v>1.35E-2</v>
      </c>
      <c r="BS82">
        <f>'2012_2020'!BQ20</f>
        <v>1.8499999999999999E-2</v>
      </c>
      <c r="BT82">
        <f>'2012_2020'!BR20</f>
        <v>2.9000000000000001E-2</v>
      </c>
      <c r="BU82">
        <f>'2012_2020'!BS20</f>
        <v>3.1800000000000002E-2</v>
      </c>
      <c r="BV82">
        <f>'2012_2020'!BT20</f>
        <v>3.6600000000000001E-2</v>
      </c>
      <c r="BW82">
        <f>'2012_2020'!BU20</f>
        <v>3.9E-2</v>
      </c>
      <c r="BX82">
        <f>'2012_2020'!BV20</f>
        <v>2.3800000000000002E-2</v>
      </c>
      <c r="BY82">
        <f>'2012_2020'!BW20</f>
        <v>3.4299999999999997E-2</v>
      </c>
      <c r="BZ82">
        <f>'2012_2020'!BX20</f>
        <v>3.49E-2</v>
      </c>
      <c r="CA82">
        <f>'2012_2020'!BY20</f>
        <v>3.2500000000000001E-2</v>
      </c>
      <c r="CB82">
        <f>'2012_2020'!BZ20</f>
        <v>3.3399999999999999E-2</v>
      </c>
      <c r="CC82">
        <f>'2012_2020'!CA20</f>
        <v>4.4900000000000002E-2</v>
      </c>
      <c r="CD82">
        <f>'2012_2020'!CB20</f>
        <v>3.3700000000000001E-2</v>
      </c>
      <c r="CE82">
        <f>'2012_2020'!CC20</f>
        <v>3.1E-2</v>
      </c>
      <c r="CF82">
        <f>'2012_2020'!CD20</f>
        <v>3.15E-2</v>
      </c>
      <c r="CG82">
        <f>'2012_2020'!CE20</f>
        <v>4.1500000000000002E-2</v>
      </c>
      <c r="CH82">
        <f>'2012_2020'!CF20</f>
        <v>3.7199999999999997E-2</v>
      </c>
      <c r="CI82">
        <f>'2012_2020'!CG20</f>
        <v>3.9399999999999998E-2</v>
      </c>
      <c r="CJ82">
        <f>'2012_2020'!CH20</f>
        <v>3.2300000000000002E-2</v>
      </c>
      <c r="CK82">
        <f>'2012_2020'!CI20</f>
        <v>2.9600000000000001E-2</v>
      </c>
      <c r="CL82">
        <f>'2012_2020'!CJ20</f>
        <v>2.5100000000000001E-2</v>
      </c>
      <c r="CM82">
        <f>'2012_2020'!CK20</f>
        <v>3.7199999999999997E-2</v>
      </c>
      <c r="CN82">
        <f>'2012_2020'!CL20</f>
        <v>5.3800000000000001E-2</v>
      </c>
      <c r="CO82">
        <f>'2012_2020'!CM20</f>
        <v>4.6699999999999998E-2</v>
      </c>
      <c r="CP82">
        <f>'2012_2020'!CN20</f>
        <v>4.6800000000000001E-2</v>
      </c>
      <c r="CQ82">
        <f>'2012_2020'!CO20</f>
        <v>5.1400000000000001E-2</v>
      </c>
      <c r="CR82">
        <f>'2012_2020'!CP20</f>
        <v>6.2600000000000003E-2</v>
      </c>
      <c r="CS82">
        <f>'2012_2020'!CQ20</f>
        <v>6.1400000000000003E-2</v>
      </c>
      <c r="CT82">
        <f>'2012_2020'!CR20</f>
        <v>6.4000000000000001E-2</v>
      </c>
      <c r="CU82">
        <f>'2012_2020'!CS20</f>
        <v>5.67E-2</v>
      </c>
      <c r="CV82">
        <f>'2012_2020'!CT20</f>
        <v>3.8399999999999997E-2</v>
      </c>
      <c r="CW82">
        <f>'2012_2020'!CU20</f>
        <v>6.6400000000000001E-2</v>
      </c>
      <c r="CX82">
        <f>'2012_2020'!CV20</f>
        <v>6.6699999999999995E-2</v>
      </c>
    </row>
    <row r="83" spans="1:102" x14ac:dyDescent="0.2">
      <c r="A83" t="s">
        <v>214</v>
      </c>
      <c r="B83" t="s">
        <v>219</v>
      </c>
      <c r="C83" t="s">
        <v>222</v>
      </c>
      <c r="D83">
        <f>'2012_2020'!B21</f>
        <v>3.2300000000000002E-2</v>
      </c>
      <c r="E83">
        <f>'2012_2020'!C21</f>
        <v>4.3700000000000003E-2</v>
      </c>
      <c r="F83">
        <f>'2012_2020'!D21</f>
        <v>3.6799999999999999E-2</v>
      </c>
      <c r="G83">
        <f>'2012_2020'!E21</f>
        <v>2.7900000000000001E-2</v>
      </c>
      <c r="H83">
        <f>'2012_2020'!F21</f>
        <v>5.3100000000000001E-2</v>
      </c>
      <c r="I83">
        <f>'2012_2020'!G21</f>
        <v>4.1300000000000003E-2</v>
      </c>
      <c r="J83">
        <f>'2012_2020'!H21</f>
        <v>3.3399999999999999E-2</v>
      </c>
      <c r="K83">
        <f>'2012_2020'!I21</f>
        <v>2.3800000000000002E-2</v>
      </c>
      <c r="L83">
        <f>'2012_2020'!J21</f>
        <v>2.2800000000000001E-2</v>
      </c>
      <c r="M83">
        <f>'2012_2020'!K21</f>
        <v>0.02</v>
      </c>
      <c r="N83">
        <f>'2012_2020'!L21</f>
        <v>1.5100000000000001E-2</v>
      </c>
      <c r="O83">
        <f>'2012_2020'!M21</f>
        <v>3.3600000000000001E-3</v>
      </c>
      <c r="P83">
        <f>'2012_2020'!N21</f>
        <v>1.6799999999999999E-2</v>
      </c>
      <c r="Q83">
        <f>'2012_2020'!O21</f>
        <v>2.4599999999999999E-3</v>
      </c>
      <c r="R83">
        <f>'2012_2020'!P21</f>
        <v>4.3600000000000002E-3</v>
      </c>
      <c r="S83">
        <f>'2012_2020'!Q21</f>
        <v>8.0999999999999996E-3</v>
      </c>
      <c r="T83">
        <f>'2012_2020'!R21</f>
        <v>-7.6400000000000003E-4</v>
      </c>
      <c r="U83">
        <f>'2012_2020'!S21</f>
        <v>4.5700000000000003E-3</v>
      </c>
      <c r="V83">
        <f>'2012_2020'!T21</f>
        <v>2.6099999999999999E-3</v>
      </c>
      <c r="W83">
        <f>'2012_2020'!U21</f>
        <v>1.8500000000000001E-3</v>
      </c>
      <c r="X83">
        <f>'2012_2020'!V21</f>
        <v>3.2000000000000002E-3</v>
      </c>
      <c r="Y83">
        <f>'2012_2020'!W21</f>
        <v>1.9799999999999999E-4</v>
      </c>
      <c r="Z83">
        <f>'2012_2020'!X21</f>
        <v>-2E-3</v>
      </c>
      <c r="AA83">
        <f>'2012_2020'!Y21</f>
        <v>-5.2100000000000002E-3</v>
      </c>
      <c r="AB83">
        <f>'2012_2020'!Z21</f>
        <v>4.3699999999999998E-3</v>
      </c>
      <c r="AC83">
        <f>'2012_2020'!AA21</f>
        <v>-2.97E-3</v>
      </c>
      <c r="AD83">
        <f>'2012_2020'!AB21</f>
        <v>-7.8600000000000002E-4</v>
      </c>
      <c r="AE83">
        <f>'2012_2020'!AC21</f>
        <v>-2.0500000000000002E-3</v>
      </c>
      <c r="AF83">
        <f>'2012_2020'!AD21</f>
        <v>4.45E-3</v>
      </c>
      <c r="AG83">
        <f>'2012_2020'!AE21</f>
        <v>6.5900000000000004E-3</v>
      </c>
      <c r="AH83">
        <f>'2012_2020'!AF21</f>
        <v>5.5799999999999999E-3</v>
      </c>
      <c r="AI83">
        <f>'2012_2020'!AG21</f>
        <v>9.7000000000000005E-4</v>
      </c>
      <c r="AJ83">
        <f>'2012_2020'!AH21</f>
        <v>3.96E-3</v>
      </c>
      <c r="AK83">
        <f>'2012_2020'!AI21</f>
        <v>1.47E-4</v>
      </c>
      <c r="AL83">
        <f>'2012_2020'!AJ21</f>
        <v>2.4499999999999999E-3</v>
      </c>
      <c r="AM83">
        <f>'2012_2020'!AK21</f>
        <v>2.7699999999999999E-3</v>
      </c>
      <c r="AN83">
        <f>'2012_2020'!AL21</f>
        <v>-1.31E-3</v>
      </c>
      <c r="AO83">
        <f>'2012_2020'!AM21</f>
        <v>-1.9E-3</v>
      </c>
      <c r="AP83">
        <f>'2012_2020'!AN21</f>
        <v>4.1900000000000001E-3</v>
      </c>
      <c r="AQ83">
        <f>'2012_2020'!AO21</f>
        <v>2.6199999999999999E-3</v>
      </c>
      <c r="AR83">
        <f>'2012_2020'!AP21</f>
        <v>3.9899999999999996E-3</v>
      </c>
      <c r="AS83">
        <f>'2012_2020'!AQ21</f>
        <v>-7.0500000000000006E-5</v>
      </c>
      <c r="AT83">
        <f>'2012_2020'!AR21</f>
        <v>-5.9699999999999998E-4</v>
      </c>
      <c r="AU83">
        <f>'2012_2020'!AS21</f>
        <v>-1.42E-3</v>
      </c>
      <c r="AV83">
        <f>'2012_2020'!AT21</f>
        <v>6.0099999999999997E-4</v>
      </c>
      <c r="AW83">
        <f>'2012_2020'!AU21</f>
        <v>5.62E-4</v>
      </c>
      <c r="AX83">
        <f>'2012_2020'!AV21</f>
        <v>-5.2400000000000005E-4</v>
      </c>
      <c r="AY83">
        <f>'2012_2020'!AW21</f>
        <v>1.17E-3</v>
      </c>
      <c r="AZ83">
        <f>'2012_2020'!AX21</f>
        <v>4.62E-3</v>
      </c>
      <c r="BA83">
        <f>'2012_2020'!AY21</f>
        <v>1.66E-3</v>
      </c>
      <c r="BB83">
        <f>'2012_2020'!AZ21</f>
        <v>2.0999999999999999E-3</v>
      </c>
      <c r="BC83">
        <f>'2012_2020'!BA21</f>
        <v>4.0299999999999997E-5</v>
      </c>
      <c r="BD83">
        <f>'2012_2020'!BB21</f>
        <v>5.0900000000000001E-4</v>
      </c>
      <c r="BE83">
        <f>'2012_2020'!BC21</f>
        <v>8.9599999999999999E-4</v>
      </c>
      <c r="BF83">
        <f>'2012_2020'!BD21</f>
        <v>2.65E-3</v>
      </c>
      <c r="BG83">
        <f>'2012_2020'!BE21</f>
        <v>1.9400000000000001E-3</v>
      </c>
      <c r="BH83">
        <f>'2012_2020'!BF21</f>
        <v>1.4400000000000001E-3</v>
      </c>
      <c r="BI83">
        <f>'2012_2020'!BG21</f>
        <v>1.7099999999999999E-3</v>
      </c>
      <c r="BJ83">
        <f>'2012_2020'!BH21</f>
        <v>-2.0699999999999998E-3</v>
      </c>
      <c r="BK83">
        <f>'2012_2020'!BI21</f>
        <v>8.26E-3</v>
      </c>
      <c r="BL83">
        <f>'2012_2020'!BJ21</f>
        <v>1.31E-3</v>
      </c>
      <c r="BM83">
        <f>'2012_2020'!BK21</f>
        <v>3.9899999999999996E-3</v>
      </c>
      <c r="BN83">
        <f>'2012_2020'!BL21</f>
        <v>5.3299999999999997E-3</v>
      </c>
      <c r="BO83">
        <f>'2012_2020'!BM21</f>
        <v>6.9899999999999997E-3</v>
      </c>
      <c r="BP83">
        <f>'2012_2020'!BN21</f>
        <v>6.0000000000000001E-3</v>
      </c>
      <c r="BQ83">
        <f>'2012_2020'!BO21</f>
        <v>1.5299999999999999E-3</v>
      </c>
      <c r="BR83">
        <f>'2012_2020'!BP21</f>
        <v>-8.9099999999999995E-3</v>
      </c>
      <c r="BS83">
        <f>'2012_2020'!BQ21</f>
        <v>-2.7000000000000001E-3</v>
      </c>
      <c r="BT83">
        <f>'2012_2020'!BR21</f>
        <v>5.62E-3</v>
      </c>
      <c r="BU83">
        <f>'2012_2020'!BS21</f>
        <v>6.0299999999999998E-3</v>
      </c>
      <c r="BV83">
        <f>'2012_2020'!BT21</f>
        <v>4.1599999999999996E-3</v>
      </c>
      <c r="BW83">
        <f>'2012_2020'!BU21</f>
        <v>2.5400000000000002E-3</v>
      </c>
      <c r="BX83">
        <f>'2012_2020'!BV21</f>
        <v>7.5399999999999998E-3</v>
      </c>
      <c r="BY83">
        <f>'2012_2020'!BW21</f>
        <v>5.3099999999999996E-3</v>
      </c>
      <c r="BZ83">
        <f>'2012_2020'!BX21</f>
        <v>6.2500000000000001E-4</v>
      </c>
      <c r="CA83">
        <f>'2012_2020'!BY21</f>
        <v>3.0100000000000001E-3</v>
      </c>
      <c r="CB83">
        <f>'2012_2020'!BZ21</f>
        <v>1.0500000000000001E-2</v>
      </c>
      <c r="CC83">
        <f>'2012_2020'!CA21</f>
        <v>6.7999999999999996E-3</v>
      </c>
      <c r="CD83">
        <f>'2012_2020'!CB21</f>
        <v>1.2200000000000001E-2</v>
      </c>
      <c r="CE83">
        <f>'2012_2020'!CC21</f>
        <v>1.2500000000000001E-2</v>
      </c>
      <c r="CF83">
        <f>'2012_2020'!CD21</f>
        <v>-1.0300000000000001E-3</v>
      </c>
      <c r="CG83">
        <f>'2012_2020'!CE21</f>
        <v>1.18E-2</v>
      </c>
      <c r="CH83">
        <f>'2012_2020'!CF21</f>
        <v>8.4899999999999993E-3</v>
      </c>
      <c r="CI83">
        <f>'2012_2020'!CG21</f>
        <v>1.5900000000000001E-2</v>
      </c>
      <c r="CJ83">
        <f>'2012_2020'!CH21</f>
        <v>9.7400000000000004E-3</v>
      </c>
      <c r="CK83">
        <f>'2012_2020'!CI21</f>
        <v>1.6899999999999998E-2</v>
      </c>
      <c r="CL83">
        <f>'2012_2020'!CJ21</f>
        <v>1.35E-2</v>
      </c>
      <c r="CM83">
        <f>'2012_2020'!CK21</f>
        <v>1.61E-2</v>
      </c>
      <c r="CN83">
        <f>'2012_2020'!CL21</f>
        <v>1.6500000000000001E-2</v>
      </c>
      <c r="CO83">
        <f>'2012_2020'!CM21</f>
        <v>1.52E-2</v>
      </c>
      <c r="CP83">
        <f>'2012_2020'!CN21</f>
        <v>1.5299999999999999E-2</v>
      </c>
      <c r="CQ83">
        <f>'2012_2020'!CO21</f>
        <v>2.63E-2</v>
      </c>
      <c r="CR83">
        <f>'2012_2020'!CP21</f>
        <v>2.98E-2</v>
      </c>
      <c r="CS83">
        <f>'2012_2020'!CQ21</f>
        <v>2.07E-2</v>
      </c>
      <c r="CT83">
        <f>'2012_2020'!CR21</f>
        <v>4.0899999999999999E-2</v>
      </c>
      <c r="CU83">
        <f>'2012_2020'!CS21</f>
        <v>3.6999999999999998E-2</v>
      </c>
      <c r="CV83">
        <f>'2012_2020'!CT21</f>
        <v>3.85E-2</v>
      </c>
      <c r="CW83">
        <f>'2012_2020'!CU21</f>
        <v>3.9399999999999998E-2</v>
      </c>
      <c r="CX83">
        <f>'2012_2020'!CV21</f>
        <v>4.1700000000000001E-2</v>
      </c>
    </row>
    <row r="84" spans="1:102" x14ac:dyDescent="0.2">
      <c r="A84" t="s">
        <v>215</v>
      </c>
      <c r="B84" t="s">
        <v>219</v>
      </c>
      <c r="C84" t="s">
        <v>222</v>
      </c>
      <c r="D84">
        <f>'2012_2020'!B22</f>
        <v>-4.3700000000000003E-2</v>
      </c>
      <c r="E84">
        <f>'2012_2020'!C22</f>
        <v>-5.8599999999999999E-2</v>
      </c>
      <c r="F84">
        <f>'2012_2020'!D22</f>
        <v>-5.4800000000000001E-2</v>
      </c>
      <c r="G84">
        <f>'2012_2020'!E22</f>
        <v>-9.0999999999999998E-2</v>
      </c>
      <c r="H84">
        <f>'2012_2020'!F22</f>
        <v>-3.0700000000000002E-2</v>
      </c>
      <c r="I84">
        <f>'2012_2020'!G22</f>
        <v>-2.8799999999999999E-2</v>
      </c>
      <c r="J84">
        <f>'2012_2020'!H22</f>
        <v>-5.16E-2</v>
      </c>
      <c r="K84">
        <f>'2012_2020'!I22</f>
        <v>-4.9200000000000001E-2</v>
      </c>
      <c r="L84">
        <f>'2012_2020'!J22</f>
        <v>-5.0299999999999997E-2</v>
      </c>
      <c r="M84">
        <f>'2012_2020'!K22</f>
        <v>-3.5000000000000003E-2</v>
      </c>
      <c r="N84">
        <f>'2012_2020'!L22</f>
        <v>-2.1399999999999999E-2</v>
      </c>
      <c r="O84">
        <f>'2012_2020'!M22</f>
        <v>-2.4799999999999999E-2</v>
      </c>
      <c r="P84">
        <f>'2012_2020'!N22</f>
        <v>-1.03E-2</v>
      </c>
      <c r="Q84">
        <f>'2012_2020'!O22</f>
        <v>-6.6699999999999997E-3</v>
      </c>
      <c r="R84">
        <f>'2012_2020'!P22</f>
        <v>1.58E-3</v>
      </c>
      <c r="S84">
        <f>'2012_2020'!Q22</f>
        <v>-4.3300000000000001E-4</v>
      </c>
      <c r="T84">
        <f>'2012_2020'!R22</f>
        <v>2.2899999999999999E-3</v>
      </c>
      <c r="U84">
        <f>'2012_2020'!S22</f>
        <v>-1.1000000000000001E-3</v>
      </c>
      <c r="V84">
        <f>'2012_2020'!T22</f>
        <v>1.26E-4</v>
      </c>
      <c r="W84">
        <f>'2012_2020'!U22</f>
        <v>-2.1299999999999999E-3</v>
      </c>
      <c r="X84">
        <f>'2012_2020'!V22</f>
        <v>-1.97E-3</v>
      </c>
      <c r="Y84">
        <f>'2012_2020'!W22</f>
        <v>-3.2100000000000002E-3</v>
      </c>
      <c r="Z84">
        <f>'2012_2020'!X22</f>
        <v>6.3400000000000001E-4</v>
      </c>
      <c r="AA84">
        <f>'2012_2020'!Y22</f>
        <v>-2.4499999999999999E-4</v>
      </c>
      <c r="AB84">
        <f>'2012_2020'!Z22</f>
        <v>8.8900000000000003E-4</v>
      </c>
      <c r="AC84">
        <f>'2012_2020'!AA22</f>
        <v>9.5100000000000002E-4</v>
      </c>
      <c r="AD84">
        <f>'2012_2020'!AB22</f>
        <v>2.7899999999999999E-3</v>
      </c>
      <c r="AE84">
        <f>'2012_2020'!AC22</f>
        <v>3.9300000000000003E-3</v>
      </c>
      <c r="AF84">
        <f>'2012_2020'!AD22</f>
        <v>2.0999999999999999E-3</v>
      </c>
      <c r="AG84">
        <f>'2012_2020'!AE22</f>
        <v>2.3400000000000001E-3</v>
      </c>
      <c r="AH84">
        <f>'2012_2020'!AF22</f>
        <v>3.14E-3</v>
      </c>
      <c r="AI84">
        <f>'2012_2020'!AG22</f>
        <v>2.7699999999999999E-3</v>
      </c>
      <c r="AJ84">
        <f>'2012_2020'!AH22</f>
        <v>1.65E-3</v>
      </c>
      <c r="AK84">
        <f>'2012_2020'!AI22</f>
        <v>4.4900000000000001E-3</v>
      </c>
      <c r="AL84">
        <f>'2012_2020'!AJ22</f>
        <v>3.5400000000000002E-3</v>
      </c>
      <c r="AM84">
        <f>'2012_2020'!AK22</f>
        <v>2.7200000000000002E-3</v>
      </c>
      <c r="AN84">
        <f>'2012_2020'!AL22</f>
        <v>1.15E-3</v>
      </c>
      <c r="AO84">
        <f>'2012_2020'!AM22</f>
        <v>3.0500000000000002E-3</v>
      </c>
      <c r="AP84">
        <f>'2012_2020'!AN22</f>
        <v>2.6199999999999999E-3</v>
      </c>
      <c r="AQ84">
        <f>'2012_2020'!AO22</f>
        <v>3.81E-3</v>
      </c>
      <c r="AR84">
        <f>'2012_2020'!AP22</f>
        <v>8.3999999999999995E-3</v>
      </c>
      <c r="AS84">
        <f>'2012_2020'!AQ22</f>
        <v>2.8300000000000001E-3</v>
      </c>
      <c r="AT84">
        <f>'2012_2020'!AR22</f>
        <v>3.5599999999999998E-3</v>
      </c>
      <c r="AU84">
        <f>'2012_2020'!AS22</f>
        <v>5.3499999999999997E-3</v>
      </c>
      <c r="AV84">
        <f>'2012_2020'!AT22</f>
        <v>7.4799999999999997E-3</v>
      </c>
      <c r="AW84">
        <f>'2012_2020'!AU22</f>
        <v>7.2899999999999996E-3</v>
      </c>
      <c r="AX84">
        <f>'2012_2020'!AV22</f>
        <v>4.3200000000000001E-3</v>
      </c>
      <c r="AY84">
        <f>'2012_2020'!AW22</f>
        <v>4.4600000000000004E-3</v>
      </c>
      <c r="AZ84">
        <f>'2012_2020'!AX22</f>
        <v>2.63E-3</v>
      </c>
      <c r="BA84">
        <f>'2012_2020'!AY22</f>
        <v>-5.3899999999999998E-4</v>
      </c>
      <c r="BB84">
        <f>'2012_2020'!AZ22</f>
        <v>-2.4099999999999998E-3</v>
      </c>
      <c r="BC84">
        <f>'2012_2020'!BA22</f>
        <v>-2.2100000000000002E-3</v>
      </c>
      <c r="BD84">
        <f>'2012_2020'!BB22</f>
        <v>-1.1199999999999999E-3</v>
      </c>
      <c r="BE84">
        <f>'2012_2020'!BC22</f>
        <v>-6.9999999999999999E-4</v>
      </c>
      <c r="BF84">
        <f>'2012_2020'!BD22</f>
        <v>-4.9899999999999999E-4</v>
      </c>
      <c r="BG84">
        <f>'2012_2020'!BE22</f>
        <v>4.28E-4</v>
      </c>
      <c r="BH84">
        <f>'2012_2020'!BF22</f>
        <v>8.2299999999999995E-4</v>
      </c>
      <c r="BI84">
        <f>'2012_2020'!BG22</f>
        <v>-5.0499999999999998E-3</v>
      </c>
      <c r="BJ84">
        <f>'2012_2020'!BH22</f>
        <v>-6.3899999999999998E-3</v>
      </c>
      <c r="BK84">
        <f>'2012_2020'!BI22</f>
        <v>-4.47E-3</v>
      </c>
      <c r="BL84">
        <f>'2012_2020'!BJ22</f>
        <v>-3.4399999999999999E-3</v>
      </c>
      <c r="BM84">
        <f>'2012_2020'!BK22</f>
        <v>-2.5000000000000001E-3</v>
      </c>
      <c r="BN84">
        <f>'2012_2020'!BL22</f>
        <v>-5.1200000000000004E-3</v>
      </c>
      <c r="BO84">
        <f>'2012_2020'!BM22</f>
        <v>-9.4800000000000006E-3</v>
      </c>
      <c r="BP84">
        <f>'2012_2020'!BN22</f>
        <v>-8.77E-3</v>
      </c>
      <c r="BQ84">
        <f>'2012_2020'!BO22</f>
        <v>-7.7999999999999996E-3</v>
      </c>
      <c r="BR84">
        <f>'2012_2020'!BP22</f>
        <v>-7.7600000000000004E-3</v>
      </c>
      <c r="BS84">
        <f>'2012_2020'!BQ22</f>
        <v>-5.28E-3</v>
      </c>
      <c r="BT84">
        <f>'2012_2020'!BR22</f>
        <v>-1.57E-3</v>
      </c>
      <c r="BU84">
        <f>'2012_2020'!BS22</f>
        <v>-2E-3</v>
      </c>
      <c r="BV84">
        <f>'2012_2020'!BT22</f>
        <v>-3.3899999999999998E-3</v>
      </c>
      <c r="BW84">
        <f>'2012_2020'!BU22</f>
        <v>-3.5100000000000001E-3</v>
      </c>
      <c r="BX84">
        <f>'2012_2020'!BV22</f>
        <v>-8.2199999999999999E-3</v>
      </c>
      <c r="BY84">
        <f>'2012_2020'!BW22</f>
        <v>-9.1699999999999993E-3</v>
      </c>
      <c r="BZ84">
        <f>'2012_2020'!BX22</f>
        <v>-9.6200000000000001E-3</v>
      </c>
      <c r="CA84">
        <f>'2012_2020'!BY22</f>
        <v>3.62E-3</v>
      </c>
      <c r="CB84">
        <f>'2012_2020'!BZ22</f>
        <v>5.1000000000000004E-3</v>
      </c>
      <c r="CC84">
        <f>'2012_2020'!CA22</f>
        <v>9.3900000000000008E-3</v>
      </c>
      <c r="CD84">
        <f>'2012_2020'!CB22</f>
        <v>9.1199999999999996E-3</v>
      </c>
      <c r="CE84">
        <f>'2012_2020'!CC22</f>
        <v>1.09E-2</v>
      </c>
      <c r="CF84">
        <f>'2012_2020'!CD22</f>
        <v>1.0699999999999999E-2</v>
      </c>
      <c r="CG84">
        <f>'2012_2020'!CE22</f>
        <v>8.9099999999999995E-3</v>
      </c>
      <c r="CH84">
        <f>'2012_2020'!CF22</f>
        <v>7.5399999999999998E-3</v>
      </c>
      <c r="CI84">
        <f>'2012_2020'!CG22</f>
        <v>8.7299999999999999E-3</v>
      </c>
      <c r="CJ84">
        <f>'2012_2020'!CH22</f>
        <v>1.41E-2</v>
      </c>
      <c r="CK84">
        <f>'2012_2020'!CI22</f>
        <v>2.1000000000000001E-2</v>
      </c>
      <c r="CL84">
        <f>'2012_2020'!CJ22</f>
        <v>1.7100000000000001E-2</v>
      </c>
      <c r="CM84">
        <f>'2012_2020'!CK22</f>
        <v>7.3499999999999998E-3</v>
      </c>
      <c r="CN84">
        <f>'2012_2020'!CL22</f>
        <v>5.2300000000000003E-3</v>
      </c>
      <c r="CO84">
        <f>'2012_2020'!CM22</f>
        <v>-3.0699999999999998E-3</v>
      </c>
      <c r="CP84">
        <f>'2012_2020'!CN22</f>
        <v>-1.6199999999999999E-3</v>
      </c>
      <c r="CQ84">
        <f>'2012_2020'!CO22</f>
        <v>1.25E-3</v>
      </c>
      <c r="CR84">
        <f>'2012_2020'!CP22</f>
        <v>-1.2E-2</v>
      </c>
      <c r="CS84">
        <f>'2012_2020'!CQ22</f>
        <v>-8.6499999999999997E-3</v>
      </c>
      <c r="CT84">
        <f>'2012_2020'!CR22</f>
        <v>-8.6999999999999994E-3</v>
      </c>
      <c r="CU84">
        <f>'2012_2020'!CS22</f>
        <v>-8.6E-3</v>
      </c>
      <c r="CV84">
        <f>'2012_2020'!CT22</f>
        <v>1.57E-3</v>
      </c>
      <c r="CW84">
        <f>'2012_2020'!CU22</f>
        <v>-4.4099999999999999E-3</v>
      </c>
      <c r="CX84">
        <f>'2012_2020'!CV22</f>
        <v>-6.5900000000000004E-3</v>
      </c>
    </row>
    <row r="85" spans="1:102" x14ac:dyDescent="0.2">
      <c r="A85" t="s">
        <v>216</v>
      </c>
      <c r="B85" t="s">
        <v>219</v>
      </c>
      <c r="C85" t="s">
        <v>222</v>
      </c>
      <c r="D85">
        <f>'2012_2020'!B23</f>
        <v>0.22700000000000001</v>
      </c>
      <c r="E85">
        <f>'2012_2020'!C23</f>
        <v>-0.33300000000000002</v>
      </c>
      <c r="F85">
        <f>'2012_2020'!D23</f>
        <v>-0.68</v>
      </c>
      <c r="G85">
        <f>'2012_2020'!E23</f>
        <v>0.36099999999999999</v>
      </c>
      <c r="H85">
        <f>'2012_2020'!F23</f>
        <v>-0.93</v>
      </c>
      <c r="I85">
        <f>'2012_2020'!G23</f>
        <v>-7.22E-2</v>
      </c>
      <c r="J85">
        <f>'2012_2020'!H23</f>
        <v>-0.375</v>
      </c>
      <c r="K85">
        <f>'2012_2020'!I23</f>
        <v>-0.27</v>
      </c>
      <c r="L85">
        <f>'2012_2020'!J23</f>
        <v>-2.4899999999999999E-2</v>
      </c>
      <c r="M85">
        <f>'2012_2020'!K23</f>
        <v>-0.53100000000000003</v>
      </c>
      <c r="N85">
        <f>'2012_2020'!L23</f>
        <v>-0.43099999999999999</v>
      </c>
      <c r="O85">
        <f>'2012_2020'!M23</f>
        <v>0.183</v>
      </c>
      <c r="P85">
        <f>'2012_2020'!N23</f>
        <v>-4.3400000000000001E-2</v>
      </c>
      <c r="Q85">
        <f>'2012_2020'!O23</f>
        <v>-4.7100000000000003E-2</v>
      </c>
      <c r="R85">
        <f>'2012_2020'!P23</f>
        <v>-0.112</v>
      </c>
      <c r="S85">
        <f>'2012_2020'!Q23</f>
        <v>-8.6499999999999994E-2</v>
      </c>
      <c r="T85">
        <f>'2012_2020'!R23</f>
        <v>4.6699999999999998E-2</v>
      </c>
      <c r="U85">
        <f>'2012_2020'!S23</f>
        <v>8.4599999999999995E-2</v>
      </c>
      <c r="V85">
        <f>'2012_2020'!T23</f>
        <v>0.13100000000000001</v>
      </c>
      <c r="W85">
        <f>'2012_2020'!U23</f>
        <v>0.11899999999999999</v>
      </c>
      <c r="X85">
        <f>'2012_2020'!V23</f>
        <v>9.7600000000000006E-2</v>
      </c>
      <c r="Y85">
        <f>'2012_2020'!W23</f>
        <v>0.19700000000000001</v>
      </c>
      <c r="Z85">
        <f>'2012_2020'!X23</f>
        <v>0.17799999999999999</v>
      </c>
      <c r="AA85">
        <f>'2012_2020'!Y23</f>
        <v>0.13100000000000001</v>
      </c>
      <c r="AB85">
        <f>'2012_2020'!Z23</f>
        <v>8.7599999999999997E-2</v>
      </c>
      <c r="AC85">
        <f>'2012_2020'!AA23</f>
        <v>6.2600000000000003E-2</v>
      </c>
      <c r="AD85">
        <f>'2012_2020'!AB23</f>
        <v>5.3600000000000002E-2</v>
      </c>
      <c r="AE85">
        <f>'2012_2020'!AC23</f>
        <v>3.49E-2</v>
      </c>
      <c r="AF85">
        <f>'2012_2020'!AD23</f>
        <v>2.2499999999999999E-2</v>
      </c>
      <c r="AG85">
        <f>'2012_2020'!AE23</f>
        <v>1.5800000000000002E-2</v>
      </c>
      <c r="AH85">
        <f>'2012_2020'!AF23</f>
        <v>-2.02E-4</v>
      </c>
      <c r="AI85">
        <f>'2012_2020'!AG23</f>
        <v>-8.1600000000000006E-3</v>
      </c>
      <c r="AJ85">
        <f>'2012_2020'!AH23</f>
        <v>-2.6599999999999999E-2</v>
      </c>
      <c r="AK85">
        <f>'2012_2020'!AI23</f>
        <v>-4.3799999999999999E-2</v>
      </c>
      <c r="AL85">
        <f>'2012_2020'!AJ23</f>
        <v>-5.8000000000000003E-2</v>
      </c>
      <c r="AM85">
        <f>'2012_2020'!AK23</f>
        <v>-5.5800000000000002E-2</v>
      </c>
      <c r="AN85">
        <f>'2012_2020'!AL23</f>
        <v>-4.3999999999999997E-2</v>
      </c>
      <c r="AO85">
        <f>'2012_2020'!AM23</f>
        <v>-4.6100000000000002E-2</v>
      </c>
      <c r="AP85">
        <f>'2012_2020'!AN23</f>
        <v>-6.2100000000000002E-2</v>
      </c>
      <c r="AQ85">
        <f>'2012_2020'!AO23</f>
        <v>-4.5699999999999998E-2</v>
      </c>
      <c r="AR85">
        <f>'2012_2020'!AP23</f>
        <v>-4.7899999999999998E-2</v>
      </c>
      <c r="AS85">
        <f>'2012_2020'!AQ23</f>
        <v>-7.0699999999999999E-3</v>
      </c>
      <c r="AT85">
        <f>'2012_2020'!AR23</f>
        <v>-8.5800000000000008E-3</v>
      </c>
      <c r="AU85">
        <f>'2012_2020'!AS23</f>
        <v>-3.6800000000000001E-3</v>
      </c>
      <c r="AV85">
        <f>'2012_2020'!AT23</f>
        <v>-4.2299999999999997E-2</v>
      </c>
      <c r="AW85">
        <f>'2012_2020'!AU23</f>
        <v>-4.7699999999999999E-2</v>
      </c>
      <c r="AX85">
        <f>'2012_2020'!AV23</f>
        <v>-5.0799999999999998E-2</v>
      </c>
      <c r="AY85">
        <f>'2012_2020'!AW23</f>
        <v>-1.1299999999999999E-2</v>
      </c>
      <c r="AZ85">
        <f>'2012_2020'!AX23</f>
        <v>-1.49E-2</v>
      </c>
      <c r="BA85">
        <f>'2012_2020'!AY23</f>
        <v>1.5299999999999999E-2</v>
      </c>
      <c r="BB85">
        <f>'2012_2020'!AZ23</f>
        <v>2.9100000000000001E-2</v>
      </c>
      <c r="BC85">
        <f>'2012_2020'!BA23</f>
        <v>5.8099999999999999E-2</v>
      </c>
      <c r="BD85">
        <f>'2012_2020'!BB23</f>
        <v>6.3899999999999998E-2</v>
      </c>
      <c r="BE85">
        <f>'2012_2020'!BC23</f>
        <v>7.4300000000000005E-2</v>
      </c>
      <c r="BF85">
        <f>'2012_2020'!BD23</f>
        <v>6.9000000000000006E-2</v>
      </c>
      <c r="BG85">
        <f>'2012_2020'!BE23</f>
        <v>3.7199999999999997E-2</v>
      </c>
      <c r="BH85">
        <f>'2012_2020'!BF23</f>
        <v>-4.1900000000000001E-3</v>
      </c>
      <c r="BI85">
        <f>'2012_2020'!BG23</f>
        <v>-3.6299999999999999E-2</v>
      </c>
      <c r="BJ85">
        <f>'2012_2020'!BH23</f>
        <v>-5.91E-2</v>
      </c>
      <c r="BK85">
        <f>'2012_2020'!BI23</f>
        <v>-6.7199999999999996E-2</v>
      </c>
      <c r="BL85">
        <f>'2012_2020'!BJ23</f>
        <v>-4.1700000000000001E-2</v>
      </c>
      <c r="BM85">
        <f>'2012_2020'!BK23</f>
        <v>-3.0800000000000001E-2</v>
      </c>
      <c r="BN85">
        <f>'2012_2020'!BL23</f>
        <v>7.7600000000000004E-3</v>
      </c>
      <c r="BO85">
        <f>'2012_2020'!BM23</f>
        <v>0.10100000000000001</v>
      </c>
      <c r="BP85">
        <f>'2012_2020'!BN23</f>
        <v>0.183</v>
      </c>
      <c r="BQ85">
        <f>'2012_2020'!BO23</f>
        <v>0.17699999999999999</v>
      </c>
      <c r="BR85">
        <f>'2012_2020'!BP23</f>
        <v>0.13300000000000001</v>
      </c>
      <c r="BS85">
        <f>'2012_2020'!BQ23</f>
        <v>0.11700000000000001</v>
      </c>
      <c r="BT85">
        <f>'2012_2020'!BR23</f>
        <v>0.114</v>
      </c>
      <c r="BU85">
        <f>'2012_2020'!BS23</f>
        <v>4.4999999999999998E-2</v>
      </c>
      <c r="BV85">
        <f>'2012_2020'!BT23</f>
        <v>-0.111</v>
      </c>
      <c r="BW85">
        <f>'2012_2020'!BU23</f>
        <v>-0.16300000000000001</v>
      </c>
      <c r="BX85">
        <f>'2012_2020'!BV23</f>
        <v>-0.104</v>
      </c>
      <c r="BY85">
        <f>'2012_2020'!BW23</f>
        <v>-3.2500000000000001E-2</v>
      </c>
      <c r="BZ85">
        <f>'2012_2020'!BX23</f>
        <v>3.0300000000000001E-3</v>
      </c>
      <c r="CA85">
        <f>'2012_2020'!BY23</f>
        <v>-1.0999999999999999E-2</v>
      </c>
      <c r="CB85">
        <f>'2012_2020'!BZ23</f>
        <v>-6.8199999999999997E-3</v>
      </c>
      <c r="CC85">
        <f>'2012_2020'!CA23</f>
        <v>1.38E-2</v>
      </c>
      <c r="CD85">
        <f>'2012_2020'!CB23</f>
        <v>9.9400000000000002E-2</v>
      </c>
      <c r="CE85">
        <f>'2012_2020'!CC23</f>
        <v>0.188</v>
      </c>
      <c r="CF85">
        <f>'2012_2020'!CD23</f>
        <v>0.20899999999999999</v>
      </c>
      <c r="CG85">
        <f>'2012_2020'!CE23</f>
        <v>0.126</v>
      </c>
      <c r="CH85">
        <f>'2012_2020'!CF23</f>
        <v>-7.5399999999999995E-2</v>
      </c>
      <c r="CI85">
        <f>'2012_2020'!CG23</f>
        <v>-0.17100000000000001</v>
      </c>
      <c r="CJ85">
        <f>'2012_2020'!CH23</f>
        <v>-0.158</v>
      </c>
      <c r="CK85">
        <f>'2012_2020'!CI23</f>
        <v>0.19800000000000001</v>
      </c>
      <c r="CL85">
        <f>'2012_2020'!CJ23</f>
        <v>0.26100000000000001</v>
      </c>
      <c r="CM85">
        <f>'2012_2020'!CK23</f>
        <v>0.20100000000000001</v>
      </c>
      <c r="CN85">
        <f>'2012_2020'!CL23</f>
        <v>0.106</v>
      </c>
      <c r="CO85">
        <f>'2012_2020'!CM23</f>
        <v>0.11700000000000001</v>
      </c>
      <c r="CP85">
        <f>'2012_2020'!CN23</f>
        <v>0.18099999999999999</v>
      </c>
      <c r="CQ85">
        <f>'2012_2020'!CO23</f>
        <v>0.28399999999999997</v>
      </c>
      <c r="CR85">
        <f>'2012_2020'!CP23</f>
        <v>0.14099999999999999</v>
      </c>
      <c r="CS85">
        <f>'2012_2020'!CQ23</f>
        <v>4.1599999999999996E-3</v>
      </c>
      <c r="CT85">
        <f>'2012_2020'!CR23</f>
        <v>9.4899999999999998E-2</v>
      </c>
      <c r="CU85">
        <f>'2012_2020'!CS23</f>
        <v>-8.0199999999999994E-3</v>
      </c>
      <c r="CV85">
        <f>'2012_2020'!CT23</f>
        <v>0.34200000000000003</v>
      </c>
      <c r="CW85">
        <f>'2012_2020'!CU23</f>
        <v>-7.9399999999999991E-3</v>
      </c>
      <c r="CX85">
        <f>'2012_2020'!CV23</f>
        <v>3.6700000000000003E-2</v>
      </c>
    </row>
    <row r="86" spans="1:102" x14ac:dyDescent="0.2">
      <c r="A86" t="s">
        <v>208</v>
      </c>
      <c r="B86" t="s">
        <v>220</v>
      </c>
      <c r="C86" t="s">
        <v>222</v>
      </c>
      <c r="D86">
        <f>D69+D77</f>
        <v>7.46E-2</v>
      </c>
      <c r="E86">
        <f t="shared" ref="E86:BP93" si="15">E69+E77</f>
        <v>0.50760000000000005</v>
      </c>
      <c r="F86">
        <f t="shared" si="15"/>
        <v>0.81930000000000003</v>
      </c>
      <c r="G86">
        <f t="shared" si="15"/>
        <v>9.870000000000001E-2</v>
      </c>
      <c r="H86">
        <f t="shared" si="15"/>
        <v>0.92649999999999999</v>
      </c>
      <c r="I86">
        <f t="shared" si="15"/>
        <v>0.34490000000000004</v>
      </c>
      <c r="J86">
        <f t="shared" si="15"/>
        <v>0.5363</v>
      </c>
      <c r="K86">
        <f t="shared" si="15"/>
        <v>0.42369999999999997</v>
      </c>
      <c r="L86">
        <f t="shared" si="15"/>
        <v>0.26419999999999999</v>
      </c>
      <c r="M86">
        <f t="shared" si="15"/>
        <v>0.50790000000000002</v>
      </c>
      <c r="N86">
        <f t="shared" si="15"/>
        <v>0.41830000000000001</v>
      </c>
      <c r="O86">
        <f t="shared" si="15"/>
        <v>7.5600000000000001E-2</v>
      </c>
      <c r="P86">
        <f t="shared" si="15"/>
        <v>0.1396</v>
      </c>
      <c r="Q86">
        <f t="shared" si="15"/>
        <v>0.1318</v>
      </c>
      <c r="R86">
        <f t="shared" si="15"/>
        <v>0.1555</v>
      </c>
      <c r="S86">
        <f t="shared" si="15"/>
        <v>0.1464</v>
      </c>
      <c r="T86">
        <f t="shared" si="15"/>
        <v>8.2600000000000007E-2</v>
      </c>
      <c r="U86">
        <f t="shared" si="15"/>
        <v>5.4400000000000004E-2</v>
      </c>
      <c r="V86">
        <f t="shared" si="15"/>
        <v>2.18E-2</v>
      </c>
      <c r="W86">
        <f t="shared" si="15"/>
        <v>2.0499999999999997E-2</v>
      </c>
      <c r="X86">
        <f t="shared" si="15"/>
        <v>2.7500000000000004E-2</v>
      </c>
      <c r="Y86">
        <f t="shared" si="15"/>
        <v>-1.1499999999999996E-2</v>
      </c>
      <c r="Z86">
        <f t="shared" si="15"/>
        <v>-4.8000000000000057E-3</v>
      </c>
      <c r="AA86">
        <f t="shared" si="15"/>
        <v>1.8999999999999989E-3</v>
      </c>
      <c r="AB86">
        <f t="shared" si="15"/>
        <v>7.1000000000000021E-3</v>
      </c>
      <c r="AC86">
        <f t="shared" si="15"/>
        <v>9.2999999999999958E-3</v>
      </c>
      <c r="AD86">
        <f t="shared" si="15"/>
        <v>1.7899999999999996E-2</v>
      </c>
      <c r="AE86">
        <f t="shared" si="15"/>
        <v>2.6000000000000002E-2</v>
      </c>
      <c r="AF86">
        <f t="shared" si="15"/>
        <v>2.7099999999999999E-2</v>
      </c>
      <c r="AG86">
        <f t="shared" si="15"/>
        <v>2.8000000000000001E-2</v>
      </c>
      <c r="AH86">
        <f t="shared" si="15"/>
        <v>3.2000000000000001E-2</v>
      </c>
      <c r="AI86">
        <f t="shared" si="15"/>
        <v>3.9399999999999998E-2</v>
      </c>
      <c r="AJ86">
        <f t="shared" si="15"/>
        <v>4.555E-2</v>
      </c>
      <c r="AK86">
        <f t="shared" si="15"/>
        <v>5.0909999999999997E-2</v>
      </c>
      <c r="AL86">
        <f t="shared" si="15"/>
        <v>7.2900000000000006E-2</v>
      </c>
      <c r="AM86">
        <f t="shared" si="15"/>
        <v>8.2699999999999996E-2</v>
      </c>
      <c r="AN86">
        <f t="shared" si="15"/>
        <v>7.6999999999999999E-2</v>
      </c>
      <c r="AO86">
        <f t="shared" si="15"/>
        <v>6.3759999999999997E-2</v>
      </c>
      <c r="AP86">
        <f t="shared" si="15"/>
        <v>5.3600000000000009E-2</v>
      </c>
      <c r="AQ86">
        <f t="shared" si="15"/>
        <v>4.3399999999999994E-2</v>
      </c>
      <c r="AR86">
        <f t="shared" si="15"/>
        <v>4.1299999999999996E-2</v>
      </c>
      <c r="AS86">
        <f t="shared" si="15"/>
        <v>2.93E-2</v>
      </c>
      <c r="AT86">
        <f t="shared" si="15"/>
        <v>2.8000000000000004E-2</v>
      </c>
      <c r="AU86">
        <f t="shared" si="15"/>
        <v>2.8500000000000004E-2</v>
      </c>
      <c r="AV86">
        <f t="shared" si="15"/>
        <v>2.86E-2</v>
      </c>
      <c r="AW86">
        <f t="shared" si="15"/>
        <v>3.4800000000000005E-2</v>
      </c>
      <c r="AX86">
        <f t="shared" si="15"/>
        <v>3.8299999999999994E-2</v>
      </c>
      <c r="AY86">
        <f t="shared" si="15"/>
        <v>2.9500000000000005E-2</v>
      </c>
      <c r="AZ86">
        <f t="shared" si="15"/>
        <v>3.3399999999999992E-2</v>
      </c>
      <c r="BA86">
        <f t="shared" si="15"/>
        <v>2.4899999999999992E-2</v>
      </c>
      <c r="BB86">
        <f t="shared" si="15"/>
        <v>2.579999999999999E-2</v>
      </c>
      <c r="BC86">
        <f t="shared" si="15"/>
        <v>3.7999999999999978E-3</v>
      </c>
      <c r="BD86">
        <f t="shared" si="15"/>
        <v>-2.1000000000000005E-2</v>
      </c>
      <c r="BE86">
        <f t="shared" si="15"/>
        <v>-3.599999999999999E-2</v>
      </c>
      <c r="BF86">
        <f t="shared" si="15"/>
        <v>-1.2999999999999998E-2</v>
      </c>
      <c r="BG86">
        <f t="shared" si="15"/>
        <v>-1.4000000000000012E-2</v>
      </c>
      <c r="BH86">
        <f t="shared" si="15"/>
        <v>2.0000000000000018E-3</v>
      </c>
      <c r="BI86">
        <f t="shared" si="15"/>
        <v>2.5800000000000003E-2</v>
      </c>
      <c r="BJ86">
        <f t="shared" si="15"/>
        <v>3.7099999999999994E-2</v>
      </c>
      <c r="BK86">
        <f t="shared" si="15"/>
        <v>5.8899999999999994E-2</v>
      </c>
      <c r="BL86">
        <f t="shared" si="15"/>
        <v>6.6199999999999995E-2</v>
      </c>
      <c r="BM86">
        <f t="shared" si="15"/>
        <v>4.2200000000000001E-2</v>
      </c>
      <c r="BN86">
        <f t="shared" si="15"/>
        <v>1.2000000000000011E-2</v>
      </c>
      <c r="BO86">
        <f t="shared" si="15"/>
        <v>-0.03</v>
      </c>
      <c r="BP86">
        <f t="shared" si="15"/>
        <v>-6.0999999999999999E-2</v>
      </c>
      <c r="BQ86">
        <f t="shared" ref="BQ86:CX93" si="16">BQ69+BQ77</f>
        <v>-7.2000000000000008E-2</v>
      </c>
      <c r="BR86">
        <f t="shared" si="16"/>
        <v>-6.9000000000000006E-2</v>
      </c>
      <c r="BS86">
        <f t="shared" si="16"/>
        <v>-8.0000000000000016E-2</v>
      </c>
      <c r="BT86">
        <f t="shared" si="16"/>
        <v>-8.7000000000000022E-2</v>
      </c>
      <c r="BU86">
        <f t="shared" si="16"/>
        <v>-4.5000000000000012E-2</v>
      </c>
      <c r="BV86">
        <f t="shared" si="16"/>
        <v>4.4999999999999998E-2</v>
      </c>
      <c r="BW86">
        <f t="shared" si="16"/>
        <v>8.1100000000000005E-2</v>
      </c>
      <c r="BX86">
        <f t="shared" si="16"/>
        <v>5.6999999999999981E-2</v>
      </c>
      <c r="BY86">
        <f t="shared" si="16"/>
        <v>4.0000000000000036E-3</v>
      </c>
      <c r="BZ86">
        <f t="shared" si="16"/>
        <v>-1.5000000000000013E-2</v>
      </c>
      <c r="CA86">
        <f t="shared" si="16"/>
        <v>-3.2000000000000001E-2</v>
      </c>
      <c r="CB86">
        <f t="shared" si="16"/>
        <v>-8.0000000000000071E-3</v>
      </c>
      <c r="CC86">
        <f t="shared" si="16"/>
        <v>-4.1000000000000009E-2</v>
      </c>
      <c r="CD86">
        <f t="shared" si="16"/>
        <v>-8.5999999999999965E-2</v>
      </c>
      <c r="CE86">
        <f t="shared" si="16"/>
        <v>-0.12400000000000003</v>
      </c>
      <c r="CF86">
        <f t="shared" si="16"/>
        <v>-0.161</v>
      </c>
      <c r="CG86">
        <f t="shared" si="16"/>
        <v>-0.13799999999999998</v>
      </c>
      <c r="CH86">
        <f t="shared" si="16"/>
        <v>-1.5999999999999986E-2</v>
      </c>
      <c r="CI86">
        <f t="shared" si="16"/>
        <v>6.8000000000000005E-2</v>
      </c>
      <c r="CJ86">
        <f t="shared" si="16"/>
        <v>6.7000000000000004E-2</v>
      </c>
      <c r="CK86">
        <f t="shared" si="16"/>
        <v>-0.15100000000000002</v>
      </c>
      <c r="CL86">
        <f t="shared" si="16"/>
        <v>-0.17899999999999999</v>
      </c>
      <c r="CM86">
        <f t="shared" si="16"/>
        <v>-0.18</v>
      </c>
      <c r="CN86">
        <f t="shared" si="16"/>
        <v>-0.11699999999999999</v>
      </c>
      <c r="CO86">
        <f t="shared" si="16"/>
        <v>-0.122</v>
      </c>
      <c r="CP86">
        <f t="shared" si="16"/>
        <v>-0.13999999999999999</v>
      </c>
      <c r="CQ86">
        <f t="shared" si="16"/>
        <v>-0.249</v>
      </c>
      <c r="CR86">
        <f t="shared" si="16"/>
        <v>-0.14999999999999997</v>
      </c>
      <c r="CS86">
        <f t="shared" si="16"/>
        <v>-7.8000000000000014E-2</v>
      </c>
      <c r="CT86">
        <f t="shared" si="16"/>
        <v>-0.13699999999999996</v>
      </c>
      <c r="CU86">
        <f t="shared" si="16"/>
        <v>-2.5999999999999995E-2</v>
      </c>
      <c r="CV86">
        <f t="shared" si="16"/>
        <v>-0.2</v>
      </c>
      <c r="CW86">
        <f t="shared" si="16"/>
        <v>-3.8000000000000034E-2</v>
      </c>
      <c r="CX86">
        <f t="shared" si="16"/>
        <v>-8.8999999999999996E-2</v>
      </c>
    </row>
    <row r="87" spans="1:102" x14ac:dyDescent="0.2">
      <c r="A87" t="s">
        <v>209</v>
      </c>
      <c r="B87" t="s">
        <v>220</v>
      </c>
      <c r="C87" t="s">
        <v>222</v>
      </c>
      <c r="D87">
        <f t="shared" ref="D87:BO90" si="17">D70+D78</f>
        <v>-0.1095</v>
      </c>
      <c r="E87">
        <f t="shared" si="17"/>
        <v>-6.8599999999999994E-2</v>
      </c>
      <c r="F87">
        <f t="shared" si="17"/>
        <v>-5.6199999999999993E-2</v>
      </c>
      <c r="G87">
        <f t="shared" si="17"/>
        <v>-0.22199999999999998</v>
      </c>
      <c r="H87">
        <f t="shared" si="17"/>
        <v>1.7129999999999999E-2</v>
      </c>
      <c r="I87">
        <f t="shared" si="17"/>
        <v>-0.15310000000000001</v>
      </c>
      <c r="J87">
        <f t="shared" si="17"/>
        <v>-5.1000000000000004E-2</v>
      </c>
      <c r="K87">
        <f t="shared" si="17"/>
        <v>-3.2199999999999999E-2</v>
      </c>
      <c r="L87">
        <f t="shared" si="17"/>
        <v>-7.1199999999999999E-2</v>
      </c>
      <c r="M87">
        <f t="shared" si="17"/>
        <v>4.9399999999999999E-2</v>
      </c>
      <c r="N87">
        <f t="shared" si="17"/>
        <v>7.3800000000000004E-2</v>
      </c>
      <c r="O87">
        <f t="shared" si="17"/>
        <v>-5.2699999999999997E-2</v>
      </c>
      <c r="P87">
        <f t="shared" si="17"/>
        <v>8.3800000000000003E-3</v>
      </c>
      <c r="Q87">
        <f t="shared" si="17"/>
        <v>1.338E-2</v>
      </c>
      <c r="R87">
        <f t="shared" si="17"/>
        <v>2.479E-2</v>
      </c>
      <c r="S87">
        <f t="shared" si="17"/>
        <v>2.3710000000000002E-2</v>
      </c>
      <c r="T87">
        <f t="shared" si="17"/>
        <v>-7.1300000000000009E-3</v>
      </c>
      <c r="U87">
        <f t="shared" si="17"/>
        <v>-1.1359999999999999E-2</v>
      </c>
      <c r="V87">
        <f t="shared" si="17"/>
        <v>-1.7770000000000001E-2</v>
      </c>
      <c r="W87">
        <f t="shared" si="17"/>
        <v>-4.5399999999999989E-3</v>
      </c>
      <c r="X87">
        <f t="shared" si="17"/>
        <v>1.2500000000000002E-3</v>
      </c>
      <c r="Y87">
        <f t="shared" si="17"/>
        <v>-2.5209999999999996E-2</v>
      </c>
      <c r="Z87">
        <f t="shared" si="17"/>
        <v>-2.64E-2</v>
      </c>
      <c r="AA87">
        <f t="shared" si="17"/>
        <v>-1.3919999999999998E-2</v>
      </c>
      <c r="AB87">
        <f t="shared" si="17"/>
        <v>-5.0700000000000016E-3</v>
      </c>
      <c r="AC87">
        <f t="shared" si="17"/>
        <v>1.3700000000000014E-3</v>
      </c>
      <c r="AD87">
        <f t="shared" si="17"/>
        <v>7.5099999999999993E-3</v>
      </c>
      <c r="AE87">
        <f t="shared" si="17"/>
        <v>1.243E-2</v>
      </c>
      <c r="AF87">
        <f t="shared" si="17"/>
        <v>1.6230000000000001E-2</v>
      </c>
      <c r="AG87">
        <f t="shared" si="17"/>
        <v>2.2699999999999998E-2</v>
      </c>
      <c r="AH87">
        <f t="shared" si="17"/>
        <v>3.8399999999999997E-2</v>
      </c>
      <c r="AI87">
        <f t="shared" si="17"/>
        <v>4.4999999999999998E-2</v>
      </c>
      <c r="AJ87">
        <f t="shared" si="17"/>
        <v>5.57E-2</v>
      </c>
      <c r="AK87">
        <f t="shared" si="17"/>
        <v>6.6000000000000003E-2</v>
      </c>
      <c r="AL87">
        <f t="shared" si="17"/>
        <v>8.1900000000000001E-2</v>
      </c>
      <c r="AM87">
        <f t="shared" si="17"/>
        <v>8.2400000000000001E-2</v>
      </c>
      <c r="AN87">
        <f t="shared" si="17"/>
        <v>8.5400000000000004E-2</v>
      </c>
      <c r="AO87">
        <f t="shared" si="17"/>
        <v>7.8899999999999998E-2</v>
      </c>
      <c r="AP87">
        <f t="shared" si="17"/>
        <v>0.08</v>
      </c>
      <c r="AQ87">
        <f t="shared" si="17"/>
        <v>7.8899999999999998E-2</v>
      </c>
      <c r="AR87">
        <f t="shared" si="17"/>
        <v>7.9199999999999993E-2</v>
      </c>
      <c r="AS87">
        <f t="shared" si="17"/>
        <v>6.25E-2</v>
      </c>
      <c r="AT87">
        <f t="shared" si="17"/>
        <v>6.3299999999999995E-2</v>
      </c>
      <c r="AU87">
        <f t="shared" si="17"/>
        <v>6.2600000000000003E-2</v>
      </c>
      <c r="AV87">
        <f t="shared" si="17"/>
        <v>6.8500000000000005E-2</v>
      </c>
      <c r="AW87">
        <f t="shared" si="17"/>
        <v>6.6600000000000006E-2</v>
      </c>
      <c r="AX87">
        <f t="shared" si="17"/>
        <v>6.3299999999999995E-2</v>
      </c>
      <c r="AY87">
        <f t="shared" si="17"/>
        <v>5.3900000000000003E-2</v>
      </c>
      <c r="AZ87">
        <f t="shared" si="17"/>
        <v>5.9900000000000002E-2</v>
      </c>
      <c r="BA87">
        <f t="shared" si="17"/>
        <v>5.33E-2</v>
      </c>
      <c r="BB87">
        <f t="shared" si="17"/>
        <v>6.3399999999999998E-2</v>
      </c>
      <c r="BC87">
        <f t="shared" si="17"/>
        <v>3.9699999999999999E-2</v>
      </c>
      <c r="BD87">
        <f t="shared" si="17"/>
        <v>2.0548E-2</v>
      </c>
      <c r="BE87">
        <f t="shared" si="17"/>
        <v>2.0414000000000002E-2</v>
      </c>
      <c r="BF87">
        <f t="shared" si="17"/>
        <v>3.4200000000000001E-2</v>
      </c>
      <c r="BG87">
        <f t="shared" si="17"/>
        <v>4.3400000000000001E-2</v>
      </c>
      <c r="BH87">
        <f t="shared" si="17"/>
        <v>5.9899999999999995E-2</v>
      </c>
      <c r="BI87">
        <f t="shared" si="17"/>
        <v>8.2400000000000001E-2</v>
      </c>
      <c r="BJ87">
        <f t="shared" si="17"/>
        <v>8.3299999999999999E-2</v>
      </c>
      <c r="BK87">
        <f t="shared" si="17"/>
        <v>9.7200000000000009E-2</v>
      </c>
      <c r="BL87">
        <f t="shared" si="17"/>
        <v>0.1041</v>
      </c>
      <c r="BM87">
        <f t="shared" si="17"/>
        <v>9.5700000000000007E-2</v>
      </c>
      <c r="BN87">
        <f t="shared" si="17"/>
        <v>5.1900000000000002E-2</v>
      </c>
      <c r="BO87">
        <f t="shared" si="17"/>
        <v>9.9999999999999985E-3</v>
      </c>
      <c r="BP87">
        <f t="shared" si="15"/>
        <v>-1.6800000000000002E-2</v>
      </c>
      <c r="BQ87">
        <f t="shared" si="16"/>
        <v>-2.5700000000000001E-2</v>
      </c>
      <c r="BR87">
        <f t="shared" si="16"/>
        <v>-2.5900000000000003E-2</v>
      </c>
      <c r="BS87">
        <f t="shared" si="16"/>
        <v>-3.2899999999999999E-2</v>
      </c>
      <c r="BT87">
        <f t="shared" si="16"/>
        <v>-4.02E-2</v>
      </c>
      <c r="BU87">
        <f t="shared" si="16"/>
        <v>9.9999999999999985E-3</v>
      </c>
      <c r="BV87">
        <f t="shared" si="16"/>
        <v>0.1164</v>
      </c>
      <c r="BW87">
        <f t="shared" si="16"/>
        <v>0.15540000000000001</v>
      </c>
      <c r="BX87">
        <f t="shared" si="16"/>
        <v>0.13009999999999999</v>
      </c>
      <c r="BY87">
        <f t="shared" si="16"/>
        <v>9.1799999999999993E-2</v>
      </c>
      <c r="BZ87">
        <f t="shared" si="16"/>
        <v>6.93E-2</v>
      </c>
      <c r="CA87">
        <f t="shared" si="16"/>
        <v>4.9299999999999997E-2</v>
      </c>
      <c r="CB87">
        <f t="shared" si="16"/>
        <v>8.2299999999999998E-2</v>
      </c>
      <c r="CC87">
        <f t="shared" si="16"/>
        <v>5.3900000000000003E-2</v>
      </c>
      <c r="CD87">
        <f t="shared" si="16"/>
        <v>1.1999999999999997E-3</v>
      </c>
      <c r="CE87">
        <f t="shared" si="16"/>
        <v>-1.9000000000000003E-2</v>
      </c>
      <c r="CF87">
        <f t="shared" si="16"/>
        <v>-5.3200000000000004E-2</v>
      </c>
      <c r="CG87">
        <f t="shared" si="16"/>
        <v>-2.9700000000000004E-2</v>
      </c>
      <c r="CH87">
        <f t="shared" si="16"/>
        <v>9.06E-2</v>
      </c>
      <c r="CI87">
        <f t="shared" si="16"/>
        <v>0.1729</v>
      </c>
      <c r="CJ87">
        <f t="shared" si="16"/>
        <v>0.20130000000000001</v>
      </c>
      <c r="CK87">
        <f t="shared" si="16"/>
        <v>-2.4100000000000003E-2</v>
      </c>
      <c r="CL87">
        <f t="shared" si="16"/>
        <v>-6.8399999999999989E-2</v>
      </c>
      <c r="CM87">
        <f t="shared" si="16"/>
        <v>-7.5200000000000003E-2</v>
      </c>
      <c r="CN87">
        <f t="shared" si="16"/>
        <v>2.2000000000000002E-2</v>
      </c>
      <c r="CO87">
        <f t="shared" si="16"/>
        <v>2.0400000000000001E-2</v>
      </c>
      <c r="CP87">
        <f t="shared" si="16"/>
        <v>-1.0600000000000005E-2</v>
      </c>
      <c r="CQ87">
        <f t="shared" si="16"/>
        <v>-0.11960000000000001</v>
      </c>
      <c r="CR87">
        <f t="shared" si="16"/>
        <v>1.8499999999999999E-2</v>
      </c>
      <c r="CS87">
        <f t="shared" si="16"/>
        <v>9.8500000000000004E-2</v>
      </c>
      <c r="CT87">
        <f t="shared" si="16"/>
        <v>2.7900000000000001E-2</v>
      </c>
      <c r="CU87">
        <f t="shared" si="16"/>
        <v>0.10009999999999999</v>
      </c>
      <c r="CV87">
        <f t="shared" si="16"/>
        <v>-0.12290000000000001</v>
      </c>
      <c r="CW87">
        <f t="shared" si="16"/>
        <v>6.5700000000000008E-2</v>
      </c>
      <c r="CX87">
        <f t="shared" si="16"/>
        <v>-2.3E-2</v>
      </c>
    </row>
    <row r="88" spans="1:102" x14ac:dyDescent="0.2">
      <c r="A88" t="s">
        <v>210</v>
      </c>
      <c r="B88" t="s">
        <v>220</v>
      </c>
      <c r="C88" t="s">
        <v>222</v>
      </c>
      <c r="D88">
        <f t="shared" si="17"/>
        <v>7.281E-2</v>
      </c>
      <c r="E88">
        <f t="shared" si="17"/>
        <v>6.0580000000000009E-2</v>
      </c>
      <c r="F88">
        <f t="shared" si="17"/>
        <v>3.0330000000000003E-2</v>
      </c>
      <c r="G88">
        <f t="shared" si="17"/>
        <v>5.4529999999999995E-2</v>
      </c>
      <c r="H88">
        <f t="shared" si="17"/>
        <v>-1.4409999999999999E-2</v>
      </c>
      <c r="I88">
        <f t="shared" si="17"/>
        <v>2.6029999999999998E-2</v>
      </c>
      <c r="J88">
        <f t="shared" si="17"/>
        <v>4.7800000000000004E-3</v>
      </c>
      <c r="K88">
        <f t="shared" si="17"/>
        <v>-1.0000000000000026E-4</v>
      </c>
      <c r="L88">
        <f t="shared" si="17"/>
        <v>5.96E-3</v>
      </c>
      <c r="M88">
        <f t="shared" si="17"/>
        <v>-1.951E-2</v>
      </c>
      <c r="N88">
        <f t="shared" si="17"/>
        <v>-1.6150000000000001E-2</v>
      </c>
      <c r="O88">
        <f t="shared" si="17"/>
        <v>6.2100000000000002E-3</v>
      </c>
      <c r="P88">
        <f t="shared" si="17"/>
        <v>-1.7130000000000001E-3</v>
      </c>
      <c r="Q88">
        <f t="shared" si="17"/>
        <v>-3.8300000000000001E-3</v>
      </c>
      <c r="R88">
        <f t="shared" si="17"/>
        <v>-6.0400000000000002E-3</v>
      </c>
      <c r="S88">
        <f t="shared" si="17"/>
        <v>-5.45E-3</v>
      </c>
      <c r="T88">
        <f t="shared" si="17"/>
        <v>2.2999999999999995E-4</v>
      </c>
      <c r="U88">
        <f t="shared" si="17"/>
        <v>5.8999999999999981E-4</v>
      </c>
      <c r="V88">
        <f t="shared" si="17"/>
        <v>3.3099999999999996E-3</v>
      </c>
      <c r="W88">
        <f t="shared" si="17"/>
        <v>1.91E-3</v>
      </c>
      <c r="X88">
        <f t="shared" si="17"/>
        <v>2.4300000000000003E-3</v>
      </c>
      <c r="Y88">
        <f t="shared" si="17"/>
        <v>6.8199999999999997E-3</v>
      </c>
      <c r="Z88">
        <f t="shared" si="17"/>
        <v>6.389999999999999E-3</v>
      </c>
      <c r="AA88">
        <f t="shared" si="17"/>
        <v>6.7299999999999999E-3</v>
      </c>
      <c r="AB88">
        <f t="shared" si="17"/>
        <v>6.0300000000000006E-3</v>
      </c>
      <c r="AC88">
        <f t="shared" si="17"/>
        <v>6.5899999999999995E-3</v>
      </c>
      <c r="AD88">
        <f t="shared" si="17"/>
        <v>6.8000000000000005E-3</v>
      </c>
      <c r="AE88">
        <f t="shared" si="17"/>
        <v>6.2300000000000012E-3</v>
      </c>
      <c r="AF88">
        <f t="shared" si="17"/>
        <v>5.9000000000000007E-3</v>
      </c>
      <c r="AG88">
        <f t="shared" si="17"/>
        <v>5.2700000000000004E-3</v>
      </c>
      <c r="AH88">
        <f t="shared" si="17"/>
        <v>5.3699999999999998E-3</v>
      </c>
      <c r="AI88">
        <f t="shared" si="17"/>
        <v>5.0400000000000002E-3</v>
      </c>
      <c r="AJ88">
        <f t="shared" si="17"/>
        <v>4.0600000000000002E-3</v>
      </c>
      <c r="AK88">
        <f t="shared" si="17"/>
        <v>1.9599999999999995E-3</v>
      </c>
      <c r="AL88">
        <f t="shared" si="17"/>
        <v>-8.1999999999999998E-4</v>
      </c>
      <c r="AM88">
        <f t="shared" si="17"/>
        <v>-4.2999999999999983E-4</v>
      </c>
      <c r="AN88">
        <f t="shared" si="17"/>
        <v>1.2999999999999991E-4</v>
      </c>
      <c r="AO88">
        <f t="shared" si="17"/>
        <v>1.4700000000000004E-3</v>
      </c>
      <c r="AP88">
        <f t="shared" si="17"/>
        <v>3.2099999999999997E-3</v>
      </c>
      <c r="AQ88">
        <f t="shared" si="17"/>
        <v>5.9900000000000005E-3</v>
      </c>
      <c r="AR88">
        <f t="shared" si="17"/>
        <v>8.8500000000000002E-3</v>
      </c>
      <c r="AS88">
        <f t="shared" si="17"/>
        <v>1.133E-2</v>
      </c>
      <c r="AT88">
        <f t="shared" si="17"/>
        <v>1.106E-2</v>
      </c>
      <c r="AU88">
        <f t="shared" si="17"/>
        <v>1.0829999999999999E-2</v>
      </c>
      <c r="AV88">
        <f t="shared" si="17"/>
        <v>8.8400000000000006E-3</v>
      </c>
      <c r="AW88">
        <f t="shared" si="17"/>
        <v>9.1199999999999996E-3</v>
      </c>
      <c r="AX88">
        <f t="shared" si="17"/>
        <v>8.5000000000000006E-3</v>
      </c>
      <c r="AY88">
        <f t="shared" si="17"/>
        <v>8.879999999999999E-3</v>
      </c>
      <c r="AZ88">
        <f t="shared" si="17"/>
        <v>6.4000000000000003E-3</v>
      </c>
      <c r="BA88">
        <f t="shared" si="17"/>
        <v>6.8400000000000006E-3</v>
      </c>
      <c r="BB88">
        <f t="shared" si="17"/>
        <v>5.9500000000000004E-3</v>
      </c>
      <c r="BC88">
        <f t="shared" si="17"/>
        <v>1.1299999999999999E-2</v>
      </c>
      <c r="BD88">
        <f t="shared" si="17"/>
        <v>1.277E-2</v>
      </c>
      <c r="BE88">
        <f t="shared" si="17"/>
        <v>1.3859999999999999E-2</v>
      </c>
      <c r="BF88">
        <f t="shared" si="17"/>
        <v>1.0409999999999999E-2</v>
      </c>
      <c r="BG88">
        <f t="shared" si="17"/>
        <v>9.0799999999999995E-3</v>
      </c>
      <c r="BH88">
        <f t="shared" si="17"/>
        <v>5.7199999999999994E-3</v>
      </c>
      <c r="BI88">
        <f t="shared" si="17"/>
        <v>3.0800000000000003E-3</v>
      </c>
      <c r="BJ88">
        <f t="shared" si="17"/>
        <v>4.7000000000000002E-3</v>
      </c>
      <c r="BK88">
        <f t="shared" si="17"/>
        <v>8.399999999999996E-4</v>
      </c>
      <c r="BL88">
        <f t="shared" si="17"/>
        <v>-8.7999999999999971E-4</v>
      </c>
      <c r="BM88">
        <f t="shared" si="17"/>
        <v>3.8299999999999992E-3</v>
      </c>
      <c r="BN88">
        <f t="shared" si="17"/>
        <v>1.2889999999999999E-2</v>
      </c>
      <c r="BO88">
        <f t="shared" si="17"/>
        <v>1.908E-2</v>
      </c>
      <c r="BP88">
        <f t="shared" si="15"/>
        <v>2.5660000000000002E-2</v>
      </c>
      <c r="BQ88">
        <f t="shared" si="16"/>
        <v>2.6340000000000002E-2</v>
      </c>
      <c r="BR88">
        <f t="shared" si="16"/>
        <v>2.529E-2</v>
      </c>
      <c r="BS88">
        <f t="shared" si="16"/>
        <v>2.4509999999999997E-2</v>
      </c>
      <c r="BT88">
        <f t="shared" si="16"/>
        <v>2.317E-2</v>
      </c>
      <c r="BU88">
        <f t="shared" si="16"/>
        <v>1.4240000000000003E-2</v>
      </c>
      <c r="BV88">
        <f t="shared" si="16"/>
        <v>-3.4499999999999999E-3</v>
      </c>
      <c r="BW88">
        <f t="shared" si="16"/>
        <v>-9.6299999999999997E-3</v>
      </c>
      <c r="BX88">
        <f t="shared" si="16"/>
        <v>-5.2009999999999999E-3</v>
      </c>
      <c r="BY88">
        <f t="shared" si="16"/>
        <v>5.94E-3</v>
      </c>
      <c r="BZ88">
        <f t="shared" si="16"/>
        <v>1.1390000000000001E-2</v>
      </c>
      <c r="CA88">
        <f t="shared" si="16"/>
        <v>1.2450000000000001E-2</v>
      </c>
      <c r="CB88">
        <f t="shared" si="16"/>
        <v>1.8399999999999996E-3</v>
      </c>
      <c r="CC88">
        <f t="shared" si="16"/>
        <v>4.9499999999999995E-3</v>
      </c>
      <c r="CD88">
        <f t="shared" si="16"/>
        <v>1.5919999999999997E-2</v>
      </c>
      <c r="CE88">
        <f t="shared" si="16"/>
        <v>1.8169999999999999E-2</v>
      </c>
      <c r="CF88">
        <f t="shared" si="16"/>
        <v>2.5520000000000001E-2</v>
      </c>
      <c r="CG88">
        <f t="shared" si="16"/>
        <v>1.8970000000000001E-2</v>
      </c>
      <c r="CH88">
        <f t="shared" si="16"/>
        <v>-3.9500000000000004E-3</v>
      </c>
      <c r="CI88">
        <f t="shared" si="16"/>
        <v>-2.3720000000000001E-2</v>
      </c>
      <c r="CJ88">
        <f t="shared" si="16"/>
        <v>-3.0850000000000002E-2</v>
      </c>
      <c r="CK88">
        <f t="shared" si="16"/>
        <v>1.5489999999999999E-2</v>
      </c>
      <c r="CL88">
        <f t="shared" si="16"/>
        <v>2.6610000000000002E-2</v>
      </c>
      <c r="CM88">
        <f t="shared" si="16"/>
        <v>2.5830000000000002E-2</v>
      </c>
      <c r="CN88">
        <f t="shared" si="16"/>
        <v>2.3999999999999994E-3</v>
      </c>
      <c r="CO88">
        <f t="shared" si="16"/>
        <v>6.9999999999999993E-3</v>
      </c>
      <c r="CP88">
        <f t="shared" si="16"/>
        <v>1.094E-2</v>
      </c>
      <c r="CQ88">
        <f t="shared" si="16"/>
        <v>3.2600000000000004E-2</v>
      </c>
      <c r="CR88">
        <f t="shared" si="16"/>
        <v>-7.8800000000000016E-3</v>
      </c>
      <c r="CS88">
        <f t="shared" si="16"/>
        <v>-3.6049999999999999E-2</v>
      </c>
      <c r="CT88">
        <f t="shared" si="16"/>
        <v>-7.1600000000000006E-3</v>
      </c>
      <c r="CU88">
        <f t="shared" si="16"/>
        <v>-4.4690000000000001E-2</v>
      </c>
      <c r="CV88">
        <f t="shared" si="16"/>
        <v>6.8099999999999983E-3</v>
      </c>
      <c r="CW88">
        <f t="shared" si="16"/>
        <v>-3.8190000000000002E-2</v>
      </c>
      <c r="CX88">
        <f t="shared" si="16"/>
        <v>3.245E-2</v>
      </c>
    </row>
    <row r="89" spans="1:102" x14ac:dyDescent="0.2">
      <c r="A89" t="s">
        <v>211</v>
      </c>
      <c r="B89" t="s">
        <v>220</v>
      </c>
      <c r="C89" t="s">
        <v>222</v>
      </c>
      <c r="D89">
        <f t="shared" si="17"/>
        <v>1.7900000000000003E-2</v>
      </c>
      <c r="E89">
        <f t="shared" si="17"/>
        <v>8.5599999999999982E-3</v>
      </c>
      <c r="F89">
        <f t="shared" si="17"/>
        <v>1.09E-2</v>
      </c>
      <c r="G89">
        <f t="shared" si="17"/>
        <v>2.4549999999999999E-2</v>
      </c>
      <c r="H89">
        <f t="shared" si="17"/>
        <v>2.2300000000000002E-3</v>
      </c>
      <c r="I89">
        <f t="shared" si="17"/>
        <v>1.158E-2</v>
      </c>
      <c r="J89">
        <f t="shared" si="17"/>
        <v>2.8899999999999998E-3</v>
      </c>
      <c r="K89">
        <f t="shared" si="17"/>
        <v>9.3600000000000003E-3</v>
      </c>
      <c r="L89">
        <f t="shared" si="17"/>
        <v>1.3730000000000001E-2</v>
      </c>
      <c r="M89">
        <f t="shared" si="17"/>
        <v>4.6699999999999997E-3</v>
      </c>
      <c r="N89">
        <f t="shared" si="17"/>
        <v>7.4599999999999996E-3</v>
      </c>
      <c r="O89">
        <f t="shared" si="17"/>
        <v>1.592E-2</v>
      </c>
      <c r="P89">
        <f t="shared" si="17"/>
        <v>1.2289999999999999E-2</v>
      </c>
      <c r="Q89">
        <f t="shared" si="17"/>
        <v>1.289E-2</v>
      </c>
      <c r="R89">
        <f t="shared" si="17"/>
        <v>1.0189999999999999E-2</v>
      </c>
      <c r="S89">
        <f t="shared" si="17"/>
        <v>8.5299999999999994E-3</v>
      </c>
      <c r="T89">
        <f t="shared" si="17"/>
        <v>7.1399999999999988E-3</v>
      </c>
      <c r="U89">
        <f t="shared" si="17"/>
        <v>9.11E-3</v>
      </c>
      <c r="V89">
        <f t="shared" si="17"/>
        <v>8.2699999999999996E-3</v>
      </c>
      <c r="W89">
        <f t="shared" si="17"/>
        <v>7.3499999999999998E-3</v>
      </c>
      <c r="X89">
        <f t="shared" si="17"/>
        <v>6.579999999999999E-3</v>
      </c>
      <c r="Y89">
        <f t="shared" si="17"/>
        <v>9.58E-3</v>
      </c>
      <c r="Z89">
        <f t="shared" si="17"/>
        <v>7.7500000000000008E-3</v>
      </c>
      <c r="AA89">
        <f t="shared" si="17"/>
        <v>9.2099999999999994E-3</v>
      </c>
      <c r="AB89">
        <f t="shared" si="17"/>
        <v>8.0800000000000004E-3</v>
      </c>
      <c r="AC89">
        <f t="shared" si="17"/>
        <v>7.0399999999999994E-3</v>
      </c>
      <c r="AD89">
        <f t="shared" si="17"/>
        <v>7.79E-3</v>
      </c>
      <c r="AE89">
        <f t="shared" si="17"/>
        <v>6.2400000000000008E-3</v>
      </c>
      <c r="AF89">
        <f t="shared" si="17"/>
        <v>6.2799999999999991E-3</v>
      </c>
      <c r="AG89">
        <f t="shared" si="17"/>
        <v>8.0800000000000004E-3</v>
      </c>
      <c r="AH89">
        <f t="shared" si="17"/>
        <v>6.2000000000000006E-3</v>
      </c>
      <c r="AI89">
        <f t="shared" si="17"/>
        <v>5.3600000000000002E-3</v>
      </c>
      <c r="AJ89">
        <f t="shared" si="17"/>
        <v>4.6999999999999993E-3</v>
      </c>
      <c r="AK89">
        <f t="shared" si="17"/>
        <v>1.3600000000000001E-3</v>
      </c>
      <c r="AL89">
        <f t="shared" si="17"/>
        <v>-8.8000000000000014E-4</v>
      </c>
      <c r="AM89">
        <f t="shared" si="17"/>
        <v>-1.0699999999999998E-3</v>
      </c>
      <c r="AN89">
        <f t="shared" si="17"/>
        <v>-3.7929999999999999E-3</v>
      </c>
      <c r="AO89">
        <f t="shared" si="17"/>
        <v>9.3999999999999986E-4</v>
      </c>
      <c r="AP89">
        <f t="shared" si="17"/>
        <v>2.1900000000000001E-3</v>
      </c>
      <c r="AQ89">
        <f t="shared" si="17"/>
        <v>6.0000000000000157E-5</v>
      </c>
      <c r="AR89">
        <f t="shared" si="17"/>
        <v>8.5000000000000006E-4</v>
      </c>
      <c r="AS89">
        <f t="shared" si="17"/>
        <v>9.0000000000000236E-5</v>
      </c>
      <c r="AT89">
        <f t="shared" si="17"/>
        <v>-1.0500000000000002E-3</v>
      </c>
      <c r="AU89">
        <f t="shared" si="17"/>
        <v>-2.9889999999999999E-3</v>
      </c>
      <c r="AV89">
        <f t="shared" si="17"/>
        <v>-2.4299999999999999E-3</v>
      </c>
      <c r="AW89">
        <f t="shared" si="17"/>
        <v>-1.98E-3</v>
      </c>
      <c r="AX89">
        <f t="shared" si="17"/>
        <v>-5.6999999999999976E-4</v>
      </c>
      <c r="AY89">
        <f t="shared" si="17"/>
        <v>-3.5889999999999997E-3</v>
      </c>
      <c r="AZ89">
        <f t="shared" si="17"/>
        <v>-3.1389999999999999E-3</v>
      </c>
      <c r="BA89">
        <f t="shared" si="17"/>
        <v>-5.0079999999999994E-3</v>
      </c>
      <c r="BB89">
        <f t="shared" si="17"/>
        <v>-7.0499999999999998E-3</v>
      </c>
      <c r="BC89">
        <f t="shared" si="17"/>
        <v>-6.79E-3</v>
      </c>
      <c r="BD89">
        <f t="shared" si="17"/>
        <v>-2.15E-3</v>
      </c>
      <c r="BE89">
        <f t="shared" si="17"/>
        <v>-1.1900000000000001E-3</v>
      </c>
      <c r="BF89">
        <f t="shared" si="17"/>
        <v>-5.836E-3</v>
      </c>
      <c r="BG89">
        <f t="shared" si="17"/>
        <v>-4.2589999999999998E-3</v>
      </c>
      <c r="BH89">
        <f t="shared" si="17"/>
        <v>-8.6899999999999998E-3</v>
      </c>
      <c r="BI89">
        <f t="shared" si="17"/>
        <v>-1.1640000000000001E-2</v>
      </c>
      <c r="BJ89">
        <f t="shared" si="17"/>
        <v>-9.7199999999999995E-3</v>
      </c>
      <c r="BK89">
        <f t="shared" si="17"/>
        <v>-1.455E-2</v>
      </c>
      <c r="BL89">
        <f t="shared" si="17"/>
        <v>-1.738E-2</v>
      </c>
      <c r="BM89">
        <f t="shared" si="17"/>
        <v>-1.384E-2</v>
      </c>
      <c r="BN89">
        <f t="shared" si="17"/>
        <v>-6.6899999999999998E-3</v>
      </c>
      <c r="BO89">
        <f t="shared" si="17"/>
        <v>-1.4400000000000003E-3</v>
      </c>
      <c r="BP89">
        <f t="shared" si="15"/>
        <v>3.3199999999999992E-3</v>
      </c>
      <c r="BQ89">
        <f t="shared" si="16"/>
        <v>1.0500000000000006E-3</v>
      </c>
      <c r="BR89">
        <f t="shared" si="16"/>
        <v>1.094E-2</v>
      </c>
      <c r="BS89">
        <f t="shared" si="16"/>
        <v>1.3729999999999999E-2</v>
      </c>
      <c r="BT89">
        <f t="shared" si="16"/>
        <v>7.5700000000000003E-3</v>
      </c>
      <c r="BU89">
        <f t="shared" si="16"/>
        <v>4.8999999999999998E-4</v>
      </c>
      <c r="BV89">
        <f t="shared" si="16"/>
        <v>-1.2240000000000001E-2</v>
      </c>
      <c r="BW89">
        <f t="shared" si="16"/>
        <v>-2.0929999999999997E-2</v>
      </c>
      <c r="BX89">
        <f t="shared" si="16"/>
        <v>-2.001E-2</v>
      </c>
      <c r="BY89">
        <f t="shared" si="16"/>
        <v>-1.5339999999999999E-2</v>
      </c>
      <c r="BZ89">
        <f t="shared" si="16"/>
        <v>-1.349E-2</v>
      </c>
      <c r="CA89">
        <f t="shared" si="16"/>
        <v>-7.1630000000000001E-3</v>
      </c>
      <c r="CB89">
        <f t="shared" si="16"/>
        <v>-2.0109999999999999E-2</v>
      </c>
      <c r="CC89">
        <f t="shared" si="16"/>
        <v>-1.6480000000000002E-2</v>
      </c>
      <c r="CD89">
        <f t="shared" si="16"/>
        <v>-1.303E-2</v>
      </c>
      <c r="CE89">
        <f t="shared" si="16"/>
        <v>-9.3699999999999999E-3</v>
      </c>
      <c r="CF89">
        <f t="shared" si="16"/>
        <v>-2.9999999999999992E-4</v>
      </c>
      <c r="CG89">
        <f t="shared" si="16"/>
        <v>-4.5700000000000011E-3</v>
      </c>
      <c r="CH89">
        <f t="shared" si="16"/>
        <v>-2.1409999999999998E-2</v>
      </c>
      <c r="CI89">
        <f t="shared" si="16"/>
        <v>-4.1610000000000001E-2</v>
      </c>
      <c r="CJ89">
        <f t="shared" si="16"/>
        <v>-4.965E-2</v>
      </c>
      <c r="CK89">
        <f t="shared" si="16"/>
        <v>-1.5980000000000001E-2</v>
      </c>
      <c r="CL89">
        <f t="shared" si="16"/>
        <v>-9.101999999999999E-3</v>
      </c>
      <c r="CM89">
        <f t="shared" si="16"/>
        <v>-5.6400000000000009E-3</v>
      </c>
      <c r="CN89">
        <f t="shared" si="16"/>
        <v>-3.8589999999999999E-2</v>
      </c>
      <c r="CO89">
        <f t="shared" si="16"/>
        <v>-3.9280000000000002E-2</v>
      </c>
      <c r="CP89">
        <f t="shared" si="16"/>
        <v>-2.8740000000000002E-2</v>
      </c>
      <c r="CQ89">
        <f t="shared" si="16"/>
        <v>-1.111E-2</v>
      </c>
      <c r="CR89">
        <f t="shared" si="16"/>
        <v>-3.7699999999999997E-2</v>
      </c>
      <c r="CS89">
        <f t="shared" si="16"/>
        <v>-5.0880000000000002E-2</v>
      </c>
      <c r="CT89">
        <f t="shared" si="16"/>
        <v>-5.0100000000000006E-2</v>
      </c>
      <c r="CU89">
        <f t="shared" si="16"/>
        <v>-7.1609999999999993E-2</v>
      </c>
      <c r="CV89">
        <f t="shared" si="16"/>
        <v>-2.86E-2</v>
      </c>
      <c r="CW89">
        <f t="shared" si="16"/>
        <v>-7.2099999999999997E-2</v>
      </c>
      <c r="CX89">
        <f t="shared" si="16"/>
        <v>-4.5630000000000004E-2</v>
      </c>
    </row>
    <row r="90" spans="1:102" x14ac:dyDescent="0.2">
      <c r="A90" t="s">
        <v>212</v>
      </c>
      <c r="B90" t="s">
        <v>220</v>
      </c>
      <c r="C90" t="s">
        <v>222</v>
      </c>
      <c r="D90">
        <f t="shared" si="17"/>
        <v>4.1549999999999997E-2</v>
      </c>
      <c r="E90">
        <f t="shared" si="17"/>
        <v>2.1700000000000001E-2</v>
      </c>
      <c r="F90">
        <f t="shared" si="17"/>
        <v>4.0700000000000007E-3</v>
      </c>
      <c r="G90">
        <f t="shared" si="17"/>
        <v>2.8170000000000001E-2</v>
      </c>
      <c r="H90">
        <f t="shared" si="17"/>
        <v>-5.1799999999999997E-3</v>
      </c>
      <c r="I90">
        <f t="shared" si="17"/>
        <v>1.0829999999999999E-2</v>
      </c>
      <c r="J90">
        <f t="shared" si="17"/>
        <v>4.5100000000000001E-3</v>
      </c>
      <c r="K90">
        <f t="shared" si="17"/>
        <v>4.3099999999999996E-3</v>
      </c>
      <c r="L90">
        <f t="shared" si="17"/>
        <v>7.43E-3</v>
      </c>
      <c r="M90">
        <f t="shared" si="17"/>
        <v>-3.8800000000000006E-3</v>
      </c>
      <c r="N90">
        <f t="shared" si="17"/>
        <v>-1.8900000000000002E-3</v>
      </c>
      <c r="O90">
        <f t="shared" si="17"/>
        <v>8.8900000000000003E-3</v>
      </c>
      <c r="P90">
        <f t="shared" si="17"/>
        <v>5.8700000000000002E-3</v>
      </c>
      <c r="Q90">
        <f t="shared" si="17"/>
        <v>4.64E-3</v>
      </c>
      <c r="R90">
        <f t="shared" si="17"/>
        <v>1.58E-3</v>
      </c>
      <c r="S90">
        <f t="shared" si="17"/>
        <v>1.4519999999999997E-3</v>
      </c>
      <c r="T90">
        <f t="shared" si="17"/>
        <v>2.4130000000000002E-3</v>
      </c>
      <c r="U90">
        <f t="shared" si="17"/>
        <v>2.9499999999999999E-3</v>
      </c>
      <c r="V90">
        <f t="shared" si="17"/>
        <v>3.4299999999999999E-3</v>
      </c>
      <c r="W90">
        <f t="shared" si="17"/>
        <v>2.8900000000000002E-3</v>
      </c>
      <c r="X90">
        <f t="shared" si="17"/>
        <v>3.2100000000000002E-3</v>
      </c>
      <c r="Y90">
        <f t="shared" si="17"/>
        <v>3.8400000000000001E-3</v>
      </c>
      <c r="Z90">
        <f t="shared" si="17"/>
        <v>3.5999999999999999E-3</v>
      </c>
      <c r="AA90">
        <f t="shared" si="17"/>
        <v>3.5399999999999997E-3</v>
      </c>
      <c r="AB90">
        <f t="shared" si="17"/>
        <v>3.29E-3</v>
      </c>
      <c r="AC90">
        <f t="shared" si="17"/>
        <v>3.13E-3</v>
      </c>
      <c r="AD90">
        <f t="shared" si="17"/>
        <v>2.65E-3</v>
      </c>
      <c r="AE90">
        <f t="shared" si="17"/>
        <v>1.993E-3</v>
      </c>
      <c r="AF90">
        <f t="shared" si="17"/>
        <v>1.836E-3</v>
      </c>
      <c r="AG90">
        <f t="shared" si="17"/>
        <v>6.559999999999999E-4</v>
      </c>
      <c r="AH90">
        <f t="shared" si="17"/>
        <v>2.360000000000001E-4</v>
      </c>
      <c r="AI90">
        <f t="shared" si="17"/>
        <v>2.2699999999999999E-4</v>
      </c>
      <c r="AJ90">
        <f t="shared" si="17"/>
        <v>6.5399999999999985E-4</v>
      </c>
      <c r="AK90">
        <f t="shared" si="17"/>
        <v>6.69E-4</v>
      </c>
      <c r="AL90">
        <f t="shared" si="17"/>
        <v>6.4400000000000004E-4</v>
      </c>
      <c r="AM90">
        <f t="shared" si="17"/>
        <v>5.8E-4</v>
      </c>
      <c r="AN90">
        <f t="shared" si="17"/>
        <v>4.7000000000000004E-4</v>
      </c>
      <c r="AO90">
        <f t="shared" si="17"/>
        <v>9.2400000000000013E-4</v>
      </c>
      <c r="AP90">
        <f t="shared" si="17"/>
        <v>1.3486000000000001E-3</v>
      </c>
      <c r="AQ90">
        <f t="shared" si="17"/>
        <v>1.6900000000000001E-3</v>
      </c>
      <c r="AR90">
        <f t="shared" si="17"/>
        <v>2.0400000000000001E-3</v>
      </c>
      <c r="AS90">
        <f t="shared" si="17"/>
        <v>1.8979999999999999E-3</v>
      </c>
      <c r="AT90">
        <f t="shared" si="17"/>
        <v>1.928E-3</v>
      </c>
      <c r="AU90">
        <f t="shared" si="17"/>
        <v>1.954E-3</v>
      </c>
      <c r="AV90">
        <f t="shared" si="17"/>
        <v>1.722E-3</v>
      </c>
      <c r="AW90">
        <f t="shared" si="17"/>
        <v>1.9060000000000001E-3</v>
      </c>
      <c r="AX90">
        <f t="shared" si="17"/>
        <v>1.9090000000000001E-3</v>
      </c>
      <c r="AY90">
        <f t="shared" si="17"/>
        <v>1.4239999999999999E-3</v>
      </c>
      <c r="AZ90">
        <f t="shared" si="17"/>
        <v>1.1267E-3</v>
      </c>
      <c r="BA90">
        <f t="shared" si="17"/>
        <v>6.3999999999999994E-4</v>
      </c>
      <c r="BB90">
        <f t="shared" si="17"/>
        <v>3.4299999999999988E-4</v>
      </c>
      <c r="BC90">
        <f t="shared" si="17"/>
        <v>8.3000000000000001E-4</v>
      </c>
      <c r="BD90">
        <f t="shared" si="17"/>
        <v>1.5969999999999999E-3</v>
      </c>
      <c r="BE90">
        <f t="shared" si="17"/>
        <v>1.6739999999999999E-3</v>
      </c>
      <c r="BF90">
        <f t="shared" si="17"/>
        <v>1.4989999999999999E-3</v>
      </c>
      <c r="BG90">
        <f t="shared" si="17"/>
        <v>1.6560000000000001E-3</v>
      </c>
      <c r="BH90">
        <f t="shared" si="17"/>
        <v>1.3319999999999999E-3</v>
      </c>
      <c r="BI90">
        <f t="shared" si="17"/>
        <v>1.1492000000000002E-3</v>
      </c>
      <c r="BJ90">
        <f t="shared" si="17"/>
        <v>1.366E-3</v>
      </c>
      <c r="BK90">
        <f t="shared" si="17"/>
        <v>1.1677E-3</v>
      </c>
      <c r="BL90">
        <f t="shared" si="17"/>
        <v>1.1684E-3</v>
      </c>
      <c r="BM90">
        <f t="shared" si="17"/>
        <v>1.575E-3</v>
      </c>
      <c r="BN90">
        <f t="shared" si="17"/>
        <v>2.0439999999999998E-3</v>
      </c>
      <c r="BO90">
        <f t="shared" ref="BO90" si="18">BO73+BO81</f>
        <v>2.7499999999999998E-3</v>
      </c>
      <c r="BP90">
        <f t="shared" si="15"/>
        <v>3.31E-3</v>
      </c>
      <c r="BQ90">
        <f t="shared" si="16"/>
        <v>3.81E-3</v>
      </c>
      <c r="BR90">
        <f t="shared" si="16"/>
        <v>3.8400000000000001E-3</v>
      </c>
      <c r="BS90">
        <f t="shared" si="16"/>
        <v>3.1400000000000004E-3</v>
      </c>
      <c r="BT90">
        <f t="shared" si="16"/>
        <v>3.8200000000000005E-3</v>
      </c>
      <c r="BU90">
        <f t="shared" si="16"/>
        <v>3.7000000000000002E-3</v>
      </c>
      <c r="BV90">
        <f t="shared" si="16"/>
        <v>2.7299999999999998E-3</v>
      </c>
      <c r="BW90">
        <f t="shared" si="16"/>
        <v>3.13E-3</v>
      </c>
      <c r="BX90">
        <f t="shared" si="16"/>
        <v>2.5399999999999997E-3</v>
      </c>
      <c r="BY90">
        <f t="shared" si="16"/>
        <v>3.2699999999999999E-3</v>
      </c>
      <c r="BZ90">
        <f t="shared" si="16"/>
        <v>3.79E-3</v>
      </c>
      <c r="CA90">
        <f t="shared" si="16"/>
        <v>4.6800000000000001E-3</v>
      </c>
      <c r="CB90">
        <f t="shared" si="16"/>
        <v>4.4099999999999999E-3</v>
      </c>
      <c r="CC90">
        <f t="shared" si="16"/>
        <v>4.5399999999999998E-3</v>
      </c>
      <c r="CD90">
        <f t="shared" si="16"/>
        <v>3.7000000000000002E-3</v>
      </c>
      <c r="CE90">
        <f t="shared" si="16"/>
        <v>3.4399999999999999E-3</v>
      </c>
      <c r="CF90">
        <f t="shared" si="16"/>
        <v>3.3E-3</v>
      </c>
      <c r="CG90">
        <f t="shared" si="16"/>
        <v>3.32E-3</v>
      </c>
      <c r="CH90">
        <f t="shared" si="16"/>
        <v>1.815E-3</v>
      </c>
      <c r="CI90">
        <f t="shared" si="16"/>
        <v>3.1499999999999996E-4</v>
      </c>
      <c r="CJ90">
        <f t="shared" si="16"/>
        <v>-1.0610000000000001E-3</v>
      </c>
      <c r="CK90">
        <f t="shared" si="16"/>
        <v>1.121E-3</v>
      </c>
      <c r="CL90">
        <f t="shared" si="16"/>
        <v>1.73E-3</v>
      </c>
      <c r="CM90">
        <f t="shared" si="16"/>
        <v>2.0100000000000001E-3</v>
      </c>
      <c r="CN90">
        <f t="shared" si="16"/>
        <v>1.5529999999999999E-3</v>
      </c>
      <c r="CO90">
        <f t="shared" si="16"/>
        <v>6.8500000000000006E-4</v>
      </c>
      <c r="CP90">
        <f t="shared" si="16"/>
        <v>-6.3000000000000013E-5</v>
      </c>
      <c r="CQ90">
        <f t="shared" si="16"/>
        <v>8.3359999999999999E-4</v>
      </c>
      <c r="CR90">
        <f t="shared" si="16"/>
        <v>-1.013E-3</v>
      </c>
      <c r="CS90">
        <f t="shared" si="16"/>
        <v>-2.467E-3</v>
      </c>
      <c r="CT90">
        <f t="shared" si="16"/>
        <v>-2.5149999999999999E-3</v>
      </c>
      <c r="CU90">
        <f t="shared" si="16"/>
        <v>-3.6419999999999998E-3</v>
      </c>
      <c r="CV90">
        <f t="shared" si="16"/>
        <v>-2.5999999999999999E-3</v>
      </c>
      <c r="CW90">
        <f t="shared" si="16"/>
        <v>-4.2769999999999996E-3</v>
      </c>
      <c r="CX90">
        <f t="shared" si="16"/>
        <v>2.1100000000000003E-4</v>
      </c>
    </row>
    <row r="91" spans="1:102" x14ac:dyDescent="0.2">
      <c r="A91" t="s">
        <v>213</v>
      </c>
      <c r="B91" t="s">
        <v>220</v>
      </c>
      <c r="C91" t="s">
        <v>222</v>
      </c>
      <c r="D91">
        <f t="shared" ref="D91:BO93" si="19">D74+D82</f>
        <v>-8.4399999999999989E-2</v>
      </c>
      <c r="E91">
        <f t="shared" si="19"/>
        <v>-4.8299999999999996E-2</v>
      </c>
      <c r="F91">
        <f t="shared" si="19"/>
        <v>1.54E-2</v>
      </c>
      <c r="G91">
        <f t="shared" si="19"/>
        <v>-0.12809999999999999</v>
      </c>
      <c r="H91">
        <f t="shared" si="19"/>
        <v>8.3900000000000002E-2</v>
      </c>
      <c r="I91">
        <f t="shared" si="19"/>
        <v>-7.0599999999999996E-2</v>
      </c>
      <c r="J91">
        <f t="shared" si="19"/>
        <v>5.000000000000001E-3</v>
      </c>
      <c r="K91">
        <f t="shared" si="19"/>
        <v>1.8999999999999989E-3</v>
      </c>
      <c r="L91">
        <f t="shared" si="19"/>
        <v>-3.1800000000000002E-2</v>
      </c>
      <c r="M91">
        <f t="shared" si="19"/>
        <v>9.7500000000000003E-2</v>
      </c>
      <c r="N91">
        <f t="shared" si="19"/>
        <v>8.5999999999999993E-2</v>
      </c>
      <c r="O91">
        <f t="shared" si="19"/>
        <v>-0.05</v>
      </c>
      <c r="P91">
        <f t="shared" si="19"/>
        <v>1.8999999999999989E-3</v>
      </c>
      <c r="Q91">
        <f t="shared" si="19"/>
        <v>2.2199999999999998E-2</v>
      </c>
      <c r="R91">
        <f t="shared" si="19"/>
        <v>4.4499999999999998E-2</v>
      </c>
      <c r="S91">
        <f t="shared" si="19"/>
        <v>2.819E-2</v>
      </c>
      <c r="T91">
        <f t="shared" si="19"/>
        <v>5.5499999999999994E-3</v>
      </c>
      <c r="U91">
        <f t="shared" si="19"/>
        <v>-4.6899999999999997E-3</v>
      </c>
      <c r="V91">
        <f t="shared" si="19"/>
        <v>-8.1899999999999994E-3</v>
      </c>
      <c r="W91">
        <f t="shared" si="19"/>
        <v>-1.031E-2</v>
      </c>
      <c r="X91">
        <f t="shared" si="19"/>
        <v>-1.7159999999999998E-2</v>
      </c>
      <c r="Y91">
        <f t="shared" si="19"/>
        <v>-3.108E-2</v>
      </c>
      <c r="Z91">
        <f t="shared" si="19"/>
        <v>-2.3140000000000001E-2</v>
      </c>
      <c r="AA91">
        <f t="shared" si="19"/>
        <v>-1.044E-2</v>
      </c>
      <c r="AB91">
        <f t="shared" si="19"/>
        <v>3.7000000000000054E-4</v>
      </c>
      <c r="AC91">
        <f t="shared" si="19"/>
        <v>9.3999999999999986E-3</v>
      </c>
      <c r="AD91">
        <f t="shared" si="19"/>
        <v>1.1720000000000001E-2</v>
      </c>
      <c r="AE91">
        <f t="shared" si="19"/>
        <v>1.004E-2</v>
      </c>
      <c r="AF91">
        <f t="shared" si="19"/>
        <v>1.0489999999999999E-2</v>
      </c>
      <c r="AG91">
        <f t="shared" si="19"/>
        <v>6.2599999999999999E-3</v>
      </c>
      <c r="AH91">
        <f t="shared" si="19"/>
        <v>1.4919999999999999E-2</v>
      </c>
      <c r="AI91">
        <f t="shared" si="19"/>
        <v>1.325E-2</v>
      </c>
      <c r="AJ91">
        <f t="shared" si="19"/>
        <v>9.9999999999999985E-3</v>
      </c>
      <c r="AK91">
        <f t="shared" si="19"/>
        <v>1.193E-2</v>
      </c>
      <c r="AL91">
        <f t="shared" si="19"/>
        <v>1.5030000000000002E-2</v>
      </c>
      <c r="AM91">
        <f t="shared" si="19"/>
        <v>8.7799999999999996E-3</v>
      </c>
      <c r="AN91">
        <f t="shared" si="19"/>
        <v>4.0099999999999997E-3</v>
      </c>
      <c r="AO91">
        <f t="shared" si="19"/>
        <v>4.0099999999999997E-3</v>
      </c>
      <c r="AP91">
        <f t="shared" si="19"/>
        <v>8.3800000000000003E-3</v>
      </c>
      <c r="AQ91">
        <f t="shared" si="19"/>
        <v>1.098E-2</v>
      </c>
      <c r="AR91">
        <f t="shared" si="19"/>
        <v>9.7999999999999997E-3</v>
      </c>
      <c r="AS91">
        <f t="shared" si="19"/>
        <v>7.8200000000000006E-3</v>
      </c>
      <c r="AT91">
        <f t="shared" si="19"/>
        <v>7.3200000000000001E-3</v>
      </c>
      <c r="AU91">
        <f t="shared" si="19"/>
        <v>1.091E-2</v>
      </c>
      <c r="AV91">
        <f t="shared" si="19"/>
        <v>2.3369999999999998E-2</v>
      </c>
      <c r="AW91">
        <f t="shared" si="19"/>
        <v>2.6159999999999999E-2</v>
      </c>
      <c r="AX91">
        <f t="shared" si="19"/>
        <v>1.6569999999999998E-2</v>
      </c>
      <c r="AY91">
        <f t="shared" si="19"/>
        <v>1.4829999999999999E-2</v>
      </c>
      <c r="AZ91">
        <f t="shared" si="19"/>
        <v>1.123E-2</v>
      </c>
      <c r="BA91">
        <f t="shared" si="19"/>
        <v>1.3000000000000001E-2</v>
      </c>
      <c r="BB91">
        <f t="shared" si="19"/>
        <v>8.8200000000000014E-3</v>
      </c>
      <c r="BC91">
        <f t="shared" si="19"/>
        <v>1.2110000000000001E-2</v>
      </c>
      <c r="BD91">
        <f t="shared" si="19"/>
        <v>8.905999999999999E-3</v>
      </c>
      <c r="BE91">
        <f t="shared" si="19"/>
        <v>1.0923E-2</v>
      </c>
      <c r="BF91">
        <f t="shared" si="19"/>
        <v>1.1789000000000001E-2</v>
      </c>
      <c r="BG91">
        <f t="shared" si="19"/>
        <v>1.9812E-2</v>
      </c>
      <c r="BH91">
        <f t="shared" si="19"/>
        <v>2.4820000000000002E-2</v>
      </c>
      <c r="BI91">
        <f t="shared" si="19"/>
        <v>1.8367999999999999E-2</v>
      </c>
      <c r="BJ91">
        <f t="shared" si="19"/>
        <v>1.7917000000000002E-2</v>
      </c>
      <c r="BK91">
        <f t="shared" si="19"/>
        <v>1.5495E-2</v>
      </c>
      <c r="BL91">
        <f t="shared" si="19"/>
        <v>1.4389000000000001E-2</v>
      </c>
      <c r="BM91">
        <f t="shared" si="19"/>
        <v>8.6629999999999988E-3</v>
      </c>
      <c r="BN91">
        <f t="shared" si="19"/>
        <v>3.9910000000000006E-3</v>
      </c>
      <c r="BO91">
        <f t="shared" si="19"/>
        <v>1.780956E-3</v>
      </c>
      <c r="BP91">
        <f t="shared" si="15"/>
        <v>1.859E-3</v>
      </c>
      <c r="BQ91">
        <f t="shared" si="16"/>
        <v>7.6049999999999998E-3</v>
      </c>
      <c r="BR91">
        <f t="shared" si="16"/>
        <v>1.3864E-2</v>
      </c>
      <c r="BS91">
        <f t="shared" si="16"/>
        <v>1.8914E-2</v>
      </c>
      <c r="BT91">
        <f t="shared" si="16"/>
        <v>2.9567000000000003E-2</v>
      </c>
      <c r="BU91">
        <f t="shared" si="16"/>
        <v>3.2459000000000002E-2</v>
      </c>
      <c r="BV91">
        <f t="shared" si="16"/>
        <v>3.7345999999999997E-2</v>
      </c>
      <c r="BW91">
        <f t="shared" si="16"/>
        <v>3.9898000000000003E-2</v>
      </c>
      <c r="BX91">
        <f t="shared" si="16"/>
        <v>2.4517000000000001E-2</v>
      </c>
      <c r="BY91">
        <f t="shared" si="16"/>
        <v>3.5224999999999999E-2</v>
      </c>
      <c r="BZ91">
        <f t="shared" si="16"/>
        <v>3.5843E-2</v>
      </c>
      <c r="CA91">
        <f t="shared" si="16"/>
        <v>3.3450000000000001E-2</v>
      </c>
      <c r="CB91">
        <f t="shared" si="16"/>
        <v>3.4509999999999999E-2</v>
      </c>
      <c r="CC91">
        <f t="shared" si="16"/>
        <v>4.6020000000000005E-2</v>
      </c>
      <c r="CD91">
        <f t="shared" si="16"/>
        <v>3.4759999999999999E-2</v>
      </c>
      <c r="CE91">
        <f t="shared" si="16"/>
        <v>3.1994000000000002E-2</v>
      </c>
      <c r="CF91">
        <f t="shared" si="16"/>
        <v>3.2479000000000001E-2</v>
      </c>
      <c r="CG91">
        <f t="shared" si="16"/>
        <v>4.2710000000000005E-2</v>
      </c>
      <c r="CH91">
        <f t="shared" si="16"/>
        <v>3.8339999999999999E-2</v>
      </c>
      <c r="CI91">
        <f t="shared" si="16"/>
        <v>4.0325E-2</v>
      </c>
      <c r="CJ91">
        <f t="shared" si="16"/>
        <v>3.3094999999999999E-2</v>
      </c>
      <c r="CK91">
        <f t="shared" si="16"/>
        <v>3.0620000000000001E-2</v>
      </c>
      <c r="CL91">
        <f t="shared" si="16"/>
        <v>2.6013000000000001E-2</v>
      </c>
      <c r="CM91">
        <f t="shared" si="16"/>
        <v>3.7969999999999997E-2</v>
      </c>
      <c r="CN91">
        <f t="shared" si="16"/>
        <v>5.4920000000000004E-2</v>
      </c>
      <c r="CO91">
        <f t="shared" si="16"/>
        <v>4.777E-2</v>
      </c>
      <c r="CP91">
        <f t="shared" si="16"/>
        <v>4.7611000000000001E-2</v>
      </c>
      <c r="CQ91">
        <f t="shared" si="16"/>
        <v>5.2450000000000004E-2</v>
      </c>
      <c r="CR91">
        <f t="shared" si="16"/>
        <v>6.3829999999999998E-2</v>
      </c>
      <c r="CS91">
        <f t="shared" si="16"/>
        <v>6.2330000000000003E-2</v>
      </c>
      <c r="CT91">
        <f t="shared" si="16"/>
        <v>6.4740000000000006E-2</v>
      </c>
      <c r="CU91">
        <f t="shared" si="16"/>
        <v>5.7063000000000003E-2</v>
      </c>
      <c r="CV91">
        <f t="shared" si="16"/>
        <v>3.8913999999999997E-2</v>
      </c>
      <c r="CW91">
        <f t="shared" si="16"/>
        <v>6.7326999999999998E-2</v>
      </c>
      <c r="CX91">
        <f t="shared" si="16"/>
        <v>6.7636999999999989E-2</v>
      </c>
    </row>
    <row r="92" spans="1:102" x14ac:dyDescent="0.2">
      <c r="A92" t="s">
        <v>214</v>
      </c>
      <c r="B92" t="s">
        <v>220</v>
      </c>
      <c r="C92" t="s">
        <v>222</v>
      </c>
      <c r="D92">
        <f t="shared" si="19"/>
        <v>4.4500000000000005E-2</v>
      </c>
      <c r="E92">
        <f t="shared" si="19"/>
        <v>5.7400000000000007E-2</v>
      </c>
      <c r="F92">
        <f t="shared" si="19"/>
        <v>5.0200000000000002E-2</v>
      </c>
      <c r="G92">
        <f t="shared" si="19"/>
        <v>4.07E-2</v>
      </c>
      <c r="H92">
        <f t="shared" si="19"/>
        <v>6.4500000000000002E-2</v>
      </c>
      <c r="I92">
        <f t="shared" si="19"/>
        <v>5.3000000000000005E-2</v>
      </c>
      <c r="J92">
        <f t="shared" si="19"/>
        <v>4.4399999999999995E-2</v>
      </c>
      <c r="K92">
        <f t="shared" si="19"/>
        <v>3.3490000000000006E-2</v>
      </c>
      <c r="L92">
        <f t="shared" si="19"/>
        <v>3.2899999999999999E-2</v>
      </c>
      <c r="M92">
        <f t="shared" si="19"/>
        <v>2.794E-2</v>
      </c>
      <c r="N92">
        <f t="shared" si="19"/>
        <v>2.2540000000000001E-2</v>
      </c>
      <c r="O92">
        <f t="shared" si="19"/>
        <v>1.0319999999999999E-2</v>
      </c>
      <c r="P92">
        <f t="shared" si="19"/>
        <v>2.3089999999999999E-2</v>
      </c>
      <c r="Q92">
        <f t="shared" si="19"/>
        <v>7.8799999999999999E-3</v>
      </c>
      <c r="R92">
        <f t="shared" si="19"/>
        <v>8.9300000000000004E-3</v>
      </c>
      <c r="S92">
        <f t="shared" si="19"/>
        <v>1.231E-2</v>
      </c>
      <c r="T92">
        <f t="shared" si="19"/>
        <v>2.7959999999999999E-3</v>
      </c>
      <c r="U92">
        <f t="shared" si="19"/>
        <v>8.3800000000000003E-3</v>
      </c>
      <c r="V92">
        <f t="shared" si="19"/>
        <v>6.0099999999999997E-3</v>
      </c>
      <c r="W92">
        <f t="shared" si="19"/>
        <v>5.3800000000000002E-3</v>
      </c>
      <c r="X92">
        <f t="shared" si="19"/>
        <v>6.6E-3</v>
      </c>
      <c r="Y92">
        <f t="shared" si="19"/>
        <v>3.4679999999999997E-3</v>
      </c>
      <c r="Z92">
        <f t="shared" si="19"/>
        <v>1.4299999999999998E-3</v>
      </c>
      <c r="AA92">
        <f t="shared" si="19"/>
        <v>-1.9600000000000004E-3</v>
      </c>
      <c r="AB92">
        <f t="shared" si="19"/>
        <v>7.6699999999999997E-3</v>
      </c>
      <c r="AC92">
        <f t="shared" si="19"/>
        <v>2.1000000000000012E-4</v>
      </c>
      <c r="AD92">
        <f t="shared" si="19"/>
        <v>2.3340000000000001E-3</v>
      </c>
      <c r="AE92">
        <f t="shared" si="19"/>
        <v>9.5999999999999992E-4</v>
      </c>
      <c r="AF92">
        <f t="shared" si="19"/>
        <v>7.6899999999999998E-3</v>
      </c>
      <c r="AG92">
        <f t="shared" si="19"/>
        <v>9.8200000000000006E-3</v>
      </c>
      <c r="AH92">
        <f t="shared" si="19"/>
        <v>8.6700000000000006E-3</v>
      </c>
      <c r="AI92">
        <f t="shared" si="19"/>
        <v>4.0899999999999999E-3</v>
      </c>
      <c r="AJ92">
        <f t="shared" si="19"/>
        <v>7.1999999999999998E-3</v>
      </c>
      <c r="AK92">
        <f t="shared" si="19"/>
        <v>3.3470000000000001E-3</v>
      </c>
      <c r="AL92">
        <f t="shared" si="19"/>
        <v>5.8799999999999998E-3</v>
      </c>
      <c r="AM92">
        <f t="shared" si="19"/>
        <v>6.1200000000000004E-3</v>
      </c>
      <c r="AN92">
        <f t="shared" si="19"/>
        <v>2.0799999999999998E-3</v>
      </c>
      <c r="AO92">
        <f t="shared" si="19"/>
        <v>1.5499999999999999E-3</v>
      </c>
      <c r="AP92">
        <f t="shared" si="19"/>
        <v>7.6E-3</v>
      </c>
      <c r="AQ92">
        <f t="shared" si="19"/>
        <v>6.0899999999999999E-3</v>
      </c>
      <c r="AR92">
        <f t="shared" si="19"/>
        <v>7.4699999999999992E-3</v>
      </c>
      <c r="AS92">
        <f t="shared" si="19"/>
        <v>3.2695000000000003E-3</v>
      </c>
      <c r="AT92">
        <f t="shared" si="19"/>
        <v>2.7929999999999999E-3</v>
      </c>
      <c r="AU92">
        <f t="shared" si="19"/>
        <v>1.8599999999999999E-3</v>
      </c>
      <c r="AV92">
        <f t="shared" si="19"/>
        <v>3.761E-3</v>
      </c>
      <c r="AW92">
        <f t="shared" si="19"/>
        <v>3.7720000000000002E-3</v>
      </c>
      <c r="AX92">
        <f t="shared" si="19"/>
        <v>2.516E-3</v>
      </c>
      <c r="AY92">
        <f t="shared" si="19"/>
        <v>4.0600000000000002E-3</v>
      </c>
      <c r="AZ92">
        <f t="shared" si="19"/>
        <v>7.5300000000000002E-3</v>
      </c>
      <c r="BA92">
        <f t="shared" si="19"/>
        <v>4.5699999999999994E-3</v>
      </c>
      <c r="BB92">
        <f t="shared" si="19"/>
        <v>5.0499999999999998E-3</v>
      </c>
      <c r="BC92">
        <f t="shared" si="19"/>
        <v>3.1002999999999998E-3</v>
      </c>
      <c r="BD92">
        <f t="shared" si="19"/>
        <v>3.7190000000000001E-3</v>
      </c>
      <c r="BE92">
        <f t="shared" si="19"/>
        <v>4.0759999999999998E-3</v>
      </c>
      <c r="BF92">
        <f t="shared" si="19"/>
        <v>5.7299999999999999E-3</v>
      </c>
      <c r="BG92">
        <f t="shared" si="19"/>
        <v>4.9800000000000001E-3</v>
      </c>
      <c r="BH92">
        <f t="shared" si="19"/>
        <v>4.4000000000000003E-3</v>
      </c>
      <c r="BI92">
        <f t="shared" si="19"/>
        <v>4.7000000000000002E-3</v>
      </c>
      <c r="BJ92">
        <f t="shared" si="19"/>
        <v>5.9000000000000025E-4</v>
      </c>
      <c r="BK92">
        <f t="shared" si="19"/>
        <v>1.0869999999999999E-2</v>
      </c>
      <c r="BL92">
        <f t="shared" si="19"/>
        <v>3.8600000000000001E-3</v>
      </c>
      <c r="BM92">
        <f t="shared" si="19"/>
        <v>6.5699999999999995E-3</v>
      </c>
      <c r="BN92">
        <f t="shared" si="19"/>
        <v>8.1099999999999992E-3</v>
      </c>
      <c r="BO92">
        <f t="shared" si="19"/>
        <v>9.6900000000000007E-3</v>
      </c>
      <c r="BP92">
        <f t="shared" si="15"/>
        <v>8.660000000000001E-3</v>
      </c>
      <c r="BQ92">
        <f t="shared" si="16"/>
        <v>4.1700000000000001E-3</v>
      </c>
      <c r="BR92">
        <f t="shared" si="16"/>
        <v>-6.2799999999999991E-3</v>
      </c>
      <c r="BS92">
        <f t="shared" si="16"/>
        <v>-2.6000000000000025E-4</v>
      </c>
      <c r="BT92">
        <f t="shared" si="16"/>
        <v>7.9500000000000005E-3</v>
      </c>
      <c r="BU92">
        <f t="shared" si="16"/>
        <v>8.2899999999999988E-3</v>
      </c>
      <c r="BV92">
        <f t="shared" si="16"/>
        <v>6.579999999999999E-3</v>
      </c>
      <c r="BW92">
        <f t="shared" si="16"/>
        <v>5.0200000000000002E-3</v>
      </c>
      <c r="BX92">
        <f t="shared" si="16"/>
        <v>0.01</v>
      </c>
      <c r="BY92">
        <f t="shared" si="16"/>
        <v>7.6899999999999998E-3</v>
      </c>
      <c r="BZ92">
        <f t="shared" si="16"/>
        <v>3.0050000000000003E-3</v>
      </c>
      <c r="CA92">
        <f t="shared" si="16"/>
        <v>5.1900000000000002E-3</v>
      </c>
      <c r="CB92">
        <f t="shared" si="16"/>
        <v>1.2620000000000001E-2</v>
      </c>
      <c r="CC92">
        <f t="shared" si="16"/>
        <v>9.0100000000000006E-3</v>
      </c>
      <c r="CD92">
        <f t="shared" si="16"/>
        <v>1.4450000000000001E-2</v>
      </c>
      <c r="CE92">
        <f t="shared" si="16"/>
        <v>1.473E-2</v>
      </c>
      <c r="CF92">
        <f t="shared" si="16"/>
        <v>1.1900000000000001E-3</v>
      </c>
      <c r="CG92">
        <f t="shared" si="16"/>
        <v>1.384E-2</v>
      </c>
      <c r="CH92">
        <f t="shared" si="16"/>
        <v>1.0449999999999999E-2</v>
      </c>
      <c r="CI92">
        <f t="shared" si="16"/>
        <v>1.7520000000000001E-2</v>
      </c>
      <c r="CJ92">
        <f t="shared" si="16"/>
        <v>1.1480000000000001E-2</v>
      </c>
      <c r="CK92">
        <f t="shared" si="16"/>
        <v>1.9049999999999997E-2</v>
      </c>
      <c r="CL92">
        <f t="shared" si="16"/>
        <v>1.545E-2</v>
      </c>
      <c r="CM92">
        <f t="shared" si="16"/>
        <v>1.78E-2</v>
      </c>
      <c r="CN92">
        <f t="shared" si="16"/>
        <v>1.8350000000000002E-2</v>
      </c>
      <c r="CO92">
        <f t="shared" si="16"/>
        <v>1.694E-2</v>
      </c>
      <c r="CP92">
        <f t="shared" si="16"/>
        <v>1.6629999999999999E-2</v>
      </c>
      <c r="CQ92">
        <f t="shared" si="16"/>
        <v>2.8080000000000001E-2</v>
      </c>
      <c r="CR92">
        <f t="shared" si="16"/>
        <v>3.1530000000000002E-2</v>
      </c>
      <c r="CS92">
        <f t="shared" si="16"/>
        <v>2.1940000000000001E-2</v>
      </c>
      <c r="CT92">
        <f t="shared" si="16"/>
        <v>4.2459999999999998E-2</v>
      </c>
      <c r="CU92">
        <f t="shared" si="16"/>
        <v>3.7905999999999995E-2</v>
      </c>
      <c r="CV92">
        <f t="shared" si="16"/>
        <v>3.9333E-2</v>
      </c>
      <c r="CW92">
        <f t="shared" si="16"/>
        <v>4.0184999999999998E-2</v>
      </c>
      <c r="CX92">
        <f t="shared" si="16"/>
        <v>4.2647000000000004E-2</v>
      </c>
    </row>
    <row r="93" spans="1:102" x14ac:dyDescent="0.2">
      <c r="A93" t="s">
        <v>215</v>
      </c>
      <c r="B93" t="s">
        <v>220</v>
      </c>
      <c r="C93" t="s">
        <v>222</v>
      </c>
      <c r="D93">
        <f t="shared" si="19"/>
        <v>-1.8200000000000004E-2</v>
      </c>
      <c r="E93">
        <f t="shared" si="19"/>
        <v>-2.7299999999999998E-2</v>
      </c>
      <c r="F93">
        <f t="shared" si="19"/>
        <v>-2.5100000000000001E-2</v>
      </c>
      <c r="G93">
        <f t="shared" si="19"/>
        <v>-6.0999999999999999E-2</v>
      </c>
      <c r="H93">
        <f t="shared" si="19"/>
        <v>-4.2000000000000023E-3</v>
      </c>
      <c r="I93">
        <f t="shared" si="19"/>
        <v>-2.0999999999999977E-3</v>
      </c>
      <c r="J93">
        <f t="shared" si="19"/>
        <v>-2.7400000000000001E-2</v>
      </c>
      <c r="K93">
        <f t="shared" si="19"/>
        <v>-2.75E-2</v>
      </c>
      <c r="L93">
        <f t="shared" si="19"/>
        <v>-2.9599999999999998E-2</v>
      </c>
      <c r="M93">
        <f t="shared" si="19"/>
        <v>-1.9200000000000002E-2</v>
      </c>
      <c r="N93">
        <f t="shared" si="19"/>
        <v>-6.4999999999999988E-3</v>
      </c>
      <c r="O93">
        <f t="shared" si="19"/>
        <v>-1.0999999999999999E-2</v>
      </c>
      <c r="P93">
        <f t="shared" si="19"/>
        <v>1.9000000000000006E-3</v>
      </c>
      <c r="Q93">
        <f t="shared" si="19"/>
        <v>3.8300000000000009E-3</v>
      </c>
      <c r="R93">
        <f t="shared" si="19"/>
        <v>9.7900000000000001E-3</v>
      </c>
      <c r="S93">
        <f t="shared" si="19"/>
        <v>7.1869999999999998E-3</v>
      </c>
      <c r="T93">
        <f t="shared" si="19"/>
        <v>9.1800000000000007E-3</v>
      </c>
      <c r="U93">
        <f t="shared" si="19"/>
        <v>5.5100000000000001E-3</v>
      </c>
      <c r="V93">
        <f t="shared" si="19"/>
        <v>5.9360000000000003E-3</v>
      </c>
      <c r="W93">
        <f t="shared" si="19"/>
        <v>3.2799999999999999E-3</v>
      </c>
      <c r="X93">
        <f t="shared" si="19"/>
        <v>3.2800000000000004E-3</v>
      </c>
      <c r="Y93">
        <f t="shared" si="19"/>
        <v>1.9699999999999995E-3</v>
      </c>
      <c r="Z93">
        <f t="shared" si="19"/>
        <v>5.8539999999999998E-3</v>
      </c>
      <c r="AA93">
        <f t="shared" si="19"/>
        <v>4.8850000000000005E-3</v>
      </c>
      <c r="AB93">
        <f t="shared" si="19"/>
        <v>5.9789999999999999E-3</v>
      </c>
      <c r="AC93">
        <f t="shared" si="19"/>
        <v>5.8810000000000008E-3</v>
      </c>
      <c r="AD93">
        <f t="shared" si="19"/>
        <v>7.6600000000000001E-3</v>
      </c>
      <c r="AE93">
        <f t="shared" si="19"/>
        <v>8.7600000000000004E-3</v>
      </c>
      <c r="AF93">
        <f t="shared" si="19"/>
        <v>6.9199999999999991E-3</v>
      </c>
      <c r="AG93">
        <f t="shared" si="19"/>
        <v>7.2399999999999999E-3</v>
      </c>
      <c r="AH93">
        <f t="shared" si="19"/>
        <v>7.9799999999999992E-3</v>
      </c>
      <c r="AI93">
        <f t="shared" si="19"/>
        <v>7.5799999999999999E-3</v>
      </c>
      <c r="AJ93">
        <f t="shared" si="19"/>
        <v>6.4100000000000008E-3</v>
      </c>
      <c r="AK93">
        <f t="shared" si="19"/>
        <v>9.4799999999999988E-3</v>
      </c>
      <c r="AL93">
        <f t="shared" si="19"/>
        <v>8.4700000000000001E-3</v>
      </c>
      <c r="AM93">
        <f t="shared" si="19"/>
        <v>7.4700000000000001E-3</v>
      </c>
      <c r="AN93">
        <f t="shared" si="19"/>
        <v>5.77E-3</v>
      </c>
      <c r="AO93">
        <f t="shared" si="19"/>
        <v>7.5300000000000002E-3</v>
      </c>
      <c r="AP93">
        <f t="shared" si="19"/>
        <v>7.1500000000000001E-3</v>
      </c>
      <c r="AQ93">
        <f t="shared" si="19"/>
        <v>8.4399999999999996E-3</v>
      </c>
      <c r="AR93">
        <f t="shared" si="19"/>
        <v>1.3100000000000001E-2</v>
      </c>
      <c r="AS93">
        <f t="shared" si="19"/>
        <v>7.4000000000000003E-3</v>
      </c>
      <c r="AT93">
        <f t="shared" si="19"/>
        <v>8.150000000000001E-3</v>
      </c>
      <c r="AU93">
        <f t="shared" si="19"/>
        <v>9.7999999999999997E-3</v>
      </c>
      <c r="AV93">
        <f t="shared" si="19"/>
        <v>1.155E-2</v>
      </c>
      <c r="AW93">
        <f t="shared" si="19"/>
        <v>1.133E-2</v>
      </c>
      <c r="AX93">
        <f t="shared" si="19"/>
        <v>8.4599999999999988E-3</v>
      </c>
      <c r="AY93">
        <f t="shared" si="19"/>
        <v>8.8699999999999994E-3</v>
      </c>
      <c r="AZ93">
        <f t="shared" si="19"/>
        <v>6.7600000000000004E-3</v>
      </c>
      <c r="BA93">
        <f t="shared" si="19"/>
        <v>3.7009999999999999E-3</v>
      </c>
      <c r="BB93">
        <f t="shared" si="19"/>
        <v>1.7299999999999998E-3</v>
      </c>
      <c r="BC93">
        <f t="shared" si="19"/>
        <v>2.0299999999999997E-3</v>
      </c>
      <c r="BD93">
        <f t="shared" si="19"/>
        <v>3.2699999999999999E-3</v>
      </c>
      <c r="BE93">
        <f t="shared" si="19"/>
        <v>3.7999999999999996E-3</v>
      </c>
      <c r="BF93">
        <f t="shared" si="19"/>
        <v>4.241E-3</v>
      </c>
      <c r="BG93">
        <f t="shared" si="19"/>
        <v>5.1879999999999999E-3</v>
      </c>
      <c r="BH93">
        <f t="shared" si="19"/>
        <v>5.2630000000000003E-3</v>
      </c>
      <c r="BI93">
        <f t="shared" si="19"/>
        <v>-9.1999999999999981E-4</v>
      </c>
      <c r="BJ93">
        <f t="shared" si="19"/>
        <v>-2.1700000000000001E-3</v>
      </c>
      <c r="BK93">
        <f t="shared" si="19"/>
        <v>-1.2999999999999991E-4</v>
      </c>
      <c r="BL93">
        <f t="shared" si="19"/>
        <v>8.1999999999999998E-4</v>
      </c>
      <c r="BM93">
        <f t="shared" si="19"/>
        <v>1.6599999999999996E-3</v>
      </c>
      <c r="BN93">
        <f t="shared" si="19"/>
        <v>-7.3000000000000061E-4</v>
      </c>
      <c r="BO93">
        <f t="shared" si="19"/>
        <v>-5.1800000000000006E-3</v>
      </c>
      <c r="BP93">
        <f t="shared" si="15"/>
        <v>-4.5999999999999999E-3</v>
      </c>
      <c r="BQ93">
        <f t="shared" si="16"/>
        <v>-4.0400000000000002E-3</v>
      </c>
      <c r="BR93">
        <f t="shared" si="16"/>
        <v>-4.0100000000000005E-3</v>
      </c>
      <c r="BS93">
        <f t="shared" si="16"/>
        <v>-1.5300000000000001E-3</v>
      </c>
      <c r="BT93">
        <f t="shared" si="16"/>
        <v>2.2100000000000002E-3</v>
      </c>
      <c r="BU93">
        <f t="shared" si="16"/>
        <v>1.34E-3</v>
      </c>
      <c r="BV93">
        <f t="shared" si="16"/>
        <v>-4.4999999999999988E-4</v>
      </c>
      <c r="BW93">
        <f t="shared" si="16"/>
        <v>-7.8000000000000031E-4</v>
      </c>
      <c r="BX93">
        <f t="shared" si="16"/>
        <v>-5.9299999999999995E-3</v>
      </c>
      <c r="BY93">
        <f t="shared" si="16"/>
        <v>-6.6399999999999992E-3</v>
      </c>
      <c r="BZ93">
        <f t="shared" si="16"/>
        <v>-7.7299999999999999E-3</v>
      </c>
      <c r="CA93">
        <f t="shared" si="16"/>
        <v>5.5100000000000001E-3</v>
      </c>
      <c r="CB93">
        <f t="shared" si="16"/>
        <v>7.2200000000000007E-3</v>
      </c>
      <c r="CC93">
        <f t="shared" si="16"/>
        <v>1.1050000000000001E-2</v>
      </c>
      <c r="CD93">
        <f t="shared" si="16"/>
        <v>1.0409999999999999E-2</v>
      </c>
      <c r="CE93">
        <f t="shared" si="16"/>
        <v>1.08185E-2</v>
      </c>
      <c r="CF93">
        <f t="shared" si="16"/>
        <v>1.021E-2</v>
      </c>
      <c r="CG93">
        <f t="shared" si="16"/>
        <v>8.5649999999999997E-3</v>
      </c>
      <c r="CH93">
        <f t="shared" ref="CH93:CX93" si="20">CH76+CH84</f>
        <v>6.7359999999999998E-3</v>
      </c>
      <c r="CI93">
        <f t="shared" si="20"/>
        <v>8.2410000000000001E-3</v>
      </c>
      <c r="CJ93">
        <f t="shared" si="20"/>
        <v>1.299E-2</v>
      </c>
      <c r="CK93">
        <f t="shared" si="20"/>
        <v>1.814E-2</v>
      </c>
      <c r="CL93">
        <f t="shared" si="20"/>
        <v>1.2900000000000002E-2</v>
      </c>
      <c r="CM93">
        <f t="shared" si="20"/>
        <v>2.5699999999999994E-3</v>
      </c>
      <c r="CN93">
        <f t="shared" si="20"/>
        <v>-9.6999999999999951E-4</v>
      </c>
      <c r="CO93">
        <f t="shared" si="20"/>
        <v>-9.7000000000000003E-3</v>
      </c>
      <c r="CP93">
        <f t="shared" si="20"/>
        <v>-7.980000000000001E-3</v>
      </c>
      <c r="CQ93">
        <f t="shared" si="20"/>
        <v>-6.7499999999999999E-3</v>
      </c>
      <c r="CR93">
        <f t="shared" si="20"/>
        <v>-2.18E-2</v>
      </c>
      <c r="CS93">
        <f t="shared" si="20"/>
        <v>-1.7680000000000001E-2</v>
      </c>
      <c r="CT93">
        <f t="shared" si="20"/>
        <v>-1.95E-2</v>
      </c>
      <c r="CU93">
        <f t="shared" si="20"/>
        <v>-1.8079999999999999E-2</v>
      </c>
      <c r="CV93">
        <f t="shared" si="20"/>
        <v>-1.013E-2</v>
      </c>
      <c r="CW93">
        <f t="shared" si="20"/>
        <v>-1.881E-2</v>
      </c>
      <c r="CX93">
        <f t="shared" si="20"/>
        <v>-2.179E-2</v>
      </c>
    </row>
    <row r="94" spans="1:102" x14ac:dyDescent="0.2">
      <c r="A94" t="s">
        <v>216</v>
      </c>
      <c r="B94" t="s">
        <v>220</v>
      </c>
      <c r="C94" t="s">
        <v>222</v>
      </c>
      <c r="D94">
        <f>D85</f>
        <v>0.22700000000000001</v>
      </c>
      <c r="E94">
        <f t="shared" ref="E94:BP94" si="21">E85</f>
        <v>-0.33300000000000002</v>
      </c>
      <c r="F94">
        <f t="shared" si="21"/>
        <v>-0.68</v>
      </c>
      <c r="G94">
        <f t="shared" si="21"/>
        <v>0.36099999999999999</v>
      </c>
      <c r="H94">
        <f t="shared" si="21"/>
        <v>-0.93</v>
      </c>
      <c r="I94">
        <f t="shared" si="21"/>
        <v>-7.22E-2</v>
      </c>
      <c r="J94">
        <f t="shared" si="21"/>
        <v>-0.375</v>
      </c>
      <c r="K94">
        <f t="shared" si="21"/>
        <v>-0.27</v>
      </c>
      <c r="L94">
        <f t="shared" si="21"/>
        <v>-2.4899999999999999E-2</v>
      </c>
      <c r="M94">
        <f t="shared" si="21"/>
        <v>-0.53100000000000003</v>
      </c>
      <c r="N94">
        <f t="shared" si="21"/>
        <v>-0.43099999999999999</v>
      </c>
      <c r="O94">
        <f t="shared" si="21"/>
        <v>0.183</v>
      </c>
      <c r="P94">
        <f t="shared" si="21"/>
        <v>-4.3400000000000001E-2</v>
      </c>
      <c r="Q94">
        <f t="shared" si="21"/>
        <v>-4.7100000000000003E-2</v>
      </c>
      <c r="R94">
        <f t="shared" si="21"/>
        <v>-0.112</v>
      </c>
      <c r="S94">
        <f t="shared" si="21"/>
        <v>-8.6499999999999994E-2</v>
      </c>
      <c r="T94">
        <f t="shared" si="21"/>
        <v>4.6699999999999998E-2</v>
      </c>
      <c r="U94">
        <f t="shared" si="21"/>
        <v>8.4599999999999995E-2</v>
      </c>
      <c r="V94">
        <f t="shared" si="21"/>
        <v>0.13100000000000001</v>
      </c>
      <c r="W94">
        <f t="shared" si="21"/>
        <v>0.11899999999999999</v>
      </c>
      <c r="X94">
        <f t="shared" si="21"/>
        <v>9.7600000000000006E-2</v>
      </c>
      <c r="Y94">
        <f t="shared" si="21"/>
        <v>0.19700000000000001</v>
      </c>
      <c r="Z94">
        <f t="shared" si="21"/>
        <v>0.17799999999999999</v>
      </c>
      <c r="AA94">
        <f t="shared" si="21"/>
        <v>0.13100000000000001</v>
      </c>
      <c r="AB94">
        <f t="shared" si="21"/>
        <v>8.7599999999999997E-2</v>
      </c>
      <c r="AC94">
        <f t="shared" si="21"/>
        <v>6.2600000000000003E-2</v>
      </c>
      <c r="AD94">
        <f t="shared" si="21"/>
        <v>5.3600000000000002E-2</v>
      </c>
      <c r="AE94">
        <f t="shared" si="21"/>
        <v>3.49E-2</v>
      </c>
      <c r="AF94">
        <f t="shared" si="21"/>
        <v>2.2499999999999999E-2</v>
      </c>
      <c r="AG94">
        <f t="shared" si="21"/>
        <v>1.5800000000000002E-2</v>
      </c>
      <c r="AH94">
        <f t="shared" si="21"/>
        <v>-2.02E-4</v>
      </c>
      <c r="AI94">
        <f t="shared" si="21"/>
        <v>-8.1600000000000006E-3</v>
      </c>
      <c r="AJ94">
        <f t="shared" si="21"/>
        <v>-2.6599999999999999E-2</v>
      </c>
      <c r="AK94">
        <f t="shared" si="21"/>
        <v>-4.3799999999999999E-2</v>
      </c>
      <c r="AL94">
        <f t="shared" si="21"/>
        <v>-5.8000000000000003E-2</v>
      </c>
      <c r="AM94">
        <f t="shared" si="21"/>
        <v>-5.5800000000000002E-2</v>
      </c>
      <c r="AN94">
        <f t="shared" si="21"/>
        <v>-4.3999999999999997E-2</v>
      </c>
      <c r="AO94">
        <f t="shared" si="21"/>
        <v>-4.6100000000000002E-2</v>
      </c>
      <c r="AP94">
        <f t="shared" si="21"/>
        <v>-6.2100000000000002E-2</v>
      </c>
      <c r="AQ94">
        <f t="shared" si="21"/>
        <v>-4.5699999999999998E-2</v>
      </c>
      <c r="AR94">
        <f t="shared" si="21"/>
        <v>-4.7899999999999998E-2</v>
      </c>
      <c r="AS94">
        <f t="shared" si="21"/>
        <v>-7.0699999999999999E-3</v>
      </c>
      <c r="AT94">
        <f t="shared" si="21"/>
        <v>-8.5800000000000008E-3</v>
      </c>
      <c r="AU94">
        <f t="shared" si="21"/>
        <v>-3.6800000000000001E-3</v>
      </c>
      <c r="AV94">
        <f t="shared" si="21"/>
        <v>-4.2299999999999997E-2</v>
      </c>
      <c r="AW94">
        <f t="shared" si="21"/>
        <v>-4.7699999999999999E-2</v>
      </c>
      <c r="AX94">
        <f t="shared" si="21"/>
        <v>-5.0799999999999998E-2</v>
      </c>
      <c r="AY94">
        <f t="shared" si="21"/>
        <v>-1.1299999999999999E-2</v>
      </c>
      <c r="AZ94">
        <f t="shared" si="21"/>
        <v>-1.49E-2</v>
      </c>
      <c r="BA94">
        <f t="shared" si="21"/>
        <v>1.5299999999999999E-2</v>
      </c>
      <c r="BB94">
        <f t="shared" si="21"/>
        <v>2.9100000000000001E-2</v>
      </c>
      <c r="BC94">
        <f t="shared" si="21"/>
        <v>5.8099999999999999E-2</v>
      </c>
      <c r="BD94">
        <f t="shared" si="21"/>
        <v>6.3899999999999998E-2</v>
      </c>
      <c r="BE94">
        <f t="shared" si="21"/>
        <v>7.4300000000000005E-2</v>
      </c>
      <c r="BF94">
        <f t="shared" si="21"/>
        <v>6.9000000000000006E-2</v>
      </c>
      <c r="BG94">
        <f t="shared" si="21"/>
        <v>3.7199999999999997E-2</v>
      </c>
      <c r="BH94">
        <f t="shared" si="21"/>
        <v>-4.1900000000000001E-3</v>
      </c>
      <c r="BI94">
        <f t="shared" si="21"/>
        <v>-3.6299999999999999E-2</v>
      </c>
      <c r="BJ94">
        <f t="shared" si="21"/>
        <v>-5.91E-2</v>
      </c>
      <c r="BK94">
        <f t="shared" si="21"/>
        <v>-6.7199999999999996E-2</v>
      </c>
      <c r="BL94">
        <f t="shared" si="21"/>
        <v>-4.1700000000000001E-2</v>
      </c>
      <c r="BM94">
        <f t="shared" si="21"/>
        <v>-3.0800000000000001E-2</v>
      </c>
      <c r="BN94">
        <f t="shared" si="21"/>
        <v>7.7600000000000004E-3</v>
      </c>
      <c r="BO94">
        <f t="shared" si="21"/>
        <v>0.10100000000000001</v>
      </c>
      <c r="BP94">
        <f t="shared" si="21"/>
        <v>0.183</v>
      </c>
      <c r="BQ94">
        <f t="shared" ref="BQ94:CX94" si="22">BQ85</f>
        <v>0.17699999999999999</v>
      </c>
      <c r="BR94">
        <f t="shared" si="22"/>
        <v>0.13300000000000001</v>
      </c>
      <c r="BS94">
        <f t="shared" si="22"/>
        <v>0.11700000000000001</v>
      </c>
      <c r="BT94">
        <f t="shared" si="22"/>
        <v>0.114</v>
      </c>
      <c r="BU94">
        <f t="shared" si="22"/>
        <v>4.4999999999999998E-2</v>
      </c>
      <c r="BV94">
        <f t="shared" si="22"/>
        <v>-0.111</v>
      </c>
      <c r="BW94">
        <f t="shared" si="22"/>
        <v>-0.16300000000000001</v>
      </c>
      <c r="BX94">
        <f t="shared" si="22"/>
        <v>-0.104</v>
      </c>
      <c r="BY94">
        <f t="shared" si="22"/>
        <v>-3.2500000000000001E-2</v>
      </c>
      <c r="BZ94">
        <f t="shared" si="22"/>
        <v>3.0300000000000001E-3</v>
      </c>
      <c r="CA94">
        <f t="shared" si="22"/>
        <v>-1.0999999999999999E-2</v>
      </c>
      <c r="CB94">
        <f t="shared" si="22"/>
        <v>-6.8199999999999997E-3</v>
      </c>
      <c r="CC94">
        <f t="shared" si="22"/>
        <v>1.38E-2</v>
      </c>
      <c r="CD94">
        <f t="shared" si="22"/>
        <v>9.9400000000000002E-2</v>
      </c>
      <c r="CE94">
        <f t="shared" si="22"/>
        <v>0.188</v>
      </c>
      <c r="CF94">
        <f t="shared" si="22"/>
        <v>0.20899999999999999</v>
      </c>
      <c r="CG94">
        <f t="shared" si="22"/>
        <v>0.126</v>
      </c>
      <c r="CH94">
        <f t="shared" si="22"/>
        <v>-7.5399999999999995E-2</v>
      </c>
      <c r="CI94">
        <f t="shared" si="22"/>
        <v>-0.17100000000000001</v>
      </c>
      <c r="CJ94">
        <f t="shared" si="22"/>
        <v>-0.158</v>
      </c>
      <c r="CK94">
        <f t="shared" si="22"/>
        <v>0.19800000000000001</v>
      </c>
      <c r="CL94">
        <f t="shared" si="22"/>
        <v>0.26100000000000001</v>
      </c>
      <c r="CM94">
        <f t="shared" si="22"/>
        <v>0.20100000000000001</v>
      </c>
      <c r="CN94">
        <f t="shared" si="22"/>
        <v>0.106</v>
      </c>
      <c r="CO94">
        <f t="shared" si="22"/>
        <v>0.11700000000000001</v>
      </c>
      <c r="CP94">
        <f t="shared" si="22"/>
        <v>0.18099999999999999</v>
      </c>
      <c r="CQ94">
        <f t="shared" si="22"/>
        <v>0.28399999999999997</v>
      </c>
      <c r="CR94">
        <f t="shared" si="22"/>
        <v>0.14099999999999999</v>
      </c>
      <c r="CS94">
        <f t="shared" si="22"/>
        <v>4.1599999999999996E-3</v>
      </c>
      <c r="CT94">
        <f t="shared" si="22"/>
        <v>9.4899999999999998E-2</v>
      </c>
      <c r="CU94">
        <f t="shared" si="22"/>
        <v>-8.0199999999999994E-3</v>
      </c>
      <c r="CV94">
        <f t="shared" si="22"/>
        <v>0.34200000000000003</v>
      </c>
      <c r="CW94">
        <f t="shared" si="22"/>
        <v>-7.9399999999999991E-3</v>
      </c>
      <c r="CX94">
        <f t="shared" si="22"/>
        <v>3.6700000000000003E-2</v>
      </c>
    </row>
    <row r="95" spans="1:102" x14ac:dyDescent="0.2">
      <c r="A95" t="s">
        <v>203</v>
      </c>
      <c r="B95" t="s">
        <v>217</v>
      </c>
      <c r="C95" t="s">
        <v>223</v>
      </c>
      <c r="D95">
        <f>'2020_2021_hab'!B2</f>
        <v>0.19900000000000001</v>
      </c>
      <c r="E95">
        <f>'2020_2021_hab'!C2</f>
        <v>0.55800000000000005</v>
      </c>
      <c r="F95">
        <f>'2020_2021_hab'!D2</f>
        <v>0.78600000000000003</v>
      </c>
      <c r="G95">
        <f>'2020_2021_hab'!E2</f>
        <v>0.88</v>
      </c>
      <c r="H95">
        <f>'2020_2021_hab'!F2</f>
        <v>1.075</v>
      </c>
      <c r="I95">
        <f>'2020_2021_hab'!G2</f>
        <v>1.1379999999999999</v>
      </c>
      <c r="J95">
        <f>'2020_2021_hab'!H2</f>
        <v>1.246</v>
      </c>
      <c r="K95">
        <f>'2020_2021_hab'!I2</f>
        <v>1.3069999999999999</v>
      </c>
      <c r="L95">
        <f>'2020_2021_hab'!J2</f>
        <v>1.4079999999999999</v>
      </c>
      <c r="M95">
        <f>'2020_2021_hab'!K2</f>
        <v>1.4470000000000001</v>
      </c>
      <c r="N95">
        <f>'2020_2021_hab'!L2</f>
        <v>1.5409999999999999</v>
      </c>
      <c r="O95">
        <f>'2020_2021_hab'!M2</f>
        <v>1.5469999999999999</v>
      </c>
      <c r="P95">
        <f>'2020_2021_hab'!N2</f>
        <v>1.579</v>
      </c>
      <c r="Q95">
        <f>'2020_2021_hab'!O2</f>
        <v>1.6319999999999999</v>
      </c>
      <c r="R95">
        <f>'2020_2021_hab'!P2</f>
        <v>1.663</v>
      </c>
      <c r="S95">
        <f>'2020_2021_hab'!Q2</f>
        <v>1.6759999999999999</v>
      </c>
      <c r="T95">
        <f>'2020_2021_hab'!R2</f>
        <v>1.7010000000000001</v>
      </c>
      <c r="U95">
        <f>'2020_2021_hab'!S2</f>
        <v>1.7509999999999999</v>
      </c>
      <c r="V95">
        <f>'2020_2021_hab'!T2</f>
        <v>1.7649999999999999</v>
      </c>
      <c r="W95">
        <f>'2020_2021_hab'!U2</f>
        <v>1.7789999999999999</v>
      </c>
      <c r="X95">
        <f>'2020_2021_hab'!V2</f>
        <v>1.7929999999999999</v>
      </c>
      <c r="Y95">
        <f>'2020_2021_hab'!W2</f>
        <v>1.806</v>
      </c>
      <c r="Z95">
        <f>'2020_2021_hab'!X2</f>
        <v>1.82</v>
      </c>
      <c r="AA95">
        <f>'2020_2021_hab'!Y2</f>
        <v>1.7929999999999999</v>
      </c>
      <c r="AB95">
        <f>'2020_2021_hab'!Z2</f>
        <v>1.796</v>
      </c>
      <c r="AC95">
        <f>'2020_2021_hab'!AA2</f>
        <v>1.831</v>
      </c>
      <c r="AD95">
        <f>'2020_2021_hab'!AB2</f>
        <v>1.847</v>
      </c>
      <c r="AE95">
        <f>'2020_2021_hab'!AC2</f>
        <v>1.8480000000000001</v>
      </c>
      <c r="AF95">
        <f>'2020_2021_hab'!AD2</f>
        <v>1.861</v>
      </c>
      <c r="AG95">
        <f>'2020_2021_hab'!AE2</f>
        <v>1.873</v>
      </c>
      <c r="AH95">
        <f>'2020_2021_hab'!AF2</f>
        <v>1.8859999999999999</v>
      </c>
      <c r="AI95">
        <f>'2020_2021_hab'!AG2</f>
        <v>1.857</v>
      </c>
      <c r="AJ95">
        <f>'2020_2021_hab'!AH2</f>
        <v>1.9019999999999999</v>
      </c>
      <c r="AK95">
        <f>'2020_2021_hab'!AI2</f>
        <v>1.9259999999999999</v>
      </c>
      <c r="AL95">
        <f>'2020_2021_hab'!AJ2</f>
        <v>1.9419999999999999</v>
      </c>
      <c r="AM95">
        <f>'2020_2021_hab'!AK2</f>
        <v>1.956</v>
      </c>
      <c r="AN95">
        <f>'2020_2021_hab'!AL2</f>
        <v>1.9350000000000001</v>
      </c>
      <c r="AO95">
        <f>'2020_2021_hab'!AM2</f>
        <v>1.9770000000000001</v>
      </c>
      <c r="AP95">
        <f>'2020_2021_hab'!AN2</f>
        <v>1.996</v>
      </c>
      <c r="AQ95">
        <f>'2020_2021_hab'!AO2</f>
        <v>2.0179999999999998</v>
      </c>
      <c r="AR95">
        <f>'2020_2021_hab'!AP2</f>
        <v>2.0419999999999998</v>
      </c>
      <c r="AS95">
        <f>'2020_2021_hab'!AQ2</f>
        <v>2.0590000000000002</v>
      </c>
      <c r="AT95">
        <f>'2020_2021_hab'!AR2</f>
        <v>2.0680000000000001</v>
      </c>
      <c r="AU95">
        <f>'2020_2021_hab'!AS2</f>
        <v>2.0840000000000001</v>
      </c>
      <c r="AV95">
        <f>'2020_2021_hab'!AT2</f>
        <v>2.0910000000000002</v>
      </c>
      <c r="AW95">
        <f>'2020_2021_hab'!AU2</f>
        <v>2.1070000000000002</v>
      </c>
      <c r="AX95">
        <f>'2020_2021_hab'!AV2</f>
        <v>2.1349999999999998</v>
      </c>
      <c r="AY95">
        <f>'2020_2021_hab'!AW2</f>
        <v>2.1419999999999999</v>
      </c>
      <c r="AZ95">
        <f>'2020_2021_hab'!AX2</f>
        <v>2.17</v>
      </c>
      <c r="BA95">
        <f>'2020_2021_hab'!AY2</f>
        <v>2.1859999999999999</v>
      </c>
      <c r="BB95">
        <f>'2020_2021_hab'!AZ2</f>
        <v>2.2029999999999998</v>
      </c>
      <c r="BC95">
        <f>'2020_2021_hab'!BA2</f>
        <v>2.21</v>
      </c>
      <c r="BD95">
        <f>'2020_2021_hab'!BB2</f>
        <v>2.222</v>
      </c>
      <c r="BE95">
        <f>'2020_2021_hab'!BC2</f>
        <v>2.2400000000000002</v>
      </c>
      <c r="BF95">
        <f>'2020_2021_hab'!BD2</f>
        <v>2.2559999999999998</v>
      </c>
      <c r="BG95">
        <f>'2020_2021_hab'!BE2</f>
        <v>2.2759999999999998</v>
      </c>
      <c r="BH95">
        <f>'2020_2021_hab'!BF2</f>
        <v>2.298</v>
      </c>
      <c r="BI95">
        <f>'2020_2021_hab'!BG2</f>
        <v>2.34</v>
      </c>
      <c r="BJ95">
        <f>'2020_2021_hab'!BH2</f>
        <v>2.35</v>
      </c>
      <c r="BK95">
        <f>'2020_2021_hab'!BI2</f>
        <v>2.37</v>
      </c>
      <c r="BL95">
        <f>'2020_2021_hab'!BJ2</f>
        <v>2.3719999999999999</v>
      </c>
      <c r="BM95">
        <f>'2020_2021_hab'!BK2</f>
        <v>2.4140000000000001</v>
      </c>
      <c r="BN95">
        <f>'2020_2021_hab'!BL2</f>
        <v>2.4590000000000001</v>
      </c>
      <c r="BO95">
        <f>'2020_2021_hab'!BM2</f>
        <v>2.4790000000000001</v>
      </c>
      <c r="BP95">
        <f>'2020_2021_hab'!BN2</f>
        <v>2.4990000000000001</v>
      </c>
      <c r="BQ95">
        <f>'2020_2021_hab'!BO2</f>
        <v>2.5179999999999998</v>
      </c>
      <c r="BR95">
        <f>'2020_2021_hab'!BP2</f>
        <v>2.4849999999999999</v>
      </c>
      <c r="BS95">
        <f>'2020_2021_hab'!BQ2</f>
        <v>2.5099999999999998</v>
      </c>
      <c r="BT95">
        <f>'2020_2021_hab'!BR2</f>
        <v>2.5539999999999998</v>
      </c>
      <c r="BU95">
        <f>'2020_2021_hab'!BS2</f>
        <v>2.581</v>
      </c>
      <c r="BV95">
        <f>'2020_2021_hab'!BT2</f>
        <v>2.5979999999999999</v>
      </c>
      <c r="BW95">
        <f>'2020_2021_hab'!BU2</f>
        <v>2.6419999999999999</v>
      </c>
      <c r="BX95">
        <f>'2020_2021_hab'!BV2</f>
        <v>2.68</v>
      </c>
      <c r="BY95">
        <f>'2020_2021_hab'!BW2</f>
        <v>2.71</v>
      </c>
      <c r="BZ95">
        <f>'2020_2021_hab'!BX2</f>
        <v>2.7360000000000002</v>
      </c>
      <c r="CA95">
        <f>'2020_2021_hab'!BY2</f>
        <v>2.762</v>
      </c>
      <c r="CB95">
        <f>'2020_2021_hab'!BZ2</f>
        <v>2.7829999999999999</v>
      </c>
      <c r="CC95">
        <f>'2020_2021_hab'!CA2</f>
        <v>2.8290000000000002</v>
      </c>
      <c r="CD95">
        <f>'2020_2021_hab'!CB2</f>
        <v>2.88</v>
      </c>
      <c r="CE95">
        <f>'2020_2021_hab'!CC2</f>
        <v>2.9129999999999998</v>
      </c>
      <c r="CF95">
        <f>'2020_2021_hab'!CD2</f>
        <v>2.9180000000000001</v>
      </c>
      <c r="CG95">
        <f>'2020_2021_hab'!CE2</f>
        <v>2.9630000000000001</v>
      </c>
      <c r="CH95">
        <f>'2020_2021_hab'!CF2</f>
        <v>3.0139999999999998</v>
      </c>
      <c r="CI95">
        <f>'2020_2021_hab'!CG2</f>
        <v>3.0529999999999999</v>
      </c>
      <c r="CJ95">
        <f>'2020_2021_hab'!CH2</f>
        <v>3.14</v>
      </c>
      <c r="CK95">
        <f>'2020_2021_hab'!CI2</f>
        <v>3.1549999999999998</v>
      </c>
      <c r="CL95">
        <f>'2020_2021_hab'!CJ2</f>
        <v>3.161</v>
      </c>
      <c r="CM95">
        <f>'2020_2021_hab'!CK2</f>
        <v>3.2570000000000001</v>
      </c>
      <c r="CN95">
        <f>'2020_2021_hab'!CL2</f>
        <v>3.3220000000000001</v>
      </c>
      <c r="CO95">
        <f>'2020_2021_hab'!CM2</f>
        <v>3.4020000000000001</v>
      </c>
      <c r="CP95">
        <f>'2020_2021_hab'!CN2</f>
        <v>3.43</v>
      </c>
      <c r="CQ95">
        <f>'2020_2021_hab'!CO2</f>
        <v>3.51</v>
      </c>
      <c r="CR95">
        <f>'2020_2021_hab'!CP2</f>
        <v>3.5680000000000001</v>
      </c>
      <c r="CS95">
        <f>'2020_2021_hab'!CQ2</f>
        <v>3.6970000000000001</v>
      </c>
      <c r="CT95">
        <f>'2020_2021_hab'!CR2</f>
        <v>3.8410000000000002</v>
      </c>
      <c r="CU95">
        <f>'2020_2021_hab'!CS2</f>
        <v>3.9510000000000001</v>
      </c>
      <c r="CV95">
        <f>'2020_2021_hab'!CT2</f>
        <v>4.13</v>
      </c>
      <c r="CW95">
        <f>'2020_2021_hab'!CU2</f>
        <v>4.3460000000000001</v>
      </c>
      <c r="CX95">
        <f>'2020_2021_hab'!CV2</f>
        <v>4.6529999999999996</v>
      </c>
    </row>
    <row r="96" spans="1:102" x14ac:dyDescent="0.2">
      <c r="A96" t="s">
        <v>204</v>
      </c>
      <c r="B96" t="s">
        <v>217</v>
      </c>
      <c r="C96" t="s">
        <v>223</v>
      </c>
      <c r="D96">
        <f>'2020_2021_hab'!B3</f>
        <v>0.19</v>
      </c>
      <c r="E96">
        <f>'2020_2021_hab'!C3</f>
        <v>0.48399999999999999</v>
      </c>
      <c r="F96">
        <f>'2020_2021_hab'!D3</f>
        <v>0.70499999999999996</v>
      </c>
      <c r="G96">
        <f>'2020_2021_hab'!E3</f>
        <v>0.88800000000000001</v>
      </c>
      <c r="H96">
        <f>'2020_2021_hab'!F3</f>
        <v>0.997</v>
      </c>
      <c r="I96">
        <f>'2020_2021_hab'!G3</f>
        <v>1.111</v>
      </c>
      <c r="J96">
        <f>'2020_2021_hab'!H3</f>
        <v>1.1970000000000001</v>
      </c>
      <c r="K96">
        <f>'2020_2021_hab'!I3</f>
        <v>1.292</v>
      </c>
      <c r="L96">
        <f>'2020_2021_hab'!J3</f>
        <v>1.3879999999999999</v>
      </c>
      <c r="M96">
        <f>'2020_2021_hab'!K3</f>
        <v>1.4219999999999999</v>
      </c>
      <c r="N96">
        <f>'2020_2021_hab'!L3</f>
        <v>1.492</v>
      </c>
      <c r="O96">
        <f>'2020_2021_hab'!M3</f>
        <v>1.575</v>
      </c>
      <c r="P96">
        <f>'2020_2021_hab'!N3</f>
        <v>1.583</v>
      </c>
      <c r="Q96">
        <f>'2020_2021_hab'!O3</f>
        <v>1.613</v>
      </c>
      <c r="R96">
        <f>'2020_2021_hab'!P3</f>
        <v>1.647</v>
      </c>
      <c r="S96">
        <f>'2020_2021_hab'!Q3</f>
        <v>1.6719999999999999</v>
      </c>
      <c r="T96">
        <f>'2020_2021_hab'!R3</f>
        <v>1.704</v>
      </c>
      <c r="U96">
        <f>'2020_2021_hab'!S3</f>
        <v>1.718</v>
      </c>
      <c r="V96">
        <f>'2020_2021_hab'!T3</f>
        <v>1.744</v>
      </c>
      <c r="W96">
        <f>'2020_2021_hab'!U3</f>
        <v>1.7509999999999999</v>
      </c>
      <c r="X96">
        <f>'2020_2021_hab'!V3</f>
        <v>1.758</v>
      </c>
      <c r="Y96">
        <f>'2020_2021_hab'!W3</f>
        <v>1.7949999999999999</v>
      </c>
      <c r="Z96">
        <f>'2020_2021_hab'!X3</f>
        <v>1.802</v>
      </c>
      <c r="AA96">
        <f>'2020_2021_hab'!Y3</f>
        <v>1.8009999999999999</v>
      </c>
      <c r="AB96">
        <f>'2020_2021_hab'!Z3</f>
        <v>1.806</v>
      </c>
      <c r="AC96">
        <f>'2020_2021_hab'!AA3</f>
        <v>1.8109999999999999</v>
      </c>
      <c r="AD96">
        <f>'2020_2021_hab'!AB3</f>
        <v>1.839</v>
      </c>
      <c r="AE96">
        <f>'2020_2021_hab'!AC3</f>
        <v>1.8440000000000001</v>
      </c>
      <c r="AF96">
        <f>'2020_2021_hab'!AD3</f>
        <v>1.8520000000000001</v>
      </c>
      <c r="AG96">
        <f>'2020_2021_hab'!AE3</f>
        <v>1.86</v>
      </c>
      <c r="AH96">
        <f>'2020_2021_hab'!AF3</f>
        <v>1.881</v>
      </c>
      <c r="AI96">
        <f>'2020_2021_hab'!AG3</f>
        <v>1.889</v>
      </c>
      <c r="AJ96">
        <f>'2020_2021_hab'!AH3</f>
        <v>1.895</v>
      </c>
      <c r="AK96">
        <f>'2020_2021_hab'!AI3</f>
        <v>1.9119999999999999</v>
      </c>
      <c r="AL96">
        <f>'2020_2021_hab'!AJ3</f>
        <v>1.95</v>
      </c>
      <c r="AM96">
        <f>'2020_2021_hab'!AK3</f>
        <v>1.9690000000000001</v>
      </c>
      <c r="AN96">
        <f>'2020_2021_hab'!AL3</f>
        <v>1.9810000000000001</v>
      </c>
      <c r="AO96">
        <f>'2020_2021_hab'!AM3</f>
        <v>1.9830000000000001</v>
      </c>
      <c r="AP96">
        <f>'2020_2021_hab'!AN3</f>
        <v>1.9890000000000001</v>
      </c>
      <c r="AQ96">
        <f>'2020_2021_hab'!AO3</f>
        <v>2.008</v>
      </c>
      <c r="AR96">
        <f>'2020_2021_hab'!AP3</f>
        <v>2.028</v>
      </c>
      <c r="AS96">
        <f>'2020_2021_hab'!AQ3</f>
        <v>2.0470000000000002</v>
      </c>
      <c r="AT96">
        <f>'2020_2021_hab'!AR3</f>
        <v>2.0649999999999999</v>
      </c>
      <c r="AU96">
        <f>'2020_2021_hab'!AS3</f>
        <v>2.089</v>
      </c>
      <c r="AV96">
        <f>'2020_2021_hab'!AT3</f>
        <v>2.0950000000000002</v>
      </c>
      <c r="AW96">
        <f>'2020_2021_hab'!AU3</f>
        <v>2.1139999999999999</v>
      </c>
      <c r="AX96">
        <f>'2020_2021_hab'!AV3</f>
        <v>2.1160000000000001</v>
      </c>
      <c r="AY96">
        <f>'2020_2021_hab'!AW3</f>
        <v>2.137</v>
      </c>
      <c r="AZ96">
        <f>'2020_2021_hab'!AX3</f>
        <v>2.1469999999999998</v>
      </c>
      <c r="BA96">
        <f>'2020_2021_hab'!AY3</f>
        <v>2.1760000000000002</v>
      </c>
      <c r="BB96">
        <f>'2020_2021_hab'!AZ3</f>
        <v>2.2029999999999998</v>
      </c>
      <c r="BC96">
        <f>'2020_2021_hab'!BA3</f>
        <v>2.2170000000000001</v>
      </c>
      <c r="BD96">
        <f>'2020_2021_hab'!BB3</f>
        <v>2.2090000000000001</v>
      </c>
      <c r="BE96">
        <f>'2020_2021_hab'!BC3</f>
        <v>2.2290000000000001</v>
      </c>
      <c r="BF96">
        <f>'2020_2021_hab'!BD3</f>
        <v>2.2679999999999998</v>
      </c>
      <c r="BG96">
        <f>'2020_2021_hab'!BE3</f>
        <v>2.2719999999999998</v>
      </c>
      <c r="BH96">
        <f>'2020_2021_hab'!BF3</f>
        <v>2.2919999999999998</v>
      </c>
      <c r="BI96">
        <f>'2020_2021_hab'!BG3</f>
        <v>2.3109999999999999</v>
      </c>
      <c r="BJ96">
        <f>'2020_2021_hab'!BH3</f>
        <v>2.3180000000000001</v>
      </c>
      <c r="BK96">
        <f>'2020_2021_hab'!BI3</f>
        <v>2.3490000000000002</v>
      </c>
      <c r="BL96">
        <f>'2020_2021_hab'!BJ3</f>
        <v>2.3889999999999998</v>
      </c>
      <c r="BM96">
        <f>'2020_2021_hab'!BK3</f>
        <v>2.4</v>
      </c>
      <c r="BN96">
        <f>'2020_2021_hab'!BL3</f>
        <v>2.4020000000000001</v>
      </c>
      <c r="BO96">
        <f>'2020_2021_hab'!BM3</f>
        <v>2.4359999999999999</v>
      </c>
      <c r="BP96">
        <f>'2020_2021_hab'!BN3</f>
        <v>2.4929999999999999</v>
      </c>
      <c r="BQ96">
        <f>'2020_2021_hab'!BO3</f>
        <v>2.504</v>
      </c>
      <c r="BR96">
        <f>'2020_2021_hab'!BP3</f>
        <v>2.496</v>
      </c>
      <c r="BS96">
        <f>'2020_2021_hab'!BQ3</f>
        <v>2.5</v>
      </c>
      <c r="BT96">
        <f>'2020_2021_hab'!BR3</f>
        <v>2.5030000000000001</v>
      </c>
      <c r="BU96">
        <f>'2020_2021_hab'!BS3</f>
        <v>2.5379999999999998</v>
      </c>
      <c r="BV96">
        <f>'2020_2021_hab'!BT3</f>
        <v>2.5840000000000001</v>
      </c>
      <c r="BW96">
        <f>'2020_2021_hab'!BU3</f>
        <v>2.621</v>
      </c>
      <c r="BX96">
        <f>'2020_2021_hab'!BV3</f>
        <v>2.6389999999999998</v>
      </c>
      <c r="BY96">
        <f>'2020_2021_hab'!BW3</f>
        <v>2.6789999999999998</v>
      </c>
      <c r="BZ96">
        <f>'2020_2021_hab'!BX3</f>
        <v>2.718</v>
      </c>
      <c r="CA96">
        <f>'2020_2021_hab'!BY3</f>
        <v>2.7210000000000001</v>
      </c>
      <c r="CB96">
        <f>'2020_2021_hab'!BZ3</f>
        <v>2.7759999999999998</v>
      </c>
      <c r="CC96">
        <f>'2020_2021_hab'!CA3</f>
        <v>2.8039999999999998</v>
      </c>
      <c r="CD96">
        <f>'2020_2021_hab'!CB3</f>
        <v>2.8290000000000002</v>
      </c>
      <c r="CE96">
        <f>'2020_2021_hab'!CC3</f>
        <v>2.8959999999999999</v>
      </c>
      <c r="CF96">
        <f>'2020_2021_hab'!CD3</f>
        <v>2.899</v>
      </c>
      <c r="CG96">
        <f>'2020_2021_hab'!CE3</f>
        <v>2.91</v>
      </c>
      <c r="CH96">
        <f>'2020_2021_hab'!CF3</f>
        <v>2.9649999999999999</v>
      </c>
      <c r="CI96">
        <f>'2020_2021_hab'!CG3</f>
        <v>3.012</v>
      </c>
      <c r="CJ96">
        <f>'2020_2021_hab'!CH3</f>
        <v>3.0640000000000001</v>
      </c>
      <c r="CK96">
        <f>'2020_2021_hab'!CI3</f>
        <v>3.1339999999999999</v>
      </c>
      <c r="CL96">
        <f>'2020_2021_hab'!CJ3</f>
        <v>3.2040000000000002</v>
      </c>
      <c r="CM96">
        <f>'2020_2021_hab'!CK3</f>
        <v>3.198</v>
      </c>
      <c r="CN96">
        <f>'2020_2021_hab'!CL3</f>
        <v>3.2719999999999998</v>
      </c>
      <c r="CO96">
        <f>'2020_2021_hab'!CM3</f>
        <v>3.335</v>
      </c>
      <c r="CP96">
        <f>'2020_2021_hab'!CN3</f>
        <v>3.4140000000000001</v>
      </c>
      <c r="CQ96">
        <f>'2020_2021_hab'!CO3</f>
        <v>3.44</v>
      </c>
      <c r="CR96">
        <f>'2020_2021_hab'!CP3</f>
        <v>3.5590000000000002</v>
      </c>
      <c r="CS96">
        <f>'2020_2021_hab'!CQ3</f>
        <v>3.6520000000000001</v>
      </c>
      <c r="CT96">
        <f>'2020_2021_hab'!CR3</f>
        <v>3.76</v>
      </c>
      <c r="CU96">
        <f>'2020_2021_hab'!CS3</f>
        <v>3.887</v>
      </c>
      <c r="CV96">
        <f>'2020_2021_hab'!CT3</f>
        <v>4.1040000000000001</v>
      </c>
      <c r="CW96">
        <f>'2020_2021_hab'!CU3</f>
        <v>4.2880000000000003</v>
      </c>
      <c r="CX96">
        <f>'2020_2021_hab'!CV3</f>
        <v>4.609</v>
      </c>
    </row>
    <row r="97" spans="1:102" x14ac:dyDescent="0.2">
      <c r="A97" t="s">
        <v>205</v>
      </c>
      <c r="B97" t="s">
        <v>217</v>
      </c>
      <c r="C97" t="s">
        <v>223</v>
      </c>
      <c r="D97">
        <f>'2020_2021_hab'!B4</f>
        <v>8.4200000000000004E-3</v>
      </c>
      <c r="E97">
        <f>'2020_2021_hab'!C4</f>
        <v>7.3200000000000001E-2</v>
      </c>
      <c r="F97">
        <f>'2020_2021_hab'!D4</f>
        <v>8.1000000000000003E-2</v>
      </c>
      <c r="G97">
        <f>'2020_2021_hab'!E4</f>
        <v>-7.9699999999999997E-3</v>
      </c>
      <c r="H97">
        <f>'2020_2021_hab'!F4</f>
        <v>7.8200000000000006E-2</v>
      </c>
      <c r="I97">
        <f>'2020_2021_hab'!G4</f>
        <v>2.6499999999999999E-2</v>
      </c>
      <c r="J97">
        <f>'2020_2021_hab'!H4</f>
        <v>4.8099999999999997E-2</v>
      </c>
      <c r="K97">
        <f>'2020_2021_hab'!I4</f>
        <v>1.46E-2</v>
      </c>
      <c r="L97">
        <f>'2020_2021_hab'!J4</f>
        <v>0.02</v>
      </c>
      <c r="M97">
        <f>'2020_2021_hab'!K4</f>
        <v>2.52E-2</v>
      </c>
      <c r="N97">
        <f>'2020_2021_hab'!L4</f>
        <v>4.87E-2</v>
      </c>
      <c r="O97">
        <f>'2020_2021_hab'!M4</f>
        <v>-2.8000000000000001E-2</v>
      </c>
      <c r="P97">
        <f>'2020_2021_hab'!N4</f>
        <v>-4.7999999999999996E-3</v>
      </c>
      <c r="Q97">
        <f>'2020_2021_hab'!O4</f>
        <v>1.8700000000000001E-2</v>
      </c>
      <c r="R97">
        <f>'2020_2021_hab'!P4</f>
        <v>1.6500000000000001E-2</v>
      </c>
      <c r="S97">
        <f>'2020_2021_hab'!Q4</f>
        <v>4.62E-3</v>
      </c>
      <c r="T97">
        <f>'2020_2021_hab'!R4</f>
        <v>-3.0200000000000001E-3</v>
      </c>
      <c r="U97">
        <f>'2020_2021_hab'!S4</f>
        <v>3.3700000000000001E-2</v>
      </c>
      <c r="V97">
        <f>'2020_2021_hab'!T4</f>
        <v>2.12E-2</v>
      </c>
      <c r="W97">
        <f>'2020_2021_hab'!U4</f>
        <v>2.7400000000000001E-2</v>
      </c>
      <c r="X97">
        <f>'2020_2021_hab'!V4</f>
        <v>3.4200000000000001E-2</v>
      </c>
      <c r="Y97">
        <f>'2020_2021_hab'!W4</f>
        <v>1.09E-2</v>
      </c>
      <c r="Z97">
        <f>'2020_2021_hab'!X4</f>
        <v>1.7600000000000001E-2</v>
      </c>
      <c r="AA97">
        <f>'2020_2021_hab'!Y4</f>
        <v>-8.9300000000000004E-3</v>
      </c>
      <c r="AB97">
        <f>'2020_2021_hab'!Z4</f>
        <v>-9.8200000000000006E-3</v>
      </c>
      <c r="AC97">
        <f>'2020_2021_hab'!AA4</f>
        <v>0.02</v>
      </c>
      <c r="AD97">
        <f>'2020_2021_hab'!AB4</f>
        <v>7.7200000000000003E-3</v>
      </c>
      <c r="AE97">
        <f>'2020_2021_hab'!AC4</f>
        <v>4.3E-3</v>
      </c>
      <c r="AF97">
        <f>'2020_2021_hab'!AD4</f>
        <v>8.9899999999999997E-3</v>
      </c>
      <c r="AG97">
        <f>'2020_2021_hab'!AE4</f>
        <v>1.38E-2</v>
      </c>
      <c r="AH97">
        <f>'2020_2021_hab'!AF4</f>
        <v>5.0000000000000001E-3</v>
      </c>
      <c r="AI97">
        <f>'2020_2021_hab'!AG4</f>
        <v>-3.2000000000000001E-2</v>
      </c>
      <c r="AJ97">
        <f>'2020_2021_hab'!AH4</f>
        <v>6.6100000000000004E-3</v>
      </c>
      <c r="AK97">
        <f>'2020_2021_hab'!AI4</f>
        <v>1.46E-2</v>
      </c>
      <c r="AL97">
        <f>'2020_2021_hab'!AJ4</f>
        <v>-8.0400000000000003E-3</v>
      </c>
      <c r="AM97">
        <f>'2020_2021_hab'!AK4</f>
        <v>-1.2500000000000001E-2</v>
      </c>
      <c r="AN97">
        <f>'2020_2021_hab'!AL4</f>
        <v>-4.5699999999999998E-2</v>
      </c>
      <c r="AO97">
        <f>'2020_2021_hab'!AM4</f>
        <v>-6.0299999999999998E-3</v>
      </c>
      <c r="AP97">
        <f>'2020_2021_hab'!AN4</f>
        <v>6.0800000000000003E-3</v>
      </c>
      <c r="AQ97">
        <f>'2020_2021_hab'!AO4</f>
        <v>9.7599999999999996E-3</v>
      </c>
      <c r="AR97">
        <f>'2020_2021_hab'!AP4</f>
        <v>1.4200000000000001E-2</v>
      </c>
      <c r="AS97">
        <f>'2020_2021_hab'!AQ4</f>
        <v>1.2E-2</v>
      </c>
      <c r="AT97">
        <f>'2020_2021_hab'!AR4</f>
        <v>3.5699999999999998E-3</v>
      </c>
      <c r="AU97">
        <f>'2020_2021_hab'!AS4</f>
        <v>-4.7200000000000002E-3</v>
      </c>
      <c r="AV97">
        <f>'2020_2021_hab'!AT4</f>
        <v>-3.15E-3</v>
      </c>
      <c r="AW97">
        <f>'2020_2021_hab'!AU4</f>
        <v>-7.0400000000000003E-3</v>
      </c>
      <c r="AX97">
        <f>'2020_2021_hab'!AV4</f>
        <v>1.8700000000000001E-2</v>
      </c>
      <c r="AY97">
        <f>'2020_2021_hab'!AW4</f>
        <v>5.1799999999999997E-3</v>
      </c>
      <c r="AZ97">
        <f>'2020_2021_hab'!AX4</f>
        <v>2.2599999999999999E-2</v>
      </c>
      <c r="BA97">
        <f>'2020_2021_hab'!AY4</f>
        <v>1.0699999999999999E-2</v>
      </c>
      <c r="BB97">
        <f>'2020_2021_hab'!AZ4</f>
        <v>-5.5900000000000004E-4</v>
      </c>
      <c r="BC97">
        <f>'2020_2021_hab'!BA4</f>
        <v>-6.79E-3</v>
      </c>
      <c r="BD97">
        <f>'2020_2021_hab'!BB4</f>
        <v>1.24E-2</v>
      </c>
      <c r="BE97">
        <f>'2020_2021_hab'!BC4</f>
        <v>1.03E-2</v>
      </c>
      <c r="BF97">
        <f>'2020_2021_hab'!BD4</f>
        <v>-1.2699999999999999E-2</v>
      </c>
      <c r="BG97">
        <f>'2020_2021_hab'!BE4</f>
        <v>4.3699999999999998E-3</v>
      </c>
      <c r="BH97">
        <f>'2020_2021_hab'!BF4</f>
        <v>5.9699999999999996E-3</v>
      </c>
      <c r="BI97">
        <f>'2020_2021_hab'!BG4</f>
        <v>2.93E-2</v>
      </c>
      <c r="BJ97">
        <f>'2020_2021_hab'!BH4</f>
        <v>3.1300000000000001E-2</v>
      </c>
      <c r="BK97">
        <f>'2020_2021_hab'!BI4</f>
        <v>2.1299999999999999E-2</v>
      </c>
      <c r="BL97">
        <f>'2020_2021_hab'!BJ4</f>
        <v>-1.7100000000000001E-2</v>
      </c>
      <c r="BM97">
        <f>'2020_2021_hab'!BK4</f>
        <v>1.38E-2</v>
      </c>
      <c r="BN97">
        <f>'2020_2021_hab'!BL4</f>
        <v>5.7799999999999997E-2</v>
      </c>
      <c r="BO97">
        <f>'2020_2021_hab'!BM4</f>
        <v>4.2700000000000002E-2</v>
      </c>
      <c r="BP97">
        <f>'2020_2021_hab'!BN4</f>
        <v>5.8799999999999998E-3</v>
      </c>
      <c r="BQ97">
        <f>'2020_2021_hab'!BO4</f>
        <v>1.4E-2</v>
      </c>
      <c r="BR97">
        <f>'2020_2021_hab'!BP4</f>
        <v>-1.0999999999999999E-2</v>
      </c>
      <c r="BS97">
        <f>'2020_2021_hab'!BQ4</f>
        <v>9.7900000000000001E-3</v>
      </c>
      <c r="BT97">
        <f>'2020_2021_hab'!BR4</f>
        <v>5.11E-2</v>
      </c>
      <c r="BU97">
        <f>'2020_2021_hab'!BS4</f>
        <v>4.2900000000000001E-2</v>
      </c>
      <c r="BV97">
        <f>'2020_2021_hab'!BT4</f>
        <v>1.4E-2</v>
      </c>
      <c r="BW97">
        <f>'2020_2021_hab'!BU4</f>
        <v>2.1100000000000001E-2</v>
      </c>
      <c r="BX97">
        <f>'2020_2021_hab'!BV4</f>
        <v>4.1000000000000002E-2</v>
      </c>
      <c r="BY97">
        <f>'2020_2021_hab'!BW4</f>
        <v>3.0800000000000001E-2</v>
      </c>
      <c r="BZ97">
        <f>'2020_2021_hab'!BX4</f>
        <v>1.7999999999999999E-2</v>
      </c>
      <c r="CA97">
        <f>'2020_2021_hab'!BY4</f>
        <v>4.1599999999999998E-2</v>
      </c>
      <c r="CB97">
        <f>'2020_2021_hab'!BZ4</f>
        <v>6.5100000000000002E-3</v>
      </c>
      <c r="CC97">
        <f>'2020_2021_hab'!CA4</f>
        <v>2.4299999999999999E-2</v>
      </c>
      <c r="CD97">
        <f>'2020_2021_hab'!CB4</f>
        <v>5.0900000000000001E-2</v>
      </c>
      <c r="CE97">
        <f>'2020_2021_hab'!CC4</f>
        <v>1.6899999999999998E-2</v>
      </c>
      <c r="CF97">
        <f>'2020_2021_hab'!CD4</f>
        <v>1.8700000000000001E-2</v>
      </c>
      <c r="CG97">
        <f>'2020_2021_hab'!CE4</f>
        <v>5.2299999999999999E-2</v>
      </c>
      <c r="CH97">
        <f>'2020_2021_hab'!CF4</f>
        <v>4.8899999999999999E-2</v>
      </c>
      <c r="CI97">
        <f>'2020_2021_hab'!CG4</f>
        <v>4.1200000000000001E-2</v>
      </c>
      <c r="CJ97">
        <f>'2020_2021_hab'!CH4</f>
        <v>7.6100000000000001E-2</v>
      </c>
      <c r="CK97">
        <f>'2020_2021_hab'!CI4</f>
        <v>2.1100000000000001E-2</v>
      </c>
      <c r="CL97">
        <f>'2020_2021_hab'!CJ4</f>
        <v>-4.3900000000000002E-2</v>
      </c>
      <c r="CM97">
        <f>'2020_2021_hab'!CK4</f>
        <v>5.8299999999999998E-2</v>
      </c>
      <c r="CN97">
        <f>'2020_2021_hab'!CL4</f>
        <v>0.05</v>
      </c>
      <c r="CO97">
        <f>'2020_2021_hab'!CM4</f>
        <v>6.6900000000000001E-2</v>
      </c>
      <c r="CP97">
        <f>'2020_2021_hab'!CN4</f>
        <v>1.6E-2</v>
      </c>
      <c r="CQ97">
        <f>'2020_2021_hab'!CO4</f>
        <v>6.9199999999999998E-2</v>
      </c>
      <c r="CR97">
        <f>'2020_2021_hab'!CP4</f>
        <v>9.0699999999999999E-3</v>
      </c>
      <c r="CS97">
        <f>'2020_2021_hab'!CQ4</f>
        <v>4.4499999999999998E-2</v>
      </c>
      <c r="CT97">
        <f>'2020_2021_hab'!CR4</f>
        <v>8.0799999999999997E-2</v>
      </c>
      <c r="CU97">
        <f>'2020_2021_hab'!CS4</f>
        <v>6.4000000000000001E-2</v>
      </c>
      <c r="CV97">
        <f>'2020_2021_hab'!CT4</f>
        <v>2.58E-2</v>
      </c>
      <c r="CW97">
        <f>'2020_2021_hab'!CU4</f>
        <v>5.7099999999999998E-2</v>
      </c>
      <c r="CX97">
        <f>'2020_2021_hab'!CV4</f>
        <v>4.3999999999999997E-2</v>
      </c>
    </row>
    <row r="98" spans="1:102" x14ac:dyDescent="0.2">
      <c r="A98" t="s">
        <v>206</v>
      </c>
      <c r="B98" t="s">
        <v>217</v>
      </c>
      <c r="C98" t="s">
        <v>223</v>
      </c>
      <c r="D98">
        <f>'2020_2021_hab'!B5</f>
        <v>2.7899999999999999E-3</v>
      </c>
      <c r="E98">
        <f>'2020_2021_hab'!C5</f>
        <v>6.4999999999999997E-3</v>
      </c>
      <c r="F98">
        <f>'2020_2021_hab'!D5</f>
        <v>9.8200000000000006E-3</v>
      </c>
      <c r="G98">
        <f>'2020_2021_hab'!E5</f>
        <v>9.4299999999999991E-3</v>
      </c>
      <c r="H98">
        <f>'2020_2021_hab'!F5</f>
        <v>1.43E-2</v>
      </c>
      <c r="I98">
        <f>'2020_2021_hab'!G5</f>
        <v>1.35E-2</v>
      </c>
      <c r="J98">
        <f>'2020_2021_hab'!H5</f>
        <v>1.6799999999999999E-2</v>
      </c>
      <c r="K98">
        <f>'2020_2021_hab'!I5</f>
        <v>1.7399999999999999E-2</v>
      </c>
      <c r="L98">
        <f>'2020_2021_hab'!J5</f>
        <v>1.6500000000000001E-2</v>
      </c>
      <c r="M98">
        <f>'2020_2021_hab'!K5</f>
        <v>1.8599999999999998E-2</v>
      </c>
      <c r="N98">
        <f>'2020_2021_hab'!L5</f>
        <v>1.7100000000000001E-2</v>
      </c>
      <c r="O98">
        <f>'2020_2021_hab'!M5</f>
        <v>1.29E-2</v>
      </c>
      <c r="P98">
        <f>'2020_2021_hab'!N5</f>
        <v>1.2999999999999999E-2</v>
      </c>
      <c r="Q98">
        <f>'2020_2021_hab'!O5</f>
        <v>1.2699999999999999E-2</v>
      </c>
      <c r="R98">
        <f>'2020_2021_hab'!P5</f>
        <v>1.2200000000000001E-2</v>
      </c>
      <c r="S98">
        <f>'2020_2021_hab'!Q5</f>
        <v>1.26E-2</v>
      </c>
      <c r="T98">
        <f>'2020_2021_hab'!R5</f>
        <v>1.1900000000000001E-2</v>
      </c>
      <c r="U98">
        <f>'2020_2021_hab'!S5</f>
        <v>1.2E-2</v>
      </c>
      <c r="V98">
        <f>'2020_2021_hab'!T5</f>
        <v>1.14E-2</v>
      </c>
      <c r="W98">
        <f>'2020_2021_hab'!U5</f>
        <v>1.2200000000000001E-2</v>
      </c>
      <c r="X98">
        <f>'2020_2021_hab'!V5</f>
        <v>1.3100000000000001E-2</v>
      </c>
      <c r="Y98">
        <f>'2020_2021_hab'!W5</f>
        <v>1.26E-2</v>
      </c>
      <c r="Z98">
        <f>'2020_2021_hab'!X5</f>
        <v>1.32E-2</v>
      </c>
      <c r="AA98">
        <f>'2020_2021_hab'!Y5</f>
        <v>1.41E-2</v>
      </c>
      <c r="AB98">
        <f>'2020_2021_hab'!Z5</f>
        <v>1.4200000000000001E-2</v>
      </c>
      <c r="AC98">
        <f>'2020_2021_hab'!AA5</f>
        <v>1.4800000000000001E-2</v>
      </c>
      <c r="AD98">
        <f>'2020_2021_hab'!AB5</f>
        <v>1.52E-2</v>
      </c>
      <c r="AE98">
        <f>'2020_2021_hab'!AC5</f>
        <v>1.5800000000000002E-2</v>
      </c>
      <c r="AF98">
        <f>'2020_2021_hab'!AD5</f>
        <v>1.6199999999999999E-2</v>
      </c>
      <c r="AG98">
        <f>'2020_2021_hab'!AE5</f>
        <v>1.72E-2</v>
      </c>
      <c r="AH98">
        <f>'2020_2021_hab'!AF5</f>
        <v>1.84E-2</v>
      </c>
      <c r="AI98">
        <f>'2020_2021_hab'!AG5</f>
        <v>1.9599999999999999E-2</v>
      </c>
      <c r="AJ98">
        <f>'2020_2021_hab'!AH5</f>
        <v>2.07E-2</v>
      </c>
      <c r="AK98">
        <f>'2020_2021_hab'!AI5</f>
        <v>2.23E-2</v>
      </c>
      <c r="AL98">
        <f>'2020_2021_hab'!AJ5</f>
        <v>2.4400000000000002E-2</v>
      </c>
      <c r="AM98">
        <f>'2020_2021_hab'!AK5</f>
        <v>2.5899999999999999E-2</v>
      </c>
      <c r="AN98">
        <f>'2020_2021_hab'!AL5</f>
        <v>2.7099999999999999E-2</v>
      </c>
      <c r="AO98">
        <f>'2020_2021_hab'!AM5</f>
        <v>2.7699999999999999E-2</v>
      </c>
      <c r="AP98">
        <f>'2020_2021_hab'!AN5</f>
        <v>2.8000000000000001E-2</v>
      </c>
      <c r="AQ98">
        <f>'2020_2021_hab'!AO5</f>
        <v>2.8899999999999999E-2</v>
      </c>
      <c r="AR98">
        <f>'2020_2021_hab'!AP5</f>
        <v>2.98E-2</v>
      </c>
      <c r="AS98">
        <f>'2020_2021_hab'!AQ5</f>
        <v>3.0499999999999999E-2</v>
      </c>
      <c r="AT98">
        <f>'2020_2021_hab'!AR5</f>
        <v>3.1300000000000001E-2</v>
      </c>
      <c r="AU98">
        <f>'2020_2021_hab'!AS5</f>
        <v>3.1800000000000002E-2</v>
      </c>
      <c r="AV98">
        <f>'2020_2021_hab'!AT5</f>
        <v>3.2000000000000001E-2</v>
      </c>
      <c r="AW98">
        <f>'2020_2021_hab'!AU5</f>
        <v>3.2599999999999997E-2</v>
      </c>
      <c r="AX98">
        <f>'2020_2021_hab'!AV5</f>
        <v>3.3500000000000002E-2</v>
      </c>
      <c r="AY98">
        <f>'2020_2021_hab'!AW5</f>
        <v>3.4200000000000001E-2</v>
      </c>
      <c r="AZ98">
        <f>'2020_2021_hab'!AX5</f>
        <v>3.5099999999999999E-2</v>
      </c>
      <c r="BA98">
        <f>'2020_2021_hab'!AY5</f>
        <v>3.61E-2</v>
      </c>
      <c r="BB98">
        <f>'2020_2021_hab'!AZ5</f>
        <v>3.7699999999999997E-2</v>
      </c>
      <c r="BC98">
        <f>'2020_2021_hab'!BA5</f>
        <v>3.7999999999999999E-2</v>
      </c>
      <c r="BD98">
        <f>'2020_2021_hab'!BB5</f>
        <v>3.8800000000000001E-2</v>
      </c>
      <c r="BE98">
        <f>'2020_2021_hab'!BC5</f>
        <v>0.04</v>
      </c>
      <c r="BF98">
        <f>'2020_2021_hab'!BD5</f>
        <v>4.2599999999999999E-2</v>
      </c>
      <c r="BG98">
        <f>'2020_2021_hab'!BE5</f>
        <v>4.3099999999999999E-2</v>
      </c>
      <c r="BH98">
        <f>'2020_2021_hab'!BF5</f>
        <v>4.4499999999999998E-2</v>
      </c>
      <c r="BI98">
        <f>'2020_2021_hab'!BG5</f>
        <v>4.6100000000000002E-2</v>
      </c>
      <c r="BJ98">
        <f>'2020_2021_hab'!BH5</f>
        <v>4.7100000000000003E-2</v>
      </c>
      <c r="BK98">
        <f>'2020_2021_hab'!BI5</f>
        <v>4.8800000000000003E-2</v>
      </c>
      <c r="BL98">
        <f>'2020_2021_hab'!BJ5</f>
        <v>4.9700000000000001E-2</v>
      </c>
      <c r="BM98">
        <f>'2020_2021_hab'!BK5</f>
        <v>4.9700000000000001E-2</v>
      </c>
      <c r="BN98">
        <f>'2020_2021_hab'!BL5</f>
        <v>4.9399999999999999E-2</v>
      </c>
      <c r="BO98">
        <f>'2020_2021_hab'!BM5</f>
        <v>4.8599999999999997E-2</v>
      </c>
      <c r="BP98">
        <f>'2020_2021_hab'!BN5</f>
        <v>4.9099999999999998E-2</v>
      </c>
      <c r="BQ98">
        <f>'2020_2021_hab'!BO5</f>
        <v>4.9099999999999998E-2</v>
      </c>
      <c r="BR98">
        <f>'2020_2021_hab'!BP5</f>
        <v>4.8899999999999999E-2</v>
      </c>
      <c r="BS98">
        <f>'2020_2021_hab'!BQ5</f>
        <v>4.8399999999999999E-2</v>
      </c>
      <c r="BT98">
        <f>'2020_2021_hab'!BR5</f>
        <v>4.8399999999999999E-2</v>
      </c>
      <c r="BU98">
        <f>'2020_2021_hab'!BS5</f>
        <v>5.2900000000000003E-2</v>
      </c>
      <c r="BV98">
        <f>'2020_2021_hab'!BT5</f>
        <v>6.2E-2</v>
      </c>
      <c r="BW98">
        <f>'2020_2021_hab'!BU5</f>
        <v>6.8099999999999994E-2</v>
      </c>
      <c r="BX98">
        <f>'2020_2021_hab'!BV5</f>
        <v>6.9000000000000006E-2</v>
      </c>
      <c r="BY98">
        <f>'2020_2021_hab'!BW5</f>
        <v>6.8900000000000003E-2</v>
      </c>
      <c r="BZ98">
        <f>'2020_2021_hab'!BX5</f>
        <v>6.8500000000000005E-2</v>
      </c>
      <c r="CA98">
        <f>'2020_2021_hab'!BY5</f>
        <v>6.7199999999999996E-2</v>
      </c>
      <c r="CB98">
        <f>'2020_2021_hab'!BZ5</f>
        <v>6.88E-2</v>
      </c>
      <c r="CC98">
        <f>'2020_2021_hab'!CA5</f>
        <v>6.8900000000000003E-2</v>
      </c>
      <c r="CD98">
        <f>'2020_2021_hab'!CB5</f>
        <v>6.8699999999999997E-2</v>
      </c>
      <c r="CE98">
        <f>'2020_2021_hab'!CC5</f>
        <v>7.0699999999999999E-2</v>
      </c>
      <c r="CF98">
        <f>'2020_2021_hab'!CD5</f>
        <v>6.9400000000000003E-2</v>
      </c>
      <c r="CG98">
        <f>'2020_2021_hab'!CE5</f>
        <v>6.7799999999999999E-2</v>
      </c>
      <c r="CH98">
        <f>'2020_2021_hab'!CF5</f>
        <v>7.4499999999999997E-2</v>
      </c>
      <c r="CI98">
        <f>'2020_2021_hab'!CG5</f>
        <v>8.2000000000000003E-2</v>
      </c>
      <c r="CJ98">
        <f>'2020_2021_hab'!CH5</f>
        <v>8.6099999999999996E-2</v>
      </c>
      <c r="CK98">
        <f>'2020_2021_hab'!CI5</f>
        <v>7.9699999999999993E-2</v>
      </c>
      <c r="CL98">
        <f>'2020_2021_hab'!CJ5</f>
        <v>7.5300000000000006E-2</v>
      </c>
      <c r="CM98">
        <f>'2020_2021_hab'!CK5</f>
        <v>6.9900000000000004E-2</v>
      </c>
      <c r="CN98">
        <f>'2020_2021_hab'!CL5</f>
        <v>7.8799999999999995E-2</v>
      </c>
      <c r="CO98">
        <f>'2020_2021_hab'!CM5</f>
        <v>7.9399999999999998E-2</v>
      </c>
      <c r="CP98">
        <f>'2020_2021_hab'!CN5</f>
        <v>7.4499999999999997E-2</v>
      </c>
      <c r="CQ98">
        <f>'2020_2021_hab'!CO5</f>
        <v>7.1499999999999994E-2</v>
      </c>
      <c r="CR98">
        <f>'2020_2021_hab'!CP5</f>
        <v>9.2399999999999996E-2</v>
      </c>
      <c r="CS98">
        <f>'2020_2021_hab'!CQ5</f>
        <v>9.1499999999999998E-2</v>
      </c>
      <c r="CT98">
        <f>'2020_2021_hab'!CR5</f>
        <v>9.2799999999999994E-2</v>
      </c>
      <c r="CU98">
        <f>'2020_2021_hab'!CS5</f>
        <v>8.6599999999999996E-2</v>
      </c>
      <c r="CV98">
        <f>'2020_2021_hab'!CT5</f>
        <v>7.7399999999999997E-2</v>
      </c>
      <c r="CW98">
        <f>'2020_2021_hab'!CU5</f>
        <v>8.9899999999999994E-2</v>
      </c>
      <c r="CX98">
        <f>'2020_2021_hab'!CV5</f>
        <v>6.5799999999999997E-2</v>
      </c>
    </row>
    <row r="99" spans="1:102" x14ac:dyDescent="0.2">
      <c r="A99" t="s">
        <v>207</v>
      </c>
      <c r="B99" t="s">
        <v>217</v>
      </c>
      <c r="C99" t="s">
        <v>223</v>
      </c>
      <c r="D99">
        <f>'2020_2021_hab'!B6</f>
        <v>5.64E-3</v>
      </c>
      <c r="E99">
        <f>'2020_2021_hab'!C6</f>
        <v>6.6699999999999995E-2</v>
      </c>
      <c r="F99">
        <f>'2020_2021_hab'!D6</f>
        <v>7.1199999999999999E-2</v>
      </c>
      <c r="G99">
        <f>'2020_2021_hab'!E6</f>
        <v>-1.7399999999999999E-2</v>
      </c>
      <c r="H99">
        <f>'2020_2021_hab'!F6</f>
        <v>6.3899999999999998E-2</v>
      </c>
      <c r="I99">
        <f>'2020_2021_hab'!G6</f>
        <v>1.2999999999999999E-2</v>
      </c>
      <c r="J99">
        <f>'2020_2021_hab'!H6</f>
        <v>3.1300000000000001E-2</v>
      </c>
      <c r="K99">
        <f>'2020_2021_hab'!I6</f>
        <v>-2.8400000000000001E-3</v>
      </c>
      <c r="L99">
        <f>'2020_2021_hab'!J6</f>
        <v>3.5300000000000002E-3</v>
      </c>
      <c r="M99">
        <f>'2020_2021_hab'!K6</f>
        <v>6.6299999999999996E-3</v>
      </c>
      <c r="N99">
        <f>'2020_2021_hab'!L6</f>
        <v>3.1600000000000003E-2</v>
      </c>
      <c r="O99">
        <f>'2020_2021_hab'!M6</f>
        <v>-4.0899999999999999E-2</v>
      </c>
      <c r="P99">
        <f>'2020_2021_hab'!N6</f>
        <v>-1.78E-2</v>
      </c>
      <c r="Q99">
        <f>'2020_2021_hab'!O6</f>
        <v>6.0200000000000002E-3</v>
      </c>
      <c r="R99">
        <f>'2020_2021_hab'!P6</f>
        <v>4.2700000000000004E-3</v>
      </c>
      <c r="S99">
        <f>'2020_2021_hab'!Q6</f>
        <v>-7.9699999999999997E-3</v>
      </c>
      <c r="T99">
        <f>'2020_2021_hab'!R6</f>
        <v>-1.49E-2</v>
      </c>
      <c r="U99">
        <f>'2020_2021_hab'!S6</f>
        <v>2.1600000000000001E-2</v>
      </c>
      <c r="V99">
        <f>'2020_2021_hab'!T6</f>
        <v>9.7599999999999996E-3</v>
      </c>
      <c r="W99">
        <f>'2020_2021_hab'!U6</f>
        <v>1.52E-2</v>
      </c>
      <c r="X99">
        <f>'2020_2021_hab'!V6</f>
        <v>2.1100000000000001E-2</v>
      </c>
      <c r="Y99">
        <f>'2020_2021_hab'!W6</f>
        <v>-1.72E-3</v>
      </c>
      <c r="Z99">
        <f>'2020_2021_hab'!X6</f>
        <v>4.3699999999999998E-3</v>
      </c>
      <c r="AA99">
        <f>'2020_2021_hab'!Y6</f>
        <v>-2.3E-2</v>
      </c>
      <c r="AB99">
        <f>'2020_2021_hab'!Z6</f>
        <v>-2.4E-2</v>
      </c>
      <c r="AC99">
        <f>'2020_2021_hab'!AA6</f>
        <v>5.2399999999999999E-3</v>
      </c>
      <c r="AD99">
        <f>'2020_2021_hab'!AB6</f>
        <v>-7.45E-3</v>
      </c>
      <c r="AE99">
        <f>'2020_2021_hab'!AC6</f>
        <v>-1.15E-2</v>
      </c>
      <c r="AF99">
        <f>'2020_2021_hab'!AD6</f>
        <v>-7.1999999999999998E-3</v>
      </c>
      <c r="AG99">
        <f>'2020_2021_hab'!AE6</f>
        <v>-3.3600000000000001E-3</v>
      </c>
      <c r="AH99">
        <f>'2020_2021_hab'!AF6</f>
        <v>-1.34E-2</v>
      </c>
      <c r="AI99">
        <f>'2020_2021_hab'!AG6</f>
        <v>-5.16E-2</v>
      </c>
      <c r="AJ99">
        <f>'2020_2021_hab'!AH6</f>
        <v>-1.41E-2</v>
      </c>
      <c r="AK99">
        <f>'2020_2021_hab'!AI6</f>
        <v>-7.7600000000000004E-3</v>
      </c>
      <c r="AL99">
        <f>'2020_2021_hab'!AJ6</f>
        <v>-3.2399999999999998E-2</v>
      </c>
      <c r="AM99">
        <f>'2020_2021_hab'!AK6</f>
        <v>-3.8399999999999997E-2</v>
      </c>
      <c r="AN99">
        <f>'2020_2021_hab'!AL6</f>
        <v>-7.2800000000000004E-2</v>
      </c>
      <c r="AO99">
        <f>'2020_2021_hab'!AM6</f>
        <v>-3.3700000000000001E-2</v>
      </c>
      <c r="AP99">
        <f>'2020_2021_hab'!AN6</f>
        <v>-2.1899999999999999E-2</v>
      </c>
      <c r="AQ99">
        <f>'2020_2021_hab'!AO6</f>
        <v>-1.9099999999999999E-2</v>
      </c>
      <c r="AR99">
        <f>'2020_2021_hab'!AP6</f>
        <v>-1.5599999999999999E-2</v>
      </c>
      <c r="AS99">
        <f>'2020_2021_hab'!AQ6</f>
        <v>-1.8499999999999999E-2</v>
      </c>
      <c r="AT99">
        <f>'2020_2021_hab'!AR6</f>
        <v>-2.7699999999999999E-2</v>
      </c>
      <c r="AU99">
        <f>'2020_2021_hab'!AS6</f>
        <v>-3.6499999999999998E-2</v>
      </c>
      <c r="AV99">
        <f>'2020_2021_hab'!AT6</f>
        <v>-3.5200000000000002E-2</v>
      </c>
      <c r="AW99">
        <f>'2020_2021_hab'!AU6</f>
        <v>-3.9600000000000003E-2</v>
      </c>
      <c r="AX99">
        <f>'2020_2021_hab'!AV6</f>
        <v>-1.4800000000000001E-2</v>
      </c>
      <c r="AY99">
        <f>'2020_2021_hab'!AW6</f>
        <v>-2.9100000000000001E-2</v>
      </c>
      <c r="AZ99">
        <f>'2020_2021_hab'!AX6</f>
        <v>-1.24E-2</v>
      </c>
      <c r="BA99">
        <f>'2020_2021_hab'!AY6</f>
        <v>-2.5499999999999998E-2</v>
      </c>
      <c r="BB99">
        <f>'2020_2021_hab'!AZ6</f>
        <v>-3.8300000000000001E-2</v>
      </c>
      <c r="BC99">
        <f>'2020_2021_hab'!BA6</f>
        <v>-4.48E-2</v>
      </c>
      <c r="BD99">
        <f>'2020_2021_hab'!BB6</f>
        <v>-2.64E-2</v>
      </c>
      <c r="BE99">
        <f>'2020_2021_hab'!BC6</f>
        <v>-2.9700000000000001E-2</v>
      </c>
      <c r="BF99">
        <f>'2020_2021_hab'!BD6</f>
        <v>-5.5300000000000002E-2</v>
      </c>
      <c r="BG99">
        <f>'2020_2021_hab'!BE6</f>
        <v>-3.8800000000000001E-2</v>
      </c>
      <c r="BH99">
        <f>'2020_2021_hab'!BF6</f>
        <v>-3.85E-2</v>
      </c>
      <c r="BI99">
        <f>'2020_2021_hab'!BG6</f>
        <v>-1.6799999999999999E-2</v>
      </c>
      <c r="BJ99">
        <f>'2020_2021_hab'!BH6</f>
        <v>-1.5800000000000002E-2</v>
      </c>
      <c r="BK99">
        <f>'2020_2021_hab'!BI6</f>
        <v>-2.75E-2</v>
      </c>
      <c r="BL99">
        <f>'2020_2021_hab'!BJ6</f>
        <v>-6.6799999999999998E-2</v>
      </c>
      <c r="BM99">
        <f>'2020_2021_hab'!BK6</f>
        <v>-3.5900000000000001E-2</v>
      </c>
      <c r="BN99">
        <f>'2020_2021_hab'!BL6</f>
        <v>8.4200000000000004E-3</v>
      </c>
      <c r="BO99">
        <f>'2020_2021_hab'!BM6</f>
        <v>-5.9300000000000004E-3</v>
      </c>
      <c r="BP99">
        <f>'2020_2021_hab'!BN6</f>
        <v>-4.3200000000000002E-2</v>
      </c>
      <c r="BQ99">
        <f>'2020_2021_hab'!BO6</f>
        <v>-3.5099999999999999E-2</v>
      </c>
      <c r="BR99">
        <f>'2020_2021_hab'!BP6</f>
        <v>-0.06</v>
      </c>
      <c r="BS99">
        <f>'2020_2021_hab'!BQ6</f>
        <v>-3.8600000000000002E-2</v>
      </c>
      <c r="BT99">
        <f>'2020_2021_hab'!BR6</f>
        <v>2.64E-3</v>
      </c>
      <c r="BU99">
        <f>'2020_2021_hab'!BS6</f>
        <v>-9.9500000000000005E-3</v>
      </c>
      <c r="BV99">
        <f>'2020_2021_hab'!BT6</f>
        <v>-4.8000000000000001E-2</v>
      </c>
      <c r="BW99">
        <f>'2020_2021_hab'!BU6</f>
        <v>-4.7E-2</v>
      </c>
      <c r="BX99">
        <f>'2020_2021_hab'!BV6</f>
        <v>-2.81E-2</v>
      </c>
      <c r="BY99">
        <f>'2020_2021_hab'!BW6</f>
        <v>-3.8100000000000002E-2</v>
      </c>
      <c r="BZ99">
        <f>'2020_2021_hab'!BX6</f>
        <v>-5.0500000000000003E-2</v>
      </c>
      <c r="CA99">
        <f>'2020_2021_hab'!BY6</f>
        <v>-2.5600000000000001E-2</v>
      </c>
      <c r="CB99">
        <f>'2020_2021_hab'!BZ6</f>
        <v>-6.2300000000000001E-2</v>
      </c>
      <c r="CC99">
        <f>'2020_2021_hab'!CA6</f>
        <v>-4.4499999999999998E-2</v>
      </c>
      <c r="CD99">
        <f>'2020_2021_hab'!CB6</f>
        <v>-1.78E-2</v>
      </c>
      <c r="CE99">
        <f>'2020_2021_hab'!CC6</f>
        <v>-5.3800000000000001E-2</v>
      </c>
      <c r="CF99">
        <f>'2020_2021_hab'!CD6</f>
        <v>-5.0700000000000002E-2</v>
      </c>
      <c r="CG99">
        <f>'2020_2021_hab'!CE6</f>
        <v>-1.55E-2</v>
      </c>
      <c r="CH99">
        <f>'2020_2021_hab'!CF6</f>
        <v>-2.5600000000000001E-2</v>
      </c>
      <c r="CI99">
        <f>'2020_2021_hab'!CG6</f>
        <v>-4.0800000000000003E-2</v>
      </c>
      <c r="CJ99">
        <f>'2020_2021_hab'!CH6</f>
        <v>-9.9600000000000001E-3</v>
      </c>
      <c r="CK99">
        <f>'2020_2021_hab'!CI6</f>
        <v>-5.8599999999999999E-2</v>
      </c>
      <c r="CL99">
        <f>'2020_2021_hab'!CJ6</f>
        <v>-0.11899999999999999</v>
      </c>
      <c r="CM99">
        <f>'2020_2021_hab'!CK6</f>
        <v>-1.1599999999999999E-2</v>
      </c>
      <c r="CN99">
        <f>'2020_2021_hab'!CL6</f>
        <v>-2.8899999999999999E-2</v>
      </c>
      <c r="CO99">
        <f>'2020_2021_hab'!CM6</f>
        <v>-1.24E-2</v>
      </c>
      <c r="CP99">
        <f>'2020_2021_hab'!CN6</f>
        <v>-5.8500000000000003E-2</v>
      </c>
      <c r="CQ99">
        <f>'2020_2021_hab'!CO6</f>
        <v>-2.31E-3</v>
      </c>
      <c r="CR99">
        <f>'2020_2021_hab'!CP6</f>
        <v>-8.3299999999999999E-2</v>
      </c>
      <c r="CS99">
        <f>'2020_2021_hab'!CQ6</f>
        <v>-4.7E-2</v>
      </c>
      <c r="CT99">
        <f>'2020_2021_hab'!CR6</f>
        <v>-1.21E-2</v>
      </c>
      <c r="CU99">
        <f>'2020_2021_hab'!CS6</f>
        <v>-2.2599999999999999E-2</v>
      </c>
      <c r="CV99">
        <f>'2020_2021_hab'!CT6</f>
        <v>-5.16E-2</v>
      </c>
      <c r="CW99">
        <f>'2020_2021_hab'!CU6</f>
        <v>-3.27E-2</v>
      </c>
      <c r="CX99">
        <f>'2020_2021_hab'!CV6</f>
        <v>-2.18E-2</v>
      </c>
    </row>
    <row r="100" spans="1:102" x14ac:dyDescent="0.2">
      <c r="A100" t="s">
        <v>208</v>
      </c>
      <c r="B100" t="s">
        <v>218</v>
      </c>
      <c r="C100" t="s">
        <v>223</v>
      </c>
      <c r="D100">
        <f>'2020_2021_hab'!B7</f>
        <v>6.3899999999999998E-3</v>
      </c>
      <c r="E100">
        <f>'2020_2021_hab'!C7</f>
        <v>1.0500000000000001E-2</v>
      </c>
      <c r="F100">
        <f>'2020_2021_hab'!D7</f>
        <v>1.2200000000000001E-2</v>
      </c>
      <c r="G100">
        <f>'2020_2021_hab'!E7</f>
        <v>9.6900000000000007E-3</v>
      </c>
      <c r="H100">
        <f>'2020_2021_hab'!F7</f>
        <v>1.38E-2</v>
      </c>
      <c r="I100">
        <f>'2020_2021_hab'!G7</f>
        <v>1.1900000000000001E-2</v>
      </c>
      <c r="J100">
        <f>'2020_2021_hab'!H7</f>
        <v>1.34E-2</v>
      </c>
      <c r="K100">
        <f>'2020_2021_hab'!I7</f>
        <v>1.3100000000000001E-2</v>
      </c>
      <c r="L100">
        <f>'2020_2021_hab'!J7</f>
        <v>1.2500000000000001E-2</v>
      </c>
      <c r="M100">
        <f>'2020_2021_hab'!K7</f>
        <v>1.35E-2</v>
      </c>
      <c r="N100">
        <f>'2020_2021_hab'!L7</f>
        <v>1.24E-2</v>
      </c>
      <c r="O100">
        <f>'2020_2021_hab'!M7</f>
        <v>8.9700000000000005E-3</v>
      </c>
      <c r="P100">
        <f>'2020_2021_hab'!N7</f>
        <v>9.3399999999999993E-3</v>
      </c>
      <c r="Q100">
        <f>'2020_2021_hab'!O7</f>
        <v>8.8900000000000003E-3</v>
      </c>
      <c r="R100">
        <f>'2020_2021_hab'!P7</f>
        <v>8.3499999999999998E-3</v>
      </c>
      <c r="S100">
        <f>'2020_2021_hab'!Q7</f>
        <v>8.1600000000000006E-3</v>
      </c>
      <c r="T100">
        <f>'2020_2021_hab'!R7</f>
        <v>7.45E-3</v>
      </c>
      <c r="U100">
        <f>'2020_2021_hab'!S7</f>
        <v>7.45E-3</v>
      </c>
      <c r="V100">
        <f>'2020_2021_hab'!T7</f>
        <v>7.0400000000000003E-3</v>
      </c>
      <c r="W100">
        <f>'2020_2021_hab'!U7</f>
        <v>7.4000000000000003E-3</v>
      </c>
      <c r="X100">
        <f>'2020_2021_hab'!V7</f>
        <v>7.7499999999999999E-3</v>
      </c>
      <c r="Y100">
        <f>'2020_2021_hab'!W7</f>
        <v>7.3200000000000001E-3</v>
      </c>
      <c r="Z100">
        <f>'2020_2021_hab'!X7</f>
        <v>7.6400000000000001E-3</v>
      </c>
      <c r="AA100">
        <f>'2020_2021_hab'!Y7</f>
        <v>8.0300000000000007E-3</v>
      </c>
      <c r="AB100">
        <f>'2020_2021_hab'!Z7</f>
        <v>8.2699999999999996E-3</v>
      </c>
      <c r="AC100">
        <f>'2020_2021_hab'!AA7</f>
        <v>8.5699999999999995E-3</v>
      </c>
      <c r="AD100">
        <f>'2020_2021_hab'!AB7</f>
        <v>8.8400000000000006E-3</v>
      </c>
      <c r="AE100">
        <f>'2020_2021_hab'!AC7</f>
        <v>9.4500000000000001E-3</v>
      </c>
      <c r="AF100">
        <f>'2020_2021_hab'!AD7</f>
        <v>9.9500000000000005E-3</v>
      </c>
      <c r="AG100">
        <f>'2020_2021_hab'!AE7</f>
        <v>1.0800000000000001E-2</v>
      </c>
      <c r="AH100">
        <f>'2020_2021_hab'!AF7</f>
        <v>1.15E-2</v>
      </c>
      <c r="AI100">
        <f>'2020_2021_hab'!AG7</f>
        <v>1.2200000000000001E-2</v>
      </c>
      <c r="AJ100">
        <f>'2020_2021_hab'!AH7</f>
        <v>1.2800000000000001E-2</v>
      </c>
      <c r="AK100">
        <f>'2020_2021_hab'!AI7</f>
        <v>1.37E-2</v>
      </c>
      <c r="AL100">
        <f>'2020_2021_hab'!AJ7</f>
        <v>1.4999999999999999E-2</v>
      </c>
      <c r="AM100">
        <f>'2020_2021_hab'!AK7</f>
        <v>1.5900000000000001E-2</v>
      </c>
      <c r="AN100">
        <f>'2020_2021_hab'!AL7</f>
        <v>1.6400000000000001E-2</v>
      </c>
      <c r="AO100">
        <f>'2020_2021_hab'!AM7</f>
        <v>1.6899999999999998E-2</v>
      </c>
      <c r="AP100">
        <f>'2020_2021_hab'!AN7</f>
        <v>1.7299999999999999E-2</v>
      </c>
      <c r="AQ100">
        <f>'2020_2021_hab'!AO7</f>
        <v>1.7899999999999999E-2</v>
      </c>
      <c r="AR100">
        <f>'2020_2021_hab'!AP7</f>
        <v>1.8499999999999999E-2</v>
      </c>
      <c r="AS100">
        <f>'2020_2021_hab'!AQ7</f>
        <v>1.9E-2</v>
      </c>
      <c r="AT100">
        <f>'2020_2021_hab'!AR7</f>
        <v>1.95E-2</v>
      </c>
      <c r="AU100">
        <f>'2020_2021_hab'!AS7</f>
        <v>1.9900000000000001E-2</v>
      </c>
      <c r="AV100">
        <f>'2020_2021_hab'!AT7</f>
        <v>2.0199999999999999E-2</v>
      </c>
      <c r="AW100">
        <f>'2020_2021_hab'!AU7</f>
        <v>2.0500000000000001E-2</v>
      </c>
      <c r="AX100">
        <f>'2020_2021_hab'!AV7</f>
        <v>2.1100000000000001E-2</v>
      </c>
      <c r="AY100">
        <f>'2020_2021_hab'!AW7</f>
        <v>2.1600000000000001E-2</v>
      </c>
      <c r="AZ100">
        <f>'2020_2021_hab'!AX7</f>
        <v>2.24E-2</v>
      </c>
      <c r="BA100">
        <f>'2020_2021_hab'!AY7</f>
        <v>2.3099999999999999E-2</v>
      </c>
      <c r="BB100">
        <f>'2020_2021_hab'!AZ7</f>
        <v>2.4199999999999999E-2</v>
      </c>
      <c r="BC100">
        <f>'2020_2021_hab'!BA7</f>
        <v>2.4299999999999999E-2</v>
      </c>
      <c r="BD100">
        <f>'2020_2021_hab'!BB7</f>
        <v>2.5100000000000001E-2</v>
      </c>
      <c r="BE100">
        <f>'2020_2021_hab'!BC7</f>
        <v>2.5899999999999999E-2</v>
      </c>
      <c r="BF100">
        <f>'2020_2021_hab'!BD7</f>
        <v>2.7699999999999999E-2</v>
      </c>
      <c r="BG100">
        <f>'2020_2021_hab'!BE7</f>
        <v>2.81E-2</v>
      </c>
      <c r="BH100">
        <f>'2020_2021_hab'!BF7</f>
        <v>2.9100000000000001E-2</v>
      </c>
      <c r="BI100">
        <f>'2020_2021_hab'!BG7</f>
        <v>3.0099999999999998E-2</v>
      </c>
      <c r="BJ100">
        <f>'2020_2021_hab'!BH7</f>
        <v>3.0800000000000001E-2</v>
      </c>
      <c r="BK100">
        <f>'2020_2021_hab'!BI7</f>
        <v>3.2099999999999997E-2</v>
      </c>
      <c r="BL100">
        <f>'2020_2021_hab'!BJ7</f>
        <v>3.2800000000000003E-2</v>
      </c>
      <c r="BM100">
        <f>'2020_2021_hab'!BK7</f>
        <v>3.2899999999999999E-2</v>
      </c>
      <c r="BN100">
        <f>'2020_2021_hab'!BL7</f>
        <v>3.2800000000000003E-2</v>
      </c>
      <c r="BO100">
        <f>'2020_2021_hab'!BM7</f>
        <v>3.2300000000000002E-2</v>
      </c>
      <c r="BP100">
        <f>'2020_2021_hab'!BN7</f>
        <v>3.27E-2</v>
      </c>
      <c r="BQ100">
        <f>'2020_2021_hab'!BO7</f>
        <v>3.27E-2</v>
      </c>
      <c r="BR100">
        <f>'2020_2021_hab'!BP7</f>
        <v>3.27E-2</v>
      </c>
      <c r="BS100">
        <f>'2020_2021_hab'!BQ7</f>
        <v>3.2800000000000003E-2</v>
      </c>
      <c r="BT100">
        <f>'2020_2021_hab'!BR7</f>
        <v>3.2899999999999999E-2</v>
      </c>
      <c r="BU100">
        <f>'2020_2021_hab'!BS7</f>
        <v>3.5999999999999997E-2</v>
      </c>
      <c r="BV100">
        <f>'2020_2021_hab'!BT7</f>
        <v>4.2500000000000003E-2</v>
      </c>
      <c r="BW100">
        <f>'2020_2021_hab'!BU7</f>
        <v>4.6800000000000001E-2</v>
      </c>
      <c r="BX100">
        <f>'2020_2021_hab'!BV7</f>
        <v>4.7399999999999998E-2</v>
      </c>
      <c r="BY100">
        <f>'2020_2021_hab'!BW7</f>
        <v>4.7500000000000001E-2</v>
      </c>
      <c r="BZ100">
        <f>'2020_2021_hab'!BX7</f>
        <v>4.7E-2</v>
      </c>
      <c r="CA100">
        <f>'2020_2021_hab'!BY7</f>
        <v>4.6399999999999997E-2</v>
      </c>
      <c r="CB100">
        <f>'2020_2021_hab'!BZ7</f>
        <v>4.7600000000000003E-2</v>
      </c>
      <c r="CC100">
        <f>'2020_2021_hab'!CA7</f>
        <v>4.7800000000000002E-2</v>
      </c>
      <c r="CD100">
        <f>'2020_2021_hab'!CB7</f>
        <v>4.7500000000000001E-2</v>
      </c>
      <c r="CE100">
        <f>'2020_2021_hab'!CC7</f>
        <v>4.9099999999999998E-2</v>
      </c>
      <c r="CF100">
        <f>'2020_2021_hab'!CD7</f>
        <v>4.7899999999999998E-2</v>
      </c>
      <c r="CG100">
        <f>'2020_2021_hab'!CE7</f>
        <v>4.7199999999999999E-2</v>
      </c>
      <c r="CH100">
        <f>'2020_2021_hab'!CF7</f>
        <v>5.1700000000000003E-2</v>
      </c>
      <c r="CI100">
        <f>'2020_2021_hab'!CG7</f>
        <v>5.7200000000000001E-2</v>
      </c>
      <c r="CJ100">
        <f>'2020_2021_hab'!CH7</f>
        <v>6.0199999999999997E-2</v>
      </c>
      <c r="CK100">
        <f>'2020_2021_hab'!CI7</f>
        <v>5.5800000000000002E-2</v>
      </c>
      <c r="CL100">
        <f>'2020_2021_hab'!CJ7</f>
        <v>5.2600000000000001E-2</v>
      </c>
      <c r="CM100">
        <f>'2020_2021_hab'!CK7</f>
        <v>4.9299999999999997E-2</v>
      </c>
      <c r="CN100">
        <f>'2020_2021_hab'!CL7</f>
        <v>5.5599999999999997E-2</v>
      </c>
      <c r="CO100">
        <f>'2020_2021_hab'!CM7</f>
        <v>5.5899999999999998E-2</v>
      </c>
      <c r="CP100">
        <f>'2020_2021_hab'!CN7</f>
        <v>5.2699999999999997E-2</v>
      </c>
      <c r="CQ100">
        <f>'2020_2021_hab'!CO7</f>
        <v>5.0999999999999997E-2</v>
      </c>
      <c r="CR100">
        <f>'2020_2021_hab'!CP7</f>
        <v>6.6000000000000003E-2</v>
      </c>
      <c r="CS100">
        <f>'2020_2021_hab'!CQ7</f>
        <v>6.5500000000000003E-2</v>
      </c>
      <c r="CT100">
        <f>'2020_2021_hab'!CR7</f>
        <v>6.6100000000000006E-2</v>
      </c>
      <c r="CU100">
        <f>'2020_2021_hab'!CS7</f>
        <v>6.1600000000000002E-2</v>
      </c>
      <c r="CV100">
        <f>'2020_2021_hab'!CT7</f>
        <v>5.4100000000000002E-2</v>
      </c>
      <c r="CW100">
        <f>'2020_2021_hab'!CU7</f>
        <v>6.2600000000000003E-2</v>
      </c>
      <c r="CX100">
        <f>'2020_2021_hab'!CV7</f>
        <v>4.5600000000000002E-2</v>
      </c>
    </row>
    <row r="101" spans="1:102" x14ac:dyDescent="0.2">
      <c r="A101" t="s">
        <v>209</v>
      </c>
      <c r="B101" t="s">
        <v>218</v>
      </c>
      <c r="C101" t="s">
        <v>223</v>
      </c>
      <c r="D101">
        <f>'2020_2021_hab'!B8</f>
        <v>2.8800000000000002E-3</v>
      </c>
      <c r="E101">
        <f>'2020_2021_hab'!C8</f>
        <v>5.5799999999999999E-3</v>
      </c>
      <c r="F101">
        <f>'2020_2021_hab'!D8</f>
        <v>6.3899999999999998E-3</v>
      </c>
      <c r="G101">
        <f>'2020_2021_hab'!E8</f>
        <v>4.9899999999999996E-3</v>
      </c>
      <c r="H101">
        <f>'2020_2021_hab'!F8</f>
        <v>6.8300000000000001E-3</v>
      </c>
      <c r="I101">
        <f>'2020_2021_hab'!G8</f>
        <v>6.0400000000000002E-3</v>
      </c>
      <c r="J101">
        <f>'2020_2021_hab'!H8</f>
        <v>7.0200000000000002E-3</v>
      </c>
      <c r="K101">
        <f>'2020_2021_hab'!I8</f>
        <v>6.5700000000000003E-3</v>
      </c>
      <c r="L101">
        <f>'2020_2021_hab'!J8</f>
        <v>6.1900000000000002E-3</v>
      </c>
      <c r="M101">
        <f>'2020_2021_hab'!K8</f>
        <v>6.7200000000000003E-3</v>
      </c>
      <c r="N101">
        <f>'2020_2021_hab'!L8</f>
        <v>6.1500000000000001E-3</v>
      </c>
      <c r="O101">
        <f>'2020_2021_hab'!M8</f>
        <v>4.4400000000000004E-3</v>
      </c>
      <c r="P101">
        <f>'2020_2021_hab'!N8</f>
        <v>4.6100000000000004E-3</v>
      </c>
      <c r="Q101">
        <f>'2020_2021_hab'!O8</f>
        <v>4.4099999999999999E-3</v>
      </c>
      <c r="R101">
        <f>'2020_2021_hab'!P8</f>
        <v>4.0099999999999997E-3</v>
      </c>
      <c r="S101">
        <f>'2020_2021_hab'!Q8</f>
        <v>3.8999999999999998E-3</v>
      </c>
      <c r="T101">
        <f>'2020_2021_hab'!R8</f>
        <v>3.5400000000000002E-3</v>
      </c>
      <c r="U101">
        <f>'2020_2021_hab'!S8</f>
        <v>3.5799999999999998E-3</v>
      </c>
      <c r="V101">
        <f>'2020_2021_hab'!T8</f>
        <v>3.3500000000000001E-3</v>
      </c>
      <c r="W101">
        <f>'2020_2021_hab'!U8</f>
        <v>3.47E-3</v>
      </c>
      <c r="X101">
        <f>'2020_2021_hab'!V8</f>
        <v>3.65E-3</v>
      </c>
      <c r="Y101">
        <f>'2020_2021_hab'!W8</f>
        <v>3.48E-3</v>
      </c>
      <c r="Z101">
        <f>'2020_2021_hab'!X8</f>
        <v>3.5400000000000002E-3</v>
      </c>
      <c r="AA101">
        <f>'2020_2021_hab'!Y8</f>
        <v>3.7299999999999998E-3</v>
      </c>
      <c r="AB101">
        <f>'2020_2021_hab'!Z8</f>
        <v>3.8300000000000001E-3</v>
      </c>
      <c r="AC101">
        <f>'2020_2021_hab'!AA8</f>
        <v>3.9399999999999999E-3</v>
      </c>
      <c r="AD101">
        <f>'2020_2021_hab'!AB8</f>
        <v>4.0000000000000001E-3</v>
      </c>
      <c r="AE101">
        <f>'2020_2021_hab'!AC8</f>
        <v>4.1399999999999996E-3</v>
      </c>
      <c r="AF101">
        <f>'2020_2021_hab'!AD8</f>
        <v>4.2500000000000003E-3</v>
      </c>
      <c r="AG101">
        <f>'2020_2021_hab'!AE8</f>
        <v>4.45E-3</v>
      </c>
      <c r="AH101">
        <f>'2020_2021_hab'!AF8</f>
        <v>4.7499999999999999E-3</v>
      </c>
      <c r="AI101">
        <f>'2020_2021_hab'!AG8</f>
        <v>5.0600000000000003E-3</v>
      </c>
      <c r="AJ101">
        <f>'2020_2021_hab'!AH8</f>
        <v>5.3800000000000002E-3</v>
      </c>
      <c r="AK101">
        <f>'2020_2021_hab'!AI8</f>
        <v>5.8100000000000001E-3</v>
      </c>
      <c r="AL101">
        <f>'2020_2021_hab'!AJ8</f>
        <v>6.2899999999999996E-3</v>
      </c>
      <c r="AM101">
        <f>'2020_2021_hab'!AK8</f>
        <v>6.6299999999999996E-3</v>
      </c>
      <c r="AN101">
        <f>'2020_2021_hab'!AL8</f>
        <v>6.9300000000000004E-3</v>
      </c>
      <c r="AO101">
        <f>'2020_2021_hab'!AM8</f>
        <v>7.0800000000000004E-3</v>
      </c>
      <c r="AP101">
        <f>'2020_2021_hab'!AN8</f>
        <v>7.26E-3</v>
      </c>
      <c r="AQ101">
        <f>'2020_2021_hab'!AO8</f>
        <v>7.4999999999999997E-3</v>
      </c>
      <c r="AR101">
        <f>'2020_2021_hab'!AP8</f>
        <v>7.6699999999999997E-3</v>
      </c>
      <c r="AS101">
        <f>'2020_2021_hab'!AQ8</f>
        <v>7.7299999999999999E-3</v>
      </c>
      <c r="AT101">
        <f>'2020_2021_hab'!AR8</f>
        <v>7.8700000000000003E-3</v>
      </c>
      <c r="AU101">
        <f>'2020_2021_hab'!AS8</f>
        <v>7.9699999999999997E-3</v>
      </c>
      <c r="AV101">
        <f>'2020_2021_hab'!AT8</f>
        <v>8.0300000000000007E-3</v>
      </c>
      <c r="AW101">
        <f>'2020_2021_hab'!AU8</f>
        <v>8.0800000000000004E-3</v>
      </c>
      <c r="AX101">
        <f>'2020_2021_hab'!AV8</f>
        <v>8.3400000000000002E-3</v>
      </c>
      <c r="AY101">
        <f>'2020_2021_hab'!AW8</f>
        <v>8.43E-3</v>
      </c>
      <c r="AZ101">
        <f>'2020_2021_hab'!AX8</f>
        <v>8.6300000000000005E-3</v>
      </c>
      <c r="BA101">
        <f>'2020_2021_hab'!AY8</f>
        <v>8.6800000000000002E-3</v>
      </c>
      <c r="BB101">
        <f>'2020_2021_hab'!AZ8</f>
        <v>8.9999999999999993E-3</v>
      </c>
      <c r="BC101">
        <f>'2020_2021_hab'!BA8</f>
        <v>8.9899999999999997E-3</v>
      </c>
      <c r="BD101">
        <f>'2020_2021_hab'!BB8</f>
        <v>9.1400000000000006E-3</v>
      </c>
      <c r="BE101">
        <f>'2020_2021_hab'!BC8</f>
        <v>9.3900000000000008E-3</v>
      </c>
      <c r="BF101">
        <f>'2020_2021_hab'!BD8</f>
        <v>9.8600000000000007E-3</v>
      </c>
      <c r="BG101">
        <f>'2020_2021_hab'!BE8</f>
        <v>9.9500000000000005E-3</v>
      </c>
      <c r="BH101">
        <f>'2020_2021_hab'!BF8</f>
        <v>1.0200000000000001E-2</v>
      </c>
      <c r="BI101">
        <f>'2020_2021_hab'!BG8</f>
        <v>1.0500000000000001E-2</v>
      </c>
      <c r="BJ101">
        <f>'2020_2021_hab'!BH8</f>
        <v>1.0500000000000001E-2</v>
      </c>
      <c r="BK101">
        <f>'2020_2021_hab'!BI8</f>
        <v>1.0800000000000001E-2</v>
      </c>
      <c r="BL101">
        <f>'2020_2021_hab'!BJ8</f>
        <v>1.09E-2</v>
      </c>
      <c r="BM101">
        <f>'2020_2021_hab'!BK8</f>
        <v>1.0800000000000001E-2</v>
      </c>
      <c r="BN101">
        <f>'2020_2021_hab'!BL8</f>
        <v>1.0699999999999999E-2</v>
      </c>
      <c r="BO101">
        <f>'2020_2021_hab'!BM8</f>
        <v>1.0500000000000001E-2</v>
      </c>
      <c r="BP101">
        <f>'2020_2021_hab'!BN8</f>
        <v>1.0500000000000001E-2</v>
      </c>
      <c r="BQ101">
        <f>'2020_2021_hab'!BO8</f>
        <v>1.03E-2</v>
      </c>
      <c r="BR101">
        <f>'2020_2021_hab'!BP8</f>
        <v>1.01E-2</v>
      </c>
      <c r="BS101">
        <f>'2020_2021_hab'!BQ8</f>
        <v>0.01</v>
      </c>
      <c r="BT101">
        <f>'2020_2021_hab'!BR8</f>
        <v>9.9900000000000006E-3</v>
      </c>
      <c r="BU101">
        <f>'2020_2021_hab'!BS8</f>
        <v>1.0800000000000001E-2</v>
      </c>
      <c r="BV101">
        <f>'2020_2021_hab'!BT8</f>
        <v>1.26E-2</v>
      </c>
      <c r="BW101">
        <f>'2020_2021_hab'!BU8</f>
        <v>1.37E-2</v>
      </c>
      <c r="BX101">
        <f>'2020_2021_hab'!BV8</f>
        <v>1.37E-2</v>
      </c>
      <c r="BY101">
        <f>'2020_2021_hab'!BW8</f>
        <v>1.3599999999999999E-2</v>
      </c>
      <c r="BZ101">
        <f>'2020_2021_hab'!BX8</f>
        <v>1.34E-2</v>
      </c>
      <c r="CA101">
        <f>'2020_2021_hab'!BY8</f>
        <v>1.3100000000000001E-2</v>
      </c>
      <c r="CB101">
        <f>'2020_2021_hab'!BZ8</f>
        <v>1.3299999999999999E-2</v>
      </c>
      <c r="CC101">
        <f>'2020_2021_hab'!CA8</f>
        <v>1.3100000000000001E-2</v>
      </c>
      <c r="CD101">
        <f>'2020_2021_hab'!CB8</f>
        <v>1.29E-2</v>
      </c>
      <c r="CE101">
        <f>'2020_2021_hab'!CC8</f>
        <v>1.32E-2</v>
      </c>
      <c r="CF101">
        <f>'2020_2021_hab'!CD8</f>
        <v>1.2999999999999999E-2</v>
      </c>
      <c r="CG101">
        <f>'2020_2021_hab'!CE8</f>
        <v>1.2800000000000001E-2</v>
      </c>
      <c r="CH101">
        <f>'2020_2021_hab'!CF8</f>
        <v>1.41E-2</v>
      </c>
      <c r="CI101">
        <f>'2020_2021_hab'!CG8</f>
        <v>1.52E-2</v>
      </c>
      <c r="CJ101">
        <f>'2020_2021_hab'!CH8</f>
        <v>1.5900000000000001E-2</v>
      </c>
      <c r="CK101">
        <f>'2020_2021_hab'!CI8</f>
        <v>1.47E-2</v>
      </c>
      <c r="CL101">
        <f>'2020_2021_hab'!CJ8</f>
        <v>1.4E-2</v>
      </c>
      <c r="CM101">
        <f>'2020_2021_hab'!CK8</f>
        <v>1.2999999999999999E-2</v>
      </c>
      <c r="CN101">
        <f>'2020_2021_hab'!CL8</f>
        <v>1.47E-2</v>
      </c>
      <c r="CO101">
        <f>'2020_2021_hab'!CM8</f>
        <v>1.4800000000000001E-2</v>
      </c>
      <c r="CP101">
        <f>'2020_2021_hab'!CN8</f>
        <v>1.3899999999999999E-2</v>
      </c>
      <c r="CQ101">
        <f>'2020_2021_hab'!CO8</f>
        <v>1.34E-2</v>
      </c>
      <c r="CR101">
        <f>'2020_2021_hab'!CP8</f>
        <v>1.77E-2</v>
      </c>
      <c r="CS101">
        <f>'2020_2021_hab'!CQ8</f>
        <v>1.78E-2</v>
      </c>
      <c r="CT101">
        <f>'2020_2021_hab'!CR8</f>
        <v>1.84E-2</v>
      </c>
      <c r="CU101">
        <f>'2020_2021_hab'!CS8</f>
        <v>1.7399999999999999E-2</v>
      </c>
      <c r="CV101">
        <f>'2020_2021_hab'!CT8</f>
        <v>1.5800000000000002E-2</v>
      </c>
      <c r="CW101">
        <f>'2020_2021_hab'!CU8</f>
        <v>1.9300000000000001E-2</v>
      </c>
      <c r="CX101">
        <f>'2020_2021_hab'!CV8</f>
        <v>1.5100000000000001E-2</v>
      </c>
    </row>
    <row r="102" spans="1:102" x14ac:dyDescent="0.2">
      <c r="A102" t="s">
        <v>210</v>
      </c>
      <c r="B102" t="s">
        <v>218</v>
      </c>
      <c r="C102" t="s">
        <v>223</v>
      </c>
      <c r="D102">
        <f>'2020_2021_hab'!B9</f>
        <v>8.9599999999999999E-4</v>
      </c>
      <c r="E102">
        <f>'2020_2021_hab'!C9</f>
        <v>1.2700000000000001E-3</v>
      </c>
      <c r="F102">
        <f>'2020_2021_hab'!D9</f>
        <v>1.4499999999999999E-3</v>
      </c>
      <c r="G102">
        <f>'2020_2021_hab'!E9</f>
        <v>1.0499999999999999E-3</v>
      </c>
      <c r="H102">
        <f>'2020_2021_hab'!F9</f>
        <v>1.5100000000000001E-3</v>
      </c>
      <c r="I102">
        <f>'2020_2021_hab'!G9</f>
        <v>1.1999999999999999E-3</v>
      </c>
      <c r="J102">
        <f>'2020_2021_hab'!H9</f>
        <v>1.1999999999999999E-3</v>
      </c>
      <c r="K102">
        <f>'2020_2021_hab'!I9</f>
        <v>1.1299999999999999E-3</v>
      </c>
      <c r="L102">
        <f>'2020_2021_hab'!J9</f>
        <v>1.01E-3</v>
      </c>
      <c r="M102">
        <f>'2020_2021_hab'!K9</f>
        <v>1.0399999999999999E-3</v>
      </c>
      <c r="N102">
        <f>'2020_2021_hab'!L9</f>
        <v>8.9499999999999996E-4</v>
      </c>
      <c r="O102">
        <f>'2020_2021_hab'!M9</f>
        <v>5.9599999999999996E-4</v>
      </c>
      <c r="P102">
        <f>'2020_2021_hab'!N9</f>
        <v>6.0499999999999996E-4</v>
      </c>
      <c r="Q102">
        <f>'2020_2021_hab'!O9</f>
        <v>5.4699999999999996E-4</v>
      </c>
      <c r="R102">
        <f>'2020_2021_hab'!P9</f>
        <v>4.7800000000000002E-4</v>
      </c>
      <c r="S102">
        <f>'2020_2021_hab'!Q9</f>
        <v>4.4000000000000002E-4</v>
      </c>
      <c r="T102">
        <f>'2020_2021_hab'!R9</f>
        <v>3.7300000000000001E-4</v>
      </c>
      <c r="U102">
        <f>'2020_2021_hab'!S9</f>
        <v>3.6499999999999998E-4</v>
      </c>
      <c r="V102">
        <f>'2020_2021_hab'!T9</f>
        <v>3.4299999999999999E-4</v>
      </c>
      <c r="W102">
        <f>'2020_2021_hab'!U9</f>
        <v>3.6200000000000002E-4</v>
      </c>
      <c r="X102">
        <f>'2020_2021_hab'!V9</f>
        <v>3.8200000000000002E-4</v>
      </c>
      <c r="Y102">
        <f>'2020_2021_hab'!W9</f>
        <v>3.5799999999999997E-4</v>
      </c>
      <c r="Z102">
        <f>'2020_2021_hab'!X9</f>
        <v>3.7599999999999998E-4</v>
      </c>
      <c r="AA102">
        <f>'2020_2021_hab'!Y9</f>
        <v>3.9300000000000001E-4</v>
      </c>
      <c r="AB102">
        <f>'2020_2021_hab'!Z9</f>
        <v>4.0900000000000002E-4</v>
      </c>
      <c r="AC102">
        <f>'2020_2021_hab'!AA9</f>
        <v>4.17E-4</v>
      </c>
      <c r="AD102">
        <f>'2020_2021_hab'!AB9</f>
        <v>4.2999999999999999E-4</v>
      </c>
      <c r="AE102">
        <f>'2020_2021_hab'!AC9</f>
        <v>4.6200000000000001E-4</v>
      </c>
      <c r="AF102">
        <f>'2020_2021_hab'!AD9</f>
        <v>4.84E-4</v>
      </c>
      <c r="AG102">
        <f>'2020_2021_hab'!AE9</f>
        <v>5.1900000000000004E-4</v>
      </c>
      <c r="AH102">
        <f>'2020_2021_hab'!AF9</f>
        <v>5.5199999999999997E-4</v>
      </c>
      <c r="AI102">
        <f>'2020_2021_hab'!AG9</f>
        <v>5.8200000000000005E-4</v>
      </c>
      <c r="AJ102">
        <f>'2020_2021_hab'!AH9</f>
        <v>6.1499999999999999E-4</v>
      </c>
      <c r="AK102">
        <f>'2020_2021_hab'!AI9</f>
        <v>6.7199999999999996E-4</v>
      </c>
      <c r="AL102">
        <f>'2020_2021_hab'!AJ9</f>
        <v>7.3499999999999998E-4</v>
      </c>
      <c r="AM102">
        <f>'2020_2021_hab'!AK9</f>
        <v>7.6900000000000004E-4</v>
      </c>
      <c r="AN102">
        <f>'2020_2021_hab'!AL9</f>
        <v>7.8899999999999999E-4</v>
      </c>
      <c r="AO102">
        <f>'2020_2021_hab'!AM9</f>
        <v>8.2799999999999996E-4</v>
      </c>
      <c r="AP102">
        <f>'2020_2021_hab'!AN9</f>
        <v>8.4500000000000005E-4</v>
      </c>
      <c r="AQ102">
        <f>'2020_2021_hab'!AO9</f>
        <v>8.7799999999999998E-4</v>
      </c>
      <c r="AR102">
        <f>'2020_2021_hab'!AP9</f>
        <v>8.7600000000000004E-4</v>
      </c>
      <c r="AS102">
        <f>'2020_2021_hab'!AQ9</f>
        <v>8.7600000000000004E-4</v>
      </c>
      <c r="AT102">
        <f>'2020_2021_hab'!AR9</f>
        <v>8.9899999999999995E-4</v>
      </c>
      <c r="AU102">
        <f>'2020_2021_hab'!AS9</f>
        <v>9.1200000000000005E-4</v>
      </c>
      <c r="AV102">
        <f>'2020_2021_hab'!AT9</f>
        <v>9.3300000000000002E-4</v>
      </c>
      <c r="AW102">
        <f>'2020_2021_hab'!AU9</f>
        <v>9.3700000000000001E-4</v>
      </c>
      <c r="AX102">
        <f>'2020_2021_hab'!AV9</f>
        <v>9.4799999999999995E-4</v>
      </c>
      <c r="AY102">
        <f>'2020_2021_hab'!AW9</f>
        <v>9.7400000000000004E-4</v>
      </c>
      <c r="AZ102">
        <f>'2020_2021_hab'!AX9</f>
        <v>1.0200000000000001E-3</v>
      </c>
      <c r="BA102">
        <f>'2020_2021_hab'!AY9</f>
        <v>1.0499999999999999E-3</v>
      </c>
      <c r="BB102">
        <f>'2020_2021_hab'!AZ9</f>
        <v>1.08E-3</v>
      </c>
      <c r="BC102">
        <f>'2020_2021_hab'!BA9</f>
        <v>1.09E-3</v>
      </c>
      <c r="BD102">
        <f>'2020_2021_hab'!BB9</f>
        <v>1.1299999999999999E-3</v>
      </c>
      <c r="BE102">
        <f>'2020_2021_hab'!BC9</f>
        <v>1.14E-3</v>
      </c>
      <c r="BF102">
        <f>'2020_2021_hab'!BD9</f>
        <v>1.1900000000000001E-3</v>
      </c>
      <c r="BG102">
        <f>'2020_2021_hab'!BE9</f>
        <v>1.2099999999999999E-3</v>
      </c>
      <c r="BH102">
        <f>'2020_2021_hab'!BF9</f>
        <v>1.24E-3</v>
      </c>
      <c r="BI102">
        <f>'2020_2021_hab'!BG9</f>
        <v>1.24E-3</v>
      </c>
      <c r="BJ102">
        <f>'2020_2021_hab'!BH9</f>
        <v>1.2199999999999999E-3</v>
      </c>
      <c r="BK102">
        <f>'2020_2021_hab'!BI9</f>
        <v>1.24E-3</v>
      </c>
      <c r="BL102">
        <f>'2020_2021_hab'!BJ9</f>
        <v>1.2700000000000001E-3</v>
      </c>
      <c r="BM102">
        <f>'2020_2021_hab'!BK9</f>
        <v>1.24E-3</v>
      </c>
      <c r="BN102">
        <f>'2020_2021_hab'!BL9</f>
        <v>1.1999999999999999E-3</v>
      </c>
      <c r="BO102">
        <f>'2020_2021_hab'!BM9</f>
        <v>1.15E-3</v>
      </c>
      <c r="BP102">
        <f>'2020_2021_hab'!BN9</f>
        <v>1.14E-3</v>
      </c>
      <c r="BQ102">
        <f>'2020_2021_hab'!BO9</f>
        <v>1.14E-3</v>
      </c>
      <c r="BR102">
        <f>'2020_2021_hab'!BP9</f>
        <v>1.14E-3</v>
      </c>
      <c r="BS102">
        <f>'2020_2021_hab'!BQ9</f>
        <v>1.14E-3</v>
      </c>
      <c r="BT102">
        <f>'2020_2021_hab'!BR9</f>
        <v>1.14E-3</v>
      </c>
      <c r="BU102">
        <f>'2020_2021_hab'!BS9</f>
        <v>1.23E-3</v>
      </c>
      <c r="BV102">
        <f>'2020_2021_hab'!BT9</f>
        <v>1.4499999999999999E-3</v>
      </c>
      <c r="BW102">
        <f>'2020_2021_hab'!BU9</f>
        <v>1.56E-3</v>
      </c>
      <c r="BX102">
        <f>'2020_2021_hab'!BV9</f>
        <v>1.5399999999999999E-3</v>
      </c>
      <c r="BY102">
        <f>'2020_2021_hab'!BW9</f>
        <v>1.5100000000000001E-3</v>
      </c>
      <c r="BZ102">
        <f>'2020_2021_hab'!BX9</f>
        <v>1.4499999999999999E-3</v>
      </c>
      <c r="CA102">
        <f>'2020_2021_hab'!BY9</f>
        <v>1.42E-3</v>
      </c>
      <c r="CB102">
        <f>'2020_2021_hab'!BZ9</f>
        <v>1.4599999999999999E-3</v>
      </c>
      <c r="CC102">
        <f>'2020_2021_hab'!CA9</f>
        <v>1.5E-3</v>
      </c>
      <c r="CD102">
        <f>'2020_2021_hab'!CB9</f>
        <v>1.4599999999999999E-3</v>
      </c>
      <c r="CE102">
        <f>'2020_2021_hab'!CC9</f>
        <v>1.49E-3</v>
      </c>
      <c r="CF102">
        <f>'2020_2021_hab'!CD9</f>
        <v>1.4599999999999999E-3</v>
      </c>
      <c r="CG102">
        <f>'2020_2021_hab'!CE9</f>
        <v>1.4499999999999999E-3</v>
      </c>
      <c r="CH102">
        <f>'2020_2021_hab'!CF9</f>
        <v>1.6000000000000001E-3</v>
      </c>
      <c r="CI102">
        <f>'2020_2021_hab'!CG9</f>
        <v>1.75E-3</v>
      </c>
      <c r="CJ102">
        <f>'2020_2021_hab'!CH9</f>
        <v>1.89E-3</v>
      </c>
      <c r="CK102">
        <f>'2020_2021_hab'!CI9</f>
        <v>1.73E-3</v>
      </c>
      <c r="CL102">
        <f>'2020_2021_hab'!CJ9</f>
        <v>1.64E-3</v>
      </c>
      <c r="CM102">
        <f>'2020_2021_hab'!CK9</f>
        <v>1.6199999999999999E-3</v>
      </c>
      <c r="CN102">
        <f>'2020_2021_hab'!CL9</f>
        <v>1.82E-3</v>
      </c>
      <c r="CO102">
        <f>'2020_2021_hab'!CM9</f>
        <v>1.8E-3</v>
      </c>
      <c r="CP102">
        <f>'2020_2021_hab'!CN9</f>
        <v>1.7799999999999999E-3</v>
      </c>
      <c r="CQ102">
        <f>'2020_2021_hab'!CO9</f>
        <v>1.82E-3</v>
      </c>
      <c r="CR102">
        <f>'2020_2021_hab'!CP9</f>
        <v>2.4099999999999998E-3</v>
      </c>
      <c r="CS102">
        <f>'2020_2021_hab'!CQ9</f>
        <v>2.47E-3</v>
      </c>
      <c r="CT102">
        <f>'2020_2021_hab'!CR9</f>
        <v>2.5899999999999999E-3</v>
      </c>
      <c r="CU102">
        <f>'2020_2021_hab'!CS9</f>
        <v>2.5999999999999999E-3</v>
      </c>
      <c r="CV102">
        <f>'2020_2021_hab'!CT9</f>
        <v>2.3400000000000001E-3</v>
      </c>
      <c r="CW102">
        <f>'2020_2021_hab'!CU9</f>
        <v>2.8600000000000001E-3</v>
      </c>
      <c r="CX102">
        <f>'2020_2021_hab'!CV9</f>
        <v>1.9599999999999999E-3</v>
      </c>
    </row>
    <row r="103" spans="1:102" x14ac:dyDescent="0.2">
      <c r="A103" t="s">
        <v>211</v>
      </c>
      <c r="B103" t="s">
        <v>218</v>
      </c>
      <c r="C103" t="s">
        <v>223</v>
      </c>
      <c r="D103">
        <f>'2020_2021_hab'!B10</f>
        <v>9.3400000000000004E-4</v>
      </c>
      <c r="E103">
        <f>'2020_2021_hab'!C10</f>
        <v>1.2600000000000001E-3</v>
      </c>
      <c r="F103">
        <f>'2020_2021_hab'!D10</f>
        <v>1.1000000000000001E-3</v>
      </c>
      <c r="G103">
        <f>'2020_2021_hab'!E10</f>
        <v>7.36E-4</v>
      </c>
      <c r="H103">
        <f>'2020_2021_hab'!F10</f>
        <v>1.0300000000000001E-3</v>
      </c>
      <c r="I103">
        <f>'2020_2021_hab'!G10</f>
        <v>9.0499999999999999E-4</v>
      </c>
      <c r="J103">
        <f>'2020_2021_hab'!H10</f>
        <v>1.0200000000000001E-3</v>
      </c>
      <c r="K103">
        <f>'2020_2021_hab'!I10</f>
        <v>9.0600000000000001E-4</v>
      </c>
      <c r="L103">
        <f>'2020_2021_hab'!J10</f>
        <v>7.1900000000000002E-4</v>
      </c>
      <c r="M103">
        <f>'2020_2021_hab'!K10</f>
        <v>7.7200000000000001E-4</v>
      </c>
      <c r="N103">
        <f>'2020_2021_hab'!L10</f>
        <v>6.9999999999999999E-4</v>
      </c>
      <c r="O103">
        <f>'2020_2021_hab'!M10</f>
        <v>5.0900000000000001E-4</v>
      </c>
      <c r="P103">
        <f>'2020_2021_hab'!N10</f>
        <v>5.4500000000000002E-4</v>
      </c>
      <c r="Q103">
        <f>'2020_2021_hab'!O10</f>
        <v>4.9299999999999995E-4</v>
      </c>
      <c r="R103">
        <f>'2020_2021_hab'!P10</f>
        <v>4.2900000000000002E-4</v>
      </c>
      <c r="S103">
        <f>'2020_2021_hab'!Q10</f>
        <v>4.5399999999999998E-4</v>
      </c>
      <c r="T103">
        <f>'2020_2021_hab'!R10</f>
        <v>4.37E-4</v>
      </c>
      <c r="U103">
        <f>'2020_2021_hab'!S10</f>
        <v>4.2299999999999998E-4</v>
      </c>
      <c r="V103">
        <f>'2020_2021_hab'!T10</f>
        <v>4.3300000000000001E-4</v>
      </c>
      <c r="W103">
        <f>'2020_2021_hab'!U10</f>
        <v>4.5300000000000001E-4</v>
      </c>
      <c r="X103">
        <f>'2020_2021_hab'!V10</f>
        <v>4.8000000000000001E-4</v>
      </c>
      <c r="Y103">
        <f>'2020_2021_hab'!W10</f>
        <v>4.3899999999999999E-4</v>
      </c>
      <c r="Z103">
        <f>'2020_2021_hab'!X10</f>
        <v>4.8299999999999998E-4</v>
      </c>
      <c r="AA103">
        <f>'2020_2021_hab'!Y10</f>
        <v>4.7100000000000001E-4</v>
      </c>
      <c r="AB103">
        <f>'2020_2021_hab'!Z10</f>
        <v>4.7600000000000002E-4</v>
      </c>
      <c r="AC103">
        <f>'2020_2021_hab'!AA10</f>
        <v>5.0500000000000002E-4</v>
      </c>
      <c r="AD103">
        <f>'2020_2021_hab'!AB10</f>
        <v>5.0900000000000001E-4</v>
      </c>
      <c r="AE103">
        <f>'2020_2021_hab'!AC10</f>
        <v>5.4100000000000003E-4</v>
      </c>
      <c r="AF103">
        <f>'2020_2021_hab'!AD10</f>
        <v>5.6099999999999998E-4</v>
      </c>
      <c r="AG103">
        <f>'2020_2021_hab'!AE10</f>
        <v>5.9599999999999996E-4</v>
      </c>
      <c r="AH103">
        <f>'2020_2021_hab'!AF10</f>
        <v>6.4700000000000001E-4</v>
      </c>
      <c r="AI103">
        <f>'2020_2021_hab'!AG10</f>
        <v>6.96E-4</v>
      </c>
      <c r="AJ103">
        <f>'2020_2021_hab'!AH10</f>
        <v>7.5500000000000003E-4</v>
      </c>
      <c r="AK103">
        <f>'2020_2021_hab'!AI10</f>
        <v>8.52E-4</v>
      </c>
      <c r="AL103">
        <f>'2020_2021_hab'!AJ10</f>
        <v>9.4700000000000003E-4</v>
      </c>
      <c r="AM103">
        <f>'2020_2021_hab'!AK10</f>
        <v>9.77E-4</v>
      </c>
      <c r="AN103">
        <f>'2020_2021_hab'!AL10</f>
        <v>1.0499999999999999E-3</v>
      </c>
      <c r="AO103">
        <f>'2020_2021_hab'!AM10</f>
        <v>1.0200000000000001E-3</v>
      </c>
      <c r="AP103">
        <f>'2020_2021_hab'!AN10</f>
        <v>1.0399999999999999E-3</v>
      </c>
      <c r="AQ103">
        <f>'2020_2021_hab'!AO10</f>
        <v>1.1100000000000001E-3</v>
      </c>
      <c r="AR103">
        <f>'2020_2021_hab'!AP10</f>
        <v>1.14E-3</v>
      </c>
      <c r="AS103">
        <f>'2020_2021_hab'!AQ10</f>
        <v>1.17E-3</v>
      </c>
      <c r="AT103">
        <f>'2020_2021_hab'!AR10</f>
        <v>1.2099999999999999E-3</v>
      </c>
      <c r="AU103">
        <f>'2020_2021_hab'!AS10</f>
        <v>1.2600000000000001E-3</v>
      </c>
      <c r="AV103">
        <f>'2020_2021_hab'!AT10</f>
        <v>1.25E-3</v>
      </c>
      <c r="AW103">
        <f>'2020_2021_hab'!AU10</f>
        <v>1.2700000000000001E-3</v>
      </c>
      <c r="AX103">
        <f>'2020_2021_hab'!AV10</f>
        <v>1.2600000000000001E-3</v>
      </c>
      <c r="AY103">
        <f>'2020_2021_hab'!AW10</f>
        <v>1.32E-3</v>
      </c>
      <c r="AZ103">
        <f>'2020_2021_hab'!AX10</f>
        <v>1.3500000000000001E-3</v>
      </c>
      <c r="BA103">
        <f>'2020_2021_hab'!AY10</f>
        <v>1.42E-3</v>
      </c>
      <c r="BB103">
        <f>'2020_2021_hab'!AZ10</f>
        <v>1.49E-3</v>
      </c>
      <c r="BC103">
        <f>'2020_2021_hab'!BA10</f>
        <v>1.5399999999999999E-3</v>
      </c>
      <c r="BD103">
        <f>'2020_2021_hab'!BB10</f>
        <v>1.5E-3</v>
      </c>
      <c r="BE103">
        <f>'2020_2021_hab'!BC10</f>
        <v>1.56E-3</v>
      </c>
      <c r="BF103">
        <f>'2020_2021_hab'!BD10</f>
        <v>1.6800000000000001E-3</v>
      </c>
      <c r="BG103">
        <f>'2020_2021_hab'!BE10</f>
        <v>1.66E-3</v>
      </c>
      <c r="BH103">
        <f>'2020_2021_hab'!BF10</f>
        <v>1.7700000000000001E-3</v>
      </c>
      <c r="BI103">
        <f>'2020_2021_hab'!BG10</f>
        <v>1.8500000000000001E-3</v>
      </c>
      <c r="BJ103">
        <f>'2020_2021_hab'!BH10</f>
        <v>1.8500000000000001E-3</v>
      </c>
      <c r="BK103">
        <f>'2020_2021_hab'!BI10</f>
        <v>1.91E-3</v>
      </c>
      <c r="BL103">
        <f>'2020_2021_hab'!BJ10</f>
        <v>1.9499999999999999E-3</v>
      </c>
      <c r="BM103">
        <f>'2020_2021_hab'!BK10</f>
        <v>1.9599999999999999E-3</v>
      </c>
      <c r="BN103">
        <f>'2020_2021_hab'!BL10</f>
        <v>1.89E-3</v>
      </c>
      <c r="BO103">
        <f>'2020_2021_hab'!BM10</f>
        <v>1.8500000000000001E-3</v>
      </c>
      <c r="BP103">
        <f>'2020_2021_hab'!BN10</f>
        <v>1.83E-3</v>
      </c>
      <c r="BQ103">
        <f>'2020_2021_hab'!BO10</f>
        <v>1.91E-3</v>
      </c>
      <c r="BR103">
        <f>'2020_2021_hab'!BP10</f>
        <v>1.74E-3</v>
      </c>
      <c r="BS103">
        <f>'2020_2021_hab'!BQ10</f>
        <v>1.67E-3</v>
      </c>
      <c r="BT103">
        <f>'2020_2021_hab'!BR10</f>
        <v>1.7799999999999999E-3</v>
      </c>
      <c r="BU103">
        <f>'2020_2021_hab'!BS10</f>
        <v>1.9499999999999999E-3</v>
      </c>
      <c r="BV103">
        <f>'2020_2021_hab'!BT10</f>
        <v>2.33E-3</v>
      </c>
      <c r="BW103">
        <f>'2020_2021_hab'!BU10</f>
        <v>2.5999999999999999E-3</v>
      </c>
      <c r="BX103">
        <f>'2020_2021_hab'!BV10</f>
        <v>2.64E-3</v>
      </c>
      <c r="BY103">
        <f>'2020_2021_hab'!BW10</f>
        <v>2.64E-3</v>
      </c>
      <c r="BZ103">
        <f>'2020_2021_hab'!BX10</f>
        <v>2.63E-3</v>
      </c>
      <c r="CA103">
        <f>'2020_2021_hab'!BY10</f>
        <v>2.5200000000000001E-3</v>
      </c>
      <c r="CB103">
        <f>'2020_2021_hab'!BZ10</f>
        <v>2.6800000000000001E-3</v>
      </c>
      <c r="CC103">
        <f>'2020_2021_hab'!CA10</f>
        <v>2.6800000000000001E-3</v>
      </c>
      <c r="CD103">
        <f>'2020_2021_hab'!CB10</f>
        <v>2.6800000000000001E-3</v>
      </c>
      <c r="CE103">
        <f>'2020_2021_hab'!CC10</f>
        <v>2.7399999999999998E-3</v>
      </c>
      <c r="CF103">
        <f>'2020_2021_hab'!CD10</f>
        <v>2.6099999999999999E-3</v>
      </c>
      <c r="CG103">
        <f>'2020_2021_hab'!CE10</f>
        <v>2.6199999999999999E-3</v>
      </c>
      <c r="CH103">
        <f>'2020_2021_hab'!CF10</f>
        <v>2.8999999999999998E-3</v>
      </c>
      <c r="CI103">
        <f>'2020_2021_hab'!CG10</f>
        <v>3.15E-3</v>
      </c>
      <c r="CJ103">
        <f>'2020_2021_hab'!CH10</f>
        <v>3.4199999999999999E-3</v>
      </c>
      <c r="CK103">
        <f>'2020_2021_hab'!CI10</f>
        <v>3.2000000000000002E-3</v>
      </c>
      <c r="CL103">
        <f>'2020_2021_hab'!CJ10</f>
        <v>3.0899999999999999E-3</v>
      </c>
      <c r="CM103">
        <f>'2020_2021_hab'!CK10</f>
        <v>2.97E-3</v>
      </c>
      <c r="CN103">
        <f>'2020_2021_hab'!CL10</f>
        <v>3.5799999999999998E-3</v>
      </c>
      <c r="CO103">
        <f>'2020_2021_hab'!CM10</f>
        <v>3.5599999999999998E-3</v>
      </c>
      <c r="CP103">
        <f>'2020_2021_hab'!CN10</f>
        <v>3.3500000000000001E-3</v>
      </c>
      <c r="CQ103">
        <f>'2020_2021_hab'!CO10</f>
        <v>3.2799999999999999E-3</v>
      </c>
      <c r="CR103">
        <f>'2020_2021_hab'!CP10</f>
        <v>4.2100000000000002E-3</v>
      </c>
      <c r="CS103">
        <f>'2020_2021_hab'!CQ10</f>
        <v>4.2599999999999999E-3</v>
      </c>
      <c r="CT103">
        <f>'2020_2021_hab'!CR10</f>
        <v>4.5700000000000003E-3</v>
      </c>
      <c r="CU103">
        <f>'2020_2021_hab'!CS10</f>
        <v>4.5999999999999999E-3</v>
      </c>
      <c r="CV103">
        <f>'2020_2021_hab'!CT10</f>
        <v>4.2599999999999999E-3</v>
      </c>
      <c r="CW103">
        <f>'2020_2021_hab'!CU10</f>
        <v>4.9899999999999996E-3</v>
      </c>
      <c r="CX103">
        <f>'2020_2021_hab'!CV10</f>
        <v>3.8300000000000001E-3</v>
      </c>
    </row>
    <row r="104" spans="1:102" x14ac:dyDescent="0.2">
      <c r="A104" t="s">
        <v>212</v>
      </c>
      <c r="B104" t="s">
        <v>218</v>
      </c>
      <c r="C104" t="s">
        <v>223</v>
      </c>
      <c r="D104">
        <f>'2020_2021_hab'!B11</f>
        <v>-2E-3</v>
      </c>
      <c r="E104">
        <f>'2020_2021_hab'!C11</f>
        <v>-3.46E-3</v>
      </c>
      <c r="F104">
        <f>'2020_2021_hab'!D11</f>
        <v>-3.8800000000000002E-3</v>
      </c>
      <c r="G104">
        <f>'2020_2021_hab'!E11</f>
        <v>-2.4599999999999999E-3</v>
      </c>
      <c r="H104">
        <f>'2020_2021_hab'!F11</f>
        <v>-3.3E-3</v>
      </c>
      <c r="I104">
        <f>'2020_2021_hab'!G11</f>
        <v>-2.7000000000000001E-3</v>
      </c>
      <c r="J104">
        <f>'2020_2021_hab'!H11</f>
        <v>-2.6800000000000001E-3</v>
      </c>
      <c r="K104">
        <f>'2020_2021_hab'!I11</f>
        <v>-2.5400000000000002E-3</v>
      </c>
      <c r="L104">
        <f>'2020_2021_hab'!J11</f>
        <v>-2.2300000000000002E-3</v>
      </c>
      <c r="M104">
        <f>'2020_2021_hab'!K11</f>
        <v>-2.2200000000000002E-3</v>
      </c>
      <c r="N104">
        <f>'2020_2021_hab'!L11</f>
        <v>-1.8600000000000001E-3</v>
      </c>
      <c r="O104">
        <f>'2020_2021_hab'!M11</f>
        <v>-1.1900000000000001E-3</v>
      </c>
      <c r="P104">
        <f>'2020_2021_hab'!N11</f>
        <v>-1.17E-3</v>
      </c>
      <c r="Q104">
        <f>'2020_2021_hab'!O11</f>
        <v>-9.9799999999999997E-4</v>
      </c>
      <c r="R104">
        <f>'2020_2021_hab'!P11</f>
        <v>-8.8400000000000002E-4</v>
      </c>
      <c r="S104">
        <f>'2020_2021_hab'!Q11</f>
        <v>-7.8799999999999996E-4</v>
      </c>
      <c r="T104">
        <f>'2020_2021_hab'!R11</f>
        <v>-6.7699999999999998E-4</v>
      </c>
      <c r="U104">
        <f>'2020_2021_hab'!S11</f>
        <v>-6.1799999999999995E-4</v>
      </c>
      <c r="V104">
        <f>'2020_2021_hab'!T11</f>
        <v>-5.44E-4</v>
      </c>
      <c r="W104">
        <f>'2020_2021_hab'!U11</f>
        <v>-5.3499999999999999E-4</v>
      </c>
      <c r="X104">
        <f>'2020_2021_hab'!V11</f>
        <v>-5.0100000000000003E-4</v>
      </c>
      <c r="Y104">
        <f>'2020_2021_hab'!W11</f>
        <v>-4.4799999999999999E-4</v>
      </c>
      <c r="Z104">
        <f>'2020_2021_hab'!X11</f>
        <v>-4.4200000000000001E-4</v>
      </c>
      <c r="AA104">
        <f>'2020_2021_hab'!Y11</f>
        <v>-4.3399999999999998E-4</v>
      </c>
      <c r="AB104">
        <f>'2020_2021_hab'!Z11</f>
        <v>-4.2200000000000001E-4</v>
      </c>
      <c r="AC104">
        <f>'2020_2021_hab'!AA11</f>
        <v>-4.2700000000000002E-4</v>
      </c>
      <c r="AD104">
        <f>'2020_2021_hab'!AB11</f>
        <v>-4.2499999999999998E-4</v>
      </c>
      <c r="AE104">
        <f>'2020_2021_hab'!AC11</f>
        <v>-4.3600000000000003E-4</v>
      </c>
      <c r="AF104">
        <f>'2020_2021_hab'!AD11</f>
        <v>-4.46E-4</v>
      </c>
      <c r="AG104">
        <f>'2020_2021_hab'!AE11</f>
        <v>-4.86E-4</v>
      </c>
      <c r="AH104">
        <f>'2020_2021_hab'!AF11</f>
        <v>-4.9600000000000002E-4</v>
      </c>
      <c r="AI104">
        <f>'2020_2021_hab'!AG11</f>
        <v>-4.8700000000000002E-4</v>
      </c>
      <c r="AJ104">
        <f>'2020_2021_hab'!AH11</f>
        <v>-4.7800000000000002E-4</v>
      </c>
      <c r="AK104">
        <f>'2020_2021_hab'!AI11</f>
        <v>-4.8000000000000001E-4</v>
      </c>
      <c r="AL104">
        <f>'2020_2021_hab'!AJ11</f>
        <v>-5.0100000000000003E-4</v>
      </c>
      <c r="AM104">
        <f>'2020_2021_hab'!AK11</f>
        <v>-5.0199999999999995E-4</v>
      </c>
      <c r="AN104">
        <f>'2020_2021_hab'!AL11</f>
        <v>-5.0600000000000005E-4</v>
      </c>
      <c r="AO104">
        <f>'2020_2021_hab'!AM11</f>
        <v>-4.9700000000000005E-4</v>
      </c>
      <c r="AP104">
        <f>'2020_2021_hab'!AN11</f>
        <v>-4.73E-4</v>
      </c>
      <c r="AQ104">
        <f>'2020_2021_hab'!AO11</f>
        <v>-4.6000000000000001E-4</v>
      </c>
      <c r="AR104">
        <f>'2020_2021_hab'!AP11</f>
        <v>-4.4700000000000002E-4</v>
      </c>
      <c r="AS104">
        <f>'2020_2021_hab'!AQ11</f>
        <v>-4.5800000000000002E-4</v>
      </c>
      <c r="AT104">
        <f>'2020_2021_hab'!AR11</f>
        <v>-4.4999999999999999E-4</v>
      </c>
      <c r="AU104">
        <f>'2020_2021_hab'!AS11</f>
        <v>-4.3899999999999999E-4</v>
      </c>
      <c r="AV104">
        <f>'2020_2021_hab'!AT11</f>
        <v>-4.37E-4</v>
      </c>
      <c r="AW104">
        <f>'2020_2021_hab'!AU11</f>
        <v>-4.3600000000000003E-4</v>
      </c>
      <c r="AX104">
        <f>'2020_2021_hab'!AV11</f>
        <v>-4.2700000000000002E-4</v>
      </c>
      <c r="AY104">
        <f>'2020_2021_hab'!AW11</f>
        <v>-4.26E-4</v>
      </c>
      <c r="AZ104">
        <f>'2020_2021_hab'!AX11</f>
        <v>-4.3300000000000001E-4</v>
      </c>
      <c r="BA104">
        <f>'2020_2021_hab'!AY11</f>
        <v>-4.46E-4</v>
      </c>
      <c r="BB104">
        <f>'2020_2021_hab'!AZ11</f>
        <v>-4.5899999999999999E-4</v>
      </c>
      <c r="BC104">
        <f>'2020_2021_hab'!BA11</f>
        <v>-4.57E-4</v>
      </c>
      <c r="BD104">
        <f>'2020_2021_hab'!BB11</f>
        <v>-4.3600000000000003E-4</v>
      </c>
      <c r="BE104">
        <f>'2020_2021_hab'!BC11</f>
        <v>-4.35E-4</v>
      </c>
      <c r="BF104">
        <f>'2020_2021_hab'!BD11</f>
        <v>-4.4299999999999998E-4</v>
      </c>
      <c r="BG104">
        <f>'2020_2021_hab'!BE11</f>
        <v>-4.2400000000000001E-4</v>
      </c>
      <c r="BH104">
        <f>'2020_2021_hab'!BF11</f>
        <v>-4.1399999999999998E-4</v>
      </c>
      <c r="BI104">
        <f>'2020_2021_hab'!BG11</f>
        <v>-4.15E-4</v>
      </c>
      <c r="BJ104">
        <f>'2020_2021_hab'!BH11</f>
        <v>-4.17E-4</v>
      </c>
      <c r="BK104">
        <f>'2020_2021_hab'!BI11</f>
        <v>-4.0200000000000001E-4</v>
      </c>
      <c r="BL104">
        <f>'2020_2021_hab'!BJ11</f>
        <v>-3.9899999999999999E-4</v>
      </c>
      <c r="BM104">
        <f>'2020_2021_hab'!BK11</f>
        <v>-3.8200000000000002E-4</v>
      </c>
      <c r="BN104">
        <f>'2020_2021_hab'!BL11</f>
        <v>-3.6000000000000002E-4</v>
      </c>
      <c r="BO104">
        <f>'2020_2021_hab'!BM11</f>
        <v>-3.28E-4</v>
      </c>
      <c r="BP104">
        <f>'2020_2021_hab'!BN11</f>
        <v>-3.2699999999999998E-4</v>
      </c>
      <c r="BQ104">
        <f>'2020_2021_hab'!BO11</f>
        <v>-3.1799999999999998E-4</v>
      </c>
      <c r="BR104">
        <f>'2020_2021_hab'!BP11</f>
        <v>-2.9799999999999998E-4</v>
      </c>
      <c r="BS104">
        <f>'2020_2021_hab'!BQ11</f>
        <v>-3.2000000000000003E-4</v>
      </c>
      <c r="BT104">
        <f>'2020_2021_hab'!BR11</f>
        <v>-2.9100000000000003E-4</v>
      </c>
      <c r="BU104">
        <f>'2020_2021_hab'!BS11</f>
        <v>-3.0800000000000001E-4</v>
      </c>
      <c r="BV104">
        <f>'2020_2021_hab'!BT11</f>
        <v>-3.8900000000000002E-4</v>
      </c>
      <c r="BW104">
        <f>'2020_2021_hab'!BU11</f>
        <v>-3.9500000000000001E-4</v>
      </c>
      <c r="BX104">
        <f>'2020_2021_hab'!BV11</f>
        <v>-3.97E-4</v>
      </c>
      <c r="BY104">
        <f>'2020_2021_hab'!BW11</f>
        <v>-3.8999999999999999E-4</v>
      </c>
      <c r="BZ104">
        <f>'2020_2021_hab'!BX11</f>
        <v>-3.68E-4</v>
      </c>
      <c r="CA104">
        <f>'2020_2021_hab'!BY11</f>
        <v>-3.19E-4</v>
      </c>
      <c r="CB104">
        <f>'2020_2021_hab'!BZ11</f>
        <v>-2.99E-4</v>
      </c>
      <c r="CC104">
        <f>'2020_2021_hab'!CA11</f>
        <v>-3.0499999999999999E-4</v>
      </c>
      <c r="CD104">
        <f>'2020_2021_hab'!CB11</f>
        <v>-3.19E-4</v>
      </c>
      <c r="CE104">
        <f>'2020_2021_hab'!CC11</f>
        <v>-3.2600000000000001E-4</v>
      </c>
      <c r="CF104">
        <f>'2020_2021_hab'!CD11</f>
        <v>-3.19E-4</v>
      </c>
      <c r="CG104">
        <f>'2020_2021_hab'!CE11</f>
        <v>-2.9399999999999999E-4</v>
      </c>
      <c r="CH104">
        <f>'2020_2021_hab'!CF11</f>
        <v>-3.21E-4</v>
      </c>
      <c r="CI104">
        <f>'2020_2021_hab'!CG11</f>
        <v>-3.5799999999999997E-4</v>
      </c>
      <c r="CJ104">
        <f>'2020_2021_hab'!CH11</f>
        <v>-3.7300000000000001E-4</v>
      </c>
      <c r="CK104">
        <f>'2020_2021_hab'!CI11</f>
        <v>-3.4000000000000002E-4</v>
      </c>
      <c r="CL104">
        <f>'2020_2021_hab'!CJ11</f>
        <v>-3.2699999999999998E-4</v>
      </c>
      <c r="CM104">
        <f>'2020_2021_hab'!CK11</f>
        <v>-2.8699999999999998E-4</v>
      </c>
      <c r="CN104">
        <f>'2020_2021_hab'!CL11</f>
        <v>-3.01E-4</v>
      </c>
      <c r="CO104">
        <f>'2020_2021_hab'!CM11</f>
        <v>-3.1300000000000002E-4</v>
      </c>
      <c r="CP104">
        <f>'2020_2021_hab'!CN11</f>
        <v>-3.4600000000000001E-4</v>
      </c>
      <c r="CQ104">
        <f>'2020_2021_hab'!CO11</f>
        <v>-3.1300000000000002E-4</v>
      </c>
      <c r="CR104">
        <f>'2020_2021_hab'!CP11</f>
        <v>-4.1599999999999997E-4</v>
      </c>
      <c r="CS104">
        <f>'2020_2021_hab'!CQ11</f>
        <v>-4.3100000000000001E-4</v>
      </c>
      <c r="CT104">
        <f>'2020_2021_hab'!CR11</f>
        <v>-4.37E-4</v>
      </c>
      <c r="CU104">
        <f>'2020_2021_hab'!CS11</f>
        <v>-4.2299999999999998E-4</v>
      </c>
      <c r="CV104">
        <f>'2020_2021_hab'!CT11</f>
        <v>-4.6000000000000001E-4</v>
      </c>
      <c r="CW104">
        <f>'2020_2021_hab'!CU11</f>
        <v>-4.2700000000000002E-4</v>
      </c>
      <c r="CX104">
        <f>'2020_2021_hab'!CV11</f>
        <v>-2.8299999999999999E-4</v>
      </c>
    </row>
    <row r="105" spans="1:102" x14ac:dyDescent="0.2">
      <c r="A105" t="s">
        <v>213</v>
      </c>
      <c r="B105" t="s">
        <v>218</v>
      </c>
      <c r="C105" t="s">
        <v>223</v>
      </c>
      <c r="D105">
        <f>'2020_2021_hab'!B12</f>
        <v>-2.0999999999999999E-3</v>
      </c>
      <c r="E105">
        <f>'2020_2021_hab'!C12</f>
        <v>-3.4299999999999999E-3</v>
      </c>
      <c r="F105">
        <f>'2020_2021_hab'!D12</f>
        <v>-4.2199999999999998E-3</v>
      </c>
      <c r="G105">
        <f>'2020_2021_hab'!E12</f>
        <v>-3.2799999999999999E-3</v>
      </c>
      <c r="H105">
        <f>'2020_2021_hab'!F12</f>
        <v>-4.7200000000000002E-3</v>
      </c>
      <c r="I105">
        <f>'2020_2021_hab'!G12</f>
        <v>-4.15E-3</v>
      </c>
      <c r="J105">
        <f>'2020_2021_hab'!H12</f>
        <v>-4.62E-3</v>
      </c>
      <c r="K105">
        <f>'2020_2021_hab'!I12</f>
        <v>-4.5500000000000002E-3</v>
      </c>
      <c r="L105">
        <f>'2020_2021_hab'!J12</f>
        <v>-4.3200000000000001E-3</v>
      </c>
      <c r="M105">
        <f>'2020_2021_hab'!K12</f>
        <v>-4.6100000000000004E-3</v>
      </c>
      <c r="N105">
        <f>'2020_2021_hab'!L12</f>
        <v>-4.2100000000000002E-3</v>
      </c>
      <c r="O105">
        <f>'2020_2021_hab'!M12</f>
        <v>-2.9199999999999999E-3</v>
      </c>
      <c r="P105">
        <f>'2020_2021_hab'!N12</f>
        <v>-3.0599999999999998E-3</v>
      </c>
      <c r="Q105">
        <f>'2020_2021_hab'!O12</f>
        <v>-2.82E-3</v>
      </c>
      <c r="R105">
        <f>'2020_2021_hab'!P12</f>
        <v>-2.48E-3</v>
      </c>
      <c r="S105">
        <f>'2020_2021_hab'!Q12</f>
        <v>-2.0999999999999999E-3</v>
      </c>
      <c r="T105">
        <f>'2020_2021_hab'!R12</f>
        <v>-1.8E-3</v>
      </c>
      <c r="U105">
        <f>'2020_2021_hab'!S12</f>
        <v>-1.65E-3</v>
      </c>
      <c r="V105">
        <f>'2020_2021_hab'!T12</f>
        <v>-1.4400000000000001E-3</v>
      </c>
      <c r="W105">
        <f>'2020_2021_hab'!U12</f>
        <v>-1.2999999999999999E-3</v>
      </c>
      <c r="X105">
        <f>'2020_2021_hab'!V12</f>
        <v>-1.17E-3</v>
      </c>
      <c r="Y105">
        <f>'2020_2021_hab'!W12</f>
        <v>-9.9500000000000001E-4</v>
      </c>
      <c r="Z105">
        <f>'2020_2021_hab'!X12</f>
        <v>-9.9500000000000001E-4</v>
      </c>
      <c r="AA105">
        <f>'2020_2021_hab'!Y12</f>
        <v>-1.0200000000000001E-3</v>
      </c>
      <c r="AB105">
        <f>'2020_2021_hab'!Z12</f>
        <v>-1.0499999999999999E-3</v>
      </c>
      <c r="AC105">
        <f>'2020_2021_hab'!AA12</f>
        <v>-1.06E-3</v>
      </c>
      <c r="AD105">
        <f>'2020_2021_hab'!AB12</f>
        <v>-1.0300000000000001E-3</v>
      </c>
      <c r="AE105">
        <f>'2020_2021_hab'!AC12</f>
        <v>-9.8299999999999993E-4</v>
      </c>
      <c r="AF105">
        <f>'2020_2021_hab'!AD12</f>
        <v>-9.5200000000000005E-4</v>
      </c>
      <c r="AG105">
        <f>'2020_2021_hab'!AE12</f>
        <v>-8.9300000000000002E-4</v>
      </c>
      <c r="AH105">
        <f>'2020_2021_hab'!AF12</f>
        <v>-9.2699999999999998E-4</v>
      </c>
      <c r="AI105">
        <f>'2020_2021_hab'!AG12</f>
        <v>-8.5800000000000004E-4</v>
      </c>
      <c r="AJ105">
        <f>'2020_2021_hab'!AH12</f>
        <v>-7.94E-4</v>
      </c>
      <c r="AK105">
        <f>'2020_2021_hab'!AI12</f>
        <v>-7.7700000000000002E-4</v>
      </c>
      <c r="AL105">
        <f>'2020_2021_hab'!AJ12</f>
        <v>-7.8100000000000001E-4</v>
      </c>
      <c r="AM105">
        <f>'2020_2021_hab'!AK12</f>
        <v>-7.1599999999999995E-4</v>
      </c>
      <c r="AN105">
        <f>'2020_2021_hab'!AL12</f>
        <v>-6.7400000000000001E-4</v>
      </c>
      <c r="AO105">
        <f>'2020_2021_hab'!AM12</f>
        <v>-6.5899999999999997E-4</v>
      </c>
      <c r="AP105">
        <f>'2020_2021_hab'!AN12</f>
        <v>-6.7400000000000001E-4</v>
      </c>
      <c r="AQ105">
        <f>'2020_2021_hab'!AO12</f>
        <v>-6.5700000000000003E-4</v>
      </c>
      <c r="AR105">
        <f>'2020_2021_hab'!AP12</f>
        <v>-6.2200000000000005E-4</v>
      </c>
      <c r="AS105">
        <f>'2020_2021_hab'!AQ12</f>
        <v>-5.5800000000000001E-4</v>
      </c>
      <c r="AT105">
        <f>'2020_2021_hab'!AR12</f>
        <v>-4.9899999999999999E-4</v>
      </c>
      <c r="AU105">
        <f>'2020_2021_hab'!AS12</f>
        <v>-4.84E-4</v>
      </c>
      <c r="AV105">
        <f>'2020_2021_hab'!AT12</f>
        <v>-5.44E-4</v>
      </c>
      <c r="AW105">
        <f>'2020_2021_hab'!AU12</f>
        <v>-5.5199999999999997E-4</v>
      </c>
      <c r="AX105">
        <f>'2020_2021_hab'!AV12</f>
        <v>-4.6000000000000001E-4</v>
      </c>
      <c r="AY105">
        <f>'2020_2021_hab'!AW12</f>
        <v>-4.3199999999999998E-4</v>
      </c>
      <c r="AZ105">
        <f>'2020_2021_hab'!AX12</f>
        <v>-3.9899999999999999E-4</v>
      </c>
      <c r="BA105">
        <f>'2020_2021_hab'!AY12</f>
        <v>-3.7599999999999998E-4</v>
      </c>
      <c r="BB105">
        <f>'2020_2021_hab'!AZ12</f>
        <v>-3.2200000000000002E-4</v>
      </c>
      <c r="BC105">
        <f>'2020_2021_hab'!BA12</f>
        <v>-3.2299999999999999E-4</v>
      </c>
      <c r="BD105">
        <f>'2020_2021_hab'!BB12</f>
        <v>-2.7500000000000002E-4</v>
      </c>
      <c r="BE105">
        <f>'2020_2021_hab'!BC12</f>
        <v>-2.6699999999999998E-4</v>
      </c>
      <c r="BF105">
        <f>'2020_2021_hab'!BD12</f>
        <v>-2.1800000000000001E-4</v>
      </c>
      <c r="BG105">
        <f>'2020_2021_hab'!BE12</f>
        <v>-2.4499999999999999E-4</v>
      </c>
      <c r="BH105">
        <f>'2020_2021_hab'!BF12</f>
        <v>-2.6800000000000001E-4</v>
      </c>
      <c r="BI105">
        <f>'2020_2021_hab'!BG12</f>
        <v>-1.9699999999999999E-4</v>
      </c>
      <c r="BJ105">
        <f>'2020_2021_hab'!BH12</f>
        <v>-2.04E-4</v>
      </c>
      <c r="BK105">
        <f>'2020_2021_hab'!BI12</f>
        <v>-1.64E-4</v>
      </c>
      <c r="BL105">
        <f>'2020_2021_hab'!BJ12</f>
        <v>-1.54E-4</v>
      </c>
      <c r="BM105">
        <f>'2020_2021_hab'!BK12</f>
        <v>-1.06E-4</v>
      </c>
      <c r="BN105">
        <f>'2020_2021_hab'!BL12</f>
        <v>-5.94E-5</v>
      </c>
      <c r="BO105">
        <f>'2020_2021_hab'!BM12</f>
        <v>-1.6399999999999999E-5</v>
      </c>
      <c r="BP105">
        <f>'2020_2021_hab'!BN12</f>
        <v>3.26E-5</v>
      </c>
      <c r="BQ105">
        <f>'2020_2021_hab'!BO12</f>
        <v>-1.4100000000000001E-6</v>
      </c>
      <c r="BR105">
        <f>'2020_2021_hab'!BP12</f>
        <v>-5.2200000000000002E-5</v>
      </c>
      <c r="BS105">
        <f>'2020_2021_hab'!BQ12</f>
        <v>-9.0099999999999995E-5</v>
      </c>
      <c r="BT105">
        <f>'2020_2021_hab'!BR12</f>
        <v>-1.5799999999999999E-4</v>
      </c>
      <c r="BU105">
        <f>'2020_2021_hab'!BS12</f>
        <v>-1.63E-4</v>
      </c>
      <c r="BV105">
        <f>'2020_2021_hab'!BT12</f>
        <v>-1.8100000000000001E-4</v>
      </c>
      <c r="BW105">
        <f>'2020_2021_hab'!BU12</f>
        <v>-1.7100000000000001E-4</v>
      </c>
      <c r="BX105">
        <f>'2020_2021_hab'!BV12</f>
        <v>-7.2700000000000005E-5</v>
      </c>
      <c r="BY105">
        <f>'2020_2021_hab'!BW12</f>
        <v>-1.2899999999999999E-4</v>
      </c>
      <c r="BZ105">
        <f>'2020_2021_hab'!BX12</f>
        <v>-1.3300000000000001E-4</v>
      </c>
      <c r="CA105">
        <f>'2020_2021_hab'!BY12</f>
        <v>-1.0900000000000001E-4</v>
      </c>
      <c r="CB105">
        <f>'2020_2021_hab'!BZ12</f>
        <v>-8.3599999999999999E-5</v>
      </c>
      <c r="CC105">
        <f>'2020_2021_hab'!CA12</f>
        <v>-1.8599999999999999E-4</v>
      </c>
      <c r="CD105">
        <f>'2020_2021_hab'!CB12</f>
        <v>-9.6500000000000001E-5</v>
      </c>
      <c r="CE105">
        <f>'2020_2021_hab'!CC12</f>
        <v>-8.6600000000000004E-5</v>
      </c>
      <c r="CF105">
        <f>'2020_2021_hab'!CD12</f>
        <v>-9.3999999999999994E-5</v>
      </c>
      <c r="CG105">
        <f>'2020_2021_hab'!CE12</f>
        <v>-1.3999999999999999E-4</v>
      </c>
      <c r="CH105">
        <f>'2020_2021_hab'!CF12</f>
        <v>-1.13E-4</v>
      </c>
      <c r="CI105">
        <f>'2020_2021_hab'!CG12</f>
        <v>-1.73E-4</v>
      </c>
      <c r="CJ105">
        <f>'2020_2021_hab'!CH12</f>
        <v>-1.34E-4</v>
      </c>
      <c r="CK105">
        <f>'2020_2021_hab'!CI12</f>
        <v>-6.7399999999999998E-5</v>
      </c>
      <c r="CL105">
        <f>'2020_2021_hab'!CJ12</f>
        <v>-4.8900000000000003E-5</v>
      </c>
      <c r="CM105">
        <f>'2020_2021_hab'!CK12</f>
        <v>-1.95E-4</v>
      </c>
      <c r="CN105">
        <f>'2020_2021_hab'!CL12</f>
        <v>-2.6200000000000003E-4</v>
      </c>
      <c r="CO105">
        <f>'2020_2021_hab'!CM12</f>
        <v>-2.13E-4</v>
      </c>
      <c r="CP105">
        <f>'2020_2021_hab'!CN12</f>
        <v>-2.7700000000000001E-4</v>
      </c>
      <c r="CQ105">
        <f>'2020_2021_hab'!CO12</f>
        <v>-2.6699999999999998E-4</v>
      </c>
      <c r="CR105">
        <f>'2020_2021_hab'!CP12</f>
        <v>-3.2499999999999999E-4</v>
      </c>
      <c r="CS105">
        <f>'2020_2021_hab'!CQ12</f>
        <v>-3.79E-4</v>
      </c>
      <c r="CT105">
        <f>'2020_2021_hab'!CR12</f>
        <v>-4.4000000000000002E-4</v>
      </c>
      <c r="CU105">
        <f>'2020_2021_hab'!CS12</f>
        <v>-4.6099999999999998E-4</v>
      </c>
      <c r="CV105">
        <f>'2020_2021_hab'!CT12</f>
        <v>-2.61E-4</v>
      </c>
      <c r="CW105">
        <f>'2020_2021_hab'!CU12</f>
        <v>-4.28E-4</v>
      </c>
      <c r="CX105">
        <f>'2020_2021_hab'!CV12</f>
        <v>-4.2499999999999998E-4</v>
      </c>
    </row>
    <row r="106" spans="1:102" x14ac:dyDescent="0.2">
      <c r="A106" t="s">
        <v>214</v>
      </c>
      <c r="B106" t="s">
        <v>218</v>
      </c>
      <c r="C106" t="s">
        <v>223</v>
      </c>
      <c r="D106">
        <f>'2020_2021_hab'!B13</f>
        <v>8.8800000000000001E-4</v>
      </c>
      <c r="E106">
        <f>'2020_2021_hab'!C13</f>
        <v>6.9099999999999999E-4</v>
      </c>
      <c r="F106">
        <f>'2020_2021_hab'!D13</f>
        <v>8.5099999999999998E-4</v>
      </c>
      <c r="G106">
        <f>'2020_2021_hab'!E13</f>
        <v>5.9199999999999997E-4</v>
      </c>
      <c r="H106">
        <f>'2020_2021_hab'!F13</f>
        <v>4.0499999999999998E-4</v>
      </c>
      <c r="I106">
        <f>'2020_2021_hab'!G13</f>
        <v>2.2900000000000001E-4</v>
      </c>
      <c r="J106">
        <f>'2020_2021_hab'!H13</f>
        <v>3.7500000000000001E-4</v>
      </c>
      <c r="K106">
        <f>'2020_2021_hab'!I13</f>
        <v>4.0099999999999999E-4</v>
      </c>
      <c r="L106">
        <f>'2020_2021_hab'!J13</f>
        <v>4.46E-4</v>
      </c>
      <c r="M106">
        <f>'2020_2021_hab'!K13</f>
        <v>4.9200000000000003E-4</v>
      </c>
      <c r="N106">
        <f>'2020_2021_hab'!L13</f>
        <v>4.7199999999999998E-4</v>
      </c>
      <c r="O106">
        <f>'2020_2021_hab'!M13</f>
        <v>4.7399999999999997E-4</v>
      </c>
      <c r="P106">
        <f>'2020_2021_hab'!N13</f>
        <v>1.9799999999999999E-4</v>
      </c>
      <c r="Q106">
        <f>'2020_2021_hab'!O13</f>
        <v>3.7599999999999998E-4</v>
      </c>
      <c r="R106">
        <f>'2020_2021_hab'!P13</f>
        <v>3.2699999999999998E-4</v>
      </c>
      <c r="S106">
        <f>'2020_2021_hab'!Q13</f>
        <v>2.9999999999999997E-4</v>
      </c>
      <c r="T106">
        <f>'2020_2021_hab'!R13</f>
        <v>2.9399999999999999E-4</v>
      </c>
      <c r="U106">
        <f>'2020_2021_hab'!S13</f>
        <v>2.2499999999999999E-4</v>
      </c>
      <c r="V106">
        <f>'2020_2021_hab'!T13</f>
        <v>2.2699999999999999E-4</v>
      </c>
      <c r="W106">
        <f>'2020_2021_hab'!U13</f>
        <v>2.34E-4</v>
      </c>
      <c r="X106">
        <f>'2020_2021_hab'!V13</f>
        <v>2.5999999999999998E-4</v>
      </c>
      <c r="Y106">
        <f>'2020_2021_hab'!W13</f>
        <v>2.6600000000000001E-4</v>
      </c>
      <c r="Z106">
        <f>'2020_2021_hab'!X13</f>
        <v>3.6000000000000002E-4</v>
      </c>
      <c r="AA106">
        <f>'2020_2021_hab'!Y13</f>
        <v>4.1800000000000002E-4</v>
      </c>
      <c r="AB106">
        <f>'2020_2021_hab'!Z13</f>
        <v>1.44E-4</v>
      </c>
      <c r="AC106">
        <f>'2020_2021_hab'!AA13</f>
        <v>2.8899999999999998E-4</v>
      </c>
      <c r="AD106">
        <f>'2020_2021_hab'!AB13</f>
        <v>3.2000000000000003E-4</v>
      </c>
      <c r="AE106">
        <f>'2020_2021_hab'!AC13</f>
        <v>3.4000000000000002E-4</v>
      </c>
      <c r="AF106">
        <f>'2020_2021_hab'!AD13</f>
        <v>1.9599999999999999E-4</v>
      </c>
      <c r="AG106">
        <f>'2020_2021_hab'!AE13</f>
        <v>3.2000000000000003E-4</v>
      </c>
      <c r="AH106">
        <f>'2020_2021_hab'!AF13</f>
        <v>3.3399999999999999E-4</v>
      </c>
      <c r="AI106">
        <f>'2020_2021_hab'!AG13</f>
        <v>4.0299999999999998E-4</v>
      </c>
      <c r="AJ106">
        <f>'2020_2021_hab'!AH13</f>
        <v>3.1500000000000001E-4</v>
      </c>
      <c r="AK106">
        <f>'2020_2021_hab'!AI13</f>
        <v>3.5300000000000002E-4</v>
      </c>
      <c r="AL106">
        <f>'2020_2021_hab'!AJ13</f>
        <v>3.8900000000000002E-4</v>
      </c>
      <c r="AM106">
        <f>'2020_2021_hab'!AK13</f>
        <v>4.4299999999999998E-4</v>
      </c>
      <c r="AN106">
        <f>'2020_2021_hab'!AL13</f>
        <v>4.3199999999999998E-4</v>
      </c>
      <c r="AO106">
        <f>'2020_2021_hab'!AM13</f>
        <v>5.4600000000000004E-4</v>
      </c>
      <c r="AP106">
        <f>'2020_2021_hab'!AN13</f>
        <v>2.9E-4</v>
      </c>
      <c r="AQ106">
        <f>'2020_2021_hab'!AO13</f>
        <v>3.8200000000000002E-4</v>
      </c>
      <c r="AR106">
        <f>'2020_2021_hab'!AP13</f>
        <v>3.9199999999999999E-4</v>
      </c>
      <c r="AS106">
        <f>'2020_2021_hab'!AQ13</f>
        <v>4.08E-4</v>
      </c>
      <c r="AT106">
        <f>'2020_2021_hab'!AR13</f>
        <v>4.2000000000000002E-4</v>
      </c>
      <c r="AU106">
        <f>'2020_2021_hab'!AS13</f>
        <v>4.3300000000000001E-4</v>
      </c>
      <c r="AV106">
        <f>'2020_2021_hab'!AT13</f>
        <v>3.6299999999999999E-4</v>
      </c>
      <c r="AW106">
        <f>'2020_2021_hab'!AU13</f>
        <v>4.4900000000000002E-4</v>
      </c>
      <c r="AX106">
        <f>'2020_2021_hab'!AV13</f>
        <v>3.2899999999999997E-4</v>
      </c>
      <c r="AY106">
        <f>'2020_2021_hab'!AW13</f>
        <v>3.8000000000000002E-4</v>
      </c>
      <c r="AZ106">
        <f>'2020_2021_hab'!AX13</f>
        <v>3.8099999999999999E-4</v>
      </c>
      <c r="BA106">
        <f>'2020_2021_hab'!AY13</f>
        <v>4.0299999999999998E-4</v>
      </c>
      <c r="BB106">
        <f>'2020_2021_hab'!AZ13</f>
        <v>3.8499999999999998E-4</v>
      </c>
      <c r="BC106">
        <f>'2020_2021_hab'!BA13</f>
        <v>4.5199999999999998E-4</v>
      </c>
      <c r="BD106">
        <f>'2020_2021_hab'!BB13</f>
        <v>3.7300000000000001E-4</v>
      </c>
      <c r="BE106">
        <f>'2020_2021_hab'!BC13</f>
        <v>4.2499999999999998E-4</v>
      </c>
      <c r="BF106">
        <f>'2020_2021_hab'!BD13</f>
        <v>4.3800000000000002E-4</v>
      </c>
      <c r="BG106">
        <f>'2020_2021_hab'!BE13</f>
        <v>4.0299999999999998E-4</v>
      </c>
      <c r="BH106">
        <f>'2020_2021_hab'!BF13</f>
        <v>4.0000000000000002E-4</v>
      </c>
      <c r="BI106">
        <f>'2020_2021_hab'!BG13</f>
        <v>4.0400000000000001E-4</v>
      </c>
      <c r="BJ106">
        <f>'2020_2021_hab'!BH13</f>
        <v>3.8699999999999997E-4</v>
      </c>
      <c r="BK106">
        <f>'2020_2021_hab'!BI13</f>
        <v>4.2200000000000001E-4</v>
      </c>
      <c r="BL106">
        <f>'2020_2021_hab'!BJ13</f>
        <v>4.17E-4</v>
      </c>
      <c r="BM106">
        <f>'2020_2021_hab'!BK13</f>
        <v>4.2499999999999998E-4</v>
      </c>
      <c r="BN106">
        <f>'2020_2021_hab'!BL13</f>
        <v>3.4900000000000003E-4</v>
      </c>
      <c r="BO106">
        <f>'2020_2021_hab'!BM13</f>
        <v>3.5300000000000002E-4</v>
      </c>
      <c r="BP106">
        <f>'2020_2021_hab'!BN13</f>
        <v>3.3599999999999998E-4</v>
      </c>
      <c r="BQ106">
        <f>'2020_2021_hab'!BO13</f>
        <v>4.4200000000000001E-4</v>
      </c>
      <c r="BR106">
        <f>'2020_2021_hab'!BP13</f>
        <v>8.3199999999999995E-4</v>
      </c>
      <c r="BS106">
        <f>'2020_2021_hab'!BQ13</f>
        <v>4.4099999999999999E-4</v>
      </c>
      <c r="BT106">
        <f>'2020_2021_hab'!BR13</f>
        <v>3.0499999999999999E-4</v>
      </c>
      <c r="BU106">
        <f>'2020_2021_hab'!BS13</f>
        <v>3.5399999999999999E-4</v>
      </c>
      <c r="BV106">
        <f>'2020_2021_hab'!BT13</f>
        <v>3.5199999999999999E-4</v>
      </c>
      <c r="BW106">
        <f>'2020_2021_hab'!BU13</f>
        <v>4.2999999999999999E-4</v>
      </c>
      <c r="BX106">
        <f>'2020_2021_hab'!BV13</f>
        <v>3.6499999999999998E-4</v>
      </c>
      <c r="BY106">
        <f>'2020_2021_hab'!BW13</f>
        <v>3.1399999999999999E-4</v>
      </c>
      <c r="BZ106">
        <f>'2020_2021_hab'!BX13</f>
        <v>4.3899999999999999E-4</v>
      </c>
      <c r="CA106">
        <f>'2020_2021_hab'!BY13</f>
        <v>2.2499999999999999E-4</v>
      </c>
      <c r="CB106">
        <f>'2020_2021_hab'!BZ13</f>
        <v>2.3499999999999999E-4</v>
      </c>
      <c r="CC106">
        <f>'2020_2021_hab'!CA13</f>
        <v>2.9399999999999999E-4</v>
      </c>
      <c r="CD106">
        <f>'2020_2021_hab'!CB13</f>
        <v>2.02E-4</v>
      </c>
      <c r="CE106">
        <f>'2020_2021_hab'!CC13</f>
        <v>1.8799999999999999E-4</v>
      </c>
      <c r="CF106">
        <f>'2020_2021_hab'!CD13</f>
        <v>6.0999999999999997E-4</v>
      </c>
      <c r="CG106">
        <f>'2020_2021_hab'!CE13</f>
        <v>1.64E-4</v>
      </c>
      <c r="CH106">
        <f>'2020_2021_hab'!CF13</f>
        <v>2.4399999999999999E-4</v>
      </c>
      <c r="CI106">
        <f>'2020_2021_hab'!CG13</f>
        <v>1.3899999999999999E-4</v>
      </c>
      <c r="CJ106">
        <f>'2020_2021_hab'!CH13</f>
        <v>1.8699999999999999E-4</v>
      </c>
      <c r="CK106">
        <f>'2020_2021_hab'!CI13</f>
        <v>1.37E-4</v>
      </c>
      <c r="CL106">
        <f>'2020_2021_hab'!CJ13</f>
        <v>2.24E-4</v>
      </c>
      <c r="CM106">
        <f>'2020_2021_hab'!CK13</f>
        <v>-7.8999999999999996E-5</v>
      </c>
      <c r="CN106">
        <f>'2020_2021_hab'!CL13</f>
        <v>2.8799999999999999E-5</v>
      </c>
      <c r="CO106">
        <f>'2020_2021_hab'!CM13</f>
        <v>3.5800000000000003E-5</v>
      </c>
      <c r="CP106">
        <f>'2020_2021_hab'!CN13</f>
        <v>1.8100000000000001E-4</v>
      </c>
      <c r="CQ106">
        <f>'2020_2021_hab'!CO13</f>
        <v>-3.9199999999999997E-5</v>
      </c>
      <c r="CR106">
        <f>'2020_2021_hab'!CP13</f>
        <v>-1.05E-4</v>
      </c>
      <c r="CS106">
        <f>'2020_2021_hab'!CQ13</f>
        <v>-2.24E-4</v>
      </c>
      <c r="CT106">
        <f>'2020_2021_hab'!CR13</f>
        <v>-4.0299999999999998E-4</v>
      </c>
      <c r="CU106">
        <f>'2020_2021_hab'!CS13</f>
        <v>-6.6299999999999996E-4</v>
      </c>
      <c r="CV106">
        <f>'2020_2021_hab'!CT13</f>
        <v>-6.0999999999999997E-4</v>
      </c>
      <c r="CW106">
        <f>'2020_2021_hab'!CU13</f>
        <v>-8.8000000000000003E-4</v>
      </c>
      <c r="CX106">
        <f>'2020_2021_hab'!CV13</f>
        <v>-9.9700000000000006E-4</v>
      </c>
    </row>
    <row r="107" spans="1:102" x14ac:dyDescent="0.2">
      <c r="A107" t="s">
        <v>215</v>
      </c>
      <c r="B107" t="s">
        <v>218</v>
      </c>
      <c r="C107" t="s">
        <v>223</v>
      </c>
      <c r="D107">
        <f>'2020_2021_hab'!B14</f>
        <v>-5.1000000000000004E-3</v>
      </c>
      <c r="E107">
        <f>'2020_2021_hab'!C14</f>
        <v>-5.9699999999999996E-3</v>
      </c>
      <c r="F107">
        <f>'2020_2021_hab'!D14</f>
        <v>-4.0299999999999997E-3</v>
      </c>
      <c r="G107">
        <f>'2020_2021_hab'!E14</f>
        <v>-1.89E-3</v>
      </c>
      <c r="H107">
        <f>'2020_2021_hab'!F14</f>
        <v>-1.2600000000000001E-3</v>
      </c>
      <c r="I107">
        <f>'2020_2021_hab'!G14</f>
        <v>2.8099999999999999E-5</v>
      </c>
      <c r="J107">
        <f>'2020_2021_hab'!H14</f>
        <v>1.1000000000000001E-3</v>
      </c>
      <c r="K107">
        <f>'2020_2021_hab'!I14</f>
        <v>2.3800000000000002E-3</v>
      </c>
      <c r="L107">
        <f>'2020_2021_hab'!J14</f>
        <v>2.1099999999999999E-3</v>
      </c>
      <c r="M107">
        <f>'2020_2021_hab'!K14</f>
        <v>2.9099999999999998E-3</v>
      </c>
      <c r="N107">
        <f>'2020_2021_hab'!L14</f>
        <v>2.5999999999999999E-3</v>
      </c>
      <c r="O107">
        <f>'2020_2021_hab'!M14</f>
        <v>2.0300000000000001E-3</v>
      </c>
      <c r="P107">
        <f>'2020_2021_hab'!N14</f>
        <v>1.9E-3</v>
      </c>
      <c r="Q107">
        <f>'2020_2021_hab'!O14</f>
        <v>1.7600000000000001E-3</v>
      </c>
      <c r="R107">
        <f>'2020_2021_hab'!P14</f>
        <v>1.9499999999999999E-3</v>
      </c>
      <c r="S107">
        <f>'2020_2021_hab'!Q14</f>
        <v>2.2300000000000002E-3</v>
      </c>
      <c r="T107">
        <f>'2020_2021_hab'!R14</f>
        <v>2.2599999999999999E-3</v>
      </c>
      <c r="U107">
        <f>'2020_2021_hab'!S14</f>
        <v>2.2499999999999998E-3</v>
      </c>
      <c r="V107">
        <f>'2020_2021_hab'!T14</f>
        <v>2.0100000000000001E-3</v>
      </c>
      <c r="W107">
        <f>'2020_2021_hab'!U14</f>
        <v>2.0699999999999998E-3</v>
      </c>
      <c r="X107">
        <f>'2020_2021_hab'!V14</f>
        <v>2.2399999999999998E-3</v>
      </c>
      <c r="Y107">
        <f>'2020_2021_hab'!W14</f>
        <v>2.1900000000000001E-3</v>
      </c>
      <c r="Z107">
        <f>'2020_2021_hab'!X14</f>
        <v>2.2399999999999998E-3</v>
      </c>
      <c r="AA107">
        <f>'2020_2021_hab'!Y14</f>
        <v>2.47E-3</v>
      </c>
      <c r="AB107">
        <f>'2020_2021_hab'!Z14</f>
        <v>2.5200000000000001E-3</v>
      </c>
      <c r="AC107">
        <f>'2020_2021_hab'!AA14</f>
        <v>2.5500000000000002E-3</v>
      </c>
      <c r="AD107">
        <f>'2020_2021_hab'!AB14</f>
        <v>2.5300000000000001E-3</v>
      </c>
      <c r="AE107">
        <f>'2020_2021_hab'!AC14</f>
        <v>2.33E-3</v>
      </c>
      <c r="AF107">
        <f>'2020_2021_hab'!AD14</f>
        <v>2.14E-3</v>
      </c>
      <c r="AG107">
        <f>'2020_2021_hab'!AE14</f>
        <v>1.9300000000000001E-3</v>
      </c>
      <c r="AH107">
        <f>'2020_2021_hab'!AF14</f>
        <v>1.9499999999999999E-3</v>
      </c>
      <c r="AI107">
        <f>'2020_2021_hab'!AG14</f>
        <v>2.0799999999999998E-3</v>
      </c>
      <c r="AJ107">
        <f>'2020_2021_hab'!AH14</f>
        <v>2.1299999999999999E-3</v>
      </c>
      <c r="AK107">
        <f>'2020_2021_hab'!AI14</f>
        <v>2.16E-3</v>
      </c>
      <c r="AL107">
        <f>'2020_2021_hab'!AJ14</f>
        <v>2.3600000000000001E-3</v>
      </c>
      <c r="AM107">
        <f>'2020_2021_hab'!AK14</f>
        <v>2.5000000000000001E-3</v>
      </c>
      <c r="AN107">
        <f>'2020_2021_hab'!AL14</f>
        <v>2.6199999999999999E-3</v>
      </c>
      <c r="AO107">
        <f>'2020_2021_hab'!AM14</f>
        <v>2.5100000000000001E-3</v>
      </c>
      <c r="AP107">
        <f>'2020_2021_hab'!AN14</f>
        <v>2.3999999999999998E-3</v>
      </c>
      <c r="AQ107">
        <f>'2020_2021_hab'!AO14</f>
        <v>2.2399999999999998E-3</v>
      </c>
      <c r="AR107">
        <f>'2020_2021_hab'!AP14</f>
        <v>2.2599999999999999E-3</v>
      </c>
      <c r="AS107">
        <f>'2020_2021_hab'!AQ14</f>
        <v>2.3700000000000001E-3</v>
      </c>
      <c r="AT107">
        <f>'2020_2021_hab'!AR14</f>
        <v>2.2699999999999999E-3</v>
      </c>
      <c r="AU107">
        <f>'2020_2021_hab'!AS14</f>
        <v>2.2499999999999998E-3</v>
      </c>
      <c r="AV107">
        <f>'2020_2021_hab'!AT14</f>
        <v>2.2699999999999999E-3</v>
      </c>
      <c r="AW107">
        <f>'2020_2021_hab'!AU14</f>
        <v>2.33E-3</v>
      </c>
      <c r="AX107">
        <f>'2020_2021_hab'!AV14</f>
        <v>2.4499999999999999E-3</v>
      </c>
      <c r="AY107">
        <f>'2020_2021_hab'!AW14</f>
        <v>2.3900000000000002E-3</v>
      </c>
      <c r="AZ107">
        <f>'2020_2021_hab'!AX14</f>
        <v>2.16E-3</v>
      </c>
      <c r="BA107">
        <f>'2020_2021_hab'!AY14</f>
        <v>2.2699999999999999E-3</v>
      </c>
      <c r="BB107">
        <f>'2020_2021_hab'!AZ14</f>
        <v>2.33E-3</v>
      </c>
      <c r="BC107">
        <f>'2020_2021_hab'!BA14</f>
        <v>2.33E-3</v>
      </c>
      <c r="BD107">
        <f>'2020_2021_hab'!BB14</f>
        <v>2.3500000000000001E-3</v>
      </c>
      <c r="BE107">
        <f>'2020_2021_hab'!BC14</f>
        <v>2.31E-3</v>
      </c>
      <c r="BF107">
        <f>'2020_2021_hab'!BD14</f>
        <v>2.4199999999999998E-3</v>
      </c>
      <c r="BG107">
        <f>'2020_2021_hab'!BE14</f>
        <v>2.5200000000000001E-3</v>
      </c>
      <c r="BH107">
        <f>'2020_2021_hab'!BF14</f>
        <v>2.5200000000000001E-3</v>
      </c>
      <c r="BI107">
        <f>'2020_2021_hab'!BG14</f>
        <v>2.65E-3</v>
      </c>
      <c r="BJ107">
        <f>'2020_2021_hab'!BH14</f>
        <v>2.98E-3</v>
      </c>
      <c r="BK107">
        <f>'2020_2021_hab'!BI14</f>
        <v>2.8800000000000002E-3</v>
      </c>
      <c r="BL107">
        <f>'2020_2021_hab'!BJ14</f>
        <v>2.9099999999999998E-3</v>
      </c>
      <c r="BM107">
        <f>'2020_2021_hab'!BK14</f>
        <v>2.81E-3</v>
      </c>
      <c r="BN107">
        <f>'2020_2021_hab'!BL14</f>
        <v>2.8500000000000001E-3</v>
      </c>
      <c r="BO107">
        <f>'2020_2021_hab'!BM14</f>
        <v>2.8500000000000001E-3</v>
      </c>
      <c r="BP107">
        <f>'2020_2021_hab'!BN14</f>
        <v>2.8700000000000002E-3</v>
      </c>
      <c r="BQ107">
        <f>'2020_2021_hab'!BO14</f>
        <v>2.8600000000000001E-3</v>
      </c>
      <c r="BR107">
        <f>'2020_2021_hab'!BP14</f>
        <v>2.7699999999999999E-3</v>
      </c>
      <c r="BS107">
        <f>'2020_2021_hab'!BQ14</f>
        <v>2.7200000000000002E-3</v>
      </c>
      <c r="BT107">
        <f>'2020_2021_hab'!BR14</f>
        <v>2.7599999999999999E-3</v>
      </c>
      <c r="BU107">
        <f>'2020_2021_hab'!BS14</f>
        <v>3.0300000000000001E-3</v>
      </c>
      <c r="BV107">
        <f>'2020_2021_hab'!BT14</f>
        <v>3.3700000000000002E-3</v>
      </c>
      <c r="BW107">
        <f>'2020_2021_hab'!BU14</f>
        <v>3.5899999999999999E-3</v>
      </c>
      <c r="BX107">
        <f>'2020_2021_hab'!BV14</f>
        <v>3.8500000000000001E-3</v>
      </c>
      <c r="BY107">
        <f>'2020_2021_hab'!BW14</f>
        <v>3.98E-3</v>
      </c>
      <c r="BZ107">
        <f>'2020_2021_hab'!BX14</f>
        <v>4.1200000000000004E-3</v>
      </c>
      <c r="CA107">
        <f>'2020_2021_hab'!BY14</f>
        <v>4.0299999999999997E-3</v>
      </c>
      <c r="CB107">
        <f>'2020_2021_hab'!BZ14</f>
        <v>3.9199999999999999E-3</v>
      </c>
      <c r="CC107">
        <f>'2020_2021_hab'!CA14</f>
        <v>3.9399999999999999E-3</v>
      </c>
      <c r="CD107">
        <f>'2020_2021_hab'!CB14</f>
        <v>4.3099999999999996E-3</v>
      </c>
      <c r="CE107">
        <f>'2020_2021_hab'!CC14</f>
        <v>4.4299999999999999E-3</v>
      </c>
      <c r="CF107">
        <f>'2020_2021_hab'!CD14</f>
        <v>4.3099999999999996E-3</v>
      </c>
      <c r="CG107">
        <f>'2020_2021_hab'!CE14</f>
        <v>4.0400000000000002E-3</v>
      </c>
      <c r="CH107">
        <f>'2020_2021_hab'!CF14</f>
        <v>4.4799999999999996E-3</v>
      </c>
      <c r="CI107">
        <f>'2020_2021_hab'!CG14</f>
        <v>5.0600000000000003E-3</v>
      </c>
      <c r="CJ107">
        <f>'2020_2021_hab'!CH14</f>
        <v>4.9800000000000001E-3</v>
      </c>
      <c r="CK107">
        <f>'2020_2021_hab'!CI14</f>
        <v>4.5799999999999999E-3</v>
      </c>
      <c r="CL107">
        <f>'2020_2021_hab'!CJ14</f>
        <v>4.13E-3</v>
      </c>
      <c r="CM107">
        <f>'2020_2021_hab'!CK14</f>
        <v>3.5400000000000002E-3</v>
      </c>
      <c r="CN107">
        <f>'2020_2021_hab'!CL14</f>
        <v>3.6800000000000001E-3</v>
      </c>
      <c r="CO107">
        <f>'2020_2021_hab'!CM14</f>
        <v>3.7799999999999999E-3</v>
      </c>
      <c r="CP107">
        <f>'2020_2021_hab'!CN14</f>
        <v>3.14E-3</v>
      </c>
      <c r="CQ107">
        <f>'2020_2021_hab'!CO14</f>
        <v>2.64E-3</v>
      </c>
      <c r="CR107">
        <f>'2020_2021_hab'!CP14</f>
        <v>2.8800000000000002E-3</v>
      </c>
      <c r="CS107">
        <f>'2020_2021_hab'!CQ14</f>
        <v>2.5000000000000001E-3</v>
      </c>
      <c r="CT107">
        <f>'2020_2021_hab'!CR14</f>
        <v>2.3900000000000002E-3</v>
      </c>
      <c r="CU107">
        <f>'2020_2021_hab'!CS14</f>
        <v>2.0300000000000001E-3</v>
      </c>
      <c r="CV107">
        <f>'2020_2021_hab'!CT14</f>
        <v>2.16E-3</v>
      </c>
      <c r="CW107">
        <f>'2020_2021_hab'!CU14</f>
        <v>1.8500000000000001E-3</v>
      </c>
      <c r="CX107">
        <f>'2020_2021_hab'!CV14</f>
        <v>9.8299999999999993E-4</v>
      </c>
    </row>
    <row r="108" spans="1:102" x14ac:dyDescent="0.2">
      <c r="A108" t="s">
        <v>208</v>
      </c>
      <c r="B108" t="s">
        <v>219</v>
      </c>
      <c r="C108" t="s">
        <v>223</v>
      </c>
      <c r="D108">
        <f>'2020_2021_hab'!B15</f>
        <v>8.5000000000000006E-3</v>
      </c>
      <c r="E108">
        <f>'2020_2021_hab'!C15</f>
        <v>-0.58599999999999997</v>
      </c>
      <c r="F108">
        <f>'2020_2021_hab'!D15</f>
        <v>-0.86899999999999999</v>
      </c>
      <c r="G108">
        <f>'2020_2021_hab'!E15</f>
        <v>-0.188</v>
      </c>
      <c r="H108">
        <f>'2020_2021_hab'!F15</f>
        <v>-0.91200000000000003</v>
      </c>
      <c r="I108">
        <f>'2020_2021_hab'!G15</f>
        <v>-0.47499999999999998</v>
      </c>
      <c r="J108">
        <f>'2020_2021_hab'!H15</f>
        <v>-0.54700000000000004</v>
      </c>
      <c r="K108">
        <f>'2020_2021_hab'!I15</f>
        <v>-0.42399999999999999</v>
      </c>
      <c r="L108">
        <f>'2020_2021_hab'!J15</f>
        <v>-0.28799999999999998</v>
      </c>
      <c r="M108">
        <f>'2020_2021_hab'!K15</f>
        <v>-0.38900000000000001</v>
      </c>
      <c r="N108">
        <f>'2020_2021_hab'!L15</f>
        <v>-0.45600000000000002</v>
      </c>
      <c r="O108">
        <f>'2020_2021_hab'!M15</f>
        <v>-9.7600000000000006E-2</v>
      </c>
      <c r="P108">
        <f>'2020_2021_hab'!N15</f>
        <v>-0.16900000000000001</v>
      </c>
      <c r="Q108">
        <f>'2020_2021_hab'!O15</f>
        <v>-0.24199999999999999</v>
      </c>
      <c r="R108">
        <f>'2020_2021_hab'!P15</f>
        <v>-0.23499999999999999</v>
      </c>
      <c r="S108">
        <f>'2020_2021_hab'!Q15</f>
        <v>-0.21</v>
      </c>
      <c r="T108">
        <f>'2020_2021_hab'!R15</f>
        <v>-0.17399999999999999</v>
      </c>
      <c r="U108">
        <f>'2020_2021_hab'!S15</f>
        <v>-0.20200000000000001</v>
      </c>
      <c r="V108">
        <f>'2020_2021_hab'!T15</f>
        <v>-0.155</v>
      </c>
      <c r="W108">
        <f>'2020_2021_hab'!U15</f>
        <v>-0.14899999999999999</v>
      </c>
      <c r="X108">
        <f>'2020_2021_hab'!V15</f>
        <v>-0.14599999999999999</v>
      </c>
      <c r="Y108">
        <f>'2020_2021_hab'!W15</f>
        <v>-0.11</v>
      </c>
      <c r="Z108">
        <f>'2020_2021_hab'!X15</f>
        <v>-0.115</v>
      </c>
      <c r="AA108">
        <f>'2020_2021_hab'!Y15</f>
        <v>-7.22E-2</v>
      </c>
      <c r="AB108">
        <f>'2020_2021_hab'!Z15</f>
        <v>-7.1800000000000003E-2</v>
      </c>
      <c r="AC108">
        <f>'2020_2021_hab'!AA15</f>
        <v>-6.5699999999999995E-2</v>
      </c>
      <c r="AD108">
        <f>'2020_2021_hab'!AB15</f>
        <v>-6.6100000000000006E-2</v>
      </c>
      <c r="AE108">
        <f>'2020_2021_hab'!AC15</f>
        <v>-6.5199999999999994E-2</v>
      </c>
      <c r="AF108">
        <f>'2020_2021_hab'!AD15</f>
        <v>-6.9900000000000004E-2</v>
      </c>
      <c r="AG108">
        <f>'2020_2021_hab'!AE15</f>
        <v>-7.7899999999999997E-2</v>
      </c>
      <c r="AH108">
        <f>'2020_2021_hab'!AF15</f>
        <v>-8.7400000000000005E-2</v>
      </c>
      <c r="AI108">
        <f>'2020_2021_hab'!AG15</f>
        <v>-7.4999999999999997E-2</v>
      </c>
      <c r="AJ108">
        <f>'2020_2021_hab'!AH15</f>
        <v>-4.6199999999999998E-2</v>
      </c>
      <c r="AK108">
        <f>'2020_2021_hab'!AI15</f>
        <v>-4.4200000000000003E-2</v>
      </c>
      <c r="AL108">
        <f>'2020_2021_hab'!AJ15</f>
        <v>-5.6300000000000003E-2</v>
      </c>
      <c r="AM108">
        <f>'2020_2021_hab'!AK15</f>
        <v>-7.9100000000000004E-2</v>
      </c>
      <c r="AN108">
        <f>'2020_2021_hab'!AL15</f>
        <v>-7.9500000000000001E-2</v>
      </c>
      <c r="AO108">
        <f>'2020_2021_hab'!AM15</f>
        <v>-5.6599999999999998E-2</v>
      </c>
      <c r="AP108">
        <f>'2020_2021_hab'!AN15</f>
        <v>-4.9799999999999997E-2</v>
      </c>
      <c r="AQ108">
        <f>'2020_2021_hab'!AO15</f>
        <v>-5.0900000000000001E-2</v>
      </c>
      <c r="AR108">
        <f>'2020_2021_hab'!AP15</f>
        <v>-5.1700000000000003E-2</v>
      </c>
      <c r="AS108">
        <f>'2020_2021_hab'!AQ15</f>
        <v>-5.04E-2</v>
      </c>
      <c r="AT108">
        <f>'2020_2021_hab'!AR15</f>
        <v>-7.0400000000000004E-2</v>
      </c>
      <c r="AU108">
        <f>'2020_2021_hab'!AS15</f>
        <v>-7.2499999999999995E-2</v>
      </c>
      <c r="AV108">
        <f>'2020_2021_hab'!AT15</f>
        <v>-7.2499999999999995E-2</v>
      </c>
      <c r="AW108">
        <f>'2020_2021_hab'!AU15</f>
        <v>-7.3400000000000007E-2</v>
      </c>
      <c r="AX108">
        <f>'2020_2021_hab'!AV15</f>
        <v>-7.6899999999999996E-2</v>
      </c>
      <c r="AY108">
        <f>'2020_2021_hab'!AW15</f>
        <v>-6.08E-2</v>
      </c>
      <c r="AZ108">
        <f>'2020_2021_hab'!AX15</f>
        <v>-6.4100000000000004E-2</v>
      </c>
      <c r="BA108">
        <f>'2020_2021_hab'!AY15</f>
        <v>-6.8099999999999994E-2</v>
      </c>
      <c r="BB108">
        <f>'2020_2021_hab'!AZ15</f>
        <v>-0.08</v>
      </c>
      <c r="BC108">
        <f>'2020_2021_hab'!BA15</f>
        <v>-4.7600000000000003E-2</v>
      </c>
      <c r="BD108">
        <f>'2020_2021_hab'!BB15</f>
        <v>-4.4400000000000002E-2</v>
      </c>
      <c r="BE108">
        <f>'2020_2021_hab'!BC15</f>
        <v>-4.7699999999999999E-2</v>
      </c>
      <c r="BF108">
        <f>'2020_2021_hab'!BD15</f>
        <v>-6.3799999999999996E-2</v>
      </c>
      <c r="BG108">
        <f>'2020_2021_hab'!BE15</f>
        <v>-3.8699999999999998E-2</v>
      </c>
      <c r="BH108">
        <f>'2020_2021_hab'!BF15</f>
        <v>-3.3799999999999997E-2</v>
      </c>
      <c r="BI108">
        <f>'2020_2021_hab'!BG15</f>
        <v>-4.2000000000000003E-2</v>
      </c>
      <c r="BJ108">
        <f>'2020_2021_hab'!BH15</f>
        <v>-4.7300000000000002E-2</v>
      </c>
      <c r="BK108">
        <f>'2020_2021_hab'!BI15</f>
        <v>-6.2300000000000001E-2</v>
      </c>
      <c r="BL108">
        <f>'2020_2021_hab'!BJ15</f>
        <v>-9.7500000000000003E-2</v>
      </c>
      <c r="BM108">
        <f>'2020_2021_hab'!BK15</f>
        <v>-0.107</v>
      </c>
      <c r="BN108">
        <f>'2020_2021_hab'!BL15</f>
        <v>-8.9200000000000002E-2</v>
      </c>
      <c r="BO108">
        <f>'2020_2021_hab'!BM15</f>
        <v>-7.0199999999999999E-2</v>
      </c>
      <c r="BP108">
        <f>'2020_2021_hab'!BN15</f>
        <v>-6.6199999999999995E-2</v>
      </c>
      <c r="BQ108">
        <f>'2020_2021_hab'!BO15</f>
        <v>-6.1199999999999997E-2</v>
      </c>
      <c r="BR108">
        <f>'2020_2021_hab'!BP15</f>
        <v>-6.1800000000000001E-2</v>
      </c>
      <c r="BS108">
        <f>'2020_2021_hab'!BQ15</f>
        <v>-2.52E-2</v>
      </c>
      <c r="BT108">
        <f>'2020_2021_hab'!BR15</f>
        <v>3.3399999999999999E-2</v>
      </c>
      <c r="BU108">
        <f>'2020_2021_hab'!BS15</f>
        <v>3.3099999999999997E-2</v>
      </c>
      <c r="BV108">
        <f>'2020_2021_hab'!BT15</f>
        <v>-4.6699999999999998E-2</v>
      </c>
      <c r="BW108">
        <f>'2020_2021_hab'!BU15</f>
        <v>-8.8599999999999998E-2</v>
      </c>
      <c r="BX108">
        <f>'2020_2021_hab'!BV15</f>
        <v>-8.0600000000000005E-2</v>
      </c>
      <c r="BY108">
        <f>'2020_2021_hab'!BW15</f>
        <v>-6.0900000000000003E-2</v>
      </c>
      <c r="BZ108">
        <f>'2020_2021_hab'!BX15</f>
        <v>-5.3699999999999998E-2</v>
      </c>
      <c r="CA108">
        <f>'2020_2021_hab'!BY15</f>
        <v>-4.2500000000000003E-2</v>
      </c>
      <c r="CB108">
        <f>'2020_2021_hab'!BZ15</f>
        <v>-6.4500000000000002E-2</v>
      </c>
      <c r="CC108">
        <f>'2020_2021_hab'!CA15</f>
        <v>-6.4299999999999996E-2</v>
      </c>
      <c r="CD108">
        <f>'2020_2021_hab'!CB15</f>
        <v>-3.8600000000000002E-2</v>
      </c>
      <c r="CE108">
        <f>'2020_2021_hab'!CC15</f>
        <v>-3.8600000000000002E-2</v>
      </c>
      <c r="CF108">
        <f>'2020_2021_hab'!CD15</f>
        <v>-0.01</v>
      </c>
      <c r="CG108">
        <f>'2020_2021_hab'!CE15</f>
        <v>5.5199999999999999E-2</v>
      </c>
      <c r="CH108">
        <f>'2020_2021_hab'!CF15</f>
        <v>1.6E-2</v>
      </c>
      <c r="CI108">
        <f>'2020_2021_hab'!CG15</f>
        <v>-7.0599999999999996E-2</v>
      </c>
      <c r="CJ108">
        <f>'2020_2021_hab'!CH15</f>
        <v>-0.151</v>
      </c>
      <c r="CK108">
        <f>'2020_2021_hab'!CI15</f>
        <v>-0.113</v>
      </c>
      <c r="CL108">
        <f>'2020_2021_hab'!CJ15</f>
        <v>-0.112</v>
      </c>
      <c r="CM108">
        <f>'2020_2021_hab'!CK15</f>
        <v>5.8200000000000002E-2</v>
      </c>
      <c r="CN108">
        <f>'2020_2021_hab'!CL15</f>
        <v>-3.78E-2</v>
      </c>
      <c r="CO108">
        <f>'2020_2021_hab'!CM15</f>
        <v>-4.1799999999999997E-2</v>
      </c>
      <c r="CP108">
        <f>'2020_2021_hab'!CN15</f>
        <v>-2.64E-2</v>
      </c>
      <c r="CQ108">
        <f>'2020_2021_hab'!CO15</f>
        <v>2.52E-2</v>
      </c>
      <c r="CR108">
        <f>'2020_2021_hab'!CP15</f>
        <v>-0.14000000000000001</v>
      </c>
      <c r="CS108">
        <f>'2020_2021_hab'!CQ15</f>
        <v>-8.4900000000000003E-2</v>
      </c>
      <c r="CT108">
        <f>'2020_2021_hab'!CR15</f>
        <v>-6.7500000000000004E-2</v>
      </c>
      <c r="CU108">
        <f>'2020_2021_hab'!CS15</f>
        <v>-6.0900000000000003E-2</v>
      </c>
      <c r="CV108">
        <f>'2020_2021_hab'!CT15</f>
        <v>-4.2099999999999999E-2</v>
      </c>
      <c r="CW108">
        <f>'2020_2021_hab'!CU15</f>
        <v>-4.7300000000000002E-2</v>
      </c>
      <c r="CX108">
        <f>'2020_2021_hab'!CV15</f>
        <v>-5.45E-2</v>
      </c>
    </row>
    <row r="109" spans="1:102" x14ac:dyDescent="0.2">
      <c r="A109" t="s">
        <v>209</v>
      </c>
      <c r="B109" t="s">
        <v>219</v>
      </c>
      <c r="C109" t="s">
        <v>223</v>
      </c>
      <c r="D109">
        <f>'2020_2021_hab'!B16</f>
        <v>4.9099999999999998E-2</v>
      </c>
      <c r="E109">
        <f>'2020_2021_hab'!C16</f>
        <v>-0.104</v>
      </c>
      <c r="F109">
        <f>'2020_2021_hab'!D16</f>
        <v>-0.16400000000000001</v>
      </c>
      <c r="G109">
        <f>'2020_2021_hab'!E16</f>
        <v>2.53E-2</v>
      </c>
      <c r="H109">
        <f>'2020_2021_hab'!F16</f>
        <v>-0.13200000000000001</v>
      </c>
      <c r="I109">
        <f>'2020_2021_hab'!G16</f>
        <v>6.4000000000000003E-3</v>
      </c>
      <c r="J109">
        <f>'2020_2021_hab'!H16</f>
        <v>-7.9500000000000001E-2</v>
      </c>
      <c r="K109">
        <f>'2020_2021_hab'!I16</f>
        <v>-7.2499999999999995E-2</v>
      </c>
      <c r="L109">
        <f>'2020_2021_hab'!J16</f>
        <v>-4.4200000000000003E-2</v>
      </c>
      <c r="M109">
        <f>'2020_2021_hab'!K16</f>
        <v>-4.5499999999999999E-2</v>
      </c>
      <c r="N109">
        <f>'2020_2021_hab'!L16</f>
        <v>-0.14199999999999999</v>
      </c>
      <c r="O109">
        <f>'2020_2021_hab'!M16</f>
        <v>1.8499999999999999E-2</v>
      </c>
      <c r="P109">
        <f>'2020_2021_hab'!N16</f>
        <v>-1.23E-2</v>
      </c>
      <c r="Q109">
        <f>'2020_2021_hab'!O16</f>
        <v>-7.8100000000000003E-2</v>
      </c>
      <c r="R109">
        <f>'2020_2021_hab'!P16</f>
        <v>-6.2899999999999998E-2</v>
      </c>
      <c r="S109">
        <f>'2020_2021_hab'!Q16</f>
        <v>-5.1799999999999999E-2</v>
      </c>
      <c r="T109">
        <f>'2020_2021_hab'!R16</f>
        <v>-3.6400000000000002E-2</v>
      </c>
      <c r="U109">
        <f>'2020_2021_hab'!S16</f>
        <v>-6.54E-2</v>
      </c>
      <c r="V109">
        <f>'2020_2021_hab'!T16</f>
        <v>-5.9799999999999999E-2</v>
      </c>
      <c r="W109">
        <f>'2020_2021_hab'!U16</f>
        <v>-7.0599999999999996E-2</v>
      </c>
      <c r="X109">
        <f>'2020_2021_hab'!V16</f>
        <v>-7.5499999999999998E-2</v>
      </c>
      <c r="Y109">
        <f>'2020_2021_hab'!W16</f>
        <v>-5.96E-2</v>
      </c>
      <c r="Z109">
        <f>'2020_2021_hab'!X16</f>
        <v>-6.2600000000000003E-2</v>
      </c>
      <c r="AA109">
        <f>'2020_2021_hab'!Y16</f>
        <v>-3.5400000000000001E-2</v>
      </c>
      <c r="AB109">
        <f>'2020_2021_hab'!Z16</f>
        <v>-3.4700000000000002E-2</v>
      </c>
      <c r="AC109">
        <f>'2020_2021_hab'!AA16</f>
        <v>-3.1600000000000003E-2</v>
      </c>
      <c r="AD109">
        <f>'2020_2021_hab'!AB16</f>
        <v>-3.7100000000000001E-2</v>
      </c>
      <c r="AE109">
        <f>'2020_2021_hab'!AC16</f>
        <v>-3.3500000000000002E-2</v>
      </c>
      <c r="AF109">
        <f>'2020_2021_hab'!AD16</f>
        <v>-4.1799999999999997E-2</v>
      </c>
      <c r="AG109">
        <f>'2020_2021_hab'!AE16</f>
        <v>-5.2999999999999999E-2</v>
      </c>
      <c r="AH109">
        <f>'2020_2021_hab'!AF16</f>
        <v>-7.6300000000000007E-2</v>
      </c>
      <c r="AI109">
        <f>'2020_2021_hab'!AG16</f>
        <v>-3.7600000000000001E-2</v>
      </c>
      <c r="AJ109">
        <f>'2020_2021_hab'!AH16</f>
        <v>-2.75E-2</v>
      </c>
      <c r="AK109">
        <f>'2020_2021_hab'!AI16</f>
        <v>-3.4700000000000002E-2</v>
      </c>
      <c r="AL109">
        <f>'2020_2021_hab'!AJ16</f>
        <v>-4.4499999999999998E-2</v>
      </c>
      <c r="AM109">
        <f>'2020_2021_hab'!AK16</f>
        <v>-5.3900000000000003E-2</v>
      </c>
      <c r="AN109">
        <f>'2020_2021_hab'!AL16</f>
        <v>-3.9800000000000002E-2</v>
      </c>
      <c r="AO109">
        <f>'2020_2021_hab'!AM16</f>
        <v>-2.01E-2</v>
      </c>
      <c r="AP109">
        <f>'2020_2021_hab'!AN16</f>
        <v>-2.93E-2</v>
      </c>
      <c r="AQ109">
        <f>'2020_2021_hab'!AO16</f>
        <v>-3.3599999999999998E-2</v>
      </c>
      <c r="AR109">
        <f>'2020_2021_hab'!AP16</f>
        <v>-3.0599999999999999E-2</v>
      </c>
      <c r="AS109">
        <f>'2020_2021_hab'!AQ16</f>
        <v>-3.04E-2</v>
      </c>
      <c r="AT109">
        <f>'2020_2021_hab'!AR16</f>
        <v>-2.86E-2</v>
      </c>
      <c r="AU109">
        <f>'2020_2021_hab'!AS16</f>
        <v>-3.2199999999999999E-2</v>
      </c>
      <c r="AV109">
        <f>'2020_2021_hab'!AT16</f>
        <v>-2.8799999999999999E-2</v>
      </c>
      <c r="AW109">
        <f>'2020_2021_hab'!AU16</f>
        <v>-1.5699999999999999E-2</v>
      </c>
      <c r="AX109">
        <f>'2020_2021_hab'!AV16</f>
        <v>-1.3899999999999999E-2</v>
      </c>
      <c r="AY109">
        <f>'2020_2021_hab'!AW16</f>
        <v>-8.7100000000000007E-3</v>
      </c>
      <c r="AZ109">
        <f>'2020_2021_hab'!AX16</f>
        <v>-1.2699999999999999E-2</v>
      </c>
      <c r="BA109">
        <f>'2020_2021_hab'!AY16</f>
        <v>-1.9E-2</v>
      </c>
      <c r="BB109">
        <f>'2020_2021_hab'!AZ16</f>
        <v>-3.5299999999999998E-2</v>
      </c>
      <c r="BC109">
        <f>'2020_2021_hab'!BA16</f>
        <v>-1.3500000000000001E-3</v>
      </c>
      <c r="BD109">
        <f>'2020_2021_hab'!BB16</f>
        <v>-3.3600000000000001E-3</v>
      </c>
      <c r="BE109">
        <f>'2020_2021_hab'!BC16</f>
        <v>-1.4500000000000001E-2</v>
      </c>
      <c r="BF109">
        <f>'2020_2021_hab'!BD16</f>
        <v>-9.8799999999999995E-4</v>
      </c>
      <c r="BG109">
        <f>'2020_2021_hab'!BE16</f>
        <v>2.9099999999999998E-3</v>
      </c>
      <c r="BH109">
        <f>'2020_2021_hab'!BF16</f>
        <v>3.5999999999999999E-3</v>
      </c>
      <c r="BI109">
        <f>'2020_2021_hab'!BG16</f>
        <v>-6.7799999999999996E-3</v>
      </c>
      <c r="BJ109">
        <f>'2020_2021_hab'!BH16</f>
        <v>-6.5399999999999998E-3</v>
      </c>
      <c r="BK109">
        <f>'2020_2021_hab'!BI16</f>
        <v>-2.1600000000000001E-2</v>
      </c>
      <c r="BL109">
        <f>'2020_2021_hab'!BJ16</f>
        <v>-6.4199999999999993E-2</v>
      </c>
      <c r="BM109">
        <f>'2020_2021_hab'!BK16</f>
        <v>-7.9299999999999995E-2</v>
      </c>
      <c r="BN109">
        <f>'2020_2021_hab'!BL16</f>
        <v>-4.9200000000000001E-2</v>
      </c>
      <c r="BO109">
        <f>'2020_2021_hab'!BM16</f>
        <v>-2.8500000000000001E-2</v>
      </c>
      <c r="BP109">
        <f>'2020_2021_hab'!BN16</f>
        <v>-2.9600000000000001E-2</v>
      </c>
      <c r="BQ109">
        <f>'2020_2021_hab'!BO16</f>
        <v>-2.6100000000000002E-2</v>
      </c>
      <c r="BR109">
        <f>'2020_2021_hab'!BP16</f>
        <v>2.5600000000000002E-3</v>
      </c>
      <c r="BS109">
        <f>'2020_2021_hab'!BQ16</f>
        <v>3.61E-2</v>
      </c>
      <c r="BT109">
        <f>'2020_2021_hab'!BR16</f>
        <v>9.4399999999999998E-2</v>
      </c>
      <c r="BU109">
        <f>'2020_2021_hab'!BS16</f>
        <v>8.5500000000000007E-2</v>
      </c>
      <c r="BV109">
        <f>'2020_2021_hab'!BT16</f>
        <v>-2.6100000000000002E-2</v>
      </c>
      <c r="BW109">
        <f>'2020_2021_hab'!BU16</f>
        <v>-7.2800000000000004E-2</v>
      </c>
      <c r="BX109">
        <f>'2020_2021_hab'!BV16</f>
        <v>-7.3700000000000002E-2</v>
      </c>
      <c r="BY109">
        <f>'2020_2021_hab'!BW16</f>
        <v>-7.3200000000000001E-2</v>
      </c>
      <c r="BZ109">
        <f>'2020_2021_hab'!BX16</f>
        <v>-5.8999999999999997E-2</v>
      </c>
      <c r="CA109">
        <f>'2020_2021_hab'!BY16</f>
        <v>-4.82E-2</v>
      </c>
      <c r="CB109">
        <f>'2020_2021_hab'!BZ16</f>
        <v>-7.5200000000000003E-2</v>
      </c>
      <c r="CC109">
        <f>'2020_2021_hab'!CA16</f>
        <v>-7.2900000000000006E-2</v>
      </c>
      <c r="CD109">
        <f>'2020_2021_hab'!CB16</f>
        <v>-4.1599999999999998E-2</v>
      </c>
      <c r="CE109">
        <f>'2020_2021_hab'!CC16</f>
        <v>-5.0700000000000002E-2</v>
      </c>
      <c r="CF109">
        <f>'2020_2021_hab'!CD16</f>
        <v>-3.2000000000000001E-2</v>
      </c>
      <c r="CG109">
        <f>'2020_2021_hab'!CE16</f>
        <v>4.3299999999999998E-2</v>
      </c>
      <c r="CH109">
        <f>'2020_2021_hab'!CF16</f>
        <v>2.5600000000000001E-2</v>
      </c>
      <c r="CI109">
        <f>'2020_2021_hab'!CG16</f>
        <v>-5.7599999999999998E-2</v>
      </c>
      <c r="CJ109">
        <f>'2020_2021_hab'!CH16</f>
        <v>-0.17899999999999999</v>
      </c>
      <c r="CK109">
        <f>'2020_2021_hab'!CI16</f>
        <v>-0.13200000000000001</v>
      </c>
      <c r="CL109">
        <f>'2020_2021_hab'!CJ16</f>
        <v>-9.5399999999999999E-2</v>
      </c>
      <c r="CM109">
        <f>'2020_2021_hab'!CK16</f>
        <v>7.6799999999999993E-2</v>
      </c>
      <c r="CN109">
        <f>'2020_2021_hab'!CL16</f>
        <v>-4.4600000000000001E-2</v>
      </c>
      <c r="CO109">
        <f>'2020_2021_hab'!CM16</f>
        <v>-5.4300000000000001E-2</v>
      </c>
      <c r="CP109">
        <f>'2020_2021_hab'!CN16</f>
        <v>-3.2800000000000003E-2</v>
      </c>
      <c r="CQ109">
        <f>'2020_2021_hab'!CO16</f>
        <v>3.9399999999999998E-2</v>
      </c>
      <c r="CR109">
        <f>'2020_2021_hab'!CP16</f>
        <v>-0.16200000000000001</v>
      </c>
      <c r="CS109">
        <f>'2020_2021_hab'!CQ16</f>
        <v>-0.104</v>
      </c>
      <c r="CT109">
        <f>'2020_2021_hab'!CR16</f>
        <v>-0.10299999999999999</v>
      </c>
      <c r="CU109">
        <f>'2020_2021_hab'!CS16</f>
        <v>-8.3099999999999993E-2</v>
      </c>
      <c r="CV109">
        <f>'2020_2021_hab'!CT16</f>
        <v>-9.1999999999999998E-2</v>
      </c>
      <c r="CW109">
        <f>'2020_2021_hab'!CU16</f>
        <v>-0.16700000000000001</v>
      </c>
      <c r="CX109">
        <f>'2020_2021_hab'!CV16</f>
        <v>-8.1699999999999995E-2</v>
      </c>
    </row>
    <row r="110" spans="1:102" x14ac:dyDescent="0.2">
      <c r="A110" t="s">
        <v>210</v>
      </c>
      <c r="B110" t="s">
        <v>219</v>
      </c>
      <c r="C110" t="s">
        <v>223</v>
      </c>
      <c r="D110">
        <f>'2020_2021_hab'!B17</f>
        <v>-1.84E-2</v>
      </c>
      <c r="E110">
        <f>'2020_2021_hab'!C17</f>
        <v>-1.73E-3</v>
      </c>
      <c r="F110">
        <f>'2020_2021_hab'!D17</f>
        <v>2.87E-2</v>
      </c>
      <c r="G110">
        <f>'2020_2021_hab'!E17</f>
        <v>-2.1100000000000001E-2</v>
      </c>
      <c r="H110">
        <f>'2020_2021_hab'!F17</f>
        <v>2.8799999999999999E-2</v>
      </c>
      <c r="I110">
        <f>'2020_2021_hab'!G17</f>
        <v>7.3099999999999999E-4</v>
      </c>
      <c r="J110">
        <f>'2020_2021_hab'!H17</f>
        <v>7.1500000000000001E-3</v>
      </c>
      <c r="K110">
        <f>'2020_2021_hab'!I17</f>
        <v>7.8399999999999997E-4</v>
      </c>
      <c r="L110">
        <f>'2020_2021_hab'!J17</f>
        <v>-6.4400000000000004E-3</v>
      </c>
      <c r="M110">
        <f>'2020_2021_hab'!K17</f>
        <v>3.3400000000000001E-3</v>
      </c>
      <c r="N110">
        <f>'2020_2021_hab'!L17</f>
        <v>0.02</v>
      </c>
      <c r="O110">
        <f>'2020_2021_hab'!M17</f>
        <v>-1.37E-2</v>
      </c>
      <c r="P110">
        <f>'2020_2021_hab'!N17</f>
        <v>-8.2000000000000007E-3</v>
      </c>
      <c r="Q110">
        <f>'2020_2021_hab'!O17</f>
        <v>6.2399999999999999E-3</v>
      </c>
      <c r="R110">
        <f>'2020_2021_hab'!P17</f>
        <v>7.3600000000000002E-3</v>
      </c>
      <c r="S110">
        <f>'2020_2021_hab'!Q17</f>
        <v>5.96E-3</v>
      </c>
      <c r="T110">
        <f>'2020_2021_hab'!R17</f>
        <v>2.6199999999999999E-3</v>
      </c>
      <c r="U110">
        <f>'2020_2021_hab'!S17</f>
        <v>6.0899999999999999E-3</v>
      </c>
      <c r="V110">
        <f>'2020_2021_hab'!T17</f>
        <v>4.1900000000000001E-3</v>
      </c>
      <c r="W110">
        <f>'2020_2021_hab'!U17</f>
        <v>5.8599999999999998E-3</v>
      </c>
      <c r="X110">
        <f>'2020_2021_hab'!V17</f>
        <v>7.5599999999999999E-3</v>
      </c>
      <c r="Y110">
        <f>'2020_2021_hab'!W17</f>
        <v>5.4799999999999996E-3</v>
      </c>
      <c r="Z110">
        <f>'2020_2021_hab'!X17</f>
        <v>7.0299999999999998E-3</v>
      </c>
      <c r="AA110">
        <f>'2020_2021_hab'!Y17</f>
        <v>3.1800000000000001E-3</v>
      </c>
      <c r="AB110">
        <f>'2020_2021_hab'!Z17</f>
        <v>2.6900000000000001E-3</v>
      </c>
      <c r="AC110">
        <f>'2020_2021_hab'!AA17</f>
        <v>1.49E-3</v>
      </c>
      <c r="AD110">
        <f>'2020_2021_hab'!AB17</f>
        <v>2.5300000000000001E-3</v>
      </c>
      <c r="AE110">
        <f>'2020_2021_hab'!AC17</f>
        <v>1.49E-3</v>
      </c>
      <c r="AF110">
        <f>'2020_2021_hab'!AD17</f>
        <v>3.48E-3</v>
      </c>
      <c r="AG110">
        <f>'2020_2021_hab'!AE17</f>
        <v>6.5500000000000003E-3</v>
      </c>
      <c r="AH110">
        <f>'2020_2021_hab'!AF17</f>
        <v>9.41E-3</v>
      </c>
      <c r="AI110">
        <f>'2020_2021_hab'!AG17</f>
        <v>2.2399999999999998E-3</v>
      </c>
      <c r="AJ110">
        <f>'2020_2021_hab'!AH17</f>
        <v>-6.1899999999999998E-4</v>
      </c>
      <c r="AK110">
        <f>'2020_2021_hab'!AI17</f>
        <v>2.9199999999999999E-3</v>
      </c>
      <c r="AL110">
        <f>'2020_2021_hab'!AJ17</f>
        <v>4.5700000000000003E-3</v>
      </c>
      <c r="AM110">
        <f>'2020_2021_hab'!AK17</f>
        <v>7.6099999999999996E-3</v>
      </c>
      <c r="AN110">
        <f>'2020_2021_hab'!AL17</f>
        <v>2.7399999999999998E-3</v>
      </c>
      <c r="AO110">
        <f>'2020_2021_hab'!AM17</f>
        <v>-5.3600000000000002E-4</v>
      </c>
      <c r="AP110">
        <f>'2020_2021_hab'!AN17</f>
        <v>-4.9399999999999997E-4</v>
      </c>
      <c r="AQ110">
        <f>'2020_2021_hab'!AO17</f>
        <v>2.2399999999999998E-3</v>
      </c>
      <c r="AR110">
        <f>'2020_2021_hab'!AP17</f>
        <v>3.5599999999999998E-4</v>
      </c>
      <c r="AS110">
        <f>'2020_2021_hab'!AQ17</f>
        <v>3.5300000000000002E-4</v>
      </c>
      <c r="AT110">
        <f>'2020_2021_hab'!AR17</f>
        <v>-1.7799999999999999E-4</v>
      </c>
      <c r="AU110">
        <f>'2020_2021_hab'!AS17</f>
        <v>9.5299999999999996E-4</v>
      </c>
      <c r="AV110">
        <f>'2020_2021_hab'!AT17</f>
        <v>1.2999999999999999E-3</v>
      </c>
      <c r="AW110">
        <f>'2020_2021_hab'!AU17</f>
        <v>8.34E-4</v>
      </c>
      <c r="AX110">
        <f>'2020_2021_hab'!AV17</f>
        <v>1.4E-3</v>
      </c>
      <c r="AY110">
        <f>'2020_2021_hab'!AW17</f>
        <v>3.8699999999999997E-4</v>
      </c>
      <c r="AZ110">
        <f>'2020_2021_hab'!AX17</f>
        <v>3.5200000000000001E-3</v>
      </c>
      <c r="BA110">
        <f>'2020_2021_hab'!AY17</f>
        <v>6.43E-3</v>
      </c>
      <c r="BB110">
        <f>'2020_2021_hab'!AZ17</f>
        <v>9.1900000000000003E-3</v>
      </c>
      <c r="BC110">
        <f>'2020_2021_hab'!BA17</f>
        <v>3.3899999999999998E-3</v>
      </c>
      <c r="BD110">
        <f>'2020_2021_hab'!BB17</f>
        <v>4.8500000000000001E-3</v>
      </c>
      <c r="BE110">
        <f>'2020_2021_hab'!BC17</f>
        <v>6.1799999999999997E-3</v>
      </c>
      <c r="BF110">
        <f>'2020_2021_hab'!BD17</f>
        <v>4.6899999999999997E-3</v>
      </c>
      <c r="BG110">
        <f>'2020_2021_hab'!BE17</f>
        <v>5.1999999999999998E-3</v>
      </c>
      <c r="BH110">
        <f>'2020_2021_hab'!BF17</f>
        <v>5.3899999999999998E-3</v>
      </c>
      <c r="BI110">
        <f>'2020_2021_hab'!BG17</f>
        <v>5.3299999999999997E-3</v>
      </c>
      <c r="BJ110">
        <f>'2020_2021_hab'!BH17</f>
        <v>3.1099999999999999E-3</v>
      </c>
      <c r="BK110">
        <f>'2020_2021_hab'!BI17</f>
        <v>5.4900000000000001E-3</v>
      </c>
      <c r="BL110">
        <f>'2020_2021_hab'!BJ17</f>
        <v>1.5299999999999999E-2</v>
      </c>
      <c r="BM110">
        <f>'2020_2021_hab'!BK17</f>
        <v>1.7500000000000002E-2</v>
      </c>
      <c r="BN110">
        <f>'2020_2021_hab'!BL17</f>
        <v>1.2E-2</v>
      </c>
      <c r="BO110">
        <f>'2020_2021_hab'!BM17</f>
        <v>7.5500000000000003E-3</v>
      </c>
      <c r="BP110">
        <f>'2020_2021_hab'!BN17</f>
        <v>6.4200000000000004E-3</v>
      </c>
      <c r="BQ110">
        <f>'2020_2021_hab'!BO17</f>
        <v>6.3299999999999997E-3</v>
      </c>
      <c r="BR110">
        <f>'2020_2021_hab'!BP17</f>
        <v>3.9300000000000003E-3</v>
      </c>
      <c r="BS110">
        <f>'2020_2021_hab'!BQ17</f>
        <v>-4.5899999999999999E-4</v>
      </c>
      <c r="BT110">
        <f>'2020_2021_hab'!BR17</f>
        <v>-9.41E-3</v>
      </c>
      <c r="BU110">
        <f>'2020_2021_hab'!BS17</f>
        <v>-1.0999999999999999E-2</v>
      </c>
      <c r="BV110">
        <f>'2020_2021_hab'!BT17</f>
        <v>0.01</v>
      </c>
      <c r="BW110">
        <f>'2020_2021_hab'!BU17</f>
        <v>2.0400000000000001E-2</v>
      </c>
      <c r="BX110">
        <f>'2020_2021_hab'!BV17</f>
        <v>1.5699999999999999E-2</v>
      </c>
      <c r="BY110">
        <f>'2020_2021_hab'!BW17</f>
        <v>1.2699999999999999E-2</v>
      </c>
      <c r="BZ110">
        <f>'2020_2021_hab'!BX17</f>
        <v>6.0099999999999997E-3</v>
      </c>
      <c r="CA110">
        <f>'2020_2021_hab'!BY17</f>
        <v>-7.7999999999999999E-4</v>
      </c>
      <c r="CB110">
        <f>'2020_2021_hab'!BZ17</f>
        <v>1.0500000000000001E-2</v>
      </c>
      <c r="CC110">
        <f>'2020_2021_hab'!CA17</f>
        <v>1.66E-2</v>
      </c>
      <c r="CD110">
        <f>'2020_2021_hab'!CB17</f>
        <v>1.12E-2</v>
      </c>
      <c r="CE110">
        <f>'2020_2021_hab'!CC17</f>
        <v>1.3299999999999999E-2</v>
      </c>
      <c r="CF110">
        <f>'2020_2021_hab'!CD17</f>
        <v>8.2399999999999997E-4</v>
      </c>
      <c r="CG110">
        <f>'2020_2021_hab'!CE17</f>
        <v>-7.8899999999999994E-3</v>
      </c>
      <c r="CH110">
        <f>'2020_2021_hab'!CF17</f>
        <v>-7.1900000000000002E-3</v>
      </c>
      <c r="CI110">
        <f>'2020_2021_hab'!CG17</f>
        <v>1.0500000000000001E-2</v>
      </c>
      <c r="CJ110">
        <f>'2020_2021_hab'!CH17</f>
        <v>3.6600000000000001E-2</v>
      </c>
      <c r="CK110">
        <f>'2020_2021_hab'!CI17</f>
        <v>2.5899999999999999E-2</v>
      </c>
      <c r="CL110">
        <f>'2020_2021_hab'!CJ17</f>
        <v>1.35E-2</v>
      </c>
      <c r="CM110">
        <f>'2020_2021_hab'!CK17</f>
        <v>-2.0400000000000001E-2</v>
      </c>
      <c r="CN110">
        <f>'2020_2021_hab'!CL17</f>
        <v>9.8600000000000007E-3</v>
      </c>
      <c r="CO110">
        <f>'2020_2021_hab'!CM17</f>
        <v>1.0699999999999999E-2</v>
      </c>
      <c r="CP110">
        <f>'2020_2021_hab'!CN17</f>
        <v>2.0500000000000002E-3</v>
      </c>
      <c r="CQ110">
        <f>'2020_2021_hab'!CO17</f>
        <v>-7.4200000000000004E-3</v>
      </c>
      <c r="CR110">
        <f>'2020_2021_hab'!CP17</f>
        <v>3.2000000000000001E-2</v>
      </c>
      <c r="CS110">
        <f>'2020_2021_hab'!CQ17</f>
        <v>6.4900000000000001E-3</v>
      </c>
      <c r="CT110">
        <f>'2020_2021_hab'!CR17</f>
        <v>1.43E-2</v>
      </c>
      <c r="CU110">
        <f>'2020_2021_hab'!CS17</f>
        <v>1.18E-2</v>
      </c>
      <c r="CV110">
        <f>'2020_2021_hab'!CT17</f>
        <v>7.8300000000000006E-5</v>
      </c>
      <c r="CW110">
        <f>'2020_2021_hab'!CU17</f>
        <v>-1.06E-2</v>
      </c>
      <c r="CX110">
        <f>'2020_2021_hab'!CV17</f>
        <v>-3.27E-2</v>
      </c>
    </row>
    <row r="111" spans="1:102" x14ac:dyDescent="0.2">
      <c r="A111" t="s">
        <v>211</v>
      </c>
      <c r="B111" t="s">
        <v>219</v>
      </c>
      <c r="C111" t="s">
        <v>223</v>
      </c>
      <c r="D111">
        <f>'2020_2021_hab'!B18</f>
        <v>2.7E-2</v>
      </c>
      <c r="E111">
        <f>'2020_2021_hab'!C18</f>
        <v>2.0400000000000001E-2</v>
      </c>
      <c r="F111">
        <f>'2020_2021_hab'!D18</f>
        <v>1.7000000000000001E-2</v>
      </c>
      <c r="G111">
        <f>'2020_2021_hab'!E18</f>
        <v>-6.0699999999999999E-3</v>
      </c>
      <c r="H111">
        <f>'2020_2021_hab'!F18</f>
        <v>2.7200000000000002E-3</v>
      </c>
      <c r="I111">
        <f>'2020_2021_hab'!G18</f>
        <v>-4.0699999999999998E-3</v>
      </c>
      <c r="J111">
        <f>'2020_2021_hab'!H18</f>
        <v>6.0600000000000003E-3</v>
      </c>
      <c r="K111">
        <f>'2020_2021_hab'!I18</f>
        <v>-8.7299999999999997E-4</v>
      </c>
      <c r="L111">
        <f>'2020_2021_hab'!J18</f>
        <v>-9.0200000000000002E-3</v>
      </c>
      <c r="M111">
        <f>'2020_2021_hab'!K18</f>
        <v>-8.4700000000000001E-3</v>
      </c>
      <c r="N111">
        <f>'2020_2021_hab'!L18</f>
        <v>-2.2000000000000001E-3</v>
      </c>
      <c r="O111">
        <f>'2020_2021_hab'!M18</f>
        <v>-1.0800000000000001E-2</v>
      </c>
      <c r="P111">
        <f>'2020_2021_hab'!N18</f>
        <v>-7.11E-3</v>
      </c>
      <c r="Q111">
        <f>'2020_2021_hab'!O18</f>
        <v>-4.5700000000000003E-3</v>
      </c>
      <c r="R111">
        <f>'2020_2021_hab'!P18</f>
        <v>-3.29E-3</v>
      </c>
      <c r="S111">
        <f>'2020_2021_hab'!Q18</f>
        <v>-3.4399999999999999E-3</v>
      </c>
      <c r="T111">
        <f>'2020_2021_hab'!R18</f>
        <v>-1.81E-3</v>
      </c>
      <c r="U111">
        <f>'2020_2021_hab'!S18</f>
        <v>1.47E-3</v>
      </c>
      <c r="V111">
        <f>'2020_2021_hab'!T18</f>
        <v>1.8400000000000001E-3</v>
      </c>
      <c r="W111">
        <f>'2020_2021_hab'!U18</f>
        <v>2.6700000000000001E-3</v>
      </c>
      <c r="X111">
        <f>'2020_2021_hab'!V18</f>
        <v>3.7399999999999998E-3</v>
      </c>
      <c r="Y111">
        <f>'2020_2021_hab'!W18</f>
        <v>2.0699999999999998E-3</v>
      </c>
      <c r="Z111">
        <f>'2020_2021_hab'!X18</f>
        <v>3.8500000000000001E-3</v>
      </c>
      <c r="AA111">
        <f>'2020_2021_hab'!Y18</f>
        <v>-4.9299999999999995E-4</v>
      </c>
      <c r="AB111">
        <f>'2020_2021_hab'!Z18</f>
        <v>-6.5899999999999997E-4</v>
      </c>
      <c r="AC111">
        <f>'2020_2021_hab'!AA18</f>
        <v>1.6900000000000001E-3</v>
      </c>
      <c r="AD111">
        <f>'2020_2021_hab'!AB18</f>
        <v>1.0399999999999999E-3</v>
      </c>
      <c r="AE111">
        <f>'2020_2021_hab'!AC18</f>
        <v>-1.4400000000000001E-3</v>
      </c>
      <c r="AF111">
        <f>'2020_2021_hab'!AD18</f>
        <v>-6.4300000000000002E-4</v>
      </c>
      <c r="AG111">
        <f>'2020_2021_hab'!AE18</f>
        <v>7.6199999999999998E-4</v>
      </c>
      <c r="AH111">
        <f>'2020_2021_hab'!AF18</f>
        <v>2.7799999999999999E-3</v>
      </c>
      <c r="AI111">
        <f>'2020_2021_hab'!AG18</f>
        <v>-1.1299999999999999E-3</v>
      </c>
      <c r="AJ111">
        <f>'2020_2021_hab'!AH18</f>
        <v>-3.1099999999999999E-3</v>
      </c>
      <c r="AK111">
        <f>'2020_2021_hab'!AI18</f>
        <v>-1.7600000000000001E-3</v>
      </c>
      <c r="AL111">
        <f>'2020_2021_hab'!AJ18</f>
        <v>-1.1100000000000001E-3</v>
      </c>
      <c r="AM111">
        <f>'2020_2021_hab'!AK18</f>
        <v>7.2700000000000005E-5</v>
      </c>
      <c r="AN111">
        <f>'2020_2021_hab'!AL18</f>
        <v>6.6799999999999997E-4</v>
      </c>
      <c r="AO111">
        <f>'2020_2021_hab'!AM18</f>
        <v>-4.4400000000000004E-3</v>
      </c>
      <c r="AP111">
        <f>'2020_2021_hab'!AN18</f>
        <v>-5.1000000000000004E-3</v>
      </c>
      <c r="AQ111">
        <f>'2020_2021_hab'!AO18</f>
        <v>-3.0500000000000002E-3</v>
      </c>
      <c r="AR111">
        <f>'2020_2021_hab'!AP18</f>
        <v>-4.5199999999999997E-3</v>
      </c>
      <c r="AS111">
        <f>'2020_2021_hab'!AQ18</f>
        <v>-3.2599999999999999E-3</v>
      </c>
      <c r="AT111">
        <f>'2020_2021_hab'!AR18</f>
        <v>-2.16E-3</v>
      </c>
      <c r="AU111">
        <f>'2020_2021_hab'!AS18</f>
        <v>-8.3300000000000005E-5</v>
      </c>
      <c r="AV111">
        <f>'2020_2021_hab'!AT18</f>
        <v>1.6100000000000001E-3</v>
      </c>
      <c r="AW111">
        <f>'2020_2021_hab'!AU18</f>
        <v>5.5999999999999995E-4</v>
      </c>
      <c r="AX111">
        <f>'2020_2021_hab'!AV18</f>
        <v>4.6000000000000001E-4</v>
      </c>
      <c r="AY111">
        <f>'2020_2021_hab'!AW18</f>
        <v>6.2200000000000005E-4</v>
      </c>
      <c r="AZ111">
        <f>'2020_2021_hab'!AX18</f>
        <v>1.08E-3</v>
      </c>
      <c r="BA111">
        <f>'2020_2021_hab'!AY18</f>
        <v>3.9100000000000003E-3</v>
      </c>
      <c r="BB111">
        <f>'2020_2021_hab'!AZ18</f>
        <v>6.5300000000000002E-3</v>
      </c>
      <c r="BC111">
        <f>'2020_2021_hab'!BA18</f>
        <v>1.81E-3</v>
      </c>
      <c r="BD111">
        <f>'2020_2021_hab'!BB18</f>
        <v>-9.0499999999999999E-4</v>
      </c>
      <c r="BE111">
        <f>'2020_2021_hab'!BC18</f>
        <v>1.7600000000000001E-3</v>
      </c>
      <c r="BF111">
        <f>'2020_2021_hab'!BD18</f>
        <v>2.2399999999999998E-3</v>
      </c>
      <c r="BG111">
        <f>'2020_2021_hab'!BE18</f>
        <v>-1.1000000000000001E-3</v>
      </c>
      <c r="BH111">
        <f>'2020_2021_hab'!BF18</f>
        <v>1.74E-3</v>
      </c>
      <c r="BI111">
        <f>'2020_2021_hab'!BG18</f>
        <v>5.3499999999999997E-3</v>
      </c>
      <c r="BJ111">
        <f>'2020_2021_hab'!BH18</f>
        <v>2.0799999999999998E-3</v>
      </c>
      <c r="BK111">
        <f>'2020_2021_hab'!BI18</f>
        <v>4.4099999999999999E-3</v>
      </c>
      <c r="BL111">
        <f>'2020_2021_hab'!BJ18</f>
        <v>8.9899999999999997E-3</v>
      </c>
      <c r="BM111">
        <f>'2020_2021_hab'!BK18</f>
        <v>9.1199999999999996E-3</v>
      </c>
      <c r="BN111">
        <f>'2020_2021_hab'!BL18</f>
        <v>6.1000000000000004E-3</v>
      </c>
      <c r="BO111">
        <f>'2020_2021_hab'!BM18</f>
        <v>4.5799999999999999E-3</v>
      </c>
      <c r="BP111">
        <f>'2020_2021_hab'!BN18</f>
        <v>3.8600000000000001E-3</v>
      </c>
      <c r="BQ111">
        <f>'2020_2021_hab'!BO18</f>
        <v>7.0699999999999999E-3</v>
      </c>
      <c r="BR111">
        <f>'2020_2021_hab'!BP18</f>
        <v>-5.4999999999999997E-3</v>
      </c>
      <c r="BS111">
        <f>'2020_2021_hab'!BQ18</f>
        <v>-1.66E-2</v>
      </c>
      <c r="BT111">
        <f>'2020_2021_hab'!BR18</f>
        <v>-1.9699999999999999E-2</v>
      </c>
      <c r="BU111">
        <f>'2020_2021_hab'!BS18</f>
        <v>-2.0400000000000001E-2</v>
      </c>
      <c r="BV111">
        <f>'2020_2021_hab'!BT18</f>
        <v>-4.0600000000000002E-3</v>
      </c>
      <c r="BW111">
        <f>'2020_2021_hab'!BU18</f>
        <v>5.0600000000000003E-3</v>
      </c>
      <c r="BX111">
        <f>'2020_2021_hab'!BV18</f>
        <v>2.2599999999999999E-3</v>
      </c>
      <c r="BY111">
        <f>'2020_2021_hab'!BW18</f>
        <v>2.3500000000000001E-3</v>
      </c>
      <c r="BZ111">
        <f>'2020_2021_hab'!BX18</f>
        <v>2.2000000000000001E-3</v>
      </c>
      <c r="CA111">
        <f>'2020_2021_hab'!BY18</f>
        <v>-2.5100000000000001E-3</v>
      </c>
      <c r="CB111">
        <f>'2020_2021_hab'!BZ18</f>
        <v>7.1000000000000004E-3</v>
      </c>
      <c r="CC111">
        <f>'2020_2021_hab'!CA18</f>
        <v>9.58E-3</v>
      </c>
      <c r="CD111">
        <f>'2020_2021_hab'!CB18</f>
        <v>7.62E-3</v>
      </c>
      <c r="CE111">
        <f>'2020_2021_hab'!CC18</f>
        <v>1.0200000000000001E-2</v>
      </c>
      <c r="CF111">
        <f>'2020_2021_hab'!CD18</f>
        <v>1.5100000000000001E-4</v>
      </c>
      <c r="CG111">
        <f>'2020_2021_hab'!CE18</f>
        <v>-1.1299999999999999E-2</v>
      </c>
      <c r="CH111">
        <f>'2020_2021_hab'!CF18</f>
        <v>-1.1299999999999999E-2</v>
      </c>
      <c r="CI111">
        <f>'2020_2021_hab'!CG18</f>
        <v>2.2399999999999998E-3</v>
      </c>
      <c r="CJ111">
        <f>'2020_2021_hab'!CH18</f>
        <v>2.4E-2</v>
      </c>
      <c r="CK111">
        <f>'2020_2021_hab'!CI18</f>
        <v>1.77E-2</v>
      </c>
      <c r="CL111">
        <f>'2020_2021_hab'!CJ18</f>
        <v>2.0100000000000001E-3</v>
      </c>
      <c r="CM111">
        <f>'2020_2021_hab'!CK18</f>
        <v>-3.2099999999999997E-2</v>
      </c>
      <c r="CN111">
        <f>'2020_2021_hab'!CL18</f>
        <v>1.1100000000000001E-3</v>
      </c>
      <c r="CO111">
        <f>'2020_2021_hab'!CM18</f>
        <v>3.8500000000000001E-3</v>
      </c>
      <c r="CP111">
        <f>'2020_2021_hab'!CN18</f>
        <v>2.5600000000000002E-3</v>
      </c>
      <c r="CQ111">
        <f>'2020_2021_hab'!CO18</f>
        <v>-1.2E-2</v>
      </c>
      <c r="CR111">
        <f>'2020_2021_hab'!CP18</f>
        <v>2.1600000000000001E-2</v>
      </c>
      <c r="CS111">
        <f>'2020_2021_hab'!CQ18</f>
        <v>-6.9100000000000003E-3</v>
      </c>
      <c r="CT111">
        <f>'2020_2021_hab'!CR18</f>
        <v>-0.02</v>
      </c>
      <c r="CU111">
        <f>'2020_2021_hab'!CS18</f>
        <v>-1.9199999999999998E-2</v>
      </c>
      <c r="CV111">
        <f>'2020_2021_hab'!CT18</f>
        <v>-9.75E-3</v>
      </c>
      <c r="CW111">
        <f>'2020_2021_hab'!CU18</f>
        <v>-4.7699999999999999E-2</v>
      </c>
      <c r="CX111">
        <f>'2020_2021_hab'!CV18</f>
        <v>-3.5000000000000003E-2</v>
      </c>
    </row>
    <row r="112" spans="1:102" x14ac:dyDescent="0.2">
      <c r="A112" t="s">
        <v>212</v>
      </c>
      <c r="B112" t="s">
        <v>219</v>
      </c>
      <c r="C112" t="s">
        <v>223</v>
      </c>
      <c r="D112">
        <f>'2020_2021_hab'!B19</f>
        <v>6.6299999999999996E-3</v>
      </c>
      <c r="E112">
        <f>'2020_2021_hab'!C19</f>
        <v>3.2899999999999999E-2</v>
      </c>
      <c r="F112">
        <f>'2020_2021_hab'!D19</f>
        <v>3.8300000000000001E-2</v>
      </c>
      <c r="G112">
        <f>'2020_2021_hab'!E19</f>
        <v>6.5599999999999999E-3</v>
      </c>
      <c r="H112">
        <f>'2020_2021_hab'!F19</f>
        <v>2.1399999999999999E-2</v>
      </c>
      <c r="I112">
        <f>'2020_2021_hab'!G19</f>
        <v>7.6899999999999998E-3</v>
      </c>
      <c r="J112">
        <f>'2020_2021_hab'!H19</f>
        <v>1.54E-2</v>
      </c>
      <c r="K112">
        <f>'2020_2021_hab'!I19</f>
        <v>1.5100000000000001E-2</v>
      </c>
      <c r="L112">
        <f>'2020_2021_hab'!J19</f>
        <v>9.5999999999999992E-3</v>
      </c>
      <c r="M112">
        <f>'2020_2021_hab'!K19</f>
        <v>1.4800000000000001E-2</v>
      </c>
      <c r="N112">
        <f>'2020_2021_hab'!L19</f>
        <v>1.6299999999999999E-2</v>
      </c>
      <c r="O112">
        <f>'2020_2021_hab'!M19</f>
        <v>1.72E-3</v>
      </c>
      <c r="P112">
        <f>'2020_2021_hab'!N19</f>
        <v>3.1099999999999999E-3</v>
      </c>
      <c r="Q112">
        <f>'2020_2021_hab'!O19</f>
        <v>4.4099999999999999E-3</v>
      </c>
      <c r="R112">
        <f>'2020_2021_hab'!P19</f>
        <v>5.5599999999999998E-3</v>
      </c>
      <c r="S112">
        <f>'2020_2021_hab'!Q19</f>
        <v>5.3899999999999998E-3</v>
      </c>
      <c r="T112">
        <f>'2020_2021_hab'!R19</f>
        <v>5.3600000000000002E-3</v>
      </c>
      <c r="U112">
        <f>'2020_2021_hab'!S19</f>
        <v>6.0299999999999998E-3</v>
      </c>
      <c r="V112">
        <f>'2020_2021_hab'!T19</f>
        <v>4.45E-3</v>
      </c>
      <c r="W112">
        <f>'2020_2021_hab'!U19</f>
        <v>4.2399999999999998E-3</v>
      </c>
      <c r="X112">
        <f>'2020_2021_hab'!V19</f>
        <v>3.5100000000000001E-3</v>
      </c>
      <c r="Y112">
        <f>'2020_2021_hab'!W19</f>
        <v>2.3700000000000001E-3</v>
      </c>
      <c r="Z112">
        <f>'2020_2021_hab'!X19</f>
        <v>2.2399999999999998E-3</v>
      </c>
      <c r="AA112">
        <f>'2020_2021_hab'!Y19</f>
        <v>1.98E-3</v>
      </c>
      <c r="AB112">
        <f>'2020_2021_hab'!Z19</f>
        <v>2.1700000000000001E-3</v>
      </c>
      <c r="AC112">
        <f>'2020_2021_hab'!AA19</f>
        <v>2.2200000000000002E-3</v>
      </c>
      <c r="AD112">
        <f>'2020_2021_hab'!AB19</f>
        <v>2.3700000000000001E-3</v>
      </c>
      <c r="AE112">
        <f>'2020_2021_hab'!AC19</f>
        <v>2.48E-3</v>
      </c>
      <c r="AF112">
        <f>'2020_2021_hab'!AD19</f>
        <v>2.6900000000000001E-3</v>
      </c>
      <c r="AG112">
        <f>'2020_2021_hab'!AE19</f>
        <v>3.5599999999999998E-3</v>
      </c>
      <c r="AH112">
        <f>'2020_2021_hab'!AF19</f>
        <v>3.7599999999999999E-3</v>
      </c>
      <c r="AI112">
        <f>'2020_2021_hab'!AG19</f>
        <v>3.15E-3</v>
      </c>
      <c r="AJ112">
        <f>'2020_2021_hab'!AH19</f>
        <v>2.4199999999999998E-3</v>
      </c>
      <c r="AK112">
        <f>'2020_2021_hab'!AI19</f>
        <v>2.0400000000000001E-3</v>
      </c>
      <c r="AL112">
        <f>'2020_2021_hab'!AJ19</f>
        <v>2.5100000000000001E-3</v>
      </c>
      <c r="AM112">
        <f>'2020_2021_hab'!AK19</f>
        <v>2.5500000000000002E-3</v>
      </c>
      <c r="AN112">
        <f>'2020_2021_hab'!AL19</f>
        <v>2.63E-3</v>
      </c>
      <c r="AO112">
        <f>'2020_2021_hab'!AM19</f>
        <v>2.2000000000000001E-3</v>
      </c>
      <c r="AP112">
        <f>'2020_2021_hab'!AN19</f>
        <v>2.16E-3</v>
      </c>
      <c r="AQ112">
        <f>'2020_2021_hab'!AO19</f>
        <v>1.72E-3</v>
      </c>
      <c r="AR112">
        <f>'2020_2021_hab'!AP19</f>
        <v>1.65E-3</v>
      </c>
      <c r="AS112">
        <f>'2020_2021_hab'!AQ19</f>
        <v>1.89E-3</v>
      </c>
      <c r="AT112">
        <f>'2020_2021_hab'!AR19</f>
        <v>2.3900000000000002E-3</v>
      </c>
      <c r="AU112">
        <f>'2020_2021_hab'!AS19</f>
        <v>2.1700000000000001E-3</v>
      </c>
      <c r="AV112">
        <f>'2020_2021_hab'!AT19</f>
        <v>1.81E-3</v>
      </c>
      <c r="AW112">
        <f>'2020_2021_hab'!AU19</f>
        <v>1.83E-3</v>
      </c>
      <c r="AX112">
        <f>'2020_2021_hab'!AV19</f>
        <v>1.7600000000000001E-3</v>
      </c>
      <c r="AY112">
        <f>'2020_2021_hab'!AW19</f>
        <v>2.5100000000000001E-3</v>
      </c>
      <c r="AZ112">
        <f>'2020_2021_hab'!AX19</f>
        <v>2.5500000000000002E-3</v>
      </c>
      <c r="BA112">
        <f>'2020_2021_hab'!AY19</f>
        <v>2.8300000000000001E-3</v>
      </c>
      <c r="BB112">
        <f>'2020_2021_hab'!AZ19</f>
        <v>3.1099999999999999E-3</v>
      </c>
      <c r="BC112">
        <f>'2020_2021_hab'!BA19</f>
        <v>2.2899999999999999E-3</v>
      </c>
      <c r="BD112">
        <f>'2020_2021_hab'!BB19</f>
        <v>1.9599999999999999E-3</v>
      </c>
      <c r="BE112">
        <f>'2020_2021_hab'!BC19</f>
        <v>1.9400000000000001E-3</v>
      </c>
      <c r="BF112">
        <f>'2020_2021_hab'!BD19</f>
        <v>2.4599999999999999E-3</v>
      </c>
      <c r="BG112">
        <f>'2020_2021_hab'!BE19</f>
        <v>1.3699999999999999E-3</v>
      </c>
      <c r="BH112">
        <f>'2020_2021_hab'!BF19</f>
        <v>1.7899999999999999E-3</v>
      </c>
      <c r="BI112">
        <f>'2020_2021_hab'!BG19</f>
        <v>1.0300000000000001E-3</v>
      </c>
      <c r="BJ112">
        <f>'2020_2021_hab'!BH19</f>
        <v>8.0599999999999997E-4</v>
      </c>
      <c r="BK112">
        <f>'2020_2021_hab'!BI19</f>
        <v>5.0199999999999995E-4</v>
      </c>
      <c r="BL112">
        <f>'2020_2021_hab'!BJ19</f>
        <v>1.0499999999999999E-3</v>
      </c>
      <c r="BM112">
        <f>'2020_2021_hab'!BK19</f>
        <v>1.5299999999999999E-3</v>
      </c>
      <c r="BN112">
        <f>'2020_2021_hab'!BL19</f>
        <v>1.1299999999999999E-3</v>
      </c>
      <c r="BO112">
        <f>'2020_2021_hab'!BM19</f>
        <v>4.3199999999999998E-4</v>
      </c>
      <c r="BP112">
        <f>'2020_2021_hab'!BN19</f>
        <v>4.0499999999999998E-4</v>
      </c>
      <c r="BQ112">
        <f>'2020_2021_hab'!BO19</f>
        <v>2.24E-4</v>
      </c>
      <c r="BR112">
        <f>'2020_2021_hab'!BP19</f>
        <v>-1.7000000000000001E-4</v>
      </c>
      <c r="BS112">
        <f>'2020_2021_hab'!BQ19</f>
        <v>-1.4100000000000001E-4</v>
      </c>
      <c r="BT112">
        <f>'2020_2021_hab'!BR19</f>
        <v>-1.23E-3</v>
      </c>
      <c r="BU112">
        <f>'2020_2021_hab'!BS19</f>
        <v>-1.33E-3</v>
      </c>
      <c r="BV112">
        <f>'2020_2021_hab'!BT19</f>
        <v>-2.41E-4</v>
      </c>
      <c r="BW112">
        <f>'2020_2021_hab'!BU19</f>
        <v>7.2200000000000007E-5</v>
      </c>
      <c r="BX112">
        <f>'2020_2021_hab'!BV19</f>
        <v>-6.0400000000000004E-4</v>
      </c>
      <c r="BY112">
        <f>'2020_2021_hab'!BW19</f>
        <v>-7.5900000000000002E-4</v>
      </c>
      <c r="BZ112">
        <f>'2020_2021_hab'!BX19</f>
        <v>3.5500000000000001E-4</v>
      </c>
      <c r="CA112">
        <f>'2020_2021_hab'!BY19</f>
        <v>-6.1200000000000002E-4</v>
      </c>
      <c r="CB112">
        <f>'2020_2021_hab'!BZ19</f>
        <v>-3.21E-4</v>
      </c>
      <c r="CC112">
        <f>'2020_2021_hab'!CA19</f>
        <v>-9.9099999999999996E-5</v>
      </c>
      <c r="CD112">
        <f>'2020_2021_hab'!CB19</f>
        <v>2.9E-5</v>
      </c>
      <c r="CE112">
        <f>'2020_2021_hab'!CC19</f>
        <v>1.93E-4</v>
      </c>
      <c r="CF112">
        <f>'2020_2021_hab'!CD19</f>
        <v>-4.2200000000000001E-4</v>
      </c>
      <c r="CG112">
        <f>'2020_2021_hab'!CE19</f>
        <v>-1.1299999999999999E-3</v>
      </c>
      <c r="CH112">
        <f>'2020_2021_hab'!CF19</f>
        <v>-2.33E-3</v>
      </c>
      <c r="CI112">
        <f>'2020_2021_hab'!CG19</f>
        <v>-1.31E-3</v>
      </c>
      <c r="CJ112">
        <f>'2020_2021_hab'!CH19</f>
        <v>-2.1099999999999999E-3</v>
      </c>
      <c r="CK112">
        <f>'2020_2021_hab'!CI19</f>
        <v>-2.0999999999999999E-3</v>
      </c>
      <c r="CL112">
        <f>'2020_2021_hab'!CJ19</f>
        <v>-2.0300000000000001E-3</v>
      </c>
      <c r="CM112">
        <f>'2020_2021_hab'!CK19</f>
        <v>-6.1199999999999996E-3</v>
      </c>
      <c r="CN112">
        <f>'2020_2021_hab'!CL19</f>
        <v>-6.1000000000000004E-3</v>
      </c>
      <c r="CO112">
        <f>'2020_2021_hab'!CM19</f>
        <v>-5.4799999999999996E-3</v>
      </c>
      <c r="CP112">
        <f>'2020_2021_hab'!CN19</f>
        <v>-3.3700000000000002E-3</v>
      </c>
      <c r="CQ112">
        <f>'2020_2021_hab'!CO19</f>
        <v>-4.8999999999999998E-3</v>
      </c>
      <c r="CR112">
        <f>'2020_2021_hab'!CP19</f>
        <v>-4.8999999999999998E-3</v>
      </c>
      <c r="CS112">
        <f>'2020_2021_hab'!CQ19</f>
        <v>-5.0200000000000002E-3</v>
      </c>
      <c r="CT112">
        <f>'2020_2021_hab'!CR19</f>
        <v>-3.32E-3</v>
      </c>
      <c r="CU112">
        <f>'2020_2021_hab'!CS19</f>
        <v>-5.4999999999999997E-3</v>
      </c>
      <c r="CV112">
        <f>'2020_2021_hab'!CT19</f>
        <v>-4.2399999999999998E-3</v>
      </c>
      <c r="CW112">
        <f>'2020_2021_hab'!CU19</f>
        <v>-6.8900000000000003E-3</v>
      </c>
      <c r="CX112">
        <f>'2020_2021_hab'!CV19</f>
        <v>-7.5599999999999999E-3</v>
      </c>
    </row>
    <row r="113" spans="1:102" x14ac:dyDescent="0.2">
      <c r="A113" t="s">
        <v>213</v>
      </c>
      <c r="B113" t="s">
        <v>219</v>
      </c>
      <c r="C113" t="s">
        <v>223</v>
      </c>
      <c r="D113">
        <f>'2020_2021_hab'!B20</f>
        <v>-9.2999999999999992E-3</v>
      </c>
      <c r="E113">
        <f>'2020_2021_hab'!C20</f>
        <v>-4.9399999999999999E-2</v>
      </c>
      <c r="F113">
        <f>'2020_2021_hab'!D20</f>
        <v>-0.126</v>
      </c>
      <c r="G113">
        <f>'2020_2021_hab'!E20</f>
        <v>2.2200000000000001E-2</v>
      </c>
      <c r="H113">
        <f>'2020_2021_hab'!F20</f>
        <v>-0.14699999999999999</v>
      </c>
      <c r="I113">
        <f>'2020_2021_hab'!G20</f>
        <v>-2.1399999999999999E-2</v>
      </c>
      <c r="J113">
        <f>'2020_2021_hab'!H20</f>
        <v>-6.2199999999999998E-2</v>
      </c>
      <c r="K113">
        <f>'2020_2021_hab'!I20</f>
        <v>-2.5600000000000001E-2</v>
      </c>
      <c r="L113">
        <f>'2020_2021_hab'!J20</f>
        <v>-1.0500000000000001E-2</v>
      </c>
      <c r="M113">
        <f>'2020_2021_hab'!K20</f>
        <v>-3.4299999999999997E-2</v>
      </c>
      <c r="N113">
        <f>'2020_2021_hab'!L20</f>
        <v>-0.109</v>
      </c>
      <c r="O113">
        <f>'2020_2021_hab'!M20</f>
        <v>5.9299999999999999E-2</v>
      </c>
      <c r="P113">
        <f>'2020_2021_hab'!N20</f>
        <v>3.2099999999999997E-2</v>
      </c>
      <c r="Q113">
        <f>'2020_2021_hab'!O20</f>
        <v>-3.4099999999999998E-2</v>
      </c>
      <c r="R113">
        <f>'2020_2021_hab'!P20</f>
        <v>-3.5099999999999999E-2</v>
      </c>
      <c r="S113">
        <f>'2020_2021_hab'!Q20</f>
        <v>-2.3800000000000002E-2</v>
      </c>
      <c r="T113">
        <f>'2020_2021_hab'!R20</f>
        <v>-2.6100000000000002E-2</v>
      </c>
      <c r="U113">
        <f>'2020_2021_hab'!S20</f>
        <v>-4.6199999999999998E-2</v>
      </c>
      <c r="V113">
        <f>'2020_2021_hab'!T20</f>
        <v>-2.3E-2</v>
      </c>
      <c r="W113">
        <f>'2020_2021_hab'!U20</f>
        <v>-8.8500000000000002E-3</v>
      </c>
      <c r="X113">
        <f>'2020_2021_hab'!V20</f>
        <v>5.4599999999999996E-3</v>
      </c>
      <c r="Y113">
        <f>'2020_2021_hab'!W20</f>
        <v>2.4199999999999999E-2</v>
      </c>
      <c r="Z113">
        <f>'2020_2021_hab'!X20</f>
        <v>2.4199999999999999E-2</v>
      </c>
      <c r="AA113">
        <f>'2020_2021_hab'!Y20</f>
        <v>3.6900000000000002E-4</v>
      </c>
      <c r="AB113">
        <f>'2020_2021_hab'!Z20</f>
        <v>-6.4799999999999996E-3</v>
      </c>
      <c r="AC113">
        <f>'2020_2021_hab'!AA20</f>
        <v>-6.4000000000000003E-3</v>
      </c>
      <c r="AD113">
        <f>'2020_2021_hab'!AB20</f>
        <v>-4.9899999999999996E-3</v>
      </c>
      <c r="AE113">
        <f>'2020_2021_hab'!AC20</f>
        <v>-8.8000000000000005E-3</v>
      </c>
      <c r="AF113">
        <f>'2020_2021_hab'!AD20</f>
        <v>-5.5199999999999997E-3</v>
      </c>
      <c r="AG113">
        <f>'2020_2021_hab'!AE20</f>
        <v>8.1599999999999999E-4</v>
      </c>
      <c r="AH113">
        <f>'2020_2021_hab'!AF20</f>
        <v>-2.81E-3</v>
      </c>
      <c r="AI113">
        <f>'2020_2021_hab'!AG20</f>
        <v>-1.3299999999999999E-2</v>
      </c>
      <c r="AJ113">
        <f>'2020_2021_hab'!AH20</f>
        <v>-2.02E-4</v>
      </c>
      <c r="AK113">
        <f>'2020_2021_hab'!AI20</f>
        <v>2.1800000000000001E-3</v>
      </c>
      <c r="AL113">
        <f>'2020_2021_hab'!AJ20</f>
        <v>-6.3099999999999996E-3</v>
      </c>
      <c r="AM113">
        <f>'2020_2021_hab'!AK20</f>
        <v>5.7899999999999998E-4</v>
      </c>
      <c r="AN113">
        <f>'2020_2021_hab'!AL20</f>
        <v>1.01E-2</v>
      </c>
      <c r="AO113">
        <f>'2020_2021_hab'!AM20</f>
        <v>1.11E-2</v>
      </c>
      <c r="AP113">
        <f>'2020_2021_hab'!AN20</f>
        <v>8.4600000000000005E-3</v>
      </c>
      <c r="AQ113">
        <f>'2020_2021_hab'!AO20</f>
        <v>2.49E-3</v>
      </c>
      <c r="AR113">
        <f>'2020_2021_hab'!AP20</f>
        <v>-2.2100000000000002E-3</v>
      </c>
      <c r="AS113">
        <f>'2020_2021_hab'!AQ20</f>
        <v>4.6800000000000001E-3</v>
      </c>
      <c r="AT113">
        <f>'2020_2021_hab'!AR20</f>
        <v>1.9400000000000001E-2</v>
      </c>
      <c r="AU113">
        <f>'2020_2021_hab'!AS20</f>
        <v>2.1000000000000001E-2</v>
      </c>
      <c r="AV113">
        <f>'2020_2021_hab'!AT20</f>
        <v>-6.3599999999999996E-4</v>
      </c>
      <c r="AW113">
        <f>'2020_2021_hab'!AU20</f>
        <v>-6.8900000000000003E-3</v>
      </c>
      <c r="AX113">
        <f>'2020_2021_hab'!AV20</f>
        <v>2.32E-3</v>
      </c>
      <c r="AY113">
        <f>'2020_2021_hab'!AW20</f>
        <v>-1.15E-3</v>
      </c>
      <c r="AZ113">
        <f>'2020_2021_hab'!AX20</f>
        <v>2.6199999999999999E-3</v>
      </c>
      <c r="BA113">
        <f>'2020_2021_hab'!AY20</f>
        <v>5.0200000000000002E-3</v>
      </c>
      <c r="BB113">
        <f>'2020_2021_hab'!AZ20</f>
        <v>1.0800000000000001E-2</v>
      </c>
      <c r="BC113">
        <f>'2020_2021_hab'!BA20</f>
        <v>6.7799999999999996E-3</v>
      </c>
      <c r="BD113">
        <f>'2020_2021_hab'!BB20</f>
        <v>2.1600000000000001E-2</v>
      </c>
      <c r="BE113">
        <f>'2020_2021_hab'!BC20</f>
        <v>2.2499999999999999E-2</v>
      </c>
      <c r="BF113">
        <f>'2020_2021_hab'!BD20</f>
        <v>2.9100000000000001E-2</v>
      </c>
      <c r="BG113">
        <f>'2020_2021_hab'!BE20</f>
        <v>1.7899999999999999E-2</v>
      </c>
      <c r="BH113">
        <f>'2020_2021_hab'!BF20</f>
        <v>1.49E-2</v>
      </c>
      <c r="BI113">
        <f>'2020_2021_hab'!BG20</f>
        <v>1.9199999999999998E-2</v>
      </c>
      <c r="BJ113">
        <f>'2020_2021_hab'!BH20</f>
        <v>1.54E-2</v>
      </c>
      <c r="BK113">
        <f>'2020_2021_hab'!BI20</f>
        <v>1.9599999999999999E-2</v>
      </c>
      <c r="BL113">
        <f>'2020_2021_hab'!BJ20</f>
        <v>6.5599999999999999E-3</v>
      </c>
      <c r="BM113">
        <f>'2020_2021_hab'!BK20</f>
        <v>4.8999999999999998E-3</v>
      </c>
      <c r="BN113">
        <f>'2020_2021_hab'!BL20</f>
        <v>8.0099999999999998E-3</v>
      </c>
      <c r="BO113">
        <f>'2020_2021_hab'!BM20</f>
        <v>1.26E-2</v>
      </c>
      <c r="BP113">
        <f>'2020_2021_hab'!BN20</f>
        <v>1.7899999999999999E-2</v>
      </c>
      <c r="BQ113">
        <f>'2020_2021_hab'!BO20</f>
        <v>1.4200000000000001E-2</v>
      </c>
      <c r="BR113">
        <f>'2020_2021_hab'!BP20</f>
        <v>2.8899999999999999E-2</v>
      </c>
      <c r="BS113">
        <f>'2020_2021_hab'!BQ20</f>
        <v>1.8800000000000001E-2</v>
      </c>
      <c r="BT113">
        <f>'2020_2021_hab'!BR20</f>
        <v>1.26E-2</v>
      </c>
      <c r="BU113">
        <f>'2020_2021_hab'!BS20</f>
        <v>1.38E-2</v>
      </c>
      <c r="BV113">
        <f>'2020_2021_hab'!BT20</f>
        <v>3.8500000000000001E-3</v>
      </c>
      <c r="BW113">
        <f>'2020_2021_hab'!BU20</f>
        <v>2.3800000000000002E-3</v>
      </c>
      <c r="BX113">
        <f>'2020_2021_hab'!BV20</f>
        <v>2.3400000000000001E-2</v>
      </c>
      <c r="BY113">
        <f>'2020_2021_hab'!BW20</f>
        <v>1.7299999999999999E-2</v>
      </c>
      <c r="BZ113">
        <f>'2020_2021_hab'!BX20</f>
        <v>1.1299999999999999E-2</v>
      </c>
      <c r="CA113">
        <f>'2020_2021_hab'!BY20</f>
        <v>2.5100000000000001E-2</v>
      </c>
      <c r="CB113">
        <f>'2020_2021_hab'!BZ20</f>
        <v>1.89E-2</v>
      </c>
      <c r="CC113">
        <f>'2020_2021_hab'!CA20</f>
        <v>9.0700000000000004E-4</v>
      </c>
      <c r="CD113">
        <f>'2020_2021_hab'!CB20</f>
        <v>1.09E-2</v>
      </c>
      <c r="CE113">
        <f>'2020_2021_hab'!CC20</f>
        <v>1.2E-2</v>
      </c>
      <c r="CF113">
        <f>'2020_2021_hab'!CD20</f>
        <v>2.5999999999999999E-2</v>
      </c>
      <c r="CG113">
        <f>'2020_2021_hab'!CE20</f>
        <v>2.1499999999999998E-2</v>
      </c>
      <c r="CH113">
        <f>'2020_2021_hab'!CF20</f>
        <v>2.75E-2</v>
      </c>
      <c r="CI113">
        <f>'2020_2021_hab'!CG20</f>
        <v>2.0899999999999998E-2</v>
      </c>
      <c r="CJ113">
        <f>'2020_2021_hab'!CH20</f>
        <v>1.0800000000000001E-2</v>
      </c>
      <c r="CK113">
        <f>'2020_2021_hab'!CI20</f>
        <v>2.98E-2</v>
      </c>
      <c r="CL113">
        <f>'2020_2021_hab'!CJ20</f>
        <v>3.2899999999999999E-2</v>
      </c>
      <c r="CM113">
        <f>'2020_2021_hab'!CK20</f>
        <v>1.8100000000000002E-2</v>
      </c>
      <c r="CN113">
        <f>'2020_2021_hab'!CL20</f>
        <v>-1.47E-3</v>
      </c>
      <c r="CO113">
        <f>'2020_2021_hab'!CM20</f>
        <v>6.3400000000000001E-3</v>
      </c>
      <c r="CP113">
        <f>'2020_2021_hab'!CN20</f>
        <v>5.0600000000000003E-3</v>
      </c>
      <c r="CQ113">
        <f>'2020_2021_hab'!CO20</f>
        <v>5.5699999999999999E-4</v>
      </c>
      <c r="CR113">
        <f>'2020_2021_hab'!CP20</f>
        <v>-1.12E-2</v>
      </c>
      <c r="CS113">
        <f>'2020_2021_hab'!CQ20</f>
        <v>-7.3899999999999999E-3</v>
      </c>
      <c r="CT113">
        <f>'2020_2021_hab'!CR20</f>
        <v>-7.2300000000000003E-3</v>
      </c>
      <c r="CU113">
        <f>'2020_2021_hab'!CS20</f>
        <v>4.2500000000000003E-3</v>
      </c>
      <c r="CV113">
        <f>'2020_2021_hab'!CT20</f>
        <v>7.4399999999999998E-4</v>
      </c>
      <c r="CW113">
        <f>'2020_2021_hab'!CU20</f>
        <v>-3.6900000000000002E-2</v>
      </c>
      <c r="CX113">
        <f>'2020_2021_hab'!CV20</f>
        <v>-8.2699999999999996E-2</v>
      </c>
    </row>
    <row r="114" spans="1:102" x14ac:dyDescent="0.2">
      <c r="A114" t="s">
        <v>214</v>
      </c>
      <c r="B114" t="s">
        <v>219</v>
      </c>
      <c r="C114" t="s">
        <v>223</v>
      </c>
      <c r="D114">
        <f>'2020_2021_hab'!B21</f>
        <v>1.35E-2</v>
      </c>
      <c r="E114">
        <f>'2020_2021_hab'!C21</f>
        <v>-2.0799999999999998E-3</v>
      </c>
      <c r="F114">
        <f>'2020_2021_hab'!D21</f>
        <v>-7.9399999999999991E-3</v>
      </c>
      <c r="G114">
        <f>'2020_2021_hab'!E21</f>
        <v>7.5500000000000003E-3</v>
      </c>
      <c r="H114">
        <f>'2020_2021_hab'!F21</f>
        <v>-2.7900000000000001E-2</v>
      </c>
      <c r="I114">
        <f>'2020_2021_hab'!G21</f>
        <v>-2.2700000000000001E-2</v>
      </c>
      <c r="J114">
        <f>'2020_2021_hab'!H21</f>
        <v>-2.0199999999999999E-2</v>
      </c>
      <c r="K114">
        <f>'2020_2021_hab'!I21</f>
        <v>-1.7299999999999999E-2</v>
      </c>
      <c r="L114">
        <f>'2020_2021_hab'!J21</f>
        <v>-1.35E-2</v>
      </c>
      <c r="M114">
        <f>'2020_2021_hab'!K21</f>
        <v>-1.2999999999999999E-2</v>
      </c>
      <c r="N114">
        <f>'2020_2021_hab'!L21</f>
        <v>-1.29E-2</v>
      </c>
      <c r="O114">
        <f>'2020_2021_hab'!M21</f>
        <v>-6.6200000000000005E-4</v>
      </c>
      <c r="P114">
        <f>'2020_2021_hab'!N21</f>
        <v>-1.1299999999999999E-2</v>
      </c>
      <c r="Q114">
        <f>'2020_2021_hab'!O21</f>
        <v>-4.0800000000000003E-3</v>
      </c>
      <c r="R114">
        <f>'2020_2021_hab'!P21</f>
        <v>-3.0400000000000002E-3</v>
      </c>
      <c r="S114">
        <f>'2020_2021_hab'!Q21</f>
        <v>-2.8900000000000002E-3</v>
      </c>
      <c r="T114">
        <f>'2020_2021_hab'!R21</f>
        <v>2.9999999999999997E-4</v>
      </c>
      <c r="U114">
        <f>'2020_2021_hab'!S21</f>
        <v>-4.7800000000000004E-3</v>
      </c>
      <c r="V114">
        <f>'2020_2021_hab'!T21</f>
        <v>-3.5899999999999999E-3</v>
      </c>
      <c r="W114">
        <f>'2020_2021_hab'!U21</f>
        <v>-3.63E-3</v>
      </c>
      <c r="X114">
        <f>'2020_2021_hab'!V21</f>
        <v>-3.3600000000000001E-3</v>
      </c>
      <c r="Y114">
        <f>'2020_2021_hab'!W21</f>
        <v>-2.0200000000000001E-3</v>
      </c>
      <c r="Z114">
        <f>'2020_2021_hab'!X21</f>
        <v>1.4499999999999999E-3</v>
      </c>
      <c r="AA114">
        <f>'2020_2021_hab'!Y21</f>
        <v>2.66E-3</v>
      </c>
      <c r="AB114">
        <f>'2020_2021_hab'!Z21</f>
        <v>-5.9300000000000004E-3</v>
      </c>
      <c r="AC114">
        <f>'2020_2021_hab'!AA21</f>
        <v>-9.6000000000000002E-4</v>
      </c>
      <c r="AD114">
        <f>'2020_2021_hab'!AB21</f>
        <v>-6.2799999999999998E-4</v>
      </c>
      <c r="AE114">
        <f>'2020_2021_hab'!AC21</f>
        <v>-6.69E-4</v>
      </c>
      <c r="AF114">
        <f>'2020_2021_hab'!AD21</f>
        <v>-7.4999999999999997E-3</v>
      </c>
      <c r="AG114">
        <f>'2020_2021_hab'!AE21</f>
        <v>-3.7200000000000002E-3</v>
      </c>
      <c r="AH114">
        <f>'2020_2021_hab'!AF21</f>
        <v>-4.3699999999999998E-3</v>
      </c>
      <c r="AI114">
        <f>'2020_2021_hab'!AG21</f>
        <v>-1.7099999999999999E-3</v>
      </c>
      <c r="AJ114">
        <f>'2020_2021_hab'!AH21</f>
        <v>-4.0299999999999997E-3</v>
      </c>
      <c r="AK114">
        <f>'2020_2021_hab'!AI21</f>
        <v>-3.63E-3</v>
      </c>
      <c r="AL114">
        <f>'2020_2021_hab'!AJ21</f>
        <v>-3.8300000000000001E-3</v>
      </c>
      <c r="AM114">
        <f>'2020_2021_hab'!AK21</f>
        <v>-2.7100000000000002E-3</v>
      </c>
      <c r="AN114">
        <f>'2020_2021_hab'!AL21</f>
        <v>-1.32E-3</v>
      </c>
      <c r="AO114">
        <f>'2020_2021_hab'!AM21</f>
        <v>1.8500000000000001E-3</v>
      </c>
      <c r="AP114">
        <f>'2020_2021_hab'!AN21</f>
        <v>-5.7099999999999998E-3</v>
      </c>
      <c r="AQ114">
        <f>'2020_2021_hab'!AO21</f>
        <v>-3.7499999999999999E-3</v>
      </c>
      <c r="AR114">
        <f>'2020_2021_hab'!AP21</f>
        <v>-3.3300000000000001E-3</v>
      </c>
      <c r="AS114">
        <f>'2020_2021_hab'!AQ21</f>
        <v>-2.2499999999999998E-3</v>
      </c>
      <c r="AT114">
        <f>'2020_2021_hab'!AR21</f>
        <v>-3.1900000000000001E-3</v>
      </c>
      <c r="AU114">
        <f>'2020_2021_hab'!AS21</f>
        <v>-2.4399999999999999E-3</v>
      </c>
      <c r="AV114">
        <f>'2020_2021_hab'!AT21</f>
        <v>-3.0500000000000002E-3</v>
      </c>
      <c r="AW114">
        <f>'2020_2021_hab'!AU21</f>
        <v>-8.3000000000000001E-4</v>
      </c>
      <c r="AX114">
        <f>'2020_2021_hab'!AV21</f>
        <v>-4.0699999999999998E-3</v>
      </c>
      <c r="AY114">
        <f>'2020_2021_hab'!AW21</f>
        <v>-3.7000000000000002E-3</v>
      </c>
      <c r="AZ114">
        <f>'2020_2021_hab'!AX21</f>
        <v>-3.5300000000000002E-3</v>
      </c>
      <c r="BA114">
        <f>'2020_2021_hab'!AY21</f>
        <v>-2.8800000000000002E-3</v>
      </c>
      <c r="BB114">
        <f>'2020_2021_hab'!AZ21</f>
        <v>-3.14E-3</v>
      </c>
      <c r="BC114">
        <f>'2020_2021_hab'!BA21</f>
        <v>-2.5899999999999999E-3</v>
      </c>
      <c r="BD114">
        <f>'2020_2021_hab'!BB21</f>
        <v>-3.4099999999999998E-3</v>
      </c>
      <c r="BE114">
        <f>'2020_2021_hab'!BC21</f>
        <v>-3.29E-3</v>
      </c>
      <c r="BF114">
        <f>'2020_2021_hab'!BD21</f>
        <v>-4.0600000000000002E-3</v>
      </c>
      <c r="BG114">
        <f>'2020_2021_hab'!BE21</f>
        <v>-4.2599999999999999E-3</v>
      </c>
      <c r="BH114">
        <f>'2020_2021_hab'!BF21</f>
        <v>-4.5900000000000003E-3</v>
      </c>
      <c r="BI114">
        <f>'2020_2021_hab'!BG21</f>
        <v>-4.0400000000000002E-3</v>
      </c>
      <c r="BJ114">
        <f>'2020_2021_hab'!BH21</f>
        <v>-4.2399999999999998E-3</v>
      </c>
      <c r="BK114">
        <f>'2020_2021_hab'!BI21</f>
        <v>-3.1800000000000001E-3</v>
      </c>
      <c r="BL114">
        <f>'2020_2021_hab'!BJ21</f>
        <v>-3.65E-3</v>
      </c>
      <c r="BM114">
        <f>'2020_2021_hab'!BK21</f>
        <v>-2.31E-3</v>
      </c>
      <c r="BN114">
        <f>'2020_2021_hab'!BL21</f>
        <v>-1.89E-3</v>
      </c>
      <c r="BO114">
        <f>'2020_2021_hab'!BM21</f>
        <v>-2.9499999999999999E-3</v>
      </c>
      <c r="BP114">
        <f>'2020_2021_hab'!BN21</f>
        <v>-3.3999999999999998E-3</v>
      </c>
      <c r="BQ114">
        <f>'2020_2021_hab'!BO21</f>
        <v>2.0000000000000001E-4</v>
      </c>
      <c r="BR114">
        <f>'2020_2021_hab'!BP21</f>
        <v>1.37E-2</v>
      </c>
      <c r="BS114">
        <f>'2020_2021_hab'!BQ21</f>
        <v>3.46E-3</v>
      </c>
      <c r="BT114">
        <f>'2020_2021_hab'!BR21</f>
        <v>-3.2499999999999999E-4</v>
      </c>
      <c r="BU114">
        <f>'2020_2021_hab'!BS21</f>
        <v>-1.01E-3</v>
      </c>
      <c r="BV114">
        <f>'2020_2021_hab'!BT21</f>
        <v>-2.5899999999999999E-3</v>
      </c>
      <c r="BW114">
        <f>'2020_2021_hab'!BU21</f>
        <v>-1.99E-3</v>
      </c>
      <c r="BX114">
        <f>'2020_2021_hab'!BV21</f>
        <v>-3.5699999999999998E-3</v>
      </c>
      <c r="BY114">
        <f>'2020_2021_hab'!BW21</f>
        <v>-3.3300000000000001E-3</v>
      </c>
      <c r="BZ114">
        <f>'2020_2021_hab'!BX21</f>
        <v>2.6900000000000001E-3</v>
      </c>
      <c r="CA114">
        <f>'2020_2021_hab'!BY21</f>
        <v>-1.7799999999999999E-3</v>
      </c>
      <c r="CB114">
        <f>'2020_2021_hab'!BZ21</f>
        <v>-9.6000000000000002E-4</v>
      </c>
      <c r="CC114">
        <f>'2020_2021_hab'!CA21</f>
        <v>3.1399999999999999E-4</v>
      </c>
      <c r="CD114">
        <f>'2020_2021_hab'!CB21</f>
        <v>-1.64E-3</v>
      </c>
      <c r="CE114">
        <f>'2020_2021_hab'!CC21</f>
        <v>-1.75E-3</v>
      </c>
      <c r="CF114">
        <f>'2020_2021_hab'!CD21</f>
        <v>1.21E-2</v>
      </c>
      <c r="CG114">
        <f>'2020_2021_hab'!CE21</f>
        <v>-3.1E-4</v>
      </c>
      <c r="CH114">
        <f>'2020_2021_hab'!CF21</f>
        <v>1.1999999999999999E-3</v>
      </c>
      <c r="CI114">
        <f>'2020_2021_hab'!CG21</f>
        <v>-2.2599999999999999E-3</v>
      </c>
      <c r="CJ114">
        <f>'2020_2021_hab'!CH21</f>
        <v>8.92E-4</v>
      </c>
      <c r="CK114">
        <f>'2020_2021_hab'!CI21</f>
        <v>-8.5400000000000005E-4</v>
      </c>
      <c r="CL114">
        <f>'2020_2021_hab'!CJ21</f>
        <v>-4.8700000000000002E-4</v>
      </c>
      <c r="CM114">
        <f>'2020_2021_hab'!CK21</f>
        <v>-9.9799999999999993E-3</v>
      </c>
      <c r="CN114">
        <f>'2020_2021_hab'!CL21</f>
        <v>-4.1000000000000003E-3</v>
      </c>
      <c r="CO114">
        <f>'2020_2021_hab'!CM21</f>
        <v>-2.7100000000000002E-3</v>
      </c>
      <c r="CP114">
        <f>'2020_2021_hab'!CN21</f>
        <v>8.5500000000000003E-3</v>
      </c>
      <c r="CQ114">
        <f>'2020_2021_hab'!CO21</f>
        <v>3.7399999999999998E-3</v>
      </c>
      <c r="CR114">
        <f>'2020_2021_hab'!CP21</f>
        <v>1.09E-2</v>
      </c>
      <c r="CS114">
        <f>'2020_2021_hab'!CQ21</f>
        <v>6.7200000000000003E-3</v>
      </c>
      <c r="CT114">
        <f>'2020_2021_hab'!CR21</f>
        <v>7.7300000000000003E-4</v>
      </c>
      <c r="CU114">
        <f>'2020_2021_hab'!CS21</f>
        <v>-1.3299999999999999E-2</v>
      </c>
      <c r="CV114">
        <f>'2020_2021_hab'!CT21</f>
        <v>-1.2500000000000001E-2</v>
      </c>
      <c r="CW114">
        <f>'2020_2021_hab'!CU21</f>
        <v>-1.12E-2</v>
      </c>
      <c r="CX114">
        <f>'2020_2021_hab'!CV21</f>
        <v>-1.43E-2</v>
      </c>
    </row>
    <row r="115" spans="1:102" x14ac:dyDescent="0.2">
      <c r="A115" t="s">
        <v>215</v>
      </c>
      <c r="B115" t="s">
        <v>219</v>
      </c>
      <c r="C115" t="s">
        <v>223</v>
      </c>
      <c r="D115">
        <f>'2020_2021_hab'!B22</f>
        <v>6.2799999999999995E-2</v>
      </c>
      <c r="E115">
        <f>'2020_2021_hab'!C22</f>
        <v>4.4600000000000001E-2</v>
      </c>
      <c r="F115">
        <f>'2020_2021_hab'!D22</f>
        <v>4.0399999999999998E-2</v>
      </c>
      <c r="G115">
        <f>'2020_2021_hab'!E22</f>
        <v>4.3699999999999998E-3</v>
      </c>
      <c r="H115">
        <f>'2020_2021_hab'!F22</f>
        <v>-4.7600000000000003E-2</v>
      </c>
      <c r="I115">
        <f>'2020_2021_hab'!G22</f>
        <v>-6.2100000000000002E-2</v>
      </c>
      <c r="J115">
        <f>'2020_2021_hab'!H22</f>
        <v>-5.5199999999999999E-2</v>
      </c>
      <c r="K115">
        <f>'2020_2021_hab'!I22</f>
        <v>-4.58E-2</v>
      </c>
      <c r="L115">
        <f>'2020_2021_hab'!J22</f>
        <v>-4.1599999999999998E-2</v>
      </c>
      <c r="M115">
        <f>'2020_2021_hab'!K22</f>
        <v>-3.5000000000000003E-2</v>
      </c>
      <c r="N115">
        <f>'2020_2021_hab'!L22</f>
        <v>-3.9899999999999998E-2</v>
      </c>
      <c r="O115">
        <f>'2020_2021_hab'!M22</f>
        <v>-3.04E-2</v>
      </c>
      <c r="P115">
        <f>'2020_2021_hab'!N22</f>
        <v>-3.7999999999999999E-2</v>
      </c>
      <c r="Q115">
        <f>'2020_2021_hab'!O22</f>
        <v>-2.9700000000000001E-2</v>
      </c>
      <c r="R115">
        <f>'2020_2021_hab'!P22</f>
        <v>-3.09E-2</v>
      </c>
      <c r="S115">
        <f>'2020_2021_hab'!Q22</f>
        <v>-2.7E-2</v>
      </c>
      <c r="T115">
        <f>'2020_2021_hab'!R22</f>
        <v>-2.0199999999999999E-2</v>
      </c>
      <c r="U115">
        <f>'2020_2021_hab'!S22</f>
        <v>-1.3899999999999999E-2</v>
      </c>
      <c r="V115">
        <f>'2020_2021_hab'!T22</f>
        <v>-1.4E-2</v>
      </c>
      <c r="W115">
        <f>'2020_2021_hab'!U22</f>
        <v>-1.2E-2</v>
      </c>
      <c r="X115">
        <f>'2020_2021_hab'!V22</f>
        <v>-1.03E-2</v>
      </c>
      <c r="Y115">
        <f>'2020_2021_hab'!W22</f>
        <v>-9.92E-3</v>
      </c>
      <c r="Z115">
        <f>'2020_2021_hab'!X22</f>
        <v>-1.2200000000000001E-2</v>
      </c>
      <c r="AA115">
        <f>'2020_2021_hab'!Y22</f>
        <v>-6.4999999999999997E-3</v>
      </c>
      <c r="AB115">
        <f>'2020_2021_hab'!Z22</f>
        <v>-7.3299999999999997E-3</v>
      </c>
      <c r="AC115">
        <f>'2020_2021_hab'!AA22</f>
        <v>-3.81E-3</v>
      </c>
      <c r="AD115">
        <f>'2020_2021_hab'!AB22</f>
        <v>-5.2599999999999999E-3</v>
      </c>
      <c r="AE115">
        <f>'2020_2021_hab'!AC22</f>
        <v>-6.5399999999999998E-3</v>
      </c>
      <c r="AF115">
        <f>'2020_2021_hab'!AD22</f>
        <v>-4.7800000000000004E-3</v>
      </c>
      <c r="AG115">
        <f>'2020_2021_hab'!AE22</f>
        <v>-3.9300000000000003E-3</v>
      </c>
      <c r="AH115">
        <f>'2020_2021_hab'!AF22</f>
        <v>-5.77E-3</v>
      </c>
      <c r="AI115">
        <f>'2020_2021_hab'!AG22</f>
        <v>-6.8199999999999997E-3</v>
      </c>
      <c r="AJ115">
        <f>'2020_2021_hab'!AH22</f>
        <v>-6.7999999999999996E-3</v>
      </c>
      <c r="AK115">
        <f>'2020_2021_hab'!AI22</f>
        <v>-6.41E-5</v>
      </c>
      <c r="AL115">
        <f>'2020_2021_hab'!AJ22</f>
        <v>-3.7199999999999999E-4</v>
      </c>
      <c r="AM115">
        <f>'2020_2021_hab'!AK22</f>
        <v>7.1100000000000004E-4</v>
      </c>
      <c r="AN115">
        <f>'2020_2021_hab'!AL22</f>
        <v>5.2199999999999998E-3</v>
      </c>
      <c r="AO115">
        <f>'2020_2021_hab'!AM22</f>
        <v>4.8399999999999997E-3</v>
      </c>
      <c r="AP115">
        <f>'2020_2021_hab'!AN22</f>
        <v>5.6299999999999996E-3</v>
      </c>
      <c r="AQ115">
        <f>'2020_2021_hab'!AO22</f>
        <v>3.81E-3</v>
      </c>
      <c r="AR115">
        <f>'2020_2021_hab'!AP22</f>
        <v>-4.55E-4</v>
      </c>
      <c r="AS115">
        <f>'2020_2021_hab'!AQ22</f>
        <v>-7.2000000000000002E-5</v>
      </c>
      <c r="AT115">
        <f>'2020_2021_hab'!AR22</f>
        <v>9.0700000000000004E-4</v>
      </c>
      <c r="AU115">
        <f>'2020_2021_hab'!AS22</f>
        <v>3.4699999999999998E-4</v>
      </c>
      <c r="AV115">
        <f>'2020_2021_hab'!AT22</f>
        <v>4.8300000000000001E-3</v>
      </c>
      <c r="AW115">
        <f>'2020_2021_hab'!AU22</f>
        <v>4.3699999999999998E-3</v>
      </c>
      <c r="AX115">
        <f>'2020_2021_hab'!AV22</f>
        <v>5.5799999999999999E-3</v>
      </c>
      <c r="AY115">
        <f>'2020_2021_hab'!AW22</f>
        <v>5.5900000000000004E-3</v>
      </c>
      <c r="AZ115">
        <f>'2020_2021_hab'!AX22</f>
        <v>4.8500000000000001E-3</v>
      </c>
      <c r="BA115">
        <f>'2020_2021_hab'!AY22</f>
        <v>2.82E-3</v>
      </c>
      <c r="BB115">
        <f>'2020_2021_hab'!AZ22</f>
        <v>4.5900000000000003E-3</v>
      </c>
      <c r="BC115">
        <f>'2020_2021_hab'!BA22</f>
        <v>2.4199999999999998E-3</v>
      </c>
      <c r="BD115">
        <f>'2020_2021_hab'!BB22</f>
        <v>4.7499999999999999E-3</v>
      </c>
      <c r="BE115">
        <f>'2020_2021_hab'!BC22</f>
        <v>5.6899999999999997E-3</v>
      </c>
      <c r="BF115">
        <f>'2020_2021_hab'!BD22</f>
        <v>3.0899999999999999E-3</v>
      </c>
      <c r="BG115">
        <f>'2020_2021_hab'!BE22</f>
        <v>1.39E-3</v>
      </c>
      <c r="BH115">
        <f>'2020_2021_hab'!BF22</f>
        <v>8.5699999999999995E-3</v>
      </c>
      <c r="BI115">
        <f>'2020_2021_hab'!BG22</f>
        <v>0.01</v>
      </c>
      <c r="BJ115">
        <f>'2020_2021_hab'!BH22</f>
        <v>8.3499999999999998E-3</v>
      </c>
      <c r="BK115">
        <f>'2020_2021_hab'!BI22</f>
        <v>7.8499999999999993E-3</v>
      </c>
      <c r="BL115">
        <f>'2020_2021_hab'!BJ22</f>
        <v>1.97E-3</v>
      </c>
      <c r="BM115">
        <f>'2020_2021_hab'!BK22</f>
        <v>3.8300000000000001E-3</v>
      </c>
      <c r="BN115">
        <f>'2020_2021_hab'!BL22</f>
        <v>7.3099999999999997E-3</v>
      </c>
      <c r="BO115">
        <f>'2020_2021_hab'!BM22</f>
        <v>9.3900000000000008E-3</v>
      </c>
      <c r="BP115">
        <f>'2020_2021_hab'!BN22</f>
        <v>7.1300000000000001E-3</v>
      </c>
      <c r="BQ115">
        <f>'2020_2021_hab'!BO22</f>
        <v>7.5900000000000004E-3</v>
      </c>
      <c r="BR115">
        <f>'2020_2021_hab'!BP22</f>
        <v>1.84E-2</v>
      </c>
      <c r="BS115">
        <f>'2020_2021_hab'!BQ22</f>
        <v>1.5599999999999999E-2</v>
      </c>
      <c r="BT115">
        <f>'2020_2021_hab'!BR22</f>
        <v>1.5599999999999999E-2</v>
      </c>
      <c r="BU115">
        <f>'2020_2021_hab'!BS22</f>
        <v>1.7299999999999999E-2</v>
      </c>
      <c r="BV115">
        <f>'2020_2021_hab'!BT22</f>
        <v>1.5699999999999999E-2</v>
      </c>
      <c r="BW115">
        <f>'2020_2021_hab'!BU22</f>
        <v>1.9599999999999999E-2</v>
      </c>
      <c r="BX115">
        <f>'2020_2021_hab'!BV22</f>
        <v>2.06E-2</v>
      </c>
      <c r="BY115">
        <f>'2020_2021_hab'!BW22</f>
        <v>2.2599999999999999E-2</v>
      </c>
      <c r="BZ115">
        <f>'2020_2021_hab'!BX22</f>
        <v>3.3500000000000002E-2</v>
      </c>
      <c r="CA115">
        <f>'2020_2021_hab'!BY22</f>
        <v>1.8700000000000001E-2</v>
      </c>
      <c r="CB115">
        <f>'2020_2021_hab'!BZ22</f>
        <v>1.4E-2</v>
      </c>
      <c r="CC115">
        <f>'2020_2021_hab'!CA22</f>
        <v>1.21E-2</v>
      </c>
      <c r="CD115">
        <f>'2020_2021_hab'!CB22</f>
        <v>1.5699999999999999E-2</v>
      </c>
      <c r="CE115">
        <f>'2020_2021_hab'!CC22</f>
        <v>1.43E-2</v>
      </c>
      <c r="CF115">
        <f>'2020_2021_hab'!CD22</f>
        <v>1.1599999999999999E-2</v>
      </c>
      <c r="CG115">
        <f>'2020_2021_hab'!CE22</f>
        <v>1.2999999999999999E-2</v>
      </c>
      <c r="CH115">
        <f>'2020_2021_hab'!CF22</f>
        <v>1.7299999999999999E-2</v>
      </c>
      <c r="CI115">
        <f>'2020_2021_hab'!CG22</f>
        <v>2.9700000000000001E-2</v>
      </c>
      <c r="CJ115">
        <f>'2020_2021_hab'!CH22</f>
        <v>2.2200000000000001E-2</v>
      </c>
      <c r="CK115">
        <f>'2020_2021_hab'!CI22</f>
        <v>1.9800000000000002E-2</v>
      </c>
      <c r="CL115">
        <f>'2020_2021_hab'!CJ22</f>
        <v>1.6899999999999998E-2</v>
      </c>
      <c r="CM115">
        <f>'2020_2021_hab'!CK22</f>
        <v>2.3900000000000001E-2</v>
      </c>
      <c r="CN115">
        <f>'2020_2021_hab'!CL22</f>
        <v>2.3199999999999998E-2</v>
      </c>
      <c r="CO115">
        <f>'2020_2021_hab'!CM22</f>
        <v>2.58E-2</v>
      </c>
      <c r="CP115">
        <f>'2020_2021_hab'!CN22</f>
        <v>3.39E-2</v>
      </c>
      <c r="CQ115">
        <f>'2020_2021_hab'!CO22</f>
        <v>2.8000000000000001E-2</v>
      </c>
      <c r="CR115">
        <f>'2020_2021_hab'!CP22</f>
        <v>5.7000000000000002E-2</v>
      </c>
      <c r="CS115">
        <f>'2020_2021_hab'!CQ22</f>
        <v>-8.1200000000000005E-3</v>
      </c>
      <c r="CT115">
        <f>'2020_2021_hab'!CR22</f>
        <v>-8.4499999999999992E-3</v>
      </c>
      <c r="CU115">
        <f>'2020_2021_hab'!CS22</f>
        <v>-1.83E-2</v>
      </c>
      <c r="CV115">
        <f>'2020_2021_hab'!CT22</f>
        <v>-1.8499999999999999E-2</v>
      </c>
      <c r="CW115">
        <f>'2020_2021_hab'!CU22</f>
        <v>1.4200000000000001E-2</v>
      </c>
      <c r="CX115">
        <f>'2020_2021_hab'!CV22</f>
        <v>2.06E-2</v>
      </c>
    </row>
    <row r="116" spans="1:102" x14ac:dyDescent="0.2">
      <c r="A116" t="s">
        <v>216</v>
      </c>
      <c r="B116" t="s">
        <v>219</v>
      </c>
      <c r="C116" t="s">
        <v>223</v>
      </c>
      <c r="D116">
        <f>'2020_2021_hab'!B23</f>
        <v>-0.13400000000000001</v>
      </c>
      <c r="E116">
        <f>'2020_2021_hab'!C23</f>
        <v>0.71199999999999997</v>
      </c>
      <c r="F116">
        <f>'2020_2021_hab'!D23</f>
        <v>1.1140000000000001</v>
      </c>
      <c r="G116">
        <f>'2020_2021_hab'!E23</f>
        <v>0.13200000000000001</v>
      </c>
      <c r="H116">
        <f>'2020_2021_hab'!F23</f>
        <v>1.2769999999999999</v>
      </c>
      <c r="I116">
        <f>'2020_2021_hab'!G23</f>
        <v>0.58299999999999996</v>
      </c>
      <c r="J116">
        <f>'2020_2021_hab'!H23</f>
        <v>0.76700000000000002</v>
      </c>
      <c r="K116">
        <f>'2020_2021_hab'!I23</f>
        <v>0.56799999999999995</v>
      </c>
      <c r="L116">
        <f>'2020_2021_hab'!J23</f>
        <v>0.40699999999999997</v>
      </c>
      <c r="M116">
        <f>'2020_2021_hab'!K23</f>
        <v>0.51400000000000001</v>
      </c>
      <c r="N116">
        <f>'2020_2021_hab'!L23</f>
        <v>0.75700000000000001</v>
      </c>
      <c r="O116">
        <f>'2020_2021_hab'!M23</f>
        <v>3.2800000000000003E-2</v>
      </c>
      <c r="P116">
        <f>'2020_2021_hab'!N23</f>
        <v>0.193</v>
      </c>
      <c r="Q116">
        <f>'2020_2021_hab'!O23</f>
        <v>0.38800000000000001</v>
      </c>
      <c r="R116">
        <f>'2020_2021_hab'!P23</f>
        <v>0.36199999999999999</v>
      </c>
      <c r="S116">
        <f>'2020_2021_hab'!Q23</f>
        <v>0.3</v>
      </c>
      <c r="T116">
        <f>'2020_2021_hab'!R23</f>
        <v>0.23599999999999999</v>
      </c>
      <c r="U116">
        <f>'2020_2021_hab'!S23</f>
        <v>0.34</v>
      </c>
      <c r="V116">
        <f>'2020_2021_hab'!T23</f>
        <v>0.254</v>
      </c>
      <c r="W116">
        <f>'2020_2021_hab'!U23</f>
        <v>0.246</v>
      </c>
      <c r="X116">
        <f>'2020_2021_hab'!V23</f>
        <v>0.23599999999999999</v>
      </c>
      <c r="Y116">
        <f>'2020_2021_hab'!W23</f>
        <v>0.14599999999999999</v>
      </c>
      <c r="Z116">
        <f>'2020_2021_hab'!X23</f>
        <v>0.156</v>
      </c>
      <c r="AA116">
        <f>'2020_2021_hab'!Y23</f>
        <v>8.3400000000000002E-2</v>
      </c>
      <c r="AB116">
        <f>'2020_2021_hab'!Z23</f>
        <v>9.8100000000000007E-2</v>
      </c>
      <c r="AC116">
        <f>'2020_2021_hab'!AA23</f>
        <v>0.108</v>
      </c>
      <c r="AD116">
        <f>'2020_2021_hab'!AB23</f>
        <v>0.10100000000000001</v>
      </c>
      <c r="AE116">
        <f>'2020_2021_hab'!AC23</f>
        <v>0.10100000000000001</v>
      </c>
      <c r="AF116">
        <f>'2020_2021_hab'!AD23</f>
        <v>0.11700000000000001</v>
      </c>
      <c r="AG116">
        <f>'2020_2021_hab'!AE23</f>
        <v>0.124</v>
      </c>
      <c r="AH116">
        <f>'2020_2021_hab'!AF23</f>
        <v>0.14699999999999999</v>
      </c>
      <c r="AI116">
        <f>'2020_2021_hab'!AG23</f>
        <v>7.85E-2</v>
      </c>
      <c r="AJ116">
        <f>'2020_2021_hab'!AH23</f>
        <v>7.1900000000000006E-2</v>
      </c>
      <c r="AK116">
        <f>'2020_2021_hab'!AI23</f>
        <v>6.9400000000000003E-2</v>
      </c>
      <c r="AL116">
        <f>'2020_2021_hab'!AJ23</f>
        <v>7.2900000000000006E-2</v>
      </c>
      <c r="AM116">
        <f>'2020_2021_hab'!AK23</f>
        <v>8.5699999999999998E-2</v>
      </c>
      <c r="AN116">
        <f>'2020_2021_hab'!AL23</f>
        <v>2.64E-2</v>
      </c>
      <c r="AO116">
        <f>'2020_2021_hab'!AM23</f>
        <v>2.8000000000000001E-2</v>
      </c>
      <c r="AP116">
        <f>'2020_2021_hab'!AN23</f>
        <v>5.2299999999999999E-2</v>
      </c>
      <c r="AQ116">
        <f>'2020_2021_hab'!AO23</f>
        <v>6.2E-2</v>
      </c>
      <c r="AR116">
        <f>'2020_2021_hab'!AP23</f>
        <v>7.5200000000000003E-2</v>
      </c>
      <c r="AS116">
        <f>'2020_2021_hab'!AQ23</f>
        <v>6.0900000000000003E-2</v>
      </c>
      <c r="AT116">
        <f>'2020_2021_hab'!AR23</f>
        <v>5.4100000000000002E-2</v>
      </c>
      <c r="AU116">
        <f>'2020_2021_hab'!AS23</f>
        <v>4.6199999999999998E-2</v>
      </c>
      <c r="AV116">
        <f>'2020_2021_hab'!AT23</f>
        <v>6.0199999999999997E-2</v>
      </c>
      <c r="AW116">
        <f>'2020_2021_hab'!AU23</f>
        <v>4.9500000000000002E-2</v>
      </c>
      <c r="AX116">
        <f>'2020_2021_hab'!AV23</f>
        <v>6.8500000000000005E-2</v>
      </c>
      <c r="AY116">
        <f>'2020_2021_hab'!AW23</f>
        <v>3.6200000000000003E-2</v>
      </c>
      <c r="AZ116">
        <f>'2020_2021_hab'!AX23</f>
        <v>5.33E-2</v>
      </c>
      <c r="BA116">
        <f>'2020_2021_hab'!AY23</f>
        <v>4.3499999999999997E-2</v>
      </c>
      <c r="BB116">
        <f>'2020_2021_hab'!AZ23</f>
        <v>4.6100000000000002E-2</v>
      </c>
      <c r="BC116">
        <f>'2020_2021_hab'!BA23</f>
        <v>-9.8700000000000003E-3</v>
      </c>
      <c r="BD116">
        <f>'2020_2021_hab'!BB23</f>
        <v>-7.5399999999999998E-3</v>
      </c>
      <c r="BE116">
        <f>'2020_2021_hab'!BC23</f>
        <v>-2.2300000000000002E-3</v>
      </c>
      <c r="BF116">
        <f>'2020_2021_hab'!BD23</f>
        <v>-2.8000000000000001E-2</v>
      </c>
      <c r="BG116">
        <f>'2020_2021_hab'!BE23</f>
        <v>-2.3400000000000001E-2</v>
      </c>
      <c r="BH116">
        <f>'2020_2021_hab'!BF23</f>
        <v>-3.6200000000000003E-2</v>
      </c>
      <c r="BI116">
        <f>'2020_2021_hab'!BG23</f>
        <v>-4.9899999999999996E-3</v>
      </c>
      <c r="BJ116">
        <f>'2020_2021_hab'!BH23</f>
        <v>1.2500000000000001E-2</v>
      </c>
      <c r="BK116">
        <f>'2020_2021_hab'!BI23</f>
        <v>2.1600000000000001E-2</v>
      </c>
      <c r="BL116">
        <f>'2020_2021_hab'!BJ23</f>
        <v>6.4699999999999994E-2</v>
      </c>
      <c r="BM116">
        <f>'2020_2021_hab'!BK23</f>
        <v>0.115</v>
      </c>
      <c r="BN116">
        <f>'2020_2021_hab'!BL23</f>
        <v>0.114</v>
      </c>
      <c r="BO116">
        <f>'2020_2021_hab'!BM23</f>
        <v>6.1100000000000002E-2</v>
      </c>
      <c r="BP116">
        <f>'2020_2021_hab'!BN23</f>
        <v>2.0400000000000001E-2</v>
      </c>
      <c r="BQ116">
        <f>'2020_2021_hab'!BO23</f>
        <v>1.66E-2</v>
      </c>
      <c r="BR116">
        <f>'2020_2021_hab'!BP23</f>
        <v>-6.0100000000000001E-2</v>
      </c>
      <c r="BS116">
        <f>'2020_2021_hab'!BQ23</f>
        <v>-7.0000000000000007E-2</v>
      </c>
      <c r="BT116">
        <f>'2020_2021_hab'!BR23</f>
        <v>-0.123</v>
      </c>
      <c r="BU116">
        <f>'2020_2021_hab'!BS23</f>
        <v>-0.126</v>
      </c>
      <c r="BV116">
        <f>'2020_2021_hab'!BT23</f>
        <v>2.0600000000000002E-3</v>
      </c>
      <c r="BW116">
        <f>'2020_2021_hab'!BU23</f>
        <v>6.8900000000000003E-2</v>
      </c>
      <c r="BX116">
        <f>'2020_2021_hab'!BV23</f>
        <v>6.8500000000000005E-2</v>
      </c>
      <c r="BY116">
        <f>'2020_2021_hab'!BW23</f>
        <v>4.5100000000000001E-2</v>
      </c>
      <c r="BZ116">
        <f>'2020_2021_hab'!BX23</f>
        <v>6.1700000000000001E-3</v>
      </c>
      <c r="CA116">
        <f>'2020_2021_hab'!BY23</f>
        <v>2.7099999999999999E-2</v>
      </c>
      <c r="CB116">
        <f>'2020_2021_hab'!BZ23</f>
        <v>2.8299999999999999E-2</v>
      </c>
      <c r="CC116">
        <f>'2020_2021_hab'!CA23</f>
        <v>5.33E-2</v>
      </c>
      <c r="CD116">
        <f>'2020_2021_hab'!CB23</f>
        <v>1.8800000000000001E-2</v>
      </c>
      <c r="CE116">
        <f>'2020_2021_hab'!CC23</f>
        <v>-1.2699999999999999E-2</v>
      </c>
      <c r="CF116">
        <f>'2020_2021_hab'!CD23</f>
        <v>-5.8999999999999997E-2</v>
      </c>
      <c r="CG116">
        <f>'2020_2021_hab'!CE23</f>
        <v>-0.128</v>
      </c>
      <c r="CH116">
        <f>'2020_2021_hab'!CF23</f>
        <v>-9.2399999999999996E-2</v>
      </c>
      <c r="CI116">
        <f>'2020_2021_hab'!CG23</f>
        <v>2.7699999999999999E-2</v>
      </c>
      <c r="CJ116">
        <f>'2020_2021_hab'!CH23</f>
        <v>0.22800000000000001</v>
      </c>
      <c r="CK116">
        <f>'2020_2021_hab'!CI23</f>
        <v>9.5899999999999999E-2</v>
      </c>
      <c r="CL116">
        <f>'2020_2021_hab'!CJ23</f>
        <v>2.53E-2</v>
      </c>
      <c r="CM116">
        <f>'2020_2021_hab'!CK23</f>
        <v>-0.12</v>
      </c>
      <c r="CN116">
        <f>'2020_2021_hab'!CL23</f>
        <v>3.1099999999999999E-2</v>
      </c>
      <c r="CO116">
        <f>'2020_2021_hab'!CM23</f>
        <v>4.5199999999999997E-2</v>
      </c>
      <c r="CP116">
        <f>'2020_2021_hab'!CN23</f>
        <v>-4.8099999999999997E-2</v>
      </c>
      <c r="CQ116">
        <f>'2020_2021_hab'!CO23</f>
        <v>-7.4999999999999997E-2</v>
      </c>
      <c r="CR116">
        <f>'2020_2021_hab'!CP23</f>
        <v>0.113</v>
      </c>
      <c r="CS116">
        <f>'2020_2021_hab'!CQ23</f>
        <v>0.156</v>
      </c>
      <c r="CT116">
        <f>'2020_2021_hab'!CR23</f>
        <v>0.182</v>
      </c>
      <c r="CU116">
        <f>'2020_2021_hab'!CS23</f>
        <v>0.16200000000000001</v>
      </c>
      <c r="CV116">
        <f>'2020_2021_hab'!CT23</f>
        <v>0.127</v>
      </c>
      <c r="CW116">
        <f>'2020_2021_hab'!CU23</f>
        <v>0.28100000000000003</v>
      </c>
      <c r="CX116">
        <f>'2020_2021_hab'!CV23</f>
        <v>0.26600000000000001</v>
      </c>
    </row>
    <row r="117" spans="1:102" x14ac:dyDescent="0.2">
      <c r="A117" t="s">
        <v>208</v>
      </c>
      <c r="B117" t="s">
        <v>220</v>
      </c>
      <c r="C117" t="s">
        <v>223</v>
      </c>
      <c r="D117">
        <f>D100+D108</f>
        <v>1.489E-2</v>
      </c>
      <c r="E117">
        <f t="shared" ref="E117:BP124" si="23">E100+E108</f>
        <v>-0.57550000000000001</v>
      </c>
      <c r="F117">
        <f t="shared" si="23"/>
        <v>-0.85680000000000001</v>
      </c>
      <c r="G117">
        <f t="shared" si="23"/>
        <v>-0.17831</v>
      </c>
      <c r="H117">
        <f t="shared" si="23"/>
        <v>-0.8982</v>
      </c>
      <c r="I117">
        <f t="shared" si="23"/>
        <v>-0.46309999999999996</v>
      </c>
      <c r="J117">
        <f t="shared" si="23"/>
        <v>-0.53360000000000007</v>
      </c>
      <c r="K117">
        <f t="shared" si="23"/>
        <v>-0.41089999999999999</v>
      </c>
      <c r="L117">
        <f t="shared" si="23"/>
        <v>-0.27549999999999997</v>
      </c>
      <c r="M117">
        <f t="shared" si="23"/>
        <v>-0.3755</v>
      </c>
      <c r="N117">
        <f t="shared" si="23"/>
        <v>-0.44359999999999999</v>
      </c>
      <c r="O117">
        <f t="shared" si="23"/>
        <v>-8.863E-2</v>
      </c>
      <c r="P117">
        <f t="shared" si="23"/>
        <v>-0.15966000000000002</v>
      </c>
      <c r="Q117">
        <f t="shared" si="23"/>
        <v>-0.23310999999999998</v>
      </c>
      <c r="R117">
        <f t="shared" si="23"/>
        <v>-0.22664999999999999</v>
      </c>
      <c r="S117">
        <f t="shared" si="23"/>
        <v>-0.20183999999999999</v>
      </c>
      <c r="T117">
        <f t="shared" si="23"/>
        <v>-0.16654999999999998</v>
      </c>
      <c r="U117">
        <f t="shared" si="23"/>
        <v>-0.19455</v>
      </c>
      <c r="V117">
        <f t="shared" si="23"/>
        <v>-0.14796000000000001</v>
      </c>
      <c r="W117">
        <f t="shared" si="23"/>
        <v>-0.1416</v>
      </c>
      <c r="X117">
        <f t="shared" si="23"/>
        <v>-0.13824999999999998</v>
      </c>
      <c r="Y117">
        <f t="shared" si="23"/>
        <v>-0.10267999999999999</v>
      </c>
      <c r="Z117">
        <f t="shared" si="23"/>
        <v>-0.10736000000000001</v>
      </c>
      <c r="AA117">
        <f t="shared" si="23"/>
        <v>-6.4170000000000005E-2</v>
      </c>
      <c r="AB117">
        <f t="shared" si="23"/>
        <v>-6.3530000000000003E-2</v>
      </c>
      <c r="AC117">
        <f t="shared" si="23"/>
        <v>-5.7129999999999993E-2</v>
      </c>
      <c r="AD117">
        <f t="shared" si="23"/>
        <v>-5.7260000000000005E-2</v>
      </c>
      <c r="AE117">
        <f t="shared" si="23"/>
        <v>-5.5749999999999994E-2</v>
      </c>
      <c r="AF117">
        <f t="shared" si="23"/>
        <v>-5.9950000000000003E-2</v>
      </c>
      <c r="AG117">
        <f t="shared" si="23"/>
        <v>-6.7099999999999993E-2</v>
      </c>
      <c r="AH117">
        <f t="shared" si="23"/>
        <v>-7.5900000000000009E-2</v>
      </c>
      <c r="AI117">
        <f t="shared" si="23"/>
        <v>-6.2799999999999995E-2</v>
      </c>
      <c r="AJ117">
        <f t="shared" si="23"/>
        <v>-3.3399999999999999E-2</v>
      </c>
      <c r="AK117">
        <f t="shared" si="23"/>
        <v>-3.0500000000000003E-2</v>
      </c>
      <c r="AL117">
        <f t="shared" si="23"/>
        <v>-4.1300000000000003E-2</v>
      </c>
      <c r="AM117">
        <f t="shared" si="23"/>
        <v>-6.3200000000000006E-2</v>
      </c>
      <c r="AN117">
        <f t="shared" si="23"/>
        <v>-6.3100000000000003E-2</v>
      </c>
      <c r="AO117">
        <f t="shared" si="23"/>
        <v>-3.9699999999999999E-2</v>
      </c>
      <c r="AP117">
        <f t="shared" si="23"/>
        <v>-3.2500000000000001E-2</v>
      </c>
      <c r="AQ117">
        <f t="shared" si="23"/>
        <v>-3.3000000000000002E-2</v>
      </c>
      <c r="AR117">
        <f t="shared" si="23"/>
        <v>-3.3200000000000007E-2</v>
      </c>
      <c r="AS117">
        <f t="shared" si="23"/>
        <v>-3.1399999999999997E-2</v>
      </c>
      <c r="AT117">
        <f t="shared" si="23"/>
        <v>-5.0900000000000001E-2</v>
      </c>
      <c r="AU117">
        <f t="shared" si="23"/>
        <v>-5.2599999999999994E-2</v>
      </c>
      <c r="AV117">
        <f t="shared" si="23"/>
        <v>-5.2299999999999999E-2</v>
      </c>
      <c r="AW117">
        <f t="shared" si="23"/>
        <v>-5.2900000000000003E-2</v>
      </c>
      <c r="AX117">
        <f t="shared" si="23"/>
        <v>-5.5799999999999995E-2</v>
      </c>
      <c r="AY117">
        <f t="shared" si="23"/>
        <v>-3.9199999999999999E-2</v>
      </c>
      <c r="AZ117">
        <f t="shared" si="23"/>
        <v>-4.1700000000000001E-2</v>
      </c>
      <c r="BA117">
        <f t="shared" si="23"/>
        <v>-4.4999999999999998E-2</v>
      </c>
      <c r="BB117">
        <f t="shared" si="23"/>
        <v>-5.5800000000000002E-2</v>
      </c>
      <c r="BC117">
        <f t="shared" si="23"/>
        <v>-2.3300000000000005E-2</v>
      </c>
      <c r="BD117">
        <f t="shared" si="23"/>
        <v>-1.9300000000000001E-2</v>
      </c>
      <c r="BE117">
        <f t="shared" si="23"/>
        <v>-2.18E-2</v>
      </c>
      <c r="BF117">
        <f t="shared" si="23"/>
        <v>-3.6099999999999993E-2</v>
      </c>
      <c r="BG117">
        <f t="shared" si="23"/>
        <v>-1.0599999999999998E-2</v>
      </c>
      <c r="BH117">
        <f t="shared" si="23"/>
        <v>-4.6999999999999958E-3</v>
      </c>
      <c r="BI117">
        <f t="shared" si="23"/>
        <v>-1.1900000000000004E-2</v>
      </c>
      <c r="BJ117">
        <f t="shared" si="23"/>
        <v>-1.6500000000000001E-2</v>
      </c>
      <c r="BK117">
        <f t="shared" si="23"/>
        <v>-3.0200000000000005E-2</v>
      </c>
      <c r="BL117">
        <f t="shared" si="23"/>
        <v>-6.4700000000000008E-2</v>
      </c>
      <c r="BM117">
        <f t="shared" si="23"/>
        <v>-7.4099999999999999E-2</v>
      </c>
      <c r="BN117">
        <f t="shared" si="23"/>
        <v>-5.6399999999999999E-2</v>
      </c>
      <c r="BO117">
        <f t="shared" si="23"/>
        <v>-3.7899999999999996E-2</v>
      </c>
      <c r="BP117">
        <f t="shared" si="23"/>
        <v>-3.3499999999999995E-2</v>
      </c>
      <c r="BQ117">
        <f t="shared" ref="BQ117:CX124" si="24">BQ100+BQ108</f>
        <v>-2.8499999999999998E-2</v>
      </c>
      <c r="BR117">
        <f t="shared" si="24"/>
        <v>-2.9100000000000001E-2</v>
      </c>
      <c r="BS117">
        <f t="shared" si="24"/>
        <v>7.6000000000000026E-3</v>
      </c>
      <c r="BT117">
        <f t="shared" si="24"/>
        <v>6.6299999999999998E-2</v>
      </c>
      <c r="BU117">
        <f t="shared" si="24"/>
        <v>6.9099999999999995E-2</v>
      </c>
      <c r="BV117">
        <f t="shared" si="24"/>
        <v>-4.1999999999999954E-3</v>
      </c>
      <c r="BW117">
        <f t="shared" si="24"/>
        <v>-4.1799999999999997E-2</v>
      </c>
      <c r="BX117">
        <f t="shared" si="24"/>
        <v>-3.3200000000000007E-2</v>
      </c>
      <c r="BY117">
        <f t="shared" si="24"/>
        <v>-1.3400000000000002E-2</v>
      </c>
      <c r="BZ117">
        <f t="shared" si="24"/>
        <v>-6.6999999999999976E-3</v>
      </c>
      <c r="CA117">
        <f t="shared" si="24"/>
        <v>3.8999999999999937E-3</v>
      </c>
      <c r="CB117">
        <f t="shared" si="24"/>
        <v>-1.6899999999999998E-2</v>
      </c>
      <c r="CC117">
        <f t="shared" si="24"/>
        <v>-1.6499999999999994E-2</v>
      </c>
      <c r="CD117">
        <f t="shared" si="24"/>
        <v>8.8999999999999982E-3</v>
      </c>
      <c r="CE117">
        <f t="shared" si="24"/>
        <v>1.0499999999999995E-2</v>
      </c>
      <c r="CF117">
        <f t="shared" si="24"/>
        <v>3.7899999999999996E-2</v>
      </c>
      <c r="CG117">
        <f t="shared" si="24"/>
        <v>0.10239999999999999</v>
      </c>
      <c r="CH117">
        <f t="shared" si="24"/>
        <v>6.770000000000001E-2</v>
      </c>
      <c r="CI117">
        <f t="shared" si="24"/>
        <v>-1.3399999999999995E-2</v>
      </c>
      <c r="CJ117">
        <f t="shared" si="24"/>
        <v>-9.0799999999999992E-2</v>
      </c>
      <c r="CK117">
        <f t="shared" si="24"/>
        <v>-5.7200000000000001E-2</v>
      </c>
      <c r="CL117">
        <f t="shared" si="24"/>
        <v>-5.9400000000000001E-2</v>
      </c>
      <c r="CM117">
        <f t="shared" si="24"/>
        <v>0.1075</v>
      </c>
      <c r="CN117">
        <f t="shared" si="24"/>
        <v>1.7799999999999996E-2</v>
      </c>
      <c r="CO117">
        <f t="shared" si="24"/>
        <v>1.4100000000000001E-2</v>
      </c>
      <c r="CP117">
        <f t="shared" si="24"/>
        <v>2.6299999999999997E-2</v>
      </c>
      <c r="CQ117">
        <f t="shared" si="24"/>
        <v>7.619999999999999E-2</v>
      </c>
      <c r="CR117">
        <f t="shared" si="24"/>
        <v>-7.400000000000001E-2</v>
      </c>
      <c r="CS117">
        <f t="shared" si="24"/>
        <v>-1.9400000000000001E-2</v>
      </c>
      <c r="CT117">
        <f t="shared" si="24"/>
        <v>-1.3999999999999985E-3</v>
      </c>
      <c r="CU117">
        <f t="shared" si="24"/>
        <v>6.9999999999999923E-4</v>
      </c>
      <c r="CV117">
        <f t="shared" si="24"/>
        <v>1.2000000000000004E-2</v>
      </c>
      <c r="CW117">
        <f t="shared" si="24"/>
        <v>1.5300000000000001E-2</v>
      </c>
      <c r="CX117">
        <f t="shared" si="24"/>
        <v>-8.8999999999999982E-3</v>
      </c>
    </row>
    <row r="118" spans="1:102" x14ac:dyDescent="0.2">
      <c r="A118" t="s">
        <v>209</v>
      </c>
      <c r="B118" t="s">
        <v>220</v>
      </c>
      <c r="C118" t="s">
        <v>223</v>
      </c>
      <c r="D118">
        <f t="shared" ref="D118:BO121" si="25">D101+D109</f>
        <v>5.1979999999999998E-2</v>
      </c>
      <c r="E118">
        <f t="shared" si="25"/>
        <v>-9.8419999999999994E-2</v>
      </c>
      <c r="F118">
        <f t="shared" si="25"/>
        <v>-0.15761</v>
      </c>
      <c r="G118">
        <f t="shared" si="25"/>
        <v>3.0289999999999997E-2</v>
      </c>
      <c r="H118">
        <f t="shared" si="25"/>
        <v>-0.12517</v>
      </c>
      <c r="I118">
        <f t="shared" si="25"/>
        <v>1.244E-2</v>
      </c>
      <c r="J118">
        <f t="shared" si="25"/>
        <v>-7.2480000000000003E-2</v>
      </c>
      <c r="K118">
        <f t="shared" si="25"/>
        <v>-6.5929999999999989E-2</v>
      </c>
      <c r="L118">
        <f t="shared" si="25"/>
        <v>-3.8010000000000002E-2</v>
      </c>
      <c r="M118">
        <f t="shared" si="25"/>
        <v>-3.8779999999999995E-2</v>
      </c>
      <c r="N118">
        <f t="shared" si="25"/>
        <v>-0.13585</v>
      </c>
      <c r="O118">
        <f t="shared" si="25"/>
        <v>2.2939999999999999E-2</v>
      </c>
      <c r="P118">
        <f t="shared" si="25"/>
        <v>-7.6899999999999998E-3</v>
      </c>
      <c r="Q118">
        <f t="shared" si="25"/>
        <v>-7.3690000000000005E-2</v>
      </c>
      <c r="R118">
        <f t="shared" si="25"/>
        <v>-5.8889999999999998E-2</v>
      </c>
      <c r="S118">
        <f t="shared" si="25"/>
        <v>-4.7899999999999998E-2</v>
      </c>
      <c r="T118">
        <f t="shared" si="25"/>
        <v>-3.286E-2</v>
      </c>
      <c r="U118">
        <f t="shared" si="25"/>
        <v>-6.182E-2</v>
      </c>
      <c r="V118">
        <f t="shared" si="25"/>
        <v>-5.645E-2</v>
      </c>
      <c r="W118">
        <f t="shared" si="25"/>
        <v>-6.7129999999999995E-2</v>
      </c>
      <c r="X118">
        <f t="shared" si="25"/>
        <v>-7.1849999999999997E-2</v>
      </c>
      <c r="Y118">
        <f t="shared" si="25"/>
        <v>-5.6120000000000003E-2</v>
      </c>
      <c r="Z118">
        <f t="shared" si="25"/>
        <v>-5.9060000000000001E-2</v>
      </c>
      <c r="AA118">
        <f t="shared" si="25"/>
        <v>-3.1670000000000004E-2</v>
      </c>
      <c r="AB118">
        <f t="shared" si="25"/>
        <v>-3.0870000000000002E-2</v>
      </c>
      <c r="AC118">
        <f t="shared" si="25"/>
        <v>-2.7660000000000004E-2</v>
      </c>
      <c r="AD118">
        <f t="shared" si="25"/>
        <v>-3.3100000000000004E-2</v>
      </c>
      <c r="AE118">
        <f t="shared" si="25"/>
        <v>-2.9360000000000004E-2</v>
      </c>
      <c r="AF118">
        <f t="shared" si="25"/>
        <v>-3.755E-2</v>
      </c>
      <c r="AG118">
        <f t="shared" si="25"/>
        <v>-4.8549999999999996E-2</v>
      </c>
      <c r="AH118">
        <f t="shared" si="25"/>
        <v>-7.1550000000000002E-2</v>
      </c>
      <c r="AI118">
        <f t="shared" si="25"/>
        <v>-3.2539999999999999E-2</v>
      </c>
      <c r="AJ118">
        <f t="shared" si="25"/>
        <v>-2.2120000000000001E-2</v>
      </c>
      <c r="AK118">
        <f t="shared" si="25"/>
        <v>-2.8890000000000002E-2</v>
      </c>
      <c r="AL118">
        <f t="shared" si="25"/>
        <v>-3.8210000000000001E-2</v>
      </c>
      <c r="AM118">
        <f t="shared" si="25"/>
        <v>-4.7270000000000006E-2</v>
      </c>
      <c r="AN118">
        <f t="shared" si="25"/>
        <v>-3.2870000000000003E-2</v>
      </c>
      <c r="AO118">
        <f t="shared" si="25"/>
        <v>-1.302E-2</v>
      </c>
      <c r="AP118">
        <f t="shared" si="25"/>
        <v>-2.2040000000000001E-2</v>
      </c>
      <c r="AQ118">
        <f t="shared" si="25"/>
        <v>-2.6099999999999998E-2</v>
      </c>
      <c r="AR118">
        <f t="shared" si="25"/>
        <v>-2.2929999999999999E-2</v>
      </c>
      <c r="AS118">
        <f t="shared" si="25"/>
        <v>-2.2669999999999999E-2</v>
      </c>
      <c r="AT118">
        <f t="shared" si="25"/>
        <v>-2.0729999999999998E-2</v>
      </c>
      <c r="AU118">
        <f t="shared" si="25"/>
        <v>-2.4230000000000002E-2</v>
      </c>
      <c r="AV118">
        <f t="shared" si="25"/>
        <v>-2.0769999999999997E-2</v>
      </c>
      <c r="AW118">
        <f t="shared" si="25"/>
        <v>-7.6199999999999983E-3</v>
      </c>
      <c r="AX118">
        <f t="shared" si="25"/>
        <v>-5.559999999999999E-3</v>
      </c>
      <c r="AY118">
        <f t="shared" si="25"/>
        <v>-2.8000000000000073E-4</v>
      </c>
      <c r="AZ118">
        <f t="shared" si="25"/>
        <v>-4.069999999999999E-3</v>
      </c>
      <c r="BA118">
        <f t="shared" si="25"/>
        <v>-1.0319999999999999E-2</v>
      </c>
      <c r="BB118">
        <f t="shared" si="25"/>
        <v>-2.6299999999999997E-2</v>
      </c>
      <c r="BC118">
        <f t="shared" si="25"/>
        <v>7.6399999999999992E-3</v>
      </c>
      <c r="BD118">
        <f t="shared" si="25"/>
        <v>5.7800000000000004E-3</v>
      </c>
      <c r="BE118">
        <f t="shared" si="25"/>
        <v>-5.11E-3</v>
      </c>
      <c r="BF118">
        <f t="shared" si="25"/>
        <v>8.8720000000000014E-3</v>
      </c>
      <c r="BG118">
        <f t="shared" si="25"/>
        <v>1.286E-2</v>
      </c>
      <c r="BH118">
        <f t="shared" si="25"/>
        <v>1.38E-2</v>
      </c>
      <c r="BI118">
        <f t="shared" si="25"/>
        <v>3.7200000000000011E-3</v>
      </c>
      <c r="BJ118">
        <f t="shared" si="25"/>
        <v>3.9600000000000008E-3</v>
      </c>
      <c r="BK118">
        <f t="shared" si="25"/>
        <v>-1.0800000000000001E-2</v>
      </c>
      <c r="BL118">
        <f t="shared" si="25"/>
        <v>-5.3299999999999993E-2</v>
      </c>
      <c r="BM118">
        <f t="shared" si="25"/>
        <v>-6.8499999999999991E-2</v>
      </c>
      <c r="BN118">
        <f t="shared" si="25"/>
        <v>-3.85E-2</v>
      </c>
      <c r="BO118">
        <f t="shared" si="25"/>
        <v>-1.8000000000000002E-2</v>
      </c>
      <c r="BP118">
        <f t="shared" si="23"/>
        <v>-1.9099999999999999E-2</v>
      </c>
      <c r="BQ118">
        <f t="shared" si="24"/>
        <v>-1.5800000000000002E-2</v>
      </c>
      <c r="BR118">
        <f t="shared" si="24"/>
        <v>1.2659999999999999E-2</v>
      </c>
      <c r="BS118">
        <f t="shared" si="24"/>
        <v>4.6100000000000002E-2</v>
      </c>
      <c r="BT118">
        <f t="shared" si="24"/>
        <v>0.10439</v>
      </c>
      <c r="BU118">
        <f t="shared" si="24"/>
        <v>9.6300000000000011E-2</v>
      </c>
      <c r="BV118">
        <f t="shared" si="24"/>
        <v>-1.3500000000000002E-2</v>
      </c>
      <c r="BW118">
        <f t="shared" si="24"/>
        <v>-5.91E-2</v>
      </c>
      <c r="BX118">
        <f t="shared" si="24"/>
        <v>-0.06</v>
      </c>
      <c r="BY118">
        <f t="shared" si="24"/>
        <v>-5.96E-2</v>
      </c>
      <c r="BZ118">
        <f t="shared" si="24"/>
        <v>-4.5599999999999995E-2</v>
      </c>
      <c r="CA118">
        <f t="shared" si="24"/>
        <v>-3.5099999999999999E-2</v>
      </c>
      <c r="CB118">
        <f t="shared" si="24"/>
        <v>-6.1900000000000004E-2</v>
      </c>
      <c r="CC118">
        <f t="shared" si="24"/>
        <v>-5.9800000000000006E-2</v>
      </c>
      <c r="CD118">
        <f t="shared" si="24"/>
        <v>-2.8699999999999996E-2</v>
      </c>
      <c r="CE118">
        <f t="shared" si="24"/>
        <v>-3.7500000000000006E-2</v>
      </c>
      <c r="CF118">
        <f t="shared" si="24"/>
        <v>-1.9000000000000003E-2</v>
      </c>
      <c r="CG118">
        <f t="shared" si="24"/>
        <v>5.6099999999999997E-2</v>
      </c>
      <c r="CH118">
        <f t="shared" si="24"/>
        <v>3.9699999999999999E-2</v>
      </c>
      <c r="CI118">
        <f t="shared" si="24"/>
        <v>-4.24E-2</v>
      </c>
      <c r="CJ118">
        <f t="shared" si="24"/>
        <v>-0.16309999999999999</v>
      </c>
      <c r="CK118">
        <f t="shared" si="24"/>
        <v>-0.1173</v>
      </c>
      <c r="CL118">
        <f t="shared" si="24"/>
        <v>-8.14E-2</v>
      </c>
      <c r="CM118">
        <f t="shared" si="24"/>
        <v>8.9799999999999991E-2</v>
      </c>
      <c r="CN118">
        <f t="shared" si="24"/>
        <v>-2.9900000000000003E-2</v>
      </c>
      <c r="CO118">
        <f t="shared" si="24"/>
        <v>-3.95E-2</v>
      </c>
      <c r="CP118">
        <f t="shared" si="24"/>
        <v>-1.8900000000000004E-2</v>
      </c>
      <c r="CQ118">
        <f t="shared" si="24"/>
        <v>5.28E-2</v>
      </c>
      <c r="CR118">
        <f t="shared" si="24"/>
        <v>-0.14430000000000001</v>
      </c>
      <c r="CS118">
        <f t="shared" si="24"/>
        <v>-8.6199999999999999E-2</v>
      </c>
      <c r="CT118">
        <f t="shared" si="24"/>
        <v>-8.4599999999999995E-2</v>
      </c>
      <c r="CU118">
        <f t="shared" si="24"/>
        <v>-6.5699999999999995E-2</v>
      </c>
      <c r="CV118">
        <f t="shared" si="24"/>
        <v>-7.619999999999999E-2</v>
      </c>
      <c r="CW118">
        <f t="shared" si="24"/>
        <v>-0.1477</v>
      </c>
      <c r="CX118">
        <f t="shared" si="24"/>
        <v>-6.6599999999999993E-2</v>
      </c>
    </row>
    <row r="119" spans="1:102" x14ac:dyDescent="0.2">
      <c r="A119" t="s">
        <v>210</v>
      </c>
      <c r="B119" t="s">
        <v>220</v>
      </c>
      <c r="C119" t="s">
        <v>223</v>
      </c>
      <c r="D119">
        <f t="shared" si="25"/>
        <v>-1.7503999999999999E-2</v>
      </c>
      <c r="E119">
        <f t="shared" si="25"/>
        <v>-4.5999999999999991E-4</v>
      </c>
      <c r="F119">
        <f t="shared" si="25"/>
        <v>3.015E-2</v>
      </c>
      <c r="G119">
        <f t="shared" si="25"/>
        <v>-2.0050000000000002E-2</v>
      </c>
      <c r="H119">
        <f t="shared" si="25"/>
        <v>3.031E-2</v>
      </c>
      <c r="I119">
        <f t="shared" si="25"/>
        <v>1.931E-3</v>
      </c>
      <c r="J119">
        <f t="shared" si="25"/>
        <v>8.3499999999999998E-3</v>
      </c>
      <c r="K119">
        <f t="shared" si="25"/>
        <v>1.9139999999999999E-3</v>
      </c>
      <c r="L119">
        <f t="shared" si="25"/>
        <v>-5.4300000000000008E-3</v>
      </c>
      <c r="M119">
        <f t="shared" si="25"/>
        <v>4.3800000000000002E-3</v>
      </c>
      <c r="N119">
        <f t="shared" si="25"/>
        <v>2.0895E-2</v>
      </c>
      <c r="O119">
        <f t="shared" si="25"/>
        <v>-1.3104000000000001E-2</v>
      </c>
      <c r="P119">
        <f t="shared" si="25"/>
        <v>-7.5950000000000011E-3</v>
      </c>
      <c r="Q119">
        <f t="shared" si="25"/>
        <v>6.7869999999999996E-3</v>
      </c>
      <c r="R119">
        <f t="shared" si="25"/>
        <v>7.8379999999999995E-3</v>
      </c>
      <c r="S119">
        <f t="shared" si="25"/>
        <v>6.4000000000000003E-3</v>
      </c>
      <c r="T119">
        <f t="shared" si="25"/>
        <v>2.993E-3</v>
      </c>
      <c r="U119">
        <f t="shared" si="25"/>
        <v>6.4549999999999998E-3</v>
      </c>
      <c r="V119">
        <f t="shared" si="25"/>
        <v>4.5330000000000006E-3</v>
      </c>
      <c r="W119">
        <f t="shared" si="25"/>
        <v>6.2220000000000001E-3</v>
      </c>
      <c r="X119">
        <f t="shared" si="25"/>
        <v>7.9419999999999994E-3</v>
      </c>
      <c r="Y119">
        <f t="shared" si="25"/>
        <v>5.8379999999999994E-3</v>
      </c>
      <c r="Z119">
        <f t="shared" si="25"/>
        <v>7.4059999999999994E-3</v>
      </c>
      <c r="AA119">
        <f t="shared" si="25"/>
        <v>3.5730000000000002E-3</v>
      </c>
      <c r="AB119">
        <f t="shared" si="25"/>
        <v>3.0990000000000002E-3</v>
      </c>
      <c r="AC119">
        <f t="shared" si="25"/>
        <v>1.9070000000000001E-3</v>
      </c>
      <c r="AD119">
        <f t="shared" si="25"/>
        <v>2.96E-3</v>
      </c>
      <c r="AE119">
        <f t="shared" si="25"/>
        <v>1.952E-3</v>
      </c>
      <c r="AF119">
        <f t="shared" si="25"/>
        <v>3.9639999999999996E-3</v>
      </c>
      <c r="AG119">
        <f t="shared" si="25"/>
        <v>7.0690000000000006E-3</v>
      </c>
      <c r="AH119">
        <f t="shared" si="25"/>
        <v>9.9620000000000004E-3</v>
      </c>
      <c r="AI119">
        <f t="shared" si="25"/>
        <v>2.8219999999999999E-3</v>
      </c>
      <c r="AJ119">
        <f t="shared" si="25"/>
        <v>-3.9999999999999888E-6</v>
      </c>
      <c r="AK119">
        <f t="shared" si="25"/>
        <v>3.5919999999999997E-3</v>
      </c>
      <c r="AL119">
        <f t="shared" si="25"/>
        <v>5.3050000000000007E-3</v>
      </c>
      <c r="AM119">
        <f t="shared" si="25"/>
        <v>8.3789999999999993E-3</v>
      </c>
      <c r="AN119">
        <f t="shared" si="25"/>
        <v>3.529E-3</v>
      </c>
      <c r="AO119">
        <f t="shared" si="25"/>
        <v>2.9199999999999994E-4</v>
      </c>
      <c r="AP119">
        <f t="shared" si="25"/>
        <v>3.5100000000000007E-4</v>
      </c>
      <c r="AQ119">
        <f t="shared" si="25"/>
        <v>3.1179999999999997E-3</v>
      </c>
      <c r="AR119">
        <f t="shared" si="25"/>
        <v>1.232E-3</v>
      </c>
      <c r="AS119">
        <f t="shared" si="25"/>
        <v>1.2290000000000001E-3</v>
      </c>
      <c r="AT119">
        <f t="shared" si="25"/>
        <v>7.2099999999999996E-4</v>
      </c>
      <c r="AU119">
        <f t="shared" si="25"/>
        <v>1.8649999999999999E-3</v>
      </c>
      <c r="AV119">
        <f t="shared" si="25"/>
        <v>2.2329999999999997E-3</v>
      </c>
      <c r="AW119">
        <f t="shared" si="25"/>
        <v>1.771E-3</v>
      </c>
      <c r="AX119">
        <f t="shared" si="25"/>
        <v>2.3479999999999998E-3</v>
      </c>
      <c r="AY119">
        <f t="shared" si="25"/>
        <v>1.361E-3</v>
      </c>
      <c r="AZ119">
        <f t="shared" si="25"/>
        <v>4.5400000000000006E-3</v>
      </c>
      <c r="BA119">
        <f t="shared" si="25"/>
        <v>7.4799999999999997E-3</v>
      </c>
      <c r="BB119">
        <f t="shared" si="25"/>
        <v>1.027E-2</v>
      </c>
      <c r="BC119">
        <f t="shared" si="25"/>
        <v>4.4799999999999996E-3</v>
      </c>
      <c r="BD119">
        <f t="shared" si="25"/>
        <v>5.9800000000000001E-3</v>
      </c>
      <c r="BE119">
        <f t="shared" si="25"/>
        <v>7.3200000000000001E-3</v>
      </c>
      <c r="BF119">
        <f t="shared" si="25"/>
        <v>5.8799999999999998E-3</v>
      </c>
      <c r="BG119">
        <f t="shared" si="25"/>
        <v>6.4099999999999999E-3</v>
      </c>
      <c r="BH119">
        <f t="shared" si="25"/>
        <v>6.6299999999999996E-3</v>
      </c>
      <c r="BI119">
        <f t="shared" si="25"/>
        <v>6.5699999999999995E-3</v>
      </c>
      <c r="BJ119">
        <f t="shared" si="25"/>
        <v>4.3299999999999996E-3</v>
      </c>
      <c r="BK119">
        <f t="shared" si="25"/>
        <v>6.7299999999999999E-3</v>
      </c>
      <c r="BL119">
        <f t="shared" si="25"/>
        <v>1.6569999999999998E-2</v>
      </c>
      <c r="BM119">
        <f t="shared" si="25"/>
        <v>1.8740000000000003E-2</v>
      </c>
      <c r="BN119">
        <f t="shared" si="25"/>
        <v>1.32E-2</v>
      </c>
      <c r="BO119">
        <f t="shared" si="25"/>
        <v>8.6999999999999994E-3</v>
      </c>
      <c r="BP119">
        <f t="shared" si="23"/>
        <v>7.5600000000000007E-3</v>
      </c>
      <c r="BQ119">
        <f t="shared" si="24"/>
        <v>7.4699999999999992E-3</v>
      </c>
      <c r="BR119">
        <f t="shared" si="24"/>
        <v>5.0699999999999999E-3</v>
      </c>
      <c r="BS119">
        <f t="shared" si="24"/>
        <v>6.8099999999999996E-4</v>
      </c>
      <c r="BT119">
        <f t="shared" si="24"/>
        <v>-8.2699999999999996E-3</v>
      </c>
      <c r="BU119">
        <f t="shared" si="24"/>
        <v>-9.7699999999999992E-3</v>
      </c>
      <c r="BV119">
        <f t="shared" si="24"/>
        <v>1.145E-2</v>
      </c>
      <c r="BW119">
        <f t="shared" si="24"/>
        <v>2.196E-2</v>
      </c>
      <c r="BX119">
        <f t="shared" si="24"/>
        <v>1.7239999999999998E-2</v>
      </c>
      <c r="BY119">
        <f t="shared" si="24"/>
        <v>1.421E-2</v>
      </c>
      <c r="BZ119">
        <f t="shared" si="24"/>
        <v>7.4599999999999996E-3</v>
      </c>
      <c r="CA119">
        <f t="shared" si="24"/>
        <v>6.4000000000000005E-4</v>
      </c>
      <c r="CB119">
        <f t="shared" si="24"/>
        <v>1.196E-2</v>
      </c>
      <c r="CC119">
        <f t="shared" si="24"/>
        <v>1.8100000000000002E-2</v>
      </c>
      <c r="CD119">
        <f t="shared" si="24"/>
        <v>1.2659999999999999E-2</v>
      </c>
      <c r="CE119">
        <f t="shared" si="24"/>
        <v>1.4789999999999999E-2</v>
      </c>
      <c r="CF119">
        <f t="shared" si="24"/>
        <v>2.284E-3</v>
      </c>
      <c r="CG119">
        <f t="shared" si="24"/>
        <v>-6.4399999999999995E-3</v>
      </c>
      <c r="CH119">
        <f t="shared" si="24"/>
        <v>-5.5900000000000004E-3</v>
      </c>
      <c r="CI119">
        <f t="shared" si="24"/>
        <v>1.225E-2</v>
      </c>
      <c r="CJ119">
        <f t="shared" si="24"/>
        <v>3.8490000000000003E-2</v>
      </c>
      <c r="CK119">
        <f t="shared" si="24"/>
        <v>2.7629999999999998E-2</v>
      </c>
      <c r="CL119">
        <f t="shared" si="24"/>
        <v>1.5140000000000001E-2</v>
      </c>
      <c r="CM119">
        <f t="shared" si="24"/>
        <v>-1.8780000000000002E-2</v>
      </c>
      <c r="CN119">
        <f t="shared" si="24"/>
        <v>1.1680000000000001E-2</v>
      </c>
      <c r="CO119">
        <f t="shared" si="24"/>
        <v>1.2499999999999999E-2</v>
      </c>
      <c r="CP119">
        <f t="shared" si="24"/>
        <v>3.8300000000000001E-3</v>
      </c>
      <c r="CQ119">
        <f t="shared" si="24"/>
        <v>-5.6000000000000008E-3</v>
      </c>
      <c r="CR119">
        <f t="shared" si="24"/>
        <v>3.4410000000000003E-2</v>
      </c>
      <c r="CS119">
        <f t="shared" si="24"/>
        <v>8.9599999999999992E-3</v>
      </c>
      <c r="CT119">
        <f t="shared" si="24"/>
        <v>1.6889999999999999E-2</v>
      </c>
      <c r="CU119">
        <f t="shared" si="24"/>
        <v>1.44E-2</v>
      </c>
      <c r="CV119">
        <f t="shared" si="24"/>
        <v>2.4183E-3</v>
      </c>
      <c r="CW119">
        <f t="shared" si="24"/>
        <v>-7.7400000000000004E-3</v>
      </c>
      <c r="CX119">
        <f t="shared" si="24"/>
        <v>-3.074E-2</v>
      </c>
    </row>
    <row r="120" spans="1:102" x14ac:dyDescent="0.2">
      <c r="A120" t="s">
        <v>211</v>
      </c>
      <c r="B120" t="s">
        <v>220</v>
      </c>
      <c r="C120" t="s">
        <v>223</v>
      </c>
      <c r="D120">
        <f t="shared" si="25"/>
        <v>2.7934E-2</v>
      </c>
      <c r="E120">
        <f t="shared" si="25"/>
        <v>2.1660000000000002E-2</v>
      </c>
      <c r="F120">
        <f t="shared" si="25"/>
        <v>1.8100000000000002E-2</v>
      </c>
      <c r="G120">
        <f t="shared" si="25"/>
        <v>-5.3340000000000002E-3</v>
      </c>
      <c r="H120">
        <f t="shared" si="25"/>
        <v>3.7500000000000003E-3</v>
      </c>
      <c r="I120">
        <f t="shared" si="25"/>
        <v>-3.1649999999999998E-3</v>
      </c>
      <c r="J120">
        <f t="shared" si="25"/>
        <v>7.0800000000000004E-3</v>
      </c>
      <c r="K120">
        <f t="shared" si="25"/>
        <v>3.3000000000000043E-5</v>
      </c>
      <c r="L120">
        <f t="shared" si="25"/>
        <v>-8.3009999999999994E-3</v>
      </c>
      <c r="M120">
        <f t="shared" si="25"/>
        <v>-7.698E-3</v>
      </c>
      <c r="N120">
        <f t="shared" si="25"/>
        <v>-1.5E-3</v>
      </c>
      <c r="O120">
        <f t="shared" si="25"/>
        <v>-1.0291E-2</v>
      </c>
      <c r="P120">
        <f t="shared" si="25"/>
        <v>-6.5649999999999997E-3</v>
      </c>
      <c r="Q120">
        <f t="shared" si="25"/>
        <v>-4.0770000000000008E-3</v>
      </c>
      <c r="R120">
        <f t="shared" si="25"/>
        <v>-2.8609999999999998E-3</v>
      </c>
      <c r="S120">
        <f t="shared" si="25"/>
        <v>-2.9859999999999999E-3</v>
      </c>
      <c r="T120">
        <f t="shared" si="25"/>
        <v>-1.3730000000000001E-3</v>
      </c>
      <c r="U120">
        <f t="shared" si="25"/>
        <v>1.8929999999999999E-3</v>
      </c>
      <c r="V120">
        <f t="shared" si="25"/>
        <v>2.2729999999999998E-3</v>
      </c>
      <c r="W120">
        <f t="shared" si="25"/>
        <v>3.1229999999999999E-3</v>
      </c>
      <c r="X120">
        <f t="shared" si="25"/>
        <v>4.2199999999999998E-3</v>
      </c>
      <c r="Y120">
        <f t="shared" si="25"/>
        <v>2.5089999999999999E-3</v>
      </c>
      <c r="Z120">
        <f t="shared" si="25"/>
        <v>4.333E-3</v>
      </c>
      <c r="AA120">
        <f t="shared" si="25"/>
        <v>-2.1999999999999938E-5</v>
      </c>
      <c r="AB120">
        <f t="shared" si="25"/>
        <v>-1.8299999999999995E-4</v>
      </c>
      <c r="AC120">
        <f t="shared" si="25"/>
        <v>2.1949999999999999E-3</v>
      </c>
      <c r="AD120">
        <f t="shared" si="25"/>
        <v>1.549E-3</v>
      </c>
      <c r="AE120">
        <f t="shared" si="25"/>
        <v>-8.9900000000000006E-4</v>
      </c>
      <c r="AF120">
        <f t="shared" si="25"/>
        <v>-8.2000000000000042E-5</v>
      </c>
      <c r="AG120">
        <f t="shared" si="25"/>
        <v>1.3579999999999998E-3</v>
      </c>
      <c r="AH120">
        <f t="shared" si="25"/>
        <v>3.4269999999999999E-3</v>
      </c>
      <c r="AI120">
        <f t="shared" si="25"/>
        <v>-4.3399999999999992E-4</v>
      </c>
      <c r="AJ120">
        <f t="shared" si="25"/>
        <v>-2.3549999999999999E-3</v>
      </c>
      <c r="AK120">
        <f t="shared" si="25"/>
        <v>-9.0800000000000006E-4</v>
      </c>
      <c r="AL120">
        <f t="shared" si="25"/>
        <v>-1.6300000000000006E-4</v>
      </c>
      <c r="AM120">
        <f t="shared" si="25"/>
        <v>1.0497E-3</v>
      </c>
      <c r="AN120">
        <f t="shared" si="25"/>
        <v>1.7179999999999999E-3</v>
      </c>
      <c r="AO120">
        <f t="shared" si="25"/>
        <v>-3.4200000000000003E-3</v>
      </c>
      <c r="AP120">
        <f t="shared" si="25"/>
        <v>-4.0600000000000002E-3</v>
      </c>
      <c r="AQ120">
        <f t="shared" si="25"/>
        <v>-1.9400000000000001E-3</v>
      </c>
      <c r="AR120">
        <f t="shared" si="25"/>
        <v>-3.3799999999999998E-3</v>
      </c>
      <c r="AS120">
        <f t="shared" si="25"/>
        <v>-2.0899999999999998E-3</v>
      </c>
      <c r="AT120">
        <f t="shared" si="25"/>
        <v>-9.5000000000000011E-4</v>
      </c>
      <c r="AU120">
        <f t="shared" si="25"/>
        <v>1.1767000000000001E-3</v>
      </c>
      <c r="AV120">
        <f t="shared" si="25"/>
        <v>2.8600000000000001E-3</v>
      </c>
      <c r="AW120">
        <f t="shared" si="25"/>
        <v>1.83E-3</v>
      </c>
      <c r="AX120">
        <f t="shared" si="25"/>
        <v>1.7200000000000002E-3</v>
      </c>
      <c r="AY120">
        <f t="shared" si="25"/>
        <v>1.9420000000000001E-3</v>
      </c>
      <c r="AZ120">
        <f t="shared" si="25"/>
        <v>2.4299999999999999E-3</v>
      </c>
      <c r="BA120">
        <f t="shared" si="25"/>
        <v>5.3300000000000005E-3</v>
      </c>
      <c r="BB120">
        <f t="shared" si="25"/>
        <v>8.0199999999999994E-3</v>
      </c>
      <c r="BC120">
        <f t="shared" si="25"/>
        <v>3.3499999999999997E-3</v>
      </c>
      <c r="BD120">
        <f t="shared" si="25"/>
        <v>5.9500000000000004E-4</v>
      </c>
      <c r="BE120">
        <f t="shared" si="25"/>
        <v>3.32E-3</v>
      </c>
      <c r="BF120">
        <f t="shared" si="25"/>
        <v>3.9199999999999999E-3</v>
      </c>
      <c r="BG120">
        <f t="shared" si="25"/>
        <v>5.5999999999999995E-4</v>
      </c>
      <c r="BH120">
        <f t="shared" si="25"/>
        <v>3.5100000000000001E-3</v>
      </c>
      <c r="BI120">
        <f t="shared" si="25"/>
        <v>7.1999999999999998E-3</v>
      </c>
      <c r="BJ120">
        <f t="shared" si="25"/>
        <v>3.9299999999999995E-3</v>
      </c>
      <c r="BK120">
        <f t="shared" si="25"/>
        <v>6.3200000000000001E-3</v>
      </c>
      <c r="BL120">
        <f t="shared" si="25"/>
        <v>1.094E-2</v>
      </c>
      <c r="BM120">
        <f t="shared" si="25"/>
        <v>1.108E-2</v>
      </c>
      <c r="BN120">
        <f t="shared" si="25"/>
        <v>7.9900000000000006E-3</v>
      </c>
      <c r="BO120">
        <f t="shared" si="25"/>
        <v>6.43E-3</v>
      </c>
      <c r="BP120">
        <f t="shared" si="23"/>
        <v>5.6900000000000006E-3</v>
      </c>
      <c r="BQ120">
        <f t="shared" si="24"/>
        <v>8.9800000000000001E-3</v>
      </c>
      <c r="BR120">
        <f t="shared" si="24"/>
        <v>-3.7599999999999995E-3</v>
      </c>
      <c r="BS120">
        <f t="shared" si="24"/>
        <v>-1.4930000000000001E-2</v>
      </c>
      <c r="BT120">
        <f t="shared" si="24"/>
        <v>-1.7919999999999998E-2</v>
      </c>
      <c r="BU120">
        <f t="shared" si="24"/>
        <v>-1.8450000000000001E-2</v>
      </c>
      <c r="BV120">
        <f t="shared" si="24"/>
        <v>-1.7300000000000002E-3</v>
      </c>
      <c r="BW120">
        <f t="shared" si="24"/>
        <v>7.6600000000000001E-3</v>
      </c>
      <c r="BX120">
        <f t="shared" si="24"/>
        <v>4.8999999999999998E-3</v>
      </c>
      <c r="BY120">
        <f t="shared" si="24"/>
        <v>4.9899999999999996E-3</v>
      </c>
      <c r="BZ120">
        <f t="shared" si="24"/>
        <v>4.8300000000000001E-3</v>
      </c>
      <c r="CA120">
        <f t="shared" si="24"/>
        <v>1.0000000000000026E-5</v>
      </c>
      <c r="CB120">
        <f t="shared" si="24"/>
        <v>9.7800000000000005E-3</v>
      </c>
      <c r="CC120">
        <f t="shared" si="24"/>
        <v>1.226E-2</v>
      </c>
      <c r="CD120">
        <f t="shared" si="24"/>
        <v>1.03E-2</v>
      </c>
      <c r="CE120">
        <f t="shared" si="24"/>
        <v>1.294E-2</v>
      </c>
      <c r="CF120">
        <f t="shared" si="24"/>
        <v>2.761E-3</v>
      </c>
      <c r="CG120">
        <f t="shared" si="24"/>
        <v>-8.6800000000000002E-3</v>
      </c>
      <c r="CH120">
        <f t="shared" si="24"/>
        <v>-8.3999999999999995E-3</v>
      </c>
      <c r="CI120">
        <f t="shared" si="24"/>
        <v>5.3899999999999998E-3</v>
      </c>
      <c r="CJ120">
        <f t="shared" si="24"/>
        <v>2.742E-2</v>
      </c>
      <c r="CK120">
        <f t="shared" si="24"/>
        <v>2.0900000000000002E-2</v>
      </c>
      <c r="CL120">
        <f t="shared" si="24"/>
        <v>5.1000000000000004E-3</v>
      </c>
      <c r="CM120">
        <f t="shared" si="24"/>
        <v>-2.9129999999999996E-2</v>
      </c>
      <c r="CN120">
        <f t="shared" si="24"/>
        <v>4.6899999999999997E-3</v>
      </c>
      <c r="CO120">
        <f t="shared" si="24"/>
        <v>7.4099999999999999E-3</v>
      </c>
      <c r="CP120">
        <f t="shared" si="24"/>
        <v>5.9100000000000003E-3</v>
      </c>
      <c r="CQ120">
        <f t="shared" si="24"/>
        <v>-8.7200000000000003E-3</v>
      </c>
      <c r="CR120">
        <f t="shared" si="24"/>
        <v>2.581E-2</v>
      </c>
      <c r="CS120">
        <f t="shared" si="24"/>
        <v>-2.6500000000000004E-3</v>
      </c>
      <c r="CT120">
        <f t="shared" si="24"/>
        <v>-1.5429999999999999E-2</v>
      </c>
      <c r="CU120">
        <f t="shared" si="24"/>
        <v>-1.4599999999999998E-2</v>
      </c>
      <c r="CV120">
        <f t="shared" si="24"/>
        <v>-5.4900000000000001E-3</v>
      </c>
      <c r="CW120">
        <f t="shared" si="24"/>
        <v>-4.2709999999999998E-2</v>
      </c>
      <c r="CX120">
        <f t="shared" si="24"/>
        <v>-3.1170000000000003E-2</v>
      </c>
    </row>
    <row r="121" spans="1:102" x14ac:dyDescent="0.2">
      <c r="A121" t="s">
        <v>212</v>
      </c>
      <c r="B121" t="s">
        <v>220</v>
      </c>
      <c r="C121" t="s">
        <v>223</v>
      </c>
      <c r="D121">
        <f t="shared" si="25"/>
        <v>4.6299999999999996E-3</v>
      </c>
      <c r="E121">
        <f t="shared" si="25"/>
        <v>2.9439999999999997E-2</v>
      </c>
      <c r="F121">
        <f t="shared" si="25"/>
        <v>3.4419999999999999E-2</v>
      </c>
      <c r="G121">
        <f t="shared" si="25"/>
        <v>4.0999999999999995E-3</v>
      </c>
      <c r="H121">
        <f t="shared" si="25"/>
        <v>1.8099999999999998E-2</v>
      </c>
      <c r="I121">
        <f t="shared" si="25"/>
        <v>4.9899999999999996E-3</v>
      </c>
      <c r="J121">
        <f t="shared" si="25"/>
        <v>1.272E-2</v>
      </c>
      <c r="K121">
        <f t="shared" si="25"/>
        <v>1.256E-2</v>
      </c>
      <c r="L121">
        <f t="shared" si="25"/>
        <v>7.3699999999999989E-3</v>
      </c>
      <c r="M121">
        <f t="shared" si="25"/>
        <v>1.2580000000000001E-2</v>
      </c>
      <c r="N121">
        <f t="shared" si="25"/>
        <v>1.4439999999999998E-2</v>
      </c>
      <c r="O121">
        <f t="shared" si="25"/>
        <v>5.2999999999999987E-4</v>
      </c>
      <c r="P121">
        <f t="shared" si="25"/>
        <v>1.9399999999999999E-3</v>
      </c>
      <c r="Q121">
        <f t="shared" si="25"/>
        <v>3.4120000000000001E-3</v>
      </c>
      <c r="R121">
        <f t="shared" si="25"/>
        <v>4.6759999999999996E-3</v>
      </c>
      <c r="S121">
        <f t="shared" si="25"/>
        <v>4.6020000000000002E-3</v>
      </c>
      <c r="T121">
        <f t="shared" si="25"/>
        <v>4.6830000000000005E-3</v>
      </c>
      <c r="U121">
        <f t="shared" si="25"/>
        <v>5.4120000000000001E-3</v>
      </c>
      <c r="V121">
        <f t="shared" si="25"/>
        <v>3.9059999999999997E-3</v>
      </c>
      <c r="W121">
        <f t="shared" si="25"/>
        <v>3.705E-3</v>
      </c>
      <c r="X121">
        <f t="shared" si="25"/>
        <v>3.009E-3</v>
      </c>
      <c r="Y121">
        <f t="shared" si="25"/>
        <v>1.9220000000000001E-3</v>
      </c>
      <c r="Z121">
        <f t="shared" si="25"/>
        <v>1.7979999999999997E-3</v>
      </c>
      <c r="AA121">
        <f t="shared" si="25"/>
        <v>1.5460000000000001E-3</v>
      </c>
      <c r="AB121">
        <f t="shared" si="25"/>
        <v>1.748E-3</v>
      </c>
      <c r="AC121">
        <f t="shared" si="25"/>
        <v>1.7930000000000001E-3</v>
      </c>
      <c r="AD121">
        <f t="shared" si="25"/>
        <v>1.9450000000000001E-3</v>
      </c>
      <c r="AE121">
        <f t="shared" si="25"/>
        <v>2.0439999999999998E-3</v>
      </c>
      <c r="AF121">
        <f t="shared" si="25"/>
        <v>2.2440000000000003E-3</v>
      </c>
      <c r="AG121">
        <f t="shared" si="25"/>
        <v>3.0739999999999999E-3</v>
      </c>
      <c r="AH121">
        <f t="shared" si="25"/>
        <v>3.264E-3</v>
      </c>
      <c r="AI121">
        <f t="shared" si="25"/>
        <v>2.663E-3</v>
      </c>
      <c r="AJ121">
        <f t="shared" si="25"/>
        <v>1.9419999999999997E-3</v>
      </c>
      <c r="AK121">
        <f t="shared" si="25"/>
        <v>1.5600000000000002E-3</v>
      </c>
      <c r="AL121">
        <f t="shared" si="25"/>
        <v>2.0089999999999999E-3</v>
      </c>
      <c r="AM121">
        <f t="shared" si="25"/>
        <v>2.0480000000000003E-3</v>
      </c>
      <c r="AN121">
        <f t="shared" si="25"/>
        <v>2.124E-3</v>
      </c>
      <c r="AO121">
        <f t="shared" si="25"/>
        <v>1.7030000000000001E-3</v>
      </c>
      <c r="AP121">
        <f t="shared" si="25"/>
        <v>1.6870000000000001E-3</v>
      </c>
      <c r="AQ121">
        <f t="shared" si="25"/>
        <v>1.2599999999999998E-3</v>
      </c>
      <c r="AR121">
        <f t="shared" si="25"/>
        <v>1.2030000000000001E-3</v>
      </c>
      <c r="AS121">
        <f t="shared" si="25"/>
        <v>1.4319999999999999E-3</v>
      </c>
      <c r="AT121">
        <f t="shared" si="25"/>
        <v>1.9400000000000003E-3</v>
      </c>
      <c r="AU121">
        <f t="shared" si="25"/>
        <v>1.7310000000000001E-3</v>
      </c>
      <c r="AV121">
        <f t="shared" si="25"/>
        <v>1.3730000000000001E-3</v>
      </c>
      <c r="AW121">
        <f t="shared" si="25"/>
        <v>1.3940000000000001E-3</v>
      </c>
      <c r="AX121">
        <f t="shared" si="25"/>
        <v>1.333E-3</v>
      </c>
      <c r="AY121">
        <f t="shared" si="25"/>
        <v>2.0839999999999999E-3</v>
      </c>
      <c r="AZ121">
        <f t="shared" si="25"/>
        <v>2.117E-3</v>
      </c>
      <c r="BA121">
        <f t="shared" si="25"/>
        <v>2.3839999999999998E-3</v>
      </c>
      <c r="BB121">
        <f t="shared" si="25"/>
        <v>2.6509999999999997E-3</v>
      </c>
      <c r="BC121">
        <f t="shared" si="25"/>
        <v>1.833E-3</v>
      </c>
      <c r="BD121">
        <f t="shared" si="25"/>
        <v>1.524E-3</v>
      </c>
      <c r="BE121">
        <f t="shared" si="25"/>
        <v>1.505E-3</v>
      </c>
      <c r="BF121">
        <f t="shared" si="25"/>
        <v>2.0170000000000001E-3</v>
      </c>
      <c r="BG121">
        <f t="shared" si="25"/>
        <v>9.459999999999999E-4</v>
      </c>
      <c r="BH121">
        <f t="shared" si="25"/>
        <v>1.3760000000000001E-3</v>
      </c>
      <c r="BI121">
        <f t="shared" si="25"/>
        <v>6.150000000000001E-4</v>
      </c>
      <c r="BJ121">
        <f t="shared" si="25"/>
        <v>3.8899999999999997E-4</v>
      </c>
      <c r="BK121">
        <f t="shared" si="25"/>
        <v>9.9999999999999937E-5</v>
      </c>
      <c r="BL121">
        <f t="shared" si="25"/>
        <v>6.5099999999999989E-4</v>
      </c>
      <c r="BM121">
        <f t="shared" si="25"/>
        <v>1.1479999999999999E-3</v>
      </c>
      <c r="BN121">
        <f t="shared" si="25"/>
        <v>7.6999999999999985E-4</v>
      </c>
      <c r="BO121">
        <f t="shared" ref="BO121" si="26">BO104+BO112</f>
        <v>1.0399999999999998E-4</v>
      </c>
      <c r="BP121">
        <f t="shared" si="23"/>
        <v>7.7999999999999999E-5</v>
      </c>
      <c r="BQ121">
        <f t="shared" si="24"/>
        <v>-9.3999999999999981E-5</v>
      </c>
      <c r="BR121">
        <f t="shared" si="24"/>
        <v>-4.6799999999999999E-4</v>
      </c>
      <c r="BS121">
        <f t="shared" si="24"/>
        <v>-4.6100000000000004E-4</v>
      </c>
      <c r="BT121">
        <f t="shared" si="24"/>
        <v>-1.521E-3</v>
      </c>
      <c r="BU121">
        <f t="shared" si="24"/>
        <v>-1.6380000000000001E-3</v>
      </c>
      <c r="BV121">
        <f t="shared" si="24"/>
        <v>-6.3000000000000003E-4</v>
      </c>
      <c r="BW121">
        <f t="shared" si="24"/>
        <v>-3.2279999999999999E-4</v>
      </c>
      <c r="BX121">
        <f t="shared" si="24"/>
        <v>-1.0010000000000002E-3</v>
      </c>
      <c r="BY121">
        <f t="shared" si="24"/>
        <v>-1.1490000000000001E-3</v>
      </c>
      <c r="BZ121">
        <f t="shared" si="24"/>
        <v>-1.2999999999999991E-5</v>
      </c>
      <c r="CA121">
        <f t="shared" si="24"/>
        <v>-9.3099999999999997E-4</v>
      </c>
      <c r="CB121">
        <f t="shared" si="24"/>
        <v>-6.2E-4</v>
      </c>
      <c r="CC121">
        <f t="shared" si="24"/>
        <v>-4.0410000000000001E-4</v>
      </c>
      <c r="CD121">
        <f t="shared" si="24"/>
        <v>-2.9E-4</v>
      </c>
      <c r="CE121">
        <f t="shared" si="24"/>
        <v>-1.3300000000000001E-4</v>
      </c>
      <c r="CF121">
        <f t="shared" si="24"/>
        <v>-7.4100000000000001E-4</v>
      </c>
      <c r="CG121">
        <f t="shared" si="24"/>
        <v>-1.4239999999999999E-3</v>
      </c>
      <c r="CH121">
        <f t="shared" si="24"/>
        <v>-2.6510000000000001E-3</v>
      </c>
      <c r="CI121">
        <f t="shared" si="24"/>
        <v>-1.668E-3</v>
      </c>
      <c r="CJ121">
        <f t="shared" si="24"/>
        <v>-2.483E-3</v>
      </c>
      <c r="CK121">
        <f t="shared" si="24"/>
        <v>-2.4399999999999999E-3</v>
      </c>
      <c r="CL121">
        <f t="shared" si="24"/>
        <v>-2.3570000000000002E-3</v>
      </c>
      <c r="CM121">
        <f t="shared" si="24"/>
        <v>-6.4069999999999995E-3</v>
      </c>
      <c r="CN121">
        <f t="shared" si="24"/>
        <v>-6.4010000000000004E-3</v>
      </c>
      <c r="CO121">
        <f t="shared" si="24"/>
        <v>-5.7929999999999995E-3</v>
      </c>
      <c r="CP121">
        <f t="shared" si="24"/>
        <v>-3.7160000000000001E-3</v>
      </c>
      <c r="CQ121">
        <f t="shared" si="24"/>
        <v>-5.2129999999999998E-3</v>
      </c>
      <c r="CR121">
        <f t="shared" si="24"/>
        <v>-5.3159999999999995E-3</v>
      </c>
      <c r="CS121">
        <f t="shared" si="24"/>
        <v>-5.4510000000000001E-3</v>
      </c>
      <c r="CT121">
        <f t="shared" si="24"/>
        <v>-3.7569999999999999E-3</v>
      </c>
      <c r="CU121">
        <f t="shared" si="24"/>
        <v>-5.9229999999999994E-3</v>
      </c>
      <c r="CV121">
        <f t="shared" si="24"/>
        <v>-4.7000000000000002E-3</v>
      </c>
      <c r="CW121">
        <f t="shared" si="24"/>
        <v>-7.3170000000000006E-3</v>
      </c>
      <c r="CX121">
        <f t="shared" si="24"/>
        <v>-7.8429999999999993E-3</v>
      </c>
    </row>
    <row r="122" spans="1:102" x14ac:dyDescent="0.2">
      <c r="A122" t="s">
        <v>213</v>
      </c>
      <c r="B122" t="s">
        <v>220</v>
      </c>
      <c r="C122" t="s">
        <v>223</v>
      </c>
      <c r="D122">
        <f t="shared" ref="D122:BO124" si="27">D105+D113</f>
        <v>-1.1399999999999999E-2</v>
      </c>
      <c r="E122">
        <f t="shared" si="27"/>
        <v>-5.2830000000000002E-2</v>
      </c>
      <c r="F122">
        <f t="shared" si="27"/>
        <v>-0.13022</v>
      </c>
      <c r="G122">
        <f t="shared" si="27"/>
        <v>1.8919999999999999E-2</v>
      </c>
      <c r="H122">
        <f t="shared" si="27"/>
        <v>-0.15171999999999999</v>
      </c>
      <c r="I122">
        <f t="shared" si="27"/>
        <v>-2.555E-2</v>
      </c>
      <c r="J122">
        <f t="shared" si="27"/>
        <v>-6.6820000000000004E-2</v>
      </c>
      <c r="K122">
        <f t="shared" si="27"/>
        <v>-3.0150000000000003E-2</v>
      </c>
      <c r="L122">
        <f t="shared" si="27"/>
        <v>-1.482E-2</v>
      </c>
      <c r="M122">
        <f t="shared" si="27"/>
        <v>-3.891E-2</v>
      </c>
      <c r="N122">
        <f t="shared" si="27"/>
        <v>-0.11321000000000001</v>
      </c>
      <c r="O122">
        <f t="shared" si="27"/>
        <v>5.638E-2</v>
      </c>
      <c r="P122">
        <f t="shared" si="27"/>
        <v>2.9039999999999996E-2</v>
      </c>
      <c r="Q122">
        <f t="shared" si="27"/>
        <v>-3.6920000000000001E-2</v>
      </c>
      <c r="R122">
        <f t="shared" si="27"/>
        <v>-3.7580000000000002E-2</v>
      </c>
      <c r="S122">
        <f t="shared" si="27"/>
        <v>-2.5900000000000003E-2</v>
      </c>
      <c r="T122">
        <f t="shared" si="27"/>
        <v>-2.7900000000000001E-2</v>
      </c>
      <c r="U122">
        <f t="shared" si="27"/>
        <v>-4.7849999999999997E-2</v>
      </c>
      <c r="V122">
        <f t="shared" si="27"/>
        <v>-2.444E-2</v>
      </c>
      <c r="W122">
        <f t="shared" si="27"/>
        <v>-1.0149999999999999E-2</v>
      </c>
      <c r="X122">
        <f t="shared" si="27"/>
        <v>4.2899999999999995E-3</v>
      </c>
      <c r="Y122">
        <f t="shared" si="27"/>
        <v>2.3205E-2</v>
      </c>
      <c r="Z122">
        <f t="shared" si="27"/>
        <v>2.3205E-2</v>
      </c>
      <c r="AA122">
        <f t="shared" si="27"/>
        <v>-6.510000000000001E-4</v>
      </c>
      <c r="AB122">
        <f t="shared" si="27"/>
        <v>-7.5299999999999994E-3</v>
      </c>
      <c r="AC122">
        <f t="shared" si="27"/>
        <v>-7.4600000000000005E-3</v>
      </c>
      <c r="AD122">
        <f t="shared" si="27"/>
        <v>-6.0199999999999993E-3</v>
      </c>
      <c r="AE122">
        <f t="shared" si="27"/>
        <v>-9.783E-3</v>
      </c>
      <c r="AF122">
        <f t="shared" si="27"/>
        <v>-6.4719999999999995E-3</v>
      </c>
      <c r="AG122">
        <f t="shared" si="27"/>
        <v>-7.7000000000000028E-5</v>
      </c>
      <c r="AH122">
        <f t="shared" si="27"/>
        <v>-3.7369999999999999E-3</v>
      </c>
      <c r="AI122">
        <f t="shared" si="27"/>
        <v>-1.4157999999999999E-2</v>
      </c>
      <c r="AJ122">
        <f t="shared" si="27"/>
        <v>-9.9599999999999992E-4</v>
      </c>
      <c r="AK122">
        <f t="shared" si="27"/>
        <v>1.4030000000000002E-3</v>
      </c>
      <c r="AL122">
        <f t="shared" si="27"/>
        <v>-7.0910000000000001E-3</v>
      </c>
      <c r="AM122">
        <f t="shared" si="27"/>
        <v>-1.3699999999999997E-4</v>
      </c>
      <c r="AN122">
        <f t="shared" si="27"/>
        <v>9.4260000000000004E-3</v>
      </c>
      <c r="AO122">
        <f t="shared" si="27"/>
        <v>1.0441000000000001E-2</v>
      </c>
      <c r="AP122">
        <f t="shared" si="27"/>
        <v>7.7860000000000004E-3</v>
      </c>
      <c r="AQ122">
        <f t="shared" si="27"/>
        <v>1.833E-3</v>
      </c>
      <c r="AR122">
        <f t="shared" si="27"/>
        <v>-2.8320000000000003E-3</v>
      </c>
      <c r="AS122">
        <f t="shared" si="27"/>
        <v>4.1219999999999998E-3</v>
      </c>
      <c r="AT122">
        <f t="shared" si="27"/>
        <v>1.8901000000000001E-2</v>
      </c>
      <c r="AU122">
        <f t="shared" si="27"/>
        <v>2.0516000000000003E-2</v>
      </c>
      <c r="AV122">
        <f t="shared" si="27"/>
        <v>-1.1800000000000001E-3</v>
      </c>
      <c r="AW122">
        <f t="shared" si="27"/>
        <v>-7.4420000000000007E-3</v>
      </c>
      <c r="AX122">
        <f t="shared" si="27"/>
        <v>1.8600000000000001E-3</v>
      </c>
      <c r="AY122">
        <f t="shared" si="27"/>
        <v>-1.5820000000000001E-3</v>
      </c>
      <c r="AZ122">
        <f t="shared" si="27"/>
        <v>2.2209999999999999E-3</v>
      </c>
      <c r="BA122">
        <f t="shared" si="27"/>
        <v>4.6440000000000006E-3</v>
      </c>
      <c r="BB122">
        <f t="shared" si="27"/>
        <v>1.0478000000000001E-2</v>
      </c>
      <c r="BC122">
        <f t="shared" si="27"/>
        <v>6.4569999999999992E-3</v>
      </c>
      <c r="BD122">
        <f t="shared" si="27"/>
        <v>2.1325E-2</v>
      </c>
      <c r="BE122">
        <f t="shared" si="27"/>
        <v>2.2232999999999999E-2</v>
      </c>
      <c r="BF122">
        <f t="shared" si="27"/>
        <v>2.8882000000000001E-2</v>
      </c>
      <c r="BG122">
        <f t="shared" si="27"/>
        <v>1.7655000000000001E-2</v>
      </c>
      <c r="BH122">
        <f t="shared" si="27"/>
        <v>1.4631999999999999E-2</v>
      </c>
      <c r="BI122">
        <f t="shared" si="27"/>
        <v>1.9002999999999999E-2</v>
      </c>
      <c r="BJ122">
        <f t="shared" si="27"/>
        <v>1.5196000000000001E-2</v>
      </c>
      <c r="BK122">
        <f t="shared" si="27"/>
        <v>1.9435999999999998E-2</v>
      </c>
      <c r="BL122">
        <f t="shared" si="27"/>
        <v>6.4060000000000002E-3</v>
      </c>
      <c r="BM122">
        <f t="shared" si="27"/>
        <v>4.7939999999999997E-3</v>
      </c>
      <c r="BN122">
        <f t="shared" si="27"/>
        <v>7.9506000000000004E-3</v>
      </c>
      <c r="BO122">
        <f t="shared" si="27"/>
        <v>1.25836E-2</v>
      </c>
      <c r="BP122">
        <f t="shared" si="23"/>
        <v>1.79326E-2</v>
      </c>
      <c r="BQ122">
        <f t="shared" si="24"/>
        <v>1.4198590000000001E-2</v>
      </c>
      <c r="BR122">
        <f t="shared" si="24"/>
        <v>2.88478E-2</v>
      </c>
      <c r="BS122">
        <f t="shared" si="24"/>
        <v>1.8709900000000002E-2</v>
      </c>
      <c r="BT122">
        <f t="shared" si="24"/>
        <v>1.2442E-2</v>
      </c>
      <c r="BU122">
        <f t="shared" si="24"/>
        <v>1.3637E-2</v>
      </c>
      <c r="BV122">
        <f t="shared" si="24"/>
        <v>3.669E-3</v>
      </c>
      <c r="BW122">
        <f t="shared" si="24"/>
        <v>2.209E-3</v>
      </c>
      <c r="BX122">
        <f t="shared" si="24"/>
        <v>2.3327300000000002E-2</v>
      </c>
      <c r="BY122">
        <f t="shared" si="24"/>
        <v>1.7170999999999999E-2</v>
      </c>
      <c r="BZ122">
        <f t="shared" si="24"/>
        <v>1.1167E-2</v>
      </c>
      <c r="CA122">
        <f t="shared" si="24"/>
        <v>2.4990999999999999E-2</v>
      </c>
      <c r="CB122">
        <f t="shared" si="24"/>
        <v>1.88164E-2</v>
      </c>
      <c r="CC122">
        <f t="shared" si="24"/>
        <v>7.2100000000000007E-4</v>
      </c>
      <c r="CD122">
        <f t="shared" si="24"/>
        <v>1.0803500000000001E-2</v>
      </c>
      <c r="CE122">
        <f t="shared" si="24"/>
        <v>1.1913400000000001E-2</v>
      </c>
      <c r="CF122">
        <f t="shared" si="24"/>
        <v>2.5905999999999998E-2</v>
      </c>
      <c r="CG122">
        <f t="shared" si="24"/>
        <v>2.1359999999999997E-2</v>
      </c>
      <c r="CH122">
        <f t="shared" si="24"/>
        <v>2.7387000000000002E-2</v>
      </c>
      <c r="CI122">
        <f t="shared" si="24"/>
        <v>2.0726999999999999E-2</v>
      </c>
      <c r="CJ122">
        <f t="shared" si="24"/>
        <v>1.0666E-2</v>
      </c>
      <c r="CK122">
        <f t="shared" si="24"/>
        <v>2.9732600000000001E-2</v>
      </c>
      <c r="CL122">
        <f t="shared" si="24"/>
        <v>3.2851100000000001E-2</v>
      </c>
      <c r="CM122">
        <f t="shared" si="24"/>
        <v>1.7905000000000001E-2</v>
      </c>
      <c r="CN122">
        <f t="shared" si="24"/>
        <v>-1.732E-3</v>
      </c>
      <c r="CO122">
        <f t="shared" si="24"/>
        <v>6.1270000000000005E-3</v>
      </c>
      <c r="CP122">
        <f t="shared" si="24"/>
        <v>4.7829999999999999E-3</v>
      </c>
      <c r="CQ122">
        <f t="shared" si="24"/>
        <v>2.9E-4</v>
      </c>
      <c r="CR122">
        <f t="shared" si="24"/>
        <v>-1.1525000000000001E-2</v>
      </c>
      <c r="CS122">
        <f t="shared" si="24"/>
        <v>-7.7689999999999999E-3</v>
      </c>
      <c r="CT122">
        <f t="shared" si="24"/>
        <v>-7.6700000000000006E-3</v>
      </c>
      <c r="CU122">
        <f t="shared" si="24"/>
        <v>3.7890000000000003E-3</v>
      </c>
      <c r="CV122">
        <f t="shared" si="24"/>
        <v>4.8299999999999998E-4</v>
      </c>
      <c r="CW122">
        <f t="shared" si="24"/>
        <v>-3.7328E-2</v>
      </c>
      <c r="CX122">
        <f t="shared" si="24"/>
        <v>-8.3124999999999991E-2</v>
      </c>
    </row>
    <row r="123" spans="1:102" x14ac:dyDescent="0.2">
      <c r="A123" t="s">
        <v>214</v>
      </c>
      <c r="B123" t="s">
        <v>220</v>
      </c>
      <c r="C123" t="s">
        <v>223</v>
      </c>
      <c r="D123">
        <f t="shared" si="27"/>
        <v>1.4388E-2</v>
      </c>
      <c r="E123">
        <f t="shared" si="27"/>
        <v>-1.3889999999999998E-3</v>
      </c>
      <c r="F123">
        <f t="shared" si="27"/>
        <v>-7.0889999999999989E-3</v>
      </c>
      <c r="G123">
        <f t="shared" si="27"/>
        <v>8.1419999999999999E-3</v>
      </c>
      <c r="H123">
        <f t="shared" si="27"/>
        <v>-2.7495000000000002E-2</v>
      </c>
      <c r="I123">
        <f t="shared" si="27"/>
        <v>-2.2471000000000001E-2</v>
      </c>
      <c r="J123">
        <f t="shared" si="27"/>
        <v>-1.9824999999999999E-2</v>
      </c>
      <c r="K123">
        <f t="shared" si="27"/>
        <v>-1.6899000000000001E-2</v>
      </c>
      <c r="L123">
        <f t="shared" si="27"/>
        <v>-1.3054E-2</v>
      </c>
      <c r="M123">
        <f t="shared" si="27"/>
        <v>-1.2508E-2</v>
      </c>
      <c r="N123">
        <f t="shared" si="27"/>
        <v>-1.2428E-2</v>
      </c>
      <c r="O123">
        <f t="shared" si="27"/>
        <v>-1.8800000000000007E-4</v>
      </c>
      <c r="P123">
        <f t="shared" si="27"/>
        <v>-1.1101999999999999E-2</v>
      </c>
      <c r="Q123">
        <f t="shared" si="27"/>
        <v>-3.7040000000000003E-3</v>
      </c>
      <c r="R123">
        <f t="shared" si="27"/>
        <v>-2.7130000000000001E-3</v>
      </c>
      <c r="S123">
        <f t="shared" si="27"/>
        <v>-2.5900000000000003E-3</v>
      </c>
      <c r="T123">
        <f t="shared" si="27"/>
        <v>5.9399999999999991E-4</v>
      </c>
      <c r="U123">
        <f t="shared" si="27"/>
        <v>-4.555E-3</v>
      </c>
      <c r="V123">
        <f t="shared" si="27"/>
        <v>-3.3629999999999997E-3</v>
      </c>
      <c r="W123">
        <f t="shared" si="27"/>
        <v>-3.3960000000000001E-3</v>
      </c>
      <c r="X123">
        <f t="shared" si="27"/>
        <v>-3.1000000000000003E-3</v>
      </c>
      <c r="Y123">
        <f t="shared" si="27"/>
        <v>-1.7540000000000001E-3</v>
      </c>
      <c r="Z123">
        <f t="shared" si="27"/>
        <v>1.81E-3</v>
      </c>
      <c r="AA123">
        <f t="shared" si="27"/>
        <v>3.078E-3</v>
      </c>
      <c r="AB123">
        <f t="shared" si="27"/>
        <v>-5.7860000000000003E-3</v>
      </c>
      <c r="AC123">
        <f t="shared" si="27"/>
        <v>-6.7100000000000005E-4</v>
      </c>
      <c r="AD123">
        <f t="shared" si="27"/>
        <v>-3.0799999999999995E-4</v>
      </c>
      <c r="AE123">
        <f t="shared" si="27"/>
        <v>-3.2899999999999997E-4</v>
      </c>
      <c r="AF123">
        <f t="shared" si="27"/>
        <v>-7.3039999999999997E-3</v>
      </c>
      <c r="AG123">
        <f t="shared" si="27"/>
        <v>-3.4000000000000002E-3</v>
      </c>
      <c r="AH123">
        <f t="shared" si="27"/>
        <v>-4.0359999999999997E-3</v>
      </c>
      <c r="AI123">
        <f t="shared" si="27"/>
        <v>-1.307E-3</v>
      </c>
      <c r="AJ123">
        <f t="shared" si="27"/>
        <v>-3.7149999999999996E-3</v>
      </c>
      <c r="AK123">
        <f t="shared" si="27"/>
        <v>-3.277E-3</v>
      </c>
      <c r="AL123">
        <f t="shared" si="27"/>
        <v>-3.441E-3</v>
      </c>
      <c r="AM123">
        <f t="shared" si="27"/>
        <v>-2.2670000000000004E-3</v>
      </c>
      <c r="AN123">
        <f t="shared" si="27"/>
        <v>-8.8800000000000001E-4</v>
      </c>
      <c r="AO123">
        <f t="shared" si="27"/>
        <v>2.3960000000000001E-3</v>
      </c>
      <c r="AP123">
        <f t="shared" si="27"/>
        <v>-5.4199999999999995E-3</v>
      </c>
      <c r="AQ123">
        <f t="shared" si="27"/>
        <v>-3.3679999999999999E-3</v>
      </c>
      <c r="AR123">
        <f t="shared" si="27"/>
        <v>-2.9380000000000001E-3</v>
      </c>
      <c r="AS123">
        <f t="shared" si="27"/>
        <v>-1.8419999999999999E-3</v>
      </c>
      <c r="AT123">
        <f t="shared" si="27"/>
        <v>-2.7699999999999999E-3</v>
      </c>
      <c r="AU123">
        <f t="shared" si="27"/>
        <v>-2.0070000000000001E-3</v>
      </c>
      <c r="AV123">
        <f t="shared" si="27"/>
        <v>-2.6870000000000002E-3</v>
      </c>
      <c r="AW123">
        <f t="shared" si="27"/>
        <v>-3.8099999999999999E-4</v>
      </c>
      <c r="AX123">
        <f t="shared" si="27"/>
        <v>-3.741E-3</v>
      </c>
      <c r="AY123">
        <f t="shared" si="27"/>
        <v>-3.32E-3</v>
      </c>
      <c r="AZ123">
        <f t="shared" si="27"/>
        <v>-3.1490000000000003E-3</v>
      </c>
      <c r="BA123">
        <f t="shared" si="27"/>
        <v>-2.477E-3</v>
      </c>
      <c r="BB123">
        <f t="shared" si="27"/>
        <v>-2.7550000000000001E-3</v>
      </c>
      <c r="BC123">
        <f t="shared" si="27"/>
        <v>-2.1379999999999997E-3</v>
      </c>
      <c r="BD123">
        <f t="shared" si="27"/>
        <v>-3.0369999999999998E-3</v>
      </c>
      <c r="BE123">
        <f t="shared" si="27"/>
        <v>-2.8649999999999999E-3</v>
      </c>
      <c r="BF123">
        <f t="shared" si="27"/>
        <v>-3.6220000000000002E-3</v>
      </c>
      <c r="BG123">
        <f t="shared" si="27"/>
        <v>-3.8569999999999998E-3</v>
      </c>
      <c r="BH123">
        <f t="shared" si="27"/>
        <v>-4.1900000000000001E-3</v>
      </c>
      <c r="BI123">
        <f t="shared" si="27"/>
        <v>-3.6360000000000003E-3</v>
      </c>
      <c r="BJ123">
        <f t="shared" si="27"/>
        <v>-3.8529999999999997E-3</v>
      </c>
      <c r="BK123">
        <f t="shared" si="27"/>
        <v>-2.758E-3</v>
      </c>
      <c r="BL123">
        <f t="shared" si="27"/>
        <v>-3.2330000000000002E-3</v>
      </c>
      <c r="BM123">
        <f t="shared" si="27"/>
        <v>-1.885E-3</v>
      </c>
      <c r="BN123">
        <f t="shared" si="27"/>
        <v>-1.5409999999999998E-3</v>
      </c>
      <c r="BO123">
        <f t="shared" si="27"/>
        <v>-2.5969999999999999E-3</v>
      </c>
      <c r="BP123">
        <f t="shared" si="23"/>
        <v>-3.0639999999999999E-3</v>
      </c>
      <c r="BQ123">
        <f t="shared" si="24"/>
        <v>6.4199999999999999E-4</v>
      </c>
      <c r="BR123">
        <f t="shared" si="24"/>
        <v>1.4532E-2</v>
      </c>
      <c r="BS123">
        <f t="shared" si="24"/>
        <v>3.901E-3</v>
      </c>
      <c r="BT123">
        <f t="shared" si="24"/>
        <v>-1.9999999999999998E-5</v>
      </c>
      <c r="BU123">
        <f t="shared" si="24"/>
        <v>-6.5600000000000012E-4</v>
      </c>
      <c r="BV123">
        <f t="shared" si="24"/>
        <v>-2.238E-3</v>
      </c>
      <c r="BW123">
        <f t="shared" si="24"/>
        <v>-1.56E-3</v>
      </c>
      <c r="BX123">
        <f t="shared" si="24"/>
        <v>-3.2049999999999999E-3</v>
      </c>
      <c r="BY123">
        <f t="shared" si="24"/>
        <v>-3.016E-3</v>
      </c>
      <c r="BZ123">
        <f t="shared" si="24"/>
        <v>3.1290000000000003E-3</v>
      </c>
      <c r="CA123">
        <f t="shared" si="24"/>
        <v>-1.555E-3</v>
      </c>
      <c r="CB123">
        <f t="shared" si="24"/>
        <v>-7.2500000000000006E-4</v>
      </c>
      <c r="CC123">
        <f t="shared" si="24"/>
        <v>6.0800000000000003E-4</v>
      </c>
      <c r="CD123">
        <f t="shared" si="24"/>
        <v>-1.438E-3</v>
      </c>
      <c r="CE123">
        <f t="shared" si="24"/>
        <v>-1.562E-3</v>
      </c>
      <c r="CF123">
        <f t="shared" si="24"/>
        <v>1.2709999999999999E-2</v>
      </c>
      <c r="CG123">
        <f t="shared" si="24"/>
        <v>-1.46E-4</v>
      </c>
      <c r="CH123">
        <f t="shared" si="24"/>
        <v>1.444E-3</v>
      </c>
      <c r="CI123">
        <f t="shared" si="24"/>
        <v>-2.1210000000000001E-3</v>
      </c>
      <c r="CJ123">
        <f t="shared" si="24"/>
        <v>1.0790000000000001E-3</v>
      </c>
      <c r="CK123">
        <f t="shared" si="24"/>
        <v>-7.1700000000000008E-4</v>
      </c>
      <c r="CL123">
        <f t="shared" si="24"/>
        <v>-2.63E-4</v>
      </c>
      <c r="CM123">
        <f t="shared" si="24"/>
        <v>-1.0058999999999998E-2</v>
      </c>
      <c r="CN123">
        <f t="shared" si="24"/>
        <v>-4.0712000000000005E-3</v>
      </c>
      <c r="CO123">
        <f t="shared" si="24"/>
        <v>-2.6742000000000003E-3</v>
      </c>
      <c r="CP123">
        <f t="shared" si="24"/>
        <v>8.7310000000000009E-3</v>
      </c>
      <c r="CQ123">
        <f t="shared" si="24"/>
        <v>3.7007999999999997E-3</v>
      </c>
      <c r="CR123">
        <f t="shared" si="24"/>
        <v>1.0795000000000001E-2</v>
      </c>
      <c r="CS123">
        <f t="shared" si="24"/>
        <v>6.496E-3</v>
      </c>
      <c r="CT123">
        <f t="shared" si="24"/>
        <v>3.7000000000000005E-4</v>
      </c>
      <c r="CU123">
        <f t="shared" si="24"/>
        <v>-1.3963E-2</v>
      </c>
      <c r="CV123">
        <f t="shared" si="24"/>
        <v>-1.311E-2</v>
      </c>
      <c r="CW123">
        <f t="shared" si="24"/>
        <v>-1.208E-2</v>
      </c>
      <c r="CX123">
        <f t="shared" si="24"/>
        <v>-1.5297E-2</v>
      </c>
    </row>
    <row r="124" spans="1:102" x14ac:dyDescent="0.2">
      <c r="A124" t="s">
        <v>215</v>
      </c>
      <c r="B124" t="s">
        <v>220</v>
      </c>
      <c r="C124" t="s">
        <v>223</v>
      </c>
      <c r="D124">
        <f t="shared" si="27"/>
        <v>5.7699999999999994E-2</v>
      </c>
      <c r="E124">
        <f t="shared" si="27"/>
        <v>3.8629999999999998E-2</v>
      </c>
      <c r="F124">
        <f t="shared" si="27"/>
        <v>3.637E-2</v>
      </c>
      <c r="G124">
        <f t="shared" si="27"/>
        <v>2.4799999999999996E-3</v>
      </c>
      <c r="H124">
        <f t="shared" si="27"/>
        <v>-4.8860000000000001E-2</v>
      </c>
      <c r="I124">
        <f t="shared" si="27"/>
        <v>-6.2071899999999999E-2</v>
      </c>
      <c r="J124">
        <f t="shared" si="27"/>
        <v>-5.4100000000000002E-2</v>
      </c>
      <c r="K124">
        <f t="shared" si="27"/>
        <v>-4.342E-2</v>
      </c>
      <c r="L124">
        <f t="shared" si="27"/>
        <v>-3.9489999999999997E-2</v>
      </c>
      <c r="M124">
        <f t="shared" si="27"/>
        <v>-3.209E-2</v>
      </c>
      <c r="N124">
        <f t="shared" si="27"/>
        <v>-3.73E-2</v>
      </c>
      <c r="O124">
        <f t="shared" si="27"/>
        <v>-2.8369999999999999E-2</v>
      </c>
      <c r="P124">
        <f t="shared" si="27"/>
        <v>-3.61E-2</v>
      </c>
      <c r="Q124">
        <f t="shared" si="27"/>
        <v>-2.794E-2</v>
      </c>
      <c r="R124">
        <f t="shared" si="27"/>
        <v>-2.895E-2</v>
      </c>
      <c r="S124">
        <f t="shared" si="27"/>
        <v>-2.477E-2</v>
      </c>
      <c r="T124">
        <f t="shared" si="27"/>
        <v>-1.7939999999999998E-2</v>
      </c>
      <c r="U124">
        <f t="shared" si="27"/>
        <v>-1.1649999999999999E-2</v>
      </c>
      <c r="V124">
        <f t="shared" si="27"/>
        <v>-1.1990000000000001E-2</v>
      </c>
      <c r="W124">
        <f t="shared" si="27"/>
        <v>-9.9300000000000013E-3</v>
      </c>
      <c r="X124">
        <f t="shared" si="27"/>
        <v>-8.0600000000000012E-3</v>
      </c>
      <c r="Y124">
        <f t="shared" si="27"/>
        <v>-7.7299999999999999E-3</v>
      </c>
      <c r="Z124">
        <f t="shared" si="27"/>
        <v>-9.9600000000000001E-3</v>
      </c>
      <c r="AA124">
        <f t="shared" si="27"/>
        <v>-4.0299999999999997E-3</v>
      </c>
      <c r="AB124">
        <f t="shared" si="27"/>
        <v>-4.81E-3</v>
      </c>
      <c r="AC124">
        <f t="shared" si="27"/>
        <v>-1.2599999999999998E-3</v>
      </c>
      <c r="AD124">
        <f t="shared" si="27"/>
        <v>-2.7299999999999998E-3</v>
      </c>
      <c r="AE124">
        <f t="shared" si="27"/>
        <v>-4.2100000000000002E-3</v>
      </c>
      <c r="AF124">
        <f t="shared" si="27"/>
        <v>-2.6400000000000004E-3</v>
      </c>
      <c r="AG124">
        <f t="shared" si="27"/>
        <v>-2E-3</v>
      </c>
      <c r="AH124">
        <f t="shared" si="27"/>
        <v>-3.82E-3</v>
      </c>
      <c r="AI124">
        <f t="shared" si="27"/>
        <v>-4.7399999999999994E-3</v>
      </c>
      <c r="AJ124">
        <f t="shared" si="27"/>
        <v>-4.6699999999999997E-3</v>
      </c>
      <c r="AK124">
        <f t="shared" si="27"/>
        <v>2.0958999999999999E-3</v>
      </c>
      <c r="AL124">
        <f t="shared" si="27"/>
        <v>1.9880000000000002E-3</v>
      </c>
      <c r="AM124">
        <f t="shared" si="27"/>
        <v>3.2110000000000003E-3</v>
      </c>
      <c r="AN124">
        <f t="shared" si="27"/>
        <v>7.8399999999999997E-3</v>
      </c>
      <c r="AO124">
        <f t="shared" si="27"/>
        <v>7.3499999999999998E-3</v>
      </c>
      <c r="AP124">
        <f t="shared" si="27"/>
        <v>8.0299999999999989E-3</v>
      </c>
      <c r="AQ124">
        <f t="shared" si="27"/>
        <v>6.0499999999999998E-3</v>
      </c>
      <c r="AR124">
        <f t="shared" si="27"/>
        <v>1.8049999999999997E-3</v>
      </c>
      <c r="AS124">
        <f t="shared" si="27"/>
        <v>2.2980000000000001E-3</v>
      </c>
      <c r="AT124">
        <f t="shared" si="27"/>
        <v>3.1770000000000001E-3</v>
      </c>
      <c r="AU124">
        <f t="shared" si="27"/>
        <v>2.5969999999999999E-3</v>
      </c>
      <c r="AV124">
        <f t="shared" si="27"/>
        <v>7.1000000000000004E-3</v>
      </c>
      <c r="AW124">
        <f t="shared" si="27"/>
        <v>6.6999999999999994E-3</v>
      </c>
      <c r="AX124">
        <f t="shared" si="27"/>
        <v>8.0299999999999989E-3</v>
      </c>
      <c r="AY124">
        <f t="shared" si="27"/>
        <v>7.980000000000001E-3</v>
      </c>
      <c r="AZ124">
        <f t="shared" si="27"/>
        <v>7.0100000000000006E-3</v>
      </c>
      <c r="BA124">
        <f t="shared" si="27"/>
        <v>5.0899999999999999E-3</v>
      </c>
      <c r="BB124">
        <f t="shared" si="27"/>
        <v>6.9200000000000008E-3</v>
      </c>
      <c r="BC124">
        <f t="shared" si="27"/>
        <v>4.7499999999999999E-3</v>
      </c>
      <c r="BD124">
        <f t="shared" si="27"/>
        <v>7.1000000000000004E-3</v>
      </c>
      <c r="BE124">
        <f t="shared" si="27"/>
        <v>8.0000000000000002E-3</v>
      </c>
      <c r="BF124">
        <f t="shared" si="27"/>
        <v>5.5099999999999993E-3</v>
      </c>
      <c r="BG124">
        <f t="shared" si="27"/>
        <v>3.9100000000000003E-3</v>
      </c>
      <c r="BH124">
        <f t="shared" si="27"/>
        <v>1.1089999999999999E-2</v>
      </c>
      <c r="BI124">
        <f t="shared" si="27"/>
        <v>1.265E-2</v>
      </c>
      <c r="BJ124">
        <f t="shared" si="27"/>
        <v>1.133E-2</v>
      </c>
      <c r="BK124">
        <f t="shared" si="27"/>
        <v>1.073E-2</v>
      </c>
      <c r="BL124">
        <f t="shared" si="27"/>
        <v>4.8799999999999998E-3</v>
      </c>
      <c r="BM124">
        <f t="shared" si="27"/>
        <v>6.6400000000000001E-3</v>
      </c>
      <c r="BN124">
        <f t="shared" si="27"/>
        <v>1.0159999999999999E-2</v>
      </c>
      <c r="BO124">
        <f t="shared" si="27"/>
        <v>1.2240000000000001E-2</v>
      </c>
      <c r="BP124">
        <f t="shared" si="23"/>
        <v>0.01</v>
      </c>
      <c r="BQ124">
        <f t="shared" si="24"/>
        <v>1.0450000000000001E-2</v>
      </c>
      <c r="BR124">
        <f t="shared" si="24"/>
        <v>2.1170000000000001E-2</v>
      </c>
      <c r="BS124">
        <f t="shared" si="24"/>
        <v>1.8319999999999999E-2</v>
      </c>
      <c r="BT124">
        <f t="shared" si="24"/>
        <v>1.8359999999999998E-2</v>
      </c>
      <c r="BU124">
        <f t="shared" si="24"/>
        <v>2.0330000000000001E-2</v>
      </c>
      <c r="BV124">
        <f t="shared" si="24"/>
        <v>1.907E-2</v>
      </c>
      <c r="BW124">
        <f t="shared" si="24"/>
        <v>2.3189999999999999E-2</v>
      </c>
      <c r="BX124">
        <f t="shared" si="24"/>
        <v>2.445E-2</v>
      </c>
      <c r="BY124">
        <f t="shared" si="24"/>
        <v>2.6579999999999999E-2</v>
      </c>
      <c r="BZ124">
        <f t="shared" si="24"/>
        <v>3.7620000000000001E-2</v>
      </c>
      <c r="CA124">
        <f t="shared" si="24"/>
        <v>2.273E-2</v>
      </c>
      <c r="CB124">
        <f t="shared" si="24"/>
        <v>1.7919999999999998E-2</v>
      </c>
      <c r="CC124">
        <f t="shared" si="24"/>
        <v>1.6039999999999999E-2</v>
      </c>
      <c r="CD124">
        <f t="shared" si="24"/>
        <v>2.001E-2</v>
      </c>
      <c r="CE124">
        <f t="shared" si="24"/>
        <v>1.873E-2</v>
      </c>
      <c r="CF124">
        <f t="shared" si="24"/>
        <v>1.5910000000000001E-2</v>
      </c>
      <c r="CG124">
        <f t="shared" si="24"/>
        <v>1.704E-2</v>
      </c>
      <c r="CH124">
        <f t="shared" ref="CH124:CX124" si="28">CH107+CH115</f>
        <v>2.1780000000000001E-2</v>
      </c>
      <c r="CI124">
        <f t="shared" si="28"/>
        <v>3.4759999999999999E-2</v>
      </c>
      <c r="CJ124">
        <f t="shared" si="28"/>
        <v>2.7180000000000003E-2</v>
      </c>
      <c r="CK124">
        <f t="shared" si="28"/>
        <v>2.4380000000000002E-2</v>
      </c>
      <c r="CL124">
        <f t="shared" si="28"/>
        <v>2.103E-2</v>
      </c>
      <c r="CM124">
        <f t="shared" si="28"/>
        <v>2.7440000000000003E-2</v>
      </c>
      <c r="CN124">
        <f t="shared" si="28"/>
        <v>2.6879999999999998E-2</v>
      </c>
      <c r="CO124">
        <f t="shared" si="28"/>
        <v>2.9579999999999999E-2</v>
      </c>
      <c r="CP124">
        <f t="shared" si="28"/>
        <v>3.7039999999999997E-2</v>
      </c>
      <c r="CQ124">
        <f t="shared" si="28"/>
        <v>3.0640000000000001E-2</v>
      </c>
      <c r="CR124">
        <f t="shared" si="28"/>
        <v>5.9880000000000003E-2</v>
      </c>
      <c r="CS124">
        <f t="shared" si="28"/>
        <v>-5.62E-3</v>
      </c>
      <c r="CT124">
        <f t="shared" si="28"/>
        <v>-6.0599999999999994E-3</v>
      </c>
      <c r="CU124">
        <f t="shared" si="28"/>
        <v>-1.627E-2</v>
      </c>
      <c r="CV124">
        <f t="shared" si="28"/>
        <v>-1.634E-2</v>
      </c>
      <c r="CW124">
        <f t="shared" si="28"/>
        <v>1.6050000000000002E-2</v>
      </c>
      <c r="CX124">
        <f t="shared" si="28"/>
        <v>2.1583000000000001E-2</v>
      </c>
    </row>
    <row r="125" spans="1:102" x14ac:dyDescent="0.2">
      <c r="A125" t="s">
        <v>216</v>
      </c>
      <c r="B125" t="s">
        <v>220</v>
      </c>
      <c r="C125" t="s">
        <v>223</v>
      </c>
      <c r="D125">
        <f>D116</f>
        <v>-0.13400000000000001</v>
      </c>
      <c r="E125">
        <f t="shared" ref="E125:BP125" si="29">E116</f>
        <v>0.71199999999999997</v>
      </c>
      <c r="F125">
        <f t="shared" si="29"/>
        <v>1.1140000000000001</v>
      </c>
      <c r="G125">
        <f t="shared" si="29"/>
        <v>0.13200000000000001</v>
      </c>
      <c r="H125">
        <f t="shared" si="29"/>
        <v>1.2769999999999999</v>
      </c>
      <c r="I125">
        <f t="shared" si="29"/>
        <v>0.58299999999999996</v>
      </c>
      <c r="J125">
        <f t="shared" si="29"/>
        <v>0.76700000000000002</v>
      </c>
      <c r="K125">
        <f t="shared" si="29"/>
        <v>0.56799999999999995</v>
      </c>
      <c r="L125">
        <f t="shared" si="29"/>
        <v>0.40699999999999997</v>
      </c>
      <c r="M125">
        <f t="shared" si="29"/>
        <v>0.51400000000000001</v>
      </c>
      <c r="N125">
        <f t="shared" si="29"/>
        <v>0.75700000000000001</v>
      </c>
      <c r="O125">
        <f t="shared" si="29"/>
        <v>3.2800000000000003E-2</v>
      </c>
      <c r="P125">
        <f t="shared" si="29"/>
        <v>0.193</v>
      </c>
      <c r="Q125">
        <f t="shared" si="29"/>
        <v>0.38800000000000001</v>
      </c>
      <c r="R125">
        <f t="shared" si="29"/>
        <v>0.36199999999999999</v>
      </c>
      <c r="S125">
        <f t="shared" si="29"/>
        <v>0.3</v>
      </c>
      <c r="T125">
        <f t="shared" si="29"/>
        <v>0.23599999999999999</v>
      </c>
      <c r="U125">
        <f t="shared" si="29"/>
        <v>0.34</v>
      </c>
      <c r="V125">
        <f t="shared" si="29"/>
        <v>0.254</v>
      </c>
      <c r="W125">
        <f t="shared" si="29"/>
        <v>0.246</v>
      </c>
      <c r="X125">
        <f t="shared" si="29"/>
        <v>0.23599999999999999</v>
      </c>
      <c r="Y125">
        <f t="shared" si="29"/>
        <v>0.14599999999999999</v>
      </c>
      <c r="Z125">
        <f t="shared" si="29"/>
        <v>0.156</v>
      </c>
      <c r="AA125">
        <f t="shared" si="29"/>
        <v>8.3400000000000002E-2</v>
      </c>
      <c r="AB125">
        <f t="shared" si="29"/>
        <v>9.8100000000000007E-2</v>
      </c>
      <c r="AC125">
        <f t="shared" si="29"/>
        <v>0.108</v>
      </c>
      <c r="AD125">
        <f t="shared" si="29"/>
        <v>0.10100000000000001</v>
      </c>
      <c r="AE125">
        <f t="shared" si="29"/>
        <v>0.10100000000000001</v>
      </c>
      <c r="AF125">
        <f t="shared" si="29"/>
        <v>0.11700000000000001</v>
      </c>
      <c r="AG125">
        <f t="shared" si="29"/>
        <v>0.124</v>
      </c>
      <c r="AH125">
        <f t="shared" si="29"/>
        <v>0.14699999999999999</v>
      </c>
      <c r="AI125">
        <f t="shared" si="29"/>
        <v>7.85E-2</v>
      </c>
      <c r="AJ125">
        <f t="shared" si="29"/>
        <v>7.1900000000000006E-2</v>
      </c>
      <c r="AK125">
        <f t="shared" si="29"/>
        <v>6.9400000000000003E-2</v>
      </c>
      <c r="AL125">
        <f t="shared" si="29"/>
        <v>7.2900000000000006E-2</v>
      </c>
      <c r="AM125">
        <f t="shared" si="29"/>
        <v>8.5699999999999998E-2</v>
      </c>
      <c r="AN125">
        <f t="shared" si="29"/>
        <v>2.64E-2</v>
      </c>
      <c r="AO125">
        <f t="shared" si="29"/>
        <v>2.8000000000000001E-2</v>
      </c>
      <c r="AP125">
        <f t="shared" si="29"/>
        <v>5.2299999999999999E-2</v>
      </c>
      <c r="AQ125">
        <f t="shared" si="29"/>
        <v>6.2E-2</v>
      </c>
      <c r="AR125">
        <f t="shared" si="29"/>
        <v>7.5200000000000003E-2</v>
      </c>
      <c r="AS125">
        <f t="shared" si="29"/>
        <v>6.0900000000000003E-2</v>
      </c>
      <c r="AT125">
        <f t="shared" si="29"/>
        <v>5.4100000000000002E-2</v>
      </c>
      <c r="AU125">
        <f t="shared" si="29"/>
        <v>4.6199999999999998E-2</v>
      </c>
      <c r="AV125">
        <f t="shared" si="29"/>
        <v>6.0199999999999997E-2</v>
      </c>
      <c r="AW125">
        <f t="shared" si="29"/>
        <v>4.9500000000000002E-2</v>
      </c>
      <c r="AX125">
        <f t="shared" si="29"/>
        <v>6.8500000000000005E-2</v>
      </c>
      <c r="AY125">
        <f t="shared" si="29"/>
        <v>3.6200000000000003E-2</v>
      </c>
      <c r="AZ125">
        <f t="shared" si="29"/>
        <v>5.33E-2</v>
      </c>
      <c r="BA125">
        <f t="shared" si="29"/>
        <v>4.3499999999999997E-2</v>
      </c>
      <c r="BB125">
        <f t="shared" si="29"/>
        <v>4.6100000000000002E-2</v>
      </c>
      <c r="BC125">
        <f t="shared" si="29"/>
        <v>-9.8700000000000003E-3</v>
      </c>
      <c r="BD125">
        <f t="shared" si="29"/>
        <v>-7.5399999999999998E-3</v>
      </c>
      <c r="BE125">
        <f t="shared" si="29"/>
        <v>-2.2300000000000002E-3</v>
      </c>
      <c r="BF125">
        <f t="shared" si="29"/>
        <v>-2.8000000000000001E-2</v>
      </c>
      <c r="BG125">
        <f t="shared" si="29"/>
        <v>-2.3400000000000001E-2</v>
      </c>
      <c r="BH125">
        <f t="shared" si="29"/>
        <v>-3.6200000000000003E-2</v>
      </c>
      <c r="BI125">
        <f t="shared" si="29"/>
        <v>-4.9899999999999996E-3</v>
      </c>
      <c r="BJ125">
        <f t="shared" si="29"/>
        <v>1.2500000000000001E-2</v>
      </c>
      <c r="BK125">
        <f t="shared" si="29"/>
        <v>2.1600000000000001E-2</v>
      </c>
      <c r="BL125">
        <f t="shared" si="29"/>
        <v>6.4699999999999994E-2</v>
      </c>
      <c r="BM125">
        <f t="shared" si="29"/>
        <v>0.115</v>
      </c>
      <c r="BN125">
        <f t="shared" si="29"/>
        <v>0.114</v>
      </c>
      <c r="BO125">
        <f t="shared" si="29"/>
        <v>6.1100000000000002E-2</v>
      </c>
      <c r="BP125">
        <f t="shared" si="29"/>
        <v>2.0400000000000001E-2</v>
      </c>
      <c r="BQ125">
        <f t="shared" ref="BQ125:CX125" si="30">BQ116</f>
        <v>1.66E-2</v>
      </c>
      <c r="BR125">
        <f t="shared" si="30"/>
        <v>-6.0100000000000001E-2</v>
      </c>
      <c r="BS125">
        <f t="shared" si="30"/>
        <v>-7.0000000000000007E-2</v>
      </c>
      <c r="BT125">
        <f t="shared" si="30"/>
        <v>-0.123</v>
      </c>
      <c r="BU125">
        <f t="shared" si="30"/>
        <v>-0.126</v>
      </c>
      <c r="BV125">
        <f t="shared" si="30"/>
        <v>2.0600000000000002E-3</v>
      </c>
      <c r="BW125">
        <f t="shared" si="30"/>
        <v>6.8900000000000003E-2</v>
      </c>
      <c r="BX125">
        <f t="shared" si="30"/>
        <v>6.8500000000000005E-2</v>
      </c>
      <c r="BY125">
        <f t="shared" si="30"/>
        <v>4.5100000000000001E-2</v>
      </c>
      <c r="BZ125">
        <f t="shared" si="30"/>
        <v>6.1700000000000001E-3</v>
      </c>
      <c r="CA125">
        <f t="shared" si="30"/>
        <v>2.7099999999999999E-2</v>
      </c>
      <c r="CB125">
        <f t="shared" si="30"/>
        <v>2.8299999999999999E-2</v>
      </c>
      <c r="CC125">
        <f t="shared" si="30"/>
        <v>5.33E-2</v>
      </c>
      <c r="CD125">
        <f t="shared" si="30"/>
        <v>1.8800000000000001E-2</v>
      </c>
      <c r="CE125">
        <f t="shared" si="30"/>
        <v>-1.2699999999999999E-2</v>
      </c>
      <c r="CF125">
        <f t="shared" si="30"/>
        <v>-5.8999999999999997E-2</v>
      </c>
      <c r="CG125">
        <f t="shared" si="30"/>
        <v>-0.128</v>
      </c>
      <c r="CH125">
        <f t="shared" si="30"/>
        <v>-9.2399999999999996E-2</v>
      </c>
      <c r="CI125">
        <f t="shared" si="30"/>
        <v>2.7699999999999999E-2</v>
      </c>
      <c r="CJ125">
        <f t="shared" si="30"/>
        <v>0.22800000000000001</v>
      </c>
      <c r="CK125">
        <f t="shared" si="30"/>
        <v>9.5899999999999999E-2</v>
      </c>
      <c r="CL125">
        <f t="shared" si="30"/>
        <v>2.53E-2</v>
      </c>
      <c r="CM125">
        <f t="shared" si="30"/>
        <v>-0.12</v>
      </c>
      <c r="CN125">
        <f t="shared" si="30"/>
        <v>3.1099999999999999E-2</v>
      </c>
      <c r="CO125">
        <f t="shared" si="30"/>
        <v>4.5199999999999997E-2</v>
      </c>
      <c r="CP125">
        <f t="shared" si="30"/>
        <v>-4.8099999999999997E-2</v>
      </c>
      <c r="CQ125">
        <f t="shared" si="30"/>
        <v>-7.4999999999999997E-2</v>
      </c>
      <c r="CR125">
        <f t="shared" si="30"/>
        <v>0.113</v>
      </c>
      <c r="CS125">
        <f t="shared" si="30"/>
        <v>0.156</v>
      </c>
      <c r="CT125">
        <f t="shared" si="30"/>
        <v>0.182</v>
      </c>
      <c r="CU125">
        <f t="shared" si="30"/>
        <v>0.16200000000000001</v>
      </c>
      <c r="CV125">
        <f t="shared" si="30"/>
        <v>0.127</v>
      </c>
      <c r="CW125">
        <f t="shared" si="30"/>
        <v>0.28100000000000003</v>
      </c>
      <c r="CX125">
        <f t="shared" si="30"/>
        <v>0.26600000000000001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V25"/>
  <sheetViews>
    <sheetView topLeftCell="CL1" workbookViewId="0">
      <selection activeCell="CV1" sqref="A1:CV1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0.19900000000000001</v>
      </c>
      <c r="C2" s="1">
        <v>0.54900000000000004</v>
      </c>
      <c r="D2" s="1">
        <v>0.80400000000000005</v>
      </c>
      <c r="E2" s="1">
        <v>0.96</v>
      </c>
      <c r="F2" s="1">
        <v>1.1299999999999999</v>
      </c>
      <c r="G2" s="1">
        <v>1.1879999999999999</v>
      </c>
      <c r="H2" s="1">
        <v>1.3149999999999999</v>
      </c>
      <c r="I2" s="1">
        <v>1.3660000000000001</v>
      </c>
      <c r="J2" s="1">
        <v>1.4379999999999999</v>
      </c>
      <c r="K2" s="1">
        <v>1.5069999999999999</v>
      </c>
      <c r="L2" s="1">
        <v>1.5469999999999999</v>
      </c>
      <c r="M2" s="1">
        <v>1.5940000000000001</v>
      </c>
      <c r="N2" s="1">
        <v>1.6220000000000001</v>
      </c>
      <c r="O2" s="1">
        <v>1.6379999999999999</v>
      </c>
      <c r="P2" s="1">
        <v>1.647</v>
      </c>
      <c r="Q2" s="1">
        <v>1.6679999999999999</v>
      </c>
      <c r="R2" s="1">
        <v>1.694</v>
      </c>
      <c r="S2" s="1">
        <v>1.7090000000000001</v>
      </c>
      <c r="T2" s="1">
        <v>1.7190000000000001</v>
      </c>
      <c r="U2" s="1">
        <v>1.73</v>
      </c>
      <c r="V2" s="1">
        <v>1.752</v>
      </c>
      <c r="W2" s="1">
        <v>1.77</v>
      </c>
      <c r="X2" s="1">
        <v>1.7949999999999999</v>
      </c>
      <c r="Y2" s="1">
        <v>1.8069999999999999</v>
      </c>
      <c r="Z2" s="1">
        <v>1.8069999999999999</v>
      </c>
      <c r="AA2" s="1">
        <v>1.8169999999999999</v>
      </c>
      <c r="AB2" s="1">
        <v>1.823</v>
      </c>
      <c r="AC2" s="1">
        <v>1.827</v>
      </c>
      <c r="AD2" s="1">
        <v>1.8380000000000001</v>
      </c>
      <c r="AE2" s="1">
        <v>1.8520000000000001</v>
      </c>
      <c r="AF2" s="1">
        <v>1.8620000000000001</v>
      </c>
      <c r="AG2" s="1">
        <v>1.877</v>
      </c>
      <c r="AH2" s="1">
        <v>1.903</v>
      </c>
      <c r="AI2" s="1">
        <v>1.9239999999999999</v>
      </c>
      <c r="AJ2" s="1">
        <v>1.9370000000000001</v>
      </c>
      <c r="AK2" s="1">
        <v>1.952</v>
      </c>
      <c r="AL2" s="1">
        <v>1.96</v>
      </c>
      <c r="AM2" s="1">
        <v>1.9750000000000001</v>
      </c>
      <c r="AN2" s="1">
        <v>2.0059999999999998</v>
      </c>
      <c r="AO2" s="1">
        <v>2.0369999999999999</v>
      </c>
      <c r="AP2" s="1">
        <v>2.0409999999999999</v>
      </c>
      <c r="AQ2" s="1">
        <v>2.048</v>
      </c>
      <c r="AR2" s="1">
        <v>2.0579999999999998</v>
      </c>
      <c r="AS2" s="1">
        <v>2.0720000000000001</v>
      </c>
      <c r="AT2" s="1">
        <v>2.0699999999999998</v>
      </c>
      <c r="AU2" s="1">
        <v>2.097</v>
      </c>
      <c r="AV2" s="1">
        <v>2.121</v>
      </c>
      <c r="AW2" s="1">
        <v>2.1339999999999999</v>
      </c>
      <c r="AX2" s="1">
        <v>2.1469999999999998</v>
      </c>
      <c r="AY2" s="1">
        <v>2.1629999999999998</v>
      </c>
      <c r="AZ2" s="1">
        <v>2.1970000000000001</v>
      </c>
      <c r="BA2" s="1">
        <v>2.222</v>
      </c>
      <c r="BB2" s="1">
        <v>2.2269999999999999</v>
      </c>
      <c r="BC2" s="1">
        <v>2.2469999999999999</v>
      </c>
      <c r="BD2" s="1">
        <v>2.2450000000000001</v>
      </c>
      <c r="BE2" s="1">
        <v>2.2719999999999998</v>
      </c>
      <c r="BF2" s="1">
        <v>2.2890000000000001</v>
      </c>
      <c r="BG2" s="1">
        <v>2.3130000000000002</v>
      </c>
      <c r="BH2" s="1">
        <v>2.3290000000000002</v>
      </c>
      <c r="BI2" s="1">
        <v>2.35</v>
      </c>
      <c r="BJ2" s="1">
        <v>2.3610000000000002</v>
      </c>
      <c r="BK2" s="1">
        <v>2.3879999999999999</v>
      </c>
      <c r="BL2" s="1">
        <v>2.41</v>
      </c>
      <c r="BM2" s="1">
        <v>2.4409999999999998</v>
      </c>
      <c r="BN2" s="1">
        <v>2.4500000000000002</v>
      </c>
      <c r="BO2" s="1">
        <v>2.472</v>
      </c>
      <c r="BP2" s="1">
        <v>2.476</v>
      </c>
      <c r="BQ2" s="1">
        <v>2.5110000000000001</v>
      </c>
      <c r="BR2" s="1">
        <v>2.5310000000000001</v>
      </c>
      <c r="BS2" s="1">
        <v>2.5529999999999999</v>
      </c>
      <c r="BT2" s="1">
        <v>2.577</v>
      </c>
      <c r="BU2" s="1">
        <v>2.6070000000000002</v>
      </c>
      <c r="BV2" s="1">
        <v>2.6360000000000001</v>
      </c>
      <c r="BW2" s="1">
        <v>2.657</v>
      </c>
      <c r="BX2" s="1">
        <v>2.71</v>
      </c>
      <c r="BY2" s="1">
        <v>2.7410000000000001</v>
      </c>
      <c r="BZ2" s="1">
        <v>2.7519999999999998</v>
      </c>
      <c r="CA2" s="1">
        <v>2.7789999999999999</v>
      </c>
      <c r="CB2" s="1">
        <v>2.7829999999999999</v>
      </c>
      <c r="CC2" s="1">
        <v>2.84</v>
      </c>
      <c r="CD2" s="1">
        <v>2.879</v>
      </c>
      <c r="CE2" s="1">
        <v>2.9359999999999999</v>
      </c>
      <c r="CF2" s="1">
        <v>2.9710000000000001</v>
      </c>
      <c r="CG2" s="1">
        <v>3.0030000000000001</v>
      </c>
      <c r="CH2" s="1">
        <v>3.0510000000000002</v>
      </c>
      <c r="CI2" s="1">
        <v>3.1179999999999999</v>
      </c>
      <c r="CJ2" s="1">
        <v>3.1560000000000001</v>
      </c>
      <c r="CK2" s="1">
        <v>3.1930000000000001</v>
      </c>
      <c r="CL2" s="1">
        <v>3.27</v>
      </c>
      <c r="CM2" s="1">
        <v>3.3290000000000002</v>
      </c>
      <c r="CN2" s="1">
        <v>3.427</v>
      </c>
      <c r="CO2" s="1">
        <v>3.4489999999999998</v>
      </c>
      <c r="CP2" s="1">
        <v>3.5630000000000002</v>
      </c>
      <c r="CQ2" s="1">
        <v>3.66</v>
      </c>
      <c r="CR2" s="1">
        <v>3.7480000000000002</v>
      </c>
      <c r="CS2" s="1">
        <v>3.8969999999999998</v>
      </c>
      <c r="CT2" s="1">
        <v>4.0730000000000004</v>
      </c>
      <c r="CU2" s="1">
        <v>4.2949999999999999</v>
      </c>
      <c r="CV2" s="1">
        <v>4.6260000000000003</v>
      </c>
    </row>
    <row r="3" spans="1:100" x14ac:dyDescent="0.2">
      <c r="A3" t="s">
        <v>204</v>
      </c>
      <c r="B3" s="1">
        <v>-7.6999999999999999E-2</v>
      </c>
      <c r="C3" s="1">
        <v>0.30599999999999999</v>
      </c>
      <c r="D3" s="1">
        <v>0.53600000000000003</v>
      </c>
      <c r="E3" s="1">
        <v>0.69099999999999995</v>
      </c>
      <c r="F3" s="1">
        <v>0.85599999999999998</v>
      </c>
      <c r="G3" s="1">
        <v>0.96299999999999997</v>
      </c>
      <c r="H3" s="1">
        <v>1.0529999999999999</v>
      </c>
      <c r="I3" s="1">
        <v>1.149</v>
      </c>
      <c r="J3" s="1">
        <v>1.22</v>
      </c>
      <c r="K3" s="1">
        <v>1.3089999999999999</v>
      </c>
      <c r="L3" s="1">
        <v>1.34</v>
      </c>
      <c r="M3" s="1">
        <v>1.389</v>
      </c>
      <c r="N3" s="1">
        <v>1.4359999999999999</v>
      </c>
      <c r="O3" s="1">
        <v>1.468</v>
      </c>
      <c r="P3" s="1">
        <v>1.5089999999999999</v>
      </c>
      <c r="Q3" s="1">
        <v>1.536</v>
      </c>
      <c r="R3" s="1">
        <v>1.5549999999999999</v>
      </c>
      <c r="S3" s="1">
        <v>1.5680000000000001</v>
      </c>
      <c r="T3" s="1">
        <v>1.59</v>
      </c>
      <c r="U3" s="1">
        <v>1.6060000000000001</v>
      </c>
      <c r="V3" s="1">
        <v>1.627</v>
      </c>
      <c r="W3" s="1">
        <v>1.641</v>
      </c>
      <c r="X3" s="1">
        <v>1.653</v>
      </c>
      <c r="Y3" s="1">
        <v>1.671</v>
      </c>
      <c r="Z3" s="1">
        <v>1.6850000000000001</v>
      </c>
      <c r="AA3" s="1">
        <v>1.7050000000000001</v>
      </c>
      <c r="AB3" s="1">
        <v>1.7210000000000001</v>
      </c>
      <c r="AC3" s="1">
        <v>1.736</v>
      </c>
      <c r="AD3" s="1">
        <v>1.7470000000000001</v>
      </c>
      <c r="AE3" s="1">
        <v>1.756</v>
      </c>
      <c r="AF3" s="1">
        <v>1.7669999999999999</v>
      </c>
      <c r="AG3" s="1">
        <v>1.7769999999999999</v>
      </c>
      <c r="AH3" s="1">
        <v>1.7869999999999999</v>
      </c>
      <c r="AI3" s="1">
        <v>1.81</v>
      </c>
      <c r="AJ3" s="1">
        <v>1.825</v>
      </c>
      <c r="AK3" s="1">
        <v>1.8380000000000001</v>
      </c>
      <c r="AL3" s="1">
        <v>1.8540000000000001</v>
      </c>
      <c r="AM3" s="1">
        <v>1.87</v>
      </c>
      <c r="AN3" s="1">
        <v>1.8879999999999999</v>
      </c>
      <c r="AO3" s="1">
        <v>1.899</v>
      </c>
      <c r="AP3" s="1">
        <v>1.9139999999999999</v>
      </c>
      <c r="AQ3" s="1">
        <v>1.93</v>
      </c>
      <c r="AR3" s="1">
        <v>1.952</v>
      </c>
      <c r="AS3" s="1">
        <v>1.9690000000000001</v>
      </c>
      <c r="AT3" s="1">
        <v>1.9930000000000001</v>
      </c>
      <c r="AU3" s="1">
        <v>2.0099999999999998</v>
      </c>
      <c r="AV3" s="1">
        <v>2.028</v>
      </c>
      <c r="AW3" s="1">
        <v>2.0299999999999998</v>
      </c>
      <c r="AX3" s="1">
        <v>2.0390000000000001</v>
      </c>
      <c r="AY3" s="1">
        <v>2.0579999999999998</v>
      </c>
      <c r="AZ3" s="1">
        <v>2.0699999999999998</v>
      </c>
      <c r="BA3" s="1">
        <v>2.093</v>
      </c>
      <c r="BB3" s="1">
        <v>2.1179999999999999</v>
      </c>
      <c r="BC3" s="1">
        <v>2.1379999999999999</v>
      </c>
      <c r="BD3" s="1">
        <v>2.15</v>
      </c>
      <c r="BE3" s="1">
        <v>2.17</v>
      </c>
      <c r="BF3" s="1">
        <v>2.2010000000000001</v>
      </c>
      <c r="BG3" s="1">
        <v>2.2240000000000002</v>
      </c>
      <c r="BH3" s="1">
        <v>2.2450000000000001</v>
      </c>
      <c r="BI3" s="1">
        <v>2.246</v>
      </c>
      <c r="BJ3" s="1">
        <v>2.2589999999999999</v>
      </c>
      <c r="BK3" s="1">
        <v>2.2850000000000001</v>
      </c>
      <c r="BL3" s="1">
        <v>2.3109999999999999</v>
      </c>
      <c r="BM3" s="1">
        <v>2.3290000000000002</v>
      </c>
      <c r="BN3" s="1">
        <v>2.3479999999999999</v>
      </c>
      <c r="BO3" s="1">
        <v>2.3860000000000001</v>
      </c>
      <c r="BP3" s="1">
        <v>2.4140000000000001</v>
      </c>
      <c r="BQ3" s="1">
        <v>2.4369999999999998</v>
      </c>
      <c r="BR3" s="1">
        <v>2.4409999999999998</v>
      </c>
      <c r="BS3" s="1">
        <v>2.468</v>
      </c>
      <c r="BT3" s="1">
        <v>2.5030000000000001</v>
      </c>
      <c r="BU3" s="1">
        <v>2.5310000000000001</v>
      </c>
      <c r="BV3" s="1">
        <v>2.5499999999999998</v>
      </c>
      <c r="BW3" s="1">
        <v>2.5859999999999999</v>
      </c>
      <c r="BX3" s="1">
        <v>2.6269999999999998</v>
      </c>
      <c r="BY3" s="1">
        <v>2.66</v>
      </c>
      <c r="BZ3" s="1">
        <v>2.6669999999999998</v>
      </c>
      <c r="CA3" s="1">
        <v>2.7189999999999999</v>
      </c>
      <c r="CB3" s="1">
        <v>2.7490000000000001</v>
      </c>
      <c r="CC3" s="1">
        <v>2.7810000000000001</v>
      </c>
      <c r="CD3" s="1">
        <v>2.8330000000000002</v>
      </c>
      <c r="CE3" s="1">
        <v>2.8690000000000002</v>
      </c>
      <c r="CF3" s="1">
        <v>2.9329999999999998</v>
      </c>
      <c r="CG3" s="1">
        <v>2.9420000000000002</v>
      </c>
      <c r="CH3" s="1">
        <v>2.9780000000000002</v>
      </c>
      <c r="CI3" s="1">
        <v>3.0419999999999998</v>
      </c>
      <c r="CJ3" s="1">
        <v>3.117</v>
      </c>
      <c r="CK3" s="1">
        <v>3.1720000000000002</v>
      </c>
      <c r="CL3" s="1">
        <v>3.222</v>
      </c>
      <c r="CM3" s="1">
        <v>3.2970000000000002</v>
      </c>
      <c r="CN3" s="1">
        <v>3.3460000000000001</v>
      </c>
      <c r="CO3" s="1">
        <v>3.4289999999999998</v>
      </c>
      <c r="CP3" s="1">
        <v>3.5230000000000001</v>
      </c>
      <c r="CQ3" s="1">
        <v>3.65</v>
      </c>
      <c r="CR3" s="1">
        <v>3.7469999999999999</v>
      </c>
      <c r="CS3" s="1">
        <v>3.8639999999999999</v>
      </c>
      <c r="CT3" s="1">
        <v>4.0410000000000004</v>
      </c>
      <c r="CU3" s="1">
        <v>4.2939999999999996</v>
      </c>
      <c r="CV3" s="1">
        <v>4.609</v>
      </c>
    </row>
    <row r="4" spans="1:100" x14ac:dyDescent="0.2">
      <c r="A4" t="s">
        <v>205</v>
      </c>
      <c r="B4" s="1">
        <v>0.27600000000000002</v>
      </c>
      <c r="C4" s="1">
        <v>0.24299999999999999</v>
      </c>
      <c r="D4" s="1">
        <v>0.26800000000000002</v>
      </c>
      <c r="E4" s="1">
        <v>0.26900000000000002</v>
      </c>
      <c r="F4" s="1">
        <v>0.27400000000000002</v>
      </c>
      <c r="G4" s="1">
        <v>0.22600000000000001</v>
      </c>
      <c r="H4" s="1">
        <v>0.26200000000000001</v>
      </c>
      <c r="I4" s="1">
        <v>0.217</v>
      </c>
      <c r="J4" s="1">
        <v>0.218</v>
      </c>
      <c r="K4" s="1">
        <v>0.19800000000000001</v>
      </c>
      <c r="L4" s="1">
        <v>0.20699999999999999</v>
      </c>
      <c r="M4" s="1">
        <v>0.20499999999999999</v>
      </c>
      <c r="N4" s="1">
        <v>0.187</v>
      </c>
      <c r="O4" s="1">
        <v>0.17</v>
      </c>
      <c r="P4" s="1">
        <v>0.13800000000000001</v>
      </c>
      <c r="Q4" s="1">
        <v>0.13300000000000001</v>
      </c>
      <c r="R4" s="1">
        <v>0.14000000000000001</v>
      </c>
      <c r="S4" s="1">
        <v>0.14099999999999999</v>
      </c>
      <c r="T4" s="1">
        <v>0.129</v>
      </c>
      <c r="U4" s="1">
        <v>0.124</v>
      </c>
      <c r="V4" s="1">
        <v>0.125</v>
      </c>
      <c r="W4" s="1">
        <v>0.129</v>
      </c>
      <c r="X4" s="1">
        <v>0.14099999999999999</v>
      </c>
      <c r="Y4" s="1">
        <v>0.13600000000000001</v>
      </c>
      <c r="Z4" s="1">
        <v>0.122</v>
      </c>
      <c r="AA4" s="1">
        <v>0.112</v>
      </c>
      <c r="AB4" s="1">
        <v>0.10199999999999999</v>
      </c>
      <c r="AC4" s="1">
        <v>9.0700000000000003E-2</v>
      </c>
      <c r="AD4" s="1">
        <v>9.0999999999999998E-2</v>
      </c>
      <c r="AE4" s="1">
        <v>9.6500000000000002E-2</v>
      </c>
      <c r="AF4" s="1">
        <v>9.4399999999999998E-2</v>
      </c>
      <c r="AG4" s="1">
        <v>9.9900000000000003E-2</v>
      </c>
      <c r="AH4" s="1">
        <v>0.11600000000000001</v>
      </c>
      <c r="AI4" s="1">
        <v>0.114</v>
      </c>
      <c r="AJ4" s="1">
        <v>0.112</v>
      </c>
      <c r="AK4" s="1">
        <v>0.114</v>
      </c>
      <c r="AL4" s="1">
        <v>0.106</v>
      </c>
      <c r="AM4" s="1">
        <v>0.104</v>
      </c>
      <c r="AN4" s="1">
        <v>0.11799999999999999</v>
      </c>
      <c r="AO4" s="1">
        <v>0.13800000000000001</v>
      </c>
      <c r="AP4" s="1">
        <v>0.127</v>
      </c>
      <c r="AQ4" s="1">
        <v>0.11799999999999999</v>
      </c>
      <c r="AR4" s="1">
        <v>0.106</v>
      </c>
      <c r="AS4" s="1">
        <v>0.10299999999999999</v>
      </c>
      <c r="AT4" s="1">
        <v>7.6799999999999993E-2</v>
      </c>
      <c r="AU4" s="1">
        <v>8.6300000000000002E-2</v>
      </c>
      <c r="AV4" s="1">
        <v>9.3200000000000005E-2</v>
      </c>
      <c r="AW4" s="1">
        <v>0.104</v>
      </c>
      <c r="AX4" s="1">
        <v>0.108</v>
      </c>
      <c r="AY4" s="1">
        <v>0.105</v>
      </c>
      <c r="AZ4" s="1">
        <v>0.127</v>
      </c>
      <c r="BA4" s="1">
        <v>0.129</v>
      </c>
      <c r="BB4" s="1">
        <v>0.109</v>
      </c>
      <c r="BC4" s="1">
        <v>0.11</v>
      </c>
      <c r="BD4" s="1">
        <v>9.4899999999999998E-2</v>
      </c>
      <c r="BE4" s="1">
        <v>0.10199999999999999</v>
      </c>
      <c r="BF4" s="1">
        <v>8.7400000000000005E-2</v>
      </c>
      <c r="BG4" s="1">
        <v>8.8900000000000007E-2</v>
      </c>
      <c r="BH4" s="1">
        <v>8.3900000000000002E-2</v>
      </c>
      <c r="BI4" s="1">
        <v>0.104</v>
      </c>
      <c r="BJ4" s="1">
        <v>0.10199999999999999</v>
      </c>
      <c r="BK4" s="1">
        <v>0.10299999999999999</v>
      </c>
      <c r="BL4" s="1">
        <v>9.9299999999999999E-2</v>
      </c>
      <c r="BM4" s="1">
        <v>0.112</v>
      </c>
      <c r="BN4" s="1">
        <v>0.10199999999999999</v>
      </c>
      <c r="BO4" s="1">
        <v>8.5599999999999996E-2</v>
      </c>
      <c r="BP4" s="1">
        <v>6.2100000000000002E-2</v>
      </c>
      <c r="BQ4" s="1">
        <v>7.3700000000000002E-2</v>
      </c>
      <c r="BR4" s="1">
        <v>8.9599999999999999E-2</v>
      </c>
      <c r="BS4" s="1">
        <v>8.4599999999999995E-2</v>
      </c>
      <c r="BT4" s="1">
        <v>7.3999999999999996E-2</v>
      </c>
      <c r="BU4" s="1">
        <v>7.6300000000000007E-2</v>
      </c>
      <c r="BV4" s="1">
        <v>8.6900000000000005E-2</v>
      </c>
      <c r="BW4" s="1">
        <v>7.0900000000000005E-2</v>
      </c>
      <c r="BX4" s="1">
        <v>8.2600000000000007E-2</v>
      </c>
      <c r="BY4" s="1">
        <v>8.1000000000000003E-2</v>
      </c>
      <c r="BZ4" s="1">
        <v>8.4599999999999995E-2</v>
      </c>
      <c r="CA4" s="1">
        <v>6.0100000000000001E-2</v>
      </c>
      <c r="CB4" s="1">
        <v>3.44E-2</v>
      </c>
      <c r="CC4" s="1">
        <v>5.8900000000000001E-2</v>
      </c>
      <c r="CD4" s="1">
        <v>4.6899999999999997E-2</v>
      </c>
      <c r="CE4" s="1">
        <v>6.6900000000000001E-2</v>
      </c>
      <c r="CF4" s="1">
        <v>3.7699999999999997E-2</v>
      </c>
      <c r="CG4" s="1">
        <v>6.0900000000000003E-2</v>
      </c>
      <c r="CH4" s="1">
        <v>7.3499999999999996E-2</v>
      </c>
      <c r="CI4" s="1">
        <v>7.6300000000000007E-2</v>
      </c>
      <c r="CJ4" s="1">
        <v>3.9300000000000002E-2</v>
      </c>
      <c r="CK4" s="1">
        <v>2.1000000000000001E-2</v>
      </c>
      <c r="CL4" s="1">
        <v>4.7699999999999999E-2</v>
      </c>
      <c r="CM4" s="1">
        <v>3.1800000000000002E-2</v>
      </c>
      <c r="CN4" s="1">
        <v>8.1299999999999997E-2</v>
      </c>
      <c r="CO4" s="1">
        <v>1.9800000000000002E-2</v>
      </c>
      <c r="CP4" s="1">
        <v>0.04</v>
      </c>
      <c r="CQ4" s="1">
        <v>9.8600000000000007E-3</v>
      </c>
      <c r="CR4" s="1">
        <v>8.1499999999999997E-4</v>
      </c>
      <c r="CS4" s="1">
        <v>3.2399999999999998E-2</v>
      </c>
      <c r="CT4" s="1">
        <v>3.2399999999999998E-2</v>
      </c>
      <c r="CU4" s="1">
        <v>1.24E-3</v>
      </c>
      <c r="CV4" s="1">
        <v>1.7299999999999999E-2</v>
      </c>
    </row>
    <row r="5" spans="1:100" x14ac:dyDescent="0.2">
      <c r="A5" t="s">
        <v>206</v>
      </c>
      <c r="B5" s="1">
        <v>4.8300000000000003E-2</v>
      </c>
      <c r="C5" s="1">
        <v>6.7599999999999993E-2</v>
      </c>
      <c r="D5" s="1">
        <v>6.7599999999999993E-2</v>
      </c>
      <c r="E5" s="1">
        <v>6.7400000000000002E-2</v>
      </c>
      <c r="F5" s="1">
        <v>6.3399999999999998E-2</v>
      </c>
      <c r="G5" s="1">
        <v>6.8099999999999994E-2</v>
      </c>
      <c r="H5" s="1">
        <v>6.6400000000000001E-2</v>
      </c>
      <c r="I5" s="1">
        <v>6.2100000000000002E-2</v>
      </c>
      <c r="J5" s="1">
        <v>6.3700000000000007E-2</v>
      </c>
      <c r="K5" s="1">
        <v>5.11E-2</v>
      </c>
      <c r="L5" s="1">
        <v>4.9399999999999999E-2</v>
      </c>
      <c r="M5" s="1">
        <v>4.6699999999999998E-2</v>
      </c>
      <c r="N5" s="1">
        <v>4.2700000000000002E-2</v>
      </c>
      <c r="O5" s="1">
        <v>3.8600000000000002E-2</v>
      </c>
      <c r="P5" s="1">
        <v>3.2199999999999999E-2</v>
      </c>
      <c r="Q5" s="1">
        <v>2.93E-2</v>
      </c>
      <c r="R5" s="1">
        <v>2.8000000000000001E-2</v>
      </c>
      <c r="S5" s="1">
        <v>2.75E-2</v>
      </c>
      <c r="T5" s="1">
        <v>2.6200000000000001E-2</v>
      </c>
      <c r="U5" s="1">
        <v>2.5700000000000001E-2</v>
      </c>
      <c r="V5" s="1">
        <v>2.52E-2</v>
      </c>
      <c r="W5" s="1">
        <v>2.53E-2</v>
      </c>
      <c r="X5" s="1">
        <v>2.52E-2</v>
      </c>
      <c r="Y5" s="1">
        <v>2.52E-2</v>
      </c>
      <c r="Z5" s="1">
        <v>2.52E-2</v>
      </c>
      <c r="AA5" s="1">
        <v>2.4799999999999999E-2</v>
      </c>
      <c r="AB5" s="1">
        <v>2.47E-2</v>
      </c>
      <c r="AC5" s="1">
        <v>2.47E-2</v>
      </c>
      <c r="AD5" s="1">
        <v>2.5000000000000001E-2</v>
      </c>
      <c r="AE5" s="1">
        <v>2.5600000000000001E-2</v>
      </c>
      <c r="AF5" s="1">
        <v>2.63E-2</v>
      </c>
      <c r="AG5" s="1">
        <v>2.6800000000000001E-2</v>
      </c>
      <c r="AH5" s="1">
        <v>2.7400000000000001E-2</v>
      </c>
      <c r="AI5" s="1">
        <v>2.8500000000000001E-2</v>
      </c>
      <c r="AJ5" s="1">
        <v>2.9399999999999999E-2</v>
      </c>
      <c r="AK5" s="1">
        <v>3.0200000000000001E-2</v>
      </c>
      <c r="AL5" s="1">
        <v>3.1199999999999999E-2</v>
      </c>
      <c r="AM5" s="1">
        <v>3.2500000000000001E-2</v>
      </c>
      <c r="AN5" s="1">
        <v>3.3399999999999999E-2</v>
      </c>
      <c r="AO5" s="1">
        <v>3.4500000000000003E-2</v>
      </c>
      <c r="AP5" s="1">
        <v>3.5200000000000002E-2</v>
      </c>
      <c r="AQ5" s="1">
        <v>3.61E-2</v>
      </c>
      <c r="AR5" s="1">
        <v>3.6700000000000003E-2</v>
      </c>
      <c r="AS5" s="1">
        <v>3.6799999999999999E-2</v>
      </c>
      <c r="AT5" s="1">
        <v>3.6700000000000003E-2</v>
      </c>
      <c r="AU5" s="1">
        <v>3.6499999999999998E-2</v>
      </c>
      <c r="AV5" s="1">
        <v>3.6700000000000003E-2</v>
      </c>
      <c r="AW5" s="1">
        <v>3.7600000000000001E-2</v>
      </c>
      <c r="AX5" s="1">
        <v>3.7999999999999999E-2</v>
      </c>
      <c r="AY5" s="1">
        <v>3.9199999999999999E-2</v>
      </c>
      <c r="AZ5" s="1">
        <v>4.02E-2</v>
      </c>
      <c r="BA5" s="1">
        <v>4.2500000000000003E-2</v>
      </c>
      <c r="BB5" s="1">
        <v>4.4999999999999998E-2</v>
      </c>
      <c r="BC5" s="1">
        <v>4.6600000000000003E-2</v>
      </c>
      <c r="BD5" s="1">
        <v>4.7600000000000003E-2</v>
      </c>
      <c r="BE5" s="1">
        <v>4.8000000000000001E-2</v>
      </c>
      <c r="BF5" s="1">
        <v>4.7399999999999998E-2</v>
      </c>
      <c r="BG5" s="1">
        <v>4.6699999999999998E-2</v>
      </c>
      <c r="BH5" s="1">
        <v>4.6600000000000003E-2</v>
      </c>
      <c r="BI5" s="1">
        <v>4.6800000000000001E-2</v>
      </c>
      <c r="BJ5" s="1">
        <v>4.7E-2</v>
      </c>
      <c r="BK5" s="1">
        <v>4.8800000000000003E-2</v>
      </c>
      <c r="BL5" s="1">
        <v>5.11E-2</v>
      </c>
      <c r="BM5" s="1">
        <v>5.3100000000000001E-2</v>
      </c>
      <c r="BN5" s="1">
        <v>5.4300000000000001E-2</v>
      </c>
      <c r="BO5" s="1">
        <v>5.5199999999999999E-2</v>
      </c>
      <c r="BP5" s="1">
        <v>5.4699999999999999E-2</v>
      </c>
      <c r="BQ5" s="1">
        <v>5.4699999999999999E-2</v>
      </c>
      <c r="BR5" s="1">
        <v>5.4699999999999999E-2</v>
      </c>
      <c r="BS5" s="1">
        <v>5.6000000000000001E-2</v>
      </c>
      <c r="BT5" s="1">
        <v>5.9400000000000001E-2</v>
      </c>
      <c r="BU5" s="1">
        <v>6.2399999999999997E-2</v>
      </c>
      <c r="BV5" s="1">
        <v>6.4399999999999999E-2</v>
      </c>
      <c r="BW5" s="1">
        <v>6.6299999999999998E-2</v>
      </c>
      <c r="BX5" s="1">
        <v>6.5500000000000003E-2</v>
      </c>
      <c r="BY5" s="1">
        <v>6.4899999999999999E-2</v>
      </c>
      <c r="BZ5" s="1">
        <v>6.4000000000000001E-2</v>
      </c>
      <c r="CA5" s="1">
        <v>6.7199999999999996E-2</v>
      </c>
      <c r="CB5" s="1">
        <v>7.1300000000000002E-2</v>
      </c>
      <c r="CC5" s="1">
        <v>7.46E-2</v>
      </c>
      <c r="CD5" s="1">
        <v>7.7600000000000002E-2</v>
      </c>
      <c r="CE5" s="1">
        <v>7.3700000000000002E-2</v>
      </c>
      <c r="CF5" s="1">
        <v>6.8000000000000005E-2</v>
      </c>
      <c r="CG5" s="1">
        <v>6.6600000000000006E-2</v>
      </c>
      <c r="CH5" s="1">
        <v>7.0400000000000004E-2</v>
      </c>
      <c r="CI5" s="1">
        <v>8.7800000000000003E-2</v>
      </c>
      <c r="CJ5" s="1">
        <v>8.48E-2</v>
      </c>
      <c r="CK5" s="1">
        <v>0.08</v>
      </c>
      <c r="CL5" s="1">
        <v>8.2799999999999999E-2</v>
      </c>
      <c r="CM5" s="1">
        <v>8.1799999999999998E-2</v>
      </c>
      <c r="CN5" s="1">
        <v>7.5399999999999995E-2</v>
      </c>
      <c r="CO5" s="1">
        <v>8.6400000000000005E-2</v>
      </c>
      <c r="CP5" s="1">
        <v>9.5200000000000007E-2</v>
      </c>
      <c r="CQ5" s="1">
        <v>8.1600000000000006E-2</v>
      </c>
      <c r="CR5" s="1">
        <v>9.4399999999999998E-2</v>
      </c>
      <c r="CS5" s="1">
        <v>7.1900000000000006E-2</v>
      </c>
      <c r="CT5" s="1">
        <v>8.3199999999999996E-2</v>
      </c>
      <c r="CU5" s="1">
        <v>7.9500000000000001E-2</v>
      </c>
      <c r="CV5" s="1">
        <v>6.9900000000000004E-2</v>
      </c>
    </row>
    <row r="6" spans="1:100" x14ac:dyDescent="0.2">
      <c r="A6" t="s">
        <v>207</v>
      </c>
      <c r="B6" s="1">
        <v>0.22800000000000001</v>
      </c>
      <c r="C6" s="1">
        <v>0.17499999999999999</v>
      </c>
      <c r="D6" s="1">
        <v>0.20100000000000001</v>
      </c>
      <c r="E6" s="1">
        <v>0.20200000000000001</v>
      </c>
      <c r="F6" s="1">
        <v>0.21099999999999999</v>
      </c>
      <c r="G6" s="1">
        <v>0.157</v>
      </c>
      <c r="H6" s="1">
        <v>0.19600000000000001</v>
      </c>
      <c r="I6" s="1">
        <v>0.155</v>
      </c>
      <c r="J6" s="1">
        <v>0.154</v>
      </c>
      <c r="K6" s="1">
        <v>0.14699999999999999</v>
      </c>
      <c r="L6" s="1">
        <v>0.157</v>
      </c>
      <c r="M6" s="1">
        <v>0.159</v>
      </c>
      <c r="N6" s="1">
        <v>0.14399999999999999</v>
      </c>
      <c r="O6" s="1">
        <v>0.13100000000000001</v>
      </c>
      <c r="P6" s="1">
        <v>0.106</v>
      </c>
      <c r="Q6" s="1">
        <v>0.10299999999999999</v>
      </c>
      <c r="R6" s="1">
        <v>0.112</v>
      </c>
      <c r="S6" s="1">
        <v>0.113</v>
      </c>
      <c r="T6" s="1">
        <v>0.10199999999999999</v>
      </c>
      <c r="U6" s="1">
        <v>9.8599999999999993E-2</v>
      </c>
      <c r="V6" s="1">
        <v>9.9400000000000002E-2</v>
      </c>
      <c r="W6" s="1">
        <v>0.104</v>
      </c>
      <c r="X6" s="1">
        <v>0.11600000000000001</v>
      </c>
      <c r="Y6" s="1">
        <v>0.111</v>
      </c>
      <c r="Z6" s="1">
        <v>9.6600000000000005E-2</v>
      </c>
      <c r="AA6" s="1">
        <v>8.7300000000000003E-2</v>
      </c>
      <c r="AB6" s="1">
        <v>7.6999999999999999E-2</v>
      </c>
      <c r="AC6" s="1">
        <v>6.6000000000000003E-2</v>
      </c>
      <c r="AD6" s="1">
        <v>6.59E-2</v>
      </c>
      <c r="AE6" s="1">
        <v>7.0900000000000005E-2</v>
      </c>
      <c r="AF6" s="1">
        <v>6.8199999999999997E-2</v>
      </c>
      <c r="AG6" s="1">
        <v>7.2999999999999995E-2</v>
      </c>
      <c r="AH6" s="1">
        <v>8.8300000000000003E-2</v>
      </c>
      <c r="AI6" s="1">
        <v>8.5599999999999996E-2</v>
      </c>
      <c r="AJ6" s="1">
        <v>8.3000000000000004E-2</v>
      </c>
      <c r="AK6" s="1">
        <v>8.3599999999999994E-2</v>
      </c>
      <c r="AL6" s="1">
        <v>7.4499999999999997E-2</v>
      </c>
      <c r="AM6" s="1">
        <v>7.1800000000000003E-2</v>
      </c>
      <c r="AN6" s="1">
        <v>8.4699999999999998E-2</v>
      </c>
      <c r="AO6" s="1">
        <v>0.104</v>
      </c>
      <c r="AP6" s="1">
        <v>9.1800000000000007E-2</v>
      </c>
      <c r="AQ6" s="1">
        <v>8.1500000000000003E-2</v>
      </c>
      <c r="AR6" s="1">
        <v>6.9099999999999995E-2</v>
      </c>
      <c r="AS6" s="1">
        <v>6.6500000000000004E-2</v>
      </c>
      <c r="AT6" s="1">
        <v>4.0099999999999997E-2</v>
      </c>
      <c r="AU6" s="1">
        <v>4.9700000000000001E-2</v>
      </c>
      <c r="AV6" s="1">
        <v>5.6599999999999998E-2</v>
      </c>
      <c r="AW6" s="1">
        <v>6.6600000000000006E-2</v>
      </c>
      <c r="AX6" s="1">
        <v>6.9699999999999998E-2</v>
      </c>
      <c r="AY6" s="1">
        <v>6.5299999999999997E-2</v>
      </c>
      <c r="AZ6" s="1">
        <v>8.72E-2</v>
      </c>
      <c r="BA6" s="1">
        <v>8.6699999999999999E-2</v>
      </c>
      <c r="BB6" s="1">
        <v>6.4100000000000004E-2</v>
      </c>
      <c r="BC6" s="1">
        <v>6.2899999999999998E-2</v>
      </c>
      <c r="BD6" s="1">
        <v>4.7300000000000002E-2</v>
      </c>
      <c r="BE6" s="1">
        <v>5.3800000000000001E-2</v>
      </c>
      <c r="BF6" s="1">
        <v>0.04</v>
      </c>
      <c r="BG6" s="1">
        <v>4.2200000000000001E-2</v>
      </c>
      <c r="BH6" s="1">
        <v>3.73E-2</v>
      </c>
      <c r="BI6" s="1">
        <v>5.7500000000000002E-2</v>
      </c>
      <c r="BJ6" s="1">
        <v>5.4899999999999997E-2</v>
      </c>
      <c r="BK6" s="1">
        <v>5.3699999999999998E-2</v>
      </c>
      <c r="BL6" s="1">
        <v>4.82E-2</v>
      </c>
      <c r="BM6" s="1">
        <v>5.8799999999999998E-2</v>
      </c>
      <c r="BN6" s="1">
        <v>4.7399999999999998E-2</v>
      </c>
      <c r="BO6" s="1">
        <v>3.04E-2</v>
      </c>
      <c r="BP6" s="1">
        <v>7.3600000000000002E-3</v>
      </c>
      <c r="BQ6" s="1">
        <v>1.9E-2</v>
      </c>
      <c r="BR6" s="1">
        <v>3.49E-2</v>
      </c>
      <c r="BS6" s="1">
        <v>2.86E-2</v>
      </c>
      <c r="BT6" s="1">
        <v>1.46E-2</v>
      </c>
      <c r="BU6" s="1">
        <v>1.3899999999999999E-2</v>
      </c>
      <c r="BV6" s="1">
        <v>2.2499999999999999E-2</v>
      </c>
      <c r="BW6" s="1">
        <v>4.5799999999999999E-3</v>
      </c>
      <c r="BX6" s="1">
        <v>1.7100000000000001E-2</v>
      </c>
      <c r="BY6" s="1">
        <v>1.61E-2</v>
      </c>
      <c r="BZ6" s="1">
        <v>2.06E-2</v>
      </c>
      <c r="CA6" s="1">
        <v>-7.1599999999999997E-3</v>
      </c>
      <c r="CB6" s="1">
        <v>-3.6900000000000002E-2</v>
      </c>
      <c r="CC6" s="1">
        <v>-1.5699999999999999E-2</v>
      </c>
      <c r="CD6" s="1">
        <v>-3.0700000000000002E-2</v>
      </c>
      <c r="CE6" s="1">
        <v>-6.7299999999999999E-3</v>
      </c>
      <c r="CF6" s="1">
        <v>-3.0300000000000001E-2</v>
      </c>
      <c r="CG6" s="1">
        <v>-5.6899999999999997E-3</v>
      </c>
      <c r="CH6" s="1">
        <v>3.1099999999999999E-3</v>
      </c>
      <c r="CI6" s="1">
        <v>-1.15E-2</v>
      </c>
      <c r="CJ6" s="1">
        <v>-4.5600000000000002E-2</v>
      </c>
      <c r="CK6" s="1">
        <v>-5.8999999999999997E-2</v>
      </c>
      <c r="CL6" s="1">
        <v>-3.5099999999999999E-2</v>
      </c>
      <c r="CM6" s="1">
        <v>-4.99E-2</v>
      </c>
      <c r="CN6" s="1">
        <v>5.8500000000000002E-3</v>
      </c>
      <c r="CO6" s="1">
        <v>-6.6600000000000006E-2</v>
      </c>
      <c r="CP6" s="1">
        <v>-5.5199999999999999E-2</v>
      </c>
      <c r="CQ6" s="1">
        <v>-7.1800000000000003E-2</v>
      </c>
      <c r="CR6" s="1">
        <v>-9.3600000000000003E-2</v>
      </c>
      <c r="CS6" s="1">
        <v>-3.9600000000000003E-2</v>
      </c>
      <c r="CT6" s="1">
        <v>-5.0799999999999998E-2</v>
      </c>
      <c r="CU6" s="1">
        <v>-7.8299999999999995E-2</v>
      </c>
      <c r="CV6" s="1">
        <v>-5.2499999999999998E-2</v>
      </c>
    </row>
    <row r="7" spans="1:100" x14ac:dyDescent="0.2">
      <c r="A7" t="s">
        <v>208</v>
      </c>
      <c r="B7" s="1">
        <v>2.3199999999999998E-2</v>
      </c>
      <c r="C7" s="1">
        <v>3.2099999999999997E-2</v>
      </c>
      <c r="D7" s="1">
        <v>3.0700000000000002E-2</v>
      </c>
      <c r="E7" s="1">
        <v>2.9399999999999999E-2</v>
      </c>
      <c r="F7" s="1">
        <v>2.75E-2</v>
      </c>
      <c r="G7" s="1">
        <v>2.9700000000000001E-2</v>
      </c>
      <c r="H7" s="1">
        <v>2.9000000000000001E-2</v>
      </c>
      <c r="I7" s="1">
        <v>2.7199999999999998E-2</v>
      </c>
      <c r="J7" s="1">
        <v>2.81E-2</v>
      </c>
      <c r="K7" s="1">
        <v>2.2499999999999999E-2</v>
      </c>
      <c r="L7" s="1">
        <v>2.2100000000000002E-2</v>
      </c>
      <c r="M7" s="1">
        <v>2.1000000000000001E-2</v>
      </c>
      <c r="N7" s="1">
        <v>1.9400000000000001E-2</v>
      </c>
      <c r="O7" s="1">
        <v>1.7999999999999999E-2</v>
      </c>
      <c r="P7" s="1">
        <v>1.54E-2</v>
      </c>
      <c r="Q7" s="1">
        <v>1.4200000000000001E-2</v>
      </c>
      <c r="R7" s="1">
        <v>1.38E-2</v>
      </c>
      <c r="S7" s="1">
        <v>1.38E-2</v>
      </c>
      <c r="T7" s="1">
        <v>1.3599999999999999E-2</v>
      </c>
      <c r="U7" s="1">
        <v>1.3599999999999999E-2</v>
      </c>
      <c r="V7" s="1">
        <v>1.37E-2</v>
      </c>
      <c r="W7" s="1">
        <v>1.4E-2</v>
      </c>
      <c r="X7" s="1">
        <v>1.4200000000000001E-2</v>
      </c>
      <c r="Y7" s="1">
        <v>1.46E-2</v>
      </c>
      <c r="Z7" s="1">
        <v>1.47E-2</v>
      </c>
      <c r="AA7" s="1">
        <v>1.4800000000000001E-2</v>
      </c>
      <c r="AB7" s="1">
        <v>1.49E-2</v>
      </c>
      <c r="AC7" s="1">
        <v>1.5100000000000001E-2</v>
      </c>
      <c r="AD7" s="1">
        <v>1.55E-2</v>
      </c>
      <c r="AE7" s="1">
        <v>1.61E-2</v>
      </c>
      <c r="AF7" s="1">
        <v>1.6799999999999999E-2</v>
      </c>
      <c r="AG7" s="1">
        <v>1.7500000000000002E-2</v>
      </c>
      <c r="AH7" s="1">
        <v>1.8200000000000001E-2</v>
      </c>
      <c r="AI7" s="1">
        <v>1.9099999999999999E-2</v>
      </c>
      <c r="AJ7" s="1">
        <v>0.02</v>
      </c>
      <c r="AK7" s="1">
        <v>2.07E-2</v>
      </c>
      <c r="AL7" s="1">
        <v>2.1499999999999998E-2</v>
      </c>
      <c r="AM7" s="1">
        <v>2.2800000000000001E-2</v>
      </c>
      <c r="AN7" s="1">
        <v>2.3699999999999999E-2</v>
      </c>
      <c r="AO7" s="1">
        <v>2.46E-2</v>
      </c>
      <c r="AP7" s="1">
        <v>2.5399999999999999E-2</v>
      </c>
      <c r="AQ7" s="1">
        <v>2.63E-2</v>
      </c>
      <c r="AR7" s="1">
        <v>2.69E-2</v>
      </c>
      <c r="AS7" s="1">
        <v>2.7099999999999999E-2</v>
      </c>
      <c r="AT7" s="1">
        <v>2.7300000000000001E-2</v>
      </c>
      <c r="AU7" s="1">
        <v>2.7400000000000001E-2</v>
      </c>
      <c r="AV7" s="1">
        <v>2.76E-2</v>
      </c>
      <c r="AW7" s="1">
        <v>2.8400000000000002E-2</v>
      </c>
      <c r="AX7" s="1">
        <v>2.8899999999999999E-2</v>
      </c>
      <c r="AY7" s="1">
        <v>0.03</v>
      </c>
      <c r="AZ7" s="1">
        <v>3.09E-2</v>
      </c>
      <c r="BA7" s="1">
        <v>3.2899999999999999E-2</v>
      </c>
      <c r="BB7" s="1">
        <v>3.5000000000000003E-2</v>
      </c>
      <c r="BC7" s="1">
        <v>3.6499999999999998E-2</v>
      </c>
      <c r="BD7" s="1">
        <v>3.7499999999999999E-2</v>
      </c>
      <c r="BE7" s="1">
        <v>3.7999999999999999E-2</v>
      </c>
      <c r="BF7" s="1">
        <v>3.78E-2</v>
      </c>
      <c r="BG7" s="1">
        <v>3.7400000000000003E-2</v>
      </c>
      <c r="BH7" s="1">
        <v>3.7499999999999999E-2</v>
      </c>
      <c r="BI7" s="1">
        <v>3.7600000000000001E-2</v>
      </c>
      <c r="BJ7" s="1">
        <v>3.7999999999999999E-2</v>
      </c>
      <c r="BK7" s="1">
        <v>3.9699999999999999E-2</v>
      </c>
      <c r="BL7" s="1">
        <v>4.1799999999999997E-2</v>
      </c>
      <c r="BM7" s="1">
        <v>4.3499999999999997E-2</v>
      </c>
      <c r="BN7" s="1">
        <v>4.4900000000000002E-2</v>
      </c>
      <c r="BO7" s="1">
        <v>4.5900000000000003E-2</v>
      </c>
      <c r="BP7" s="1">
        <v>4.58E-2</v>
      </c>
      <c r="BQ7" s="1">
        <v>4.58E-2</v>
      </c>
      <c r="BR7" s="1">
        <v>4.5999999999999999E-2</v>
      </c>
      <c r="BS7" s="1">
        <v>4.7399999999999998E-2</v>
      </c>
      <c r="BT7" s="1">
        <v>5.0700000000000002E-2</v>
      </c>
      <c r="BU7" s="1">
        <v>5.3499999999999999E-2</v>
      </c>
      <c r="BV7" s="1">
        <v>5.5300000000000002E-2</v>
      </c>
      <c r="BW7" s="1">
        <v>5.7099999999999998E-2</v>
      </c>
      <c r="BX7" s="1">
        <v>5.6899999999999999E-2</v>
      </c>
      <c r="BY7" s="1">
        <v>5.6500000000000002E-2</v>
      </c>
      <c r="BZ7" s="1">
        <v>5.5800000000000002E-2</v>
      </c>
      <c r="CA7" s="1">
        <v>5.8999999999999997E-2</v>
      </c>
      <c r="CB7" s="1">
        <v>6.2700000000000006E-2</v>
      </c>
      <c r="CC7" s="1">
        <v>6.6000000000000003E-2</v>
      </c>
      <c r="CD7" s="1">
        <v>6.88E-2</v>
      </c>
      <c r="CE7" s="1">
        <v>6.5699999999999995E-2</v>
      </c>
      <c r="CF7" s="1">
        <v>6.08E-2</v>
      </c>
      <c r="CG7" s="1">
        <v>5.9299999999999999E-2</v>
      </c>
      <c r="CH7" s="1">
        <v>6.2899999999999998E-2</v>
      </c>
      <c r="CI7" s="1">
        <v>7.8899999999999998E-2</v>
      </c>
      <c r="CJ7" s="1">
        <v>7.6499999999999999E-2</v>
      </c>
      <c r="CK7" s="1">
        <v>7.2599999999999998E-2</v>
      </c>
      <c r="CL7" s="1">
        <v>7.5700000000000003E-2</v>
      </c>
      <c r="CM7" s="1">
        <v>7.4899999999999994E-2</v>
      </c>
      <c r="CN7" s="1">
        <v>6.9099999999999995E-2</v>
      </c>
      <c r="CO7" s="1">
        <v>7.9500000000000001E-2</v>
      </c>
      <c r="CP7" s="1">
        <v>8.7900000000000006E-2</v>
      </c>
      <c r="CQ7" s="1">
        <v>7.5300000000000006E-2</v>
      </c>
      <c r="CR7" s="1">
        <v>8.7099999999999997E-2</v>
      </c>
      <c r="CS7" s="1">
        <v>6.7100000000000007E-2</v>
      </c>
      <c r="CT7" s="1">
        <v>7.7799999999999994E-2</v>
      </c>
      <c r="CU7" s="1">
        <v>7.4800000000000005E-2</v>
      </c>
      <c r="CV7" s="1">
        <v>6.6500000000000004E-2</v>
      </c>
    </row>
    <row r="8" spans="1:100" x14ac:dyDescent="0.2">
      <c r="A8" t="s">
        <v>209</v>
      </c>
      <c r="B8" s="1">
        <v>3.1900000000000001E-3</v>
      </c>
      <c r="C8" s="1">
        <v>6.1999999999999998E-3</v>
      </c>
      <c r="D8" s="1">
        <v>7.5300000000000002E-3</v>
      </c>
      <c r="E8" s="1">
        <v>7.8300000000000002E-3</v>
      </c>
      <c r="F8" s="1">
        <v>7.7200000000000003E-3</v>
      </c>
      <c r="G8" s="1">
        <v>8.7200000000000003E-3</v>
      </c>
      <c r="H8" s="1">
        <v>8.4499999999999992E-3</v>
      </c>
      <c r="I8" s="1">
        <v>8.0199999999999994E-3</v>
      </c>
      <c r="J8" s="1">
        <v>8.26E-3</v>
      </c>
      <c r="K8" s="1">
        <v>6.79E-3</v>
      </c>
      <c r="L8" s="1">
        <v>6.6699999999999997E-3</v>
      </c>
      <c r="M8" s="1">
        <v>6.3699999999999998E-3</v>
      </c>
      <c r="N8" s="1">
        <v>5.9699999999999996E-3</v>
      </c>
      <c r="O8" s="1">
        <v>5.5799999999999999E-3</v>
      </c>
      <c r="P8" s="1">
        <v>4.8199999999999996E-3</v>
      </c>
      <c r="Q8" s="1">
        <v>4.5500000000000002E-3</v>
      </c>
      <c r="R8" s="1">
        <v>4.47E-3</v>
      </c>
      <c r="S8" s="1">
        <v>4.45E-3</v>
      </c>
      <c r="T8" s="1">
        <v>4.4000000000000003E-3</v>
      </c>
      <c r="U8" s="1">
        <v>4.4200000000000003E-3</v>
      </c>
      <c r="V8" s="1">
        <v>4.3899999999999998E-3</v>
      </c>
      <c r="W8" s="1">
        <v>4.4999999999999997E-3</v>
      </c>
      <c r="X8" s="1">
        <v>4.5599999999999998E-3</v>
      </c>
      <c r="Y8" s="1">
        <v>4.6600000000000001E-3</v>
      </c>
      <c r="Z8" s="1">
        <v>4.7800000000000004E-3</v>
      </c>
      <c r="AA8" s="1">
        <v>4.7999999999999996E-3</v>
      </c>
      <c r="AB8" s="1">
        <v>4.8799999999999998E-3</v>
      </c>
      <c r="AC8" s="1">
        <v>4.96E-3</v>
      </c>
      <c r="AD8" s="1">
        <v>5.0499999999999998E-3</v>
      </c>
      <c r="AE8" s="1">
        <v>5.2199999999999998E-3</v>
      </c>
      <c r="AF8" s="1">
        <v>5.3699999999999998E-3</v>
      </c>
      <c r="AG8" s="1">
        <v>5.5500000000000002E-3</v>
      </c>
      <c r="AH8" s="1">
        <v>5.7200000000000003E-3</v>
      </c>
      <c r="AI8" s="1">
        <v>6.0499999999999998E-3</v>
      </c>
      <c r="AJ8" s="1">
        <v>6.2899999999999996E-3</v>
      </c>
      <c r="AK8" s="1">
        <v>6.4700000000000001E-3</v>
      </c>
      <c r="AL8" s="1">
        <v>6.7200000000000003E-3</v>
      </c>
      <c r="AM8" s="1">
        <v>7.0499999999999998E-3</v>
      </c>
      <c r="AN8" s="1">
        <v>7.3299999999999997E-3</v>
      </c>
      <c r="AO8" s="1">
        <v>7.6699999999999997E-3</v>
      </c>
      <c r="AP8" s="1">
        <v>7.8799999999999999E-3</v>
      </c>
      <c r="AQ8" s="1">
        <v>8.1899999999999994E-3</v>
      </c>
      <c r="AR8" s="1">
        <v>8.3599999999999994E-3</v>
      </c>
      <c r="AS8" s="1">
        <v>8.4399999999999996E-3</v>
      </c>
      <c r="AT8" s="1">
        <v>8.43E-3</v>
      </c>
      <c r="AU8" s="1">
        <v>8.4399999999999996E-3</v>
      </c>
      <c r="AV8" s="1">
        <v>8.4899999999999993E-3</v>
      </c>
      <c r="AW8" s="1">
        <v>8.7299999999999999E-3</v>
      </c>
      <c r="AX8" s="1">
        <v>8.8199999999999997E-3</v>
      </c>
      <c r="AY8" s="1">
        <v>9.1299999999999992E-3</v>
      </c>
      <c r="AZ8" s="1">
        <v>9.3399999999999993E-3</v>
      </c>
      <c r="BA8" s="1">
        <v>9.8799999999999999E-3</v>
      </c>
      <c r="BB8" s="1">
        <v>1.04E-2</v>
      </c>
      <c r="BC8" s="1">
        <v>1.0800000000000001E-2</v>
      </c>
      <c r="BD8" s="1">
        <v>1.11E-2</v>
      </c>
      <c r="BE8" s="1">
        <v>1.12E-2</v>
      </c>
      <c r="BF8" s="1">
        <v>1.11E-2</v>
      </c>
      <c r="BG8" s="1">
        <v>1.09E-2</v>
      </c>
      <c r="BH8" s="1">
        <v>1.09E-2</v>
      </c>
      <c r="BI8" s="1">
        <v>1.09E-2</v>
      </c>
      <c r="BJ8" s="1">
        <v>1.09E-2</v>
      </c>
      <c r="BK8" s="1">
        <v>1.12E-2</v>
      </c>
      <c r="BL8" s="1">
        <v>1.17E-2</v>
      </c>
      <c r="BM8" s="1">
        <v>1.2200000000000001E-2</v>
      </c>
      <c r="BN8" s="1">
        <v>1.24E-2</v>
      </c>
      <c r="BO8" s="1">
        <v>1.26E-2</v>
      </c>
      <c r="BP8" s="1">
        <v>1.24E-2</v>
      </c>
      <c r="BQ8" s="1">
        <v>1.24E-2</v>
      </c>
      <c r="BR8" s="1">
        <v>1.2500000000000001E-2</v>
      </c>
      <c r="BS8" s="1">
        <v>1.26E-2</v>
      </c>
      <c r="BT8" s="1">
        <v>1.34E-2</v>
      </c>
      <c r="BU8" s="1">
        <v>1.41E-2</v>
      </c>
      <c r="BV8" s="1">
        <v>1.44E-2</v>
      </c>
      <c r="BW8" s="1">
        <v>1.4800000000000001E-2</v>
      </c>
      <c r="BX8" s="1">
        <v>1.46E-2</v>
      </c>
      <c r="BY8" s="1">
        <v>1.44E-2</v>
      </c>
      <c r="BZ8" s="1">
        <v>1.4200000000000001E-2</v>
      </c>
      <c r="CA8" s="1">
        <v>1.4800000000000001E-2</v>
      </c>
      <c r="CB8" s="1">
        <v>1.5699999999999999E-2</v>
      </c>
      <c r="CC8" s="1">
        <v>1.6199999999999999E-2</v>
      </c>
      <c r="CD8" s="1">
        <v>1.6899999999999998E-2</v>
      </c>
      <c r="CE8" s="1">
        <v>1.61E-2</v>
      </c>
      <c r="CF8" s="1">
        <v>1.49E-2</v>
      </c>
      <c r="CG8" s="1">
        <v>1.47E-2</v>
      </c>
      <c r="CH8" s="1">
        <v>1.55E-2</v>
      </c>
      <c r="CI8" s="1">
        <v>1.9400000000000001E-2</v>
      </c>
      <c r="CJ8" s="1">
        <v>1.8800000000000001E-2</v>
      </c>
      <c r="CK8" s="1">
        <v>1.78E-2</v>
      </c>
      <c r="CL8" s="1">
        <v>1.8599999999999998E-2</v>
      </c>
      <c r="CM8" s="1">
        <v>1.8200000000000001E-2</v>
      </c>
      <c r="CN8" s="1">
        <v>1.72E-2</v>
      </c>
      <c r="CO8" s="1">
        <v>1.9900000000000001E-2</v>
      </c>
      <c r="CP8" s="1">
        <v>2.1999999999999999E-2</v>
      </c>
      <c r="CQ8" s="1">
        <v>1.8800000000000001E-2</v>
      </c>
      <c r="CR8" s="1">
        <v>2.2200000000000001E-2</v>
      </c>
      <c r="CS8" s="1">
        <v>1.7100000000000001E-2</v>
      </c>
      <c r="CT8" s="1">
        <v>2.06E-2</v>
      </c>
      <c r="CU8" s="1">
        <v>2.0899999999999998E-2</v>
      </c>
      <c r="CV8" s="1">
        <v>1.9599999999999999E-2</v>
      </c>
    </row>
    <row r="9" spans="1:100" x14ac:dyDescent="0.2">
      <c r="A9" t="s">
        <v>210</v>
      </c>
      <c r="B9" s="1">
        <v>-2.4599999999999999E-3</v>
      </c>
      <c r="C9" s="1">
        <v>-2.96E-3</v>
      </c>
      <c r="D9" s="1">
        <v>-2.7299999999999998E-3</v>
      </c>
      <c r="E9" s="1">
        <v>-2.4099999999999998E-3</v>
      </c>
      <c r="F9" s="1">
        <v>-2.16E-3</v>
      </c>
      <c r="G9" s="1">
        <v>-2.1900000000000001E-3</v>
      </c>
      <c r="H9" s="1">
        <v>-1.92E-3</v>
      </c>
      <c r="I9" s="1">
        <v>-1.6999999999999999E-3</v>
      </c>
      <c r="J9" s="1">
        <v>-1.6299999999999999E-3</v>
      </c>
      <c r="K9" s="1">
        <v>-1.23E-3</v>
      </c>
      <c r="L9" s="1">
        <v>-1.1299999999999999E-3</v>
      </c>
      <c r="M9" s="1">
        <v>-1E-3</v>
      </c>
      <c r="N9" s="1">
        <v>-8.8500000000000004E-4</v>
      </c>
      <c r="O9" s="1">
        <v>-7.6900000000000004E-4</v>
      </c>
      <c r="P9" s="1">
        <v>-6.3599999999999996E-4</v>
      </c>
      <c r="Q9" s="1">
        <v>-5.8699999999999996E-4</v>
      </c>
      <c r="R9" s="1">
        <v>-5.7399999999999997E-4</v>
      </c>
      <c r="S9" s="1">
        <v>-5.62E-4</v>
      </c>
      <c r="T9" s="1">
        <v>-5.6599999999999999E-4</v>
      </c>
      <c r="U9" s="1">
        <v>-5.6800000000000004E-4</v>
      </c>
      <c r="V9" s="1">
        <v>-6.0499999999999996E-4</v>
      </c>
      <c r="W9" s="1">
        <v>-6.3599999999999996E-4</v>
      </c>
      <c r="X9" s="1">
        <v>-6.5499999999999998E-4</v>
      </c>
      <c r="Y9" s="1">
        <v>-6.8499999999999995E-4</v>
      </c>
      <c r="Z9" s="1">
        <v>-6.96E-4</v>
      </c>
      <c r="AA9" s="1">
        <v>-7.1599999999999995E-4</v>
      </c>
      <c r="AB9" s="1">
        <v>-7.4100000000000001E-4</v>
      </c>
      <c r="AC9" s="1">
        <v>-7.7700000000000002E-4</v>
      </c>
      <c r="AD9" s="1">
        <v>-8.0599999999999997E-4</v>
      </c>
      <c r="AE9" s="1">
        <v>-8.4999999999999995E-4</v>
      </c>
      <c r="AF9" s="1">
        <v>-9.1100000000000003E-4</v>
      </c>
      <c r="AG9" s="1">
        <v>-9.5399999999999999E-4</v>
      </c>
      <c r="AH9" s="1">
        <v>-9.9099999999999991E-4</v>
      </c>
      <c r="AI9" s="1">
        <v>-1.0499999999999999E-3</v>
      </c>
      <c r="AJ9" s="1">
        <v>-1.1100000000000001E-3</v>
      </c>
      <c r="AK9" s="1">
        <v>-1.16E-3</v>
      </c>
      <c r="AL9" s="1">
        <v>-1.1999999999999999E-3</v>
      </c>
      <c r="AM9" s="1">
        <v>-1.2800000000000001E-3</v>
      </c>
      <c r="AN9" s="1">
        <v>-1.34E-3</v>
      </c>
      <c r="AO9" s="1">
        <v>-1.4300000000000001E-3</v>
      </c>
      <c r="AP9" s="1">
        <v>-1.48E-3</v>
      </c>
      <c r="AQ9" s="1">
        <v>-1.5200000000000001E-3</v>
      </c>
      <c r="AR9" s="1">
        <v>-1.5399999999999999E-3</v>
      </c>
      <c r="AS9" s="1">
        <v>-1.5499999999999999E-3</v>
      </c>
      <c r="AT9" s="1">
        <v>-1.5399999999999999E-3</v>
      </c>
      <c r="AU9" s="1">
        <v>-1.5499999999999999E-3</v>
      </c>
      <c r="AV9" s="1">
        <v>-1.5499999999999999E-3</v>
      </c>
      <c r="AW9" s="1">
        <v>-1.6000000000000001E-3</v>
      </c>
      <c r="AX9" s="1">
        <v>-1.6199999999999999E-3</v>
      </c>
      <c r="AY9" s="1">
        <v>-1.6900000000000001E-3</v>
      </c>
      <c r="AZ9" s="1">
        <v>-1.72E-3</v>
      </c>
      <c r="BA9" s="1">
        <v>-1.82E-3</v>
      </c>
      <c r="BB9" s="1">
        <v>-1.92E-3</v>
      </c>
      <c r="BC9" s="1">
        <v>-1.9599999999999999E-3</v>
      </c>
      <c r="BD9" s="1">
        <v>-1.98E-3</v>
      </c>
      <c r="BE9" s="1">
        <v>-1.99E-3</v>
      </c>
      <c r="BF9" s="1">
        <v>-1.97E-3</v>
      </c>
      <c r="BG9" s="1">
        <v>-1.92E-3</v>
      </c>
      <c r="BH9" s="1">
        <v>-1.91E-3</v>
      </c>
      <c r="BI9" s="1">
        <v>-1.9E-3</v>
      </c>
      <c r="BJ9" s="1">
        <v>-1.9E-3</v>
      </c>
      <c r="BK9" s="1">
        <v>-1.9499999999999999E-3</v>
      </c>
      <c r="BL9" s="1">
        <v>-2.0500000000000002E-3</v>
      </c>
      <c r="BM9" s="1">
        <v>-2.0600000000000002E-3</v>
      </c>
      <c r="BN9" s="1">
        <v>-2.1099999999999999E-3</v>
      </c>
      <c r="BO9" s="1">
        <v>-2.1099999999999999E-3</v>
      </c>
      <c r="BP9" s="1">
        <v>-2.0799999999999998E-3</v>
      </c>
      <c r="BQ9" s="1">
        <v>-2.0699999999999998E-3</v>
      </c>
      <c r="BR9" s="1">
        <v>-2.0500000000000002E-3</v>
      </c>
      <c r="BS9" s="1">
        <v>-2.0600000000000002E-3</v>
      </c>
      <c r="BT9" s="1">
        <v>-2.1900000000000001E-3</v>
      </c>
      <c r="BU9" s="1">
        <v>-2.2799999999999999E-3</v>
      </c>
      <c r="BV9" s="1">
        <v>-2.31E-3</v>
      </c>
      <c r="BW9" s="1">
        <v>-2.3800000000000002E-3</v>
      </c>
      <c r="BX9" s="1">
        <v>-2.3500000000000001E-3</v>
      </c>
      <c r="BY9" s="1">
        <v>-2.32E-3</v>
      </c>
      <c r="BZ9" s="1">
        <v>-2.2300000000000002E-3</v>
      </c>
      <c r="CA9" s="1">
        <v>-2.3600000000000001E-3</v>
      </c>
      <c r="CB9" s="1">
        <v>-2.49E-3</v>
      </c>
      <c r="CC9" s="1">
        <v>-2.5100000000000001E-3</v>
      </c>
      <c r="CD9" s="1">
        <v>-2.6099999999999999E-3</v>
      </c>
      <c r="CE9" s="1">
        <v>-2.48E-3</v>
      </c>
      <c r="CF9" s="1">
        <v>-2.32E-3</v>
      </c>
      <c r="CG9" s="1">
        <v>-2.2499999999999998E-3</v>
      </c>
      <c r="CH9" s="1">
        <v>-2.3900000000000002E-3</v>
      </c>
      <c r="CI9" s="1">
        <v>-2.8999999999999998E-3</v>
      </c>
      <c r="CJ9" s="1">
        <v>-2.82E-3</v>
      </c>
      <c r="CK9" s="1">
        <v>-2.7599999999999999E-3</v>
      </c>
      <c r="CL9" s="1">
        <v>-2.8700000000000002E-3</v>
      </c>
      <c r="CM9" s="1">
        <v>-2.8600000000000001E-3</v>
      </c>
      <c r="CN9" s="1">
        <v>-2.7499999999999998E-3</v>
      </c>
      <c r="CO9" s="1">
        <v>-3.2499999999999999E-3</v>
      </c>
      <c r="CP9" s="1">
        <v>-3.5699999999999998E-3</v>
      </c>
      <c r="CQ9" s="1">
        <v>-3.0699999999999998E-3</v>
      </c>
      <c r="CR9" s="1">
        <v>-3.8500000000000001E-3</v>
      </c>
      <c r="CS9" s="1">
        <v>-3.0400000000000002E-3</v>
      </c>
      <c r="CT9" s="1">
        <v>-3.48E-3</v>
      </c>
      <c r="CU9" s="1">
        <v>-3.63E-3</v>
      </c>
      <c r="CV9" s="1">
        <v>-3.5200000000000001E-3</v>
      </c>
    </row>
    <row r="10" spans="1:100" x14ac:dyDescent="0.2">
      <c r="A10" t="s">
        <v>211</v>
      </c>
      <c r="B10" s="1">
        <v>-2.15E-3</v>
      </c>
      <c r="C10" s="1">
        <v>-2.47E-3</v>
      </c>
      <c r="D10" s="1">
        <v>-2.31E-3</v>
      </c>
      <c r="E10" s="1">
        <v>-2.15E-3</v>
      </c>
      <c r="F10" s="1">
        <v>-1.92E-3</v>
      </c>
      <c r="G10" s="1">
        <v>-1.9400000000000001E-3</v>
      </c>
      <c r="H10" s="1">
        <v>-1.8500000000000001E-3</v>
      </c>
      <c r="I10" s="1">
        <v>-1.89E-3</v>
      </c>
      <c r="J10" s="1">
        <v>-1.7600000000000001E-3</v>
      </c>
      <c r="K10" s="1">
        <v>-1.48E-3</v>
      </c>
      <c r="L10" s="1">
        <v>-1.5200000000000001E-3</v>
      </c>
      <c r="M10" s="1">
        <v>-1.5E-3</v>
      </c>
      <c r="N10" s="1">
        <v>-1.42E-3</v>
      </c>
      <c r="O10" s="1">
        <v>-1.3699999999999999E-3</v>
      </c>
      <c r="P10" s="1">
        <v>-1.15E-3</v>
      </c>
      <c r="Q10" s="1">
        <v>-1.1199999999999999E-3</v>
      </c>
      <c r="R10" s="1">
        <v>-1.0300000000000001E-3</v>
      </c>
      <c r="S10" s="1">
        <v>-1.08E-3</v>
      </c>
      <c r="T10" s="1">
        <v>-1.0499999999999999E-3</v>
      </c>
      <c r="U10" s="1">
        <v>-1.0399999999999999E-3</v>
      </c>
      <c r="V10" s="1">
        <v>-1.0499999999999999E-3</v>
      </c>
      <c r="W10" s="1">
        <v>-1.1000000000000001E-3</v>
      </c>
      <c r="X10" s="1">
        <v>-1.09E-3</v>
      </c>
      <c r="Y10" s="1">
        <v>-1.1299999999999999E-3</v>
      </c>
      <c r="Z10" s="1">
        <v>-1.1000000000000001E-3</v>
      </c>
      <c r="AA10" s="1">
        <v>-1.1000000000000001E-3</v>
      </c>
      <c r="AB10" s="1">
        <v>-1.14E-3</v>
      </c>
      <c r="AC10" s="1">
        <v>-1.1299999999999999E-3</v>
      </c>
      <c r="AD10" s="1">
        <v>-1.16E-3</v>
      </c>
      <c r="AE10" s="1">
        <v>-1.2999999999999999E-3</v>
      </c>
      <c r="AF10" s="1">
        <v>-1.32E-3</v>
      </c>
      <c r="AG10" s="1">
        <v>-1.3699999999999999E-3</v>
      </c>
      <c r="AH10" s="1">
        <v>-1.4400000000000001E-3</v>
      </c>
      <c r="AI10" s="1">
        <v>-1.49E-3</v>
      </c>
      <c r="AJ10" s="1">
        <v>-1.56E-3</v>
      </c>
      <c r="AK10" s="1">
        <v>-1.6000000000000001E-3</v>
      </c>
      <c r="AL10" s="1">
        <v>-1.6100000000000001E-3</v>
      </c>
      <c r="AM10" s="1">
        <v>-1.7600000000000001E-3</v>
      </c>
      <c r="AN10" s="1">
        <v>-1.83E-3</v>
      </c>
      <c r="AO10" s="1">
        <v>-1.8500000000000001E-3</v>
      </c>
      <c r="AP10" s="1">
        <v>-1.9300000000000001E-3</v>
      </c>
      <c r="AQ10" s="1">
        <v>-1.9599999999999999E-3</v>
      </c>
      <c r="AR10" s="1">
        <v>-1.98E-3</v>
      </c>
      <c r="AS10" s="1">
        <v>-1.98E-3</v>
      </c>
      <c r="AT10" s="1">
        <v>-1.9599999999999999E-3</v>
      </c>
      <c r="AU10" s="1">
        <v>-2.0100000000000001E-3</v>
      </c>
      <c r="AV10" s="1">
        <v>-2.0500000000000002E-3</v>
      </c>
      <c r="AW10" s="1">
        <v>-2.0200000000000001E-3</v>
      </c>
      <c r="AX10" s="1">
        <v>-2.0899999999999998E-3</v>
      </c>
      <c r="AY10" s="1">
        <v>-2.14E-3</v>
      </c>
      <c r="AZ10" s="1">
        <v>-2.1700000000000001E-3</v>
      </c>
      <c r="BA10" s="1">
        <v>-2.2699999999999999E-3</v>
      </c>
      <c r="BB10" s="1">
        <v>-2.4099999999999998E-3</v>
      </c>
      <c r="BC10" s="1">
        <v>-2.5600000000000002E-3</v>
      </c>
      <c r="BD10" s="1">
        <v>-2.5699999999999998E-3</v>
      </c>
      <c r="BE10" s="1">
        <v>-2.5999999999999999E-3</v>
      </c>
      <c r="BF10" s="1">
        <v>-2.5999999999999999E-3</v>
      </c>
      <c r="BG10" s="1">
        <v>-2.6099999999999999E-3</v>
      </c>
      <c r="BH10" s="1">
        <v>-2.6800000000000001E-3</v>
      </c>
      <c r="BI10" s="1">
        <v>-2.5999999999999999E-3</v>
      </c>
      <c r="BJ10" s="1">
        <v>-2.5699999999999998E-3</v>
      </c>
      <c r="BK10" s="1">
        <v>-2.7299999999999998E-3</v>
      </c>
      <c r="BL10" s="1">
        <v>-2.9099999999999998E-3</v>
      </c>
      <c r="BM10" s="1">
        <v>-3.0200000000000001E-3</v>
      </c>
      <c r="BN10" s="1">
        <v>-3.0999999999999999E-3</v>
      </c>
      <c r="BO10" s="1">
        <v>-3.13E-3</v>
      </c>
      <c r="BP10" s="1">
        <v>-3.2399999999999998E-3</v>
      </c>
      <c r="BQ10" s="1">
        <v>-3.2399999999999998E-3</v>
      </c>
      <c r="BR10" s="1">
        <v>-3.1700000000000001E-3</v>
      </c>
      <c r="BS10" s="1">
        <v>-3.2100000000000002E-3</v>
      </c>
      <c r="BT10" s="1">
        <v>-3.49E-3</v>
      </c>
      <c r="BU10" s="1">
        <v>-3.6600000000000001E-3</v>
      </c>
      <c r="BV10" s="1">
        <v>-3.7100000000000002E-3</v>
      </c>
      <c r="BW10" s="1">
        <v>-3.7699999999999999E-3</v>
      </c>
      <c r="BX10" s="1">
        <v>-3.7599999999999999E-3</v>
      </c>
      <c r="BY10" s="1">
        <v>-3.8300000000000001E-3</v>
      </c>
      <c r="BZ10" s="1">
        <v>-3.62E-3</v>
      </c>
      <c r="CA10" s="1">
        <v>-3.81E-3</v>
      </c>
      <c r="CB10" s="1">
        <v>-3.96E-3</v>
      </c>
      <c r="CC10" s="1">
        <v>-4.1200000000000004E-3</v>
      </c>
      <c r="CD10" s="1">
        <v>-4.28E-3</v>
      </c>
      <c r="CE10" s="1">
        <v>-4.1099999999999999E-3</v>
      </c>
      <c r="CF10" s="1">
        <v>-3.8999999999999998E-3</v>
      </c>
      <c r="CG10" s="1">
        <v>-3.5899999999999999E-3</v>
      </c>
      <c r="CH10" s="1">
        <v>-3.79E-3</v>
      </c>
      <c r="CI10" s="1">
        <v>-4.7400000000000003E-3</v>
      </c>
      <c r="CJ10" s="1">
        <v>-4.5700000000000003E-3</v>
      </c>
      <c r="CK10" s="1">
        <v>-4.4799999999999996E-3</v>
      </c>
      <c r="CL10" s="1">
        <v>-4.5799999999999999E-3</v>
      </c>
      <c r="CM10" s="1">
        <v>-4.4000000000000003E-3</v>
      </c>
      <c r="CN10" s="1">
        <v>-4.1900000000000001E-3</v>
      </c>
      <c r="CO10" s="1">
        <v>-4.8999999999999998E-3</v>
      </c>
      <c r="CP10" s="1">
        <v>-5.5999999999999999E-3</v>
      </c>
      <c r="CQ10" s="1">
        <v>-4.96E-3</v>
      </c>
      <c r="CR10" s="1">
        <v>-5.6600000000000001E-3</v>
      </c>
      <c r="CS10" s="1">
        <v>-4.5199999999999997E-3</v>
      </c>
      <c r="CT10" s="1">
        <v>-5.6100000000000004E-3</v>
      </c>
      <c r="CU10" s="1">
        <v>-5.3099999999999996E-3</v>
      </c>
      <c r="CV10" s="1">
        <v>-4.5399999999999998E-3</v>
      </c>
    </row>
    <row r="11" spans="1:100" x14ac:dyDescent="0.2">
      <c r="A11" t="s">
        <v>212</v>
      </c>
      <c r="B11" s="1">
        <v>2.0400000000000001E-3</v>
      </c>
      <c r="C11" s="1">
        <v>2.4199999999999998E-3</v>
      </c>
      <c r="D11" s="1">
        <v>2.2100000000000002E-3</v>
      </c>
      <c r="E11" s="1">
        <v>1.9599999999999999E-3</v>
      </c>
      <c r="F11" s="1">
        <v>1.74E-3</v>
      </c>
      <c r="G11" s="1">
        <v>1.67E-3</v>
      </c>
      <c r="H11" s="1">
        <v>1.57E-3</v>
      </c>
      <c r="I11" s="1">
        <v>1.4599999999999999E-3</v>
      </c>
      <c r="J11" s="1">
        <v>1.3799999999999999E-3</v>
      </c>
      <c r="K11" s="1">
        <v>1.08E-3</v>
      </c>
      <c r="L11" s="1">
        <v>9.859999999999999E-4</v>
      </c>
      <c r="M11" s="1">
        <v>8.6799999999999996E-4</v>
      </c>
      <c r="N11" s="1">
        <v>7.7800000000000005E-4</v>
      </c>
      <c r="O11" s="1">
        <v>6.6100000000000002E-4</v>
      </c>
      <c r="P11" s="1">
        <v>5.2400000000000005E-4</v>
      </c>
      <c r="Q11" s="1">
        <v>4.6900000000000002E-4</v>
      </c>
      <c r="R11" s="1">
        <v>4.28E-4</v>
      </c>
      <c r="S11" s="1">
        <v>4.0700000000000003E-4</v>
      </c>
      <c r="T11" s="1">
        <v>3.7500000000000001E-4</v>
      </c>
      <c r="U11" s="1">
        <v>3.5500000000000001E-4</v>
      </c>
      <c r="V11" s="1">
        <v>3.4499999999999998E-4</v>
      </c>
      <c r="W11" s="1">
        <v>3.3E-4</v>
      </c>
      <c r="X11" s="1">
        <v>3.21E-4</v>
      </c>
      <c r="Y11" s="1">
        <v>3.1599999999999998E-4</v>
      </c>
      <c r="Z11" s="1">
        <v>3.0200000000000002E-4</v>
      </c>
      <c r="AA11" s="1">
        <v>2.9999999999999997E-4</v>
      </c>
      <c r="AB11" s="1">
        <v>2.8800000000000001E-4</v>
      </c>
      <c r="AC11" s="1">
        <v>2.7599999999999999E-4</v>
      </c>
      <c r="AD11" s="1">
        <v>2.7799999999999998E-4</v>
      </c>
      <c r="AE11" s="1">
        <v>2.6899999999999998E-4</v>
      </c>
      <c r="AF11" s="1">
        <v>2.6699999999999998E-4</v>
      </c>
      <c r="AG11" s="1">
        <v>2.6400000000000002E-4</v>
      </c>
      <c r="AH11" s="1">
        <v>2.7099999999999997E-4</v>
      </c>
      <c r="AI11" s="1">
        <v>2.7500000000000002E-4</v>
      </c>
      <c r="AJ11" s="1">
        <v>2.8699999999999998E-4</v>
      </c>
      <c r="AK11" s="1">
        <v>2.8499999999999999E-4</v>
      </c>
      <c r="AL11" s="1">
        <v>2.8400000000000002E-4</v>
      </c>
      <c r="AM11" s="1">
        <v>2.9100000000000003E-4</v>
      </c>
      <c r="AN11" s="1">
        <v>2.8899999999999998E-4</v>
      </c>
      <c r="AO11" s="1">
        <v>2.9E-4</v>
      </c>
      <c r="AP11" s="1">
        <v>2.92E-4</v>
      </c>
      <c r="AQ11" s="1">
        <v>2.9399999999999999E-4</v>
      </c>
      <c r="AR11" s="1">
        <v>2.9E-4</v>
      </c>
      <c r="AS11" s="1">
        <v>2.8499999999999999E-4</v>
      </c>
      <c r="AT11" s="1">
        <v>2.7599999999999999E-4</v>
      </c>
      <c r="AU11" s="1">
        <v>2.7900000000000001E-4</v>
      </c>
      <c r="AV11" s="1">
        <v>2.7399999999999999E-4</v>
      </c>
      <c r="AW11" s="1">
        <v>2.61E-4</v>
      </c>
      <c r="AX11" s="1">
        <v>2.5700000000000001E-4</v>
      </c>
      <c r="AY11" s="1">
        <v>2.52E-4</v>
      </c>
      <c r="AZ11" s="1">
        <v>2.52E-4</v>
      </c>
      <c r="BA11" s="1">
        <v>2.6400000000000002E-4</v>
      </c>
      <c r="BB11" s="1">
        <v>2.7399999999999999E-4</v>
      </c>
      <c r="BC11" s="1">
        <v>2.7599999999999999E-4</v>
      </c>
      <c r="BD11" s="1">
        <v>2.7599999999999999E-4</v>
      </c>
      <c r="BE11" s="1">
        <v>2.7E-4</v>
      </c>
      <c r="BF11" s="1">
        <v>2.5500000000000002E-4</v>
      </c>
      <c r="BG11" s="1">
        <v>2.5099999999999998E-4</v>
      </c>
      <c r="BH11" s="1">
        <v>2.5700000000000001E-4</v>
      </c>
      <c r="BI11" s="1">
        <v>2.4600000000000002E-4</v>
      </c>
      <c r="BJ11" s="1">
        <v>2.4399999999999999E-4</v>
      </c>
      <c r="BK11" s="1">
        <v>2.4600000000000002E-4</v>
      </c>
      <c r="BL11" s="1">
        <v>2.4800000000000001E-4</v>
      </c>
      <c r="BM11" s="1">
        <v>2.4600000000000002E-4</v>
      </c>
      <c r="BN11" s="1">
        <v>2.5599999999999999E-4</v>
      </c>
      <c r="BO11" s="1">
        <v>2.63E-4</v>
      </c>
      <c r="BP11" s="1">
        <v>2.52E-4</v>
      </c>
      <c r="BQ11" s="1">
        <v>2.4499999999999999E-4</v>
      </c>
      <c r="BR11" s="1">
        <v>2.4800000000000001E-4</v>
      </c>
      <c r="BS11" s="1">
        <v>2.5700000000000001E-4</v>
      </c>
      <c r="BT11" s="1">
        <v>2.8400000000000002E-4</v>
      </c>
      <c r="BU11" s="1">
        <v>2.9999999999999997E-4</v>
      </c>
      <c r="BV11" s="1">
        <v>2.8400000000000002E-4</v>
      </c>
      <c r="BW11" s="1">
        <v>2.9300000000000002E-4</v>
      </c>
      <c r="BX11" s="1">
        <v>2.9100000000000003E-4</v>
      </c>
      <c r="BY11" s="1">
        <v>2.8800000000000001E-4</v>
      </c>
      <c r="BZ11" s="1">
        <v>2.72E-4</v>
      </c>
      <c r="CA11" s="1">
        <v>2.81E-4</v>
      </c>
      <c r="CB11" s="1">
        <v>2.6699999999999998E-4</v>
      </c>
      <c r="CC11" s="1">
        <v>2.61E-4</v>
      </c>
      <c r="CD11" s="1">
        <v>2.5399999999999999E-4</v>
      </c>
      <c r="CE11" s="1">
        <v>2.4000000000000001E-4</v>
      </c>
      <c r="CF11" s="1">
        <v>2.1499999999999999E-4</v>
      </c>
      <c r="CG11" s="1">
        <v>2.0000000000000001E-4</v>
      </c>
      <c r="CH11" s="1">
        <v>1.75E-4</v>
      </c>
      <c r="CI11" s="1">
        <v>2.13E-4</v>
      </c>
      <c r="CJ11" s="1">
        <v>2.12E-4</v>
      </c>
      <c r="CK11" s="1">
        <v>1.9799999999999999E-4</v>
      </c>
      <c r="CL11" s="1">
        <v>2.0599999999999999E-4</v>
      </c>
      <c r="CM11" s="1">
        <v>1.8699999999999999E-4</v>
      </c>
      <c r="CN11" s="1">
        <v>1.75E-4</v>
      </c>
      <c r="CO11" s="1">
        <v>1.8599999999999999E-4</v>
      </c>
      <c r="CP11" s="1">
        <v>2.0000000000000001E-4</v>
      </c>
      <c r="CQ11" s="1">
        <v>1.64E-4</v>
      </c>
      <c r="CR11" s="1">
        <v>1.7100000000000001E-4</v>
      </c>
      <c r="CS11" s="1">
        <v>1.25E-4</v>
      </c>
      <c r="CT11" s="1">
        <v>1.6699999999999999E-4</v>
      </c>
      <c r="CU11" s="1">
        <v>1.16E-4</v>
      </c>
      <c r="CV11" s="1">
        <v>1.5699999999999999E-4</v>
      </c>
    </row>
    <row r="12" spans="1:100" x14ac:dyDescent="0.2">
      <c r="A12" t="s">
        <v>213</v>
      </c>
      <c r="B12" s="1">
        <v>7.9299999999999995E-3</v>
      </c>
      <c r="C12" s="1">
        <v>1.14E-2</v>
      </c>
      <c r="D12" s="1">
        <v>1.2200000000000001E-2</v>
      </c>
      <c r="E12" s="1">
        <v>1.2500000000000001E-2</v>
      </c>
      <c r="F12" s="1">
        <v>1.24E-2</v>
      </c>
      <c r="G12" s="1">
        <v>1.37E-2</v>
      </c>
      <c r="H12" s="1">
        <v>1.37E-2</v>
      </c>
      <c r="I12" s="1">
        <v>1.32E-2</v>
      </c>
      <c r="J12" s="1">
        <v>1.35E-2</v>
      </c>
      <c r="K12" s="1">
        <v>1.09E-2</v>
      </c>
      <c r="L12" s="1">
        <v>1.06E-2</v>
      </c>
      <c r="M12" s="1">
        <v>9.9399999999999992E-3</v>
      </c>
      <c r="N12" s="1">
        <v>8.9700000000000005E-3</v>
      </c>
      <c r="O12" s="1">
        <v>7.79E-3</v>
      </c>
      <c r="P12" s="1">
        <v>6.2599999999999999E-3</v>
      </c>
      <c r="Q12" s="1">
        <v>5.5500000000000002E-3</v>
      </c>
      <c r="R12" s="1">
        <v>5.1900000000000002E-3</v>
      </c>
      <c r="S12" s="1">
        <v>5.0000000000000001E-3</v>
      </c>
      <c r="T12" s="1">
        <v>4.3800000000000002E-3</v>
      </c>
      <c r="U12" s="1">
        <v>4.0400000000000002E-3</v>
      </c>
      <c r="V12" s="1">
        <v>3.8400000000000001E-3</v>
      </c>
      <c r="W12" s="1">
        <v>3.6700000000000001E-3</v>
      </c>
      <c r="X12" s="1">
        <v>3.4499999999999999E-3</v>
      </c>
      <c r="Y12" s="1">
        <v>3.1900000000000001E-3</v>
      </c>
      <c r="Z12" s="1">
        <v>2.9499999999999999E-3</v>
      </c>
      <c r="AA12" s="1">
        <v>2.7399999999999998E-3</v>
      </c>
      <c r="AB12" s="1">
        <v>2.5999999999999999E-3</v>
      </c>
      <c r="AC12" s="1">
        <v>2.5200000000000001E-3</v>
      </c>
      <c r="AD12" s="1">
        <v>2.4199999999999998E-3</v>
      </c>
      <c r="AE12" s="1">
        <v>2.3800000000000002E-3</v>
      </c>
      <c r="AF12" s="1">
        <v>2.2799999999999999E-3</v>
      </c>
      <c r="AG12" s="1">
        <v>2.14E-3</v>
      </c>
      <c r="AH12" s="1">
        <v>2.0500000000000002E-3</v>
      </c>
      <c r="AI12" s="1">
        <v>1.97E-3</v>
      </c>
      <c r="AJ12" s="1">
        <v>1.92E-3</v>
      </c>
      <c r="AK12" s="1">
        <v>1.8799999999999999E-3</v>
      </c>
      <c r="AL12" s="1">
        <v>1.8799999999999999E-3</v>
      </c>
      <c r="AM12" s="1">
        <v>1.8400000000000001E-3</v>
      </c>
      <c r="AN12" s="1">
        <v>1.7600000000000001E-3</v>
      </c>
      <c r="AO12" s="1">
        <v>1.64E-3</v>
      </c>
      <c r="AP12" s="1">
        <v>1.57E-3</v>
      </c>
      <c r="AQ12" s="1">
        <v>1.4300000000000001E-3</v>
      </c>
      <c r="AR12" s="1">
        <v>1.2700000000000001E-3</v>
      </c>
      <c r="AS12" s="1">
        <v>1.1199999999999999E-3</v>
      </c>
      <c r="AT12" s="1">
        <v>9.5E-4</v>
      </c>
      <c r="AU12" s="1">
        <v>8.9499999999999996E-4</v>
      </c>
      <c r="AV12" s="1">
        <v>8.8500000000000004E-4</v>
      </c>
      <c r="AW12" s="1">
        <v>8.4800000000000001E-4</v>
      </c>
      <c r="AX12" s="1">
        <v>8.5099999999999998E-4</v>
      </c>
      <c r="AY12" s="1">
        <v>7.4299999999999995E-4</v>
      </c>
      <c r="AZ12" s="1">
        <v>7.0100000000000002E-4</v>
      </c>
      <c r="BA12" s="1">
        <v>6.1799999999999995E-4</v>
      </c>
      <c r="BB12" s="1">
        <v>5.6599999999999999E-4</v>
      </c>
      <c r="BC12" s="1">
        <v>4.8799999999999999E-4</v>
      </c>
      <c r="BD12" s="1">
        <v>3.21E-4</v>
      </c>
      <c r="BE12" s="1">
        <v>1.8100000000000001E-4</v>
      </c>
      <c r="BF12" s="1">
        <v>1.12E-4</v>
      </c>
      <c r="BG12" s="1">
        <v>8.2000000000000001E-5</v>
      </c>
      <c r="BH12" s="1">
        <v>1.13E-4</v>
      </c>
      <c r="BI12" s="1">
        <v>6.4800000000000003E-5</v>
      </c>
      <c r="BJ12" s="1">
        <v>6.8899999999999994E-5</v>
      </c>
      <c r="BK12" s="1">
        <v>7.8999999999999996E-5</v>
      </c>
      <c r="BL12" s="1">
        <v>6.7999999999999999E-5</v>
      </c>
      <c r="BM12" s="1">
        <v>-5.99E-7</v>
      </c>
      <c r="BN12" s="1">
        <v>-1.44E-4</v>
      </c>
      <c r="BO12" s="1">
        <v>-2.03E-4</v>
      </c>
      <c r="BP12" s="1">
        <v>-2.2699999999999999E-4</v>
      </c>
      <c r="BQ12" s="1">
        <v>-2.5700000000000001E-4</v>
      </c>
      <c r="BR12" s="1">
        <v>-3.5199999999999999E-4</v>
      </c>
      <c r="BS12" s="1">
        <v>-4.0900000000000002E-4</v>
      </c>
      <c r="BT12" s="1">
        <v>-4.6500000000000003E-4</v>
      </c>
      <c r="BU12" s="1">
        <v>-5.62E-4</v>
      </c>
      <c r="BV12" s="1">
        <v>-4.4900000000000002E-4</v>
      </c>
      <c r="BW12" s="1">
        <v>-5.8E-4</v>
      </c>
      <c r="BX12" s="1">
        <v>-5.8699999999999996E-4</v>
      </c>
      <c r="BY12" s="1">
        <v>-5.9100000000000005E-4</v>
      </c>
      <c r="BZ12" s="1">
        <v>-6.8800000000000003E-4</v>
      </c>
      <c r="CA12" s="1">
        <v>-6.9800000000000005E-4</v>
      </c>
      <c r="CB12" s="1">
        <v>-6.5899999999999997E-4</v>
      </c>
      <c r="CC12" s="1">
        <v>-6.2200000000000005E-4</v>
      </c>
      <c r="CD12" s="1">
        <v>-6.1499999999999999E-4</v>
      </c>
      <c r="CE12" s="1">
        <v>-7.5900000000000002E-4</v>
      </c>
      <c r="CF12" s="1">
        <v>-7.0200000000000004E-4</v>
      </c>
      <c r="CG12" s="1">
        <v>-5.6999999999999998E-4</v>
      </c>
      <c r="CH12" s="1">
        <v>-4.9299999999999995E-4</v>
      </c>
      <c r="CI12" s="1">
        <v>-6.4199999999999999E-4</v>
      </c>
      <c r="CJ12" s="1">
        <v>-5.6899999999999995E-4</v>
      </c>
      <c r="CK12" s="1">
        <v>-4.7600000000000002E-4</v>
      </c>
      <c r="CL12" s="1">
        <v>-7.0299999999999996E-4</v>
      </c>
      <c r="CM12" s="1">
        <v>-6.6500000000000001E-4</v>
      </c>
      <c r="CN12" s="1">
        <v>-5.0100000000000003E-4</v>
      </c>
      <c r="CO12" s="1">
        <v>-6.5899999999999997E-4</v>
      </c>
      <c r="CP12" s="1">
        <v>-7.6999999999999996E-4</v>
      </c>
      <c r="CQ12" s="1">
        <v>-5.7399999999999997E-4</v>
      </c>
      <c r="CR12" s="1">
        <v>-4.6799999999999999E-4</v>
      </c>
      <c r="CS12" s="1">
        <v>-2.24E-4</v>
      </c>
      <c r="CT12" s="1">
        <v>-3.19E-4</v>
      </c>
      <c r="CU12" s="1">
        <v>-5.7600000000000001E-4</v>
      </c>
      <c r="CV12" s="1">
        <v>-5.8600000000000004E-4</v>
      </c>
    </row>
    <row r="13" spans="1:100" x14ac:dyDescent="0.2">
      <c r="A13" t="s">
        <v>214</v>
      </c>
      <c r="B13" s="1">
        <v>5.3899999999999998E-4</v>
      </c>
      <c r="C13" s="1">
        <v>4.1100000000000002E-4</v>
      </c>
      <c r="D13" s="1">
        <v>3.2899999999999997E-4</v>
      </c>
      <c r="E13" s="1">
        <v>2.63E-4</v>
      </c>
      <c r="F13" s="1">
        <v>2.0900000000000001E-4</v>
      </c>
      <c r="G13" s="1">
        <v>1.2400000000000001E-4</v>
      </c>
      <c r="H13" s="1">
        <v>3.2199999999999997E-5</v>
      </c>
      <c r="I13" s="1">
        <v>-3.4999999999999997E-5</v>
      </c>
      <c r="J13" s="1">
        <v>1.04E-5</v>
      </c>
      <c r="K13" s="1">
        <v>-2.6999999999999999E-5</v>
      </c>
      <c r="L13" s="1">
        <v>-4.18E-5</v>
      </c>
      <c r="M13" s="1">
        <v>-3.1099999999999997E-5</v>
      </c>
      <c r="N13" s="2">
        <v>1.8399999999999999E-8</v>
      </c>
      <c r="O13" s="1">
        <v>-6.0800000000000001E-5</v>
      </c>
      <c r="P13" s="1">
        <v>-3.8899999999999997E-5</v>
      </c>
      <c r="Q13" s="1">
        <v>1.81E-6</v>
      </c>
      <c r="R13" s="1">
        <v>-7.5599999999999994E-5</v>
      </c>
      <c r="S13" s="1">
        <v>-3.6600000000000002E-5</v>
      </c>
      <c r="T13" s="1">
        <v>-4.6400000000000003E-5</v>
      </c>
      <c r="U13" s="1">
        <v>-5.5399999999999998E-5</v>
      </c>
      <c r="V13" s="1">
        <v>-3.6000000000000001E-5</v>
      </c>
      <c r="W13" s="1">
        <v>-5.5800000000000001E-5</v>
      </c>
      <c r="X13" s="1">
        <v>-4.1300000000000001E-5</v>
      </c>
      <c r="Y13" s="1">
        <v>-5.3600000000000002E-5</v>
      </c>
      <c r="Z13" s="1">
        <v>-5.5800000000000001E-5</v>
      </c>
      <c r="AA13" s="1">
        <v>-8.2200000000000006E-5</v>
      </c>
      <c r="AB13" s="1">
        <v>-4.9299999999999999E-5</v>
      </c>
      <c r="AC13" s="1">
        <v>-6.5099999999999997E-5</v>
      </c>
      <c r="AD13" s="1">
        <v>-6.8499999999999998E-5</v>
      </c>
      <c r="AE13" s="1">
        <v>3.6399999999999999E-6</v>
      </c>
      <c r="AF13" s="1">
        <v>-2.2399999999999999E-5</v>
      </c>
      <c r="AG13" s="1">
        <v>-4.9799999999999998E-5</v>
      </c>
      <c r="AH13" s="1">
        <v>-4.1600000000000002E-5</v>
      </c>
      <c r="AI13" s="1">
        <v>-7.8499999999999997E-5</v>
      </c>
      <c r="AJ13" s="1">
        <v>-4.7599999999999998E-5</v>
      </c>
      <c r="AK13" s="1">
        <v>-3.1000000000000001E-5</v>
      </c>
      <c r="AL13" s="1">
        <v>-6.7899999999999997E-5</v>
      </c>
      <c r="AM13" s="1">
        <v>-3.65E-5</v>
      </c>
      <c r="AN13" s="1">
        <v>-5.8400000000000003E-5</v>
      </c>
      <c r="AO13" s="1">
        <v>-3.93E-5</v>
      </c>
      <c r="AP13" s="1">
        <v>-1.6099999999999998E-5</v>
      </c>
      <c r="AQ13" s="1">
        <v>-5.3000000000000001E-5</v>
      </c>
      <c r="AR13" s="1">
        <v>-5.1100000000000002E-5</v>
      </c>
      <c r="AS13" s="1">
        <v>-4.8999999999999998E-5</v>
      </c>
      <c r="AT13" s="1">
        <v>-5.1700000000000003E-5</v>
      </c>
      <c r="AU13" s="1">
        <v>-1.3900000000000001E-5</v>
      </c>
      <c r="AV13" s="1">
        <v>-6.6199999999999996E-5</v>
      </c>
      <c r="AW13" s="1">
        <v>-2.5599999999999999E-5</v>
      </c>
      <c r="AX13" s="1">
        <v>1.84E-5</v>
      </c>
      <c r="AY13" s="1">
        <v>-1.3200000000000001E-5</v>
      </c>
      <c r="AZ13" s="1">
        <v>-8.1300000000000001E-6</v>
      </c>
      <c r="BA13" s="1">
        <v>-5.31E-6</v>
      </c>
      <c r="BB13" s="1">
        <v>-3.41E-6</v>
      </c>
      <c r="BC13" s="1">
        <v>2.7300000000000001E-6</v>
      </c>
      <c r="BD13" s="1">
        <v>2.4300000000000001E-5</v>
      </c>
      <c r="BE13" s="1">
        <v>1.47E-5</v>
      </c>
      <c r="BF13" s="1">
        <v>7.8099999999999998E-6</v>
      </c>
      <c r="BG13" s="1">
        <v>1.5500000000000001E-5</v>
      </c>
      <c r="BH13" s="1">
        <v>-3.96E-5</v>
      </c>
      <c r="BI13" s="1">
        <v>1.01E-4</v>
      </c>
      <c r="BJ13" s="1">
        <v>2.1299999999999999E-5</v>
      </c>
      <c r="BK13" s="1">
        <v>6.8200000000000004E-5</v>
      </c>
      <c r="BL13" s="1">
        <v>8.9400000000000005E-5</v>
      </c>
      <c r="BM13" s="1">
        <v>9.6500000000000001E-5</v>
      </c>
      <c r="BN13" s="1">
        <v>8.1600000000000005E-5</v>
      </c>
      <c r="BO13" s="1">
        <v>7.1000000000000005E-5</v>
      </c>
      <c r="BP13" s="1">
        <v>1.05E-4</v>
      </c>
      <c r="BQ13" s="1">
        <v>5.1799999999999999E-5</v>
      </c>
      <c r="BR13" s="1">
        <v>1.1400000000000001E-4</v>
      </c>
      <c r="BS13" s="1">
        <v>1.15E-4</v>
      </c>
      <c r="BT13" s="1">
        <v>7.8499999999999997E-5</v>
      </c>
      <c r="BU13" s="1">
        <v>9.2E-5</v>
      </c>
      <c r="BV13" s="1">
        <v>1.47E-4</v>
      </c>
      <c r="BW13" s="1">
        <v>1.2300000000000001E-4</v>
      </c>
      <c r="BX13" s="1">
        <v>1.06E-4</v>
      </c>
      <c r="BY13" s="1">
        <v>7.7100000000000004E-5</v>
      </c>
      <c r="BZ13" s="1">
        <v>1.66E-4</v>
      </c>
      <c r="CA13" s="1">
        <v>1.4799999999999999E-4</v>
      </c>
      <c r="CB13" s="1">
        <v>1.95E-4</v>
      </c>
      <c r="CC13" s="1">
        <v>2.0000000000000001E-4</v>
      </c>
      <c r="CD13" s="1">
        <v>2.0799999999999999E-4</v>
      </c>
      <c r="CE13" s="1">
        <v>2.1000000000000001E-4</v>
      </c>
      <c r="CF13" s="1">
        <v>1.93E-4</v>
      </c>
      <c r="CG13" s="1">
        <v>2.5799999999999998E-4</v>
      </c>
      <c r="CH13" s="1">
        <v>2.2900000000000001E-4</v>
      </c>
      <c r="CI13" s="1">
        <v>3.19E-4</v>
      </c>
      <c r="CJ13" s="1">
        <v>2.9799999999999998E-4</v>
      </c>
      <c r="CK13" s="1">
        <v>2.3800000000000001E-4</v>
      </c>
      <c r="CL13" s="1">
        <v>3.1500000000000001E-4</v>
      </c>
      <c r="CM13" s="1">
        <v>3.19E-4</v>
      </c>
      <c r="CN13" s="1">
        <v>3.5799999999999997E-4</v>
      </c>
      <c r="CO13" s="1">
        <v>4.26E-4</v>
      </c>
      <c r="CP13" s="1">
        <v>4.75E-4</v>
      </c>
      <c r="CQ13" s="1">
        <v>2.9700000000000001E-4</v>
      </c>
      <c r="CR13" s="1">
        <v>5.0299999999999997E-4</v>
      </c>
      <c r="CS13" s="1">
        <v>3.39E-4</v>
      </c>
      <c r="CT13" s="1">
        <v>3.4699999999999998E-4</v>
      </c>
      <c r="CU13" s="1">
        <v>2.34E-4</v>
      </c>
      <c r="CV13" s="1">
        <v>2.1599999999999999E-4</v>
      </c>
    </row>
    <row r="14" spans="1:100" x14ac:dyDescent="0.2">
      <c r="A14" t="s">
        <v>215</v>
      </c>
      <c r="B14" s="1">
        <v>1.61E-2</v>
      </c>
      <c r="C14" s="1">
        <v>2.0500000000000001E-2</v>
      </c>
      <c r="D14" s="1">
        <v>1.9699999999999999E-2</v>
      </c>
      <c r="E14" s="1">
        <v>0.02</v>
      </c>
      <c r="F14" s="1">
        <v>1.7899999999999999E-2</v>
      </c>
      <c r="G14" s="1">
        <v>1.83E-2</v>
      </c>
      <c r="H14" s="1">
        <v>1.7399999999999999E-2</v>
      </c>
      <c r="I14" s="1">
        <v>1.5900000000000001E-2</v>
      </c>
      <c r="J14" s="1">
        <v>1.5900000000000001E-2</v>
      </c>
      <c r="K14" s="1">
        <v>1.2500000000000001E-2</v>
      </c>
      <c r="L14" s="1">
        <v>1.18E-2</v>
      </c>
      <c r="M14" s="1">
        <v>1.0999999999999999E-2</v>
      </c>
      <c r="N14" s="1">
        <v>9.8899999999999995E-3</v>
      </c>
      <c r="O14" s="1">
        <v>8.6999999999999994E-3</v>
      </c>
      <c r="P14" s="1">
        <v>6.9300000000000004E-3</v>
      </c>
      <c r="Q14" s="1">
        <v>6.2599999999999999E-3</v>
      </c>
      <c r="R14" s="1">
        <v>5.7200000000000003E-3</v>
      </c>
      <c r="S14" s="1">
        <v>5.4999999999999997E-3</v>
      </c>
      <c r="T14" s="1">
        <v>5.1000000000000004E-3</v>
      </c>
      <c r="U14" s="1">
        <v>4.8700000000000002E-3</v>
      </c>
      <c r="V14" s="1">
        <v>4.6699999999999997E-3</v>
      </c>
      <c r="W14" s="1">
        <v>4.5599999999999998E-3</v>
      </c>
      <c r="X14" s="1">
        <v>4.4600000000000004E-3</v>
      </c>
      <c r="Y14" s="1">
        <v>4.3499999999999997E-3</v>
      </c>
      <c r="Z14" s="1">
        <v>4.2599999999999999E-3</v>
      </c>
      <c r="AA14" s="1">
        <v>4.1099999999999999E-3</v>
      </c>
      <c r="AB14" s="1">
        <v>3.9699999999999996E-3</v>
      </c>
      <c r="AC14" s="1">
        <v>3.8600000000000001E-3</v>
      </c>
      <c r="AD14" s="1">
        <v>3.79E-3</v>
      </c>
      <c r="AE14" s="1">
        <v>3.79E-3</v>
      </c>
      <c r="AF14" s="1">
        <v>3.7699999999999999E-3</v>
      </c>
      <c r="AG14" s="1">
        <v>3.7100000000000002E-3</v>
      </c>
      <c r="AH14" s="1">
        <v>3.65E-3</v>
      </c>
      <c r="AI14" s="1">
        <v>3.6800000000000001E-3</v>
      </c>
      <c r="AJ14" s="1">
        <v>3.65E-3</v>
      </c>
      <c r="AK14" s="1">
        <v>3.5999999999999999E-3</v>
      </c>
      <c r="AL14" s="1">
        <v>3.5999999999999999E-3</v>
      </c>
      <c r="AM14" s="1">
        <v>3.5599999999999998E-3</v>
      </c>
      <c r="AN14" s="1">
        <v>3.5799999999999998E-3</v>
      </c>
      <c r="AO14" s="1">
        <v>3.5599999999999998E-3</v>
      </c>
      <c r="AP14" s="1">
        <v>3.5500000000000002E-3</v>
      </c>
      <c r="AQ14" s="1">
        <v>3.5000000000000001E-3</v>
      </c>
      <c r="AR14" s="1">
        <v>3.47E-3</v>
      </c>
      <c r="AS14" s="1">
        <v>3.3899999999999998E-3</v>
      </c>
      <c r="AT14" s="1">
        <v>3.2299999999999998E-3</v>
      </c>
      <c r="AU14" s="1">
        <v>3.1099999999999999E-3</v>
      </c>
      <c r="AV14" s="1">
        <v>3.0999999999999999E-3</v>
      </c>
      <c r="AW14" s="1">
        <v>3.0500000000000002E-3</v>
      </c>
      <c r="AX14" s="1">
        <v>2.8800000000000002E-3</v>
      </c>
      <c r="AY14" s="1">
        <v>2.9099999999999998E-3</v>
      </c>
      <c r="AZ14" s="1">
        <v>2.8500000000000001E-3</v>
      </c>
      <c r="BA14" s="1">
        <v>2.9299999999999999E-3</v>
      </c>
      <c r="BB14" s="1">
        <v>3.0000000000000001E-3</v>
      </c>
      <c r="BC14" s="1">
        <v>2.9499999999999999E-3</v>
      </c>
      <c r="BD14" s="1">
        <v>2.9399999999999999E-3</v>
      </c>
      <c r="BE14" s="1">
        <v>2.8600000000000001E-3</v>
      </c>
      <c r="BF14" s="1">
        <v>2.7200000000000002E-3</v>
      </c>
      <c r="BG14" s="1">
        <v>2.5400000000000002E-3</v>
      </c>
      <c r="BH14" s="1">
        <v>2.4099999999999998E-3</v>
      </c>
      <c r="BI14" s="1">
        <v>2.3700000000000001E-3</v>
      </c>
      <c r="BJ14" s="1">
        <v>2.2200000000000002E-3</v>
      </c>
      <c r="BK14" s="1">
        <v>2.1199999999999999E-3</v>
      </c>
      <c r="BL14" s="1">
        <v>2.1800000000000001E-3</v>
      </c>
      <c r="BM14" s="1">
        <v>2.1099999999999999E-3</v>
      </c>
      <c r="BN14" s="1">
        <v>1.98E-3</v>
      </c>
      <c r="BO14" s="1">
        <v>1.8400000000000001E-3</v>
      </c>
      <c r="BP14" s="1">
        <v>1.7700000000000001E-3</v>
      </c>
      <c r="BQ14" s="1">
        <v>1.6900000000000001E-3</v>
      </c>
      <c r="BR14" s="1">
        <v>1.4E-3</v>
      </c>
      <c r="BS14" s="1">
        <v>1.2099999999999999E-3</v>
      </c>
      <c r="BT14" s="1">
        <v>1.0300000000000001E-3</v>
      </c>
      <c r="BU14" s="1">
        <v>8.7900000000000001E-4</v>
      </c>
      <c r="BV14" s="1">
        <v>7.67E-4</v>
      </c>
      <c r="BW14" s="1">
        <v>6.7299999999999999E-4</v>
      </c>
      <c r="BX14" s="1">
        <v>4.1300000000000001E-4</v>
      </c>
      <c r="BY14" s="1">
        <v>3.1500000000000001E-4</v>
      </c>
      <c r="BZ14" s="1">
        <v>1.2999999999999999E-4</v>
      </c>
      <c r="CA14" s="1">
        <v>-1.1900000000000001E-4</v>
      </c>
      <c r="CB14" s="1">
        <v>-3.9399999999999998E-4</v>
      </c>
      <c r="CC14" s="1">
        <v>-8.1300000000000003E-4</v>
      </c>
      <c r="CD14" s="1">
        <v>-1.07E-3</v>
      </c>
      <c r="CE14" s="1">
        <v>-1.2099999999999999E-3</v>
      </c>
      <c r="CF14" s="1">
        <v>-1.25E-3</v>
      </c>
      <c r="CG14" s="1">
        <v>-1.4300000000000001E-3</v>
      </c>
      <c r="CH14" s="1">
        <v>-1.7600000000000001E-3</v>
      </c>
      <c r="CI14" s="1">
        <v>-2.6800000000000001E-3</v>
      </c>
      <c r="CJ14" s="1">
        <v>-3.0799999999999998E-3</v>
      </c>
      <c r="CK14" s="1">
        <v>-3.16E-3</v>
      </c>
      <c r="CL14" s="1">
        <v>-3.79E-3</v>
      </c>
      <c r="CM14" s="1">
        <v>-3.9199999999999999E-3</v>
      </c>
      <c r="CN14" s="1">
        <v>-3.8999999999999998E-3</v>
      </c>
      <c r="CO14" s="1">
        <v>-4.7999999999999996E-3</v>
      </c>
      <c r="CP14" s="1">
        <v>-5.4200000000000003E-3</v>
      </c>
      <c r="CQ14" s="1">
        <v>-4.4000000000000003E-3</v>
      </c>
      <c r="CR14" s="1">
        <v>-5.5900000000000004E-3</v>
      </c>
      <c r="CS14" s="1">
        <v>-4.9500000000000004E-3</v>
      </c>
      <c r="CT14" s="1">
        <v>-6.3099999999999996E-3</v>
      </c>
      <c r="CU14" s="1">
        <v>-6.9499999999999996E-3</v>
      </c>
      <c r="CV14" s="1">
        <v>-7.9600000000000001E-3</v>
      </c>
    </row>
    <row r="15" spans="1:100" x14ac:dyDescent="0.2">
      <c r="A15" t="s">
        <v>208</v>
      </c>
      <c r="B15" s="1">
        <v>0.437</v>
      </c>
      <c r="C15" s="1">
        <v>0.20799999999999999</v>
      </c>
      <c r="D15" s="1">
        <v>-3.9399999999999998E-2</v>
      </c>
      <c r="E15" s="1">
        <v>-4.0899999999999999E-2</v>
      </c>
      <c r="F15" s="1">
        <v>-0.16800000000000001</v>
      </c>
      <c r="G15" s="1">
        <v>-9.2399999999999996E-2</v>
      </c>
      <c r="H15" s="1">
        <v>-0.19</v>
      </c>
      <c r="I15" s="1">
        <v>-0.16200000000000001</v>
      </c>
      <c r="J15" s="1">
        <v>-0.17699999999999999</v>
      </c>
      <c r="K15" s="1">
        <v>-0.13400000000000001</v>
      </c>
      <c r="L15" s="1">
        <v>-0.2</v>
      </c>
      <c r="M15" s="1">
        <v>-0.28000000000000003</v>
      </c>
      <c r="N15" s="1">
        <v>-0.26400000000000001</v>
      </c>
      <c r="O15" s="1">
        <v>-0.21199999999999999</v>
      </c>
      <c r="P15" s="1">
        <v>-0.123</v>
      </c>
      <c r="Q15" s="1">
        <v>-9.3399999999999997E-2</v>
      </c>
      <c r="R15" s="1">
        <v>-9.1200000000000003E-2</v>
      </c>
      <c r="S15" s="1">
        <v>-9.11E-2</v>
      </c>
      <c r="T15" s="1">
        <v>-6.6600000000000006E-2</v>
      </c>
      <c r="U15" s="1">
        <v>-6.1699999999999998E-2</v>
      </c>
      <c r="V15" s="1">
        <v>-6.3700000000000007E-2</v>
      </c>
      <c r="W15" s="1">
        <v>-7.3700000000000002E-2</v>
      </c>
      <c r="X15" s="1">
        <v>-7.9399999999999998E-2</v>
      </c>
      <c r="Y15" s="1">
        <v>-8.0399999999999999E-2</v>
      </c>
      <c r="Z15" s="1">
        <v>-6.7500000000000004E-2</v>
      </c>
      <c r="AA15" s="1">
        <v>-5.28E-2</v>
      </c>
      <c r="AB15" s="1">
        <v>-4.2799999999999998E-2</v>
      </c>
      <c r="AC15" s="1">
        <v>-3.9399999999999998E-2</v>
      </c>
      <c r="AD15" s="1">
        <v>-3.3300000000000003E-2</v>
      </c>
      <c r="AE15" s="1">
        <v>-2.9399999999999999E-2</v>
      </c>
      <c r="AF15" s="1">
        <v>-2.8400000000000002E-2</v>
      </c>
      <c r="AG15" s="1">
        <v>-2.1000000000000001E-2</v>
      </c>
      <c r="AH15" s="1">
        <v>-2.81E-3</v>
      </c>
      <c r="AI15" s="1">
        <v>4.8500000000000001E-3</v>
      </c>
      <c r="AJ15" s="1">
        <v>1.38E-2</v>
      </c>
      <c r="AK15" s="1">
        <v>1.09E-2</v>
      </c>
      <c r="AL15" s="1">
        <v>6.4400000000000004E-3</v>
      </c>
      <c r="AM15" s="1">
        <v>-6.5900000000000004E-3</v>
      </c>
      <c r="AN15" s="1">
        <v>-3.2000000000000001E-2</v>
      </c>
      <c r="AO15" s="1">
        <v>-5.8200000000000002E-2</v>
      </c>
      <c r="AP15" s="1">
        <v>-6.7199999999999996E-2</v>
      </c>
      <c r="AQ15" s="1">
        <v>-7.6999999999999999E-2</v>
      </c>
      <c r="AR15" s="1">
        <v>-7.7799999999999994E-2</v>
      </c>
      <c r="AS15" s="1">
        <v>-7.7200000000000005E-2</v>
      </c>
      <c r="AT15" s="1">
        <v>-6.4899999999999999E-2</v>
      </c>
      <c r="AU15" s="1">
        <v>-3.6400000000000002E-2</v>
      </c>
      <c r="AV15" s="1">
        <v>-1.8800000000000001E-2</v>
      </c>
      <c r="AW15" s="1">
        <v>-1.5299999999999999E-2</v>
      </c>
      <c r="AX15" s="1">
        <v>-7.11E-3</v>
      </c>
      <c r="AY15" s="1">
        <v>-7.9900000000000006E-3</v>
      </c>
      <c r="AZ15" s="1">
        <v>-2.2499999999999999E-2</v>
      </c>
      <c r="BA15" s="1">
        <v>-6.3200000000000006E-2</v>
      </c>
      <c r="BB15" s="1">
        <v>-9.1499999999999998E-2</v>
      </c>
      <c r="BC15" s="1">
        <v>-0.111</v>
      </c>
      <c r="BD15" s="1">
        <v>-0.11700000000000001</v>
      </c>
      <c r="BE15" s="1">
        <v>-0.126</v>
      </c>
      <c r="BF15" s="1">
        <v>-0.114</v>
      </c>
      <c r="BG15" s="1">
        <v>-8.3799999999999999E-2</v>
      </c>
      <c r="BH15" s="1">
        <v>-6.5100000000000005E-2</v>
      </c>
      <c r="BI15" s="1">
        <v>-4.6800000000000001E-2</v>
      </c>
      <c r="BJ15" s="1">
        <v>-4.3499999999999997E-2</v>
      </c>
      <c r="BK15" s="1">
        <v>-5.5599999999999997E-2</v>
      </c>
      <c r="BL15" s="1">
        <v>-7.3599999999999999E-2</v>
      </c>
      <c r="BM15" s="1">
        <v>-0.10100000000000001</v>
      </c>
      <c r="BN15" s="1">
        <v>-0.124</v>
      </c>
      <c r="BO15" s="1">
        <v>-0.127</v>
      </c>
      <c r="BP15" s="1">
        <v>-0.123</v>
      </c>
      <c r="BQ15" s="1">
        <v>-9.8299999999999998E-2</v>
      </c>
      <c r="BR15" s="1">
        <v>-7.5700000000000003E-2</v>
      </c>
      <c r="BS15" s="1">
        <v>-4.9399999999999999E-2</v>
      </c>
      <c r="BT15" s="1">
        <v>-6.0499999999999998E-2</v>
      </c>
      <c r="BU15" s="1">
        <v>-5.1999999999999998E-2</v>
      </c>
      <c r="BV15" s="1">
        <v>-6.0900000000000003E-2</v>
      </c>
      <c r="BW15" s="1">
        <v>-9.1899999999999996E-2</v>
      </c>
      <c r="BX15" s="1">
        <v>-0.14399999999999999</v>
      </c>
      <c r="BY15" s="1">
        <v>-0.16400000000000001</v>
      </c>
      <c r="BZ15" s="1">
        <v>-0.158</v>
      </c>
      <c r="CA15" s="1">
        <v>-0.188</v>
      </c>
      <c r="CB15" s="1">
        <v>-0.20200000000000001</v>
      </c>
      <c r="CC15" s="1">
        <v>-8.1299999999999997E-2</v>
      </c>
      <c r="CD15" s="1">
        <v>-5.3199999999999997E-2</v>
      </c>
      <c r="CE15" s="1">
        <v>-4.8000000000000001E-2</v>
      </c>
      <c r="CF15" s="1">
        <v>-2.8500000000000001E-2</v>
      </c>
      <c r="CG15" s="1">
        <v>-1.72E-2</v>
      </c>
      <c r="CH15" s="1">
        <v>-2.9700000000000001E-2</v>
      </c>
      <c r="CI15" s="1">
        <v>-0.23100000000000001</v>
      </c>
      <c r="CJ15" s="1">
        <v>-0.21199999999999999</v>
      </c>
      <c r="CK15" s="1">
        <v>-0.14099999999999999</v>
      </c>
      <c r="CL15" s="1">
        <v>-5.8099999999999999E-2</v>
      </c>
      <c r="CM15" s="1">
        <v>-4.7199999999999999E-2</v>
      </c>
      <c r="CN15" s="1">
        <v>-0.122</v>
      </c>
      <c r="CO15" s="1">
        <v>-0.255</v>
      </c>
      <c r="CP15" s="1">
        <v>-0.159</v>
      </c>
      <c r="CQ15" s="1">
        <v>-0.17499999999999999</v>
      </c>
      <c r="CR15" s="1">
        <v>-0.14799999999999999</v>
      </c>
      <c r="CS15" s="1">
        <v>3.4000000000000002E-2</v>
      </c>
      <c r="CT15" s="1">
        <v>-0.105</v>
      </c>
      <c r="CU15" s="1">
        <v>-4.2599999999999999E-2</v>
      </c>
      <c r="CV15" s="1">
        <v>-2.86E-2</v>
      </c>
    </row>
    <row r="16" spans="1:100" x14ac:dyDescent="0.2">
      <c r="A16" t="s">
        <v>209</v>
      </c>
      <c r="B16" s="1">
        <v>-8.6099999999999996E-3</v>
      </c>
      <c r="C16" s="1">
        <v>4.9099999999999998E-2</v>
      </c>
      <c r="D16" s="1">
        <v>-0.115</v>
      </c>
      <c r="E16" s="1">
        <v>-9.8000000000000004E-2</v>
      </c>
      <c r="F16" s="1">
        <v>-0.127</v>
      </c>
      <c r="G16" s="1">
        <v>-0.105</v>
      </c>
      <c r="H16" s="1">
        <v>-0.13300000000000001</v>
      </c>
      <c r="I16" s="1">
        <v>-0.128</v>
      </c>
      <c r="J16" s="1">
        <v>-0.11799999999999999</v>
      </c>
      <c r="K16" s="1">
        <v>-0.10299999999999999</v>
      </c>
      <c r="L16" s="1">
        <v>-0.123</v>
      </c>
      <c r="M16" s="1">
        <v>-0.159</v>
      </c>
      <c r="N16" s="1">
        <v>-0.14699999999999999</v>
      </c>
      <c r="O16" s="1">
        <v>-0.11600000000000001</v>
      </c>
      <c r="P16" s="1">
        <v>-6.3600000000000004E-2</v>
      </c>
      <c r="Q16" s="1">
        <v>-4.4699999999999997E-2</v>
      </c>
      <c r="R16" s="1">
        <v>-4.6100000000000002E-2</v>
      </c>
      <c r="S16" s="1">
        <v>-3.9100000000000003E-2</v>
      </c>
      <c r="T16" s="1">
        <v>-2.7E-2</v>
      </c>
      <c r="U16" s="1">
        <v>-1.7299999999999999E-2</v>
      </c>
      <c r="V16" s="1">
        <v>-1.9199999999999998E-2</v>
      </c>
      <c r="W16" s="1">
        <v>-3.0499999999999999E-2</v>
      </c>
      <c r="X16" s="1">
        <v>-3.61E-2</v>
      </c>
      <c r="Y16" s="1">
        <v>-4.0099999999999997E-2</v>
      </c>
      <c r="Z16" s="1">
        <v>-0.03</v>
      </c>
      <c r="AA16" s="1">
        <v>-1.7500000000000002E-2</v>
      </c>
      <c r="AB16" s="1">
        <v>-1.4200000000000001E-2</v>
      </c>
      <c r="AC16" s="1">
        <v>-1.0200000000000001E-2</v>
      </c>
      <c r="AD16" s="1">
        <v>2.0600000000000002E-3</v>
      </c>
      <c r="AE16" s="1">
        <v>1.06E-2</v>
      </c>
      <c r="AF16" s="1">
        <v>7.2399999999999999E-3</v>
      </c>
      <c r="AG16" s="1">
        <v>1.5699999999999999E-2</v>
      </c>
      <c r="AH16" s="1">
        <v>3.5999999999999997E-2</v>
      </c>
      <c r="AI16" s="1">
        <v>4.2599999999999999E-2</v>
      </c>
      <c r="AJ16" s="1">
        <v>4.5100000000000001E-2</v>
      </c>
      <c r="AK16" s="1">
        <v>5.04E-2</v>
      </c>
      <c r="AL16" s="1">
        <v>4.8300000000000003E-2</v>
      </c>
      <c r="AM16" s="1">
        <v>4.0800000000000003E-2</v>
      </c>
      <c r="AN16" s="1">
        <v>1.83E-2</v>
      </c>
      <c r="AO16" s="1">
        <v>-4.0999999999999999E-4</v>
      </c>
      <c r="AP16" s="1">
        <v>-4.0200000000000001E-3</v>
      </c>
      <c r="AQ16" s="1">
        <v>-1.84E-2</v>
      </c>
      <c r="AR16" s="1">
        <v>-1.37E-2</v>
      </c>
      <c r="AS16" s="1">
        <v>-1.5900000000000001E-2</v>
      </c>
      <c r="AT16" s="1">
        <v>3.0000000000000001E-3</v>
      </c>
      <c r="AU16" s="1">
        <v>2.69E-2</v>
      </c>
      <c r="AV16" s="1">
        <v>5.8299999999999998E-2</v>
      </c>
      <c r="AW16" s="1">
        <v>5.7099999999999998E-2</v>
      </c>
      <c r="AX16" s="1">
        <v>6.4199999999999993E-2</v>
      </c>
      <c r="AY16" s="1">
        <v>6.2799999999999995E-2</v>
      </c>
      <c r="AZ16" s="1">
        <v>4.8899999999999999E-2</v>
      </c>
      <c r="BA16" s="1">
        <v>1.38E-2</v>
      </c>
      <c r="BB16" s="1">
        <v>-1.67E-2</v>
      </c>
      <c r="BC16" s="1">
        <v>-2.64E-2</v>
      </c>
      <c r="BD16" s="1">
        <v>-2.86E-2</v>
      </c>
      <c r="BE16" s="1">
        <v>-3.1699999999999999E-2</v>
      </c>
      <c r="BF16" s="1">
        <v>-2.2700000000000001E-2</v>
      </c>
      <c r="BG16" s="1">
        <v>3.8899999999999998E-3</v>
      </c>
      <c r="BH16" s="1">
        <v>1.4999999999999999E-2</v>
      </c>
      <c r="BI16" s="1">
        <v>1.8200000000000001E-2</v>
      </c>
      <c r="BJ16" s="1">
        <v>2.3599999999999999E-2</v>
      </c>
      <c r="BK16" s="1">
        <v>1.72E-2</v>
      </c>
      <c r="BL16" s="1">
        <v>-8.9899999999999997E-3</v>
      </c>
      <c r="BM16" s="1">
        <v>-3.3500000000000002E-2</v>
      </c>
      <c r="BN16" s="1">
        <v>-5.7299999999999997E-2</v>
      </c>
      <c r="BO16" s="1">
        <v>-6.2799999999999995E-2</v>
      </c>
      <c r="BP16" s="1">
        <v>-5.7599999999999998E-2</v>
      </c>
      <c r="BQ16" s="1">
        <v>-3.3599999999999998E-2</v>
      </c>
      <c r="BR16" s="1">
        <v>-1.3899999999999999E-2</v>
      </c>
      <c r="BS16" s="1">
        <v>1.35E-2</v>
      </c>
      <c r="BT16" s="1">
        <v>-2.82E-3</v>
      </c>
      <c r="BU16" s="1">
        <v>2.6700000000000001E-3</v>
      </c>
      <c r="BV16" s="1">
        <v>-2.8300000000000001E-3</v>
      </c>
      <c r="BW16" s="1">
        <v>-3.2399999999999998E-2</v>
      </c>
      <c r="BX16" s="1">
        <v>-9.0999999999999998E-2</v>
      </c>
      <c r="BY16" s="1">
        <v>-0.107</v>
      </c>
      <c r="BZ16" s="1">
        <v>-0.10199999999999999</v>
      </c>
      <c r="CA16" s="1">
        <v>-0.128</v>
      </c>
      <c r="CB16" s="1">
        <v>-0.13400000000000001</v>
      </c>
      <c r="CC16" s="1">
        <v>9.1500000000000001E-4</v>
      </c>
      <c r="CD16" s="1">
        <v>1.5599999999999999E-2</v>
      </c>
      <c r="CE16" s="1">
        <v>1.23E-2</v>
      </c>
      <c r="CF16" s="1">
        <v>3.6400000000000002E-2</v>
      </c>
      <c r="CG16" s="1">
        <v>2.9600000000000001E-2</v>
      </c>
      <c r="CH16" s="1">
        <v>2.52E-2</v>
      </c>
      <c r="CI16" s="1">
        <v>-0.182</v>
      </c>
      <c r="CJ16" s="1">
        <v>-0.16900000000000001</v>
      </c>
      <c r="CK16" s="1">
        <v>-0.113</v>
      </c>
      <c r="CL16" s="1">
        <v>-2.7799999999999998E-2</v>
      </c>
      <c r="CM16" s="1">
        <v>-3.5200000000000001E-3</v>
      </c>
      <c r="CN16" s="1">
        <v>-8.2900000000000001E-2</v>
      </c>
      <c r="CO16" s="1">
        <v>-0.224</v>
      </c>
      <c r="CP16" s="1">
        <v>-0.14599999999999999</v>
      </c>
      <c r="CQ16" s="1">
        <v>-0.16</v>
      </c>
      <c r="CR16" s="1">
        <v>-0.155</v>
      </c>
      <c r="CS16" s="1">
        <v>3.7199999999999997E-2</v>
      </c>
      <c r="CT16" s="1">
        <v>-0.14599999999999999</v>
      </c>
      <c r="CU16" s="1">
        <v>-9.2600000000000002E-2</v>
      </c>
      <c r="CV16" s="1">
        <v>-1.32E-2</v>
      </c>
    </row>
    <row r="17" spans="1:100" x14ac:dyDescent="0.2">
      <c r="A17" t="s">
        <v>210</v>
      </c>
      <c r="B17" s="1">
        <v>-9.7000000000000003E-3</v>
      </c>
      <c r="C17" s="1">
        <v>-1.9400000000000001E-2</v>
      </c>
      <c r="D17" s="1">
        <v>8.6899999999999998E-3</v>
      </c>
      <c r="E17" s="1">
        <v>1.25E-3</v>
      </c>
      <c r="F17" s="1">
        <v>2.1899999999999999E-2</v>
      </c>
      <c r="G17" s="1">
        <v>1.0999999999999999E-2</v>
      </c>
      <c r="H17" s="1">
        <v>1.5699999999999999E-2</v>
      </c>
      <c r="I17" s="1">
        <v>1.3100000000000001E-2</v>
      </c>
      <c r="J17" s="1">
        <v>9.7000000000000003E-3</v>
      </c>
      <c r="K17" s="1">
        <v>5.3E-3</v>
      </c>
      <c r="L17" s="1">
        <v>1.23E-2</v>
      </c>
      <c r="M17" s="1">
        <v>1.8700000000000001E-2</v>
      </c>
      <c r="N17" s="1">
        <v>1.61E-2</v>
      </c>
      <c r="O17" s="1">
        <v>9.11E-3</v>
      </c>
      <c r="P17" s="1">
        <v>1.6199999999999999E-3</v>
      </c>
      <c r="Q17" s="1">
        <v>-1.73E-3</v>
      </c>
      <c r="R17" s="1">
        <v>-1.6000000000000001E-3</v>
      </c>
      <c r="S17" s="1">
        <v>-2.4599999999999999E-3</v>
      </c>
      <c r="T17" s="1">
        <v>-4.6800000000000001E-3</v>
      </c>
      <c r="U17" s="1">
        <v>-4.3099999999999996E-3</v>
      </c>
      <c r="V17" s="1">
        <v>-1.3799999999999999E-3</v>
      </c>
      <c r="W17" s="1">
        <v>5.52E-5</v>
      </c>
      <c r="X17" s="1">
        <v>1.16E-3</v>
      </c>
      <c r="Y17" s="1">
        <v>1.66E-3</v>
      </c>
      <c r="Z17" s="1">
        <v>-1.3500000000000001E-3</v>
      </c>
      <c r="AA17" s="1">
        <v>-2.8400000000000001E-3</v>
      </c>
      <c r="AB17" s="1">
        <v>-3.48E-3</v>
      </c>
      <c r="AC17" s="1">
        <v>-3.9300000000000003E-3</v>
      </c>
      <c r="AD17" s="1">
        <v>-6.1900000000000002E-3</v>
      </c>
      <c r="AE17" s="1">
        <v>-6.4200000000000004E-3</v>
      </c>
      <c r="AF17" s="1">
        <v>-5.4200000000000003E-3</v>
      </c>
      <c r="AG17" s="1">
        <v>-7.5599999999999999E-3</v>
      </c>
      <c r="AH17" s="1">
        <v>-1.2999999999999999E-2</v>
      </c>
      <c r="AI17" s="1">
        <v>-1.44E-2</v>
      </c>
      <c r="AJ17" s="1">
        <v>-1.6299999999999999E-2</v>
      </c>
      <c r="AK17" s="1">
        <v>-1.61E-2</v>
      </c>
      <c r="AL17" s="1">
        <v>-1.6899999999999998E-2</v>
      </c>
      <c r="AM17" s="1">
        <v>-1.5900000000000001E-2</v>
      </c>
      <c r="AN17" s="1">
        <v>-1.0800000000000001E-2</v>
      </c>
      <c r="AO17" s="1">
        <v>-3.82E-3</v>
      </c>
      <c r="AP17" s="1">
        <v>-8.5400000000000005E-4</v>
      </c>
      <c r="AQ17" s="1">
        <v>1.2099999999999999E-3</v>
      </c>
      <c r="AR17" s="1">
        <v>1.5900000000000001E-3</v>
      </c>
      <c r="AS17" s="1">
        <v>2.15E-3</v>
      </c>
      <c r="AT17" s="1">
        <v>-2.97E-3</v>
      </c>
      <c r="AU17" s="1">
        <v>-9.8300000000000002E-3</v>
      </c>
      <c r="AV17" s="1">
        <v>-1.66E-2</v>
      </c>
      <c r="AW17" s="1">
        <v>-1.7399999999999999E-2</v>
      </c>
      <c r="AX17" s="1">
        <v>-1.8499999999999999E-2</v>
      </c>
      <c r="AY17" s="1">
        <v>-1.78E-2</v>
      </c>
      <c r="AZ17" s="1">
        <v>-1.6199999999999999E-2</v>
      </c>
      <c r="BA17" s="1">
        <v>-7.0299999999999998E-3</v>
      </c>
      <c r="BB17" s="1">
        <v>-6.0400000000000004E-4</v>
      </c>
      <c r="BC17" s="1">
        <v>2.0600000000000002E-3</v>
      </c>
      <c r="BD17" s="1">
        <v>2.1800000000000001E-3</v>
      </c>
      <c r="BE17" s="1">
        <v>3.81E-3</v>
      </c>
      <c r="BF17" s="1">
        <v>3.9100000000000003E-3</v>
      </c>
      <c r="BG17" s="1">
        <v>-1.56E-3</v>
      </c>
      <c r="BH17" s="1">
        <v>-3.63E-3</v>
      </c>
      <c r="BI17" s="1">
        <v>-7.0400000000000003E-3</v>
      </c>
      <c r="BJ17" s="1">
        <v>-7.0299999999999998E-3</v>
      </c>
      <c r="BK17" s="1">
        <v>-4.7600000000000003E-3</v>
      </c>
      <c r="BL17" s="1">
        <v>2.7299999999999998E-3</v>
      </c>
      <c r="BM17" s="1">
        <v>5.8300000000000001E-3</v>
      </c>
      <c r="BN17" s="1">
        <v>0.01</v>
      </c>
      <c r="BO17" s="1">
        <v>1.03E-2</v>
      </c>
      <c r="BP17" s="1">
        <v>1.03E-2</v>
      </c>
      <c r="BQ17" s="1">
        <v>3.8500000000000001E-3</v>
      </c>
      <c r="BR17" s="1">
        <v>-2.4199999999999998E-3</v>
      </c>
      <c r="BS17" s="1">
        <v>-8.0000000000000002E-3</v>
      </c>
      <c r="BT17" s="1">
        <v>-3.14E-3</v>
      </c>
      <c r="BU17" s="1">
        <v>-5.79E-3</v>
      </c>
      <c r="BV17" s="1">
        <v>-5.5199999999999997E-3</v>
      </c>
      <c r="BW17" s="1">
        <v>3.0599999999999998E-3</v>
      </c>
      <c r="BX17" s="1">
        <v>1.67E-2</v>
      </c>
      <c r="BY17" s="1">
        <v>1.9E-2</v>
      </c>
      <c r="BZ17" s="1">
        <v>1.43E-2</v>
      </c>
      <c r="CA17" s="1">
        <v>2.2100000000000002E-2</v>
      </c>
      <c r="CB17" s="1">
        <v>2.47E-2</v>
      </c>
      <c r="CC17" s="1">
        <v>-7.1000000000000004E-3</v>
      </c>
      <c r="CD17" s="1">
        <v>-9.8300000000000002E-3</v>
      </c>
      <c r="CE17" s="1">
        <v>-9.8799999999999999E-3</v>
      </c>
      <c r="CF17" s="1">
        <v>-9.7900000000000001E-3</v>
      </c>
      <c r="CG17" s="1">
        <v>-1.54E-2</v>
      </c>
      <c r="CH17" s="1">
        <v>-1.4500000000000001E-2</v>
      </c>
      <c r="CI17" s="1">
        <v>2.69E-2</v>
      </c>
      <c r="CJ17" s="1">
        <v>2.75E-2</v>
      </c>
      <c r="CK17" s="1">
        <v>1.9599999999999999E-2</v>
      </c>
      <c r="CL17" s="1">
        <v>-1.47E-3</v>
      </c>
      <c r="CM17" s="1">
        <v>-3.8E-3</v>
      </c>
      <c r="CN17" s="1">
        <v>2.0199999999999999E-2</v>
      </c>
      <c r="CO17" s="1">
        <v>5.1999999999999998E-2</v>
      </c>
      <c r="CP17" s="1">
        <v>2.3800000000000002E-2</v>
      </c>
      <c r="CQ17" s="1">
        <v>2.7099999999999999E-2</v>
      </c>
      <c r="CR17" s="1">
        <v>3.2199999999999999E-2</v>
      </c>
      <c r="CS17" s="1">
        <v>-2.1000000000000001E-2</v>
      </c>
      <c r="CT17" s="1">
        <v>6.0800000000000003E-3</v>
      </c>
      <c r="CU17" s="1">
        <v>1.01E-2</v>
      </c>
      <c r="CV17" s="1">
        <v>1.55E-2</v>
      </c>
    </row>
    <row r="18" spans="1:100" x14ac:dyDescent="0.2">
      <c r="A18" t="s">
        <v>211</v>
      </c>
      <c r="B18" s="1">
        <v>1.6500000000000001E-2</v>
      </c>
      <c r="C18" s="1">
        <v>1.12E-2</v>
      </c>
      <c r="D18" s="1">
        <v>2.5499999999999998E-2</v>
      </c>
      <c r="E18" s="1">
        <v>1.7899999999999999E-2</v>
      </c>
      <c r="F18" s="1">
        <v>2.06E-2</v>
      </c>
      <c r="G18" s="1">
        <v>1.6199999999999999E-2</v>
      </c>
      <c r="H18" s="1">
        <v>1.17E-2</v>
      </c>
      <c r="I18" s="1">
        <v>1.43E-2</v>
      </c>
      <c r="J18" s="1">
        <v>9.0500000000000008E-3</v>
      </c>
      <c r="K18" s="1">
        <v>8.1399999999999997E-3</v>
      </c>
      <c r="L18" s="1">
        <v>1.46E-2</v>
      </c>
      <c r="M18" s="1">
        <v>2.1499999999999998E-2</v>
      </c>
      <c r="N18" s="1">
        <v>1.8200000000000001E-2</v>
      </c>
      <c r="O18" s="1">
        <v>1.46E-2</v>
      </c>
      <c r="P18" s="1">
        <v>1.0699999999999999E-2</v>
      </c>
      <c r="Q18" s="1">
        <v>1.21E-2</v>
      </c>
      <c r="R18" s="1">
        <v>8.3099999999999997E-3</v>
      </c>
      <c r="S18" s="1">
        <v>9.4000000000000004E-3</v>
      </c>
      <c r="T18" s="1">
        <v>6.8100000000000001E-3</v>
      </c>
      <c r="U18" s="1">
        <v>6.4900000000000001E-3</v>
      </c>
      <c r="V18" s="1">
        <v>8.6499999999999997E-3</v>
      </c>
      <c r="W18" s="1">
        <v>8.9599999999999992E-3</v>
      </c>
      <c r="X18" s="1">
        <v>9.0399999999999994E-3</v>
      </c>
      <c r="Y18" s="1">
        <v>8.4799999999999997E-3</v>
      </c>
      <c r="Z18" s="1">
        <v>3.1900000000000001E-3</v>
      </c>
      <c r="AA18" s="1">
        <v>1.4E-3</v>
      </c>
      <c r="AB18" s="1">
        <v>2.5300000000000001E-3</v>
      </c>
      <c r="AC18" s="1">
        <v>2.1900000000000001E-3</v>
      </c>
      <c r="AD18" s="1">
        <v>4.0200000000000001E-3</v>
      </c>
      <c r="AE18" s="1">
        <v>5.7499999999999999E-3</v>
      </c>
      <c r="AF18" s="1">
        <v>4.0699999999999998E-3</v>
      </c>
      <c r="AG18" s="1">
        <v>3.0699999999999998E-3</v>
      </c>
      <c r="AH18" s="1">
        <v>1.31E-3</v>
      </c>
      <c r="AI18" s="1">
        <v>-8.0199999999999998E-4</v>
      </c>
      <c r="AJ18" s="1">
        <v>-1.7899999999999999E-3</v>
      </c>
      <c r="AK18" s="1">
        <v>-2.8500000000000001E-3</v>
      </c>
      <c r="AL18" s="1">
        <v>-2.7799999999999999E-3</v>
      </c>
      <c r="AM18" s="1">
        <v>3.3300000000000001E-3</v>
      </c>
      <c r="AN18" s="1">
        <v>5.3099999999999996E-3</v>
      </c>
      <c r="AO18" s="1">
        <v>6.3400000000000001E-3</v>
      </c>
      <c r="AP18" s="1">
        <v>4.7800000000000004E-3</v>
      </c>
      <c r="AQ18" s="1">
        <v>3.3400000000000001E-3</v>
      </c>
      <c r="AR18" s="1">
        <v>3.7000000000000002E-3</v>
      </c>
      <c r="AS18" s="1">
        <v>3.65E-3</v>
      </c>
      <c r="AT18" s="1">
        <v>6.2899999999999996E-3</v>
      </c>
      <c r="AU18" s="1">
        <v>5.1399999999999996E-3</v>
      </c>
      <c r="AV18" s="1">
        <v>3.4099999999999998E-3</v>
      </c>
      <c r="AW18" s="1">
        <v>-1.63E-4</v>
      </c>
      <c r="AX18" s="1">
        <v>7.0600000000000003E-4</v>
      </c>
      <c r="AY18" s="1">
        <v>2.0300000000000001E-3</v>
      </c>
      <c r="AZ18" s="1">
        <v>1.56E-3</v>
      </c>
      <c r="BA18" s="1">
        <v>3.81E-3</v>
      </c>
      <c r="BB18" s="1">
        <v>4.1700000000000001E-3</v>
      </c>
      <c r="BC18" s="1">
        <v>8.4100000000000008E-3</v>
      </c>
      <c r="BD18" s="1">
        <v>1.29E-2</v>
      </c>
      <c r="BE18" s="1">
        <v>1.1599999999999999E-2</v>
      </c>
      <c r="BF18" s="1">
        <v>1.15E-2</v>
      </c>
      <c r="BG18" s="1">
        <v>8.1899999999999994E-3</v>
      </c>
      <c r="BH18" s="1">
        <v>8.26E-3</v>
      </c>
      <c r="BI18" s="1">
        <v>4.7499999999999999E-3</v>
      </c>
      <c r="BJ18" s="1">
        <v>4.5799999999999999E-3</v>
      </c>
      <c r="BK18" s="1">
        <v>6.8700000000000002E-3</v>
      </c>
      <c r="BL18" s="1">
        <v>1.2699999999999999E-2</v>
      </c>
      <c r="BM18" s="1">
        <v>1.54E-2</v>
      </c>
      <c r="BN18" s="1">
        <v>1.3100000000000001E-2</v>
      </c>
      <c r="BO18" s="1">
        <v>1.34E-2</v>
      </c>
      <c r="BP18" s="1">
        <v>2.06E-2</v>
      </c>
      <c r="BQ18" s="1">
        <v>1.5599999999999999E-2</v>
      </c>
      <c r="BR18" s="1">
        <v>9.4999999999999998E-3</v>
      </c>
      <c r="BS18" s="1">
        <v>8.1700000000000002E-3</v>
      </c>
      <c r="BT18" s="1">
        <v>1.09E-2</v>
      </c>
      <c r="BU18" s="1">
        <v>8.5699999999999995E-3</v>
      </c>
      <c r="BV18" s="1">
        <v>5.0600000000000003E-3</v>
      </c>
      <c r="BW18" s="1">
        <v>7.2700000000000004E-3</v>
      </c>
      <c r="BX18" s="1">
        <v>1.67E-2</v>
      </c>
      <c r="BY18" s="1">
        <v>1.6299999999999999E-2</v>
      </c>
      <c r="BZ18" s="1">
        <v>9.7400000000000004E-3</v>
      </c>
      <c r="CA18" s="1">
        <v>1.46E-2</v>
      </c>
      <c r="CB18" s="1">
        <v>2.46E-2</v>
      </c>
      <c r="CC18" s="1">
        <v>5.8300000000000001E-3</v>
      </c>
      <c r="CD18" s="1">
        <v>2.0300000000000001E-3</v>
      </c>
      <c r="CE18" s="1">
        <v>2.14E-3</v>
      </c>
      <c r="CF18" s="1">
        <v>-4.8399999999999997E-3</v>
      </c>
      <c r="CG18" s="1">
        <v>-1.2200000000000001E-2</v>
      </c>
      <c r="CH18" s="1">
        <v>-1.1900000000000001E-2</v>
      </c>
      <c r="CI18" s="1">
        <v>1.7299999999999999E-2</v>
      </c>
      <c r="CJ18" s="1">
        <v>7.1700000000000002E-3</v>
      </c>
      <c r="CK18" s="1">
        <v>4.8399999999999997E-3</v>
      </c>
      <c r="CL18" s="1">
        <v>-1.7999999999999999E-2</v>
      </c>
      <c r="CM18" s="1">
        <v>-2.7699999999999999E-2</v>
      </c>
      <c r="CN18" s="1">
        <v>-1.84E-2</v>
      </c>
      <c r="CO18" s="1">
        <v>1.09E-2</v>
      </c>
      <c r="CP18" s="1">
        <v>-1.03E-2</v>
      </c>
      <c r="CQ18" s="1">
        <v>3.1099999999999999E-3</v>
      </c>
      <c r="CR18" s="1">
        <v>-5.4599999999999996E-3</v>
      </c>
      <c r="CS18" s="1">
        <v>-4.6600000000000003E-2</v>
      </c>
      <c r="CT18" s="1">
        <v>-2.1000000000000001E-2</v>
      </c>
      <c r="CU18" s="1">
        <v>-3.27E-2</v>
      </c>
      <c r="CV18" s="1">
        <v>-4.9799999999999997E-2</v>
      </c>
    </row>
    <row r="19" spans="1:100" x14ac:dyDescent="0.2">
      <c r="A19" t="s">
        <v>212</v>
      </c>
      <c r="B19" s="1">
        <v>-3.8999999999999998E-3</v>
      </c>
      <c r="C19" s="1">
        <v>-7.0000000000000001E-3</v>
      </c>
      <c r="D19" s="1">
        <v>3.7399999999999998E-3</v>
      </c>
      <c r="E19" s="1">
        <v>-3.0000000000000001E-3</v>
      </c>
      <c r="F19" s="1">
        <v>4.9699999999999996E-3</v>
      </c>
      <c r="G19" s="1">
        <v>1.18E-4</v>
      </c>
      <c r="H19" s="1">
        <v>4.3E-3</v>
      </c>
      <c r="I19" s="1">
        <v>4.79E-3</v>
      </c>
      <c r="J19" s="1">
        <v>3.3899999999999998E-3</v>
      </c>
      <c r="K19" s="1">
        <v>3.1099999999999999E-3</v>
      </c>
      <c r="L19" s="1">
        <v>7.2500000000000004E-3</v>
      </c>
      <c r="M19" s="1">
        <v>1.0500000000000001E-2</v>
      </c>
      <c r="N19" s="1">
        <v>1.01E-2</v>
      </c>
      <c r="O19" s="1">
        <v>7.1900000000000002E-3</v>
      </c>
      <c r="P19" s="1">
        <v>3.0500000000000002E-3</v>
      </c>
      <c r="Q19" s="1">
        <v>2.5000000000000001E-3</v>
      </c>
      <c r="R19" s="1">
        <v>2.47E-3</v>
      </c>
      <c r="S19" s="1">
        <v>2.8400000000000001E-3</v>
      </c>
      <c r="T19" s="1">
        <v>1.8699999999999999E-3</v>
      </c>
      <c r="U19" s="1">
        <v>1.57E-3</v>
      </c>
      <c r="V19" s="1">
        <v>1.8E-3</v>
      </c>
      <c r="W19" s="1">
        <v>1.7799999999999999E-3</v>
      </c>
      <c r="X19" s="1">
        <v>1.98E-3</v>
      </c>
      <c r="Y19" s="1">
        <v>1.73E-3</v>
      </c>
      <c r="Z19" s="1">
        <v>1.01E-3</v>
      </c>
      <c r="AA19" s="1">
        <v>9.4899999999999997E-4</v>
      </c>
      <c r="AB19" s="1">
        <v>5.9500000000000004E-4</v>
      </c>
      <c r="AC19" s="1">
        <v>1.7799999999999999E-4</v>
      </c>
      <c r="AD19" s="1">
        <v>3.86E-4</v>
      </c>
      <c r="AE19" s="1">
        <v>1.46E-4</v>
      </c>
      <c r="AF19" s="1">
        <v>-1.56E-4</v>
      </c>
      <c r="AG19" s="1">
        <v>-4.95E-4</v>
      </c>
      <c r="AH19" s="1">
        <v>-1.17E-3</v>
      </c>
      <c r="AI19" s="1">
        <v>-1.1999999999999999E-3</v>
      </c>
      <c r="AJ19" s="1">
        <v>-6.8300000000000001E-4</v>
      </c>
      <c r="AK19" s="1">
        <v>-5.7300000000000005E-4</v>
      </c>
      <c r="AL19" s="1">
        <v>-4.5199999999999998E-4</v>
      </c>
      <c r="AM19" s="1">
        <v>-6.3299999999999994E-5</v>
      </c>
      <c r="AN19" s="1">
        <v>3.59E-4</v>
      </c>
      <c r="AO19" s="1">
        <v>2.8800000000000001E-4</v>
      </c>
      <c r="AP19" s="1">
        <v>4.6700000000000002E-4</v>
      </c>
      <c r="AQ19" s="1">
        <v>7.9900000000000001E-4</v>
      </c>
      <c r="AR19" s="1">
        <v>7.2199999999999999E-4</v>
      </c>
      <c r="AS19" s="1">
        <v>5.0600000000000005E-4</v>
      </c>
      <c r="AT19" s="1">
        <v>9.3199999999999999E-4</v>
      </c>
      <c r="AU19" s="1">
        <v>6.1799999999999995E-4</v>
      </c>
      <c r="AV19" s="1">
        <v>1.2300000000000001E-4</v>
      </c>
      <c r="AW19" s="1">
        <v>-3.9800000000000002E-4</v>
      </c>
      <c r="AX19" s="1">
        <v>-5.8100000000000003E-4</v>
      </c>
      <c r="AY19" s="1">
        <v>-1.08E-3</v>
      </c>
      <c r="AZ19" s="1">
        <v>-1.14E-3</v>
      </c>
      <c r="BA19" s="1">
        <v>-4.0000000000000002E-4</v>
      </c>
      <c r="BB19" s="1">
        <v>2.5799999999999998E-4</v>
      </c>
      <c r="BC19" s="1">
        <v>5.0199999999999995E-4</v>
      </c>
      <c r="BD19" s="1">
        <v>1.08E-3</v>
      </c>
      <c r="BE19" s="1">
        <v>8.4099999999999995E-4</v>
      </c>
      <c r="BF19" s="1">
        <v>4.55E-4</v>
      </c>
      <c r="BG19" s="1">
        <v>1.83E-4</v>
      </c>
      <c r="BH19" s="1">
        <v>4.3899999999999999E-4</v>
      </c>
      <c r="BI19" s="1">
        <v>-1.3100000000000001E-4</v>
      </c>
      <c r="BJ19" s="1">
        <v>1.4300000000000001E-4</v>
      </c>
      <c r="BK19" s="1">
        <v>2.3699999999999999E-4</v>
      </c>
      <c r="BL19" s="1">
        <v>5.6899999999999995E-4</v>
      </c>
      <c r="BM19" s="1">
        <v>5.4699999999999996E-4</v>
      </c>
      <c r="BN19" s="1">
        <v>1.2700000000000001E-3</v>
      </c>
      <c r="BO19" s="1">
        <v>1.8E-3</v>
      </c>
      <c r="BP19" s="1">
        <v>2.0100000000000001E-3</v>
      </c>
      <c r="BQ19" s="1">
        <v>1.23E-3</v>
      </c>
      <c r="BR19" s="1">
        <v>8.1700000000000002E-4</v>
      </c>
      <c r="BS19" s="1">
        <v>9.0200000000000002E-4</v>
      </c>
      <c r="BT19" s="1">
        <v>1.9400000000000001E-3</v>
      </c>
      <c r="BU19" s="1">
        <v>1.6900000000000001E-3</v>
      </c>
      <c r="BV19" s="1">
        <v>8.7200000000000005E-4</v>
      </c>
      <c r="BW19" s="1">
        <v>1.8699999999999999E-3</v>
      </c>
      <c r="BX19" s="1">
        <v>2.3999999999999998E-3</v>
      </c>
      <c r="BY19" s="1">
        <v>2.8900000000000002E-3</v>
      </c>
      <c r="BZ19" s="1">
        <v>2.7899999999999999E-3</v>
      </c>
      <c r="CA19" s="1">
        <v>3.0899999999999999E-3</v>
      </c>
      <c r="CB19" s="1">
        <v>2.7299999999999998E-3</v>
      </c>
      <c r="CC19" s="1">
        <v>3.4900000000000003E-4</v>
      </c>
      <c r="CD19" s="1">
        <v>-3.0499999999999999E-4</v>
      </c>
      <c r="CE19" s="1">
        <v>-3.0299999999999999E-4</v>
      </c>
      <c r="CF19" s="1">
        <v>-3.8900000000000002E-4</v>
      </c>
      <c r="CG19" s="1">
        <v>-6.9800000000000005E-4</v>
      </c>
      <c r="CH19" s="1">
        <v>-9.9599999999999992E-4</v>
      </c>
      <c r="CI19" s="1">
        <v>1.9799999999999999E-4</v>
      </c>
      <c r="CJ19" s="1">
        <v>1.14E-3</v>
      </c>
      <c r="CK19" s="1">
        <v>4.2999999999999999E-4</v>
      </c>
      <c r="CL19" s="1">
        <v>-1.9599999999999999E-5</v>
      </c>
      <c r="CM19" s="1">
        <v>-1.23E-3</v>
      </c>
      <c r="CN19" s="1">
        <v>-8.5099999999999998E-4</v>
      </c>
      <c r="CO19" s="1">
        <v>4.8999999999999998E-4</v>
      </c>
      <c r="CP19" s="1">
        <v>-9.7300000000000002E-4</v>
      </c>
      <c r="CQ19" s="1">
        <v>-4.1199999999999999E-5</v>
      </c>
      <c r="CR19" s="1">
        <v>-8.0400000000000003E-4</v>
      </c>
      <c r="CS19" s="1">
        <v>-1.5200000000000001E-3</v>
      </c>
      <c r="CT19" s="1">
        <v>-1.6800000000000001E-3</v>
      </c>
      <c r="CU19" s="1">
        <v>-3.79E-3</v>
      </c>
      <c r="CV19" s="1">
        <v>-4.9899999999999996E-3</v>
      </c>
    </row>
    <row r="20" spans="1:100" x14ac:dyDescent="0.2">
      <c r="A20" t="s">
        <v>213</v>
      </c>
      <c r="B20" s="1">
        <v>7.6499999999999999E-2</v>
      </c>
      <c r="C20" s="1">
        <v>0.111</v>
      </c>
      <c r="D20" s="1">
        <v>2.5600000000000001E-2</v>
      </c>
      <c r="E20" s="1">
        <v>4.0899999999999999E-2</v>
      </c>
      <c r="F20" s="1">
        <v>-2.9000000000000001E-2</v>
      </c>
      <c r="G20" s="1">
        <v>1.2500000000000001E-2</v>
      </c>
      <c r="H20" s="1">
        <v>-2.7799999999999998E-2</v>
      </c>
      <c r="I20" s="1">
        <v>-2.3199999999999998E-2</v>
      </c>
      <c r="J20" s="1">
        <v>-2.5999999999999999E-2</v>
      </c>
      <c r="K20" s="1">
        <v>-2.3199999999999998E-2</v>
      </c>
      <c r="L20" s="1">
        <v>-8.0100000000000005E-2</v>
      </c>
      <c r="M20" s="1">
        <v>-0.13800000000000001</v>
      </c>
      <c r="N20" s="1">
        <v>-0.14000000000000001</v>
      </c>
      <c r="O20" s="1">
        <v>-0.114</v>
      </c>
      <c r="P20" s="1">
        <v>-7.1999999999999995E-2</v>
      </c>
      <c r="Q20" s="1">
        <v>-5.4800000000000001E-2</v>
      </c>
      <c r="R20" s="1">
        <v>-5.5500000000000001E-2</v>
      </c>
      <c r="S20" s="1">
        <v>-5.67E-2</v>
      </c>
      <c r="T20" s="1">
        <v>-4.7300000000000002E-2</v>
      </c>
      <c r="U20" s="1">
        <v>-4.48E-2</v>
      </c>
      <c r="V20" s="1">
        <v>-4.8800000000000003E-2</v>
      </c>
      <c r="W20" s="1">
        <v>-5.1200000000000002E-2</v>
      </c>
      <c r="X20" s="1">
        <v>-5.0799999999999998E-2</v>
      </c>
      <c r="Y20" s="1">
        <v>-4.6300000000000001E-2</v>
      </c>
      <c r="Z20" s="1">
        <v>-4.1399999999999999E-2</v>
      </c>
      <c r="AA20" s="1">
        <v>-3.3399999999999999E-2</v>
      </c>
      <c r="AB20" s="1">
        <v>-2.6700000000000002E-2</v>
      </c>
      <c r="AC20" s="1">
        <v>-2.9600000000000001E-2</v>
      </c>
      <c r="AD20" s="1">
        <v>-2.41E-2</v>
      </c>
      <c r="AE20" s="1">
        <v>-2.3400000000000001E-2</v>
      </c>
      <c r="AF20" s="1">
        <v>-2.2499999999999999E-2</v>
      </c>
      <c r="AG20" s="1">
        <v>-1.6299999999999999E-2</v>
      </c>
      <c r="AH20" s="1">
        <v>-1.2999999999999999E-2</v>
      </c>
      <c r="AI20" s="1">
        <v>-9.6799999999999994E-3</v>
      </c>
      <c r="AJ20" s="1">
        <v>-1.11E-2</v>
      </c>
      <c r="AK20" s="1">
        <v>-1.3599999999999999E-2</v>
      </c>
      <c r="AL20" s="1">
        <v>-2.0299999999999999E-2</v>
      </c>
      <c r="AM20" s="1">
        <v>-2.52E-2</v>
      </c>
      <c r="AN20" s="1">
        <v>-2.7199999999999998E-2</v>
      </c>
      <c r="AO20" s="1">
        <v>-2.6499999999999999E-2</v>
      </c>
      <c r="AP20" s="1">
        <v>-2.4299999999999999E-2</v>
      </c>
      <c r="AQ20" s="1">
        <v>-1.89E-2</v>
      </c>
      <c r="AR20" s="1">
        <v>-1.6E-2</v>
      </c>
      <c r="AS20" s="1">
        <v>-1.04E-2</v>
      </c>
      <c r="AT20" s="1">
        <v>-6.2899999999999996E-3</v>
      </c>
      <c r="AU20" s="1">
        <v>-3.3400000000000001E-3</v>
      </c>
      <c r="AV20" s="1">
        <v>-1.7799999999999999E-3</v>
      </c>
      <c r="AW20" s="1">
        <v>-3.6900000000000001E-3</v>
      </c>
      <c r="AX20" s="1">
        <v>-0.01</v>
      </c>
      <c r="AY20" s="1">
        <v>-1.1599999999999999E-2</v>
      </c>
      <c r="AZ20" s="1">
        <v>-1.1299999999999999E-2</v>
      </c>
      <c r="BA20" s="1">
        <v>-1.35E-2</v>
      </c>
      <c r="BB20" s="1">
        <v>-1.2999999999999999E-2</v>
      </c>
      <c r="BC20" s="1">
        <v>-1.29E-2</v>
      </c>
      <c r="BD20" s="1">
        <v>-1.26E-2</v>
      </c>
      <c r="BE20" s="1">
        <v>-7.6099999999999996E-3</v>
      </c>
      <c r="BF20" s="1">
        <v>-5.8999999999999999E-3</v>
      </c>
      <c r="BG20" s="1">
        <v>-8.6800000000000002E-3</v>
      </c>
      <c r="BH20" s="1">
        <v>-1.2800000000000001E-2</v>
      </c>
      <c r="BI20" s="1">
        <v>-9.6399999999999993E-3</v>
      </c>
      <c r="BJ20" s="1">
        <v>-9.2700000000000005E-3</v>
      </c>
      <c r="BK20" s="1">
        <v>-1.2999999999999999E-2</v>
      </c>
      <c r="BL20" s="1">
        <v>-1.5100000000000001E-2</v>
      </c>
      <c r="BM20" s="1">
        <v>-1.4500000000000001E-2</v>
      </c>
      <c r="BN20" s="1">
        <v>-8.6700000000000006E-3</v>
      </c>
      <c r="BO20" s="1">
        <v>-7.1000000000000004E-3</v>
      </c>
      <c r="BP20" s="1">
        <v>-6.8300000000000001E-3</v>
      </c>
      <c r="BQ20" s="1">
        <v>-6.6699999999999997E-3</v>
      </c>
      <c r="BR20" s="1">
        <v>-1.01E-3</v>
      </c>
      <c r="BS20" s="1">
        <v>-1.56E-3</v>
      </c>
      <c r="BT20" s="1">
        <v>1.32E-3</v>
      </c>
      <c r="BU20" s="1">
        <v>2.4099999999999998E-3</v>
      </c>
      <c r="BV20" s="1">
        <v>-3.64E-3</v>
      </c>
      <c r="BW20" s="1">
        <v>-5.4099999999999999E-3</v>
      </c>
      <c r="BX20" s="1">
        <v>-5.8700000000000002E-3</v>
      </c>
      <c r="BY20" s="1">
        <v>-6.3900000000000003E-4</v>
      </c>
      <c r="BZ20" s="1">
        <v>1.06E-2</v>
      </c>
      <c r="CA20" s="1">
        <v>1.0999999999999999E-2</v>
      </c>
      <c r="CB20" s="1">
        <v>1.5100000000000001E-2</v>
      </c>
      <c r="CC20" s="1">
        <v>1.11E-2</v>
      </c>
      <c r="CD20" s="1">
        <v>7.8399999999999997E-3</v>
      </c>
      <c r="CE20" s="1">
        <v>1.67E-2</v>
      </c>
      <c r="CF20" s="1">
        <v>1.8100000000000002E-2</v>
      </c>
      <c r="CG20" s="1">
        <v>1.5299999999999999E-2</v>
      </c>
      <c r="CH20" s="1">
        <v>1.9599999999999999E-2</v>
      </c>
      <c r="CI20" s="1">
        <v>2.5499999999999998E-2</v>
      </c>
      <c r="CJ20" s="1">
        <v>2.4500000000000001E-2</v>
      </c>
      <c r="CK20" s="1">
        <v>2.2100000000000002E-2</v>
      </c>
      <c r="CL20" s="1">
        <v>3.6799999999999999E-2</v>
      </c>
      <c r="CM20" s="1">
        <v>4.2099999999999999E-2</v>
      </c>
      <c r="CN20" s="1">
        <v>3.04E-2</v>
      </c>
      <c r="CO20" s="1">
        <v>4.4499999999999998E-2</v>
      </c>
      <c r="CP20" s="1">
        <v>5.2999999999999999E-2</v>
      </c>
      <c r="CQ20" s="1">
        <v>3.7199999999999997E-2</v>
      </c>
      <c r="CR20" s="1">
        <v>4.8000000000000001E-2</v>
      </c>
      <c r="CS20" s="1">
        <v>4.4400000000000002E-2</v>
      </c>
      <c r="CT20" s="1">
        <v>4.8500000000000001E-2</v>
      </c>
      <c r="CU20" s="1">
        <v>5.3999999999999999E-2</v>
      </c>
      <c r="CV20" s="1">
        <v>5.5500000000000001E-2</v>
      </c>
    </row>
    <row r="21" spans="1:100" x14ac:dyDescent="0.2">
      <c r="A21" t="s">
        <v>214</v>
      </c>
      <c r="B21" s="1">
        <v>-5.3800000000000002E-3</v>
      </c>
      <c r="C21" s="1">
        <v>-2.5999999999999999E-3</v>
      </c>
      <c r="D21" s="1">
        <v>1.1299999999999999E-2</v>
      </c>
      <c r="E21" s="1">
        <v>1.49E-2</v>
      </c>
      <c r="F21" s="1">
        <v>1.4E-2</v>
      </c>
      <c r="G21" s="1">
        <v>7.6299999999999996E-3</v>
      </c>
      <c r="H21" s="1">
        <v>7.1300000000000001E-3</v>
      </c>
      <c r="I21" s="1">
        <v>2.6700000000000001E-3</v>
      </c>
      <c r="J21" s="1">
        <v>7.2100000000000003E-3</v>
      </c>
      <c r="K21" s="1">
        <v>5.7499999999999999E-3</v>
      </c>
      <c r="L21" s="1">
        <v>5.45E-3</v>
      </c>
      <c r="M21" s="1">
        <v>4.8599999999999997E-3</v>
      </c>
      <c r="N21" s="1">
        <v>3.5699999999999998E-3</v>
      </c>
      <c r="O21" s="1">
        <v>3.1900000000000001E-3</v>
      </c>
      <c r="P21" s="1">
        <v>8.3099999999999997E-3</v>
      </c>
      <c r="Q21" s="1">
        <v>9.1299999999999992E-3</v>
      </c>
      <c r="R21" s="1">
        <v>1.57E-3</v>
      </c>
      <c r="S21" s="1">
        <v>3.5899999999999999E-3</v>
      </c>
      <c r="T21" s="1">
        <v>5.4200000000000003E-3</v>
      </c>
      <c r="U21" s="1">
        <v>6.1999999999999998E-3</v>
      </c>
      <c r="V21" s="1">
        <v>7.45E-3</v>
      </c>
      <c r="W21" s="1">
        <v>5.7800000000000004E-3</v>
      </c>
      <c r="X21" s="1">
        <v>6.3200000000000001E-3</v>
      </c>
      <c r="Y21" s="1">
        <v>3.96E-3</v>
      </c>
      <c r="Z21" s="1">
        <v>2.7100000000000002E-3</v>
      </c>
      <c r="AA21" s="1">
        <v>8.4699999999999999E-4</v>
      </c>
      <c r="AB21" s="1">
        <v>3.0699999999999998E-3</v>
      </c>
      <c r="AC21" s="1">
        <v>3.6800000000000001E-3</v>
      </c>
      <c r="AD21" s="1">
        <v>3.8099999999999999E-4</v>
      </c>
      <c r="AE21" s="1">
        <v>8.0099999999999998E-3</v>
      </c>
      <c r="AF21" s="1">
        <v>5.5799999999999999E-3</v>
      </c>
      <c r="AG21" s="1">
        <v>1.4300000000000001E-3</v>
      </c>
      <c r="AH21" s="1">
        <v>3.2799999999999999E-3</v>
      </c>
      <c r="AI21" s="1">
        <v>-4.57E-4</v>
      </c>
      <c r="AJ21" s="1">
        <v>1.7799999999999999E-3</v>
      </c>
      <c r="AK21" s="1">
        <v>6.3899999999999998E-3</v>
      </c>
      <c r="AL21" s="1">
        <v>3.79E-4</v>
      </c>
      <c r="AM21" s="1">
        <v>2.2000000000000001E-3</v>
      </c>
      <c r="AN21" s="1">
        <v>1.7100000000000001E-4</v>
      </c>
      <c r="AO21" s="1">
        <v>2.15E-3</v>
      </c>
      <c r="AP21" s="1">
        <v>-2.7299999999999998E-3</v>
      </c>
      <c r="AQ21" s="1">
        <v>3.5599999999999998E-3</v>
      </c>
      <c r="AR21" s="1">
        <v>2.7100000000000002E-3</v>
      </c>
      <c r="AS21" s="1">
        <v>2.5500000000000002E-3</v>
      </c>
      <c r="AT21" s="1">
        <v>-5.8199999999999997E-3</v>
      </c>
      <c r="AU21" s="1">
        <v>-1.7699999999999999E-4</v>
      </c>
      <c r="AV21" s="1">
        <v>-4.13E-3</v>
      </c>
      <c r="AW21" s="1">
        <v>2.4499999999999999E-4</v>
      </c>
      <c r="AX21" s="1">
        <v>1.65E-3</v>
      </c>
      <c r="AY21" s="1">
        <v>-8.0400000000000003E-4</v>
      </c>
      <c r="AZ21" s="1">
        <v>2.12E-4</v>
      </c>
      <c r="BA21" s="1">
        <v>5.2999999999999998E-4</v>
      </c>
      <c r="BB21" s="1">
        <v>1.4799999999999999E-4</v>
      </c>
      <c r="BC21" s="1">
        <v>5.3299999999999997E-3</v>
      </c>
      <c r="BD21" s="1">
        <v>-6.8999999999999997E-4</v>
      </c>
      <c r="BE21" s="1">
        <v>1.67E-3</v>
      </c>
      <c r="BF21" s="1">
        <v>-2.1299999999999999E-3</v>
      </c>
      <c r="BG21" s="1">
        <v>-5.8100000000000003E-4</v>
      </c>
      <c r="BH21" s="1">
        <v>-8.5199999999999998E-3</v>
      </c>
      <c r="BI21" s="1">
        <v>7.11E-3</v>
      </c>
      <c r="BJ21" s="1">
        <v>-1.83E-3</v>
      </c>
      <c r="BK21" s="1">
        <v>2.7699999999999999E-3</v>
      </c>
      <c r="BL21" s="1">
        <v>3.5999999999999999E-3</v>
      </c>
      <c r="BM21" s="1">
        <v>4.7000000000000002E-3</v>
      </c>
      <c r="BN21" s="1">
        <v>2.5000000000000001E-3</v>
      </c>
      <c r="BO21" s="1">
        <v>5.9500000000000004E-3</v>
      </c>
      <c r="BP21" s="1">
        <v>1.2600000000000001E-3</v>
      </c>
      <c r="BQ21" s="1">
        <v>-3.16E-3</v>
      </c>
      <c r="BR21" s="1">
        <v>3.0999999999999999E-3</v>
      </c>
      <c r="BS21" s="1">
        <v>-5.5699999999999999E-4</v>
      </c>
      <c r="BT21" s="1">
        <v>7.1900000000000002E-4</v>
      </c>
      <c r="BU21" s="1">
        <v>-2.66E-3</v>
      </c>
      <c r="BV21" s="1">
        <v>8.1899999999999996E-4</v>
      </c>
      <c r="BW21" s="1">
        <v>-7.9799999999999999E-4</v>
      </c>
      <c r="BX21" s="1">
        <v>8.3799999999999999E-4</v>
      </c>
      <c r="BY21" s="1">
        <v>-4.8599999999999997E-3</v>
      </c>
      <c r="BZ21" s="1">
        <v>1.4E-2</v>
      </c>
      <c r="CA21" s="1">
        <v>1.29E-2</v>
      </c>
      <c r="CB21" s="1">
        <v>2.4199999999999998E-3</v>
      </c>
      <c r="CC21" s="1">
        <v>-9.810000000000001E-4</v>
      </c>
      <c r="CD21" s="1">
        <v>-5.1900000000000004E-4</v>
      </c>
      <c r="CE21" s="1">
        <v>6.4000000000000005E-4</v>
      </c>
      <c r="CF21" s="1">
        <v>4.4600000000000004E-3</v>
      </c>
      <c r="CG21" s="1">
        <v>2.5100000000000001E-3</v>
      </c>
      <c r="CH21" s="1">
        <v>-5.1699999999999999E-4</v>
      </c>
      <c r="CI21" s="1">
        <v>6.6800000000000002E-3</v>
      </c>
      <c r="CJ21" s="1">
        <v>1.23E-2</v>
      </c>
      <c r="CK21" s="1">
        <v>-1.2800000000000001E-3</v>
      </c>
      <c r="CL21" s="1">
        <v>5.4200000000000003E-3</v>
      </c>
      <c r="CM21" s="1">
        <v>-5.8100000000000003E-4</v>
      </c>
      <c r="CN21" s="1">
        <v>5.1200000000000004E-3</v>
      </c>
      <c r="CO21" s="1">
        <v>6.94E-3</v>
      </c>
      <c r="CP21" s="1">
        <v>1.35E-2</v>
      </c>
      <c r="CQ21" s="1">
        <v>8.8900000000000003E-3</v>
      </c>
      <c r="CR21" s="1">
        <v>1.2200000000000001E-2</v>
      </c>
      <c r="CS21" s="1">
        <v>-1.2999999999999999E-3</v>
      </c>
      <c r="CT21" s="1">
        <v>7.2700000000000004E-3</v>
      </c>
      <c r="CU21" s="1">
        <v>8.4000000000000003E-4</v>
      </c>
      <c r="CV21" s="1">
        <v>1.3599999999999999E-2</v>
      </c>
    </row>
    <row r="22" spans="1:100" x14ac:dyDescent="0.2">
      <c r="A22" t="s">
        <v>215</v>
      </c>
      <c r="B22" s="1">
        <v>-3.1699999999999999E-2</v>
      </c>
      <c r="C22" s="1">
        <v>5.45E-2</v>
      </c>
      <c r="D22" s="1">
        <v>1.09E-2</v>
      </c>
      <c r="E22" s="1">
        <v>-6.2700000000000006E-2</v>
      </c>
      <c r="F22" s="1">
        <v>-5.9299999999999999E-2</v>
      </c>
      <c r="G22" s="1">
        <v>-6.83E-2</v>
      </c>
      <c r="H22" s="1">
        <v>-8.9800000000000005E-2</v>
      </c>
      <c r="I22" s="1">
        <v>-5.9400000000000001E-2</v>
      </c>
      <c r="J22" s="1">
        <v>-6.2899999999999998E-2</v>
      </c>
      <c r="K22" s="1">
        <v>-4.4900000000000002E-2</v>
      </c>
      <c r="L22" s="1">
        <v>-4.6199999999999998E-2</v>
      </c>
      <c r="M22" s="1">
        <v>-3.8199999999999998E-2</v>
      </c>
      <c r="N22" s="1">
        <v>-3.2800000000000003E-2</v>
      </c>
      <c r="O22" s="1">
        <v>-2.5600000000000001E-2</v>
      </c>
      <c r="P22" s="1">
        <v>-1.9699999999999999E-2</v>
      </c>
      <c r="Q22" s="1">
        <v>-1.8599999999999998E-2</v>
      </c>
      <c r="R22" s="1">
        <v>-1.61E-2</v>
      </c>
      <c r="S22" s="1">
        <v>-1.67E-2</v>
      </c>
      <c r="T22" s="1">
        <v>-1.7500000000000002E-2</v>
      </c>
      <c r="U22" s="1">
        <v>-1.9E-2</v>
      </c>
      <c r="V22" s="1">
        <v>-1.43E-2</v>
      </c>
      <c r="W22" s="1">
        <v>-1.5599999999999999E-2</v>
      </c>
      <c r="X22" s="1">
        <v>-1.0999999999999999E-2</v>
      </c>
      <c r="Y22" s="1">
        <v>-1.14E-2</v>
      </c>
      <c r="Z22" s="1">
        <v>-1.1599999999999999E-2</v>
      </c>
      <c r="AA22" s="1">
        <v>-1.14E-2</v>
      </c>
      <c r="AB22" s="1">
        <v>-1.0800000000000001E-2</v>
      </c>
      <c r="AC22" s="1">
        <v>-9.4999999999999998E-3</v>
      </c>
      <c r="AD22" s="1">
        <v>-1.0699999999999999E-2</v>
      </c>
      <c r="AE22" s="1">
        <v>-1.0999999999999999E-2</v>
      </c>
      <c r="AF22" s="1">
        <v>-1.34E-2</v>
      </c>
      <c r="AG22" s="1">
        <v>-1.4200000000000001E-2</v>
      </c>
      <c r="AH22" s="1">
        <v>-9.9100000000000004E-3</v>
      </c>
      <c r="AI22" s="1">
        <v>4.1700000000000001E-3</v>
      </c>
      <c r="AJ22" s="1">
        <v>1.3500000000000001E-3</v>
      </c>
      <c r="AK22" s="1">
        <v>3.8200000000000002E-4</v>
      </c>
      <c r="AL22" s="1">
        <v>-9.5600000000000004E-4</v>
      </c>
      <c r="AM22" s="1">
        <v>-1.1800000000000001E-3</v>
      </c>
      <c r="AN22" s="1">
        <v>6.45E-3</v>
      </c>
      <c r="AO22" s="1">
        <v>6.45E-3</v>
      </c>
      <c r="AP22" s="1">
        <v>7.3299999999999997E-3</v>
      </c>
      <c r="AQ22" s="1">
        <v>9.7999999999999997E-4</v>
      </c>
      <c r="AR22" s="1">
        <v>1.47E-3</v>
      </c>
      <c r="AS22" s="1">
        <v>2.6199999999999999E-3</v>
      </c>
      <c r="AT22" s="1">
        <v>1.67E-3</v>
      </c>
      <c r="AU22" s="1">
        <v>1.1999999999999999E-3</v>
      </c>
      <c r="AV22" s="1">
        <v>-1.3799999999999999E-3</v>
      </c>
      <c r="AW22" s="1">
        <v>-1.07E-3</v>
      </c>
      <c r="AX22" s="1">
        <v>-5.5100000000000001E-3</v>
      </c>
      <c r="AY22" s="1">
        <v>-1.21E-2</v>
      </c>
      <c r="AZ22" s="1">
        <v>-1.29E-2</v>
      </c>
      <c r="BA22" s="1">
        <v>-1.38E-2</v>
      </c>
      <c r="BB22" s="1">
        <v>-1.6299999999999999E-2</v>
      </c>
      <c r="BC22" s="1">
        <v>-1.34E-2</v>
      </c>
      <c r="BD22" s="1">
        <v>-1.61E-2</v>
      </c>
      <c r="BE22" s="1">
        <v>-1.7000000000000001E-2</v>
      </c>
      <c r="BF22" s="1">
        <v>-1.9400000000000001E-2</v>
      </c>
      <c r="BG22" s="1">
        <v>6.0200000000000002E-3</v>
      </c>
      <c r="BH22" s="1">
        <v>1.0999999999999999E-2</v>
      </c>
      <c r="BI22" s="1">
        <v>1.23E-2</v>
      </c>
      <c r="BJ22" s="1">
        <v>1.06E-2</v>
      </c>
      <c r="BK22" s="1">
        <v>2.06E-2</v>
      </c>
      <c r="BL22" s="1">
        <v>2.1100000000000001E-2</v>
      </c>
      <c r="BM22" s="1">
        <v>1.6799999999999999E-2</v>
      </c>
      <c r="BN22" s="1">
        <v>1.37E-2</v>
      </c>
      <c r="BO22" s="1">
        <v>1.4200000000000001E-2</v>
      </c>
      <c r="BP22" s="1">
        <v>1.34E-2</v>
      </c>
      <c r="BQ22" s="1">
        <v>1.11E-2</v>
      </c>
      <c r="BR22" s="1">
        <v>1.72E-2</v>
      </c>
      <c r="BS22" s="1">
        <v>1.6299999999999999E-2</v>
      </c>
      <c r="BT22" s="1">
        <v>1.6299999999999999E-2</v>
      </c>
      <c r="BU22" s="1">
        <v>1.8700000000000001E-2</v>
      </c>
      <c r="BV22" s="1">
        <v>1.47E-2</v>
      </c>
      <c r="BW22" s="1">
        <v>1.2699999999999999E-2</v>
      </c>
      <c r="BX22" s="1">
        <v>9.1000000000000004E-3</v>
      </c>
      <c r="BY22" s="1">
        <v>7.4700000000000001E-3</v>
      </c>
      <c r="BZ22" s="1">
        <v>6.28E-3</v>
      </c>
      <c r="CA22" s="1">
        <v>8.6800000000000002E-3</v>
      </c>
      <c r="CB22" s="1">
        <v>1.5699999999999999E-2</v>
      </c>
      <c r="CC22" s="1">
        <v>1.5699999999999999E-2</v>
      </c>
      <c r="CD22" s="1">
        <v>1.3299999999999999E-2</v>
      </c>
      <c r="CE22" s="1">
        <v>1.15E-2</v>
      </c>
      <c r="CF22" s="1">
        <v>7.3000000000000001E-3</v>
      </c>
      <c r="CG22" s="1">
        <v>6.4400000000000004E-3</v>
      </c>
      <c r="CH22" s="1">
        <v>3.0499999999999999E-2</v>
      </c>
      <c r="CI22" s="1">
        <v>3.0599999999999999E-2</v>
      </c>
      <c r="CJ22" s="1">
        <v>2.07E-2</v>
      </c>
      <c r="CK22" s="1">
        <v>9.4800000000000006E-3</v>
      </c>
      <c r="CL22" s="1">
        <v>5.8700000000000002E-3</v>
      </c>
      <c r="CM22" s="1">
        <v>-7.6800000000000002E-3</v>
      </c>
      <c r="CN22" s="1">
        <v>-6.5799999999999999E-3</v>
      </c>
      <c r="CO22" s="1">
        <v>-6.7499999999999999E-3</v>
      </c>
      <c r="CP22" s="1">
        <v>-2.8500000000000001E-2</v>
      </c>
      <c r="CQ22" s="1">
        <v>-2.53E-2</v>
      </c>
      <c r="CR22" s="1">
        <v>6.7799999999999999E-2</v>
      </c>
      <c r="CS22" s="1">
        <v>7.5399999999999995E-2</v>
      </c>
      <c r="CT22" s="1">
        <v>7.1599999999999997E-2</v>
      </c>
      <c r="CU22" s="1">
        <v>7.2499999999999995E-2</v>
      </c>
      <c r="CV22" s="1">
        <v>6.9400000000000003E-2</v>
      </c>
    </row>
    <row r="23" spans="1:100" x14ac:dyDescent="0.2">
      <c r="A23" t="s">
        <v>216</v>
      </c>
      <c r="B23" s="1">
        <v>-0.24199999999999999</v>
      </c>
      <c r="C23" s="1">
        <v>-0.22900000000000001</v>
      </c>
      <c r="D23" s="1">
        <v>0.26900000000000002</v>
      </c>
      <c r="E23" s="1">
        <v>0.33200000000000002</v>
      </c>
      <c r="F23" s="1">
        <v>0.53300000000000003</v>
      </c>
      <c r="G23" s="1">
        <v>0.375</v>
      </c>
      <c r="H23" s="1">
        <v>0.59799999999999998</v>
      </c>
      <c r="I23" s="1">
        <v>0.49399999999999999</v>
      </c>
      <c r="J23" s="1">
        <v>0.50800000000000001</v>
      </c>
      <c r="K23" s="1">
        <v>0.43</v>
      </c>
      <c r="L23" s="1">
        <v>0.56699999999999995</v>
      </c>
      <c r="M23" s="1">
        <v>0.71799999999999997</v>
      </c>
      <c r="N23" s="1">
        <v>0.67900000000000005</v>
      </c>
      <c r="O23" s="1">
        <v>0.56599999999999995</v>
      </c>
      <c r="P23" s="1">
        <v>0.36</v>
      </c>
      <c r="Q23" s="1">
        <v>0.29299999999999998</v>
      </c>
      <c r="R23" s="1">
        <v>0.31</v>
      </c>
      <c r="S23" s="1">
        <v>0.30399999999999999</v>
      </c>
      <c r="T23" s="1">
        <v>0.252</v>
      </c>
      <c r="U23" s="1">
        <v>0.23100000000000001</v>
      </c>
      <c r="V23" s="1">
        <v>0.22900000000000001</v>
      </c>
      <c r="W23" s="1">
        <v>0.25800000000000001</v>
      </c>
      <c r="X23" s="1">
        <v>0.27500000000000002</v>
      </c>
      <c r="Y23" s="1">
        <v>0.27300000000000002</v>
      </c>
      <c r="Z23" s="1">
        <v>0.24199999999999999</v>
      </c>
      <c r="AA23" s="1">
        <v>0.20200000000000001</v>
      </c>
      <c r="AB23" s="1">
        <v>0.16900000000000001</v>
      </c>
      <c r="AC23" s="1">
        <v>0.153</v>
      </c>
      <c r="AD23" s="1">
        <v>0.13400000000000001</v>
      </c>
      <c r="AE23" s="1">
        <v>0.11700000000000001</v>
      </c>
      <c r="AF23" s="1">
        <v>0.121</v>
      </c>
      <c r="AG23" s="1">
        <v>0.112</v>
      </c>
      <c r="AH23" s="1">
        <v>8.7599999999999997E-2</v>
      </c>
      <c r="AI23" s="1">
        <v>6.0499999999999998E-2</v>
      </c>
      <c r="AJ23" s="1">
        <v>5.0900000000000001E-2</v>
      </c>
      <c r="AK23" s="1">
        <v>4.8599999999999997E-2</v>
      </c>
      <c r="AL23" s="1">
        <v>6.0699999999999997E-2</v>
      </c>
      <c r="AM23" s="1">
        <v>7.4399999999999994E-2</v>
      </c>
      <c r="AN23" s="1">
        <v>0.124</v>
      </c>
      <c r="AO23" s="1">
        <v>0.17699999999999999</v>
      </c>
      <c r="AP23" s="1">
        <v>0.17799999999999999</v>
      </c>
      <c r="AQ23" s="1">
        <v>0.186</v>
      </c>
      <c r="AR23" s="1">
        <v>0.16700000000000001</v>
      </c>
      <c r="AS23" s="1">
        <v>0.159</v>
      </c>
      <c r="AT23" s="1">
        <v>0.108</v>
      </c>
      <c r="AU23" s="1">
        <v>6.5699999999999995E-2</v>
      </c>
      <c r="AV23" s="1">
        <v>3.7400000000000003E-2</v>
      </c>
      <c r="AW23" s="1">
        <v>4.7199999999999999E-2</v>
      </c>
      <c r="AX23" s="1">
        <v>4.4900000000000002E-2</v>
      </c>
      <c r="AY23" s="1">
        <v>5.1900000000000002E-2</v>
      </c>
      <c r="AZ23" s="1">
        <v>0.10100000000000001</v>
      </c>
      <c r="BA23" s="1">
        <v>0.16600000000000001</v>
      </c>
      <c r="BB23" s="1">
        <v>0.19800000000000001</v>
      </c>
      <c r="BC23" s="1">
        <v>0.21099999999999999</v>
      </c>
      <c r="BD23" s="1">
        <v>0.20599999999999999</v>
      </c>
      <c r="BE23" s="1">
        <v>0.218</v>
      </c>
      <c r="BF23" s="1">
        <v>0.188</v>
      </c>
      <c r="BG23" s="1">
        <v>0.11899999999999999</v>
      </c>
      <c r="BH23" s="1">
        <v>9.2600000000000002E-2</v>
      </c>
      <c r="BI23" s="1">
        <v>7.8799999999999995E-2</v>
      </c>
      <c r="BJ23" s="1">
        <v>7.7600000000000002E-2</v>
      </c>
      <c r="BK23" s="1">
        <v>7.9500000000000001E-2</v>
      </c>
      <c r="BL23" s="1">
        <v>0.105</v>
      </c>
      <c r="BM23" s="1">
        <v>0.16400000000000001</v>
      </c>
      <c r="BN23" s="1">
        <v>0.19700000000000001</v>
      </c>
      <c r="BO23" s="1">
        <v>0.182</v>
      </c>
      <c r="BP23" s="1">
        <v>0.14699999999999999</v>
      </c>
      <c r="BQ23" s="1">
        <v>0.129</v>
      </c>
      <c r="BR23" s="1">
        <v>9.7299999999999998E-2</v>
      </c>
      <c r="BS23" s="1">
        <v>4.9299999999999997E-2</v>
      </c>
      <c r="BT23" s="1">
        <v>4.99E-2</v>
      </c>
      <c r="BU23" s="1">
        <v>4.0300000000000002E-2</v>
      </c>
      <c r="BV23" s="1">
        <v>7.3899999999999993E-2</v>
      </c>
      <c r="BW23" s="1">
        <v>0.11</v>
      </c>
      <c r="BX23" s="1">
        <v>0.21299999999999999</v>
      </c>
      <c r="BY23" s="1">
        <v>0.247</v>
      </c>
      <c r="BZ23" s="1">
        <v>0.222</v>
      </c>
      <c r="CA23" s="1">
        <v>0.23699999999999999</v>
      </c>
      <c r="CB23" s="1">
        <v>0.21299999999999999</v>
      </c>
      <c r="CC23" s="1">
        <v>3.9800000000000002E-2</v>
      </c>
      <c r="CD23" s="1">
        <v>-5.5300000000000002E-3</v>
      </c>
      <c r="CE23" s="1">
        <v>8.1200000000000005E-3</v>
      </c>
      <c r="CF23" s="1">
        <v>-5.3100000000000001E-2</v>
      </c>
      <c r="CG23" s="1">
        <v>-1.4200000000000001E-2</v>
      </c>
      <c r="CH23" s="1">
        <v>-1.4500000000000001E-2</v>
      </c>
      <c r="CI23" s="1">
        <v>0.29499999999999998</v>
      </c>
      <c r="CJ23" s="1">
        <v>0.24199999999999999</v>
      </c>
      <c r="CK23" s="1">
        <v>0.14000000000000001</v>
      </c>
      <c r="CL23" s="1">
        <v>2.2200000000000001E-2</v>
      </c>
      <c r="CM23" s="1">
        <v>-3.3100000000000002E-4</v>
      </c>
      <c r="CN23" s="1">
        <v>0.18099999999999999</v>
      </c>
      <c r="CO23" s="1">
        <v>0.30299999999999999</v>
      </c>
      <c r="CP23" s="1">
        <v>0.2</v>
      </c>
      <c r="CQ23" s="1">
        <v>0.21299999999999999</v>
      </c>
      <c r="CR23" s="1">
        <v>5.5599999999999997E-2</v>
      </c>
      <c r="CS23" s="1">
        <v>-0.16</v>
      </c>
      <c r="CT23" s="1">
        <v>8.9599999999999999E-2</v>
      </c>
      <c r="CU23" s="1">
        <v>-4.41E-2</v>
      </c>
      <c r="CV23" s="1">
        <v>-0.11</v>
      </c>
    </row>
    <row r="25" spans="1:100" x14ac:dyDescent="0.2">
      <c r="B25">
        <f>SUM(B2:B23)</f>
        <v>0.95139899999999988</v>
      </c>
      <c r="C25">
        <f t="shared" ref="C25:BN25" si="0">SUM(C2:C23)</f>
        <v>1.584001</v>
      </c>
      <c r="D25">
        <f t="shared" si="0"/>
        <v>2.1445590000000005</v>
      </c>
      <c r="E25">
        <f t="shared" si="0"/>
        <v>2.4591430000000001</v>
      </c>
      <c r="F25">
        <f t="shared" si="0"/>
        <v>2.8089589999999989</v>
      </c>
      <c r="G25">
        <f t="shared" si="0"/>
        <v>2.8269319999999998</v>
      </c>
      <c r="H25">
        <f t="shared" si="0"/>
        <v>3.1550121999999994</v>
      </c>
      <c r="I25">
        <f t="shared" si="0"/>
        <v>3.1675149999999999</v>
      </c>
      <c r="J25">
        <f t="shared" si="0"/>
        <v>3.3109103999999996</v>
      </c>
      <c r="K25">
        <f t="shared" si="0"/>
        <v>3.4103329999999992</v>
      </c>
      <c r="L25">
        <f t="shared" si="0"/>
        <v>3.507164200000001</v>
      </c>
      <c r="M25">
        <f t="shared" si="0"/>
        <v>3.5987068999999998</v>
      </c>
      <c r="N25">
        <f t="shared" si="0"/>
        <v>3.6175730183999999</v>
      </c>
      <c r="O25">
        <f t="shared" si="0"/>
        <v>3.6166212</v>
      </c>
      <c r="P25">
        <f t="shared" si="0"/>
        <v>3.5696890999999997</v>
      </c>
      <c r="Q25">
        <f t="shared" si="0"/>
        <v>3.6021238100000006</v>
      </c>
      <c r="R25">
        <f t="shared" si="0"/>
        <v>3.6687783999999999</v>
      </c>
      <c r="S25">
        <f t="shared" si="0"/>
        <v>3.6997483999999989</v>
      </c>
      <c r="T25">
        <f t="shared" si="0"/>
        <v>3.6954125999999992</v>
      </c>
      <c r="U25">
        <f t="shared" si="0"/>
        <v>3.7080715999999998</v>
      </c>
      <c r="V25">
        <f t="shared" si="0"/>
        <v>3.7533739999999987</v>
      </c>
      <c r="W25">
        <f t="shared" si="0"/>
        <v>3.7981433999999998</v>
      </c>
      <c r="X25">
        <f t="shared" si="0"/>
        <v>3.8716047000000002</v>
      </c>
      <c r="Y25">
        <f t="shared" si="0"/>
        <v>3.8860774000000009</v>
      </c>
      <c r="Z25">
        <f t="shared" si="0"/>
        <v>3.8580001999999993</v>
      </c>
      <c r="AA25">
        <f t="shared" si="0"/>
        <v>3.8582077999999997</v>
      </c>
      <c r="AB25">
        <f t="shared" si="0"/>
        <v>3.8496226999999994</v>
      </c>
      <c r="AC25">
        <f t="shared" si="0"/>
        <v>3.8355619000000001</v>
      </c>
      <c r="AD25">
        <f t="shared" si="0"/>
        <v>3.8584605000000005</v>
      </c>
      <c r="AE25">
        <f t="shared" si="0"/>
        <v>3.8978986399999997</v>
      </c>
      <c r="AF25">
        <f t="shared" si="0"/>
        <v>3.9121475999999995</v>
      </c>
      <c r="AG25">
        <f t="shared" si="0"/>
        <v>3.9531351999999993</v>
      </c>
      <c r="AH25">
        <f t="shared" si="0"/>
        <v>4.0374184000000009</v>
      </c>
      <c r="AI25">
        <f t="shared" si="0"/>
        <v>4.0761374999999997</v>
      </c>
      <c r="AJ25">
        <f t="shared" si="0"/>
        <v>4.0988864000000014</v>
      </c>
      <c r="AK25">
        <f t="shared" si="0"/>
        <v>4.1314929999999999</v>
      </c>
      <c r="AL25">
        <f t="shared" si="0"/>
        <v>4.1312370999999972</v>
      </c>
      <c r="AM25">
        <f t="shared" si="0"/>
        <v>4.1575611999999991</v>
      </c>
      <c r="AN25">
        <f t="shared" si="0"/>
        <v>4.2481206</v>
      </c>
      <c r="AO25">
        <f t="shared" si="0"/>
        <v>4.3502387000000002</v>
      </c>
      <c r="AP25">
        <f t="shared" si="0"/>
        <v>4.3357389000000008</v>
      </c>
      <c r="AQ25">
        <f t="shared" si="0"/>
        <v>4.3313699999999997</v>
      </c>
      <c r="AR25">
        <f t="shared" si="0"/>
        <v>4.3282108999999993</v>
      </c>
      <c r="AS25">
        <f t="shared" si="0"/>
        <v>4.3510320000000018</v>
      </c>
      <c r="AT25">
        <f t="shared" si="0"/>
        <v>4.2931462999999983</v>
      </c>
      <c r="AU25">
        <f t="shared" si="0"/>
        <v>4.3658610999999992</v>
      </c>
      <c r="AV25">
        <f t="shared" si="0"/>
        <v>4.4287258000000005</v>
      </c>
      <c r="AW25">
        <f t="shared" si="0"/>
        <v>4.4763674000000018</v>
      </c>
      <c r="AX25">
        <f t="shared" si="0"/>
        <v>4.5094713999999998</v>
      </c>
      <c r="AY25">
        <f t="shared" si="0"/>
        <v>4.535047800000001</v>
      </c>
      <c r="AZ25">
        <f t="shared" si="0"/>
        <v>4.6491768699999971</v>
      </c>
      <c r="BA25">
        <f t="shared" si="0"/>
        <v>4.7019066899999995</v>
      </c>
      <c r="BB25">
        <f t="shared" si="0"/>
        <v>4.6724785899999999</v>
      </c>
      <c r="BC25">
        <f t="shared" si="0"/>
        <v>4.7145987300000005</v>
      </c>
      <c r="BD25">
        <f t="shared" si="0"/>
        <v>4.6795812999999997</v>
      </c>
      <c r="BE25">
        <f t="shared" si="0"/>
        <v>4.7473467000000005</v>
      </c>
      <c r="BF25">
        <f t="shared" si="0"/>
        <v>4.751959809999998</v>
      </c>
      <c r="BG25">
        <f t="shared" si="0"/>
        <v>4.8041205000000007</v>
      </c>
      <c r="BH25">
        <f t="shared" si="0"/>
        <v>4.8255993999999998</v>
      </c>
      <c r="BI25">
        <f t="shared" si="0"/>
        <v>4.9086308000000001</v>
      </c>
      <c r="BJ25">
        <f t="shared" si="0"/>
        <v>4.9257772000000006</v>
      </c>
      <c r="BK25">
        <f t="shared" si="0"/>
        <v>4.9810502000000003</v>
      </c>
      <c r="BL25">
        <f t="shared" si="0"/>
        <v>5.0187343999999996</v>
      </c>
      <c r="BM25">
        <f t="shared" si="0"/>
        <v>5.1052489009999968</v>
      </c>
      <c r="BN25">
        <f t="shared" si="0"/>
        <v>5.1035636000000002</v>
      </c>
      <c r="BO25">
        <f t="shared" ref="BO25:CV25" si="1">SUM(BO2:BO23)</f>
        <v>5.1151810000000015</v>
      </c>
      <c r="BP25">
        <f t="shared" si="1"/>
        <v>5.076080000000001</v>
      </c>
      <c r="BQ25">
        <f t="shared" si="1"/>
        <v>5.169069799999999</v>
      </c>
      <c r="BR25">
        <f t="shared" si="1"/>
        <v>5.2407770000000005</v>
      </c>
      <c r="BS25">
        <f t="shared" si="1"/>
        <v>5.2747579999999994</v>
      </c>
      <c r="BT25">
        <f t="shared" si="1"/>
        <v>5.3019664999999998</v>
      </c>
      <c r="BU25">
        <f t="shared" si="1"/>
        <v>5.3668590000000007</v>
      </c>
      <c r="BV25">
        <f t="shared" si="1"/>
        <v>5.4466900000000011</v>
      </c>
      <c r="BW25">
        <f t="shared" si="1"/>
        <v>5.4554310000000008</v>
      </c>
      <c r="BX25">
        <f t="shared" si="1"/>
        <v>5.5856809999999992</v>
      </c>
      <c r="BY25">
        <f t="shared" si="1"/>
        <v>5.6440001000000004</v>
      </c>
      <c r="BZ25">
        <f t="shared" si="1"/>
        <v>5.6719400000000002</v>
      </c>
      <c r="CA25">
        <f t="shared" si="1"/>
        <v>5.6787520000000011</v>
      </c>
      <c r="CB25">
        <f t="shared" si="1"/>
        <v>5.6344089999999998</v>
      </c>
      <c r="CC25">
        <f t="shared" si="1"/>
        <v>5.7977090000000002</v>
      </c>
      <c r="CD25">
        <f t="shared" si="1"/>
        <v>5.852773</v>
      </c>
      <c r="CE25">
        <f t="shared" si="1"/>
        <v>6.0057779999999976</v>
      </c>
      <c r="CF25">
        <f t="shared" si="1"/>
        <v>6.0169769999999998</v>
      </c>
      <c r="CG25">
        <f t="shared" si="1"/>
        <v>6.1275800000000018</v>
      </c>
      <c r="CH25">
        <f t="shared" si="1"/>
        <v>6.249568</v>
      </c>
      <c r="CI25">
        <f t="shared" si="1"/>
        <v>6.3896479999999993</v>
      </c>
      <c r="CJ25">
        <f t="shared" si="1"/>
        <v>6.390581000000001</v>
      </c>
      <c r="CK25">
        <f t="shared" si="1"/>
        <v>6.4281299999999977</v>
      </c>
      <c r="CL25">
        <f t="shared" si="1"/>
        <v>6.6351784000000009</v>
      </c>
      <c r="CM25">
        <f t="shared" si="1"/>
        <v>6.7215190000000007</v>
      </c>
      <c r="CN25">
        <f t="shared" si="1"/>
        <v>7.0170309999999994</v>
      </c>
      <c r="CO25">
        <f t="shared" si="1"/>
        <v>6.936083</v>
      </c>
      <c r="CP25">
        <f t="shared" si="1"/>
        <v>7.2067420000000002</v>
      </c>
      <c r="CQ25">
        <f t="shared" si="1"/>
        <v>7.3401758000000008</v>
      </c>
      <c r="CR25">
        <f t="shared" si="1"/>
        <v>7.4975570000000014</v>
      </c>
      <c r="CS25">
        <f t="shared" si="1"/>
        <v>7.8582099999999997</v>
      </c>
      <c r="CT25">
        <f t="shared" si="1"/>
        <v>8.2113650000000007</v>
      </c>
      <c r="CU25">
        <f t="shared" si="1"/>
        <v>8.592673999999997</v>
      </c>
      <c r="CV25">
        <f t="shared" si="1"/>
        <v>9.2869770000000003</v>
      </c>
    </row>
  </sheetData>
  <conditionalFormatting sqref="B25:CV25">
    <cfRule type="cellIs" dxfId="0" priority="1" operator="greaterThan">
      <formula>10</formula>
    </cfRule>
  </conditionalFormatting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DBD0-7FC1-9E4E-8BCC-835CAFF7A4C9}">
  <sheetPr codeName="Planilha3"/>
  <dimension ref="A1:CV23"/>
  <sheetViews>
    <sheetView workbookViewId="0">
      <selection activeCell="B2" sqref="B2:CV23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0.19</v>
      </c>
      <c r="C2" s="1">
        <v>0.48399999999999999</v>
      </c>
      <c r="D2" s="1">
        <v>0.70499999999999996</v>
      </c>
      <c r="E2" s="1">
        <v>0.88800000000000001</v>
      </c>
      <c r="F2" s="1">
        <v>0.997</v>
      </c>
      <c r="G2" s="1">
        <v>1.111</v>
      </c>
      <c r="H2" s="1">
        <v>1.1970000000000001</v>
      </c>
      <c r="I2" s="1">
        <v>1.292</v>
      </c>
      <c r="J2" s="1">
        <v>1.3879999999999999</v>
      </c>
      <c r="K2" s="1">
        <v>1.4219999999999999</v>
      </c>
      <c r="L2" s="1">
        <v>1.492</v>
      </c>
      <c r="M2" s="1">
        <v>1.575</v>
      </c>
      <c r="N2" s="1">
        <v>1.583</v>
      </c>
      <c r="O2" s="1">
        <v>1.613</v>
      </c>
      <c r="P2" s="1">
        <v>1.647</v>
      </c>
      <c r="Q2" s="1">
        <v>1.6719999999999999</v>
      </c>
      <c r="R2" s="1">
        <v>1.704</v>
      </c>
      <c r="S2" s="1">
        <v>1.718</v>
      </c>
      <c r="T2" s="1">
        <v>1.744</v>
      </c>
      <c r="U2" s="1">
        <v>1.7509999999999999</v>
      </c>
      <c r="V2" s="1">
        <v>1.758</v>
      </c>
      <c r="W2" s="1">
        <v>1.7949999999999999</v>
      </c>
      <c r="X2" s="1">
        <v>1.802</v>
      </c>
      <c r="Y2" s="1">
        <v>1.8009999999999999</v>
      </c>
      <c r="Z2" s="1">
        <v>1.806</v>
      </c>
      <c r="AA2" s="1">
        <v>1.8109999999999999</v>
      </c>
      <c r="AB2" s="1">
        <v>1.839</v>
      </c>
      <c r="AC2" s="1">
        <v>1.8440000000000001</v>
      </c>
      <c r="AD2" s="1">
        <v>1.8520000000000001</v>
      </c>
      <c r="AE2" s="1">
        <v>1.86</v>
      </c>
      <c r="AF2" s="1">
        <v>1.881</v>
      </c>
      <c r="AG2" s="1">
        <v>1.889</v>
      </c>
      <c r="AH2" s="1">
        <v>1.895</v>
      </c>
      <c r="AI2" s="1">
        <v>1.9119999999999999</v>
      </c>
      <c r="AJ2" s="1">
        <v>1.95</v>
      </c>
      <c r="AK2" s="1">
        <v>1.9690000000000001</v>
      </c>
      <c r="AL2" s="1">
        <v>1.9810000000000001</v>
      </c>
      <c r="AM2" s="1">
        <v>1.9830000000000001</v>
      </c>
      <c r="AN2" s="1">
        <v>1.9890000000000001</v>
      </c>
      <c r="AO2" s="1">
        <v>2.008</v>
      </c>
      <c r="AP2" s="1">
        <v>2.028</v>
      </c>
      <c r="AQ2" s="1">
        <v>2.0470000000000002</v>
      </c>
      <c r="AR2" s="1">
        <v>2.0649999999999999</v>
      </c>
      <c r="AS2" s="1">
        <v>2.089</v>
      </c>
      <c r="AT2" s="1">
        <v>2.0950000000000002</v>
      </c>
      <c r="AU2" s="1">
        <v>2.1139999999999999</v>
      </c>
      <c r="AV2" s="1">
        <v>2.1160000000000001</v>
      </c>
      <c r="AW2" s="1">
        <v>2.137</v>
      </c>
      <c r="AX2" s="1">
        <v>2.1469999999999998</v>
      </c>
      <c r="AY2" s="1">
        <v>2.1760000000000002</v>
      </c>
      <c r="AZ2" s="1">
        <v>2.2029999999999998</v>
      </c>
      <c r="BA2" s="1">
        <v>2.2170000000000001</v>
      </c>
      <c r="BB2" s="1">
        <v>2.2090000000000001</v>
      </c>
      <c r="BC2" s="1">
        <v>2.2290000000000001</v>
      </c>
      <c r="BD2" s="1">
        <v>2.2679999999999998</v>
      </c>
      <c r="BE2" s="1">
        <v>2.2719999999999998</v>
      </c>
      <c r="BF2" s="1">
        <v>2.2919999999999998</v>
      </c>
      <c r="BG2" s="1">
        <v>2.3109999999999999</v>
      </c>
      <c r="BH2" s="1">
        <v>2.3180000000000001</v>
      </c>
      <c r="BI2" s="1">
        <v>2.3490000000000002</v>
      </c>
      <c r="BJ2" s="1">
        <v>2.39</v>
      </c>
      <c r="BK2" s="1">
        <v>2.4</v>
      </c>
      <c r="BL2" s="1">
        <v>2.4020000000000001</v>
      </c>
      <c r="BM2" s="1">
        <v>2.4359999999999999</v>
      </c>
      <c r="BN2" s="1">
        <v>2.4929999999999999</v>
      </c>
      <c r="BO2" s="1">
        <v>2.504</v>
      </c>
      <c r="BP2" s="1">
        <v>2.496</v>
      </c>
      <c r="BQ2" s="1">
        <v>2.5</v>
      </c>
      <c r="BR2" s="1">
        <v>2.5030000000000001</v>
      </c>
      <c r="BS2" s="1">
        <v>2.5379999999999998</v>
      </c>
      <c r="BT2" s="1">
        <v>2.5840000000000001</v>
      </c>
      <c r="BU2" s="1">
        <v>2.621</v>
      </c>
      <c r="BV2" s="1">
        <v>2.6389999999999998</v>
      </c>
      <c r="BW2" s="1">
        <v>2.6789999999999998</v>
      </c>
      <c r="BX2" s="1">
        <v>2.7170000000000001</v>
      </c>
      <c r="BY2" s="1">
        <v>2.7210000000000001</v>
      </c>
      <c r="BZ2" s="1">
        <v>2.7759999999999998</v>
      </c>
      <c r="CA2" s="1">
        <v>2.8039999999999998</v>
      </c>
      <c r="CB2" s="1">
        <v>2.8290000000000002</v>
      </c>
      <c r="CC2" s="1">
        <v>2.8959999999999999</v>
      </c>
      <c r="CD2" s="1">
        <v>2.899</v>
      </c>
      <c r="CE2" s="1">
        <v>2.91</v>
      </c>
      <c r="CF2" s="1">
        <v>2.9649999999999999</v>
      </c>
      <c r="CG2" s="1">
        <v>3.012</v>
      </c>
      <c r="CH2" s="1">
        <v>3.0640000000000001</v>
      </c>
      <c r="CI2" s="1">
        <v>3.1339999999999999</v>
      </c>
      <c r="CJ2" s="1">
        <v>3.2040000000000002</v>
      </c>
      <c r="CK2" s="1">
        <v>3.198</v>
      </c>
      <c r="CL2" s="1">
        <v>3.2719999999999998</v>
      </c>
      <c r="CM2" s="1">
        <v>3.335</v>
      </c>
      <c r="CN2" s="1">
        <v>3.4140000000000001</v>
      </c>
      <c r="CO2" s="1">
        <v>3.44</v>
      </c>
      <c r="CP2" s="1">
        <v>3.5590000000000002</v>
      </c>
      <c r="CQ2" s="1">
        <v>3.6520000000000001</v>
      </c>
      <c r="CR2" s="1">
        <v>3.76</v>
      </c>
      <c r="CS2" s="1">
        <v>3.887</v>
      </c>
      <c r="CT2" s="1">
        <v>4.1040000000000001</v>
      </c>
      <c r="CU2" s="1">
        <v>4.2880000000000003</v>
      </c>
      <c r="CV2" s="1">
        <v>4.609</v>
      </c>
    </row>
    <row r="3" spans="1:100" x14ac:dyDescent="0.2">
      <c r="A3" t="s">
        <v>204</v>
      </c>
      <c r="B3" s="1">
        <v>0.19900000000000001</v>
      </c>
      <c r="C3" s="1">
        <v>0.54900000000000004</v>
      </c>
      <c r="D3" s="1">
        <v>0.80400000000000005</v>
      </c>
      <c r="E3" s="1">
        <v>0.96</v>
      </c>
      <c r="F3" s="1">
        <v>1.1299999999999999</v>
      </c>
      <c r="G3" s="1">
        <v>1.1879999999999999</v>
      </c>
      <c r="H3" s="1">
        <v>1.3149999999999999</v>
      </c>
      <c r="I3" s="1">
        <v>1.3660000000000001</v>
      </c>
      <c r="J3" s="1">
        <v>1.4379999999999999</v>
      </c>
      <c r="K3" s="1">
        <v>1.5069999999999999</v>
      </c>
      <c r="L3" s="1">
        <v>1.5469999999999999</v>
      </c>
      <c r="M3" s="1">
        <v>1.5940000000000001</v>
      </c>
      <c r="N3" s="1">
        <v>1.6220000000000001</v>
      </c>
      <c r="O3" s="1">
        <v>1.6379999999999999</v>
      </c>
      <c r="P3" s="1">
        <v>1.647</v>
      </c>
      <c r="Q3" s="1">
        <v>1.6679999999999999</v>
      </c>
      <c r="R3" s="1">
        <v>1.694</v>
      </c>
      <c r="S3" s="1">
        <v>1.7090000000000001</v>
      </c>
      <c r="T3" s="1">
        <v>1.7190000000000001</v>
      </c>
      <c r="U3" s="1">
        <v>1.73</v>
      </c>
      <c r="V3" s="1">
        <v>1.752</v>
      </c>
      <c r="W3" s="1">
        <v>1.77</v>
      </c>
      <c r="X3" s="1">
        <v>1.7949999999999999</v>
      </c>
      <c r="Y3" s="1">
        <v>1.8069999999999999</v>
      </c>
      <c r="Z3" s="1">
        <v>1.8069999999999999</v>
      </c>
      <c r="AA3" s="1">
        <v>1.8180000000000001</v>
      </c>
      <c r="AB3" s="1">
        <v>1.823</v>
      </c>
      <c r="AC3" s="1">
        <v>1.827</v>
      </c>
      <c r="AD3" s="1">
        <v>1.8380000000000001</v>
      </c>
      <c r="AE3" s="1">
        <v>1.8520000000000001</v>
      </c>
      <c r="AF3" s="1">
        <v>1.8620000000000001</v>
      </c>
      <c r="AG3" s="1">
        <v>1.877</v>
      </c>
      <c r="AH3" s="1">
        <v>1.903</v>
      </c>
      <c r="AI3" s="1">
        <v>1.9239999999999999</v>
      </c>
      <c r="AJ3" s="1">
        <v>1.9370000000000001</v>
      </c>
      <c r="AK3" s="1">
        <v>1.952</v>
      </c>
      <c r="AL3" s="1">
        <v>1.96</v>
      </c>
      <c r="AM3" s="1">
        <v>1.9750000000000001</v>
      </c>
      <c r="AN3" s="1">
        <v>2.0059999999999998</v>
      </c>
      <c r="AO3" s="1">
        <v>2.0369999999999999</v>
      </c>
      <c r="AP3" s="1">
        <v>2.0409999999999999</v>
      </c>
      <c r="AQ3" s="1">
        <v>2.048</v>
      </c>
      <c r="AR3" s="1">
        <v>2.0579999999999998</v>
      </c>
      <c r="AS3" s="1">
        <v>2.0720000000000001</v>
      </c>
      <c r="AT3" s="1">
        <v>2.0699999999999998</v>
      </c>
      <c r="AU3" s="1">
        <v>2.097</v>
      </c>
      <c r="AV3" s="1">
        <v>2.121</v>
      </c>
      <c r="AW3" s="1">
        <v>2.1339999999999999</v>
      </c>
      <c r="AX3" s="1">
        <v>2.1469999999999998</v>
      </c>
      <c r="AY3" s="1">
        <v>2.1629999999999998</v>
      </c>
      <c r="AZ3" s="1">
        <v>2.1970000000000001</v>
      </c>
      <c r="BA3" s="1">
        <v>2.222</v>
      </c>
      <c r="BB3" s="1">
        <v>2.2269999999999999</v>
      </c>
      <c r="BC3" s="1">
        <v>2.2469999999999999</v>
      </c>
      <c r="BD3" s="1">
        <v>2.2450000000000001</v>
      </c>
      <c r="BE3" s="1">
        <v>2.2719999999999998</v>
      </c>
      <c r="BF3" s="1">
        <v>2.2890000000000001</v>
      </c>
      <c r="BG3" s="1">
        <v>2.3130000000000002</v>
      </c>
      <c r="BH3" s="1">
        <v>2.3290000000000002</v>
      </c>
      <c r="BI3" s="1">
        <v>2.35</v>
      </c>
      <c r="BJ3" s="1">
        <v>2.3610000000000002</v>
      </c>
      <c r="BK3" s="1">
        <v>2.3879999999999999</v>
      </c>
      <c r="BL3" s="1">
        <v>2.41</v>
      </c>
      <c r="BM3" s="1">
        <v>2.4409999999999998</v>
      </c>
      <c r="BN3" s="1">
        <v>2.4500000000000002</v>
      </c>
      <c r="BO3" s="1">
        <v>2.472</v>
      </c>
      <c r="BP3" s="1">
        <v>2.476</v>
      </c>
      <c r="BQ3" s="1">
        <v>2.5110000000000001</v>
      </c>
      <c r="BR3" s="1">
        <v>2.5310000000000001</v>
      </c>
      <c r="BS3" s="1">
        <v>2.5529999999999999</v>
      </c>
      <c r="BT3" s="1">
        <v>2.577</v>
      </c>
      <c r="BU3" s="1">
        <v>2.6070000000000002</v>
      </c>
      <c r="BV3" s="1">
        <v>2.6360000000000001</v>
      </c>
      <c r="BW3" s="1">
        <v>2.657</v>
      </c>
      <c r="BX3" s="1">
        <v>2.71</v>
      </c>
      <c r="BY3" s="1">
        <v>2.7410000000000001</v>
      </c>
      <c r="BZ3" s="1">
        <v>2.7519999999999998</v>
      </c>
      <c r="CA3" s="1">
        <v>2.7789999999999999</v>
      </c>
      <c r="CB3" s="1">
        <v>2.7829999999999999</v>
      </c>
      <c r="CC3" s="1">
        <v>2.84</v>
      </c>
      <c r="CD3" s="1">
        <v>2.879</v>
      </c>
      <c r="CE3" s="1">
        <v>2.9359999999999999</v>
      </c>
      <c r="CF3" s="1">
        <v>2.9710000000000001</v>
      </c>
      <c r="CG3" s="1">
        <v>3.0030000000000001</v>
      </c>
      <c r="CH3" s="1">
        <v>3.0510000000000002</v>
      </c>
      <c r="CI3" s="1">
        <v>3.1179999999999999</v>
      </c>
      <c r="CJ3" s="1">
        <v>3.1560000000000001</v>
      </c>
      <c r="CK3" s="1">
        <v>3.1930000000000001</v>
      </c>
      <c r="CL3" s="1">
        <v>3.27</v>
      </c>
      <c r="CM3" s="1">
        <v>3.3290000000000002</v>
      </c>
      <c r="CN3" s="1">
        <v>3.427</v>
      </c>
      <c r="CO3" s="1">
        <v>3.4489999999999998</v>
      </c>
      <c r="CP3" s="1">
        <v>3.5630000000000002</v>
      </c>
      <c r="CQ3" s="1">
        <v>3.66</v>
      </c>
      <c r="CR3" s="1">
        <v>3.7480000000000002</v>
      </c>
      <c r="CS3" s="1">
        <v>3.8969999999999998</v>
      </c>
      <c r="CT3" s="1">
        <v>4.0730000000000004</v>
      </c>
      <c r="CU3" s="1">
        <v>4.2949999999999999</v>
      </c>
      <c r="CV3" s="1">
        <v>4.6260000000000003</v>
      </c>
    </row>
    <row r="4" spans="1:100" x14ac:dyDescent="0.2">
      <c r="A4" t="s">
        <v>205</v>
      </c>
      <c r="B4" s="1">
        <v>-9.3200000000000002E-3</v>
      </c>
      <c r="C4" s="1">
        <v>-6.4600000000000005E-2</v>
      </c>
      <c r="D4" s="1">
        <v>-9.9500000000000005E-2</v>
      </c>
      <c r="E4" s="1">
        <v>-7.2300000000000003E-2</v>
      </c>
      <c r="F4" s="1">
        <v>-0.13300000000000001</v>
      </c>
      <c r="G4" s="1">
        <v>-7.6799999999999993E-2</v>
      </c>
      <c r="H4" s="1">
        <v>-0.11799999999999999</v>
      </c>
      <c r="I4" s="1">
        <v>-7.3999999999999996E-2</v>
      </c>
      <c r="J4" s="1">
        <v>-5.04E-2</v>
      </c>
      <c r="K4" s="1">
        <v>-8.5300000000000001E-2</v>
      </c>
      <c r="L4" s="1">
        <v>-5.45E-2</v>
      </c>
      <c r="M4" s="1">
        <v>-1.8800000000000001E-2</v>
      </c>
      <c r="N4" s="1">
        <v>-3.8800000000000001E-2</v>
      </c>
      <c r="O4" s="1">
        <v>-2.4199999999999999E-2</v>
      </c>
      <c r="P4" s="1">
        <v>-8.25E-4</v>
      </c>
      <c r="Q4" s="1">
        <v>3.2100000000000002E-3</v>
      </c>
      <c r="R4" s="1">
        <v>9.7199999999999995E-3</v>
      </c>
      <c r="S4" s="1">
        <v>8.7200000000000003E-3</v>
      </c>
      <c r="T4" s="1">
        <v>2.5100000000000001E-2</v>
      </c>
      <c r="U4" s="1">
        <v>2.1499999999999998E-2</v>
      </c>
      <c r="V4" s="1">
        <v>6.7099999999999998E-3</v>
      </c>
      <c r="W4" s="1">
        <v>2.5399999999999999E-2</v>
      </c>
      <c r="X4" s="1">
        <v>7.4999999999999997E-3</v>
      </c>
      <c r="Y4" s="1">
        <v>-5.2100000000000002E-3</v>
      </c>
      <c r="Z4" s="1">
        <v>-8.4699999999999999E-4</v>
      </c>
      <c r="AA4" s="1">
        <v>-6.6600000000000001E-3</v>
      </c>
      <c r="AB4" s="1">
        <v>1.6299999999999999E-2</v>
      </c>
      <c r="AC4" s="1">
        <v>1.6799999999999999E-2</v>
      </c>
      <c r="AD4" s="1">
        <v>1.4E-2</v>
      </c>
      <c r="AE4" s="1">
        <v>7.3200000000000001E-3</v>
      </c>
      <c r="AF4" s="1">
        <v>1.9099999999999999E-2</v>
      </c>
      <c r="AG4" s="1">
        <v>1.1900000000000001E-2</v>
      </c>
      <c r="AH4" s="1">
        <v>-8.09E-3</v>
      </c>
      <c r="AI4" s="1">
        <v>-1.21E-2</v>
      </c>
      <c r="AJ4" s="1">
        <v>1.26E-2</v>
      </c>
      <c r="AK4" s="1">
        <v>1.7100000000000001E-2</v>
      </c>
      <c r="AL4" s="1">
        <v>2.1299999999999999E-2</v>
      </c>
      <c r="AM4" s="1">
        <v>8.6E-3</v>
      </c>
      <c r="AN4" s="1">
        <v>-1.67E-2</v>
      </c>
      <c r="AO4" s="1">
        <v>-2.8199999999999999E-2</v>
      </c>
      <c r="AP4" s="1">
        <v>-1.23E-2</v>
      </c>
      <c r="AQ4" s="1">
        <v>-1.1299999999999999E-3</v>
      </c>
      <c r="AR4" s="1">
        <v>7.0200000000000002E-3</v>
      </c>
      <c r="AS4" s="1">
        <v>1.6500000000000001E-2</v>
      </c>
      <c r="AT4" s="1">
        <v>2.4799999999999999E-2</v>
      </c>
      <c r="AU4" s="1">
        <v>1.77E-2</v>
      </c>
      <c r="AV4" s="1">
        <v>-4.9899999999999996E-3</v>
      </c>
      <c r="AW4" s="1">
        <v>2.31E-3</v>
      </c>
      <c r="AX4" s="1">
        <v>7.4100000000000001E-4</v>
      </c>
      <c r="AY4" s="1">
        <v>1.2699999999999999E-2</v>
      </c>
      <c r="AZ4" s="1">
        <v>5.8199999999999997E-3</v>
      </c>
      <c r="BA4" s="1">
        <v>-5.3800000000000002E-3</v>
      </c>
      <c r="BB4" s="1">
        <v>-1.7999999999999999E-2</v>
      </c>
      <c r="BC4" s="1">
        <v>-1.7999999999999999E-2</v>
      </c>
      <c r="BD4" s="1">
        <v>2.3400000000000001E-2</v>
      </c>
      <c r="BE4" s="1">
        <v>3.3300000000000002E-4</v>
      </c>
      <c r="BF4" s="1">
        <v>3.2399999999999998E-3</v>
      </c>
      <c r="BG4" s="1">
        <v>-2.33E-3</v>
      </c>
      <c r="BH4" s="1">
        <v>-1.0200000000000001E-2</v>
      </c>
      <c r="BI4" s="1">
        <v>-1.39E-3</v>
      </c>
      <c r="BJ4" s="1">
        <v>2.8299999999999999E-2</v>
      </c>
      <c r="BK4" s="1">
        <v>1.2800000000000001E-2</v>
      </c>
      <c r="BL4" s="1">
        <v>-8.3000000000000001E-3</v>
      </c>
      <c r="BM4" s="1">
        <v>-4.1000000000000003E-3</v>
      </c>
      <c r="BN4" s="1">
        <v>4.2500000000000003E-2</v>
      </c>
      <c r="BO4" s="1">
        <v>3.2199999999999999E-2</v>
      </c>
      <c r="BP4" s="1">
        <v>1.9099999999999999E-2</v>
      </c>
      <c r="BQ4" s="1">
        <v>-1.09E-2</v>
      </c>
      <c r="BR4" s="1">
        <v>-2.8199999999999999E-2</v>
      </c>
      <c r="BS4" s="1">
        <v>-1.47E-2</v>
      </c>
      <c r="BT4" s="1">
        <v>6.2500000000000003E-3</v>
      </c>
      <c r="BU4" s="1">
        <v>1.41E-2</v>
      </c>
      <c r="BV4" s="1">
        <v>2.64E-3</v>
      </c>
      <c r="BW4" s="1">
        <v>2.2499999999999999E-2</v>
      </c>
      <c r="BX4" s="1">
        <v>7.6800000000000002E-3</v>
      </c>
      <c r="BY4" s="1">
        <v>-2.01E-2</v>
      </c>
      <c r="BZ4" s="1">
        <v>2.4199999999999999E-2</v>
      </c>
      <c r="CA4" s="1">
        <v>2.52E-2</v>
      </c>
      <c r="CB4" s="1">
        <v>4.5900000000000003E-2</v>
      </c>
      <c r="CC4" s="1">
        <v>5.5599999999999997E-2</v>
      </c>
      <c r="CD4" s="1">
        <v>0.02</v>
      </c>
      <c r="CE4" s="1">
        <v>-2.5600000000000001E-2</v>
      </c>
      <c r="CF4" s="1">
        <v>-6.2599999999999999E-3</v>
      </c>
      <c r="CG4" s="1">
        <v>9.5999999999999992E-3</v>
      </c>
      <c r="CH4" s="1">
        <v>1.26E-2</v>
      </c>
      <c r="CI4" s="1">
        <v>1.55E-2</v>
      </c>
      <c r="CJ4" s="1">
        <v>4.7500000000000001E-2</v>
      </c>
      <c r="CK4" s="1">
        <v>5.4900000000000001E-3</v>
      </c>
      <c r="CL4" s="1">
        <v>1.5E-3</v>
      </c>
      <c r="CM4" s="1">
        <v>6.5500000000000003E-3</v>
      </c>
      <c r="CN4" s="1">
        <v>-1.32E-2</v>
      </c>
      <c r="CO4" s="1">
        <v>-8.5900000000000004E-3</v>
      </c>
      <c r="CP4" s="1">
        <v>-4.0800000000000003E-3</v>
      </c>
      <c r="CQ4" s="1">
        <v>-8.2799999999999992E-3</v>
      </c>
      <c r="CR4" s="1">
        <v>1.23E-2</v>
      </c>
      <c r="CS4" s="1">
        <v>-9.8600000000000007E-3</v>
      </c>
      <c r="CT4" s="1">
        <v>3.09E-2</v>
      </c>
      <c r="CU4" s="1">
        <v>-6.3600000000000002E-3</v>
      </c>
      <c r="CV4" s="1">
        <v>-1.7600000000000001E-2</v>
      </c>
    </row>
    <row r="5" spans="1:100" x14ac:dyDescent="0.2">
      <c r="A5" t="s">
        <v>206</v>
      </c>
      <c r="B5" s="1">
        <v>4.1799999999999997E-2</v>
      </c>
      <c r="C5" s="1">
        <v>4.9799999999999997E-2</v>
      </c>
      <c r="D5" s="1">
        <v>3.9100000000000003E-2</v>
      </c>
      <c r="E5" s="1">
        <v>3.73E-2</v>
      </c>
      <c r="F5" s="1">
        <v>2.98E-2</v>
      </c>
      <c r="G5" s="1">
        <v>3.3300000000000003E-2</v>
      </c>
      <c r="H5" s="1">
        <v>2.75E-2</v>
      </c>
      <c r="I5" s="1">
        <v>2.5999999999999999E-2</v>
      </c>
      <c r="J5" s="1">
        <v>2.6200000000000001E-2</v>
      </c>
      <c r="K5" s="1">
        <v>2.12E-2</v>
      </c>
      <c r="L5" s="1">
        <v>1.89E-2</v>
      </c>
      <c r="M5" s="1">
        <v>1.6199999999999999E-2</v>
      </c>
      <c r="N5" s="1">
        <v>1.6E-2</v>
      </c>
      <c r="O5" s="1">
        <v>1.6299999999999999E-2</v>
      </c>
      <c r="P5" s="1">
        <v>1.7899999999999999E-2</v>
      </c>
      <c r="Q5" s="1">
        <v>1.78E-2</v>
      </c>
      <c r="R5" s="1">
        <v>1.8100000000000002E-2</v>
      </c>
      <c r="S5" s="1">
        <v>1.9400000000000001E-2</v>
      </c>
      <c r="T5" s="1">
        <v>2.12E-2</v>
      </c>
      <c r="U5" s="1">
        <v>2.2599999999999999E-2</v>
      </c>
      <c r="V5" s="1">
        <v>2.3199999999999998E-2</v>
      </c>
      <c r="W5" s="1">
        <v>2.35E-2</v>
      </c>
      <c r="X5" s="1">
        <v>2.3599999999999999E-2</v>
      </c>
      <c r="Y5" s="1">
        <v>2.46E-2</v>
      </c>
      <c r="Z5" s="1">
        <v>2.64E-2</v>
      </c>
      <c r="AA5" s="1">
        <v>2.76E-2</v>
      </c>
      <c r="AB5" s="1">
        <v>2.8199999999999999E-2</v>
      </c>
      <c r="AC5" s="1">
        <v>3.0700000000000002E-2</v>
      </c>
      <c r="AD5" s="1">
        <v>3.2199999999999999E-2</v>
      </c>
      <c r="AE5" s="1">
        <v>3.39E-2</v>
      </c>
      <c r="AF5" s="1">
        <v>3.6299999999999999E-2</v>
      </c>
      <c r="AG5" s="1">
        <v>3.8699999999999998E-2</v>
      </c>
      <c r="AH5" s="1">
        <v>4.2999999999999997E-2</v>
      </c>
      <c r="AI5" s="1">
        <v>4.6100000000000002E-2</v>
      </c>
      <c r="AJ5" s="1">
        <v>4.8899999999999999E-2</v>
      </c>
      <c r="AK5" s="1">
        <v>5.0799999999999998E-2</v>
      </c>
      <c r="AL5" s="1">
        <v>5.2900000000000003E-2</v>
      </c>
      <c r="AM5" s="1">
        <v>5.4899999999999997E-2</v>
      </c>
      <c r="AN5" s="1">
        <v>5.45E-2</v>
      </c>
      <c r="AO5" s="1">
        <v>5.4100000000000002E-2</v>
      </c>
      <c r="AP5" s="1">
        <v>5.4699999999999999E-2</v>
      </c>
      <c r="AQ5" s="1">
        <v>5.4800000000000001E-2</v>
      </c>
      <c r="AR5" s="1">
        <v>5.6300000000000003E-2</v>
      </c>
      <c r="AS5" s="1">
        <v>5.6300000000000003E-2</v>
      </c>
      <c r="AT5" s="1">
        <v>5.9400000000000001E-2</v>
      </c>
      <c r="AU5" s="1">
        <v>6.25E-2</v>
      </c>
      <c r="AV5" s="1">
        <v>6.6400000000000001E-2</v>
      </c>
      <c r="AW5" s="1">
        <v>6.93E-2</v>
      </c>
      <c r="AX5" s="1">
        <v>7.22E-2</v>
      </c>
      <c r="AY5" s="1">
        <v>7.51E-2</v>
      </c>
      <c r="AZ5" s="1">
        <v>7.5899999999999995E-2</v>
      </c>
      <c r="BA5" s="1">
        <v>7.6100000000000001E-2</v>
      </c>
      <c r="BB5" s="1">
        <v>7.6499999999999999E-2</v>
      </c>
      <c r="BC5" s="1">
        <v>7.7100000000000002E-2</v>
      </c>
      <c r="BD5" s="1">
        <v>7.9299999999999995E-2</v>
      </c>
      <c r="BE5" s="1">
        <v>7.9799999999999996E-2</v>
      </c>
      <c r="BF5" s="1">
        <v>8.1199999999999994E-2</v>
      </c>
      <c r="BG5" s="1">
        <v>8.4400000000000003E-2</v>
      </c>
      <c r="BH5" s="1">
        <v>8.6900000000000005E-2</v>
      </c>
      <c r="BI5" s="1">
        <v>8.8599999999999998E-2</v>
      </c>
      <c r="BJ5" s="1">
        <v>8.9899999999999994E-2</v>
      </c>
      <c r="BK5" s="1">
        <v>9.1999999999999998E-2</v>
      </c>
      <c r="BL5" s="1">
        <v>9.3299999999999994E-2</v>
      </c>
      <c r="BM5" s="1">
        <v>9.35E-2</v>
      </c>
      <c r="BN5" s="1">
        <v>9.3100000000000002E-2</v>
      </c>
      <c r="BO5" s="1">
        <v>9.3700000000000006E-2</v>
      </c>
      <c r="BP5" s="1">
        <v>9.4700000000000006E-2</v>
      </c>
      <c r="BQ5" s="1">
        <v>9.98E-2</v>
      </c>
      <c r="BR5" s="1">
        <v>0.10299999999999999</v>
      </c>
      <c r="BS5" s="1">
        <v>0.11</v>
      </c>
      <c r="BT5" s="1">
        <v>0.114</v>
      </c>
      <c r="BU5" s="1">
        <v>0.124</v>
      </c>
      <c r="BV5" s="1">
        <v>0.127</v>
      </c>
      <c r="BW5" s="1">
        <v>0.126</v>
      </c>
      <c r="BX5" s="1">
        <v>0.11600000000000001</v>
      </c>
      <c r="BY5" s="1">
        <v>0.113</v>
      </c>
      <c r="BZ5" s="1">
        <v>0.111</v>
      </c>
      <c r="CA5" s="1">
        <v>0.111</v>
      </c>
      <c r="CB5" s="1">
        <v>0.11700000000000001</v>
      </c>
      <c r="CC5" s="1">
        <v>0.14699999999999999</v>
      </c>
      <c r="CD5" s="1">
        <v>0.159</v>
      </c>
      <c r="CE5" s="1">
        <v>0.154</v>
      </c>
      <c r="CF5" s="1">
        <v>0.14799999999999999</v>
      </c>
      <c r="CG5" s="1">
        <v>0.14799999999999999</v>
      </c>
      <c r="CH5" s="1">
        <v>0.152</v>
      </c>
      <c r="CI5" s="1">
        <v>0.14599999999999999</v>
      </c>
      <c r="CJ5" s="1">
        <v>0.14000000000000001</v>
      </c>
      <c r="CK5" s="1">
        <v>0.14399999999999999</v>
      </c>
      <c r="CL5" s="1">
        <v>0.16700000000000001</v>
      </c>
      <c r="CM5" s="1">
        <v>0.16800000000000001</v>
      </c>
      <c r="CN5" s="1">
        <v>0.14199999999999999</v>
      </c>
      <c r="CO5" s="1">
        <v>0.13100000000000001</v>
      </c>
      <c r="CP5" s="1">
        <v>0.16700000000000001</v>
      </c>
      <c r="CQ5" s="1">
        <v>0.13600000000000001</v>
      </c>
      <c r="CR5" s="1">
        <v>0.16</v>
      </c>
      <c r="CS5" s="1">
        <v>0.16</v>
      </c>
      <c r="CT5" s="1">
        <v>0.14799999999999999</v>
      </c>
      <c r="CU5" s="1">
        <v>0.152</v>
      </c>
      <c r="CV5" s="1">
        <v>0.14899999999999999</v>
      </c>
    </row>
    <row r="6" spans="1:100" x14ac:dyDescent="0.2">
      <c r="A6" t="s">
        <v>207</v>
      </c>
      <c r="B6" s="1">
        <v>-5.11E-2</v>
      </c>
      <c r="C6" s="1">
        <v>-0.114</v>
      </c>
      <c r="D6" s="1">
        <v>-0.13900000000000001</v>
      </c>
      <c r="E6" s="1">
        <v>-0.11</v>
      </c>
      <c r="F6" s="1">
        <v>-0.16300000000000001</v>
      </c>
      <c r="G6" s="1">
        <v>-0.11</v>
      </c>
      <c r="H6" s="1">
        <v>-0.14499999999999999</v>
      </c>
      <c r="I6" s="1">
        <v>-0.1</v>
      </c>
      <c r="J6" s="1">
        <v>-7.6600000000000001E-2</v>
      </c>
      <c r="K6" s="1">
        <v>-0.107</v>
      </c>
      <c r="L6" s="1">
        <v>-7.3400000000000007E-2</v>
      </c>
      <c r="M6" s="1">
        <v>-3.5000000000000003E-2</v>
      </c>
      <c r="N6" s="1">
        <v>-5.4800000000000001E-2</v>
      </c>
      <c r="O6" s="1">
        <v>-4.0500000000000001E-2</v>
      </c>
      <c r="P6" s="1">
        <v>-1.8700000000000001E-2</v>
      </c>
      <c r="Q6" s="1">
        <v>-1.46E-2</v>
      </c>
      <c r="R6" s="1">
        <v>-8.3899999999999999E-3</v>
      </c>
      <c r="S6" s="1">
        <v>-1.06E-2</v>
      </c>
      <c r="T6" s="1">
        <v>3.8700000000000002E-3</v>
      </c>
      <c r="U6" s="1">
        <v>-1.08E-3</v>
      </c>
      <c r="V6" s="1">
        <v>-1.6500000000000001E-2</v>
      </c>
      <c r="W6" s="1">
        <v>1.97E-3</v>
      </c>
      <c r="X6" s="1">
        <v>-1.61E-2</v>
      </c>
      <c r="Y6" s="1">
        <v>-2.98E-2</v>
      </c>
      <c r="Z6" s="1">
        <v>-2.7199999999999998E-2</v>
      </c>
      <c r="AA6" s="1">
        <v>-3.4299999999999997E-2</v>
      </c>
      <c r="AB6" s="1">
        <v>-1.1900000000000001E-2</v>
      </c>
      <c r="AC6" s="1">
        <v>-1.38E-2</v>
      </c>
      <c r="AD6" s="1">
        <v>-1.8200000000000001E-2</v>
      </c>
      <c r="AE6" s="1">
        <v>-2.6599999999999999E-2</v>
      </c>
      <c r="AF6" s="1">
        <v>-1.7100000000000001E-2</v>
      </c>
      <c r="AG6" s="1">
        <v>-2.69E-2</v>
      </c>
      <c r="AH6" s="1">
        <v>-5.11E-2</v>
      </c>
      <c r="AI6" s="1">
        <v>-5.8200000000000002E-2</v>
      </c>
      <c r="AJ6" s="1">
        <v>-3.6299999999999999E-2</v>
      </c>
      <c r="AK6" s="1">
        <v>-3.3599999999999998E-2</v>
      </c>
      <c r="AL6" s="1">
        <v>-3.1600000000000003E-2</v>
      </c>
      <c r="AM6" s="1">
        <v>-4.6300000000000001E-2</v>
      </c>
      <c r="AN6" s="1">
        <v>-7.1199999999999999E-2</v>
      </c>
      <c r="AO6" s="1">
        <v>-8.2299999999999998E-2</v>
      </c>
      <c r="AP6" s="1">
        <v>-6.7000000000000004E-2</v>
      </c>
      <c r="AQ6" s="1">
        <v>-5.5899999999999998E-2</v>
      </c>
      <c r="AR6" s="1">
        <v>-4.9299999999999997E-2</v>
      </c>
      <c r="AS6" s="1">
        <v>-3.9800000000000002E-2</v>
      </c>
      <c r="AT6" s="1">
        <v>-3.4599999999999999E-2</v>
      </c>
      <c r="AU6" s="1">
        <v>-4.48E-2</v>
      </c>
      <c r="AV6" s="1">
        <v>-7.1400000000000005E-2</v>
      </c>
      <c r="AW6" s="1">
        <v>-6.7000000000000004E-2</v>
      </c>
      <c r="AX6" s="1">
        <v>-7.1400000000000005E-2</v>
      </c>
      <c r="AY6" s="1">
        <v>-6.2399999999999997E-2</v>
      </c>
      <c r="AZ6" s="1">
        <v>-7.0099999999999996E-2</v>
      </c>
      <c r="BA6" s="1">
        <v>-8.1500000000000003E-2</v>
      </c>
      <c r="BB6" s="1">
        <v>-9.4600000000000004E-2</v>
      </c>
      <c r="BC6" s="1">
        <v>-9.5100000000000004E-2</v>
      </c>
      <c r="BD6" s="1">
        <v>-5.5800000000000002E-2</v>
      </c>
      <c r="BE6" s="1">
        <v>-7.9399999999999998E-2</v>
      </c>
      <c r="BF6" s="1">
        <v>-7.8E-2</v>
      </c>
      <c r="BG6" s="1">
        <v>-8.6699999999999999E-2</v>
      </c>
      <c r="BH6" s="1">
        <v>-9.7199999999999995E-2</v>
      </c>
      <c r="BI6" s="1">
        <v>-0.09</v>
      </c>
      <c r="BJ6" s="1">
        <v>-6.1499999999999999E-2</v>
      </c>
      <c r="BK6" s="1">
        <v>-7.9200000000000007E-2</v>
      </c>
      <c r="BL6" s="1">
        <v>-0.10199999999999999</v>
      </c>
      <c r="BM6" s="1">
        <v>-9.7600000000000006E-2</v>
      </c>
      <c r="BN6" s="1">
        <v>-5.0599999999999999E-2</v>
      </c>
      <c r="BO6" s="1">
        <v>-6.1499999999999999E-2</v>
      </c>
      <c r="BP6" s="1">
        <v>-7.5600000000000001E-2</v>
      </c>
      <c r="BQ6" s="1">
        <v>-0.111</v>
      </c>
      <c r="BR6" s="1">
        <v>-0.13100000000000001</v>
      </c>
      <c r="BS6" s="1">
        <v>-0.125</v>
      </c>
      <c r="BT6" s="1">
        <v>-0.108</v>
      </c>
      <c r="BU6" s="1">
        <v>-0.11</v>
      </c>
      <c r="BV6" s="1">
        <v>-0.124</v>
      </c>
      <c r="BW6" s="1">
        <v>-0.10299999999999999</v>
      </c>
      <c r="BX6" s="1">
        <v>-0.109</v>
      </c>
      <c r="BY6" s="1">
        <v>-0.13300000000000001</v>
      </c>
      <c r="BZ6" s="1">
        <v>-8.6999999999999994E-2</v>
      </c>
      <c r="CA6" s="1">
        <v>-8.5900000000000004E-2</v>
      </c>
      <c r="CB6" s="1">
        <v>-7.0999999999999994E-2</v>
      </c>
      <c r="CC6" s="1">
        <v>-9.1200000000000003E-2</v>
      </c>
      <c r="CD6" s="1">
        <v>-0.13900000000000001</v>
      </c>
      <c r="CE6" s="1">
        <v>-0.18</v>
      </c>
      <c r="CF6" s="1">
        <v>-0.154</v>
      </c>
      <c r="CG6" s="1">
        <v>-0.13800000000000001</v>
      </c>
      <c r="CH6" s="1">
        <v>-0.14000000000000001</v>
      </c>
      <c r="CI6" s="1">
        <v>-0.13</v>
      </c>
      <c r="CJ6" s="1">
        <v>-9.2299999999999993E-2</v>
      </c>
      <c r="CK6" s="1">
        <v>-0.13800000000000001</v>
      </c>
      <c r="CL6" s="1">
        <v>-0.16600000000000001</v>
      </c>
      <c r="CM6" s="1">
        <v>-0.16200000000000001</v>
      </c>
      <c r="CN6" s="1">
        <v>-0.155</v>
      </c>
      <c r="CO6" s="1">
        <v>-0.13900000000000001</v>
      </c>
      <c r="CP6" s="1">
        <v>-0.17100000000000001</v>
      </c>
      <c r="CQ6" s="1">
        <v>-0.14499999999999999</v>
      </c>
      <c r="CR6" s="1">
        <v>-0.14699999999999999</v>
      </c>
      <c r="CS6" s="1">
        <v>-0.17</v>
      </c>
      <c r="CT6" s="1">
        <v>-0.11799999999999999</v>
      </c>
      <c r="CU6" s="1">
        <v>-0.158</v>
      </c>
      <c r="CV6" s="1">
        <v>-0.16700000000000001</v>
      </c>
    </row>
    <row r="7" spans="1:100" x14ac:dyDescent="0.2">
      <c r="A7" t="s">
        <v>208</v>
      </c>
      <c r="B7" s="1">
        <v>4.1700000000000001E-2</v>
      </c>
      <c r="C7" s="1">
        <v>5.1999999999999998E-2</v>
      </c>
      <c r="D7" s="1">
        <v>4.41E-2</v>
      </c>
      <c r="E7" s="1">
        <v>4.53E-2</v>
      </c>
      <c r="F7" s="1">
        <v>3.7900000000000003E-2</v>
      </c>
      <c r="G7" s="1">
        <v>4.4499999999999998E-2</v>
      </c>
      <c r="H7" s="1">
        <v>4.0099999999999997E-2</v>
      </c>
      <c r="I7" s="1">
        <v>3.9800000000000002E-2</v>
      </c>
      <c r="J7" s="1">
        <v>4.0300000000000002E-2</v>
      </c>
      <c r="K7" s="1">
        <v>3.3799999999999997E-2</v>
      </c>
      <c r="L7" s="1">
        <v>2.9399999999999999E-2</v>
      </c>
      <c r="M7" s="1">
        <v>2.3400000000000001E-2</v>
      </c>
      <c r="N7" s="1">
        <v>2.18E-2</v>
      </c>
      <c r="O7" s="1">
        <v>2.1700000000000001E-2</v>
      </c>
      <c r="P7" s="1">
        <v>2.24E-2</v>
      </c>
      <c r="Q7" s="1">
        <v>2.1999999999999999E-2</v>
      </c>
      <c r="R7" s="1">
        <v>2.1499999999999998E-2</v>
      </c>
      <c r="S7" s="1">
        <v>2.18E-2</v>
      </c>
      <c r="T7" s="1">
        <v>2.2800000000000001E-2</v>
      </c>
      <c r="U7" s="1">
        <v>2.3199999999999998E-2</v>
      </c>
      <c r="V7" s="1">
        <v>2.3E-2</v>
      </c>
      <c r="W7" s="1">
        <v>2.3099999999999999E-2</v>
      </c>
      <c r="X7" s="1">
        <v>2.3E-2</v>
      </c>
      <c r="Y7" s="1">
        <v>2.3599999999999999E-2</v>
      </c>
      <c r="Z7" s="1">
        <v>2.53E-2</v>
      </c>
      <c r="AA7" s="1">
        <v>2.6499999999999999E-2</v>
      </c>
      <c r="AB7" s="1">
        <v>2.7300000000000001E-2</v>
      </c>
      <c r="AC7" s="1">
        <v>2.8799999999999999E-2</v>
      </c>
      <c r="AD7" s="1">
        <v>3.0200000000000001E-2</v>
      </c>
      <c r="AE7" s="1">
        <v>3.1600000000000003E-2</v>
      </c>
      <c r="AF7" s="1">
        <v>3.3500000000000002E-2</v>
      </c>
      <c r="AG7" s="1">
        <v>3.5799999999999998E-2</v>
      </c>
      <c r="AH7" s="1">
        <v>3.9600000000000003E-2</v>
      </c>
      <c r="AI7" s="1">
        <v>4.2700000000000002E-2</v>
      </c>
      <c r="AJ7" s="1">
        <v>4.5100000000000001E-2</v>
      </c>
      <c r="AK7" s="1">
        <v>4.65E-2</v>
      </c>
      <c r="AL7" s="1">
        <v>4.8099999999999997E-2</v>
      </c>
      <c r="AM7" s="1">
        <v>4.9399999999999999E-2</v>
      </c>
      <c r="AN7" s="1">
        <v>4.9099999999999998E-2</v>
      </c>
      <c r="AO7" s="1">
        <v>4.87E-2</v>
      </c>
      <c r="AP7" s="1">
        <v>4.9299999999999997E-2</v>
      </c>
      <c r="AQ7" s="1">
        <v>4.99E-2</v>
      </c>
      <c r="AR7" s="1">
        <v>5.11E-2</v>
      </c>
      <c r="AS7" s="1">
        <v>5.11E-2</v>
      </c>
      <c r="AT7" s="1">
        <v>5.3400000000000003E-2</v>
      </c>
      <c r="AU7" s="1">
        <v>5.6599999999999998E-2</v>
      </c>
      <c r="AV7" s="1">
        <v>6.0199999999999997E-2</v>
      </c>
      <c r="AW7" s="1">
        <v>6.2600000000000003E-2</v>
      </c>
      <c r="AX7" s="1">
        <v>6.4899999999999999E-2</v>
      </c>
      <c r="AY7" s="1">
        <v>6.7100000000000007E-2</v>
      </c>
      <c r="AZ7" s="1">
        <v>6.83E-2</v>
      </c>
      <c r="BA7" s="1">
        <v>6.8099999999999994E-2</v>
      </c>
      <c r="BB7" s="1">
        <v>6.8599999999999994E-2</v>
      </c>
      <c r="BC7" s="1">
        <v>6.8900000000000003E-2</v>
      </c>
      <c r="BD7" s="1">
        <v>7.0199999999999999E-2</v>
      </c>
      <c r="BE7" s="1">
        <v>7.0900000000000005E-2</v>
      </c>
      <c r="BF7" s="1">
        <v>7.2300000000000003E-2</v>
      </c>
      <c r="BG7" s="1">
        <v>7.4899999999999994E-2</v>
      </c>
      <c r="BH7" s="1">
        <v>7.7200000000000005E-2</v>
      </c>
      <c r="BI7" s="1">
        <v>7.9299999999999995E-2</v>
      </c>
      <c r="BJ7" s="1">
        <v>8.0699999999999994E-2</v>
      </c>
      <c r="BK7" s="1">
        <v>8.2400000000000001E-2</v>
      </c>
      <c r="BL7" s="1">
        <v>8.3500000000000005E-2</v>
      </c>
      <c r="BM7" s="1">
        <v>8.3799999999999999E-2</v>
      </c>
      <c r="BN7" s="1">
        <v>8.3699999999999997E-2</v>
      </c>
      <c r="BO7" s="1">
        <v>8.4099999999999994E-2</v>
      </c>
      <c r="BP7" s="1">
        <v>8.4400000000000003E-2</v>
      </c>
      <c r="BQ7" s="1">
        <v>8.9300000000000004E-2</v>
      </c>
      <c r="BR7" s="1">
        <v>9.2799999999999994E-2</v>
      </c>
      <c r="BS7" s="1">
        <v>9.8900000000000002E-2</v>
      </c>
      <c r="BT7" s="1">
        <v>0.10299999999999999</v>
      </c>
      <c r="BU7" s="1">
        <v>0.113</v>
      </c>
      <c r="BV7" s="1">
        <v>0.115</v>
      </c>
      <c r="BW7" s="1">
        <v>0.114</v>
      </c>
      <c r="BX7" s="1">
        <v>0.105</v>
      </c>
      <c r="BY7" s="1">
        <v>0.10299999999999999</v>
      </c>
      <c r="BZ7" s="1">
        <v>0.10199999999999999</v>
      </c>
      <c r="CA7" s="1">
        <v>0.10199999999999999</v>
      </c>
      <c r="CB7" s="1">
        <v>0.107</v>
      </c>
      <c r="CC7" s="1">
        <v>0.13500000000000001</v>
      </c>
      <c r="CD7" s="1">
        <v>0.14699999999999999</v>
      </c>
      <c r="CE7" s="1">
        <v>0.14299999999999999</v>
      </c>
      <c r="CF7" s="1">
        <v>0.13800000000000001</v>
      </c>
      <c r="CG7" s="1">
        <v>0.13800000000000001</v>
      </c>
      <c r="CH7" s="1">
        <v>0.14399999999999999</v>
      </c>
      <c r="CI7" s="1">
        <v>0.13800000000000001</v>
      </c>
      <c r="CJ7" s="1">
        <v>0.13400000000000001</v>
      </c>
      <c r="CK7" s="1">
        <v>0.13700000000000001</v>
      </c>
      <c r="CL7" s="1">
        <v>0.16200000000000001</v>
      </c>
      <c r="CM7" s="1">
        <v>0.16400000000000001</v>
      </c>
      <c r="CN7" s="1">
        <v>0.13900000000000001</v>
      </c>
      <c r="CO7" s="1">
        <v>0.13</v>
      </c>
      <c r="CP7" s="1">
        <v>0.16600000000000001</v>
      </c>
      <c r="CQ7" s="1">
        <v>0.13700000000000001</v>
      </c>
      <c r="CR7" s="1">
        <v>0.161</v>
      </c>
      <c r="CS7" s="1">
        <v>0.16400000000000001</v>
      </c>
      <c r="CT7" s="1">
        <v>0.153</v>
      </c>
      <c r="CU7" s="1">
        <v>0.153</v>
      </c>
      <c r="CV7" s="1">
        <v>0.14899999999999999</v>
      </c>
    </row>
    <row r="8" spans="1:100" x14ac:dyDescent="0.2">
      <c r="A8" t="s">
        <v>209</v>
      </c>
      <c r="B8" s="1">
        <v>2.8700000000000002E-3</v>
      </c>
      <c r="C8" s="1">
        <v>6.1700000000000001E-3</v>
      </c>
      <c r="D8" s="1">
        <v>6.11E-3</v>
      </c>
      <c r="E8" s="1">
        <v>6.4599999999999996E-3</v>
      </c>
      <c r="F8" s="1">
        <v>5.7200000000000003E-3</v>
      </c>
      <c r="G8" s="1">
        <v>7.1399999999999996E-3</v>
      </c>
      <c r="H8" s="1">
        <v>6.2599999999999999E-3</v>
      </c>
      <c r="I8" s="1">
        <v>6.2700000000000004E-3</v>
      </c>
      <c r="J8" s="1">
        <v>6.3800000000000003E-3</v>
      </c>
      <c r="K8" s="1">
        <v>5.1399999999999996E-3</v>
      </c>
      <c r="L8" s="1">
        <v>4.5599999999999998E-3</v>
      </c>
      <c r="M8" s="1">
        <v>3.6800000000000001E-3</v>
      </c>
      <c r="N8" s="1">
        <v>3.4099999999999998E-3</v>
      </c>
      <c r="O8" s="1">
        <v>3.48E-3</v>
      </c>
      <c r="P8" s="1">
        <v>3.6600000000000001E-3</v>
      </c>
      <c r="Q8" s="1">
        <v>3.64E-3</v>
      </c>
      <c r="R8" s="1">
        <v>3.5799999999999998E-3</v>
      </c>
      <c r="S8" s="1">
        <v>3.6900000000000001E-3</v>
      </c>
      <c r="T8" s="1">
        <v>3.8800000000000002E-3</v>
      </c>
      <c r="U8" s="1">
        <v>3.9899999999999996E-3</v>
      </c>
      <c r="V8" s="1">
        <v>3.9399999999999999E-3</v>
      </c>
      <c r="W8" s="1">
        <v>3.9100000000000003E-3</v>
      </c>
      <c r="X8" s="1">
        <v>3.9399999999999999E-3</v>
      </c>
      <c r="Y8" s="1">
        <v>3.9300000000000003E-3</v>
      </c>
      <c r="Z8" s="1">
        <v>4.1200000000000004E-3</v>
      </c>
      <c r="AA8" s="1">
        <v>4.3200000000000001E-3</v>
      </c>
      <c r="AB8" s="1">
        <v>4.3899999999999998E-3</v>
      </c>
      <c r="AC8" s="1">
        <v>4.5599999999999998E-3</v>
      </c>
      <c r="AD8" s="1">
        <v>4.7400000000000003E-3</v>
      </c>
      <c r="AE8" s="1">
        <v>5.0000000000000001E-3</v>
      </c>
      <c r="AF8" s="1">
        <v>5.2199999999999998E-3</v>
      </c>
      <c r="AG8" s="1">
        <v>5.5500000000000002E-3</v>
      </c>
      <c r="AH8" s="1">
        <v>6.0400000000000002E-3</v>
      </c>
      <c r="AI8" s="1">
        <v>6.45E-3</v>
      </c>
      <c r="AJ8" s="1">
        <v>6.7799999999999996E-3</v>
      </c>
      <c r="AK8" s="1">
        <v>7.0600000000000003E-3</v>
      </c>
      <c r="AL8" s="1">
        <v>7.2399999999999999E-3</v>
      </c>
      <c r="AM8" s="1">
        <v>7.4200000000000004E-3</v>
      </c>
      <c r="AN8" s="1">
        <v>7.3299999999999997E-3</v>
      </c>
      <c r="AO8" s="1">
        <v>7.28E-3</v>
      </c>
      <c r="AP8" s="1">
        <v>7.3000000000000001E-3</v>
      </c>
      <c r="AQ8" s="1">
        <v>7.3400000000000002E-3</v>
      </c>
      <c r="AR8" s="1">
        <v>7.5700000000000003E-3</v>
      </c>
      <c r="AS8" s="1">
        <v>7.5700000000000003E-3</v>
      </c>
      <c r="AT8" s="1">
        <v>7.8399999999999997E-3</v>
      </c>
      <c r="AU8" s="1">
        <v>8.1899999999999994E-3</v>
      </c>
      <c r="AV8" s="1">
        <v>8.6999999999999994E-3</v>
      </c>
      <c r="AW8" s="1">
        <v>9.0100000000000006E-3</v>
      </c>
      <c r="AX8" s="1">
        <v>9.3200000000000002E-3</v>
      </c>
      <c r="AY8" s="1">
        <v>9.5999999999999992E-3</v>
      </c>
      <c r="AZ8" s="1">
        <v>9.58E-3</v>
      </c>
      <c r="BA8" s="1">
        <v>9.4699999999999993E-3</v>
      </c>
      <c r="BB8" s="1">
        <v>9.4599999999999997E-3</v>
      </c>
      <c r="BC8" s="1">
        <v>9.4999999999999998E-3</v>
      </c>
      <c r="BD8" s="1">
        <v>9.6500000000000006E-3</v>
      </c>
      <c r="BE8" s="1">
        <v>9.6200000000000001E-3</v>
      </c>
      <c r="BF8" s="1">
        <v>9.7099999999999999E-3</v>
      </c>
      <c r="BG8" s="1">
        <v>0.01</v>
      </c>
      <c r="BH8" s="1">
        <v>1.03E-2</v>
      </c>
      <c r="BI8" s="1">
        <v>1.04E-2</v>
      </c>
      <c r="BJ8" s="1">
        <v>1.0500000000000001E-2</v>
      </c>
      <c r="BK8" s="1">
        <v>1.06E-2</v>
      </c>
      <c r="BL8" s="1">
        <v>1.0699999999999999E-2</v>
      </c>
      <c r="BM8" s="1">
        <v>1.06E-2</v>
      </c>
      <c r="BN8" s="1">
        <v>1.0500000000000001E-2</v>
      </c>
      <c r="BO8" s="1">
        <v>1.0500000000000001E-2</v>
      </c>
      <c r="BP8" s="1">
        <v>1.0500000000000001E-2</v>
      </c>
      <c r="BQ8" s="1">
        <v>1.0999999999999999E-2</v>
      </c>
      <c r="BR8" s="1">
        <v>1.14E-2</v>
      </c>
      <c r="BS8" s="1">
        <v>1.2200000000000001E-2</v>
      </c>
      <c r="BT8" s="1">
        <v>1.2500000000000001E-2</v>
      </c>
      <c r="BU8" s="1">
        <v>1.3299999999999999E-2</v>
      </c>
      <c r="BV8" s="1">
        <v>1.3599999999999999E-2</v>
      </c>
      <c r="BW8" s="1">
        <v>1.34E-2</v>
      </c>
      <c r="BX8" s="1">
        <v>1.2200000000000001E-2</v>
      </c>
      <c r="BY8" s="1">
        <v>1.1900000000000001E-2</v>
      </c>
      <c r="BZ8" s="1">
        <v>1.17E-2</v>
      </c>
      <c r="CA8" s="1">
        <v>1.17E-2</v>
      </c>
      <c r="CB8" s="1">
        <v>1.2200000000000001E-2</v>
      </c>
      <c r="CC8" s="1">
        <v>1.5299999999999999E-2</v>
      </c>
      <c r="CD8" s="1">
        <v>1.6400000000000001E-2</v>
      </c>
      <c r="CE8" s="1">
        <v>1.5900000000000001E-2</v>
      </c>
      <c r="CF8" s="1">
        <v>1.52E-2</v>
      </c>
      <c r="CG8" s="1">
        <v>1.4999999999999999E-2</v>
      </c>
      <c r="CH8" s="1">
        <v>1.55E-2</v>
      </c>
      <c r="CI8" s="1">
        <v>1.4800000000000001E-2</v>
      </c>
      <c r="CJ8" s="1">
        <v>1.43E-2</v>
      </c>
      <c r="CK8" s="1">
        <v>1.4800000000000001E-2</v>
      </c>
      <c r="CL8" s="1">
        <v>1.7399999999999999E-2</v>
      </c>
      <c r="CM8" s="1">
        <v>1.7600000000000001E-2</v>
      </c>
      <c r="CN8" s="1">
        <v>1.4800000000000001E-2</v>
      </c>
      <c r="CO8" s="1">
        <v>1.43E-2</v>
      </c>
      <c r="CP8" s="1">
        <v>1.8100000000000002E-2</v>
      </c>
      <c r="CQ8" s="1">
        <v>1.5100000000000001E-2</v>
      </c>
      <c r="CR8" s="1">
        <v>1.7999999999999999E-2</v>
      </c>
      <c r="CS8" s="1">
        <v>1.8499999999999999E-2</v>
      </c>
      <c r="CT8" s="1">
        <v>1.7899999999999999E-2</v>
      </c>
      <c r="CU8" s="1">
        <v>1.9300000000000001E-2</v>
      </c>
      <c r="CV8" s="1">
        <v>2.01E-2</v>
      </c>
    </row>
    <row r="9" spans="1:100" x14ac:dyDescent="0.2">
      <c r="A9" t="s">
        <v>210</v>
      </c>
      <c r="B9" s="1">
        <v>-4.4299999999999999E-3</v>
      </c>
      <c r="C9" s="1">
        <v>-5.4400000000000004E-3</v>
      </c>
      <c r="D9" s="1">
        <v>-4.3699999999999998E-3</v>
      </c>
      <c r="E9" s="1">
        <v>-4.0499999999999998E-3</v>
      </c>
      <c r="F9" s="1">
        <v>-3.0699999999999998E-3</v>
      </c>
      <c r="G9" s="1">
        <v>-3.3999999999999998E-3</v>
      </c>
      <c r="H9" s="1">
        <v>-2.81E-3</v>
      </c>
      <c r="I9" s="1">
        <v>-2.5100000000000001E-3</v>
      </c>
      <c r="J9" s="1">
        <v>-2.4499999999999999E-3</v>
      </c>
      <c r="K9" s="1">
        <v>-1.91E-3</v>
      </c>
      <c r="L9" s="1">
        <v>-1.5499999999999999E-3</v>
      </c>
      <c r="M9" s="1">
        <v>-1.17E-3</v>
      </c>
      <c r="N9" s="1">
        <v>-1.0399999999999999E-3</v>
      </c>
      <c r="O9" s="1">
        <v>-1.0499999999999999E-3</v>
      </c>
      <c r="P9" s="1">
        <v>-1.0300000000000001E-3</v>
      </c>
      <c r="Q9" s="1">
        <v>-1.0399999999999999E-3</v>
      </c>
      <c r="R9" s="1">
        <v>-1.01E-3</v>
      </c>
      <c r="S9" s="1">
        <v>-1.0200000000000001E-3</v>
      </c>
      <c r="T9" s="1">
        <v>-1.09E-3</v>
      </c>
      <c r="U9" s="1">
        <v>-1.08E-3</v>
      </c>
      <c r="V9" s="1">
        <v>-1.06E-3</v>
      </c>
      <c r="W9" s="1">
        <v>-1.08E-3</v>
      </c>
      <c r="X9" s="1">
        <v>-1.08E-3</v>
      </c>
      <c r="Y9" s="1">
        <v>-1.1199999999999999E-3</v>
      </c>
      <c r="Z9" s="1">
        <v>-1.23E-3</v>
      </c>
      <c r="AA9" s="1">
        <v>-1.2999999999999999E-3</v>
      </c>
      <c r="AB9" s="1">
        <v>-1.3699999999999999E-3</v>
      </c>
      <c r="AC9" s="1">
        <v>-1.4400000000000001E-3</v>
      </c>
      <c r="AD9" s="1">
        <v>-1.5499999999999999E-3</v>
      </c>
      <c r="AE9" s="1">
        <v>-1.6299999999999999E-3</v>
      </c>
      <c r="AF9" s="1">
        <v>-1.6999999999999999E-3</v>
      </c>
      <c r="AG9" s="1">
        <v>-1.83E-3</v>
      </c>
      <c r="AH9" s="1">
        <v>-2.0300000000000001E-3</v>
      </c>
      <c r="AI9" s="1">
        <v>-2.1700000000000001E-3</v>
      </c>
      <c r="AJ9" s="1">
        <v>-2.31E-3</v>
      </c>
      <c r="AK9" s="1">
        <v>-2.3999999999999998E-3</v>
      </c>
      <c r="AL9" s="1">
        <v>-2.48E-3</v>
      </c>
      <c r="AM9" s="1">
        <v>-2.5899999999999999E-3</v>
      </c>
      <c r="AN9" s="1">
        <v>-2.5600000000000002E-3</v>
      </c>
      <c r="AO9" s="1">
        <v>-2.5400000000000002E-3</v>
      </c>
      <c r="AP9" s="1">
        <v>-2.5300000000000001E-3</v>
      </c>
      <c r="AQ9" s="1">
        <v>-2.5500000000000002E-3</v>
      </c>
      <c r="AR9" s="1">
        <v>-2.5899999999999999E-3</v>
      </c>
      <c r="AS9" s="1">
        <v>-2.5899999999999999E-3</v>
      </c>
      <c r="AT9" s="1">
        <v>-2.7100000000000002E-3</v>
      </c>
      <c r="AU9" s="1">
        <v>-2.8999999999999998E-3</v>
      </c>
      <c r="AV9" s="1">
        <v>-3.0799999999999998E-3</v>
      </c>
      <c r="AW9" s="1">
        <v>-3.1700000000000001E-3</v>
      </c>
      <c r="AX9" s="1">
        <v>-3.2399999999999998E-3</v>
      </c>
      <c r="AY9" s="1">
        <v>-3.3300000000000001E-3</v>
      </c>
      <c r="AZ9" s="1">
        <v>-3.3600000000000001E-3</v>
      </c>
      <c r="BA9" s="1">
        <v>-3.2799999999999999E-3</v>
      </c>
      <c r="BB9" s="1">
        <v>-3.2599999999999999E-3</v>
      </c>
      <c r="BC9" s="1">
        <v>-3.2699999999999999E-3</v>
      </c>
      <c r="BD9" s="1">
        <v>-3.3E-3</v>
      </c>
      <c r="BE9" s="1">
        <v>-3.2699999999999999E-3</v>
      </c>
      <c r="BF9" s="1">
        <v>-3.2200000000000002E-3</v>
      </c>
      <c r="BG9" s="1">
        <v>-3.29E-3</v>
      </c>
      <c r="BH9" s="1">
        <v>-3.3300000000000001E-3</v>
      </c>
      <c r="BI9" s="1">
        <v>-3.3899999999999998E-3</v>
      </c>
      <c r="BJ9" s="1">
        <v>-3.3999999999999998E-3</v>
      </c>
      <c r="BK9" s="1">
        <v>-3.4099999999999998E-3</v>
      </c>
      <c r="BL9" s="1">
        <v>-3.3899999999999998E-3</v>
      </c>
      <c r="BM9" s="1">
        <v>-3.3300000000000001E-3</v>
      </c>
      <c r="BN9" s="1">
        <v>-3.29E-3</v>
      </c>
      <c r="BO9" s="1">
        <v>-3.29E-3</v>
      </c>
      <c r="BP9" s="1">
        <v>-3.2399999999999998E-3</v>
      </c>
      <c r="BQ9" s="1">
        <v>-3.3999999999999998E-3</v>
      </c>
      <c r="BR9" s="1">
        <v>-3.5300000000000002E-3</v>
      </c>
      <c r="BS9" s="1">
        <v>-3.7000000000000002E-3</v>
      </c>
      <c r="BT9" s="1">
        <v>-3.7699999999999999E-3</v>
      </c>
      <c r="BU9" s="1">
        <v>-3.98E-3</v>
      </c>
      <c r="BV9" s="1">
        <v>-4.0099999999999997E-3</v>
      </c>
      <c r="BW9" s="1">
        <v>-3.8899999999999998E-3</v>
      </c>
      <c r="BX9" s="1">
        <v>-3.5100000000000001E-3</v>
      </c>
      <c r="BY9" s="1">
        <v>-3.4199999999999999E-3</v>
      </c>
      <c r="BZ9" s="1">
        <v>-3.4099999999999998E-3</v>
      </c>
      <c r="CA9" s="1">
        <v>-3.4099999999999998E-3</v>
      </c>
      <c r="CB9" s="1">
        <v>-3.5300000000000002E-3</v>
      </c>
      <c r="CC9" s="1">
        <v>-4.3800000000000002E-3</v>
      </c>
      <c r="CD9" s="1">
        <v>-4.6299999999999996E-3</v>
      </c>
      <c r="CE9" s="1">
        <v>-4.47E-3</v>
      </c>
      <c r="CF9" s="1">
        <v>-4.2199999999999998E-3</v>
      </c>
      <c r="CG9" s="1">
        <v>-4.2500000000000003E-3</v>
      </c>
      <c r="CH9" s="1">
        <v>-4.4099999999999999E-3</v>
      </c>
      <c r="CI9" s="1">
        <v>-4.1700000000000001E-3</v>
      </c>
      <c r="CJ9" s="1">
        <v>-4.0299999999999997E-3</v>
      </c>
      <c r="CK9" s="1">
        <v>-4.1200000000000004E-3</v>
      </c>
      <c r="CL9" s="1">
        <v>-4.8700000000000002E-3</v>
      </c>
      <c r="CM9" s="1">
        <v>-4.9100000000000003E-3</v>
      </c>
      <c r="CN9" s="1">
        <v>-4.13E-3</v>
      </c>
      <c r="CO9" s="1">
        <v>-4.0800000000000003E-3</v>
      </c>
      <c r="CP9" s="1">
        <v>-5.2700000000000004E-3</v>
      </c>
      <c r="CQ9" s="1">
        <v>-4.4900000000000001E-3</v>
      </c>
      <c r="CR9" s="1">
        <v>-5.5199999999999997E-3</v>
      </c>
      <c r="CS9" s="1">
        <v>-5.7200000000000003E-3</v>
      </c>
      <c r="CT9" s="1">
        <v>-5.6699999999999997E-3</v>
      </c>
      <c r="CU9" s="1">
        <v>-5.8100000000000001E-3</v>
      </c>
      <c r="CV9" s="1">
        <v>-5.4799999999999996E-3</v>
      </c>
    </row>
    <row r="10" spans="1:100" x14ac:dyDescent="0.2">
      <c r="A10" t="s">
        <v>211</v>
      </c>
      <c r="B10" s="1">
        <v>-1.4E-3</v>
      </c>
      <c r="C10" s="1">
        <v>-1.8500000000000001E-3</v>
      </c>
      <c r="D10" s="1">
        <v>-1.2099999999999999E-3</v>
      </c>
      <c r="E10" s="1">
        <v>-1.3500000000000001E-3</v>
      </c>
      <c r="F10" s="1">
        <v>-1.0399999999999999E-3</v>
      </c>
      <c r="G10" s="1">
        <v>-1.2099999999999999E-3</v>
      </c>
      <c r="H10" s="1">
        <v>-1.2899999999999999E-3</v>
      </c>
      <c r="I10" s="1">
        <v>-1.24E-3</v>
      </c>
      <c r="J10" s="1">
        <v>-1.2899999999999999E-3</v>
      </c>
      <c r="K10" s="1">
        <v>-1.06E-3</v>
      </c>
      <c r="L10" s="1">
        <v>-8.6899999999999998E-4</v>
      </c>
      <c r="M10" s="1">
        <v>-6.0599999999999998E-4</v>
      </c>
      <c r="N10" s="1">
        <v>-6.5399999999999996E-4</v>
      </c>
      <c r="O10" s="1">
        <v>-7.3700000000000002E-4</v>
      </c>
      <c r="P10" s="1">
        <v>-6.8000000000000005E-4</v>
      </c>
      <c r="Q10" s="1">
        <v>-6.0300000000000002E-4</v>
      </c>
      <c r="R10" s="1">
        <v>-6.5099999999999999E-4</v>
      </c>
      <c r="S10" s="1">
        <v>-6.5899999999999997E-4</v>
      </c>
      <c r="T10" s="1">
        <v>-7.2400000000000003E-4</v>
      </c>
      <c r="U10" s="1">
        <v>-7.2900000000000005E-4</v>
      </c>
      <c r="V10" s="1">
        <v>-6.6200000000000005E-4</v>
      </c>
      <c r="W10" s="1">
        <v>-6.9499999999999998E-4</v>
      </c>
      <c r="X10" s="1">
        <v>-6.9200000000000002E-4</v>
      </c>
      <c r="Y10" s="1">
        <v>-7.5100000000000004E-4</v>
      </c>
      <c r="Z10" s="1">
        <v>-9.1100000000000003E-4</v>
      </c>
      <c r="AA10" s="1">
        <v>-9.7900000000000005E-4</v>
      </c>
      <c r="AB10" s="1">
        <v>-9.7400000000000004E-4</v>
      </c>
      <c r="AC10" s="1">
        <v>-9.7499999999999996E-4</v>
      </c>
      <c r="AD10" s="1">
        <v>-9.3999999999999997E-4</v>
      </c>
      <c r="AE10" s="1">
        <v>-1E-3</v>
      </c>
      <c r="AF10" s="1">
        <v>-1.08E-3</v>
      </c>
      <c r="AG10" s="1">
        <v>-1.16E-3</v>
      </c>
      <c r="AH10" s="1">
        <v>-1.2899999999999999E-3</v>
      </c>
      <c r="AI10" s="1">
        <v>-1.4E-3</v>
      </c>
      <c r="AJ10" s="1">
        <v>-1.5E-3</v>
      </c>
      <c r="AK10" s="1">
        <v>-1.57E-3</v>
      </c>
      <c r="AL10" s="1">
        <v>-1.5900000000000001E-3</v>
      </c>
      <c r="AM10" s="1">
        <v>-1.5E-3</v>
      </c>
      <c r="AN10" s="1">
        <v>-1.5100000000000001E-3</v>
      </c>
      <c r="AO10" s="1">
        <v>-1.5E-3</v>
      </c>
      <c r="AP10" s="1">
        <v>-1.6299999999999999E-3</v>
      </c>
      <c r="AQ10" s="1">
        <v>-1.7099999999999999E-3</v>
      </c>
      <c r="AR10" s="1">
        <v>-1.72E-3</v>
      </c>
      <c r="AS10" s="1">
        <v>-1.72E-3</v>
      </c>
      <c r="AT10" s="1">
        <v>-1.6000000000000001E-3</v>
      </c>
      <c r="AU10" s="1">
        <v>-1.6900000000000001E-3</v>
      </c>
      <c r="AV10" s="1">
        <v>-1.7700000000000001E-3</v>
      </c>
      <c r="AW10" s="1">
        <v>-1.8699999999999999E-3</v>
      </c>
      <c r="AX10" s="1">
        <v>-1.9E-3</v>
      </c>
      <c r="AY10" s="1">
        <v>-1.89E-3</v>
      </c>
      <c r="AZ10" s="1">
        <v>-1.9499999999999999E-3</v>
      </c>
      <c r="BA10" s="1">
        <v>-1.97E-3</v>
      </c>
      <c r="BB10" s="1">
        <v>-2.0799999999999998E-3</v>
      </c>
      <c r="BC10" s="1">
        <v>-2.0799999999999998E-3</v>
      </c>
      <c r="BD10" s="1">
        <v>-1.92E-3</v>
      </c>
      <c r="BE10" s="1">
        <v>-2E-3</v>
      </c>
      <c r="BF10" s="1">
        <v>-2E-3</v>
      </c>
      <c r="BG10" s="1">
        <v>-2.1199999999999999E-3</v>
      </c>
      <c r="BH10" s="1">
        <v>-2.1800000000000001E-3</v>
      </c>
      <c r="BI10" s="1">
        <v>-2.2300000000000002E-3</v>
      </c>
      <c r="BJ10" s="1">
        <v>-2.2100000000000002E-3</v>
      </c>
      <c r="BK10" s="1">
        <v>-2.2699999999999999E-3</v>
      </c>
      <c r="BL10" s="1">
        <v>-2.2300000000000002E-3</v>
      </c>
      <c r="BM10" s="1">
        <v>-2.2399999999999998E-3</v>
      </c>
      <c r="BN10" s="1">
        <v>-2.4099999999999998E-3</v>
      </c>
      <c r="BO10" s="1">
        <v>-2.4199999999999998E-3</v>
      </c>
      <c r="BP10" s="1">
        <v>-2.2699999999999999E-3</v>
      </c>
      <c r="BQ10" s="1">
        <v>-2.4499999999999999E-3</v>
      </c>
      <c r="BR10" s="1">
        <v>-2.5999999999999999E-3</v>
      </c>
      <c r="BS10" s="1">
        <v>-2.6700000000000001E-3</v>
      </c>
      <c r="BT10" s="1">
        <v>-2.8400000000000001E-3</v>
      </c>
      <c r="BU10" s="1">
        <v>-3.0599999999999998E-3</v>
      </c>
      <c r="BV10" s="1">
        <v>-3.2200000000000002E-3</v>
      </c>
      <c r="BW10" s="1">
        <v>-3.2100000000000002E-3</v>
      </c>
      <c r="BX10" s="1">
        <v>-2.8999999999999998E-3</v>
      </c>
      <c r="BY10" s="1">
        <v>-3.0000000000000001E-3</v>
      </c>
      <c r="BZ10" s="1">
        <v>-3.0500000000000002E-3</v>
      </c>
      <c r="CA10" s="1">
        <v>-3.0500000000000002E-3</v>
      </c>
      <c r="CB10" s="1">
        <v>-2.8E-3</v>
      </c>
      <c r="CC10" s="1">
        <v>-3.5599999999999998E-3</v>
      </c>
      <c r="CD10" s="1">
        <v>-3.8500000000000001E-3</v>
      </c>
      <c r="CE10" s="1">
        <v>-3.7499999999999999E-3</v>
      </c>
      <c r="CF10" s="1">
        <v>-3.82E-3</v>
      </c>
      <c r="CG10" s="1">
        <v>-3.79E-3</v>
      </c>
      <c r="CH10" s="1">
        <v>-3.9300000000000003E-3</v>
      </c>
      <c r="CI10" s="1">
        <v>-3.79E-3</v>
      </c>
      <c r="CJ10" s="1">
        <v>-4.0200000000000001E-3</v>
      </c>
      <c r="CK10" s="1">
        <v>-3.9899999999999996E-3</v>
      </c>
      <c r="CL10" s="1">
        <v>-4.8700000000000002E-3</v>
      </c>
      <c r="CM10" s="1">
        <v>-5.0600000000000003E-3</v>
      </c>
      <c r="CN10" s="1">
        <v>-4.62E-3</v>
      </c>
      <c r="CO10" s="1">
        <v>-4.2100000000000002E-3</v>
      </c>
      <c r="CP10" s="1">
        <v>-5.4900000000000001E-3</v>
      </c>
      <c r="CQ10" s="1">
        <v>-4.5500000000000002E-3</v>
      </c>
      <c r="CR10" s="1">
        <v>-5.3800000000000002E-3</v>
      </c>
      <c r="CS10" s="1">
        <v>-5.8799999999999998E-3</v>
      </c>
      <c r="CT10" s="1">
        <v>-5.94E-3</v>
      </c>
      <c r="CU10" s="1">
        <v>-6.0899999999999999E-3</v>
      </c>
      <c r="CV10" s="1">
        <v>-5.9899999999999997E-3</v>
      </c>
    </row>
    <row r="11" spans="1:100" x14ac:dyDescent="0.2">
      <c r="A11" t="s">
        <v>212</v>
      </c>
      <c r="B11" s="1">
        <v>7.3499999999999998E-3</v>
      </c>
      <c r="C11" s="1">
        <v>8.7399999999999995E-3</v>
      </c>
      <c r="D11" s="1">
        <v>7.1999999999999998E-3</v>
      </c>
      <c r="E11" s="1">
        <v>7.0099999999999997E-3</v>
      </c>
      <c r="F11" s="1">
        <v>5.5399999999999998E-3</v>
      </c>
      <c r="G11" s="1">
        <v>5.7299999999999999E-3</v>
      </c>
      <c r="H11" s="1">
        <v>4.9899999999999996E-3</v>
      </c>
      <c r="I11" s="1">
        <v>4.5799999999999999E-3</v>
      </c>
      <c r="J11" s="1">
        <v>4.3600000000000002E-3</v>
      </c>
      <c r="K11" s="1">
        <v>3.3800000000000002E-3</v>
      </c>
      <c r="L11" s="1">
        <v>2.6800000000000001E-3</v>
      </c>
      <c r="M11" s="1">
        <v>2.0100000000000001E-3</v>
      </c>
      <c r="N11" s="1">
        <v>1.75E-3</v>
      </c>
      <c r="O11" s="1">
        <v>1.6100000000000001E-3</v>
      </c>
      <c r="P11" s="1">
        <v>1.5200000000000001E-3</v>
      </c>
      <c r="Q11" s="1">
        <v>1.3799999999999999E-3</v>
      </c>
      <c r="R11" s="1">
        <v>1.24E-3</v>
      </c>
      <c r="S11" s="1">
        <v>1.1299999999999999E-3</v>
      </c>
      <c r="T11" s="1">
        <v>1.1100000000000001E-3</v>
      </c>
      <c r="U11" s="1">
        <v>1.07E-3</v>
      </c>
      <c r="V11" s="1">
        <v>1.0200000000000001E-3</v>
      </c>
      <c r="W11" s="1">
        <v>9.7099999999999997E-4</v>
      </c>
      <c r="X11" s="1">
        <v>9.2299999999999999E-4</v>
      </c>
      <c r="Y11" s="1">
        <v>9.3099999999999997E-4</v>
      </c>
      <c r="Z11" s="1">
        <v>9.5100000000000002E-4</v>
      </c>
      <c r="AA11" s="1">
        <v>9.5E-4</v>
      </c>
      <c r="AB11" s="1">
        <v>9.3999999999999997E-4</v>
      </c>
      <c r="AC11" s="1">
        <v>9.3800000000000003E-4</v>
      </c>
      <c r="AD11" s="1">
        <v>9.2299999999999999E-4</v>
      </c>
      <c r="AE11" s="1">
        <v>9.1399999999999999E-4</v>
      </c>
      <c r="AF11" s="1">
        <v>9.3199999999999999E-4</v>
      </c>
      <c r="AG11" s="1">
        <v>9.4799999999999995E-4</v>
      </c>
      <c r="AH11" s="1">
        <v>1.0300000000000001E-3</v>
      </c>
      <c r="AI11" s="1">
        <v>1.0399999999999999E-3</v>
      </c>
      <c r="AJ11" s="1">
        <v>1.0300000000000001E-3</v>
      </c>
      <c r="AK11" s="1">
        <v>1.0200000000000001E-3</v>
      </c>
      <c r="AL11" s="1">
        <v>1E-3</v>
      </c>
      <c r="AM11" s="1">
        <v>9.9400000000000009E-4</v>
      </c>
      <c r="AN11" s="1">
        <v>9.5500000000000001E-4</v>
      </c>
      <c r="AO11" s="1">
        <v>9.7199999999999999E-4</v>
      </c>
      <c r="AP11" s="1">
        <v>9.6400000000000001E-4</v>
      </c>
      <c r="AQ11" s="1">
        <v>9.41E-4</v>
      </c>
      <c r="AR11" s="1">
        <v>9.3499999999999996E-4</v>
      </c>
      <c r="AS11" s="1">
        <v>9.3499999999999996E-4</v>
      </c>
      <c r="AT11" s="1">
        <v>8.6399999999999997E-4</v>
      </c>
      <c r="AU11" s="1">
        <v>8.9899999999999995E-4</v>
      </c>
      <c r="AV11" s="1">
        <v>9.2199999999999997E-4</v>
      </c>
      <c r="AW11" s="1">
        <v>9.2400000000000002E-4</v>
      </c>
      <c r="AX11" s="1">
        <v>9.2400000000000002E-4</v>
      </c>
      <c r="AY11" s="1">
        <v>9.5299999999999996E-4</v>
      </c>
      <c r="AZ11" s="1">
        <v>9.6199999999999996E-4</v>
      </c>
      <c r="BA11" s="1">
        <v>9.4200000000000002E-4</v>
      </c>
      <c r="BB11" s="1">
        <v>9.1600000000000004E-4</v>
      </c>
      <c r="BC11" s="1">
        <v>9.0300000000000005E-4</v>
      </c>
      <c r="BD11" s="1">
        <v>8.4900000000000004E-4</v>
      </c>
      <c r="BE11" s="1">
        <v>8.4999999999999995E-4</v>
      </c>
      <c r="BF11" s="1">
        <v>8.34E-4</v>
      </c>
      <c r="BG11" s="1">
        <v>8.4199999999999998E-4</v>
      </c>
      <c r="BH11" s="1">
        <v>8.3900000000000001E-4</v>
      </c>
      <c r="BI11" s="1">
        <v>8.5099999999999998E-4</v>
      </c>
      <c r="BJ11" s="1">
        <v>8.1999999999999998E-4</v>
      </c>
      <c r="BK11" s="1">
        <v>8.1800000000000004E-4</v>
      </c>
      <c r="BL11" s="1">
        <v>7.9299999999999998E-4</v>
      </c>
      <c r="BM11" s="1">
        <v>7.9500000000000003E-4</v>
      </c>
      <c r="BN11" s="1">
        <v>7.6199999999999998E-4</v>
      </c>
      <c r="BO11" s="1">
        <v>7.3999999999999999E-4</v>
      </c>
      <c r="BP11" s="1">
        <v>6.8499999999999995E-4</v>
      </c>
      <c r="BQ11" s="1">
        <v>7.2999999999999996E-4</v>
      </c>
      <c r="BR11" s="1">
        <v>7.7399999999999995E-4</v>
      </c>
      <c r="BS11" s="1">
        <v>7.9600000000000005E-4</v>
      </c>
      <c r="BT11" s="1">
        <v>7.94E-4</v>
      </c>
      <c r="BU11" s="1">
        <v>8.6700000000000004E-4</v>
      </c>
      <c r="BV11" s="1">
        <v>8.8500000000000004E-4</v>
      </c>
      <c r="BW11" s="1">
        <v>8.2600000000000002E-4</v>
      </c>
      <c r="BX11" s="1">
        <v>7.8200000000000003E-4</v>
      </c>
      <c r="BY11" s="1">
        <v>7.2999999999999996E-4</v>
      </c>
      <c r="BZ11" s="1">
        <v>6.8800000000000003E-4</v>
      </c>
      <c r="CA11" s="1">
        <v>6.8800000000000003E-4</v>
      </c>
      <c r="CB11" s="1">
        <v>6.7000000000000002E-4</v>
      </c>
      <c r="CC11" s="1">
        <v>8.4900000000000004E-4</v>
      </c>
      <c r="CD11" s="1">
        <v>8.8500000000000004E-4</v>
      </c>
      <c r="CE11" s="1">
        <v>8.52E-4</v>
      </c>
      <c r="CF11" s="1">
        <v>7.7700000000000002E-4</v>
      </c>
      <c r="CG11" s="1">
        <v>7.4799999999999997E-4</v>
      </c>
      <c r="CH11" s="1">
        <v>6.8499999999999995E-4</v>
      </c>
      <c r="CI11" s="1">
        <v>7.1400000000000001E-4</v>
      </c>
      <c r="CJ11" s="1">
        <v>6.2799999999999998E-4</v>
      </c>
      <c r="CK11" s="1">
        <v>6.38E-4</v>
      </c>
      <c r="CL11" s="1">
        <v>7.0299999999999996E-4</v>
      </c>
      <c r="CM11" s="1">
        <v>7.4600000000000003E-4</v>
      </c>
      <c r="CN11" s="1">
        <v>6.8499999999999995E-4</v>
      </c>
      <c r="CO11" s="1">
        <v>5.9900000000000003E-4</v>
      </c>
      <c r="CP11" s="1">
        <v>7.6000000000000004E-4</v>
      </c>
      <c r="CQ11" s="1">
        <v>5.7200000000000003E-4</v>
      </c>
      <c r="CR11" s="1">
        <v>6.4899999999999995E-4</v>
      </c>
      <c r="CS11" s="1">
        <v>5.6400000000000005E-4</v>
      </c>
      <c r="CT11" s="1">
        <v>7.1900000000000002E-4</v>
      </c>
      <c r="CU11" s="1">
        <v>7.3700000000000002E-4</v>
      </c>
      <c r="CV11" s="1">
        <v>9.8499999999999998E-4</v>
      </c>
    </row>
    <row r="12" spans="1:100" x14ac:dyDescent="0.2">
      <c r="A12" t="s">
        <v>213</v>
      </c>
      <c r="B12" s="1">
        <v>-2.5899999999999999E-2</v>
      </c>
      <c r="C12" s="1">
        <v>-3.6700000000000003E-2</v>
      </c>
      <c r="D12" s="1">
        <v>-3.3399999999999999E-2</v>
      </c>
      <c r="E12" s="1">
        <v>-3.56E-2</v>
      </c>
      <c r="F12" s="1">
        <v>-3.0700000000000002E-2</v>
      </c>
      <c r="G12" s="1">
        <v>-3.6700000000000003E-2</v>
      </c>
      <c r="H12" s="1">
        <v>-3.3799999999999997E-2</v>
      </c>
      <c r="I12" s="1">
        <v>-3.32E-2</v>
      </c>
      <c r="J12" s="1">
        <v>-3.3099999999999997E-2</v>
      </c>
      <c r="K12" s="1">
        <v>-2.6499999999999999E-2</v>
      </c>
      <c r="L12" s="1">
        <v>-2.18E-2</v>
      </c>
      <c r="M12" s="1">
        <v>-1.6400000000000001E-2</v>
      </c>
      <c r="N12" s="1">
        <v>-1.37E-2</v>
      </c>
      <c r="O12" s="1">
        <v>-1.2500000000000001E-2</v>
      </c>
      <c r="P12" s="1">
        <v>-1.14E-2</v>
      </c>
      <c r="Q12" s="1">
        <v>-1.0699999999999999E-2</v>
      </c>
      <c r="R12" s="1">
        <v>-9.7000000000000003E-3</v>
      </c>
      <c r="S12" s="1">
        <v>-9.11E-3</v>
      </c>
      <c r="T12" s="1">
        <v>-8.1399999999999997E-3</v>
      </c>
      <c r="U12" s="1">
        <v>-7.43E-3</v>
      </c>
      <c r="V12" s="1">
        <v>-6.6299999999999996E-3</v>
      </c>
      <c r="W12" s="1">
        <v>-6.0400000000000002E-3</v>
      </c>
      <c r="X12" s="1">
        <v>-5.5399999999999998E-3</v>
      </c>
      <c r="Y12" s="1">
        <v>-5.1700000000000001E-3</v>
      </c>
      <c r="Z12" s="1">
        <v>-4.8799999999999998E-3</v>
      </c>
      <c r="AA12" s="1">
        <v>-4.8900000000000002E-3</v>
      </c>
      <c r="AB12" s="1">
        <v>-4.9800000000000001E-3</v>
      </c>
      <c r="AC12" s="1">
        <v>-4.5700000000000003E-3</v>
      </c>
      <c r="AD12" s="1">
        <v>-4.7000000000000002E-3</v>
      </c>
      <c r="AE12" s="1">
        <v>-4.6299999999999996E-3</v>
      </c>
      <c r="AF12" s="1">
        <v>-4.4200000000000003E-3</v>
      </c>
      <c r="AG12" s="1">
        <v>-4.4600000000000004E-3</v>
      </c>
      <c r="AH12" s="1">
        <v>-4.4200000000000003E-3</v>
      </c>
      <c r="AI12" s="1">
        <v>-4.4400000000000004E-3</v>
      </c>
      <c r="AJ12" s="1">
        <v>-4.1900000000000001E-3</v>
      </c>
      <c r="AK12" s="1">
        <v>-3.9399999999999999E-3</v>
      </c>
      <c r="AL12" s="1">
        <v>-3.48E-3</v>
      </c>
      <c r="AM12" s="1">
        <v>-3.0400000000000002E-3</v>
      </c>
      <c r="AN12" s="1">
        <v>-2.7200000000000002E-3</v>
      </c>
      <c r="AO12" s="1">
        <v>-2.4499999999999999E-3</v>
      </c>
      <c r="AP12" s="1">
        <v>-2.4299999999999999E-3</v>
      </c>
      <c r="AQ12" s="1">
        <v>-2.4399999999999999E-3</v>
      </c>
      <c r="AR12" s="1">
        <v>-2.2200000000000002E-3</v>
      </c>
      <c r="AS12" s="1">
        <v>-2.2200000000000002E-3</v>
      </c>
      <c r="AT12" s="1">
        <v>-2.0600000000000002E-3</v>
      </c>
      <c r="AU12" s="1">
        <v>-2.1099999999999999E-3</v>
      </c>
      <c r="AV12" s="1">
        <v>-2.1800000000000001E-3</v>
      </c>
      <c r="AW12" s="1">
        <v>-1.9400000000000001E-3</v>
      </c>
      <c r="AX12" s="1">
        <v>-1.5200000000000001E-3</v>
      </c>
      <c r="AY12" s="1">
        <v>-1.1299999999999999E-3</v>
      </c>
      <c r="AZ12" s="1">
        <v>-1.0499999999999999E-3</v>
      </c>
      <c r="BA12" s="1">
        <v>-6.7900000000000002E-4</v>
      </c>
      <c r="BB12" s="1">
        <v>-5.8E-4</v>
      </c>
      <c r="BC12" s="1">
        <v>-3.8000000000000002E-4</v>
      </c>
      <c r="BD12" s="1">
        <v>3.3699999999999999E-5</v>
      </c>
      <c r="BE12" s="1">
        <v>5.3300000000000001E-5</v>
      </c>
      <c r="BF12" s="1">
        <v>1.1400000000000001E-4</v>
      </c>
      <c r="BG12" s="1">
        <v>3.8400000000000001E-4</v>
      </c>
      <c r="BH12" s="1">
        <v>5.8399999999999999E-4</v>
      </c>
      <c r="BI12" s="1">
        <v>4.9399999999999997E-4</v>
      </c>
      <c r="BJ12" s="1">
        <v>4.57E-4</v>
      </c>
      <c r="BK12" s="1">
        <v>6.87E-4</v>
      </c>
      <c r="BL12" s="1">
        <v>8.61E-4</v>
      </c>
      <c r="BM12" s="1">
        <v>1E-3</v>
      </c>
      <c r="BN12" s="1">
        <v>9.7400000000000004E-4</v>
      </c>
      <c r="BO12" s="1">
        <v>1.0200000000000001E-3</v>
      </c>
      <c r="BP12" s="1">
        <v>1.07E-3</v>
      </c>
      <c r="BQ12" s="1">
        <v>1.1299999999999999E-3</v>
      </c>
      <c r="BR12" s="1">
        <v>9.8799999999999995E-4</v>
      </c>
      <c r="BS12" s="1">
        <v>1.17E-3</v>
      </c>
      <c r="BT12" s="1">
        <v>1.1199999999999999E-3</v>
      </c>
      <c r="BU12" s="1">
        <v>1.2899999999999999E-3</v>
      </c>
      <c r="BV12" s="1">
        <v>1.41E-3</v>
      </c>
      <c r="BW12" s="1">
        <v>1.8699999999999999E-3</v>
      </c>
      <c r="BX12" s="1">
        <v>1.9499999999999999E-3</v>
      </c>
      <c r="BY12" s="1">
        <v>1.6000000000000001E-3</v>
      </c>
      <c r="BZ12" s="1">
        <v>1.08E-3</v>
      </c>
      <c r="CA12" s="1">
        <v>1.08E-3</v>
      </c>
      <c r="CB12" s="1">
        <v>6.8300000000000001E-4</v>
      </c>
      <c r="CC12" s="1">
        <v>8.4400000000000002E-4</v>
      </c>
      <c r="CD12" s="1">
        <v>1.0499999999999999E-3</v>
      </c>
      <c r="CE12" s="1">
        <v>8.2600000000000002E-4</v>
      </c>
      <c r="CF12" s="1">
        <v>5.8200000000000005E-4</v>
      </c>
      <c r="CG12" s="1">
        <v>4.2900000000000002E-4</v>
      </c>
      <c r="CH12" s="1">
        <v>-6.2799999999999995E-5</v>
      </c>
      <c r="CI12" s="1">
        <v>-8.3200000000000003E-5</v>
      </c>
      <c r="CJ12" s="1">
        <v>-2.05E-4</v>
      </c>
      <c r="CK12" s="1">
        <v>-2.8299999999999999E-4</v>
      </c>
      <c r="CL12" s="1">
        <v>-6.9700000000000003E-4</v>
      </c>
      <c r="CM12" s="1">
        <v>-1.16E-3</v>
      </c>
      <c r="CN12" s="1">
        <v>-7.9500000000000003E-4</v>
      </c>
      <c r="CO12" s="1">
        <v>-1.3600000000000001E-3</v>
      </c>
      <c r="CP12" s="1">
        <v>-1.6100000000000001E-3</v>
      </c>
      <c r="CQ12" s="1">
        <v>-1.08E-3</v>
      </c>
      <c r="CR12" s="1">
        <v>-2.0600000000000002E-3</v>
      </c>
      <c r="CS12" s="1">
        <v>-2.47E-3</v>
      </c>
      <c r="CT12" s="1">
        <v>-2.49E-3</v>
      </c>
      <c r="CU12" s="1">
        <v>-2.2100000000000002E-3</v>
      </c>
      <c r="CV12" s="1">
        <v>-2.2799999999999999E-3</v>
      </c>
    </row>
    <row r="13" spans="1:100" x14ac:dyDescent="0.2">
      <c r="A13" t="s">
        <v>214</v>
      </c>
      <c r="B13" s="1">
        <v>1.2200000000000001E-2</v>
      </c>
      <c r="C13" s="1">
        <v>1.5100000000000001E-2</v>
      </c>
      <c r="D13" s="1">
        <v>1.24E-2</v>
      </c>
      <c r="E13" s="1">
        <v>1.17E-2</v>
      </c>
      <c r="F13" s="1">
        <v>1.0200000000000001E-2</v>
      </c>
      <c r="G13" s="1">
        <v>1.1299999999999999E-2</v>
      </c>
      <c r="H13" s="1">
        <v>9.7699999999999992E-3</v>
      </c>
      <c r="I13" s="1">
        <v>8.4600000000000005E-3</v>
      </c>
      <c r="J13" s="1">
        <v>8.5299999999999994E-3</v>
      </c>
      <c r="K13" s="1">
        <v>6.5900000000000004E-3</v>
      </c>
      <c r="L13" s="1">
        <v>5.1599999999999997E-3</v>
      </c>
      <c r="M13" s="1">
        <v>4.2199999999999998E-3</v>
      </c>
      <c r="N13" s="1">
        <v>3.7799999999999999E-3</v>
      </c>
      <c r="O13" s="1">
        <v>3.3800000000000002E-3</v>
      </c>
      <c r="P13" s="1">
        <v>3.4099999999999998E-3</v>
      </c>
      <c r="Q13" s="1">
        <v>3.2799999999999999E-3</v>
      </c>
      <c r="R13" s="1">
        <v>3.2200000000000002E-3</v>
      </c>
      <c r="S13" s="1">
        <v>3.3500000000000001E-3</v>
      </c>
      <c r="T13" s="1">
        <v>3.0999999999999999E-3</v>
      </c>
      <c r="U13" s="1">
        <v>3.15E-3</v>
      </c>
      <c r="V13" s="1">
        <v>3.16E-3</v>
      </c>
      <c r="W13" s="1">
        <v>3.0400000000000002E-3</v>
      </c>
      <c r="X13" s="1">
        <v>2.9299999999999999E-3</v>
      </c>
      <c r="Y13" s="1">
        <v>3.1700000000000001E-3</v>
      </c>
      <c r="Z13" s="1">
        <v>2.8600000000000001E-3</v>
      </c>
      <c r="AA13" s="1">
        <v>2.82E-3</v>
      </c>
      <c r="AB13" s="1">
        <v>2.64E-3</v>
      </c>
      <c r="AC13" s="1">
        <v>3.0599999999999998E-3</v>
      </c>
      <c r="AD13" s="1">
        <v>3.0699999999999998E-3</v>
      </c>
      <c r="AE13" s="1">
        <v>3.1700000000000001E-3</v>
      </c>
      <c r="AF13" s="1">
        <v>3.3899999999999998E-3</v>
      </c>
      <c r="AG13" s="1">
        <v>3.5300000000000002E-3</v>
      </c>
      <c r="AH13" s="1">
        <v>3.7799999999999999E-3</v>
      </c>
      <c r="AI13" s="1">
        <v>3.9399999999999999E-3</v>
      </c>
      <c r="AJ13" s="1">
        <v>3.9699999999999996E-3</v>
      </c>
      <c r="AK13" s="1">
        <v>3.8700000000000002E-3</v>
      </c>
      <c r="AL13" s="1">
        <v>3.8999999999999998E-3</v>
      </c>
      <c r="AM13" s="1">
        <v>3.8500000000000001E-3</v>
      </c>
      <c r="AN13" s="1">
        <v>3.7299999999999998E-3</v>
      </c>
      <c r="AO13" s="1">
        <v>3.5300000000000002E-3</v>
      </c>
      <c r="AP13" s="1">
        <v>3.5799999999999998E-3</v>
      </c>
      <c r="AQ13" s="1">
        <v>3.2100000000000002E-3</v>
      </c>
      <c r="AR13" s="1">
        <v>3.0899999999999999E-3</v>
      </c>
      <c r="AS13" s="1">
        <v>3.0899999999999999E-3</v>
      </c>
      <c r="AT13" s="1">
        <v>3.2599999999999999E-3</v>
      </c>
      <c r="AU13" s="1">
        <v>3.3500000000000001E-3</v>
      </c>
      <c r="AV13" s="1">
        <v>3.47E-3</v>
      </c>
      <c r="AW13" s="1">
        <v>3.4299999999999999E-3</v>
      </c>
      <c r="AX13" s="1">
        <v>3.4099999999999998E-3</v>
      </c>
      <c r="AY13" s="1">
        <v>3.4099999999999998E-3</v>
      </c>
      <c r="AZ13" s="1">
        <v>3.3500000000000001E-3</v>
      </c>
      <c r="BA13" s="1">
        <v>3.3300000000000001E-3</v>
      </c>
      <c r="BB13" s="1">
        <v>3.0500000000000002E-3</v>
      </c>
      <c r="BC13" s="1">
        <v>2.8999999999999998E-3</v>
      </c>
      <c r="BD13" s="1">
        <v>2.8999999999999998E-3</v>
      </c>
      <c r="BE13" s="1">
        <v>2.8E-3</v>
      </c>
      <c r="BF13" s="1">
        <v>2.8700000000000002E-3</v>
      </c>
      <c r="BG13" s="1">
        <v>2.8900000000000002E-3</v>
      </c>
      <c r="BH13" s="1">
        <v>2.8900000000000002E-3</v>
      </c>
      <c r="BI13" s="1">
        <v>2.7699999999999999E-3</v>
      </c>
      <c r="BJ13" s="1">
        <v>2.7499999999999998E-3</v>
      </c>
      <c r="BK13" s="1">
        <v>2.7200000000000002E-3</v>
      </c>
      <c r="BL13" s="1">
        <v>2.65E-3</v>
      </c>
      <c r="BM13" s="1">
        <v>2.5500000000000002E-3</v>
      </c>
      <c r="BN13" s="1">
        <v>2.3800000000000002E-3</v>
      </c>
      <c r="BO13" s="1">
        <v>2.2499999999999998E-3</v>
      </c>
      <c r="BP13" s="1">
        <v>2.2399999999999998E-3</v>
      </c>
      <c r="BQ13" s="1">
        <v>2.3500000000000001E-3</v>
      </c>
      <c r="BR13" s="1">
        <v>2.3E-3</v>
      </c>
      <c r="BS13" s="1">
        <v>2.48E-3</v>
      </c>
      <c r="BT13" s="1">
        <v>2.3600000000000001E-3</v>
      </c>
      <c r="BU13" s="1">
        <v>2.47E-3</v>
      </c>
      <c r="BV13" s="1">
        <v>2.3500000000000001E-3</v>
      </c>
      <c r="BW13" s="1">
        <v>2.2000000000000001E-3</v>
      </c>
      <c r="BX13" s="1">
        <v>1.98E-3</v>
      </c>
      <c r="BY13" s="1">
        <v>1.97E-3</v>
      </c>
      <c r="BZ13" s="1">
        <v>1.4599999999999999E-3</v>
      </c>
      <c r="CA13" s="1">
        <v>1.4599999999999999E-3</v>
      </c>
      <c r="CB13" s="1">
        <v>1.5900000000000001E-3</v>
      </c>
      <c r="CC13" s="1">
        <v>1.9E-3</v>
      </c>
      <c r="CD13" s="1">
        <v>1.89E-3</v>
      </c>
      <c r="CE13" s="1">
        <v>1.73E-3</v>
      </c>
      <c r="CF13" s="1">
        <v>1.47E-3</v>
      </c>
      <c r="CG13" s="1">
        <v>1.41E-3</v>
      </c>
      <c r="CH13" s="1">
        <v>1.39E-3</v>
      </c>
      <c r="CI13" s="1">
        <v>1.2700000000000001E-3</v>
      </c>
      <c r="CJ13" s="1">
        <v>8.7699999999999996E-4</v>
      </c>
      <c r="CK13" s="1">
        <v>1.1199999999999999E-3</v>
      </c>
      <c r="CL13" s="1">
        <v>1.1100000000000001E-3</v>
      </c>
      <c r="CM13" s="1">
        <v>1.07E-3</v>
      </c>
      <c r="CN13" s="1">
        <v>9.4200000000000002E-4</v>
      </c>
      <c r="CO13" s="1">
        <v>4.3199999999999998E-4</v>
      </c>
      <c r="CP13" s="1">
        <v>5.3799999999999996E-4</v>
      </c>
      <c r="CQ13" s="1">
        <v>2.1800000000000001E-4</v>
      </c>
      <c r="CR13" s="1">
        <v>3.6999999999999999E-4</v>
      </c>
      <c r="CS13" s="1">
        <v>2.9599999999999998E-4</v>
      </c>
      <c r="CT13" s="1">
        <v>-2.5199999999999999E-5</v>
      </c>
      <c r="CU13" s="1">
        <v>-2.34E-4</v>
      </c>
      <c r="CV13" s="1">
        <v>-7.6600000000000005E-5</v>
      </c>
    </row>
    <row r="14" spans="1:100" x14ac:dyDescent="0.2">
      <c r="A14" t="s">
        <v>215</v>
      </c>
      <c r="B14" s="1">
        <v>9.4599999999999997E-3</v>
      </c>
      <c r="C14" s="1">
        <v>1.17E-2</v>
      </c>
      <c r="D14" s="1">
        <v>8.2299999999999995E-3</v>
      </c>
      <c r="E14" s="1">
        <v>7.77E-3</v>
      </c>
      <c r="F14" s="1">
        <v>5.2599999999999999E-3</v>
      </c>
      <c r="G14" s="1">
        <v>5.9699999999999996E-3</v>
      </c>
      <c r="H14" s="1">
        <v>4.28E-3</v>
      </c>
      <c r="I14" s="1">
        <v>3.82E-3</v>
      </c>
      <c r="J14" s="1">
        <v>3.4399999999999999E-3</v>
      </c>
      <c r="K14" s="1">
        <v>1.74E-3</v>
      </c>
      <c r="L14" s="1">
        <v>1.31E-3</v>
      </c>
      <c r="M14" s="1">
        <v>1.01E-3</v>
      </c>
      <c r="N14" s="1">
        <v>6.8199999999999999E-4</v>
      </c>
      <c r="O14" s="1">
        <v>4.0299999999999998E-4</v>
      </c>
      <c r="P14" s="1">
        <v>3.0199999999999999E-5</v>
      </c>
      <c r="Q14" s="1">
        <v>-1.35E-4</v>
      </c>
      <c r="R14" s="1">
        <v>-2.8799999999999999E-5</v>
      </c>
      <c r="S14" s="1">
        <v>1.7200000000000001E-4</v>
      </c>
      <c r="T14" s="1">
        <v>2.7399999999999999E-4</v>
      </c>
      <c r="U14" s="1">
        <v>4.08E-4</v>
      </c>
      <c r="V14" s="1">
        <v>4.4700000000000002E-4</v>
      </c>
      <c r="W14" s="1">
        <v>3.0499999999999999E-4</v>
      </c>
      <c r="X14" s="1">
        <v>1.16E-4</v>
      </c>
      <c r="Y14" s="1">
        <v>9.8599999999999998E-5</v>
      </c>
      <c r="Z14" s="1">
        <v>1.36E-4</v>
      </c>
      <c r="AA14" s="1">
        <v>2.0900000000000001E-4</v>
      </c>
      <c r="AB14" s="1">
        <v>2.8200000000000002E-4</v>
      </c>
      <c r="AC14" s="1">
        <v>3.0899999999999998E-4</v>
      </c>
      <c r="AD14" s="1">
        <v>3.9800000000000002E-4</v>
      </c>
      <c r="AE14" s="1">
        <v>4.7600000000000002E-4</v>
      </c>
      <c r="AF14" s="1">
        <v>3.9800000000000002E-4</v>
      </c>
      <c r="AG14" s="1">
        <v>3.68E-4</v>
      </c>
      <c r="AH14" s="1">
        <v>2.8899999999999998E-4</v>
      </c>
      <c r="AI14" s="1">
        <v>2.5899999999999999E-5</v>
      </c>
      <c r="AJ14" s="1">
        <v>3.54E-5</v>
      </c>
      <c r="AK14" s="1">
        <v>1.7899999999999999E-4</v>
      </c>
      <c r="AL14" s="1">
        <v>2.1499999999999999E-4</v>
      </c>
      <c r="AM14" s="1">
        <v>3.7500000000000001E-4</v>
      </c>
      <c r="AN14" s="1">
        <v>2.0100000000000001E-4</v>
      </c>
      <c r="AO14" s="1">
        <v>1.0399999999999999E-4</v>
      </c>
      <c r="AP14" s="1">
        <v>7.1000000000000005E-5</v>
      </c>
      <c r="AQ14" s="1">
        <v>1.36E-4</v>
      </c>
      <c r="AR14" s="1">
        <v>1.1E-4</v>
      </c>
      <c r="AS14" s="1">
        <v>1.1E-4</v>
      </c>
      <c r="AT14" s="1">
        <v>4.4299999999999998E-4</v>
      </c>
      <c r="AU14" s="1">
        <v>1.8000000000000001E-4</v>
      </c>
      <c r="AV14" s="1">
        <v>1.02E-4</v>
      </c>
      <c r="AW14" s="1">
        <v>3.0600000000000001E-4</v>
      </c>
      <c r="AX14" s="1">
        <v>3.0699999999999998E-4</v>
      </c>
      <c r="AY14" s="1">
        <v>3.5799999999999997E-4</v>
      </c>
      <c r="AZ14" s="1">
        <v>7.9300000000000003E-5</v>
      </c>
      <c r="BA14" s="1">
        <v>1.83E-4</v>
      </c>
      <c r="BB14" s="1">
        <v>4.6799999999999999E-4</v>
      </c>
      <c r="BC14" s="1">
        <v>5.8799999999999998E-4</v>
      </c>
      <c r="BD14" s="1">
        <v>8.7100000000000003E-4</v>
      </c>
      <c r="BE14" s="1">
        <v>7.6199999999999998E-4</v>
      </c>
      <c r="BF14" s="1">
        <v>5.5599999999999996E-4</v>
      </c>
      <c r="BG14" s="1">
        <v>6.87E-4</v>
      </c>
      <c r="BH14" s="1">
        <v>6.5399999999999996E-4</v>
      </c>
      <c r="BI14" s="1">
        <v>3.9500000000000001E-4</v>
      </c>
      <c r="BJ14" s="1">
        <v>1.93E-4</v>
      </c>
      <c r="BK14" s="1">
        <v>4.1800000000000002E-4</v>
      </c>
      <c r="BL14" s="1">
        <v>4.0099999999999999E-4</v>
      </c>
      <c r="BM14" s="1">
        <v>3.1100000000000002E-4</v>
      </c>
      <c r="BN14" s="1">
        <v>5.1400000000000003E-4</v>
      </c>
      <c r="BO14" s="1">
        <v>7.0299999999999996E-4</v>
      </c>
      <c r="BP14" s="1">
        <v>1.24E-3</v>
      </c>
      <c r="BQ14" s="1">
        <v>1.14E-3</v>
      </c>
      <c r="BR14" s="1">
        <v>8.5099999999999998E-4</v>
      </c>
      <c r="BS14" s="1">
        <v>1.01E-3</v>
      </c>
      <c r="BT14" s="1">
        <v>7.1299999999999998E-4</v>
      </c>
      <c r="BU14" s="1">
        <v>3.1599999999999998E-4</v>
      </c>
      <c r="BV14" s="1">
        <v>5.9900000000000003E-4</v>
      </c>
      <c r="BW14" s="1">
        <v>9.1399999999999999E-4</v>
      </c>
      <c r="BX14" s="1">
        <v>5.5999999999999995E-4</v>
      </c>
      <c r="BY14" s="1">
        <v>6.6500000000000001E-4</v>
      </c>
      <c r="BZ14" s="1">
        <v>7.9900000000000001E-4</v>
      </c>
      <c r="CA14" s="1">
        <v>7.9900000000000001E-4</v>
      </c>
      <c r="CB14" s="1">
        <v>9.810000000000001E-4</v>
      </c>
      <c r="CC14" s="1">
        <v>8.8900000000000003E-4</v>
      </c>
      <c r="CD14" s="1">
        <v>8.5599999999999999E-4</v>
      </c>
      <c r="CE14" s="1">
        <v>3.2299999999999999E-4</v>
      </c>
      <c r="CF14" s="1">
        <v>1.38E-5</v>
      </c>
      <c r="CG14" s="1">
        <v>1.2999999999999999E-4</v>
      </c>
      <c r="CH14" s="1">
        <v>-6.3699999999999998E-4</v>
      </c>
      <c r="CI14" s="1">
        <v>-1.4400000000000001E-3</v>
      </c>
      <c r="CJ14" s="1">
        <v>-1.5E-3</v>
      </c>
      <c r="CK14" s="1">
        <v>-1.56E-3</v>
      </c>
      <c r="CL14" s="1">
        <v>-3.0000000000000001E-3</v>
      </c>
      <c r="CM14" s="1">
        <v>-3.65E-3</v>
      </c>
      <c r="CN14" s="1">
        <v>-3.9300000000000003E-3</v>
      </c>
      <c r="CO14" s="1">
        <v>-4.3400000000000001E-3</v>
      </c>
      <c r="CP14" s="1">
        <v>-6.4999999999999997E-3</v>
      </c>
      <c r="CQ14" s="1">
        <v>-5.9300000000000004E-3</v>
      </c>
      <c r="CR14" s="1">
        <v>-7.1599999999999997E-3</v>
      </c>
      <c r="CS14" s="1">
        <v>-9.1000000000000004E-3</v>
      </c>
      <c r="CT14" s="1">
        <v>-8.6099999999999996E-3</v>
      </c>
      <c r="CU14" s="1">
        <v>-7.4400000000000004E-3</v>
      </c>
      <c r="CV14" s="1">
        <v>-6.7999999999999996E-3</v>
      </c>
    </row>
    <row r="15" spans="1:100" x14ac:dyDescent="0.2">
      <c r="A15" t="s">
        <v>208</v>
      </c>
      <c r="B15" s="1">
        <v>-0.41299999999999998</v>
      </c>
      <c r="C15" s="1">
        <v>0.24199999999999999</v>
      </c>
      <c r="D15" s="1">
        <v>0.77</v>
      </c>
      <c r="E15" s="1">
        <v>5.96E-2</v>
      </c>
      <c r="F15" s="1">
        <v>1.026</v>
      </c>
      <c r="G15" s="1">
        <v>0.35599999999999998</v>
      </c>
      <c r="H15" s="1">
        <v>0.65500000000000003</v>
      </c>
      <c r="I15" s="1">
        <v>0.51500000000000001</v>
      </c>
      <c r="J15" s="1">
        <v>0.374</v>
      </c>
      <c r="K15" s="1">
        <v>0.59399999999999997</v>
      </c>
      <c r="L15" s="1">
        <v>0.57499999999999996</v>
      </c>
      <c r="M15" s="1">
        <v>0.31</v>
      </c>
      <c r="N15" s="1">
        <v>0.35699999999999998</v>
      </c>
      <c r="O15" s="1">
        <v>0.29899999999999999</v>
      </c>
      <c r="P15" s="1">
        <v>0.23699999999999999</v>
      </c>
      <c r="Q15" s="1">
        <v>0.20300000000000001</v>
      </c>
      <c r="R15" s="1">
        <v>0.14000000000000001</v>
      </c>
      <c r="S15" s="1">
        <v>0.112</v>
      </c>
      <c r="T15" s="1">
        <v>5.3999999999999999E-2</v>
      </c>
      <c r="U15" s="1">
        <v>4.7100000000000003E-2</v>
      </c>
      <c r="V15" s="1">
        <v>5.5100000000000003E-2</v>
      </c>
      <c r="W15" s="1">
        <v>2.4299999999999999E-2</v>
      </c>
      <c r="X15" s="1">
        <v>3.5000000000000003E-2</v>
      </c>
      <c r="Y15" s="1">
        <v>4.1300000000000003E-2</v>
      </c>
      <c r="Z15" s="1">
        <v>3.15E-2</v>
      </c>
      <c r="AA15" s="1">
        <v>1.7899999999999999E-2</v>
      </c>
      <c r="AB15" s="1">
        <v>1.6299999999999999E-2</v>
      </c>
      <c r="AC15" s="1">
        <v>1.9800000000000002E-2</v>
      </c>
      <c r="AD15" s="1">
        <v>1.34E-2</v>
      </c>
      <c r="AE15" s="1">
        <v>9.0900000000000009E-3</v>
      </c>
      <c r="AF15" s="1">
        <v>1.03E-2</v>
      </c>
      <c r="AG15" s="1">
        <v>8.6800000000000002E-3</v>
      </c>
      <c r="AH15" s="1">
        <v>-5.8700000000000002E-3</v>
      </c>
      <c r="AI15" s="1">
        <v>-1.18E-2</v>
      </c>
      <c r="AJ15" s="1">
        <v>-2.0500000000000002E-3</v>
      </c>
      <c r="AK15" s="1">
        <v>8.1600000000000006E-3</v>
      </c>
      <c r="AL15" s="1">
        <v>4.0600000000000002E-3</v>
      </c>
      <c r="AM15" s="1">
        <v>4.17E-4</v>
      </c>
      <c r="AN15" s="1">
        <v>1.2200000000000001E-2</v>
      </c>
      <c r="AO15" s="1">
        <v>2.4500000000000001E-2</v>
      </c>
      <c r="AP15" s="1">
        <v>2.9399999999999999E-2</v>
      </c>
      <c r="AQ15" s="1">
        <v>2.5000000000000001E-2</v>
      </c>
      <c r="AR15" s="1">
        <v>2.24E-2</v>
      </c>
      <c r="AS15" s="1">
        <v>2.29E-2</v>
      </c>
      <c r="AT15" s="1">
        <v>1.0200000000000001E-2</v>
      </c>
      <c r="AU15" s="1">
        <v>-1.2E-2</v>
      </c>
      <c r="AV15" s="1">
        <v>-2.69E-2</v>
      </c>
      <c r="AW15" s="1">
        <v>-4.07E-2</v>
      </c>
      <c r="AX15" s="1">
        <v>-4.6800000000000001E-2</v>
      </c>
      <c r="AY15" s="1">
        <v>-5.8099999999999999E-2</v>
      </c>
      <c r="AZ15" s="1">
        <v>-4.7899999999999998E-2</v>
      </c>
      <c r="BA15" s="1">
        <v>-3.5700000000000003E-2</v>
      </c>
      <c r="BB15" s="1">
        <v>-3.7199999999999997E-2</v>
      </c>
      <c r="BC15" s="1">
        <v>-3.6200000000000003E-2</v>
      </c>
      <c r="BD15" s="1">
        <v>-9.4699999999999993E-3</v>
      </c>
      <c r="BE15" s="1">
        <v>-3.3600000000000001E-3</v>
      </c>
      <c r="BF15" s="1">
        <v>4.3299999999999996E-3</v>
      </c>
      <c r="BG15" s="1">
        <v>-9.6900000000000003E-4</v>
      </c>
      <c r="BH15" s="1">
        <v>-9.1199999999999996E-3</v>
      </c>
      <c r="BI15" s="1">
        <v>-6.3400000000000001E-3</v>
      </c>
      <c r="BJ15" s="1">
        <v>-4.15E-3</v>
      </c>
      <c r="BK15" s="1">
        <v>-2.07E-2</v>
      </c>
      <c r="BL15" s="1">
        <v>-3.9699999999999999E-2</v>
      </c>
      <c r="BM15" s="1">
        <v>-6.0499999999999998E-2</v>
      </c>
      <c r="BN15" s="1">
        <v>-7.0699999999999999E-2</v>
      </c>
      <c r="BO15" s="1">
        <v>-7.9000000000000001E-2</v>
      </c>
      <c r="BP15" s="1">
        <v>-7.8200000000000006E-2</v>
      </c>
      <c r="BQ15" s="1">
        <v>-0.11700000000000001</v>
      </c>
      <c r="BR15" s="1">
        <v>-0.14799999999999999</v>
      </c>
      <c r="BS15" s="1">
        <v>-0.14000000000000001</v>
      </c>
      <c r="BT15" s="1">
        <v>-4.7199999999999999E-2</v>
      </c>
      <c r="BU15" s="1">
        <v>-3.0099999999999998E-2</v>
      </c>
      <c r="BV15" s="1">
        <v>-4.8599999999999997E-2</v>
      </c>
      <c r="BW15" s="1">
        <v>-7.2499999999999995E-2</v>
      </c>
      <c r="BX15" s="1">
        <v>-3.5700000000000003E-2</v>
      </c>
      <c r="BY15" s="1">
        <v>-3.1300000000000001E-2</v>
      </c>
      <c r="BZ15" s="1">
        <v>-1.23E-2</v>
      </c>
      <c r="CA15" s="1">
        <v>-0.02</v>
      </c>
      <c r="CB15" s="1">
        <v>-5.9200000000000003E-2</v>
      </c>
      <c r="CC15" s="1">
        <v>-0.23699999999999999</v>
      </c>
      <c r="CD15" s="1">
        <v>-0.31900000000000001</v>
      </c>
      <c r="CE15" s="1">
        <v>-0.30299999999999999</v>
      </c>
      <c r="CF15" s="1">
        <v>-0.183</v>
      </c>
      <c r="CG15" s="1">
        <v>-0.106</v>
      </c>
      <c r="CH15" s="1">
        <v>-0.10199999999999999</v>
      </c>
      <c r="CI15" s="1">
        <v>-0.15</v>
      </c>
      <c r="CJ15" s="1">
        <v>-0.183</v>
      </c>
      <c r="CK15" s="1">
        <v>-0.245</v>
      </c>
      <c r="CL15" s="1">
        <v>-0.29399999999999998</v>
      </c>
      <c r="CM15" s="1">
        <v>-0.309</v>
      </c>
      <c r="CN15" s="1">
        <v>-0.22800000000000001</v>
      </c>
      <c r="CO15" s="1">
        <v>-0.215</v>
      </c>
      <c r="CP15" s="1">
        <v>-0.24</v>
      </c>
      <c r="CQ15" s="1">
        <v>-0.11600000000000001</v>
      </c>
      <c r="CR15" s="1">
        <v>-0.23899999999999999</v>
      </c>
      <c r="CS15" s="1">
        <v>-0.28299999999999997</v>
      </c>
      <c r="CT15" s="1">
        <v>-0.31900000000000001</v>
      </c>
      <c r="CU15" s="1">
        <v>-0.217</v>
      </c>
      <c r="CV15" s="1">
        <v>-0.27400000000000002</v>
      </c>
    </row>
    <row r="16" spans="1:100" x14ac:dyDescent="0.2">
      <c r="A16" t="s">
        <v>209</v>
      </c>
      <c r="B16" s="1">
        <v>-0.10199999999999999</v>
      </c>
      <c r="C16" s="1">
        <v>-0.122</v>
      </c>
      <c r="D16" s="1">
        <v>3.8899999999999997E-2</v>
      </c>
      <c r="E16" s="1">
        <v>-0.14000000000000001</v>
      </c>
      <c r="F16" s="1">
        <v>0.13</v>
      </c>
      <c r="G16" s="1">
        <v>-6.7400000000000002E-2</v>
      </c>
      <c r="H16" s="1">
        <v>6.6900000000000001E-2</v>
      </c>
      <c r="I16" s="1">
        <v>0.08</v>
      </c>
      <c r="J16" s="1">
        <v>3.2099999999999997E-2</v>
      </c>
      <c r="K16" s="1">
        <v>0.14399999999999999</v>
      </c>
      <c r="L16" s="1">
        <v>0.19</v>
      </c>
      <c r="M16" s="1">
        <v>9.5399999999999999E-2</v>
      </c>
      <c r="N16" s="1">
        <v>0.14199999999999999</v>
      </c>
      <c r="O16" s="1">
        <v>0.11700000000000001</v>
      </c>
      <c r="P16" s="1">
        <v>7.8100000000000003E-2</v>
      </c>
      <c r="Q16" s="1">
        <v>5.9799999999999999E-2</v>
      </c>
      <c r="R16" s="1">
        <v>3.1600000000000003E-2</v>
      </c>
      <c r="S16" s="1">
        <v>2.07E-2</v>
      </c>
      <c r="T16" s="1">
        <v>2.3500000000000001E-3</v>
      </c>
      <c r="U16" s="1">
        <v>5.5700000000000003E-3</v>
      </c>
      <c r="V16" s="1">
        <v>1.2500000000000001E-2</v>
      </c>
      <c r="W16" s="1">
        <v>-3.62E-3</v>
      </c>
      <c r="X16" s="1">
        <v>-6.2100000000000002E-4</v>
      </c>
      <c r="Y16" s="1">
        <v>1.54E-2</v>
      </c>
      <c r="Z16" s="1">
        <v>1.37E-2</v>
      </c>
      <c r="AA16" s="1">
        <v>7.4999999999999997E-3</v>
      </c>
      <c r="AB16" s="1">
        <v>1.06E-2</v>
      </c>
      <c r="AC16" s="1">
        <v>1.15E-2</v>
      </c>
      <c r="AD16" s="1">
        <v>3.1199999999999999E-3</v>
      </c>
      <c r="AE16" s="1">
        <v>1.2600000000000001E-3</v>
      </c>
      <c r="AF16" s="1">
        <v>2.07E-2</v>
      </c>
      <c r="AG16" s="1">
        <v>1.9300000000000001E-2</v>
      </c>
      <c r="AH16" s="1">
        <v>1.11E-2</v>
      </c>
      <c r="AI16" s="1">
        <v>1.4500000000000001E-2</v>
      </c>
      <c r="AJ16" s="1">
        <v>2.7199999999999998E-2</v>
      </c>
      <c r="AK16" s="1">
        <v>2.18E-2</v>
      </c>
      <c r="AL16" s="1">
        <v>2.5999999999999999E-2</v>
      </c>
      <c r="AM16" s="1">
        <v>2.5700000000000001E-2</v>
      </c>
      <c r="AN16" s="1">
        <v>4.65E-2</v>
      </c>
      <c r="AO16" s="1">
        <v>6.0900000000000003E-2</v>
      </c>
      <c r="AP16" s="1">
        <v>6.4000000000000001E-2</v>
      </c>
      <c r="AQ16" s="1">
        <v>6.0699999999999997E-2</v>
      </c>
      <c r="AR16" s="1">
        <v>5.6099999999999997E-2</v>
      </c>
      <c r="AS16" s="1">
        <v>5.8299999999999998E-2</v>
      </c>
      <c r="AT16" s="1">
        <v>4.6600000000000003E-2</v>
      </c>
      <c r="AU16" s="1">
        <v>2.3599999999999999E-2</v>
      </c>
      <c r="AV16" s="1">
        <v>-8.6800000000000002E-3</v>
      </c>
      <c r="AW16" s="1">
        <v>-1.5699999999999999E-2</v>
      </c>
      <c r="AX16" s="1">
        <v>-1.6299999999999999E-2</v>
      </c>
      <c r="AY16" s="1">
        <v>-2.23E-2</v>
      </c>
      <c r="AZ16" s="1">
        <v>-1.5299999999999999E-3</v>
      </c>
      <c r="BA16" s="1">
        <v>5.3600000000000002E-3</v>
      </c>
      <c r="BB16" s="1">
        <v>1.3899999999999999E-2</v>
      </c>
      <c r="BC16" s="1">
        <v>2.1399999999999999E-2</v>
      </c>
      <c r="BD16" s="1">
        <v>3.6600000000000001E-2</v>
      </c>
      <c r="BE16" s="1">
        <v>4.9399999999999999E-2</v>
      </c>
      <c r="BF16" s="1">
        <v>6.0100000000000001E-2</v>
      </c>
      <c r="BG16" s="1">
        <v>5.91E-2</v>
      </c>
      <c r="BH16" s="1">
        <v>5.0500000000000003E-2</v>
      </c>
      <c r="BI16" s="1">
        <v>6.2199999999999998E-2</v>
      </c>
      <c r="BJ16" s="1">
        <v>6.4199999999999993E-2</v>
      </c>
      <c r="BK16" s="1">
        <v>6.0400000000000002E-2</v>
      </c>
      <c r="BL16" s="1">
        <v>3.8699999999999998E-2</v>
      </c>
      <c r="BM16" s="1">
        <v>1.6899999999999998E-2</v>
      </c>
      <c r="BN16" s="1">
        <v>1.23E-2</v>
      </c>
      <c r="BO16" s="1">
        <v>1.01E-2</v>
      </c>
      <c r="BP16" s="1">
        <v>7.2399999999999999E-3</v>
      </c>
      <c r="BQ16" s="1">
        <v>-2.2800000000000001E-2</v>
      </c>
      <c r="BR16" s="1">
        <v>-4.8599999999999997E-2</v>
      </c>
      <c r="BS16" s="1">
        <v>-2.5499999999999998E-2</v>
      </c>
      <c r="BT16" s="1">
        <v>9.5100000000000004E-2</v>
      </c>
      <c r="BU16" s="1">
        <v>0.128</v>
      </c>
      <c r="BV16" s="1">
        <v>0.108</v>
      </c>
      <c r="BW16" s="1">
        <v>9.8599999999999993E-2</v>
      </c>
      <c r="BX16" s="1">
        <v>0.13</v>
      </c>
      <c r="BY16" s="1">
        <v>0.125</v>
      </c>
      <c r="BZ16" s="1">
        <v>0.153</v>
      </c>
      <c r="CA16" s="1">
        <v>0.14899999999999999</v>
      </c>
      <c r="CB16" s="1">
        <v>0.10199999999999999</v>
      </c>
      <c r="CC16" s="1">
        <v>-4.4299999999999999E-2</v>
      </c>
      <c r="CD16" s="1">
        <v>-9.7600000000000006E-2</v>
      </c>
      <c r="CE16" s="1">
        <v>-7.7899999999999997E-2</v>
      </c>
      <c r="CF16" s="1">
        <v>2.6800000000000001E-2</v>
      </c>
      <c r="CG16" s="1">
        <v>0.11799999999999999</v>
      </c>
      <c r="CH16" s="1">
        <v>0.154</v>
      </c>
      <c r="CI16" s="1">
        <v>0.111</v>
      </c>
      <c r="CJ16" s="1">
        <v>6.2600000000000003E-2</v>
      </c>
      <c r="CK16" s="1">
        <v>8.1099999999999992E-3</v>
      </c>
      <c r="CL16" s="1">
        <v>1.5299999999999999E-2</v>
      </c>
      <c r="CM16" s="1">
        <v>-6.8700000000000002E-3</v>
      </c>
      <c r="CN16" s="1">
        <v>3.8199999999999998E-2</v>
      </c>
      <c r="CO16" s="1">
        <v>5.8799999999999998E-2</v>
      </c>
      <c r="CP16" s="1">
        <v>0.129</v>
      </c>
      <c r="CQ16" s="1">
        <v>0.22500000000000001</v>
      </c>
      <c r="CR16" s="1">
        <v>0.14000000000000001</v>
      </c>
      <c r="CS16" s="1">
        <v>3.5700000000000003E-2</v>
      </c>
      <c r="CT16" s="1">
        <v>-9.4000000000000004E-3</v>
      </c>
      <c r="CU16" s="1">
        <v>0.123</v>
      </c>
      <c r="CV16" s="1">
        <v>-4.7699999999999999E-2</v>
      </c>
    </row>
    <row r="17" spans="1:100" x14ac:dyDescent="0.2">
      <c r="A17" t="s">
        <v>210</v>
      </c>
      <c r="B17" s="1">
        <v>8.7499999999999994E-2</v>
      </c>
      <c r="C17" s="1">
        <v>8.5500000000000007E-2</v>
      </c>
      <c r="D17" s="1">
        <v>3.04E-2</v>
      </c>
      <c r="E17" s="1">
        <v>6.0299999999999999E-2</v>
      </c>
      <c r="F17" s="1">
        <v>-3.0800000000000001E-2</v>
      </c>
      <c r="G17" s="1">
        <v>2.1499999999999998E-2</v>
      </c>
      <c r="H17" s="1">
        <v>-6.0499999999999998E-3</v>
      </c>
      <c r="I17" s="1">
        <v>-8.5699999999999995E-3</v>
      </c>
      <c r="J17" s="1">
        <v>1.6899999999999999E-4</v>
      </c>
      <c r="K17" s="1">
        <v>-2.2599999999999999E-2</v>
      </c>
      <c r="L17" s="1">
        <v>-2.6499999999999999E-2</v>
      </c>
      <c r="M17" s="1">
        <v>-1.0200000000000001E-2</v>
      </c>
      <c r="N17" s="1">
        <v>-1.54E-2</v>
      </c>
      <c r="O17" s="1">
        <v>-1.06E-2</v>
      </c>
      <c r="P17" s="1">
        <v>-5.7099999999999998E-3</v>
      </c>
      <c r="Q17" s="1">
        <v>-2E-3</v>
      </c>
      <c r="R17" s="1">
        <v>3.3300000000000001E-3</v>
      </c>
      <c r="S17" s="1">
        <v>4.47E-3</v>
      </c>
      <c r="T17" s="1">
        <v>9.4400000000000005E-3</v>
      </c>
      <c r="U17" s="1">
        <v>7.6800000000000002E-3</v>
      </c>
      <c r="V17" s="1">
        <v>5.4200000000000003E-3</v>
      </c>
      <c r="W17" s="1">
        <v>8.5800000000000008E-3</v>
      </c>
      <c r="X17" s="1">
        <v>7.2899999999999996E-3</v>
      </c>
      <c r="Y17" s="1">
        <v>7.2700000000000004E-3</v>
      </c>
      <c r="Z17" s="1">
        <v>9.75E-3</v>
      </c>
      <c r="AA17" s="1">
        <v>1.1900000000000001E-2</v>
      </c>
      <c r="AB17" s="1">
        <v>1.2800000000000001E-2</v>
      </c>
      <c r="AC17" s="1">
        <v>1.2699999999999999E-2</v>
      </c>
      <c r="AD17" s="1">
        <v>1.47E-2</v>
      </c>
      <c r="AE17" s="1">
        <v>1.43E-2</v>
      </c>
      <c r="AF17" s="1">
        <v>1.34E-2</v>
      </c>
      <c r="AG17" s="1">
        <v>1.5100000000000001E-2</v>
      </c>
      <c r="AH17" s="1">
        <v>1.9400000000000001E-2</v>
      </c>
      <c r="AI17" s="1">
        <v>1.89E-2</v>
      </c>
      <c r="AJ17" s="1">
        <v>1.8100000000000002E-2</v>
      </c>
      <c r="AK17" s="1">
        <v>1.8499999999999999E-2</v>
      </c>
      <c r="AL17" s="1">
        <v>2.01E-2</v>
      </c>
      <c r="AM17" s="1">
        <v>2.07E-2</v>
      </c>
      <c r="AN17" s="1">
        <v>1.7999999999999999E-2</v>
      </c>
      <c r="AO17" s="1">
        <v>1.46E-2</v>
      </c>
      <c r="AP17" s="1">
        <v>1.46E-2</v>
      </c>
      <c r="AQ17" s="1">
        <v>1.5299999999999999E-2</v>
      </c>
      <c r="AR17" s="1">
        <v>1.47E-2</v>
      </c>
      <c r="AS17" s="1">
        <v>1.38E-2</v>
      </c>
      <c r="AT17" s="1">
        <v>1.66E-2</v>
      </c>
      <c r="AU17" s="1">
        <v>2.3300000000000001E-2</v>
      </c>
      <c r="AV17" s="1">
        <v>2.9000000000000001E-2</v>
      </c>
      <c r="AW17" s="1">
        <v>2.9899999999999999E-2</v>
      </c>
      <c r="AX17" s="1">
        <v>2.8400000000000002E-2</v>
      </c>
      <c r="AY17" s="1">
        <v>2.8299999999999999E-2</v>
      </c>
      <c r="AZ17" s="1">
        <v>2.6599999999999999E-2</v>
      </c>
      <c r="BA17" s="1">
        <v>2.3699999999999999E-2</v>
      </c>
      <c r="BB17" s="1">
        <v>1.9300000000000001E-2</v>
      </c>
      <c r="BC17" s="1">
        <v>1.8200000000000001E-2</v>
      </c>
      <c r="BD17" s="1">
        <v>1.4800000000000001E-2</v>
      </c>
      <c r="BE17" s="1">
        <v>1.17E-2</v>
      </c>
      <c r="BF17" s="1">
        <v>7.3400000000000002E-3</v>
      </c>
      <c r="BG17" s="1">
        <v>9.4900000000000002E-3</v>
      </c>
      <c r="BH17" s="1">
        <v>1.2800000000000001E-2</v>
      </c>
      <c r="BI17" s="1">
        <v>1.2200000000000001E-2</v>
      </c>
      <c r="BJ17" s="1">
        <v>1.03E-2</v>
      </c>
      <c r="BK17" s="1">
        <v>1.3100000000000001E-2</v>
      </c>
      <c r="BL17" s="1">
        <v>1.55E-2</v>
      </c>
      <c r="BM17" s="1">
        <v>1.95E-2</v>
      </c>
      <c r="BN17" s="1">
        <v>2.2200000000000001E-2</v>
      </c>
      <c r="BO17" s="1">
        <v>2.23E-2</v>
      </c>
      <c r="BP17" s="1">
        <v>2.07E-2</v>
      </c>
      <c r="BQ17" s="1">
        <v>2.6200000000000001E-2</v>
      </c>
      <c r="BR17" s="1">
        <v>3.0800000000000001E-2</v>
      </c>
      <c r="BS17" s="1">
        <v>2.7400000000000001E-2</v>
      </c>
      <c r="BT17" s="1">
        <v>5.2500000000000003E-3</v>
      </c>
      <c r="BU17" s="1">
        <v>1.81E-3</v>
      </c>
      <c r="BV17" s="1">
        <v>5.9699999999999996E-3</v>
      </c>
      <c r="BW17" s="1">
        <v>8.5699999999999995E-3</v>
      </c>
      <c r="BX17" s="1">
        <v>1.25E-3</v>
      </c>
      <c r="BY17" s="1">
        <v>2.5799999999999998E-4</v>
      </c>
      <c r="BZ17" s="1">
        <v>-5.64E-3</v>
      </c>
      <c r="CA17" s="1">
        <v>-9.9699999999999997E-3</v>
      </c>
      <c r="CB17" s="1">
        <v>-1.6999999999999999E-3</v>
      </c>
      <c r="CC17" s="1">
        <v>3.0599999999999999E-2</v>
      </c>
      <c r="CD17" s="1">
        <v>4.1599999999999998E-2</v>
      </c>
      <c r="CE17" s="1">
        <v>3.6600000000000001E-2</v>
      </c>
      <c r="CF17" s="1">
        <v>1.18E-2</v>
      </c>
      <c r="CG17" s="1">
        <v>-2.98E-3</v>
      </c>
      <c r="CH17" s="1">
        <v>-1.15E-2</v>
      </c>
      <c r="CI17" s="1">
        <v>-1.49E-3</v>
      </c>
      <c r="CJ17" s="1">
        <v>7.0899999999999999E-3</v>
      </c>
      <c r="CK17" s="1">
        <v>1.2200000000000001E-2</v>
      </c>
      <c r="CL17" s="1">
        <v>1.1299999999999999E-2</v>
      </c>
      <c r="CM17" s="1">
        <v>1.7399999999999999E-2</v>
      </c>
      <c r="CN17" s="1">
        <v>-1.8699999999999999E-3</v>
      </c>
      <c r="CO17" s="1">
        <v>-9.1699999999999993E-3</v>
      </c>
      <c r="CP17" s="1">
        <v>-2.4199999999999999E-2</v>
      </c>
      <c r="CQ17" s="1">
        <v>-5.5399999999999998E-2</v>
      </c>
      <c r="CR17" s="1">
        <v>-2.9399999999999999E-2</v>
      </c>
      <c r="CS17" s="1">
        <v>-1.7399999999999999E-2</v>
      </c>
      <c r="CT17" s="1">
        <v>8.0499999999999999E-3</v>
      </c>
      <c r="CU17" s="1">
        <v>-4.0599999999999997E-2</v>
      </c>
      <c r="CV17" s="1">
        <v>2.5399999999999999E-2</v>
      </c>
    </row>
    <row r="18" spans="1:100" x14ac:dyDescent="0.2">
      <c r="A18" t="s">
        <v>211</v>
      </c>
      <c r="B18" s="1">
        <v>4.3099999999999996E-3</v>
      </c>
      <c r="C18" s="1">
        <v>9.5699999999999995E-4</v>
      </c>
      <c r="D18" s="1">
        <v>-1.04E-2</v>
      </c>
      <c r="E18" s="1">
        <v>1.03E-2</v>
      </c>
      <c r="F18" s="1">
        <v>-1.54E-2</v>
      </c>
      <c r="G18" s="1">
        <v>-1.2199999999999999E-3</v>
      </c>
      <c r="H18" s="1">
        <v>-5.5900000000000004E-3</v>
      </c>
      <c r="I18" s="1">
        <v>-1.65E-3</v>
      </c>
      <c r="J18" s="1">
        <v>7.7400000000000004E-3</v>
      </c>
      <c r="K18" s="1">
        <v>-1.31E-3</v>
      </c>
      <c r="L18" s="1">
        <v>-5.1399999999999996E-3</v>
      </c>
      <c r="M18" s="1">
        <v>-3.4499999999999999E-3</v>
      </c>
      <c r="N18" s="1">
        <v>-3.5100000000000001E-3</v>
      </c>
      <c r="O18" s="1">
        <v>7.6300000000000001E-4</v>
      </c>
      <c r="P18" s="1">
        <v>1.47E-3</v>
      </c>
      <c r="Q18" s="1">
        <v>-1.82E-3</v>
      </c>
      <c r="R18" s="1">
        <v>4.3399999999999998E-4</v>
      </c>
      <c r="S18" s="1">
        <v>1.3600000000000001E-3</v>
      </c>
      <c r="T18" s="1">
        <v>3.1199999999999999E-3</v>
      </c>
      <c r="U18" s="1">
        <v>2.5100000000000001E-3</v>
      </c>
      <c r="V18" s="1">
        <v>-3.9300000000000001E-4</v>
      </c>
      <c r="W18" s="1">
        <v>2.5000000000000001E-3</v>
      </c>
      <c r="X18" s="1">
        <v>6.5099999999999999E-4</v>
      </c>
      <c r="Y18" s="1">
        <v>2.8500000000000001E-3</v>
      </c>
      <c r="Z18" s="1">
        <v>7.1900000000000002E-3</v>
      </c>
      <c r="AA18" s="1">
        <v>7.9699999999999997E-3</v>
      </c>
      <c r="AB18" s="1">
        <v>7.5799999999999999E-3</v>
      </c>
      <c r="AC18" s="1">
        <v>6.3099999999999996E-3</v>
      </c>
      <c r="AD18" s="1">
        <v>4.4600000000000004E-3</v>
      </c>
      <c r="AE18" s="1">
        <v>4.6899999999999997E-3</v>
      </c>
      <c r="AF18" s="1">
        <v>4.4900000000000001E-3</v>
      </c>
      <c r="AG18" s="1">
        <v>4.6699999999999997E-3</v>
      </c>
      <c r="AH18" s="1">
        <v>5.7800000000000004E-3</v>
      </c>
      <c r="AI18" s="1">
        <v>4.6499999999999996E-3</v>
      </c>
      <c r="AJ18" s="1">
        <v>3.5799999999999998E-3</v>
      </c>
      <c r="AK18" s="1">
        <v>4.5900000000000003E-3</v>
      </c>
      <c r="AL18" s="1">
        <v>1.8600000000000001E-3</v>
      </c>
      <c r="AM18" s="1">
        <v>6.4899999999999995E-4</v>
      </c>
      <c r="AN18" s="1">
        <v>2.9300000000000002E-4</v>
      </c>
      <c r="AO18" s="1">
        <v>-2.5500000000000002E-3</v>
      </c>
      <c r="AP18" s="1">
        <v>1.0900000000000001E-4</v>
      </c>
      <c r="AQ18" s="1">
        <v>9.7099999999999997E-4</v>
      </c>
      <c r="AR18" s="1">
        <v>-4.75E-4</v>
      </c>
      <c r="AS18" s="1">
        <v>-2.4599999999999999E-3</v>
      </c>
      <c r="AT18" s="1">
        <v>-4.8999999999999998E-3</v>
      </c>
      <c r="AU18" s="1">
        <v>-3.5000000000000001E-3</v>
      </c>
      <c r="AV18" s="1">
        <v>-5.6599999999999999E-4</v>
      </c>
      <c r="AW18" s="1">
        <v>-1.25E-4</v>
      </c>
      <c r="AX18" s="1">
        <v>-5.4699999999999996E-4</v>
      </c>
      <c r="AY18" s="1">
        <v>-3.65E-3</v>
      </c>
      <c r="AZ18" s="1">
        <v>-4.7999999999999996E-3</v>
      </c>
      <c r="BA18" s="1">
        <v>-6.2199999999999998E-3</v>
      </c>
      <c r="BB18" s="1">
        <v>-1.4300000000000001E-3</v>
      </c>
      <c r="BC18" s="1">
        <v>-4.3499999999999997E-3</v>
      </c>
      <c r="BD18" s="1">
        <v>-1.37E-2</v>
      </c>
      <c r="BE18" s="1">
        <v>-1.0699999999999999E-2</v>
      </c>
      <c r="BF18" s="1">
        <v>-1.54E-2</v>
      </c>
      <c r="BG18" s="1">
        <v>-1.5299999999999999E-2</v>
      </c>
      <c r="BH18" s="1">
        <v>-1.3599999999999999E-2</v>
      </c>
      <c r="BI18" s="1">
        <v>-1.4999999999999999E-2</v>
      </c>
      <c r="BJ18" s="1">
        <v>-1.78E-2</v>
      </c>
      <c r="BK18" s="1">
        <v>-1.6199999999999999E-2</v>
      </c>
      <c r="BL18" s="1">
        <v>-1.43E-2</v>
      </c>
      <c r="BM18" s="1">
        <v>-1.11E-2</v>
      </c>
      <c r="BN18" s="1">
        <v>-3.5500000000000002E-3</v>
      </c>
      <c r="BO18" s="1">
        <v>-6.2599999999999999E-3</v>
      </c>
      <c r="BP18" s="1">
        <v>-3.9899999999999996E-3</v>
      </c>
      <c r="BQ18" s="1">
        <v>3.79E-3</v>
      </c>
      <c r="BR18" s="1">
        <v>3.6099999999999999E-3</v>
      </c>
      <c r="BS18" s="1">
        <v>-2.1900000000000001E-3</v>
      </c>
      <c r="BT18" s="1">
        <v>-1.7000000000000001E-2</v>
      </c>
      <c r="BU18" s="1">
        <v>-2.3099999999999999E-2</v>
      </c>
      <c r="BV18" s="1">
        <v>-1.8499999999999999E-2</v>
      </c>
      <c r="BW18" s="1">
        <v>-1.6E-2</v>
      </c>
      <c r="BX18" s="1">
        <v>-2.3099999999999999E-2</v>
      </c>
      <c r="BY18" s="1">
        <v>-1.5900000000000001E-2</v>
      </c>
      <c r="BZ18" s="1">
        <v>-2.24E-2</v>
      </c>
      <c r="CA18" s="1">
        <v>-2.3199999999999998E-2</v>
      </c>
      <c r="CB18" s="1">
        <v>-3.0200000000000001E-2</v>
      </c>
      <c r="CC18" s="1">
        <v>-8.4700000000000001E-3</v>
      </c>
      <c r="CD18" s="1">
        <v>5.1999999999999998E-3</v>
      </c>
      <c r="CE18" s="1">
        <v>1.73E-3</v>
      </c>
      <c r="CF18" s="1">
        <v>-9.2499999999999995E-3</v>
      </c>
      <c r="CG18" s="1">
        <v>-2.2700000000000001E-2</v>
      </c>
      <c r="CH18" s="1">
        <v>-3.1300000000000001E-2</v>
      </c>
      <c r="CI18" s="1">
        <v>-2.2800000000000001E-2</v>
      </c>
      <c r="CJ18" s="1">
        <v>-6.8199999999999997E-3</v>
      </c>
      <c r="CK18" s="1">
        <v>-2.5200000000000001E-3</v>
      </c>
      <c r="CL18" s="1">
        <v>-1.15E-2</v>
      </c>
      <c r="CM18" s="1">
        <v>-3.15E-3</v>
      </c>
      <c r="CN18" s="1">
        <v>-7.8799999999999996E-4</v>
      </c>
      <c r="CO18" s="1">
        <v>-1.0800000000000001E-2</v>
      </c>
      <c r="CP18" s="1">
        <v>-1.7600000000000001E-2</v>
      </c>
      <c r="CQ18" s="1">
        <v>-4.41E-2</v>
      </c>
      <c r="CR18" s="1">
        <v>-3.3599999999999998E-2</v>
      </c>
      <c r="CS18" s="1">
        <v>-1.6299999999999999E-2</v>
      </c>
      <c r="CT18" s="1">
        <v>2.6099999999999999E-3</v>
      </c>
      <c r="CU18" s="1">
        <v>-2.92E-2</v>
      </c>
      <c r="CV18" s="1">
        <v>1.4E-2</v>
      </c>
    </row>
    <row r="19" spans="1:100" x14ac:dyDescent="0.2">
      <c r="A19" t="s">
        <v>212</v>
      </c>
      <c r="B19" s="1">
        <v>3.5099999999999999E-2</v>
      </c>
      <c r="C19" s="1">
        <v>1.6199999999999999E-2</v>
      </c>
      <c r="D19" s="1">
        <v>-8.1700000000000002E-3</v>
      </c>
      <c r="E19" s="1">
        <v>2.2499999999999999E-2</v>
      </c>
      <c r="F19" s="1">
        <v>-1.72E-2</v>
      </c>
      <c r="G19" s="1">
        <v>3.7299999999999998E-3</v>
      </c>
      <c r="H19" s="1">
        <v>-6.2500000000000003E-3</v>
      </c>
      <c r="I19" s="1">
        <v>-6.2700000000000004E-3</v>
      </c>
      <c r="J19" s="1">
        <v>-1.7899999999999999E-3</v>
      </c>
      <c r="K19" s="1">
        <v>-1.1900000000000001E-2</v>
      </c>
      <c r="L19" s="1">
        <v>-1.32E-2</v>
      </c>
      <c r="M19" s="1">
        <v>-4.45E-3</v>
      </c>
      <c r="N19" s="1">
        <v>-6.4400000000000004E-3</v>
      </c>
      <c r="O19" s="1">
        <v>-4.5500000000000002E-3</v>
      </c>
      <c r="P19" s="1">
        <v>-3.3700000000000002E-3</v>
      </c>
      <c r="Q19" s="1">
        <v>-2.8600000000000001E-3</v>
      </c>
      <c r="R19" s="1">
        <v>-1.7700000000000001E-3</v>
      </c>
      <c r="S19" s="1">
        <v>-1.5E-3</v>
      </c>
      <c r="T19" s="1">
        <v>1.3E-6</v>
      </c>
      <c r="U19" s="1">
        <v>-1.6899999999999999E-4</v>
      </c>
      <c r="V19" s="1">
        <v>2.87E-5</v>
      </c>
      <c r="W19" s="1">
        <v>7.9600000000000005E-4</v>
      </c>
      <c r="X19" s="1">
        <v>4.5100000000000001E-4</v>
      </c>
      <c r="Y19" s="1">
        <v>6.7500000000000004E-4</v>
      </c>
      <c r="Z19" s="1">
        <v>1.1199999999999999E-3</v>
      </c>
      <c r="AA19" s="1">
        <v>1.0300000000000001E-3</v>
      </c>
      <c r="AB19" s="1">
        <v>9.1500000000000001E-4</v>
      </c>
      <c r="AC19" s="1">
        <v>6.5799999999999995E-4</v>
      </c>
      <c r="AD19" s="1">
        <v>2.9599999999999998E-4</v>
      </c>
      <c r="AE19" s="1">
        <v>-6.6E-4</v>
      </c>
      <c r="AF19" s="1">
        <v>-8.1700000000000002E-4</v>
      </c>
      <c r="AG19" s="1">
        <v>-5.31E-4</v>
      </c>
      <c r="AH19" s="1">
        <v>4.2499999999999998E-4</v>
      </c>
      <c r="AI19" s="1">
        <v>4.35E-4</v>
      </c>
      <c r="AJ19" s="1">
        <v>-1.02E-4</v>
      </c>
      <c r="AK19" s="1">
        <v>-2.4499999999999999E-4</v>
      </c>
      <c r="AL19" s="1">
        <v>-4.4299999999999998E-4</v>
      </c>
      <c r="AM19" s="1">
        <v>-3.4900000000000003E-4</v>
      </c>
      <c r="AN19" s="1">
        <v>-2.32E-4</v>
      </c>
      <c r="AO19" s="1">
        <v>2.34E-4</v>
      </c>
      <c r="AP19" s="1">
        <v>4.26E-4</v>
      </c>
      <c r="AQ19" s="1">
        <v>-1.3200000000000001E-5</v>
      </c>
      <c r="AR19" s="1">
        <v>1.07E-4</v>
      </c>
      <c r="AS19" s="1">
        <v>3.4200000000000002E-4</v>
      </c>
      <c r="AT19" s="1">
        <v>-2.9500000000000001E-4</v>
      </c>
      <c r="AU19" s="1">
        <v>8.7899999999999995E-5</v>
      </c>
      <c r="AV19" s="1">
        <v>5.0000000000000001E-4</v>
      </c>
      <c r="AW19" s="1">
        <v>5.1999999999999995E-4</v>
      </c>
      <c r="AX19" s="1">
        <v>3.9399999999999998E-4</v>
      </c>
      <c r="AY19" s="1">
        <v>3.9300000000000001E-4</v>
      </c>
      <c r="AZ19" s="1">
        <v>2.0699999999999999E-4</v>
      </c>
      <c r="BA19" s="1">
        <v>4.6300000000000001E-5</v>
      </c>
      <c r="BB19" s="1">
        <v>2.1699999999999999E-4</v>
      </c>
      <c r="BC19" s="1">
        <v>1.01E-4</v>
      </c>
      <c r="BD19" s="1">
        <v>-5.9900000000000003E-4</v>
      </c>
      <c r="BE19" s="1">
        <v>-2.13E-4</v>
      </c>
      <c r="BF19" s="1">
        <v>-1.85E-4</v>
      </c>
      <c r="BG19" s="1">
        <v>-1.54E-4</v>
      </c>
      <c r="BH19" s="1">
        <v>-2.34E-4</v>
      </c>
      <c r="BI19" s="1">
        <v>1.2400000000000001E-4</v>
      </c>
      <c r="BJ19" s="1">
        <v>-1.3300000000000001E-4</v>
      </c>
      <c r="BK19" s="1">
        <v>2.1100000000000001E-4</v>
      </c>
      <c r="BL19" s="1">
        <v>4.3399999999999998E-4</v>
      </c>
      <c r="BM19" s="1">
        <v>1.23E-3</v>
      </c>
      <c r="BN19" s="1">
        <v>1.1199999999999999E-3</v>
      </c>
      <c r="BO19" s="1">
        <v>1.07E-3</v>
      </c>
      <c r="BP19" s="1">
        <v>9.1500000000000001E-4</v>
      </c>
      <c r="BQ19" s="1">
        <v>9.3000000000000005E-4</v>
      </c>
      <c r="BR19" s="1">
        <v>1.9499999999999999E-3</v>
      </c>
      <c r="BS19" s="1">
        <v>1.6999999999999999E-3</v>
      </c>
      <c r="BT19" s="1">
        <v>-3.1599999999999998E-4</v>
      </c>
      <c r="BU19" s="1">
        <v>2.4000000000000001E-4</v>
      </c>
      <c r="BV19" s="1">
        <v>4.6299999999999998E-4</v>
      </c>
      <c r="BW19" s="1">
        <v>2.5300000000000002E-4</v>
      </c>
      <c r="BX19" s="1">
        <v>3.6299999999999999E-4</v>
      </c>
      <c r="BY19" s="1">
        <v>8.3500000000000002E-4</v>
      </c>
      <c r="BZ19" s="1">
        <v>7.2300000000000001E-4</v>
      </c>
      <c r="CA19" s="1">
        <v>5.6300000000000002E-4</v>
      </c>
      <c r="CB19" s="1">
        <v>9.5199999999999997E-5</v>
      </c>
      <c r="CC19" s="1">
        <v>1.89E-3</v>
      </c>
      <c r="CD19" s="1">
        <v>2.4099999999999998E-3</v>
      </c>
      <c r="CE19" s="1">
        <v>2.5799999999999998E-3</v>
      </c>
      <c r="CF19" s="1">
        <v>1.17E-3</v>
      </c>
      <c r="CG19" s="1">
        <v>-1.26E-6</v>
      </c>
      <c r="CH19" s="1">
        <v>-1.01E-3</v>
      </c>
      <c r="CI19" s="1">
        <v>1.37E-4</v>
      </c>
      <c r="CJ19" s="1">
        <v>-2.03E-4</v>
      </c>
      <c r="CK19" s="1">
        <v>7.0299999999999996E-4</v>
      </c>
      <c r="CL19" s="1">
        <v>6.4899999999999995E-4</v>
      </c>
      <c r="CM19" s="1">
        <v>9.2400000000000002E-4</v>
      </c>
      <c r="CN19" s="1">
        <v>-3.1900000000000003E-5</v>
      </c>
      <c r="CO19" s="1">
        <v>-3.1700000000000001E-4</v>
      </c>
      <c r="CP19" s="1">
        <v>-1.07E-3</v>
      </c>
      <c r="CQ19" s="1">
        <v>-3.15E-3</v>
      </c>
      <c r="CR19" s="1">
        <v>-2.5300000000000001E-3</v>
      </c>
      <c r="CS19" s="1">
        <v>-2.8800000000000002E-3</v>
      </c>
      <c r="CT19" s="1">
        <v>-1.8799999999999999E-3</v>
      </c>
      <c r="CU19" s="1">
        <v>-1.39E-3</v>
      </c>
      <c r="CV19" s="1">
        <v>4.0099999999999997E-3</v>
      </c>
    </row>
    <row r="20" spans="1:100" x14ac:dyDescent="0.2">
      <c r="A20" t="s">
        <v>213</v>
      </c>
      <c r="B20" s="1">
        <v>-0.13900000000000001</v>
      </c>
      <c r="C20" s="1">
        <v>-0.126</v>
      </c>
      <c r="D20" s="1">
        <v>6.2300000000000003E-3</v>
      </c>
      <c r="E20" s="1">
        <v>-0.14799999999999999</v>
      </c>
      <c r="F20" s="1">
        <v>0.13</v>
      </c>
      <c r="G20" s="1">
        <v>-6.3399999999999998E-2</v>
      </c>
      <c r="H20" s="1">
        <v>5.21E-2</v>
      </c>
      <c r="I20" s="1">
        <v>4.2500000000000003E-2</v>
      </c>
      <c r="J20" s="1">
        <v>1.49E-2</v>
      </c>
      <c r="K20" s="1">
        <v>0.14099999999999999</v>
      </c>
      <c r="L20" s="1">
        <v>0.18099999999999999</v>
      </c>
      <c r="M20" s="1">
        <v>9.3200000000000005E-2</v>
      </c>
      <c r="N20" s="1">
        <v>0.14399999999999999</v>
      </c>
      <c r="O20" s="1">
        <v>0.13800000000000001</v>
      </c>
      <c r="P20" s="1">
        <v>0.12</v>
      </c>
      <c r="Q20" s="1">
        <v>8.7800000000000003E-2</v>
      </c>
      <c r="R20" s="1">
        <v>6.6100000000000006E-2</v>
      </c>
      <c r="S20" s="1">
        <v>5.6899999999999999E-2</v>
      </c>
      <c r="T20" s="1">
        <v>4.3799999999999999E-2</v>
      </c>
      <c r="U20" s="1">
        <v>3.8600000000000002E-2</v>
      </c>
      <c r="V20" s="1">
        <v>3.4700000000000002E-2</v>
      </c>
      <c r="W20" s="1">
        <v>2.23E-2</v>
      </c>
      <c r="X20" s="1">
        <v>2.9000000000000001E-2</v>
      </c>
      <c r="Y20" s="1">
        <v>3.6999999999999998E-2</v>
      </c>
      <c r="Z20" s="1">
        <v>4.2999999999999997E-2</v>
      </c>
      <c r="AA20" s="1">
        <v>4.4299999999999999E-2</v>
      </c>
      <c r="AB20" s="1">
        <v>4.0300000000000002E-2</v>
      </c>
      <c r="AC20" s="1">
        <v>4.1399999999999999E-2</v>
      </c>
      <c r="AD20" s="1">
        <v>3.6700000000000003E-2</v>
      </c>
      <c r="AE20" s="1">
        <v>3.1899999999999998E-2</v>
      </c>
      <c r="AF20" s="1">
        <v>3.9699999999999999E-2</v>
      </c>
      <c r="AG20" s="1">
        <v>3.2199999999999999E-2</v>
      </c>
      <c r="AH20" s="1">
        <v>2.5999999999999999E-2</v>
      </c>
      <c r="AI20" s="1">
        <v>2.4799999999999999E-2</v>
      </c>
      <c r="AJ20" s="1">
        <v>2.9000000000000001E-2</v>
      </c>
      <c r="AK20" s="1">
        <v>2.4899999999999999E-2</v>
      </c>
      <c r="AL20" s="1">
        <v>2.6200000000000001E-2</v>
      </c>
      <c r="AM20" s="1">
        <v>3.0599999999999999E-2</v>
      </c>
      <c r="AN20" s="1">
        <v>3.6400000000000002E-2</v>
      </c>
      <c r="AO20" s="1">
        <v>3.7900000000000003E-2</v>
      </c>
      <c r="AP20" s="1">
        <v>3.4500000000000003E-2</v>
      </c>
      <c r="AQ20" s="1">
        <v>2.7199999999999998E-2</v>
      </c>
      <c r="AR20" s="1">
        <v>2.3900000000000001E-2</v>
      </c>
      <c r="AS20" s="1">
        <v>2.2100000000000002E-2</v>
      </c>
      <c r="AT20" s="1">
        <v>3.0599999999999999E-2</v>
      </c>
      <c r="AU20" s="1">
        <v>3.0800000000000001E-2</v>
      </c>
      <c r="AV20" s="1">
        <v>1.9900000000000001E-2</v>
      </c>
      <c r="AW20" s="1">
        <v>0.02</v>
      </c>
      <c r="AX20" s="1">
        <v>2.23E-2</v>
      </c>
      <c r="AY20" s="1">
        <v>2.52E-2</v>
      </c>
      <c r="AZ20" s="1">
        <v>2.06E-2</v>
      </c>
      <c r="BA20" s="1">
        <v>2.5700000000000001E-2</v>
      </c>
      <c r="BB20" s="1">
        <v>2.18E-2</v>
      </c>
      <c r="BC20" s="1">
        <v>2.3699999999999999E-2</v>
      </c>
      <c r="BD20" s="1">
        <v>2.4E-2</v>
      </c>
      <c r="BE20" s="1">
        <v>2.7199999999999998E-2</v>
      </c>
      <c r="BF20" s="1">
        <v>3.0499999999999999E-2</v>
      </c>
      <c r="BG20" s="1">
        <v>2.6599999999999999E-2</v>
      </c>
      <c r="BH20" s="1">
        <v>0.03</v>
      </c>
      <c r="BI20" s="1">
        <v>2.46E-2</v>
      </c>
      <c r="BJ20" s="1">
        <v>2.3099999999999999E-2</v>
      </c>
      <c r="BK20" s="1">
        <v>2.0899999999999998E-2</v>
      </c>
      <c r="BL20" s="1">
        <v>1.8100000000000002E-2</v>
      </c>
      <c r="BM20" s="1">
        <v>1.5299999999999999E-2</v>
      </c>
      <c r="BN20" s="1">
        <v>9.7800000000000005E-3</v>
      </c>
      <c r="BO20" s="1">
        <v>1.4E-2</v>
      </c>
      <c r="BP20" s="1">
        <v>1.9900000000000001E-2</v>
      </c>
      <c r="BQ20" s="1">
        <v>2.4799999999999999E-2</v>
      </c>
      <c r="BR20" s="1">
        <v>2.9899999999999999E-2</v>
      </c>
      <c r="BS20" s="1">
        <v>3.32E-2</v>
      </c>
      <c r="BT20" s="1">
        <v>3.5299999999999998E-2</v>
      </c>
      <c r="BU20" s="1">
        <v>3.6600000000000001E-2</v>
      </c>
      <c r="BV20" s="1">
        <v>2.7099999999999999E-2</v>
      </c>
      <c r="BW20" s="1">
        <v>3.9199999999999999E-2</v>
      </c>
      <c r="BX20" s="1">
        <v>4.0500000000000001E-2</v>
      </c>
      <c r="BY20" s="1">
        <v>3.3300000000000003E-2</v>
      </c>
      <c r="BZ20" s="1">
        <v>2.3599999999999999E-2</v>
      </c>
      <c r="CA20" s="1">
        <v>3.49E-2</v>
      </c>
      <c r="CB20" s="1">
        <v>1.9699999999999999E-2</v>
      </c>
      <c r="CC20" s="1">
        <v>2.06E-2</v>
      </c>
      <c r="CD20" s="1">
        <v>2.41E-2</v>
      </c>
      <c r="CE20" s="1">
        <v>2.5999999999999999E-2</v>
      </c>
      <c r="CF20" s="1">
        <v>2.01E-2</v>
      </c>
      <c r="CG20" s="1">
        <v>2.4899999999999999E-2</v>
      </c>
      <c r="CH20" s="1">
        <v>1.4E-2</v>
      </c>
      <c r="CI20" s="1">
        <v>6.1599999999999997E-3</v>
      </c>
      <c r="CJ20" s="1">
        <v>2.31E-3</v>
      </c>
      <c r="CK20" s="1">
        <v>1.6500000000000001E-2</v>
      </c>
      <c r="CL20" s="1">
        <v>1.9699999999999999E-2</v>
      </c>
      <c r="CM20" s="1">
        <v>7.6899999999999998E-3</v>
      </c>
      <c r="CN20" s="1">
        <v>1.8200000000000001E-2</v>
      </c>
      <c r="CO20" s="1">
        <v>9.8200000000000006E-3</v>
      </c>
      <c r="CP20" s="1">
        <v>1.38E-2</v>
      </c>
      <c r="CQ20" s="1">
        <v>2.63E-2</v>
      </c>
      <c r="CR20" s="1">
        <v>1.9900000000000001E-2</v>
      </c>
      <c r="CS20" s="1">
        <v>1.5299999999999999E-2</v>
      </c>
      <c r="CT20" s="1">
        <v>-6.6499999999999997E-3</v>
      </c>
      <c r="CU20" s="1">
        <v>1.6199999999999999E-2</v>
      </c>
      <c r="CV20" s="1">
        <v>1.52E-2</v>
      </c>
    </row>
    <row r="21" spans="1:100" x14ac:dyDescent="0.2">
      <c r="A21" t="s">
        <v>214</v>
      </c>
      <c r="B21" s="1">
        <v>3.6400000000000002E-2</v>
      </c>
      <c r="C21" s="1">
        <v>4.3700000000000003E-2</v>
      </c>
      <c r="D21" s="1">
        <v>2.6499999999999999E-2</v>
      </c>
      <c r="E21" s="1">
        <v>1.3899999999999999E-2</v>
      </c>
      <c r="F21" s="1">
        <v>4.0099999999999997E-2</v>
      </c>
      <c r="G21" s="1">
        <v>3.4099999999999998E-2</v>
      </c>
      <c r="H21" s="1">
        <v>2.7400000000000001E-2</v>
      </c>
      <c r="I21" s="1">
        <v>2.24E-2</v>
      </c>
      <c r="J21" s="1">
        <v>1.72E-2</v>
      </c>
      <c r="K21" s="1">
        <v>1.5699999999999999E-2</v>
      </c>
      <c r="L21" s="1">
        <v>1.2E-2</v>
      </c>
      <c r="M21" s="1">
        <v>1.2899999999999999E-3</v>
      </c>
      <c r="N21" s="1">
        <v>1.5800000000000002E-2</v>
      </c>
      <c r="O21" s="1">
        <v>1.3500000000000001E-3</v>
      </c>
      <c r="P21" s="1">
        <v>-2.7599999999999999E-3</v>
      </c>
      <c r="Q21" s="1">
        <v>-1.25E-4</v>
      </c>
      <c r="R21" s="1">
        <v>-1.91E-3</v>
      </c>
      <c r="S21" s="1">
        <v>1.47E-3</v>
      </c>
      <c r="T21" s="1">
        <v>-2.4599999999999999E-3</v>
      </c>
      <c r="U21" s="1">
        <v>-3.8999999999999998E-3</v>
      </c>
      <c r="V21" s="1">
        <v>-3.98E-3</v>
      </c>
      <c r="W21" s="1">
        <v>-5.3200000000000001E-3</v>
      </c>
      <c r="X21" s="1">
        <v>-7.8300000000000002E-3</v>
      </c>
      <c r="Y21" s="1">
        <v>-9.0799999999999995E-3</v>
      </c>
      <c r="Z21" s="1">
        <v>2.1099999999999999E-3</v>
      </c>
      <c r="AA21" s="1">
        <v>-3.4099999999999998E-3</v>
      </c>
      <c r="AB21" s="1">
        <v>-3.3700000000000002E-3</v>
      </c>
      <c r="AC21" s="1">
        <v>-5.7600000000000004E-3</v>
      </c>
      <c r="AD21" s="1">
        <v>4.2900000000000004E-3</v>
      </c>
      <c r="AE21" s="1">
        <v>-1.42E-3</v>
      </c>
      <c r="AF21" s="1">
        <v>-3.1E-4</v>
      </c>
      <c r="AG21" s="1">
        <v>-8.1599999999999999E-4</v>
      </c>
      <c r="AH21" s="1">
        <v>1.9799999999999999E-4</v>
      </c>
      <c r="AI21" s="1">
        <v>-3.6600000000000002E-5</v>
      </c>
      <c r="AJ21" s="1">
        <v>1.83E-4</v>
      </c>
      <c r="AK21" s="1">
        <v>-4.0699999999999998E-3</v>
      </c>
      <c r="AL21" s="1">
        <v>-2.1199999999999999E-3</v>
      </c>
      <c r="AM21" s="1">
        <v>-4.47E-3</v>
      </c>
      <c r="AN21" s="1">
        <v>3.7499999999999999E-3</v>
      </c>
      <c r="AO21" s="1">
        <v>4.4700000000000002E-4</v>
      </c>
      <c r="AP21" s="1">
        <v>6.6800000000000002E-3</v>
      </c>
      <c r="AQ21" s="1">
        <v>-3.47E-3</v>
      </c>
      <c r="AR21" s="1">
        <v>-2.98E-3</v>
      </c>
      <c r="AS21" s="1">
        <v>-3.7499999999999999E-3</v>
      </c>
      <c r="AT21" s="1">
        <v>6.4200000000000004E-3</v>
      </c>
      <c r="AU21" s="1">
        <v>6.0999999999999997E-4</v>
      </c>
      <c r="AV21" s="1">
        <v>3.2399999999999998E-3</v>
      </c>
      <c r="AW21" s="1">
        <v>3.86E-4</v>
      </c>
      <c r="AX21" s="1">
        <v>2.3999999999999998E-3</v>
      </c>
      <c r="AY21" s="1">
        <v>1.9499999999999999E-3</v>
      </c>
      <c r="AZ21" s="1">
        <v>1.49E-3</v>
      </c>
      <c r="BA21" s="1">
        <v>-7.4600000000000003E-4</v>
      </c>
      <c r="BB21" s="1">
        <v>5.4500000000000002E-4</v>
      </c>
      <c r="BC21" s="1">
        <v>-4.1399999999999996E-3</v>
      </c>
      <c r="BD21" s="1">
        <v>3.5699999999999998E-3</v>
      </c>
      <c r="BE21" s="1">
        <v>5.2499999999999997E-4</v>
      </c>
      <c r="BF21" s="1">
        <v>3.6700000000000001E-3</v>
      </c>
      <c r="BG21" s="1">
        <v>2.3600000000000001E-3</v>
      </c>
      <c r="BH21" s="1">
        <v>6.2500000000000003E-3</v>
      </c>
      <c r="BI21" s="1">
        <v>8.0000000000000004E-4</v>
      </c>
      <c r="BJ21" s="1">
        <v>2.8600000000000001E-3</v>
      </c>
      <c r="BK21" s="1">
        <v>9.6500000000000004E-4</v>
      </c>
      <c r="BL21" s="1">
        <v>1.7700000000000001E-3</v>
      </c>
      <c r="BM21" s="1">
        <v>2.4199999999999998E-3</v>
      </c>
      <c r="BN21" s="1">
        <v>3.7699999999999999E-3</v>
      </c>
      <c r="BO21" s="1">
        <v>-4.0699999999999998E-3</v>
      </c>
      <c r="BP21" s="1">
        <v>-9.8399999999999998E-3</v>
      </c>
      <c r="BQ21" s="1">
        <v>5.1400000000000003E-4</v>
      </c>
      <c r="BR21" s="1">
        <v>2.3999999999999998E-3</v>
      </c>
      <c r="BS21" s="1">
        <v>6.1900000000000002E-3</v>
      </c>
      <c r="BT21" s="1">
        <v>3.3999999999999998E-3</v>
      </c>
      <c r="BU21" s="1">
        <v>5.0499999999999998E-3</v>
      </c>
      <c r="BV21" s="1">
        <v>6.6299999999999996E-3</v>
      </c>
      <c r="BW21" s="1">
        <v>6.1000000000000004E-3</v>
      </c>
      <c r="BX21" s="1">
        <v>1.3999999999999999E-4</v>
      </c>
      <c r="BY21" s="1">
        <v>8.1399999999999997E-3</v>
      </c>
      <c r="BZ21" s="1">
        <v>-3.0300000000000001E-3</v>
      </c>
      <c r="CA21" s="1">
        <v>-5.4900000000000001E-3</v>
      </c>
      <c r="CB21" s="1">
        <v>1.03E-2</v>
      </c>
      <c r="CC21" s="1">
        <v>1.34E-2</v>
      </c>
      <c r="CD21" s="1">
        <v>-4.8999999999999998E-4</v>
      </c>
      <c r="CE21" s="1">
        <v>1.14E-2</v>
      </c>
      <c r="CF21" s="1">
        <v>4.2199999999999998E-3</v>
      </c>
      <c r="CG21" s="1">
        <v>1.3100000000000001E-2</v>
      </c>
      <c r="CH21" s="1">
        <v>1.01E-2</v>
      </c>
      <c r="CI21" s="1">
        <v>1.1299999999999999E-2</v>
      </c>
      <c r="CJ21" s="1">
        <v>2.0999999999999999E-3</v>
      </c>
      <c r="CK21" s="1">
        <v>1.77E-2</v>
      </c>
      <c r="CL21" s="1">
        <v>1.14E-2</v>
      </c>
      <c r="CM21" s="1">
        <v>1.5900000000000001E-2</v>
      </c>
      <c r="CN21" s="1">
        <v>1.03E-2</v>
      </c>
      <c r="CO21" s="1">
        <v>2.0799999999999999E-2</v>
      </c>
      <c r="CP21" s="1">
        <v>1.6899999999999998E-2</v>
      </c>
      <c r="CQ21" s="1">
        <v>1.2500000000000001E-2</v>
      </c>
      <c r="CR21" s="1">
        <v>2.9499999999999998E-2</v>
      </c>
      <c r="CS21" s="1">
        <v>3.8199999999999998E-2</v>
      </c>
      <c r="CT21" s="1">
        <v>3.15E-2</v>
      </c>
      <c r="CU21" s="1">
        <v>3.9199999999999999E-2</v>
      </c>
      <c r="CV21" s="1">
        <v>2.9000000000000001E-2</v>
      </c>
    </row>
    <row r="22" spans="1:100" x14ac:dyDescent="0.2">
      <c r="A22" t="s">
        <v>215</v>
      </c>
      <c r="B22" s="1">
        <v>-1.24E-2</v>
      </c>
      <c r="C22" s="1">
        <v>-0.113</v>
      </c>
      <c r="D22" s="1">
        <v>-6.3700000000000007E-2</v>
      </c>
      <c r="E22" s="1">
        <v>-2.6100000000000002E-2</v>
      </c>
      <c r="F22" s="1">
        <v>3.2199999999999999E-2</v>
      </c>
      <c r="G22" s="1">
        <v>4.1700000000000001E-2</v>
      </c>
      <c r="H22" s="1">
        <v>4.07E-2</v>
      </c>
      <c r="I22" s="1">
        <v>1.23E-2</v>
      </c>
      <c r="J22" s="1">
        <v>1.3599999999999999E-2</v>
      </c>
      <c r="K22" s="1">
        <v>1.15E-2</v>
      </c>
      <c r="L22" s="1">
        <v>2.6599999999999999E-2</v>
      </c>
      <c r="M22" s="1">
        <v>1.5100000000000001E-2</v>
      </c>
      <c r="N22" s="1">
        <v>2.4E-2</v>
      </c>
      <c r="O22" s="1">
        <v>2.0299999999999999E-2</v>
      </c>
      <c r="P22" s="1">
        <v>2.2499999999999999E-2</v>
      </c>
      <c r="Q22" s="1">
        <v>1.9599999999999999E-2</v>
      </c>
      <c r="R22" s="1">
        <v>1.9599999999999999E-2</v>
      </c>
      <c r="S22" s="1">
        <v>1.66E-2</v>
      </c>
      <c r="T22" s="1">
        <v>1.8100000000000002E-2</v>
      </c>
      <c r="U22" s="1">
        <v>1.7000000000000001E-2</v>
      </c>
      <c r="V22" s="1">
        <v>1.2500000000000001E-2</v>
      </c>
      <c r="W22" s="1">
        <v>1.2699999999999999E-2</v>
      </c>
      <c r="X22" s="1">
        <v>1.23E-2</v>
      </c>
      <c r="Y22" s="1">
        <v>1.18E-2</v>
      </c>
      <c r="Z22" s="1">
        <v>1.3299999999999999E-2</v>
      </c>
      <c r="AA22" s="1">
        <v>1.2999999999999999E-2</v>
      </c>
      <c r="AB22" s="1">
        <v>1.43E-2</v>
      </c>
      <c r="AC22" s="1">
        <v>1.4200000000000001E-2</v>
      </c>
      <c r="AD22" s="1">
        <v>1.35E-2</v>
      </c>
      <c r="AE22" s="1">
        <v>1.4E-2</v>
      </c>
      <c r="AF22" s="1">
        <v>1.7299999999999999E-2</v>
      </c>
      <c r="AG22" s="1">
        <v>1.77E-2</v>
      </c>
      <c r="AH22" s="1">
        <v>1.23E-2</v>
      </c>
      <c r="AI22" s="1">
        <v>1.64E-3</v>
      </c>
      <c r="AJ22" s="1">
        <v>3.47E-3</v>
      </c>
      <c r="AK22" s="1">
        <v>3.3300000000000001E-3</v>
      </c>
      <c r="AL22" s="1">
        <v>2.9199999999999999E-3</v>
      </c>
      <c r="AM22" s="1">
        <v>4.7600000000000003E-3</v>
      </c>
      <c r="AN22" s="1">
        <v>-3.0699999999999998E-3</v>
      </c>
      <c r="AO22" s="1">
        <v>-1.6800000000000001E-3</v>
      </c>
      <c r="AP22" s="1">
        <v>2.16E-3</v>
      </c>
      <c r="AQ22" s="1">
        <v>2.7799999999999999E-3</v>
      </c>
      <c r="AR22" s="1">
        <v>3.1099999999999999E-3</v>
      </c>
      <c r="AS22" s="1">
        <v>3.6800000000000001E-3</v>
      </c>
      <c r="AT22" s="1">
        <v>6.2100000000000002E-3</v>
      </c>
      <c r="AU22" s="1">
        <v>6.8100000000000001E-3</v>
      </c>
      <c r="AV22" s="1">
        <v>6.6E-3</v>
      </c>
      <c r="AW22" s="1">
        <v>6.4999999999999997E-3</v>
      </c>
      <c r="AX22" s="1">
        <v>9.0100000000000006E-3</v>
      </c>
      <c r="AY22" s="1">
        <v>1.24E-2</v>
      </c>
      <c r="AZ22" s="1">
        <v>1.17E-2</v>
      </c>
      <c r="BA22" s="1">
        <v>1.2699999999999999E-2</v>
      </c>
      <c r="BB22" s="1">
        <v>1.6199999999999999E-2</v>
      </c>
      <c r="BC22" s="1">
        <v>1.37E-2</v>
      </c>
      <c r="BD22" s="1">
        <v>1.66E-2</v>
      </c>
      <c r="BE22" s="1">
        <v>1.8599999999999998E-2</v>
      </c>
      <c r="BF22" s="1">
        <v>2.1399999999999999E-2</v>
      </c>
      <c r="BG22" s="1">
        <v>-1.0200000000000001E-2</v>
      </c>
      <c r="BH22" s="1">
        <v>-1.61E-2</v>
      </c>
      <c r="BI22" s="1">
        <v>-1.5100000000000001E-2</v>
      </c>
      <c r="BJ22" s="1">
        <v>-1.21E-2</v>
      </c>
      <c r="BK22" s="1">
        <v>-2.1299999999999999E-2</v>
      </c>
      <c r="BL22" s="1">
        <v>-2.4400000000000002E-2</v>
      </c>
      <c r="BM22" s="1">
        <v>-2.4400000000000002E-2</v>
      </c>
      <c r="BN22" s="1">
        <v>-2.0899999999999998E-2</v>
      </c>
      <c r="BO22" s="1">
        <v>-2.0899999999999998E-2</v>
      </c>
      <c r="BP22" s="1">
        <v>-2.0500000000000001E-2</v>
      </c>
      <c r="BQ22" s="1">
        <v>-1.55E-2</v>
      </c>
      <c r="BR22" s="1">
        <v>-1.7299999999999999E-2</v>
      </c>
      <c r="BS22" s="1">
        <v>-1.7100000000000001E-2</v>
      </c>
      <c r="BT22" s="1">
        <v>-1.8499999999999999E-2</v>
      </c>
      <c r="BU22" s="1">
        <v>-2.0500000000000001E-2</v>
      </c>
      <c r="BV22" s="1">
        <v>-2.1899999999999999E-2</v>
      </c>
      <c r="BW22" s="1">
        <v>-2.0899999999999998E-2</v>
      </c>
      <c r="BX22" s="1">
        <v>-1.7899999999999999E-2</v>
      </c>
      <c r="BY22" s="1">
        <v>-3.0500000000000002E-3</v>
      </c>
      <c r="BZ22" s="1">
        <v>-7.6100000000000007E-5</v>
      </c>
      <c r="CA22" s="1">
        <v>1.5900000000000001E-3</v>
      </c>
      <c r="CB22" s="1">
        <v>-5.9899999999999997E-3</v>
      </c>
      <c r="CC22" s="1">
        <v>-4.7999999999999996E-3</v>
      </c>
      <c r="CD22" s="1">
        <v>-2.7299999999999998E-3</v>
      </c>
      <c r="CE22" s="1">
        <v>-2.0200000000000001E-3</v>
      </c>
      <c r="CF22" s="1">
        <v>5.9100000000000005E-4</v>
      </c>
      <c r="CG22" s="1">
        <v>2.98E-3</v>
      </c>
      <c r="CH22" s="1">
        <v>-1.4999999999999999E-2</v>
      </c>
      <c r="CI22" s="1">
        <v>-8.0800000000000004E-3</v>
      </c>
      <c r="CJ22" s="1">
        <v>-3.2499999999999999E-3</v>
      </c>
      <c r="CK22" s="1">
        <v>-2.2599999999999999E-3</v>
      </c>
      <c r="CL22" s="1">
        <v>-6.4900000000000005E-5</v>
      </c>
      <c r="CM22" s="1">
        <v>5.3800000000000002E-3</v>
      </c>
      <c r="CN22" s="1">
        <v>6.6499999999999997E-3</v>
      </c>
      <c r="CO22" s="1">
        <v>9.7400000000000004E-3</v>
      </c>
      <c r="CP22" s="1">
        <v>1.78E-2</v>
      </c>
      <c r="CQ22" s="1">
        <v>1.83E-2</v>
      </c>
      <c r="CR22" s="1">
        <v>-7.3800000000000004E-2</v>
      </c>
      <c r="CS22" s="1">
        <v>-7.9000000000000001E-2</v>
      </c>
      <c r="CT22" s="1">
        <v>-6.6299999999999998E-2</v>
      </c>
      <c r="CU22" s="1">
        <v>-7.6499999999999999E-2</v>
      </c>
      <c r="CV22" s="1">
        <v>-7.5999999999999998E-2</v>
      </c>
    </row>
    <row r="23" spans="1:100" x14ac:dyDescent="0.2">
      <c r="A23" t="s">
        <v>216</v>
      </c>
      <c r="B23" s="1">
        <v>0.45200000000000001</v>
      </c>
      <c r="C23" s="1">
        <v>-0.14199999999999999</v>
      </c>
      <c r="D23" s="1">
        <v>-0.92800000000000005</v>
      </c>
      <c r="E23" s="1">
        <v>3.7900000000000003E-2</v>
      </c>
      <c r="F23" s="1">
        <v>-1.458</v>
      </c>
      <c r="G23" s="1">
        <v>-0.435</v>
      </c>
      <c r="H23" s="1">
        <v>-0.97</v>
      </c>
      <c r="I23" s="1">
        <v>-0.75600000000000001</v>
      </c>
      <c r="J23" s="1">
        <v>-0.53400000000000003</v>
      </c>
      <c r="K23" s="1">
        <v>-0.97699999999999998</v>
      </c>
      <c r="L23" s="1">
        <v>-1.0129999999999999</v>
      </c>
      <c r="M23" s="1">
        <v>-0.53200000000000003</v>
      </c>
      <c r="N23" s="1">
        <v>-0.71199999999999997</v>
      </c>
      <c r="O23" s="1">
        <v>-0.60199999999999998</v>
      </c>
      <c r="P23" s="1">
        <v>-0.46600000000000003</v>
      </c>
      <c r="Q23" s="1">
        <v>-0.378</v>
      </c>
      <c r="R23" s="1">
        <v>-0.26500000000000001</v>
      </c>
      <c r="S23" s="1">
        <v>-0.222</v>
      </c>
      <c r="T23" s="1">
        <v>-0.124</v>
      </c>
      <c r="U23" s="1">
        <v>-0.115</v>
      </c>
      <c r="V23" s="1">
        <v>-0.13200000000000001</v>
      </c>
      <c r="W23" s="1">
        <v>-6.0299999999999999E-2</v>
      </c>
      <c r="X23" s="1">
        <v>-9.2499999999999999E-2</v>
      </c>
      <c r="Y23" s="1">
        <v>-0.13700000000000001</v>
      </c>
      <c r="Z23" s="1">
        <v>-0.14899999999999999</v>
      </c>
      <c r="AA23" s="1">
        <v>-0.13400000000000001</v>
      </c>
      <c r="AB23" s="1">
        <v>-0.111</v>
      </c>
      <c r="AC23" s="1">
        <v>-0.115</v>
      </c>
      <c r="AD23" s="1">
        <v>-0.109</v>
      </c>
      <c r="AE23" s="1">
        <v>-9.98E-2</v>
      </c>
      <c r="AF23" s="1">
        <v>-0.122</v>
      </c>
      <c r="AG23" s="1">
        <v>-0.123</v>
      </c>
      <c r="AH23" s="1">
        <v>-0.12</v>
      </c>
      <c r="AI23" s="1">
        <v>-0.111</v>
      </c>
      <c r="AJ23" s="1">
        <v>-0.11600000000000001</v>
      </c>
      <c r="AK23" s="1">
        <v>-0.111</v>
      </c>
      <c r="AL23" s="1">
        <v>-0.11</v>
      </c>
      <c r="AM23" s="1">
        <v>-0.124</v>
      </c>
      <c r="AN23" s="1">
        <v>-0.185</v>
      </c>
      <c r="AO23" s="1">
        <v>-0.217</v>
      </c>
      <c r="AP23" s="1">
        <v>-0.219</v>
      </c>
      <c r="AQ23" s="1">
        <v>-0.184</v>
      </c>
      <c r="AR23" s="1">
        <v>-0.16600000000000001</v>
      </c>
      <c r="AS23" s="1">
        <v>-0.155</v>
      </c>
      <c r="AT23" s="1">
        <v>-0.14599999999999999</v>
      </c>
      <c r="AU23" s="1">
        <v>-0.114</v>
      </c>
      <c r="AV23" s="1">
        <v>-9.4399999999999998E-2</v>
      </c>
      <c r="AW23" s="1">
        <v>-6.7699999999999996E-2</v>
      </c>
      <c r="AX23" s="1">
        <v>-7.0400000000000004E-2</v>
      </c>
      <c r="AY23" s="1">
        <v>-4.6600000000000003E-2</v>
      </c>
      <c r="AZ23" s="1">
        <v>-7.6300000000000007E-2</v>
      </c>
      <c r="BA23" s="1">
        <v>-0.106</v>
      </c>
      <c r="BB23" s="1">
        <v>-0.128</v>
      </c>
      <c r="BC23" s="1">
        <v>-0.128</v>
      </c>
      <c r="BD23" s="1">
        <v>-0.128</v>
      </c>
      <c r="BE23" s="1">
        <v>-0.17199999999999999</v>
      </c>
      <c r="BF23" s="1">
        <v>-0.19</v>
      </c>
      <c r="BG23" s="1">
        <v>-0.158</v>
      </c>
      <c r="BH23" s="1">
        <v>-0.158</v>
      </c>
      <c r="BI23" s="1">
        <v>-0.153</v>
      </c>
      <c r="BJ23" s="1">
        <v>-0.128</v>
      </c>
      <c r="BK23" s="1">
        <v>-0.11700000000000001</v>
      </c>
      <c r="BL23" s="1">
        <v>-9.7799999999999998E-2</v>
      </c>
      <c r="BM23" s="1">
        <v>-5.7000000000000002E-2</v>
      </c>
      <c r="BN23" s="1">
        <v>-4.7600000000000003E-3</v>
      </c>
      <c r="BO23" s="1">
        <v>1.3500000000000001E-3</v>
      </c>
      <c r="BP23" s="1">
        <v>-1.17E-2</v>
      </c>
      <c r="BQ23" s="1">
        <v>-1.18E-2</v>
      </c>
      <c r="BR23" s="1">
        <v>1.3899999999999999E-2</v>
      </c>
      <c r="BS23" s="1">
        <v>-9.0299999999999998E-3</v>
      </c>
      <c r="BT23" s="1">
        <v>-0.16400000000000001</v>
      </c>
      <c r="BU23" s="1">
        <v>-0.20799999999999999</v>
      </c>
      <c r="BV23" s="1">
        <v>-0.183</v>
      </c>
      <c r="BW23" s="1">
        <v>-0.14699999999999999</v>
      </c>
      <c r="BX23" s="1">
        <v>-0.20499999999999999</v>
      </c>
      <c r="BY23" s="1">
        <v>-0.25</v>
      </c>
      <c r="BZ23" s="1">
        <v>-0.221</v>
      </c>
      <c r="CA23" s="1">
        <v>-0.21299999999999999</v>
      </c>
      <c r="CB23" s="1">
        <v>-0.106</v>
      </c>
      <c r="CC23" s="1">
        <v>0.13700000000000001</v>
      </c>
      <c r="CD23" s="1">
        <v>0.20699999999999999</v>
      </c>
      <c r="CE23" s="1">
        <v>0.124</v>
      </c>
      <c r="CF23" s="1">
        <v>-2.63E-2</v>
      </c>
      <c r="CG23" s="1">
        <v>-0.16500000000000001</v>
      </c>
      <c r="CH23" s="1">
        <v>-0.157</v>
      </c>
      <c r="CI23" s="1">
        <v>-7.6499999999999999E-2</v>
      </c>
      <c r="CJ23" s="1">
        <v>2.6499999999999999E-2</v>
      </c>
      <c r="CK23" s="1">
        <v>5.6000000000000001E-2</v>
      </c>
      <c r="CL23" s="1">
        <v>8.1500000000000003E-2</v>
      </c>
      <c r="CM23" s="1">
        <v>0.11</v>
      </c>
      <c r="CN23" s="1">
        <v>2.4099999999999998E-3</v>
      </c>
      <c r="CO23" s="1">
        <v>-3.1700000000000001E-3</v>
      </c>
      <c r="CP23" s="1">
        <v>-6.5500000000000003E-2</v>
      </c>
      <c r="CQ23" s="1">
        <v>-0.20899999999999999</v>
      </c>
      <c r="CR23" s="1">
        <v>4.1000000000000002E-2</v>
      </c>
      <c r="CS23" s="1">
        <v>0.14000000000000001</v>
      </c>
      <c r="CT23" s="1">
        <v>0.24399999999999999</v>
      </c>
      <c r="CU23" s="1">
        <v>2.87E-2</v>
      </c>
      <c r="CV23" s="1">
        <v>0.14299999999999999</v>
      </c>
    </row>
  </sheetData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23448-428C-1B49-9AF5-22A61CB83D46}">
  <sheetPr codeName="Planilha4"/>
  <dimension ref="A1:CV23"/>
  <sheetViews>
    <sheetView workbookViewId="0">
      <selection activeCell="CJ18" sqref="CJ18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0.19</v>
      </c>
      <c r="C2" s="1">
        <v>0.48399999999999999</v>
      </c>
      <c r="D2" s="1">
        <v>0.70499999999999996</v>
      </c>
      <c r="E2" s="1">
        <v>0.88800000000000001</v>
      </c>
      <c r="F2" s="1">
        <v>0.997</v>
      </c>
      <c r="G2" s="1">
        <v>1.111</v>
      </c>
      <c r="H2" s="1">
        <v>1.1970000000000001</v>
      </c>
      <c r="I2" s="1">
        <v>1.292</v>
      </c>
      <c r="J2" s="1">
        <v>1.3879999999999999</v>
      </c>
      <c r="K2" s="1">
        <v>1.4219999999999999</v>
      </c>
      <c r="L2" s="1">
        <v>1.492</v>
      </c>
      <c r="M2" s="1">
        <v>1.575</v>
      </c>
      <c r="N2" s="1">
        <v>1.583</v>
      </c>
      <c r="O2" s="1">
        <v>1.613</v>
      </c>
      <c r="P2" s="1">
        <v>1.647</v>
      </c>
      <c r="Q2" s="1">
        <v>1.6719999999999999</v>
      </c>
      <c r="R2" s="1">
        <v>1.704</v>
      </c>
      <c r="S2" s="1">
        <v>1.718</v>
      </c>
      <c r="T2" s="1">
        <v>1.744</v>
      </c>
      <c r="U2" s="1">
        <v>1.7509999999999999</v>
      </c>
      <c r="V2" s="1">
        <v>1.758</v>
      </c>
      <c r="W2" s="1">
        <v>1.7949999999999999</v>
      </c>
      <c r="X2" s="1">
        <v>1.802</v>
      </c>
      <c r="Y2" s="1">
        <v>1.8009999999999999</v>
      </c>
      <c r="Z2" s="1">
        <v>1.806</v>
      </c>
      <c r="AA2" s="1">
        <v>1.8109999999999999</v>
      </c>
      <c r="AB2" s="1">
        <v>1.839</v>
      </c>
      <c r="AC2" s="1">
        <v>1.8440000000000001</v>
      </c>
      <c r="AD2" s="1">
        <v>1.8520000000000001</v>
      </c>
      <c r="AE2" s="1">
        <v>1.86</v>
      </c>
      <c r="AF2" s="1">
        <v>1.881</v>
      </c>
      <c r="AG2" s="1">
        <v>1.889</v>
      </c>
      <c r="AH2" s="1">
        <v>1.895</v>
      </c>
      <c r="AI2" s="1">
        <v>1.9119999999999999</v>
      </c>
      <c r="AJ2" s="1">
        <v>1.95</v>
      </c>
      <c r="AK2" s="1">
        <v>1.9690000000000001</v>
      </c>
      <c r="AL2" s="1">
        <v>1.9810000000000001</v>
      </c>
      <c r="AM2" s="1">
        <v>1.9830000000000001</v>
      </c>
      <c r="AN2" s="1">
        <v>1.9890000000000001</v>
      </c>
      <c r="AO2" s="1">
        <v>2.008</v>
      </c>
      <c r="AP2" s="1">
        <v>2.028</v>
      </c>
      <c r="AQ2" s="1">
        <v>2.0470000000000002</v>
      </c>
      <c r="AR2" s="1">
        <v>2.0649999999999999</v>
      </c>
      <c r="AS2" s="1">
        <v>2.089</v>
      </c>
      <c r="AT2" s="1">
        <v>2.0950000000000002</v>
      </c>
      <c r="AU2" s="1">
        <v>2.1139999999999999</v>
      </c>
      <c r="AV2" s="1">
        <v>2.1160000000000001</v>
      </c>
      <c r="AW2" s="1">
        <v>2.137</v>
      </c>
      <c r="AX2" s="1">
        <v>2.1469999999999998</v>
      </c>
      <c r="AY2" s="1">
        <v>2.1760000000000002</v>
      </c>
      <c r="AZ2" s="1">
        <v>2.2029999999999998</v>
      </c>
      <c r="BA2" s="1">
        <v>2.2170000000000001</v>
      </c>
      <c r="BB2" s="1">
        <v>2.2090000000000001</v>
      </c>
      <c r="BC2" s="1">
        <v>2.2290000000000001</v>
      </c>
      <c r="BD2" s="1">
        <v>2.2679999999999998</v>
      </c>
      <c r="BE2" s="1">
        <v>2.2719999999999998</v>
      </c>
      <c r="BF2" s="1">
        <v>2.2919999999999998</v>
      </c>
      <c r="BG2" s="1">
        <v>2.3109999999999999</v>
      </c>
      <c r="BH2" s="1">
        <v>2.3180000000000001</v>
      </c>
      <c r="BI2" s="1">
        <v>2.3490000000000002</v>
      </c>
      <c r="BJ2" s="1">
        <v>2.39</v>
      </c>
      <c r="BK2" s="1">
        <v>2.4</v>
      </c>
      <c r="BL2" s="1">
        <v>2.4020000000000001</v>
      </c>
      <c r="BM2" s="1">
        <v>2.4359999999999999</v>
      </c>
      <c r="BN2" s="1">
        <v>2.4929999999999999</v>
      </c>
      <c r="BO2" s="1">
        <v>2.504</v>
      </c>
      <c r="BP2" s="1">
        <v>2.496</v>
      </c>
      <c r="BQ2" s="1">
        <v>2.5</v>
      </c>
      <c r="BR2" s="1">
        <v>2.5030000000000001</v>
      </c>
      <c r="BS2" s="1">
        <v>2.5379999999999998</v>
      </c>
      <c r="BT2" s="1">
        <v>2.5840000000000001</v>
      </c>
      <c r="BU2" s="1">
        <v>2.621</v>
      </c>
      <c r="BV2" s="1">
        <v>2.6389999999999998</v>
      </c>
      <c r="BW2" s="1">
        <v>2.6789999999999998</v>
      </c>
      <c r="BX2" s="1">
        <v>2.7170000000000001</v>
      </c>
      <c r="BY2" s="1">
        <v>2.7210000000000001</v>
      </c>
      <c r="BZ2" s="1">
        <v>2.7759999999999998</v>
      </c>
      <c r="CA2" s="1">
        <v>2.8039999999999998</v>
      </c>
      <c r="CB2" s="1">
        <v>2.8290000000000002</v>
      </c>
      <c r="CC2" s="1">
        <v>2.8959999999999999</v>
      </c>
      <c r="CD2" s="1">
        <v>2.899</v>
      </c>
      <c r="CE2" s="1">
        <v>2.91</v>
      </c>
      <c r="CF2" s="1">
        <v>2.9649999999999999</v>
      </c>
      <c r="CG2" s="1">
        <v>3.012</v>
      </c>
      <c r="CH2" s="1">
        <v>3.0640000000000001</v>
      </c>
      <c r="CI2" s="1">
        <v>3.1339999999999999</v>
      </c>
      <c r="CJ2" s="1">
        <v>3.2040000000000002</v>
      </c>
      <c r="CK2" s="1">
        <v>3.198</v>
      </c>
      <c r="CL2" s="1">
        <v>3.2719999999999998</v>
      </c>
      <c r="CM2" s="1">
        <v>3.335</v>
      </c>
      <c r="CN2" s="1">
        <v>3.4140000000000001</v>
      </c>
      <c r="CO2" s="1">
        <v>3.44</v>
      </c>
      <c r="CP2" s="1">
        <v>3.5590000000000002</v>
      </c>
      <c r="CQ2" s="1">
        <v>3.6520000000000001</v>
      </c>
      <c r="CR2" s="1">
        <v>3.76</v>
      </c>
      <c r="CS2" s="1">
        <v>3.887</v>
      </c>
      <c r="CT2" s="1">
        <v>4.1040000000000001</v>
      </c>
      <c r="CU2" s="1">
        <v>4.2880000000000003</v>
      </c>
      <c r="CV2" s="1">
        <v>4.609</v>
      </c>
    </row>
    <row r="3" spans="1:100" x14ac:dyDescent="0.2">
      <c r="A3" t="s">
        <v>204</v>
      </c>
      <c r="B3" s="1">
        <v>-7.6999999999999999E-2</v>
      </c>
      <c r="C3" s="1">
        <v>0.30599999999999999</v>
      </c>
      <c r="D3" s="1">
        <v>0.53600000000000003</v>
      </c>
      <c r="E3" s="1">
        <v>0.69099999999999995</v>
      </c>
      <c r="F3" s="1">
        <v>0.85599999999999998</v>
      </c>
      <c r="G3" s="1">
        <v>0.96299999999999997</v>
      </c>
      <c r="H3" s="1">
        <v>1.0529999999999999</v>
      </c>
      <c r="I3" s="1">
        <v>1.149</v>
      </c>
      <c r="J3" s="1">
        <v>1.22</v>
      </c>
      <c r="K3" s="1">
        <v>1.3089999999999999</v>
      </c>
      <c r="L3" s="1">
        <v>1.34</v>
      </c>
      <c r="M3" s="1">
        <v>1.389</v>
      </c>
      <c r="N3" s="1">
        <v>1.4359999999999999</v>
      </c>
      <c r="O3" s="1">
        <v>1.468</v>
      </c>
      <c r="P3" s="1">
        <v>1.5089999999999999</v>
      </c>
      <c r="Q3" s="1">
        <v>1.536</v>
      </c>
      <c r="R3" s="1">
        <v>1.5549999999999999</v>
      </c>
      <c r="S3" s="1">
        <v>1.5680000000000001</v>
      </c>
      <c r="T3" s="1">
        <v>1.59</v>
      </c>
      <c r="U3" s="1">
        <v>1.6060000000000001</v>
      </c>
      <c r="V3" s="1">
        <v>1.627</v>
      </c>
      <c r="W3" s="1">
        <v>1.641</v>
      </c>
      <c r="X3" s="1">
        <v>1.653</v>
      </c>
      <c r="Y3" s="1">
        <v>1.671</v>
      </c>
      <c r="Z3" s="1">
        <v>1.6850000000000001</v>
      </c>
      <c r="AA3" s="1">
        <v>1.7050000000000001</v>
      </c>
      <c r="AB3" s="1">
        <v>1.7210000000000001</v>
      </c>
      <c r="AC3" s="1">
        <v>1.736</v>
      </c>
      <c r="AD3" s="1">
        <v>1.7470000000000001</v>
      </c>
      <c r="AE3" s="1">
        <v>1.756</v>
      </c>
      <c r="AF3" s="1">
        <v>1.7669999999999999</v>
      </c>
      <c r="AG3" s="1">
        <v>1.7769999999999999</v>
      </c>
      <c r="AH3" s="1">
        <v>1.7869999999999999</v>
      </c>
      <c r="AI3" s="1">
        <v>1.81</v>
      </c>
      <c r="AJ3" s="1">
        <v>1.825</v>
      </c>
      <c r="AK3" s="1">
        <v>1.8380000000000001</v>
      </c>
      <c r="AL3" s="1">
        <v>1.8540000000000001</v>
      </c>
      <c r="AM3" s="1">
        <v>1.87</v>
      </c>
      <c r="AN3" s="1">
        <v>1.8879999999999999</v>
      </c>
      <c r="AO3" s="1">
        <v>1.899</v>
      </c>
      <c r="AP3" s="1">
        <v>1.9139999999999999</v>
      </c>
      <c r="AQ3" s="1">
        <v>1.93</v>
      </c>
      <c r="AR3" s="1">
        <v>1.952</v>
      </c>
      <c r="AS3" s="1">
        <v>1.9690000000000001</v>
      </c>
      <c r="AT3" s="1">
        <v>1.9930000000000001</v>
      </c>
      <c r="AU3" s="1">
        <v>2.0099999999999998</v>
      </c>
      <c r="AV3" s="1">
        <v>2.028</v>
      </c>
      <c r="AW3" s="1">
        <v>2.0299999999999998</v>
      </c>
      <c r="AX3" s="1">
        <v>2.0390000000000001</v>
      </c>
      <c r="AY3" s="1">
        <v>2.0579999999999998</v>
      </c>
      <c r="AZ3" s="1">
        <v>2.0699999999999998</v>
      </c>
      <c r="BA3" s="1">
        <v>2.093</v>
      </c>
      <c r="BB3" s="1">
        <v>2.1179999999999999</v>
      </c>
      <c r="BC3" s="1">
        <v>2.1379999999999999</v>
      </c>
      <c r="BD3" s="1">
        <v>2.15</v>
      </c>
      <c r="BE3" s="1">
        <v>2.17</v>
      </c>
      <c r="BF3" s="1">
        <v>2.2010000000000001</v>
      </c>
      <c r="BG3" s="1">
        <v>2.2240000000000002</v>
      </c>
      <c r="BH3" s="1">
        <v>2.2450000000000001</v>
      </c>
      <c r="BI3" s="1">
        <v>2.246</v>
      </c>
      <c r="BJ3" s="1">
        <v>2.2589999999999999</v>
      </c>
      <c r="BK3" s="1">
        <v>2.2850000000000001</v>
      </c>
      <c r="BL3" s="1">
        <v>2.3109999999999999</v>
      </c>
      <c r="BM3" s="1">
        <v>2.3290000000000002</v>
      </c>
      <c r="BN3" s="1">
        <v>2.3479999999999999</v>
      </c>
      <c r="BO3" s="1">
        <v>2.3860000000000001</v>
      </c>
      <c r="BP3" s="1">
        <v>2.4140000000000001</v>
      </c>
      <c r="BQ3" s="1">
        <v>2.4369999999999998</v>
      </c>
      <c r="BR3" s="1">
        <v>2.4409999999999998</v>
      </c>
      <c r="BS3" s="1">
        <v>2.468</v>
      </c>
      <c r="BT3" s="1">
        <v>2.5030000000000001</v>
      </c>
      <c r="BU3" s="1">
        <v>2.5310000000000001</v>
      </c>
      <c r="BV3" s="1">
        <v>2.5499999999999998</v>
      </c>
      <c r="BW3" s="1">
        <v>2.5859999999999999</v>
      </c>
      <c r="BX3" s="1">
        <v>2.6269999999999998</v>
      </c>
      <c r="BY3" s="1">
        <v>2.66</v>
      </c>
      <c r="BZ3" s="1">
        <v>2.6669999999999998</v>
      </c>
      <c r="CA3" s="1">
        <v>2.7189999999999999</v>
      </c>
      <c r="CB3" s="1">
        <v>2.7490000000000001</v>
      </c>
      <c r="CC3" s="1">
        <v>2.7810000000000001</v>
      </c>
      <c r="CD3" s="1">
        <v>2.8330000000000002</v>
      </c>
      <c r="CE3" s="1">
        <v>2.8690000000000002</v>
      </c>
      <c r="CF3" s="1">
        <v>2.9329999999999998</v>
      </c>
      <c r="CG3" s="1">
        <v>2.9420000000000002</v>
      </c>
      <c r="CH3" s="1">
        <v>2.9780000000000002</v>
      </c>
      <c r="CI3" s="1">
        <v>3.0419999999999998</v>
      </c>
      <c r="CJ3" s="1">
        <v>3.117</v>
      </c>
      <c r="CK3" s="1">
        <v>3.1720000000000002</v>
      </c>
      <c r="CL3" s="1">
        <v>3.222</v>
      </c>
      <c r="CM3" s="1">
        <v>3.2970000000000002</v>
      </c>
      <c r="CN3" s="1">
        <v>3.3460000000000001</v>
      </c>
      <c r="CO3" s="1">
        <v>3.4289999999999998</v>
      </c>
      <c r="CP3" s="1">
        <v>3.5230000000000001</v>
      </c>
      <c r="CQ3" s="1">
        <v>3.6509999999999998</v>
      </c>
      <c r="CR3" s="1">
        <v>3.7469999999999999</v>
      </c>
      <c r="CS3" s="1">
        <v>3.8639999999999999</v>
      </c>
      <c r="CT3" s="1">
        <v>4.0410000000000004</v>
      </c>
      <c r="CU3" s="1">
        <v>4.2939999999999996</v>
      </c>
      <c r="CV3" s="1">
        <v>4.609</v>
      </c>
    </row>
    <row r="4" spans="1:100" x14ac:dyDescent="0.2">
      <c r="A4" t="s">
        <v>205</v>
      </c>
      <c r="B4" s="1">
        <v>0.26700000000000002</v>
      </c>
      <c r="C4" s="1">
        <v>0.17799999999999999</v>
      </c>
      <c r="D4" s="1">
        <v>0.16900000000000001</v>
      </c>
      <c r="E4" s="1">
        <v>0.19700000000000001</v>
      </c>
      <c r="F4" s="1">
        <v>0.14099999999999999</v>
      </c>
      <c r="G4" s="1">
        <v>0.14899999999999999</v>
      </c>
      <c r="H4" s="1">
        <v>0.14499999999999999</v>
      </c>
      <c r="I4" s="1">
        <v>0.14299999999999999</v>
      </c>
      <c r="J4" s="1">
        <v>0.16700000000000001</v>
      </c>
      <c r="K4" s="1">
        <v>0.113</v>
      </c>
      <c r="L4" s="1">
        <v>0.152</v>
      </c>
      <c r="M4" s="1">
        <v>0.186</v>
      </c>
      <c r="N4" s="1">
        <v>0.14799999999999999</v>
      </c>
      <c r="O4" s="1">
        <v>0.14599999999999999</v>
      </c>
      <c r="P4" s="1">
        <v>0.13700000000000001</v>
      </c>
      <c r="Q4" s="1">
        <v>0.13600000000000001</v>
      </c>
      <c r="R4" s="1">
        <v>0.15</v>
      </c>
      <c r="S4" s="1">
        <v>0.15</v>
      </c>
      <c r="T4" s="1">
        <v>0.154</v>
      </c>
      <c r="U4" s="1">
        <v>0.14599999999999999</v>
      </c>
      <c r="V4" s="1">
        <v>0.13100000000000001</v>
      </c>
      <c r="W4" s="1">
        <v>0.154</v>
      </c>
      <c r="X4" s="1">
        <v>0.14899999999999999</v>
      </c>
      <c r="Y4" s="1">
        <v>0.13100000000000001</v>
      </c>
      <c r="Z4" s="1">
        <v>0.121</v>
      </c>
      <c r="AA4" s="1">
        <v>0.105</v>
      </c>
      <c r="AB4" s="1">
        <v>0.11799999999999999</v>
      </c>
      <c r="AC4" s="1">
        <v>0.108</v>
      </c>
      <c r="AD4" s="1">
        <v>0.105</v>
      </c>
      <c r="AE4" s="1">
        <v>0.104</v>
      </c>
      <c r="AF4" s="1">
        <v>0.114</v>
      </c>
      <c r="AG4" s="1">
        <v>0.112</v>
      </c>
      <c r="AH4" s="1">
        <v>0.108</v>
      </c>
      <c r="AI4" s="1">
        <v>0.10199999999999999</v>
      </c>
      <c r="AJ4" s="1">
        <v>0.125</v>
      </c>
      <c r="AK4" s="1">
        <v>0.13100000000000001</v>
      </c>
      <c r="AL4" s="1">
        <v>0.127</v>
      </c>
      <c r="AM4" s="1">
        <v>0.113</v>
      </c>
      <c r="AN4" s="1">
        <v>0.10100000000000001</v>
      </c>
      <c r="AO4" s="1">
        <v>0.11</v>
      </c>
      <c r="AP4" s="1">
        <v>0.115</v>
      </c>
      <c r="AQ4" s="1">
        <v>0.11700000000000001</v>
      </c>
      <c r="AR4" s="1">
        <v>0.113</v>
      </c>
      <c r="AS4" s="1">
        <v>0.12</v>
      </c>
      <c r="AT4" s="1">
        <v>0.10199999999999999</v>
      </c>
      <c r="AU4" s="1">
        <v>0.104</v>
      </c>
      <c r="AV4" s="1">
        <v>8.8200000000000001E-2</v>
      </c>
      <c r="AW4" s="1">
        <v>0.107</v>
      </c>
      <c r="AX4" s="1">
        <v>0.108</v>
      </c>
      <c r="AY4" s="1">
        <v>0.11700000000000001</v>
      </c>
      <c r="AZ4" s="1">
        <v>0.13300000000000001</v>
      </c>
      <c r="BA4" s="1">
        <v>0.124</v>
      </c>
      <c r="BB4" s="1">
        <v>9.11E-2</v>
      </c>
      <c r="BC4" s="1">
        <v>9.1600000000000001E-2</v>
      </c>
      <c r="BD4" s="1">
        <v>0.11799999999999999</v>
      </c>
      <c r="BE4" s="1">
        <v>0.10199999999999999</v>
      </c>
      <c r="BF4" s="1">
        <v>9.0700000000000003E-2</v>
      </c>
      <c r="BG4" s="1">
        <v>8.6599999999999996E-2</v>
      </c>
      <c r="BH4" s="1">
        <v>7.3599999999999999E-2</v>
      </c>
      <c r="BI4" s="1">
        <v>0.10299999999999999</v>
      </c>
      <c r="BJ4" s="1">
        <v>0.13</v>
      </c>
      <c r="BK4" s="1">
        <v>0.115</v>
      </c>
      <c r="BL4" s="1">
        <v>9.0999999999999998E-2</v>
      </c>
      <c r="BM4" s="1">
        <v>0.108</v>
      </c>
      <c r="BN4" s="1">
        <v>0.14399999999999999</v>
      </c>
      <c r="BO4" s="1">
        <v>0.11799999999999999</v>
      </c>
      <c r="BP4" s="1">
        <v>8.1199999999999994E-2</v>
      </c>
      <c r="BQ4" s="1">
        <v>6.2700000000000006E-2</v>
      </c>
      <c r="BR4" s="1">
        <v>6.1400000000000003E-2</v>
      </c>
      <c r="BS4" s="1">
        <v>6.9800000000000001E-2</v>
      </c>
      <c r="BT4" s="1">
        <v>8.0199999999999994E-2</v>
      </c>
      <c r="BU4" s="1">
        <v>9.0399999999999994E-2</v>
      </c>
      <c r="BV4" s="1">
        <v>8.9499999999999996E-2</v>
      </c>
      <c r="BW4" s="1">
        <v>9.3299999999999994E-2</v>
      </c>
      <c r="BX4" s="1">
        <v>9.0300000000000005E-2</v>
      </c>
      <c r="BY4" s="1">
        <v>6.0999999999999999E-2</v>
      </c>
      <c r="BZ4" s="1">
        <v>0.109</v>
      </c>
      <c r="CA4" s="1">
        <v>8.5699999999999998E-2</v>
      </c>
      <c r="CB4" s="1">
        <v>8.0299999999999996E-2</v>
      </c>
      <c r="CC4" s="1">
        <v>0.114</v>
      </c>
      <c r="CD4" s="1">
        <v>6.6900000000000001E-2</v>
      </c>
      <c r="CE4" s="1">
        <v>4.1399999999999999E-2</v>
      </c>
      <c r="CF4" s="1">
        <v>3.1399999999999997E-2</v>
      </c>
      <c r="CG4" s="1">
        <v>7.0499999999999993E-2</v>
      </c>
      <c r="CH4" s="1">
        <v>8.6099999999999996E-2</v>
      </c>
      <c r="CI4" s="1">
        <v>9.1800000000000007E-2</v>
      </c>
      <c r="CJ4" s="1">
        <v>8.6800000000000002E-2</v>
      </c>
      <c r="CK4" s="1">
        <v>2.64E-2</v>
      </c>
      <c r="CL4" s="1">
        <v>4.9099999999999998E-2</v>
      </c>
      <c r="CM4" s="1">
        <v>3.8399999999999997E-2</v>
      </c>
      <c r="CN4" s="1">
        <v>6.8099999999999994E-2</v>
      </c>
      <c r="CO4" s="1">
        <v>1.12E-2</v>
      </c>
      <c r="CP4" s="1">
        <v>3.5900000000000001E-2</v>
      </c>
      <c r="CQ4" s="1">
        <v>1.3699999999999999E-3</v>
      </c>
      <c r="CR4" s="1">
        <v>1.3100000000000001E-2</v>
      </c>
      <c r="CS4" s="1">
        <v>2.2499999999999999E-2</v>
      </c>
      <c r="CT4" s="1">
        <v>6.3299999999999995E-2</v>
      </c>
      <c r="CU4" s="1">
        <v>-5.1200000000000004E-3</v>
      </c>
      <c r="CV4" s="1">
        <v>-2.2900000000000001E-4</v>
      </c>
    </row>
    <row r="5" spans="1:100" x14ac:dyDescent="0.2">
      <c r="A5" t="s">
        <v>206</v>
      </c>
      <c r="B5" s="1">
        <v>8.0299999999999996E-2</v>
      </c>
      <c r="C5" s="1">
        <v>0.109</v>
      </c>
      <c r="D5" s="1">
        <v>0.106</v>
      </c>
      <c r="E5" s="1">
        <v>0.105</v>
      </c>
      <c r="F5" s="1">
        <v>9.7500000000000003E-2</v>
      </c>
      <c r="G5" s="1">
        <v>0.10299999999999999</v>
      </c>
      <c r="H5" s="1">
        <v>9.9299999999999999E-2</v>
      </c>
      <c r="I5" s="1">
        <v>9.1700000000000004E-2</v>
      </c>
      <c r="J5" s="1">
        <v>9.3799999999999994E-2</v>
      </c>
      <c r="K5" s="1">
        <v>7.6200000000000004E-2</v>
      </c>
      <c r="L5" s="1">
        <v>7.4200000000000002E-2</v>
      </c>
      <c r="M5" s="1">
        <v>7.0300000000000001E-2</v>
      </c>
      <c r="N5" s="1">
        <v>6.4899999999999999E-2</v>
      </c>
      <c r="O5" s="1">
        <v>6.0499999999999998E-2</v>
      </c>
      <c r="P5" s="1">
        <v>5.2200000000000003E-2</v>
      </c>
      <c r="Q5" s="1">
        <v>4.87E-2</v>
      </c>
      <c r="R5" s="1">
        <v>4.7199999999999999E-2</v>
      </c>
      <c r="S5" s="1">
        <v>4.7399999999999998E-2</v>
      </c>
      <c r="T5" s="1">
        <v>4.6800000000000001E-2</v>
      </c>
      <c r="U5" s="1">
        <v>4.7500000000000001E-2</v>
      </c>
      <c r="V5" s="1">
        <v>4.7600000000000003E-2</v>
      </c>
      <c r="W5" s="1">
        <v>4.8800000000000003E-2</v>
      </c>
      <c r="X5" s="1">
        <v>5.0200000000000002E-2</v>
      </c>
      <c r="Y5" s="1">
        <v>5.16E-2</v>
      </c>
      <c r="Z5" s="1">
        <v>5.2999999999999999E-2</v>
      </c>
      <c r="AA5" s="1">
        <v>5.3400000000000003E-2</v>
      </c>
      <c r="AB5" s="1">
        <v>5.3999999999999999E-2</v>
      </c>
      <c r="AC5" s="1">
        <v>5.4899999999999997E-2</v>
      </c>
      <c r="AD5" s="1">
        <v>5.67E-2</v>
      </c>
      <c r="AE5" s="1">
        <v>5.8799999999999998E-2</v>
      </c>
      <c r="AF5" s="1">
        <v>6.0999999999999999E-2</v>
      </c>
      <c r="AG5" s="1">
        <v>6.3700000000000007E-2</v>
      </c>
      <c r="AH5" s="1">
        <v>6.6199999999999995E-2</v>
      </c>
      <c r="AI5" s="1">
        <v>6.9699999999999998E-2</v>
      </c>
      <c r="AJ5" s="1">
        <v>7.2800000000000004E-2</v>
      </c>
      <c r="AK5" s="1">
        <v>7.5200000000000003E-2</v>
      </c>
      <c r="AL5" s="1">
        <v>7.7899999999999997E-2</v>
      </c>
      <c r="AM5" s="1">
        <v>8.2000000000000003E-2</v>
      </c>
      <c r="AN5" s="1">
        <v>8.5099999999999995E-2</v>
      </c>
      <c r="AO5" s="1">
        <v>8.8900000000000007E-2</v>
      </c>
      <c r="AP5" s="1">
        <v>9.1499999999999998E-2</v>
      </c>
      <c r="AQ5" s="1">
        <v>9.4600000000000004E-2</v>
      </c>
      <c r="AR5" s="1">
        <v>9.7100000000000006E-2</v>
      </c>
      <c r="AS5" s="1">
        <v>9.8400000000000001E-2</v>
      </c>
      <c r="AT5" s="1">
        <v>9.9299999999999999E-2</v>
      </c>
      <c r="AU5" s="1">
        <v>9.9900000000000003E-2</v>
      </c>
      <c r="AV5" s="1">
        <v>0.10100000000000001</v>
      </c>
      <c r="AW5" s="1">
        <v>0.104</v>
      </c>
      <c r="AX5" s="1">
        <v>0.105</v>
      </c>
      <c r="AY5" s="1">
        <v>0.109</v>
      </c>
      <c r="AZ5" s="1">
        <v>0.112</v>
      </c>
      <c r="BA5" s="1">
        <v>0.11899999999999999</v>
      </c>
      <c r="BB5" s="1">
        <v>0.126</v>
      </c>
      <c r="BC5" s="1">
        <v>0.13200000000000001</v>
      </c>
      <c r="BD5" s="1">
        <v>0.13500000000000001</v>
      </c>
      <c r="BE5" s="1">
        <v>0.13800000000000001</v>
      </c>
      <c r="BF5" s="1">
        <v>0.13700000000000001</v>
      </c>
      <c r="BG5" s="1">
        <v>0.13600000000000001</v>
      </c>
      <c r="BH5" s="1">
        <v>0.13700000000000001</v>
      </c>
      <c r="BI5" s="1">
        <v>0.13700000000000001</v>
      </c>
      <c r="BJ5" s="1">
        <v>0.13900000000000001</v>
      </c>
      <c r="BK5" s="1">
        <v>0.14399999999999999</v>
      </c>
      <c r="BL5" s="1">
        <v>0.151</v>
      </c>
      <c r="BM5" s="1">
        <v>0.156</v>
      </c>
      <c r="BN5" s="1">
        <v>0.161</v>
      </c>
      <c r="BO5" s="1">
        <v>0.16500000000000001</v>
      </c>
      <c r="BP5" s="1">
        <v>0.16500000000000001</v>
      </c>
      <c r="BQ5" s="1">
        <v>0.16500000000000001</v>
      </c>
      <c r="BR5" s="1">
        <v>0.16700000000000001</v>
      </c>
      <c r="BS5" s="1">
        <v>0.17100000000000001</v>
      </c>
      <c r="BT5" s="1">
        <v>0.182</v>
      </c>
      <c r="BU5" s="1">
        <v>0.191</v>
      </c>
      <c r="BV5" s="1">
        <v>0.19600000000000001</v>
      </c>
      <c r="BW5" s="1">
        <v>0.20300000000000001</v>
      </c>
      <c r="BX5" s="1">
        <v>0.20200000000000001</v>
      </c>
      <c r="BY5" s="1">
        <v>0.20100000000000001</v>
      </c>
      <c r="BZ5" s="1">
        <v>0.2</v>
      </c>
      <c r="CA5" s="1">
        <v>0.21</v>
      </c>
      <c r="CB5" s="1">
        <v>0.222</v>
      </c>
      <c r="CC5" s="1">
        <v>0.23100000000000001</v>
      </c>
      <c r="CD5" s="1">
        <v>0.24</v>
      </c>
      <c r="CE5" s="1">
        <v>0.23</v>
      </c>
      <c r="CF5" s="1">
        <v>0.216</v>
      </c>
      <c r="CG5" s="1">
        <v>0.21099999999999999</v>
      </c>
      <c r="CH5" s="1">
        <v>0.221</v>
      </c>
      <c r="CI5" s="1">
        <v>0.27100000000000002</v>
      </c>
      <c r="CJ5" s="1">
        <v>0.26600000000000001</v>
      </c>
      <c r="CK5" s="1">
        <v>0.252</v>
      </c>
      <c r="CL5" s="1">
        <v>0.25900000000000001</v>
      </c>
      <c r="CM5" s="1">
        <v>0.25700000000000001</v>
      </c>
      <c r="CN5" s="1">
        <v>0.23799999999999999</v>
      </c>
      <c r="CO5" s="1">
        <v>0.27</v>
      </c>
      <c r="CP5" s="1">
        <v>0.29599999999999999</v>
      </c>
      <c r="CQ5" s="1">
        <v>0.25700000000000001</v>
      </c>
      <c r="CR5" s="1">
        <v>0.28999999999999998</v>
      </c>
      <c r="CS5" s="1">
        <v>0.22700000000000001</v>
      </c>
      <c r="CT5" s="1">
        <v>0.26100000000000001</v>
      </c>
      <c r="CU5" s="1">
        <v>0.25</v>
      </c>
      <c r="CV5" s="1">
        <v>0.22</v>
      </c>
    </row>
    <row r="6" spans="1:100" x14ac:dyDescent="0.2">
      <c r="A6" t="s">
        <v>207</v>
      </c>
      <c r="B6" s="1">
        <v>0.187</v>
      </c>
      <c r="C6" s="1">
        <v>6.9400000000000003E-2</v>
      </c>
      <c r="D6" s="1">
        <v>6.2300000000000001E-2</v>
      </c>
      <c r="E6" s="1">
        <v>9.2299999999999993E-2</v>
      </c>
      <c r="F6" s="1">
        <v>4.3200000000000002E-2</v>
      </c>
      <c r="G6" s="1">
        <v>4.5699999999999998E-2</v>
      </c>
      <c r="H6" s="1">
        <v>4.53E-2</v>
      </c>
      <c r="I6" s="1">
        <v>5.1700000000000003E-2</v>
      </c>
      <c r="J6" s="1">
        <v>7.3300000000000004E-2</v>
      </c>
      <c r="K6" s="1">
        <v>3.6900000000000002E-2</v>
      </c>
      <c r="L6" s="1">
        <v>7.8E-2</v>
      </c>
      <c r="M6" s="1">
        <v>0.11600000000000001</v>
      </c>
      <c r="N6" s="1">
        <v>8.2900000000000001E-2</v>
      </c>
      <c r="O6" s="1">
        <v>8.5199999999999998E-2</v>
      </c>
      <c r="P6" s="1">
        <v>8.5099999999999995E-2</v>
      </c>
      <c r="Q6" s="1">
        <v>8.7300000000000003E-2</v>
      </c>
      <c r="R6" s="1">
        <v>0.10199999999999999</v>
      </c>
      <c r="S6" s="1">
        <v>0.10199999999999999</v>
      </c>
      <c r="T6" s="1">
        <v>0.107</v>
      </c>
      <c r="U6" s="1">
        <v>9.8299999999999998E-2</v>
      </c>
      <c r="V6" s="1">
        <v>8.3699999999999997E-2</v>
      </c>
      <c r="W6" s="1">
        <v>0.106</v>
      </c>
      <c r="X6" s="1">
        <v>9.8500000000000004E-2</v>
      </c>
      <c r="Y6" s="1">
        <v>7.8899999999999998E-2</v>
      </c>
      <c r="Z6" s="1">
        <v>6.7900000000000002E-2</v>
      </c>
      <c r="AA6" s="1">
        <v>5.21E-2</v>
      </c>
      <c r="AB6" s="1">
        <v>6.3899999999999998E-2</v>
      </c>
      <c r="AC6" s="1">
        <v>5.2600000000000001E-2</v>
      </c>
      <c r="AD6" s="1">
        <v>4.82E-2</v>
      </c>
      <c r="AE6" s="1">
        <v>4.4999999999999998E-2</v>
      </c>
      <c r="AF6" s="1">
        <v>5.2499999999999998E-2</v>
      </c>
      <c r="AG6" s="1">
        <v>4.8000000000000001E-2</v>
      </c>
      <c r="AH6" s="1">
        <v>4.1399999999999999E-2</v>
      </c>
      <c r="AI6" s="1">
        <v>3.2199999999999999E-2</v>
      </c>
      <c r="AJ6" s="1">
        <v>5.2200000000000003E-2</v>
      </c>
      <c r="AK6" s="1">
        <v>5.57E-2</v>
      </c>
      <c r="AL6" s="1">
        <v>4.9099999999999998E-2</v>
      </c>
      <c r="AM6" s="1">
        <v>3.09E-2</v>
      </c>
      <c r="AN6" s="1">
        <v>1.6299999999999999E-2</v>
      </c>
      <c r="AO6" s="1">
        <v>2.1000000000000001E-2</v>
      </c>
      <c r="AP6" s="1">
        <v>2.3199999999999998E-2</v>
      </c>
      <c r="AQ6" s="1">
        <v>2.1899999999999999E-2</v>
      </c>
      <c r="AR6" s="1">
        <v>1.5699999999999999E-2</v>
      </c>
      <c r="AS6" s="1">
        <v>2.1499999999999998E-2</v>
      </c>
      <c r="AT6" s="1">
        <v>2.2599999999999999E-3</v>
      </c>
      <c r="AU6" s="1">
        <v>4.0000000000000001E-3</v>
      </c>
      <c r="AV6" s="1">
        <v>-1.2500000000000001E-2</v>
      </c>
      <c r="AW6" s="1">
        <v>2.7200000000000002E-3</v>
      </c>
      <c r="AX6" s="1">
        <v>3.2100000000000002E-3</v>
      </c>
      <c r="AY6" s="1">
        <v>7.8799999999999999E-3</v>
      </c>
      <c r="AZ6" s="1">
        <v>2.0799999999999999E-2</v>
      </c>
      <c r="BA6" s="1">
        <v>4.7099999999999998E-3</v>
      </c>
      <c r="BB6" s="1">
        <v>-3.5400000000000001E-2</v>
      </c>
      <c r="BC6" s="1">
        <v>-0.04</v>
      </c>
      <c r="BD6" s="1">
        <v>-1.7100000000000001E-2</v>
      </c>
      <c r="BE6" s="1">
        <v>-3.5499999999999997E-2</v>
      </c>
      <c r="BF6" s="1">
        <v>-4.65E-2</v>
      </c>
      <c r="BG6" s="1">
        <v>-4.9700000000000001E-2</v>
      </c>
      <c r="BH6" s="1">
        <v>-6.2899999999999998E-2</v>
      </c>
      <c r="BI6" s="1">
        <v>-3.4500000000000003E-2</v>
      </c>
      <c r="BJ6" s="1">
        <v>-8.5400000000000007E-3</v>
      </c>
      <c r="BK6" s="1">
        <v>-2.86E-2</v>
      </c>
      <c r="BL6" s="1">
        <v>-5.9700000000000003E-2</v>
      </c>
      <c r="BM6" s="1">
        <v>-4.87E-2</v>
      </c>
      <c r="BN6" s="1">
        <v>-1.6899999999999998E-2</v>
      </c>
      <c r="BO6" s="1">
        <v>-4.7100000000000003E-2</v>
      </c>
      <c r="BP6" s="1">
        <v>-8.3699999999999997E-2</v>
      </c>
      <c r="BQ6" s="1">
        <v>-0.10299999999999999</v>
      </c>
      <c r="BR6" s="1">
        <v>-0.105</v>
      </c>
      <c r="BS6" s="1">
        <v>-0.10100000000000001</v>
      </c>
      <c r="BT6" s="1">
        <v>-0.10100000000000001</v>
      </c>
      <c r="BU6" s="1">
        <v>-0.10100000000000001</v>
      </c>
      <c r="BV6" s="1">
        <v>-0.106</v>
      </c>
      <c r="BW6" s="1">
        <v>-0.11</v>
      </c>
      <c r="BX6" s="1">
        <v>-0.112</v>
      </c>
      <c r="BY6" s="1">
        <v>-0.14000000000000001</v>
      </c>
      <c r="BZ6" s="1">
        <v>-9.0999999999999998E-2</v>
      </c>
      <c r="CA6" s="1">
        <v>-0.124</v>
      </c>
      <c r="CB6" s="1">
        <v>-0.14099999999999999</v>
      </c>
      <c r="CC6" s="1">
        <v>-0.11700000000000001</v>
      </c>
      <c r="CD6" s="1">
        <v>-0.17299999999999999</v>
      </c>
      <c r="CE6" s="1">
        <v>-0.189</v>
      </c>
      <c r="CF6" s="1">
        <v>-0.184</v>
      </c>
      <c r="CG6" s="1">
        <v>-0.14000000000000001</v>
      </c>
      <c r="CH6" s="1">
        <v>-0.13500000000000001</v>
      </c>
      <c r="CI6" s="1">
        <v>-0.17899999999999999</v>
      </c>
      <c r="CJ6" s="1">
        <v>-0.17899999999999999</v>
      </c>
      <c r="CK6" s="1">
        <v>-0.22600000000000001</v>
      </c>
      <c r="CL6" s="1">
        <v>-0.21</v>
      </c>
      <c r="CM6" s="1">
        <v>-0.218</v>
      </c>
      <c r="CN6" s="1">
        <v>-0.17</v>
      </c>
      <c r="CO6" s="1">
        <v>-0.25900000000000001</v>
      </c>
      <c r="CP6" s="1">
        <v>-0.26</v>
      </c>
      <c r="CQ6" s="1">
        <v>-0.25600000000000001</v>
      </c>
      <c r="CR6" s="1">
        <v>-0.27700000000000002</v>
      </c>
      <c r="CS6" s="1">
        <v>-0.20399999999999999</v>
      </c>
      <c r="CT6" s="1">
        <v>-0.19800000000000001</v>
      </c>
      <c r="CU6" s="1">
        <v>-0.255</v>
      </c>
      <c r="CV6" s="1">
        <v>-0.22</v>
      </c>
    </row>
    <row r="7" spans="1:100" x14ac:dyDescent="0.2">
      <c r="A7" t="s">
        <v>208</v>
      </c>
      <c r="B7" s="1">
        <v>5.1700000000000003E-2</v>
      </c>
      <c r="C7" s="1">
        <v>7.2599999999999998E-2</v>
      </c>
      <c r="D7" s="1">
        <v>7.0300000000000001E-2</v>
      </c>
      <c r="E7" s="1">
        <v>6.9000000000000006E-2</v>
      </c>
      <c r="F7" s="1">
        <v>6.6500000000000004E-2</v>
      </c>
      <c r="G7" s="1">
        <v>7.1900000000000006E-2</v>
      </c>
      <c r="H7" s="1">
        <v>7.1300000000000002E-2</v>
      </c>
      <c r="I7" s="1">
        <v>6.7699999999999996E-2</v>
      </c>
      <c r="J7" s="1">
        <v>7.0199999999999999E-2</v>
      </c>
      <c r="K7" s="1">
        <v>5.79E-2</v>
      </c>
      <c r="L7" s="1">
        <v>5.7299999999999997E-2</v>
      </c>
      <c r="M7" s="1">
        <v>5.4699999999999999E-2</v>
      </c>
      <c r="N7" s="1">
        <v>5.0700000000000002E-2</v>
      </c>
      <c r="O7" s="1">
        <v>4.7800000000000002E-2</v>
      </c>
      <c r="P7" s="1">
        <v>4.1500000000000002E-2</v>
      </c>
      <c r="Q7" s="1">
        <v>3.8399999999999997E-2</v>
      </c>
      <c r="R7" s="1">
        <v>3.78E-2</v>
      </c>
      <c r="S7" s="1">
        <v>3.7999999999999999E-2</v>
      </c>
      <c r="T7" s="1">
        <v>3.78E-2</v>
      </c>
      <c r="U7" s="1">
        <v>3.8199999999999998E-2</v>
      </c>
      <c r="V7" s="1">
        <v>3.8600000000000002E-2</v>
      </c>
      <c r="W7" s="1">
        <v>3.9800000000000002E-2</v>
      </c>
      <c r="X7" s="1">
        <v>4.0599999999999997E-2</v>
      </c>
      <c r="Y7" s="1">
        <v>4.1799999999999997E-2</v>
      </c>
      <c r="Z7" s="1">
        <v>4.2599999999999999E-2</v>
      </c>
      <c r="AA7" s="1">
        <v>4.2999999999999997E-2</v>
      </c>
      <c r="AB7" s="1">
        <v>4.3499999999999997E-2</v>
      </c>
      <c r="AC7" s="1">
        <v>4.4400000000000002E-2</v>
      </c>
      <c r="AD7" s="1">
        <v>4.58E-2</v>
      </c>
      <c r="AE7" s="1">
        <v>4.7800000000000002E-2</v>
      </c>
      <c r="AF7" s="1">
        <v>0.05</v>
      </c>
      <c r="AG7" s="1">
        <v>5.2299999999999999E-2</v>
      </c>
      <c r="AH7" s="1">
        <v>5.45E-2</v>
      </c>
      <c r="AI7" s="1">
        <v>5.7299999999999997E-2</v>
      </c>
      <c r="AJ7" s="1">
        <v>5.9900000000000002E-2</v>
      </c>
      <c r="AK7" s="1">
        <v>6.2300000000000001E-2</v>
      </c>
      <c r="AL7" s="1">
        <v>6.4799999999999996E-2</v>
      </c>
      <c r="AM7" s="1">
        <v>6.8699999999999997E-2</v>
      </c>
      <c r="AN7" s="1">
        <v>7.1400000000000005E-2</v>
      </c>
      <c r="AO7" s="1">
        <v>7.4499999999999997E-2</v>
      </c>
      <c r="AP7" s="1">
        <v>7.6799999999999993E-2</v>
      </c>
      <c r="AQ7" s="1">
        <v>7.9500000000000001E-2</v>
      </c>
      <c r="AR7" s="1">
        <v>8.1500000000000003E-2</v>
      </c>
      <c r="AS7" s="1">
        <v>8.2600000000000007E-2</v>
      </c>
      <c r="AT7" s="1">
        <v>8.3799999999999999E-2</v>
      </c>
      <c r="AU7" s="1">
        <v>8.4400000000000003E-2</v>
      </c>
      <c r="AV7" s="1">
        <v>8.5099999999999995E-2</v>
      </c>
      <c r="AW7" s="1">
        <v>8.7800000000000003E-2</v>
      </c>
      <c r="AX7" s="1">
        <v>8.9399999999999993E-2</v>
      </c>
      <c r="AY7" s="1">
        <v>9.2899999999999996E-2</v>
      </c>
      <c r="AZ7" s="1">
        <v>9.5799999999999996E-2</v>
      </c>
      <c r="BA7" s="1">
        <v>0.10199999999999999</v>
      </c>
      <c r="BB7" s="1">
        <v>0.108</v>
      </c>
      <c r="BC7" s="1">
        <v>0.113</v>
      </c>
      <c r="BD7" s="1">
        <v>0.115</v>
      </c>
      <c r="BE7" s="1">
        <v>0.11799999999999999</v>
      </c>
      <c r="BF7" s="1">
        <v>0.11700000000000001</v>
      </c>
      <c r="BG7" s="1">
        <v>0.11700000000000001</v>
      </c>
      <c r="BH7" s="1">
        <v>0.11799999999999999</v>
      </c>
      <c r="BI7" s="1">
        <v>0.11799999999999999</v>
      </c>
      <c r="BJ7" s="1">
        <v>0.12</v>
      </c>
      <c r="BK7" s="1">
        <v>0.125</v>
      </c>
      <c r="BL7" s="1">
        <v>0.13100000000000001</v>
      </c>
      <c r="BM7" s="1">
        <v>0.13600000000000001</v>
      </c>
      <c r="BN7" s="1">
        <v>0.14000000000000001</v>
      </c>
      <c r="BO7" s="1">
        <v>0.14399999999999999</v>
      </c>
      <c r="BP7" s="1">
        <v>0.14499999999999999</v>
      </c>
      <c r="BQ7" s="1">
        <v>0.14499999999999999</v>
      </c>
      <c r="BR7" s="1">
        <v>0.14599999999999999</v>
      </c>
      <c r="BS7" s="1">
        <v>0.151</v>
      </c>
      <c r="BT7" s="1">
        <v>0.161</v>
      </c>
      <c r="BU7" s="1">
        <v>0.16900000000000001</v>
      </c>
      <c r="BV7" s="1">
        <v>0.17399999999999999</v>
      </c>
      <c r="BW7" s="1">
        <v>0.18099999999999999</v>
      </c>
      <c r="BX7" s="1">
        <v>0.18099999999999999</v>
      </c>
      <c r="BY7" s="1">
        <v>0.18</v>
      </c>
      <c r="BZ7" s="1">
        <v>0.17799999999999999</v>
      </c>
      <c r="CA7" s="1">
        <v>0.188</v>
      </c>
      <c r="CB7" s="1">
        <v>0.2</v>
      </c>
      <c r="CC7" s="1">
        <v>0.21</v>
      </c>
      <c r="CD7" s="1">
        <v>0.218</v>
      </c>
      <c r="CE7" s="1">
        <v>0.20899999999999999</v>
      </c>
      <c r="CF7" s="1">
        <v>0.19700000000000001</v>
      </c>
      <c r="CG7" s="1">
        <v>0.192</v>
      </c>
      <c r="CH7" s="1">
        <v>0.20300000000000001</v>
      </c>
      <c r="CI7" s="1">
        <v>0.249</v>
      </c>
      <c r="CJ7" s="1">
        <v>0.246</v>
      </c>
      <c r="CK7" s="1">
        <v>0.23499999999999999</v>
      </c>
      <c r="CL7" s="1">
        <v>0.24199999999999999</v>
      </c>
      <c r="CM7" s="1">
        <v>0.24099999999999999</v>
      </c>
      <c r="CN7" s="1">
        <v>0.224</v>
      </c>
      <c r="CO7" s="1">
        <v>0.254</v>
      </c>
      <c r="CP7" s="1">
        <v>0.28000000000000003</v>
      </c>
      <c r="CQ7" s="1">
        <v>0.245</v>
      </c>
      <c r="CR7" s="1">
        <v>0.27600000000000002</v>
      </c>
      <c r="CS7" s="1">
        <v>0.218</v>
      </c>
      <c r="CT7" s="1">
        <v>0.251</v>
      </c>
      <c r="CU7" s="1">
        <v>0.24099999999999999</v>
      </c>
      <c r="CV7" s="1">
        <v>0.21299999999999999</v>
      </c>
    </row>
    <row r="8" spans="1:100" x14ac:dyDescent="0.2">
      <c r="A8" t="s">
        <v>209</v>
      </c>
      <c r="B8" s="1">
        <v>5.4999999999999997E-3</v>
      </c>
      <c r="C8" s="1">
        <v>1.14E-2</v>
      </c>
      <c r="D8" s="1">
        <v>1.43E-2</v>
      </c>
      <c r="E8" s="1">
        <v>1.4999999999999999E-2</v>
      </c>
      <c r="F8" s="1">
        <v>1.5100000000000001E-2</v>
      </c>
      <c r="G8" s="1">
        <v>1.6899999999999998E-2</v>
      </c>
      <c r="H8" s="1">
        <v>1.6500000000000001E-2</v>
      </c>
      <c r="I8" s="1">
        <v>1.5699999999999999E-2</v>
      </c>
      <c r="J8" s="1">
        <v>1.6E-2</v>
      </c>
      <c r="K8" s="1">
        <v>1.34E-2</v>
      </c>
      <c r="L8" s="1">
        <v>1.3100000000000001E-2</v>
      </c>
      <c r="M8" s="1">
        <v>1.2500000000000001E-2</v>
      </c>
      <c r="N8" s="1">
        <v>1.17E-2</v>
      </c>
      <c r="O8" s="1">
        <v>1.09E-2</v>
      </c>
      <c r="P8" s="1">
        <v>9.4900000000000002E-3</v>
      </c>
      <c r="Q8" s="1">
        <v>9.0100000000000006E-3</v>
      </c>
      <c r="R8" s="1">
        <v>8.8699999999999994E-3</v>
      </c>
      <c r="S8" s="1">
        <v>8.8400000000000006E-3</v>
      </c>
      <c r="T8" s="1">
        <v>8.7299999999999999E-3</v>
      </c>
      <c r="U8" s="1">
        <v>8.7600000000000004E-3</v>
      </c>
      <c r="V8" s="1">
        <v>8.6800000000000002E-3</v>
      </c>
      <c r="W8" s="1">
        <v>8.8900000000000003E-3</v>
      </c>
      <c r="X8" s="1">
        <v>8.9999999999999993E-3</v>
      </c>
      <c r="Y8" s="1">
        <v>9.1800000000000007E-3</v>
      </c>
      <c r="Z8" s="1">
        <v>9.4299999999999991E-3</v>
      </c>
      <c r="AA8" s="1">
        <v>9.4800000000000006E-3</v>
      </c>
      <c r="AB8" s="1">
        <v>9.6799999999999994E-3</v>
      </c>
      <c r="AC8" s="1">
        <v>9.8300000000000002E-3</v>
      </c>
      <c r="AD8" s="1">
        <v>0.01</v>
      </c>
      <c r="AE8" s="1">
        <v>1.03E-2</v>
      </c>
      <c r="AF8" s="1">
        <v>1.06E-2</v>
      </c>
      <c r="AG8" s="1">
        <v>1.0999999999999999E-2</v>
      </c>
      <c r="AH8" s="1">
        <v>1.1299999999999999E-2</v>
      </c>
      <c r="AI8" s="1">
        <v>1.1900000000000001E-2</v>
      </c>
      <c r="AJ8" s="1">
        <v>1.24E-2</v>
      </c>
      <c r="AK8" s="1">
        <v>1.2699999999999999E-2</v>
      </c>
      <c r="AL8" s="1">
        <v>1.32E-2</v>
      </c>
      <c r="AM8" s="1">
        <v>1.3899999999999999E-2</v>
      </c>
      <c r="AN8" s="1">
        <v>1.44E-2</v>
      </c>
      <c r="AO8" s="1">
        <v>1.4999999999999999E-2</v>
      </c>
      <c r="AP8" s="1">
        <v>1.54E-2</v>
      </c>
      <c r="AQ8" s="1">
        <v>1.6E-2</v>
      </c>
      <c r="AR8" s="1">
        <v>1.6400000000000001E-2</v>
      </c>
      <c r="AS8" s="1">
        <v>1.6500000000000001E-2</v>
      </c>
      <c r="AT8" s="1">
        <v>1.66E-2</v>
      </c>
      <c r="AU8" s="1">
        <v>1.66E-2</v>
      </c>
      <c r="AV8" s="1">
        <v>1.67E-2</v>
      </c>
      <c r="AW8" s="1">
        <v>1.72E-2</v>
      </c>
      <c r="AX8" s="1">
        <v>1.7399999999999999E-2</v>
      </c>
      <c r="AY8" s="1">
        <v>1.7999999999999999E-2</v>
      </c>
      <c r="AZ8" s="1">
        <v>1.83E-2</v>
      </c>
      <c r="BA8" s="1">
        <v>1.9300000000000001E-2</v>
      </c>
      <c r="BB8" s="1">
        <v>2.0400000000000001E-2</v>
      </c>
      <c r="BC8" s="1">
        <v>2.1100000000000001E-2</v>
      </c>
      <c r="BD8" s="1">
        <v>2.1600000000000001E-2</v>
      </c>
      <c r="BE8" s="1">
        <v>2.18E-2</v>
      </c>
      <c r="BF8" s="1">
        <v>2.1700000000000001E-2</v>
      </c>
      <c r="BG8" s="1">
        <v>2.1399999999999999E-2</v>
      </c>
      <c r="BH8" s="1">
        <v>2.1499999999999998E-2</v>
      </c>
      <c r="BI8" s="1">
        <v>2.1399999999999999E-2</v>
      </c>
      <c r="BJ8" s="1">
        <v>2.1499999999999998E-2</v>
      </c>
      <c r="BK8" s="1">
        <v>2.1999999999999999E-2</v>
      </c>
      <c r="BL8" s="1">
        <v>2.29E-2</v>
      </c>
      <c r="BM8" s="1">
        <v>2.3699999999999999E-2</v>
      </c>
      <c r="BN8" s="1">
        <v>2.4199999999999999E-2</v>
      </c>
      <c r="BO8" s="1">
        <v>2.4500000000000001E-2</v>
      </c>
      <c r="BP8" s="1">
        <v>2.4299999999999999E-2</v>
      </c>
      <c r="BQ8" s="1">
        <v>2.4400000000000002E-2</v>
      </c>
      <c r="BR8" s="1">
        <v>2.4400000000000002E-2</v>
      </c>
      <c r="BS8" s="1">
        <v>2.4799999999999999E-2</v>
      </c>
      <c r="BT8" s="1">
        <v>2.6200000000000001E-2</v>
      </c>
      <c r="BU8" s="1">
        <v>2.7400000000000001E-2</v>
      </c>
      <c r="BV8" s="1">
        <v>2.81E-2</v>
      </c>
      <c r="BW8" s="1">
        <v>2.8799999999999999E-2</v>
      </c>
      <c r="BX8" s="1">
        <v>2.8500000000000001E-2</v>
      </c>
      <c r="BY8" s="1">
        <v>2.8400000000000002E-2</v>
      </c>
      <c r="BZ8" s="1">
        <v>2.7799999999999998E-2</v>
      </c>
      <c r="CA8" s="1">
        <v>2.9000000000000001E-2</v>
      </c>
      <c r="CB8" s="1">
        <v>3.0599999999999999E-2</v>
      </c>
      <c r="CC8" s="1">
        <v>3.15E-2</v>
      </c>
      <c r="CD8" s="1">
        <v>3.27E-2</v>
      </c>
      <c r="CE8" s="1">
        <v>3.1199999999999999E-2</v>
      </c>
      <c r="CF8" s="1">
        <v>2.93E-2</v>
      </c>
      <c r="CG8" s="1">
        <v>2.8899999999999999E-2</v>
      </c>
      <c r="CH8" s="1">
        <v>3.0300000000000001E-2</v>
      </c>
      <c r="CI8" s="1">
        <v>3.7199999999999997E-2</v>
      </c>
      <c r="CJ8" s="1">
        <v>3.6600000000000001E-2</v>
      </c>
      <c r="CK8" s="1">
        <v>3.4799999999999998E-2</v>
      </c>
      <c r="CL8" s="1">
        <v>3.5900000000000001E-2</v>
      </c>
      <c r="CM8" s="1">
        <v>3.5400000000000001E-2</v>
      </c>
      <c r="CN8" s="1">
        <v>3.3599999999999998E-2</v>
      </c>
      <c r="CO8" s="1">
        <v>3.8399999999999997E-2</v>
      </c>
      <c r="CP8" s="1">
        <v>4.24E-2</v>
      </c>
      <c r="CQ8" s="1">
        <v>3.6999999999999998E-2</v>
      </c>
      <c r="CR8" s="1">
        <v>4.2599999999999999E-2</v>
      </c>
      <c r="CS8" s="1">
        <v>3.3700000000000001E-2</v>
      </c>
      <c r="CT8" s="1">
        <v>4.0099999999999997E-2</v>
      </c>
      <c r="CU8" s="1">
        <v>4.0500000000000001E-2</v>
      </c>
      <c r="CV8" s="1">
        <v>3.78E-2</v>
      </c>
    </row>
    <row r="9" spans="1:100" x14ac:dyDescent="0.2">
      <c r="A9" t="s">
        <v>210</v>
      </c>
      <c r="B9" s="1">
        <v>-6.6899999999999998E-3</v>
      </c>
      <c r="C9" s="1">
        <v>-7.92E-3</v>
      </c>
      <c r="D9" s="1">
        <v>-7.2700000000000004E-3</v>
      </c>
      <c r="E9" s="1">
        <v>-6.4700000000000001E-3</v>
      </c>
      <c r="F9" s="1">
        <v>-5.8599999999999998E-3</v>
      </c>
      <c r="G9" s="1">
        <v>-5.8700000000000002E-3</v>
      </c>
      <c r="H9" s="1">
        <v>-5.1700000000000001E-3</v>
      </c>
      <c r="I9" s="1">
        <v>-4.5700000000000003E-3</v>
      </c>
      <c r="J9" s="1">
        <v>-4.3400000000000001E-3</v>
      </c>
      <c r="K9" s="1">
        <v>-3.31E-3</v>
      </c>
      <c r="L9" s="1">
        <v>-3.0500000000000002E-3</v>
      </c>
      <c r="M9" s="1">
        <v>-2.6900000000000001E-3</v>
      </c>
      <c r="N9" s="1">
        <v>-2.3600000000000001E-3</v>
      </c>
      <c r="O9" s="1">
        <v>-2.0500000000000002E-3</v>
      </c>
      <c r="P9" s="1">
        <v>-1.6999999999999999E-3</v>
      </c>
      <c r="Q9" s="1">
        <v>-1.58E-3</v>
      </c>
      <c r="R9" s="1">
        <v>-1.5499999999999999E-3</v>
      </c>
      <c r="S9" s="1">
        <v>-1.5200000000000001E-3</v>
      </c>
      <c r="T9" s="1">
        <v>-1.5299999999999999E-3</v>
      </c>
      <c r="U9" s="1">
        <v>-1.5299999999999999E-3</v>
      </c>
      <c r="V9" s="1">
        <v>-1.6299999999999999E-3</v>
      </c>
      <c r="W9" s="1">
        <v>-1.7099999999999999E-3</v>
      </c>
      <c r="X9" s="1">
        <v>-1.7600000000000001E-3</v>
      </c>
      <c r="Y9" s="1">
        <v>-1.8400000000000001E-3</v>
      </c>
      <c r="Z9" s="1">
        <v>-1.8699999999999999E-3</v>
      </c>
      <c r="AA9" s="1">
        <v>-1.9300000000000001E-3</v>
      </c>
      <c r="AB9" s="1">
        <v>-2E-3</v>
      </c>
      <c r="AC9" s="1">
        <v>-2.0999999999999999E-3</v>
      </c>
      <c r="AD9" s="1">
        <v>-2.1800000000000001E-3</v>
      </c>
      <c r="AE9" s="1">
        <v>-2.3E-3</v>
      </c>
      <c r="AF9" s="1">
        <v>-2.4599999999999999E-3</v>
      </c>
      <c r="AG9" s="1">
        <v>-2.5799999999999998E-3</v>
      </c>
      <c r="AH9" s="1">
        <v>-2.6800000000000001E-3</v>
      </c>
      <c r="AI9" s="1">
        <v>-2.8400000000000001E-3</v>
      </c>
      <c r="AJ9" s="1">
        <v>-2.98E-3</v>
      </c>
      <c r="AK9" s="1">
        <v>-3.13E-3</v>
      </c>
      <c r="AL9" s="1">
        <v>-3.2200000000000002E-3</v>
      </c>
      <c r="AM9" s="1">
        <v>-3.4399999999999999E-3</v>
      </c>
      <c r="AN9" s="1">
        <v>-3.5899999999999999E-3</v>
      </c>
      <c r="AO9" s="1">
        <v>-3.8400000000000001E-3</v>
      </c>
      <c r="AP9" s="1">
        <v>-3.9500000000000004E-3</v>
      </c>
      <c r="AQ9" s="1">
        <v>-4.0699999999999998E-3</v>
      </c>
      <c r="AR9" s="1">
        <v>-4.1399999999999996E-3</v>
      </c>
      <c r="AS9" s="1">
        <v>-4.1700000000000001E-3</v>
      </c>
      <c r="AT9" s="1">
        <v>-4.1599999999999996E-3</v>
      </c>
      <c r="AU9" s="1">
        <v>-4.1799999999999997E-3</v>
      </c>
      <c r="AV9" s="1">
        <v>-4.1999999999999997E-3</v>
      </c>
      <c r="AW9" s="1">
        <v>-4.3200000000000001E-3</v>
      </c>
      <c r="AX9" s="1">
        <v>-4.4000000000000003E-3</v>
      </c>
      <c r="AY9" s="1">
        <v>-4.5599999999999998E-3</v>
      </c>
      <c r="AZ9" s="1">
        <v>-4.6499999999999996E-3</v>
      </c>
      <c r="BA9" s="1">
        <v>-4.8999999999999998E-3</v>
      </c>
      <c r="BB9" s="1">
        <v>-5.13E-3</v>
      </c>
      <c r="BC9" s="1">
        <v>-5.2399999999999999E-3</v>
      </c>
      <c r="BD9" s="1">
        <v>-5.2900000000000004E-3</v>
      </c>
      <c r="BE9" s="1">
        <v>-5.3200000000000001E-3</v>
      </c>
      <c r="BF9" s="1">
        <v>-5.28E-3</v>
      </c>
      <c r="BG9" s="1">
        <v>-5.1799999999999997E-3</v>
      </c>
      <c r="BH9" s="1">
        <v>-5.1700000000000001E-3</v>
      </c>
      <c r="BI9" s="1">
        <v>-5.13E-3</v>
      </c>
      <c r="BJ9" s="1">
        <v>-5.1500000000000001E-3</v>
      </c>
      <c r="BK9" s="1">
        <v>-5.2500000000000003E-3</v>
      </c>
      <c r="BL9" s="1">
        <v>-5.5100000000000001E-3</v>
      </c>
      <c r="BM9" s="1">
        <v>-5.5199999999999997E-3</v>
      </c>
      <c r="BN9" s="1">
        <v>-5.64E-3</v>
      </c>
      <c r="BO9" s="1">
        <v>-5.6600000000000001E-3</v>
      </c>
      <c r="BP9" s="1">
        <v>-5.6100000000000004E-3</v>
      </c>
      <c r="BQ9" s="1">
        <v>-5.5900000000000004E-3</v>
      </c>
      <c r="BR9" s="1">
        <v>-5.5300000000000002E-3</v>
      </c>
      <c r="BS9" s="1">
        <v>-5.5599999999999998E-3</v>
      </c>
      <c r="BT9" s="1">
        <v>-5.8799999999999998E-3</v>
      </c>
      <c r="BU9" s="1">
        <v>-6.1000000000000004E-3</v>
      </c>
      <c r="BV9" s="1">
        <v>-6.1700000000000001E-3</v>
      </c>
      <c r="BW9" s="1">
        <v>-6.3600000000000002E-3</v>
      </c>
      <c r="BX9" s="1">
        <v>-6.3099999999999996E-3</v>
      </c>
      <c r="BY9" s="1">
        <v>-6.2500000000000003E-3</v>
      </c>
      <c r="BZ9" s="1">
        <v>-6.0099999999999997E-3</v>
      </c>
      <c r="CA9" s="1">
        <v>-6.3499999999999997E-3</v>
      </c>
      <c r="CB9" s="1">
        <v>-6.6800000000000002E-3</v>
      </c>
      <c r="CC9" s="1">
        <v>-6.7299999999999999E-3</v>
      </c>
      <c r="CD9" s="1">
        <v>-6.9800000000000001E-3</v>
      </c>
      <c r="CE9" s="1">
        <v>-6.6299999999999996E-3</v>
      </c>
      <c r="CF9" s="1">
        <v>-6.3E-3</v>
      </c>
      <c r="CG9" s="1">
        <v>-6.1199999999999996E-3</v>
      </c>
      <c r="CH9" s="1">
        <v>-6.45E-3</v>
      </c>
      <c r="CI9" s="1">
        <v>-7.7099999999999998E-3</v>
      </c>
      <c r="CJ9" s="1">
        <v>-7.5900000000000004E-3</v>
      </c>
      <c r="CK9" s="1">
        <v>-7.4700000000000001E-3</v>
      </c>
      <c r="CL9" s="1">
        <v>-7.7000000000000002E-3</v>
      </c>
      <c r="CM9" s="1">
        <v>-7.7000000000000002E-3</v>
      </c>
      <c r="CN9" s="1">
        <v>-7.4599999999999996E-3</v>
      </c>
      <c r="CO9" s="1">
        <v>-8.6999999999999994E-3</v>
      </c>
      <c r="CP9" s="1">
        <v>-9.5200000000000007E-3</v>
      </c>
      <c r="CQ9" s="1">
        <v>-8.3499999999999998E-3</v>
      </c>
      <c r="CR9" s="1">
        <v>-1.0200000000000001E-2</v>
      </c>
      <c r="CS9" s="1">
        <v>-8.2900000000000005E-3</v>
      </c>
      <c r="CT9" s="1">
        <v>-9.3900000000000008E-3</v>
      </c>
      <c r="CU9" s="1">
        <v>-9.7900000000000001E-3</v>
      </c>
      <c r="CV9" s="1">
        <v>-9.4500000000000001E-3</v>
      </c>
    </row>
    <row r="10" spans="1:100" x14ac:dyDescent="0.2">
      <c r="A10" t="s">
        <v>211</v>
      </c>
      <c r="B10" s="1">
        <v>-4.1999999999999997E-3</v>
      </c>
      <c r="C10" s="1">
        <v>-4.7400000000000003E-3</v>
      </c>
      <c r="D10" s="1">
        <v>-4.4000000000000003E-3</v>
      </c>
      <c r="E10" s="1">
        <v>-4.15E-3</v>
      </c>
      <c r="F10" s="1">
        <v>-3.7299999999999998E-3</v>
      </c>
      <c r="G10" s="1">
        <v>-3.7200000000000002E-3</v>
      </c>
      <c r="H10" s="1">
        <v>-3.5699999999999998E-3</v>
      </c>
      <c r="I10" s="1">
        <v>-3.64E-3</v>
      </c>
      <c r="J10" s="1">
        <v>-3.3700000000000002E-3</v>
      </c>
      <c r="K10" s="1">
        <v>-2.8500000000000001E-3</v>
      </c>
      <c r="L10" s="1">
        <v>-2.9399999999999999E-3</v>
      </c>
      <c r="M10" s="1">
        <v>-2.8800000000000002E-3</v>
      </c>
      <c r="N10" s="1">
        <v>-2.7100000000000002E-3</v>
      </c>
      <c r="O10" s="1">
        <v>-2.6099999999999999E-3</v>
      </c>
      <c r="P10" s="1">
        <v>-2.2100000000000002E-3</v>
      </c>
      <c r="Q10" s="1">
        <v>-2.1700000000000001E-3</v>
      </c>
      <c r="R10" s="1">
        <v>-1.99E-3</v>
      </c>
      <c r="S10" s="1">
        <v>-2.0899999999999998E-3</v>
      </c>
      <c r="T10" s="1">
        <v>-2.0300000000000001E-3</v>
      </c>
      <c r="U10" s="1">
        <v>-2.0200000000000001E-3</v>
      </c>
      <c r="V10" s="1">
        <v>-2.0400000000000001E-3</v>
      </c>
      <c r="W10" s="1">
        <v>-2.1199999999999999E-3</v>
      </c>
      <c r="X10" s="1">
        <v>-2.1099999999999999E-3</v>
      </c>
      <c r="Y10" s="1">
        <v>-2.1900000000000001E-3</v>
      </c>
      <c r="Z10" s="1">
        <v>-2.1199999999999999E-3</v>
      </c>
      <c r="AA10" s="1">
        <v>-2.1199999999999999E-3</v>
      </c>
      <c r="AB10" s="1">
        <v>-2.2000000000000001E-3</v>
      </c>
      <c r="AC10" s="1">
        <v>-2.1800000000000001E-3</v>
      </c>
      <c r="AD10" s="1">
        <v>-2.2499999999999998E-3</v>
      </c>
      <c r="AE10" s="1">
        <v>-2.5200000000000001E-3</v>
      </c>
      <c r="AF10" s="1">
        <v>-2.5500000000000002E-3</v>
      </c>
      <c r="AG10" s="1">
        <v>-2.65E-3</v>
      </c>
      <c r="AH10" s="1">
        <v>-2.8E-3</v>
      </c>
      <c r="AI10" s="1">
        <v>-2.8700000000000002E-3</v>
      </c>
      <c r="AJ10" s="1">
        <v>-3.0100000000000001E-3</v>
      </c>
      <c r="AK10" s="1">
        <v>-3.0799999999999998E-3</v>
      </c>
      <c r="AL10" s="1">
        <v>-3.1099999999999999E-3</v>
      </c>
      <c r="AM10" s="1">
        <v>-3.3800000000000002E-3</v>
      </c>
      <c r="AN10" s="1">
        <v>-3.5300000000000002E-3</v>
      </c>
      <c r="AO10" s="1">
        <v>-3.5699999999999998E-3</v>
      </c>
      <c r="AP10" s="1">
        <v>-3.7200000000000002E-3</v>
      </c>
      <c r="AQ10" s="1">
        <v>-3.7499999999999999E-3</v>
      </c>
      <c r="AR10" s="1">
        <v>-3.8E-3</v>
      </c>
      <c r="AS10" s="1">
        <v>-3.8E-3</v>
      </c>
      <c r="AT10" s="1">
        <v>-3.79E-3</v>
      </c>
      <c r="AU10" s="1">
        <v>-3.8999999999999998E-3</v>
      </c>
      <c r="AV10" s="1">
        <v>-3.9699999999999996E-3</v>
      </c>
      <c r="AW10" s="1">
        <v>-3.9199999999999999E-3</v>
      </c>
      <c r="AX10" s="1">
        <v>-4.0499999999999998E-3</v>
      </c>
      <c r="AY10" s="1">
        <v>-4.1399999999999996E-3</v>
      </c>
      <c r="AZ10" s="1">
        <v>-4.1999999999999997E-3</v>
      </c>
      <c r="BA10" s="1">
        <v>-4.3800000000000002E-3</v>
      </c>
      <c r="BB10" s="1">
        <v>-4.62E-3</v>
      </c>
      <c r="BC10" s="1">
        <v>-4.9100000000000003E-3</v>
      </c>
      <c r="BD10" s="1">
        <v>-4.9199999999999999E-3</v>
      </c>
      <c r="BE10" s="1">
        <v>-4.9800000000000001E-3</v>
      </c>
      <c r="BF10" s="1">
        <v>-5.0099999999999997E-3</v>
      </c>
      <c r="BG10" s="1">
        <v>-5.0499999999999998E-3</v>
      </c>
      <c r="BH10" s="1">
        <v>-5.1999999999999998E-3</v>
      </c>
      <c r="BI10" s="1">
        <v>-5.0400000000000002E-3</v>
      </c>
      <c r="BJ10" s="1">
        <v>-4.9800000000000001E-3</v>
      </c>
      <c r="BK10" s="1">
        <v>-5.2700000000000004E-3</v>
      </c>
      <c r="BL10" s="1">
        <v>-5.5999999999999999E-3</v>
      </c>
      <c r="BM10" s="1">
        <v>-5.79E-3</v>
      </c>
      <c r="BN10" s="1">
        <v>-5.94E-3</v>
      </c>
      <c r="BO10" s="1">
        <v>-6.0099999999999997E-3</v>
      </c>
      <c r="BP10" s="1">
        <v>-6.2599999999999999E-3</v>
      </c>
      <c r="BQ10" s="1">
        <v>-6.2700000000000004E-3</v>
      </c>
      <c r="BR10" s="1">
        <v>-6.13E-3</v>
      </c>
      <c r="BS10" s="1">
        <v>-6.2100000000000002E-3</v>
      </c>
      <c r="BT10" s="1">
        <v>-6.7400000000000003E-3</v>
      </c>
      <c r="BU10" s="1">
        <v>-7.0299999999999998E-3</v>
      </c>
      <c r="BV10" s="1">
        <v>-7.11E-3</v>
      </c>
      <c r="BW10" s="1">
        <v>-7.2399999999999999E-3</v>
      </c>
      <c r="BX10" s="1">
        <v>-7.26E-3</v>
      </c>
      <c r="BY10" s="1">
        <v>-7.4099999999999999E-3</v>
      </c>
      <c r="BZ10" s="1">
        <v>-7.0099999999999997E-3</v>
      </c>
      <c r="CA10" s="1">
        <v>-7.3600000000000002E-3</v>
      </c>
      <c r="CB10" s="1">
        <v>-7.6299999999999996E-3</v>
      </c>
      <c r="CC10" s="1">
        <v>-7.9100000000000004E-3</v>
      </c>
      <c r="CD10" s="1">
        <v>-8.2000000000000007E-3</v>
      </c>
      <c r="CE10" s="1">
        <v>-7.9000000000000008E-3</v>
      </c>
      <c r="CF10" s="1">
        <v>-7.6099999999999996E-3</v>
      </c>
      <c r="CG10" s="1">
        <v>-7.0099999999999997E-3</v>
      </c>
      <c r="CH10" s="1">
        <v>-7.3499999999999998E-3</v>
      </c>
      <c r="CI10" s="1">
        <v>-9.0200000000000002E-3</v>
      </c>
      <c r="CJ10" s="1">
        <v>-8.8299999999999993E-3</v>
      </c>
      <c r="CK10" s="1">
        <v>-8.7100000000000007E-3</v>
      </c>
      <c r="CL10" s="1">
        <v>-8.7899999999999992E-3</v>
      </c>
      <c r="CM10" s="1">
        <v>-8.4799999999999997E-3</v>
      </c>
      <c r="CN10" s="1">
        <v>-8.1399999999999997E-3</v>
      </c>
      <c r="CO10" s="1">
        <v>-9.41E-3</v>
      </c>
      <c r="CP10" s="1">
        <v>-1.0699999999999999E-2</v>
      </c>
      <c r="CQ10" s="1">
        <v>-9.6799999999999994E-3</v>
      </c>
      <c r="CR10" s="1">
        <v>-1.0800000000000001E-2</v>
      </c>
      <c r="CS10" s="1">
        <v>-8.8100000000000001E-3</v>
      </c>
      <c r="CT10" s="1">
        <v>-1.09E-2</v>
      </c>
      <c r="CU10" s="1">
        <v>-1.03E-2</v>
      </c>
      <c r="CV10" s="1">
        <v>-8.7299999999999999E-3</v>
      </c>
    </row>
    <row r="11" spans="1:100" x14ac:dyDescent="0.2">
      <c r="A11" t="s">
        <v>212</v>
      </c>
      <c r="B11" s="1">
        <v>9.1500000000000001E-3</v>
      </c>
      <c r="C11" s="1">
        <v>1.06E-2</v>
      </c>
      <c r="D11" s="1">
        <v>9.6500000000000006E-3</v>
      </c>
      <c r="E11" s="1">
        <v>8.6700000000000006E-3</v>
      </c>
      <c r="F11" s="1">
        <v>7.7200000000000003E-3</v>
      </c>
      <c r="G11" s="1">
        <v>7.3699999999999998E-3</v>
      </c>
      <c r="H11" s="1">
        <v>6.94E-3</v>
      </c>
      <c r="I11" s="1">
        <v>6.4599999999999996E-3</v>
      </c>
      <c r="J11" s="1">
        <v>6.0499999999999998E-3</v>
      </c>
      <c r="K11" s="1">
        <v>4.79E-3</v>
      </c>
      <c r="L11" s="1">
        <v>4.3699999999999998E-3</v>
      </c>
      <c r="M11" s="1">
        <v>3.82E-3</v>
      </c>
      <c r="N11" s="1">
        <v>3.4099999999999998E-3</v>
      </c>
      <c r="O11" s="1">
        <v>2.8999999999999998E-3</v>
      </c>
      <c r="P11" s="1">
        <v>2.31E-3</v>
      </c>
      <c r="Q11" s="1">
        <v>2.0699999999999998E-3</v>
      </c>
      <c r="R11" s="1">
        <v>1.9E-3</v>
      </c>
      <c r="S11" s="1">
        <v>1.8E-3</v>
      </c>
      <c r="T11" s="1">
        <v>1.66E-3</v>
      </c>
      <c r="U11" s="1">
        <v>1.57E-3</v>
      </c>
      <c r="V11" s="1">
        <v>1.5299999999999999E-3</v>
      </c>
      <c r="W11" s="1">
        <v>1.4599999999999999E-3</v>
      </c>
      <c r="X11" s="1">
        <v>1.42E-3</v>
      </c>
      <c r="Y11" s="1">
        <v>1.39E-3</v>
      </c>
      <c r="Z11" s="1">
        <v>1.34E-3</v>
      </c>
      <c r="AA11" s="1">
        <v>1.33E-3</v>
      </c>
      <c r="AB11" s="1">
        <v>1.2700000000000001E-3</v>
      </c>
      <c r="AC11" s="1">
        <v>1.23E-3</v>
      </c>
      <c r="AD11" s="1">
        <v>1.23E-3</v>
      </c>
      <c r="AE11" s="1">
        <v>1.1999999999999999E-3</v>
      </c>
      <c r="AF11" s="1">
        <v>1.1900000000000001E-3</v>
      </c>
      <c r="AG11" s="1">
        <v>1.17E-3</v>
      </c>
      <c r="AH11" s="1">
        <v>1.1999999999999999E-3</v>
      </c>
      <c r="AI11" s="1">
        <v>1.2199999999999999E-3</v>
      </c>
      <c r="AJ11" s="1">
        <v>1.2700000000000001E-3</v>
      </c>
      <c r="AK11" s="1">
        <v>1.2600000000000001E-3</v>
      </c>
      <c r="AL11" s="1">
        <v>1.25E-3</v>
      </c>
      <c r="AM11" s="1">
        <v>1.2800000000000001E-3</v>
      </c>
      <c r="AN11" s="1">
        <v>1.2700000000000001E-3</v>
      </c>
      <c r="AO11" s="1">
        <v>1.2800000000000001E-3</v>
      </c>
      <c r="AP11" s="1">
        <v>1.2899999999999999E-3</v>
      </c>
      <c r="AQ11" s="1">
        <v>1.2999999999999999E-3</v>
      </c>
      <c r="AR11" s="1">
        <v>1.2800000000000001E-3</v>
      </c>
      <c r="AS11" s="1">
        <v>1.25E-3</v>
      </c>
      <c r="AT11" s="1">
        <v>1.2199999999999999E-3</v>
      </c>
      <c r="AU11" s="1">
        <v>1.24E-3</v>
      </c>
      <c r="AV11" s="1">
        <v>1.2199999999999999E-3</v>
      </c>
      <c r="AW11" s="1">
        <v>1.16E-3</v>
      </c>
      <c r="AX11" s="1">
        <v>1.14E-3</v>
      </c>
      <c r="AY11" s="1">
        <v>1.1199999999999999E-3</v>
      </c>
      <c r="AZ11" s="1">
        <v>1.1199999999999999E-3</v>
      </c>
      <c r="BA11" s="1">
        <v>1.17E-3</v>
      </c>
      <c r="BB11" s="1">
        <v>1.2099999999999999E-3</v>
      </c>
      <c r="BC11" s="1">
        <v>1.2099999999999999E-3</v>
      </c>
      <c r="BD11" s="1">
        <v>1.2099999999999999E-3</v>
      </c>
      <c r="BE11" s="1">
        <v>1.1900000000000001E-3</v>
      </c>
      <c r="BF11" s="1">
        <v>1.1299999999999999E-3</v>
      </c>
      <c r="BG11" s="1">
        <v>1.1100000000000001E-3</v>
      </c>
      <c r="BH11" s="1">
        <v>1.14E-3</v>
      </c>
      <c r="BI11" s="1">
        <v>1.09E-3</v>
      </c>
      <c r="BJ11" s="1">
        <v>1.09E-3</v>
      </c>
      <c r="BK11" s="1">
        <v>1.09E-3</v>
      </c>
      <c r="BL11" s="1">
        <v>1.09E-3</v>
      </c>
      <c r="BM11" s="1">
        <v>1.08E-3</v>
      </c>
      <c r="BN11" s="1">
        <v>1.1199999999999999E-3</v>
      </c>
      <c r="BO11" s="1">
        <v>1.16E-3</v>
      </c>
      <c r="BP11" s="1">
        <v>1.1199999999999999E-3</v>
      </c>
      <c r="BQ11" s="1">
        <v>1.09E-3</v>
      </c>
      <c r="BR11" s="1">
        <v>1.1000000000000001E-3</v>
      </c>
      <c r="BS11" s="1">
        <v>1.14E-3</v>
      </c>
      <c r="BT11" s="1">
        <v>1.2600000000000001E-3</v>
      </c>
      <c r="BU11" s="1">
        <v>1.32E-3</v>
      </c>
      <c r="BV11" s="1">
        <v>1.25E-3</v>
      </c>
      <c r="BW11" s="1">
        <v>1.2899999999999999E-3</v>
      </c>
      <c r="BX11" s="1">
        <v>1.2899999999999999E-3</v>
      </c>
      <c r="BY11" s="1">
        <v>1.2800000000000001E-3</v>
      </c>
      <c r="BZ11" s="1">
        <v>1.2099999999999999E-3</v>
      </c>
      <c r="CA11" s="1">
        <v>1.24E-3</v>
      </c>
      <c r="CB11" s="1">
        <v>1.1800000000000001E-3</v>
      </c>
      <c r="CC11" s="1">
        <v>1.15E-3</v>
      </c>
      <c r="CD11" s="1">
        <v>1.1100000000000001E-3</v>
      </c>
      <c r="CE11" s="1">
        <v>1.06E-3</v>
      </c>
      <c r="CF11" s="1">
        <v>9.6299999999999999E-4</v>
      </c>
      <c r="CG11" s="1">
        <v>8.92E-4</v>
      </c>
      <c r="CH11" s="1">
        <v>7.7899999999999996E-4</v>
      </c>
      <c r="CI11" s="1">
        <v>9.3000000000000005E-4</v>
      </c>
      <c r="CJ11" s="1">
        <v>9.3999999999999997E-4</v>
      </c>
      <c r="CK11" s="1">
        <v>8.8000000000000003E-4</v>
      </c>
      <c r="CL11" s="1">
        <v>9.0799999999999995E-4</v>
      </c>
      <c r="CM11" s="1">
        <v>8.2600000000000002E-4</v>
      </c>
      <c r="CN11" s="1">
        <v>7.7999999999999999E-4</v>
      </c>
      <c r="CO11" s="1">
        <v>8.1700000000000002E-4</v>
      </c>
      <c r="CP11" s="1">
        <v>8.7699999999999996E-4</v>
      </c>
      <c r="CQ11" s="1">
        <v>7.3300000000000004E-4</v>
      </c>
      <c r="CR11" s="1">
        <v>7.45E-4</v>
      </c>
      <c r="CS11" s="1">
        <v>5.5800000000000001E-4</v>
      </c>
      <c r="CT11" s="1">
        <v>7.3999999999999999E-4</v>
      </c>
      <c r="CU11" s="1">
        <v>5.13E-4</v>
      </c>
      <c r="CV11" s="1">
        <v>6.9200000000000002E-4</v>
      </c>
    </row>
    <row r="12" spans="1:100" x14ac:dyDescent="0.2">
      <c r="A12" t="s">
        <v>213</v>
      </c>
      <c r="B12" s="1">
        <v>-1.29E-2</v>
      </c>
      <c r="C12" s="1">
        <v>-1.83E-2</v>
      </c>
      <c r="D12" s="1">
        <v>-1.9300000000000001E-2</v>
      </c>
      <c r="E12" s="1">
        <v>-2.01E-2</v>
      </c>
      <c r="F12" s="1">
        <v>-2.01E-2</v>
      </c>
      <c r="G12" s="1">
        <v>-2.1999999999999999E-2</v>
      </c>
      <c r="H12" s="1">
        <v>-2.1999999999999999E-2</v>
      </c>
      <c r="I12" s="1">
        <v>-2.1299999999999999E-2</v>
      </c>
      <c r="J12" s="1">
        <v>-2.1600000000000001E-2</v>
      </c>
      <c r="K12" s="1">
        <v>-1.7500000000000002E-2</v>
      </c>
      <c r="L12" s="1">
        <v>-1.7000000000000001E-2</v>
      </c>
      <c r="M12" s="1">
        <v>-1.5900000000000001E-2</v>
      </c>
      <c r="N12" s="1">
        <v>-1.43E-2</v>
      </c>
      <c r="O12" s="1">
        <v>-1.24E-2</v>
      </c>
      <c r="P12" s="1">
        <v>-0.01</v>
      </c>
      <c r="Q12" s="1">
        <v>-8.9099999999999995E-3</v>
      </c>
      <c r="R12" s="1">
        <v>-8.3499999999999998E-3</v>
      </c>
      <c r="S12" s="1">
        <v>-8.0499999999999999E-3</v>
      </c>
      <c r="T12" s="1">
        <v>-7.0600000000000003E-3</v>
      </c>
      <c r="U12" s="1">
        <v>-6.5100000000000002E-3</v>
      </c>
      <c r="V12" s="1">
        <v>-6.1599999999999997E-3</v>
      </c>
      <c r="W12" s="1">
        <v>-5.8799999999999998E-3</v>
      </c>
      <c r="X12" s="1">
        <v>-5.5399999999999998E-3</v>
      </c>
      <c r="Y12" s="1">
        <v>-5.11E-3</v>
      </c>
      <c r="Z12" s="1">
        <v>-4.7299999999999998E-3</v>
      </c>
      <c r="AA12" s="1">
        <v>-4.4000000000000003E-3</v>
      </c>
      <c r="AB12" s="1">
        <v>-4.1799999999999997E-3</v>
      </c>
      <c r="AC12" s="1">
        <v>-4.0600000000000002E-3</v>
      </c>
      <c r="AD12" s="1">
        <v>-3.9100000000000003E-3</v>
      </c>
      <c r="AE12" s="1">
        <v>-3.8400000000000001E-3</v>
      </c>
      <c r="AF12" s="1">
        <v>-3.6800000000000001E-3</v>
      </c>
      <c r="AG12" s="1">
        <v>-3.4499999999999999E-3</v>
      </c>
      <c r="AH12" s="1">
        <v>-3.3E-3</v>
      </c>
      <c r="AI12" s="1">
        <v>-3.1700000000000001E-3</v>
      </c>
      <c r="AJ12" s="1">
        <v>-3.0699999999999998E-3</v>
      </c>
      <c r="AK12" s="1">
        <v>-3.0200000000000001E-3</v>
      </c>
      <c r="AL12" s="1">
        <v>-3.0200000000000001E-3</v>
      </c>
      <c r="AM12" s="1">
        <v>-2.9499999999999999E-3</v>
      </c>
      <c r="AN12" s="1">
        <v>-2.82E-3</v>
      </c>
      <c r="AO12" s="1">
        <v>-2.6199999999999999E-3</v>
      </c>
      <c r="AP12" s="1">
        <v>-2.5000000000000001E-3</v>
      </c>
      <c r="AQ12" s="1">
        <v>-2.2799999999999999E-3</v>
      </c>
      <c r="AR12" s="1">
        <v>-2.0300000000000001E-3</v>
      </c>
      <c r="AS12" s="1">
        <v>-1.7899999999999999E-3</v>
      </c>
      <c r="AT12" s="1">
        <v>-1.5299999999999999E-3</v>
      </c>
      <c r="AU12" s="1">
        <v>-1.4400000000000001E-3</v>
      </c>
      <c r="AV12" s="1">
        <v>-1.4300000000000001E-3</v>
      </c>
      <c r="AW12" s="1">
        <v>-1.3699999999999999E-3</v>
      </c>
      <c r="AX12" s="1">
        <v>-1.3699999999999999E-3</v>
      </c>
      <c r="AY12" s="1">
        <v>-1.1999999999999999E-3</v>
      </c>
      <c r="AZ12" s="1">
        <v>-1.1299999999999999E-3</v>
      </c>
      <c r="BA12" s="1">
        <v>-9.8999999999999999E-4</v>
      </c>
      <c r="BB12" s="1">
        <v>-9.0399999999999996E-4</v>
      </c>
      <c r="BC12" s="1">
        <v>-7.7700000000000002E-4</v>
      </c>
      <c r="BD12" s="1">
        <v>-5.1099999999999995E-4</v>
      </c>
      <c r="BE12" s="1">
        <v>-2.8800000000000001E-4</v>
      </c>
      <c r="BF12" s="1">
        <v>-1.8000000000000001E-4</v>
      </c>
      <c r="BG12" s="1">
        <v>-1.3200000000000001E-4</v>
      </c>
      <c r="BH12" s="1">
        <v>-1.83E-4</v>
      </c>
      <c r="BI12" s="1">
        <v>-1.05E-4</v>
      </c>
      <c r="BJ12" s="1">
        <v>-1.11E-4</v>
      </c>
      <c r="BK12" s="1">
        <v>-1.27E-4</v>
      </c>
      <c r="BL12" s="1">
        <v>-1.0900000000000001E-4</v>
      </c>
      <c r="BM12" s="1">
        <v>9.5600000000000004E-7</v>
      </c>
      <c r="BN12" s="1">
        <v>2.2900000000000001E-4</v>
      </c>
      <c r="BO12" s="1">
        <v>3.2499999999999999E-4</v>
      </c>
      <c r="BP12" s="1">
        <v>3.6400000000000001E-4</v>
      </c>
      <c r="BQ12" s="1">
        <v>4.1399999999999998E-4</v>
      </c>
      <c r="BR12" s="1">
        <v>5.6700000000000001E-4</v>
      </c>
      <c r="BS12" s="1">
        <v>6.5899999999999997E-4</v>
      </c>
      <c r="BT12" s="1">
        <v>7.4600000000000003E-4</v>
      </c>
      <c r="BU12" s="1">
        <v>8.9800000000000004E-4</v>
      </c>
      <c r="BV12" s="1">
        <v>7.1699999999999997E-4</v>
      </c>
      <c r="BW12" s="1">
        <v>9.2500000000000004E-4</v>
      </c>
      <c r="BX12" s="1">
        <v>9.4300000000000004E-4</v>
      </c>
      <c r="BY12" s="1">
        <v>9.5E-4</v>
      </c>
      <c r="BZ12" s="1">
        <v>1.1100000000000001E-3</v>
      </c>
      <c r="CA12" s="1">
        <v>1.1199999999999999E-3</v>
      </c>
      <c r="CB12" s="1">
        <v>1.06E-3</v>
      </c>
      <c r="CC12" s="1">
        <v>9.9400000000000009E-4</v>
      </c>
      <c r="CD12" s="1">
        <v>9.7900000000000005E-4</v>
      </c>
      <c r="CE12" s="1">
        <v>1.2099999999999999E-3</v>
      </c>
      <c r="CF12" s="1">
        <v>1.14E-3</v>
      </c>
      <c r="CG12" s="1">
        <v>9.2500000000000004E-4</v>
      </c>
      <c r="CH12" s="1">
        <v>7.9500000000000003E-4</v>
      </c>
      <c r="CI12" s="1">
        <v>1.0200000000000001E-3</v>
      </c>
      <c r="CJ12" s="1">
        <v>9.1299999999999997E-4</v>
      </c>
      <c r="CK12" s="1">
        <v>7.6999999999999996E-4</v>
      </c>
      <c r="CL12" s="1">
        <v>1.1199999999999999E-3</v>
      </c>
      <c r="CM12" s="1">
        <v>1.07E-3</v>
      </c>
      <c r="CN12" s="1">
        <v>8.1099999999999998E-4</v>
      </c>
      <c r="CO12" s="1">
        <v>1.0499999999999999E-3</v>
      </c>
      <c r="CP12" s="1">
        <v>1.23E-3</v>
      </c>
      <c r="CQ12" s="1">
        <v>9.3000000000000005E-4</v>
      </c>
      <c r="CR12" s="1">
        <v>7.3999999999999999E-4</v>
      </c>
      <c r="CS12" s="1">
        <v>3.6299999999999999E-4</v>
      </c>
      <c r="CT12" s="1">
        <v>5.1400000000000003E-4</v>
      </c>
      <c r="CU12" s="1">
        <v>9.2699999999999998E-4</v>
      </c>
      <c r="CV12" s="1">
        <v>9.3700000000000001E-4</v>
      </c>
    </row>
    <row r="13" spans="1:100" x14ac:dyDescent="0.2">
      <c r="A13" t="s">
        <v>214</v>
      </c>
      <c r="B13" s="1">
        <v>1.2200000000000001E-2</v>
      </c>
      <c r="C13" s="1">
        <v>1.37E-2</v>
      </c>
      <c r="D13" s="1">
        <v>1.34E-2</v>
      </c>
      <c r="E13" s="1">
        <v>1.2800000000000001E-2</v>
      </c>
      <c r="F13" s="1">
        <v>1.14E-2</v>
      </c>
      <c r="G13" s="1">
        <v>1.17E-2</v>
      </c>
      <c r="H13" s="1">
        <v>1.0999999999999999E-2</v>
      </c>
      <c r="I13" s="1">
        <v>9.6900000000000007E-3</v>
      </c>
      <c r="J13" s="1">
        <v>1.01E-2</v>
      </c>
      <c r="K13" s="1">
        <v>7.9399999999999991E-3</v>
      </c>
      <c r="L13" s="1">
        <v>7.4400000000000004E-3</v>
      </c>
      <c r="M13" s="1">
        <v>6.96E-3</v>
      </c>
      <c r="N13" s="1">
        <v>6.2899999999999996E-3</v>
      </c>
      <c r="O13" s="1">
        <v>5.4200000000000003E-3</v>
      </c>
      <c r="P13" s="1">
        <v>4.5700000000000003E-3</v>
      </c>
      <c r="Q13" s="1">
        <v>4.2100000000000002E-3</v>
      </c>
      <c r="R13" s="1">
        <v>3.5599999999999998E-3</v>
      </c>
      <c r="S13" s="1">
        <v>3.81E-3</v>
      </c>
      <c r="T13" s="1">
        <v>3.3999999999999998E-3</v>
      </c>
      <c r="U13" s="1">
        <v>3.5300000000000002E-3</v>
      </c>
      <c r="V13" s="1">
        <v>3.3999999999999998E-3</v>
      </c>
      <c r="W13" s="1">
        <v>3.2699999999999999E-3</v>
      </c>
      <c r="X13" s="1">
        <v>3.4299999999999999E-3</v>
      </c>
      <c r="Y13" s="1">
        <v>3.2499999999999999E-3</v>
      </c>
      <c r="Z13" s="1">
        <v>3.3E-3</v>
      </c>
      <c r="AA13" s="1">
        <v>3.1800000000000001E-3</v>
      </c>
      <c r="AB13" s="1">
        <v>3.1199999999999999E-3</v>
      </c>
      <c r="AC13" s="1">
        <v>3.0100000000000001E-3</v>
      </c>
      <c r="AD13" s="1">
        <v>3.2399999999999998E-3</v>
      </c>
      <c r="AE13" s="1">
        <v>3.2299999999999998E-3</v>
      </c>
      <c r="AF13" s="1">
        <v>3.0899999999999999E-3</v>
      </c>
      <c r="AG13" s="1">
        <v>3.1199999999999999E-3</v>
      </c>
      <c r="AH13" s="1">
        <v>3.2399999999999998E-3</v>
      </c>
      <c r="AI13" s="1">
        <v>3.2000000000000002E-3</v>
      </c>
      <c r="AJ13" s="1">
        <v>3.4299999999999999E-3</v>
      </c>
      <c r="AK13" s="1">
        <v>3.3500000000000001E-3</v>
      </c>
      <c r="AL13" s="1">
        <v>3.3899999999999998E-3</v>
      </c>
      <c r="AM13" s="1">
        <v>3.4499999999999999E-3</v>
      </c>
      <c r="AN13" s="1">
        <v>3.4099999999999998E-3</v>
      </c>
      <c r="AO13" s="1">
        <v>3.47E-3</v>
      </c>
      <c r="AP13" s="1">
        <v>3.48E-3</v>
      </c>
      <c r="AQ13" s="1">
        <v>3.3400000000000001E-3</v>
      </c>
      <c r="AR13" s="1">
        <v>3.3899999999999998E-3</v>
      </c>
      <c r="AS13" s="1">
        <v>3.2799999999999999E-3</v>
      </c>
      <c r="AT13" s="1">
        <v>3.16E-3</v>
      </c>
      <c r="AU13" s="1">
        <v>3.2100000000000002E-3</v>
      </c>
      <c r="AV13" s="1">
        <v>3.0400000000000002E-3</v>
      </c>
      <c r="AW13" s="1">
        <v>2.8900000000000002E-3</v>
      </c>
      <c r="AX13" s="1">
        <v>2.9099999999999998E-3</v>
      </c>
      <c r="AY13" s="1">
        <v>2.9099999999999998E-3</v>
      </c>
      <c r="AZ13" s="1">
        <v>2.9499999999999999E-3</v>
      </c>
      <c r="BA13" s="1">
        <v>3.0599999999999998E-3</v>
      </c>
      <c r="BB13" s="1">
        <v>3.2100000000000002E-3</v>
      </c>
      <c r="BC13" s="1">
        <v>3.1800000000000001E-3</v>
      </c>
      <c r="BD13" s="1">
        <v>3.0799999999999998E-3</v>
      </c>
      <c r="BE13" s="1">
        <v>3.0400000000000002E-3</v>
      </c>
      <c r="BF13" s="1">
        <v>2.96E-3</v>
      </c>
      <c r="BG13" s="1">
        <v>2.99E-3</v>
      </c>
      <c r="BH13" s="1">
        <v>2.66E-3</v>
      </c>
      <c r="BI13" s="1">
        <v>2.6099999999999999E-3</v>
      </c>
      <c r="BJ13" s="1">
        <v>2.5500000000000002E-3</v>
      </c>
      <c r="BK13" s="1">
        <v>2.5799999999999998E-3</v>
      </c>
      <c r="BL13" s="1">
        <v>2.7799999999999999E-3</v>
      </c>
      <c r="BM13" s="1">
        <v>2.7000000000000001E-3</v>
      </c>
      <c r="BN13" s="1">
        <v>2.66E-3</v>
      </c>
      <c r="BO13" s="1">
        <v>2.64E-3</v>
      </c>
      <c r="BP13" s="1">
        <v>2.63E-3</v>
      </c>
      <c r="BQ13" s="1">
        <v>2.4399999999999999E-3</v>
      </c>
      <c r="BR13" s="1">
        <v>2.33E-3</v>
      </c>
      <c r="BS13" s="1">
        <v>2.2599999999999999E-3</v>
      </c>
      <c r="BT13" s="1">
        <v>2.4199999999999998E-3</v>
      </c>
      <c r="BU13" s="1">
        <v>2.48E-3</v>
      </c>
      <c r="BV13" s="1">
        <v>2.4599999999999999E-3</v>
      </c>
      <c r="BW13" s="1">
        <v>2.3800000000000002E-3</v>
      </c>
      <c r="BX13" s="1">
        <v>2.3800000000000002E-3</v>
      </c>
      <c r="BY13" s="1">
        <v>2.1800000000000001E-3</v>
      </c>
      <c r="BZ13" s="1">
        <v>2.1199999999999999E-3</v>
      </c>
      <c r="CA13" s="1">
        <v>2.2100000000000002E-3</v>
      </c>
      <c r="CB13" s="1">
        <v>2.2499999999999998E-3</v>
      </c>
      <c r="CC13" s="1">
        <v>2.2300000000000002E-3</v>
      </c>
      <c r="CD13" s="1">
        <v>2.2200000000000002E-3</v>
      </c>
      <c r="CE13" s="1">
        <v>2.0400000000000001E-3</v>
      </c>
      <c r="CF13" s="1">
        <v>1.9599999999999999E-3</v>
      </c>
      <c r="CG13" s="1">
        <v>1.6199999999999999E-3</v>
      </c>
      <c r="CH13" s="1">
        <v>1.74E-3</v>
      </c>
      <c r="CI13" s="1">
        <v>2.15E-3</v>
      </c>
      <c r="CJ13" s="1">
        <v>1.9499999999999999E-3</v>
      </c>
      <c r="CK13" s="1">
        <v>1.6999999999999999E-3</v>
      </c>
      <c r="CL13" s="1">
        <v>1.8500000000000001E-3</v>
      </c>
      <c r="CM13" s="1">
        <v>1.74E-3</v>
      </c>
      <c r="CN13" s="1">
        <v>1.33E-3</v>
      </c>
      <c r="CO13" s="1">
        <v>1.7799999999999999E-3</v>
      </c>
      <c r="CP13" s="1">
        <v>1.73E-3</v>
      </c>
      <c r="CQ13" s="1">
        <v>1.24E-3</v>
      </c>
      <c r="CR13" s="1">
        <v>1.56E-3</v>
      </c>
      <c r="CS13" s="1">
        <v>9.0600000000000001E-4</v>
      </c>
      <c r="CT13" s="1">
        <v>8.3299999999999997E-4</v>
      </c>
      <c r="CU13" s="1">
        <v>7.85E-4</v>
      </c>
      <c r="CV13" s="1">
        <v>9.4700000000000003E-4</v>
      </c>
    </row>
    <row r="14" spans="1:100" x14ac:dyDescent="0.2">
      <c r="A14" t="s">
        <v>215</v>
      </c>
      <c r="B14" s="1">
        <v>2.5499999999999998E-2</v>
      </c>
      <c r="C14" s="1">
        <v>3.1300000000000001E-2</v>
      </c>
      <c r="D14" s="1">
        <v>2.9700000000000001E-2</v>
      </c>
      <c r="E14" s="1">
        <v>0.03</v>
      </c>
      <c r="F14" s="1">
        <v>2.6499999999999999E-2</v>
      </c>
      <c r="G14" s="1">
        <v>2.6700000000000002E-2</v>
      </c>
      <c r="H14" s="1">
        <v>2.4199999999999999E-2</v>
      </c>
      <c r="I14" s="1">
        <v>2.1700000000000001E-2</v>
      </c>
      <c r="J14" s="1">
        <v>2.07E-2</v>
      </c>
      <c r="K14" s="1">
        <v>1.5800000000000002E-2</v>
      </c>
      <c r="L14" s="1">
        <v>1.49E-2</v>
      </c>
      <c r="M14" s="1">
        <v>1.38E-2</v>
      </c>
      <c r="N14" s="1">
        <v>1.2200000000000001E-2</v>
      </c>
      <c r="O14" s="1">
        <v>1.0500000000000001E-2</v>
      </c>
      <c r="P14" s="1">
        <v>8.2100000000000003E-3</v>
      </c>
      <c r="Q14" s="1">
        <v>7.62E-3</v>
      </c>
      <c r="R14" s="1">
        <v>6.8900000000000003E-3</v>
      </c>
      <c r="S14" s="1">
        <v>6.6100000000000004E-3</v>
      </c>
      <c r="T14" s="1">
        <v>5.8100000000000001E-3</v>
      </c>
      <c r="U14" s="1">
        <v>5.4099999999999999E-3</v>
      </c>
      <c r="V14" s="1">
        <v>5.2500000000000003E-3</v>
      </c>
      <c r="W14" s="1">
        <v>5.1799999999999997E-3</v>
      </c>
      <c r="X14" s="1">
        <v>5.2199999999999998E-3</v>
      </c>
      <c r="Y14" s="1">
        <v>5.13E-3</v>
      </c>
      <c r="Z14" s="1">
        <v>5.0899999999999999E-3</v>
      </c>
      <c r="AA14" s="1">
        <v>4.9300000000000004E-3</v>
      </c>
      <c r="AB14" s="1">
        <v>4.8700000000000002E-3</v>
      </c>
      <c r="AC14" s="1">
        <v>4.8300000000000001E-3</v>
      </c>
      <c r="AD14" s="1">
        <v>4.8199999999999996E-3</v>
      </c>
      <c r="AE14" s="1">
        <v>4.8999999999999998E-3</v>
      </c>
      <c r="AF14" s="1">
        <v>4.8399999999999997E-3</v>
      </c>
      <c r="AG14" s="1">
        <v>4.81E-3</v>
      </c>
      <c r="AH14" s="1">
        <v>4.7600000000000003E-3</v>
      </c>
      <c r="AI14" s="1">
        <v>4.9899999999999996E-3</v>
      </c>
      <c r="AJ14" s="1">
        <v>4.9300000000000004E-3</v>
      </c>
      <c r="AK14" s="1">
        <v>4.7499999999999999E-3</v>
      </c>
      <c r="AL14" s="1">
        <v>4.62E-3</v>
      </c>
      <c r="AM14" s="1">
        <v>4.4799999999999996E-3</v>
      </c>
      <c r="AN14" s="1">
        <v>4.5300000000000002E-3</v>
      </c>
      <c r="AO14" s="1">
        <v>4.6299999999999996E-3</v>
      </c>
      <c r="AP14" s="1">
        <v>4.7000000000000002E-3</v>
      </c>
      <c r="AQ14" s="1">
        <v>4.5700000000000003E-3</v>
      </c>
      <c r="AR14" s="1">
        <v>4.5900000000000003E-3</v>
      </c>
      <c r="AS14" s="1">
        <v>4.45E-3</v>
      </c>
      <c r="AT14" s="1">
        <v>4.0699999999999998E-3</v>
      </c>
      <c r="AU14" s="1">
        <v>4.0400000000000002E-3</v>
      </c>
      <c r="AV14" s="1">
        <v>4.1399999999999996E-3</v>
      </c>
      <c r="AW14" s="1">
        <v>4.4099999999999999E-3</v>
      </c>
      <c r="AX14" s="1">
        <v>4.13E-3</v>
      </c>
      <c r="AY14" s="1">
        <v>4.2399999999999998E-3</v>
      </c>
      <c r="AZ14" s="1">
        <v>4.1399999999999996E-3</v>
      </c>
      <c r="BA14" s="1">
        <v>4.2399999999999998E-3</v>
      </c>
      <c r="BB14" s="1">
        <v>4.3899999999999998E-3</v>
      </c>
      <c r="BC14" s="1">
        <v>4.4999999999999997E-3</v>
      </c>
      <c r="BD14" s="1">
        <v>4.7400000000000003E-3</v>
      </c>
      <c r="BE14" s="1">
        <v>4.7600000000000003E-3</v>
      </c>
      <c r="BF14" s="1">
        <v>4.4400000000000004E-3</v>
      </c>
      <c r="BG14" s="1">
        <v>4.13E-3</v>
      </c>
      <c r="BH14" s="1">
        <v>4.2199999999999998E-3</v>
      </c>
      <c r="BI14" s="1">
        <v>4.3400000000000001E-3</v>
      </c>
      <c r="BJ14" s="1">
        <v>4.2599999999999999E-3</v>
      </c>
      <c r="BK14" s="1">
        <v>4.1599999999999996E-3</v>
      </c>
      <c r="BL14" s="1">
        <v>4.3899999999999998E-3</v>
      </c>
      <c r="BM14" s="1">
        <v>4.3E-3</v>
      </c>
      <c r="BN14" s="1">
        <v>4.1700000000000001E-3</v>
      </c>
      <c r="BO14" s="1">
        <v>3.7599999999999999E-3</v>
      </c>
      <c r="BP14" s="1">
        <v>3.7499999999999999E-3</v>
      </c>
      <c r="BQ14" s="1">
        <v>3.7499999999999999E-3</v>
      </c>
      <c r="BR14" s="1">
        <v>3.7799999999999999E-3</v>
      </c>
      <c r="BS14" s="1">
        <v>3.3400000000000001E-3</v>
      </c>
      <c r="BT14" s="1">
        <v>2.9399999999999999E-3</v>
      </c>
      <c r="BU14" s="1">
        <v>2.7299999999999998E-3</v>
      </c>
      <c r="BV14" s="1">
        <v>2.2899999999999999E-3</v>
      </c>
      <c r="BW14" s="1">
        <v>2.5300000000000001E-3</v>
      </c>
      <c r="BX14" s="1">
        <v>1.89E-3</v>
      </c>
      <c r="BY14" s="1">
        <v>1.89E-3</v>
      </c>
      <c r="BZ14" s="1">
        <v>2.1199999999999999E-3</v>
      </c>
      <c r="CA14" s="1">
        <v>1.66E-3</v>
      </c>
      <c r="CB14" s="1">
        <v>1.2899999999999999E-3</v>
      </c>
      <c r="CC14" s="1">
        <v>-8.1500000000000002E-5</v>
      </c>
      <c r="CD14" s="1">
        <v>-4.8999999999999998E-4</v>
      </c>
      <c r="CE14" s="1">
        <v>-3.4499999999999998E-4</v>
      </c>
      <c r="CF14" s="1">
        <v>-8.0400000000000003E-4</v>
      </c>
      <c r="CG14" s="1">
        <v>-4.8899999999999996E-4</v>
      </c>
      <c r="CH14" s="1">
        <v>-1.1100000000000001E-3</v>
      </c>
      <c r="CI14" s="1">
        <v>-2.8600000000000001E-3</v>
      </c>
      <c r="CJ14" s="1">
        <v>-4.1999999999999997E-3</v>
      </c>
      <c r="CK14" s="1">
        <v>-4.7800000000000004E-3</v>
      </c>
      <c r="CL14" s="1">
        <v>-6.1999999999999998E-3</v>
      </c>
      <c r="CM14" s="1">
        <v>-6.6299999999999996E-3</v>
      </c>
      <c r="CN14" s="1">
        <v>-6.3600000000000002E-3</v>
      </c>
      <c r="CO14" s="1">
        <v>-8.0000000000000002E-3</v>
      </c>
      <c r="CP14" s="1">
        <v>-9.7999999999999997E-3</v>
      </c>
      <c r="CQ14" s="1">
        <v>-9.0299999999999998E-3</v>
      </c>
      <c r="CR14" s="1">
        <v>-1.0800000000000001E-2</v>
      </c>
      <c r="CS14" s="1">
        <v>-9.4800000000000006E-3</v>
      </c>
      <c r="CT14" s="1">
        <v>-1.17E-2</v>
      </c>
      <c r="CU14" s="1">
        <v>-1.44E-2</v>
      </c>
      <c r="CV14" s="1">
        <v>-1.52E-2</v>
      </c>
    </row>
    <row r="15" spans="1:100" x14ac:dyDescent="0.2">
      <c r="A15" t="s">
        <v>208</v>
      </c>
      <c r="B15" s="1">
        <v>2.29E-2</v>
      </c>
      <c r="C15" s="1">
        <v>0.435</v>
      </c>
      <c r="D15" s="1">
        <v>0.749</v>
      </c>
      <c r="E15" s="1">
        <v>2.9700000000000001E-2</v>
      </c>
      <c r="F15" s="1">
        <v>0.86</v>
      </c>
      <c r="G15" s="1">
        <v>0.27300000000000002</v>
      </c>
      <c r="H15" s="1">
        <v>0.46500000000000002</v>
      </c>
      <c r="I15" s="1">
        <v>0.35599999999999998</v>
      </c>
      <c r="J15" s="1">
        <v>0.19400000000000001</v>
      </c>
      <c r="K15" s="1">
        <v>0.45</v>
      </c>
      <c r="L15" s="1">
        <v>0.36099999999999999</v>
      </c>
      <c r="M15" s="1">
        <v>2.0899999999999998E-2</v>
      </c>
      <c r="N15" s="1">
        <v>8.8900000000000007E-2</v>
      </c>
      <c r="O15" s="1">
        <v>8.4000000000000005E-2</v>
      </c>
      <c r="P15" s="1">
        <v>0.114</v>
      </c>
      <c r="Q15" s="1">
        <v>0.108</v>
      </c>
      <c r="R15" s="1">
        <v>4.48E-2</v>
      </c>
      <c r="S15" s="1">
        <v>1.6400000000000001E-2</v>
      </c>
      <c r="T15" s="1">
        <v>-1.6E-2</v>
      </c>
      <c r="U15" s="1">
        <v>-1.77E-2</v>
      </c>
      <c r="V15" s="1">
        <v>-1.11E-2</v>
      </c>
      <c r="W15" s="1">
        <v>-5.1299999999999998E-2</v>
      </c>
      <c r="X15" s="1">
        <v>-4.5400000000000003E-2</v>
      </c>
      <c r="Y15" s="1">
        <v>-3.9899999999999998E-2</v>
      </c>
      <c r="Z15" s="1">
        <v>-3.5499999999999997E-2</v>
      </c>
      <c r="AA15" s="1">
        <v>-3.3700000000000001E-2</v>
      </c>
      <c r="AB15" s="1">
        <v>-2.5600000000000001E-2</v>
      </c>
      <c r="AC15" s="1">
        <v>-1.84E-2</v>
      </c>
      <c r="AD15" s="1">
        <v>-1.8700000000000001E-2</v>
      </c>
      <c r="AE15" s="1">
        <v>-1.9800000000000002E-2</v>
      </c>
      <c r="AF15" s="1">
        <v>-1.7999999999999999E-2</v>
      </c>
      <c r="AG15" s="1">
        <v>-1.29E-2</v>
      </c>
      <c r="AH15" s="1">
        <v>-8.9499999999999996E-3</v>
      </c>
      <c r="AI15" s="1">
        <v>-6.3899999999999998E-3</v>
      </c>
      <c r="AJ15" s="1">
        <v>1.2999999999999999E-2</v>
      </c>
      <c r="AK15" s="1">
        <v>2.0400000000000001E-2</v>
      </c>
      <c r="AL15" s="1">
        <v>1.2200000000000001E-2</v>
      </c>
      <c r="AM15" s="1">
        <v>-4.9399999999999999E-3</v>
      </c>
      <c r="AN15" s="1">
        <v>-1.78E-2</v>
      </c>
      <c r="AO15" s="1">
        <v>-3.1099999999999999E-2</v>
      </c>
      <c r="AP15" s="1">
        <v>-3.5499999999999997E-2</v>
      </c>
      <c r="AQ15" s="1">
        <v>-5.0200000000000002E-2</v>
      </c>
      <c r="AR15" s="1">
        <v>-5.3499999999999999E-2</v>
      </c>
      <c r="AS15" s="1">
        <v>-5.4100000000000002E-2</v>
      </c>
      <c r="AT15" s="1">
        <v>-5.5199999999999999E-2</v>
      </c>
      <c r="AU15" s="1">
        <v>-4.9599999999999998E-2</v>
      </c>
      <c r="AV15" s="1">
        <v>-4.6800000000000001E-2</v>
      </c>
      <c r="AW15" s="1">
        <v>-5.8299999999999998E-2</v>
      </c>
      <c r="AX15" s="1">
        <v>-5.6000000000000001E-2</v>
      </c>
      <c r="AY15" s="1">
        <v>-6.8000000000000005E-2</v>
      </c>
      <c r="AZ15" s="1">
        <v>-7.0000000000000007E-2</v>
      </c>
      <c r="BA15" s="1">
        <v>-9.8199999999999996E-2</v>
      </c>
      <c r="BB15" s="1">
        <v>-0.129</v>
      </c>
      <c r="BC15" s="1">
        <v>-0.14899999999999999</v>
      </c>
      <c r="BD15" s="1">
        <v>-0.128</v>
      </c>
      <c r="BE15" s="1">
        <v>-0.13200000000000001</v>
      </c>
      <c r="BF15" s="1">
        <v>-0.115</v>
      </c>
      <c r="BG15" s="1">
        <v>-9.1200000000000003E-2</v>
      </c>
      <c r="BH15" s="1">
        <v>-8.09E-2</v>
      </c>
      <c r="BI15" s="1">
        <v>-5.91E-2</v>
      </c>
      <c r="BJ15" s="1">
        <v>-5.3800000000000001E-2</v>
      </c>
      <c r="BK15" s="1">
        <v>-8.2799999999999999E-2</v>
      </c>
      <c r="BL15" s="1">
        <v>-0.11899999999999999</v>
      </c>
      <c r="BM15" s="1">
        <v>-0.16600000000000001</v>
      </c>
      <c r="BN15" s="1">
        <v>-0.20100000000000001</v>
      </c>
      <c r="BO15" s="1">
        <v>-0.216</v>
      </c>
      <c r="BP15" s="1">
        <v>-0.214</v>
      </c>
      <c r="BQ15" s="1">
        <v>-0.22500000000000001</v>
      </c>
      <c r="BR15" s="1">
        <v>-0.23300000000000001</v>
      </c>
      <c r="BS15" s="1">
        <v>-0.19600000000000001</v>
      </c>
      <c r="BT15" s="1">
        <v>-0.11600000000000001</v>
      </c>
      <c r="BU15" s="1">
        <v>-8.7900000000000006E-2</v>
      </c>
      <c r="BV15" s="1">
        <v>-0.11700000000000001</v>
      </c>
      <c r="BW15" s="1">
        <v>-0.17699999999999999</v>
      </c>
      <c r="BX15" s="1">
        <v>-0.19600000000000001</v>
      </c>
      <c r="BY15" s="1">
        <v>-0.21199999999999999</v>
      </c>
      <c r="BZ15" s="1">
        <v>-0.186</v>
      </c>
      <c r="CA15" s="1">
        <v>-0.22900000000000001</v>
      </c>
      <c r="CB15" s="1">
        <v>-0.28599999999999998</v>
      </c>
      <c r="CC15" s="1">
        <v>-0.33400000000000002</v>
      </c>
      <c r="CD15" s="1">
        <v>-0.379</v>
      </c>
      <c r="CE15" s="1">
        <v>-0.34699999999999998</v>
      </c>
      <c r="CF15" s="1">
        <v>-0.21299999999999999</v>
      </c>
      <c r="CG15" s="1">
        <v>-0.124</v>
      </c>
      <c r="CH15" s="1">
        <v>-0.13600000000000001</v>
      </c>
      <c r="CI15" s="1">
        <v>-0.4</v>
      </c>
      <c r="CJ15" s="1">
        <v>-0.42499999999999999</v>
      </c>
      <c r="CK15" s="1">
        <v>-0.41499999999999998</v>
      </c>
      <c r="CL15" s="1">
        <v>-0.35899999999999999</v>
      </c>
      <c r="CM15" s="1">
        <v>-0.36299999999999999</v>
      </c>
      <c r="CN15" s="1">
        <v>-0.36399999999999999</v>
      </c>
      <c r="CO15" s="1">
        <v>-0.503</v>
      </c>
      <c r="CP15" s="1">
        <v>-0.43</v>
      </c>
      <c r="CQ15" s="1">
        <v>-0.32300000000000001</v>
      </c>
      <c r="CR15" s="1">
        <v>-0.41299999999999998</v>
      </c>
      <c r="CS15" s="1">
        <v>-0.24399999999999999</v>
      </c>
      <c r="CT15" s="1">
        <v>-0.45100000000000001</v>
      </c>
      <c r="CU15" s="1">
        <v>-0.27900000000000003</v>
      </c>
      <c r="CV15" s="1">
        <v>-0.30199999999999999</v>
      </c>
    </row>
    <row r="16" spans="1:100" x14ac:dyDescent="0.2">
      <c r="A16" t="s">
        <v>209</v>
      </c>
      <c r="B16" s="1">
        <v>-0.115</v>
      </c>
      <c r="C16" s="1">
        <v>-0.08</v>
      </c>
      <c r="D16" s="1">
        <v>-7.0499999999999993E-2</v>
      </c>
      <c r="E16" s="1">
        <v>-0.23699999999999999</v>
      </c>
      <c r="F16" s="1">
        <v>2.0300000000000001E-3</v>
      </c>
      <c r="G16" s="1">
        <v>-0.17</v>
      </c>
      <c r="H16" s="1">
        <v>-6.7500000000000004E-2</v>
      </c>
      <c r="I16" s="1">
        <v>-4.7899999999999998E-2</v>
      </c>
      <c r="J16" s="1">
        <v>-8.72E-2</v>
      </c>
      <c r="K16" s="1">
        <v>3.5999999999999997E-2</v>
      </c>
      <c r="L16" s="1">
        <v>6.0699999999999997E-2</v>
      </c>
      <c r="M16" s="1">
        <v>-6.5199999999999994E-2</v>
      </c>
      <c r="N16" s="1">
        <v>-3.32E-3</v>
      </c>
      <c r="O16" s="1">
        <v>2.48E-3</v>
      </c>
      <c r="P16" s="1">
        <v>1.5299999999999999E-2</v>
      </c>
      <c r="Q16" s="1">
        <v>1.47E-2</v>
      </c>
      <c r="R16" s="1">
        <v>-1.6E-2</v>
      </c>
      <c r="S16" s="1">
        <v>-2.0199999999999999E-2</v>
      </c>
      <c r="T16" s="1">
        <v>-2.6499999999999999E-2</v>
      </c>
      <c r="U16" s="1">
        <v>-1.3299999999999999E-2</v>
      </c>
      <c r="V16" s="1">
        <v>-7.43E-3</v>
      </c>
      <c r="W16" s="1">
        <v>-3.4099999999999998E-2</v>
      </c>
      <c r="X16" s="1">
        <v>-3.5400000000000001E-2</v>
      </c>
      <c r="Y16" s="1">
        <v>-2.3099999999999999E-2</v>
      </c>
      <c r="Z16" s="1">
        <v>-1.4500000000000001E-2</v>
      </c>
      <c r="AA16" s="1">
        <v>-8.1099999999999992E-3</v>
      </c>
      <c r="AB16" s="1">
        <v>-2.1700000000000001E-3</v>
      </c>
      <c r="AC16" s="1">
        <v>2.5999999999999999E-3</v>
      </c>
      <c r="AD16" s="1">
        <v>6.2300000000000003E-3</v>
      </c>
      <c r="AE16" s="1">
        <v>1.24E-2</v>
      </c>
      <c r="AF16" s="1">
        <v>2.7799999999999998E-2</v>
      </c>
      <c r="AG16" s="1">
        <v>3.4000000000000002E-2</v>
      </c>
      <c r="AH16" s="1">
        <v>4.4400000000000002E-2</v>
      </c>
      <c r="AI16" s="1">
        <v>5.4100000000000002E-2</v>
      </c>
      <c r="AJ16" s="1">
        <v>6.9500000000000006E-2</v>
      </c>
      <c r="AK16" s="1">
        <v>6.9699999999999998E-2</v>
      </c>
      <c r="AL16" s="1">
        <v>7.22E-2</v>
      </c>
      <c r="AM16" s="1">
        <v>6.5000000000000002E-2</v>
      </c>
      <c r="AN16" s="1">
        <v>6.5600000000000006E-2</v>
      </c>
      <c r="AO16" s="1">
        <v>6.3899999999999998E-2</v>
      </c>
      <c r="AP16" s="1">
        <v>6.3799999999999996E-2</v>
      </c>
      <c r="AQ16" s="1">
        <v>4.65E-2</v>
      </c>
      <c r="AR16" s="1">
        <v>4.6899999999999997E-2</v>
      </c>
      <c r="AS16" s="1">
        <v>4.6100000000000002E-2</v>
      </c>
      <c r="AT16" s="1">
        <v>5.1900000000000002E-2</v>
      </c>
      <c r="AU16" s="1">
        <v>0.05</v>
      </c>
      <c r="AV16" s="1">
        <v>4.6600000000000003E-2</v>
      </c>
      <c r="AW16" s="1">
        <v>3.6700000000000003E-2</v>
      </c>
      <c r="AX16" s="1">
        <v>4.2500000000000003E-2</v>
      </c>
      <c r="AY16" s="1">
        <v>3.5299999999999998E-2</v>
      </c>
      <c r="AZ16" s="1">
        <v>4.5100000000000001E-2</v>
      </c>
      <c r="BA16" s="1">
        <v>2.0400000000000001E-2</v>
      </c>
      <c r="BB16" s="1">
        <v>1.4799999999999999E-4</v>
      </c>
      <c r="BC16" s="1">
        <v>-6.8599999999999998E-4</v>
      </c>
      <c r="BD16" s="1">
        <v>1.26E-2</v>
      </c>
      <c r="BE16" s="1">
        <v>2.1600000000000001E-2</v>
      </c>
      <c r="BF16" s="1">
        <v>3.8199999999999998E-2</v>
      </c>
      <c r="BG16" s="1">
        <v>6.0999999999999999E-2</v>
      </c>
      <c r="BH16" s="1">
        <v>6.1800000000000001E-2</v>
      </c>
      <c r="BI16" s="1">
        <v>7.5800000000000006E-2</v>
      </c>
      <c r="BJ16" s="1">
        <v>8.2600000000000007E-2</v>
      </c>
      <c r="BK16" s="1">
        <v>7.3700000000000002E-2</v>
      </c>
      <c r="BL16" s="1">
        <v>2.9000000000000001E-2</v>
      </c>
      <c r="BM16" s="1">
        <v>-1.37E-2</v>
      </c>
      <c r="BN16" s="1">
        <v>-4.1000000000000002E-2</v>
      </c>
      <c r="BO16" s="1">
        <v>-5.0200000000000002E-2</v>
      </c>
      <c r="BP16" s="1">
        <v>-5.0200000000000002E-2</v>
      </c>
      <c r="BQ16" s="1">
        <v>-5.7299999999999997E-2</v>
      </c>
      <c r="BR16" s="1">
        <v>-6.4600000000000005E-2</v>
      </c>
      <c r="BS16" s="1">
        <v>-1.4800000000000001E-2</v>
      </c>
      <c r="BT16" s="1">
        <v>9.0200000000000002E-2</v>
      </c>
      <c r="BU16" s="1">
        <v>0.128</v>
      </c>
      <c r="BV16" s="1">
        <v>0.10199999999999999</v>
      </c>
      <c r="BW16" s="1">
        <v>6.3E-2</v>
      </c>
      <c r="BX16" s="1">
        <v>4.0800000000000003E-2</v>
      </c>
      <c r="BY16" s="1">
        <v>2.0899999999999998E-2</v>
      </c>
      <c r="BZ16" s="1">
        <v>5.45E-2</v>
      </c>
      <c r="CA16" s="1">
        <v>2.4899999999999999E-2</v>
      </c>
      <c r="CB16" s="1">
        <v>-2.9399999999999999E-2</v>
      </c>
      <c r="CC16" s="1">
        <v>-5.0500000000000003E-2</v>
      </c>
      <c r="CD16" s="1">
        <v>-8.5900000000000004E-2</v>
      </c>
      <c r="CE16" s="1">
        <v>-6.0900000000000003E-2</v>
      </c>
      <c r="CF16" s="1">
        <v>6.13E-2</v>
      </c>
      <c r="CG16" s="1">
        <v>0.14399999999999999</v>
      </c>
      <c r="CH16" s="1">
        <v>0.17100000000000001</v>
      </c>
      <c r="CI16" s="1">
        <v>-6.13E-2</v>
      </c>
      <c r="CJ16" s="1">
        <v>-0.105</v>
      </c>
      <c r="CK16" s="1">
        <v>-0.11</v>
      </c>
      <c r="CL16" s="1">
        <v>-1.3899999999999999E-2</v>
      </c>
      <c r="CM16" s="1">
        <v>-1.4999999999999999E-2</v>
      </c>
      <c r="CN16" s="1">
        <v>-4.4200000000000003E-2</v>
      </c>
      <c r="CO16" s="1">
        <v>-0.158</v>
      </c>
      <c r="CP16" s="1">
        <v>-2.3900000000000001E-2</v>
      </c>
      <c r="CQ16" s="1">
        <v>6.1499999999999999E-2</v>
      </c>
      <c r="CR16" s="1">
        <v>-1.47E-2</v>
      </c>
      <c r="CS16" s="1">
        <v>6.6400000000000001E-2</v>
      </c>
      <c r="CT16" s="1">
        <v>-0.16300000000000001</v>
      </c>
      <c r="CU16" s="1">
        <v>2.52E-2</v>
      </c>
      <c r="CV16" s="1">
        <v>-6.08E-2</v>
      </c>
    </row>
    <row r="17" spans="1:100" x14ac:dyDescent="0.2">
      <c r="A17" t="s">
        <v>210</v>
      </c>
      <c r="B17" s="1">
        <v>7.9500000000000001E-2</v>
      </c>
      <c r="C17" s="1">
        <v>6.8500000000000005E-2</v>
      </c>
      <c r="D17" s="1">
        <v>3.7600000000000001E-2</v>
      </c>
      <c r="E17" s="1">
        <v>6.0999999999999999E-2</v>
      </c>
      <c r="F17" s="1">
        <v>-8.5500000000000003E-3</v>
      </c>
      <c r="G17" s="1">
        <v>3.1899999999999998E-2</v>
      </c>
      <c r="H17" s="1">
        <v>9.9500000000000005E-3</v>
      </c>
      <c r="I17" s="1">
        <v>4.47E-3</v>
      </c>
      <c r="J17" s="1">
        <v>1.03E-2</v>
      </c>
      <c r="K17" s="1">
        <v>-1.6199999999999999E-2</v>
      </c>
      <c r="L17" s="1">
        <v>-1.3100000000000001E-2</v>
      </c>
      <c r="M17" s="1">
        <v>8.8999999999999999E-3</v>
      </c>
      <c r="N17" s="1">
        <v>6.4700000000000001E-4</v>
      </c>
      <c r="O17" s="1">
        <v>-1.7799999999999999E-3</v>
      </c>
      <c r="P17" s="1">
        <v>-4.3400000000000001E-3</v>
      </c>
      <c r="Q17" s="1">
        <v>-3.8700000000000002E-3</v>
      </c>
      <c r="R17" s="1">
        <v>1.7799999999999999E-3</v>
      </c>
      <c r="S17" s="1">
        <v>2.1099999999999999E-3</v>
      </c>
      <c r="T17" s="1">
        <v>4.8399999999999997E-3</v>
      </c>
      <c r="U17" s="1">
        <v>3.4399999999999999E-3</v>
      </c>
      <c r="V17" s="1">
        <v>4.0600000000000002E-3</v>
      </c>
      <c r="W17" s="1">
        <v>8.5299999999999994E-3</v>
      </c>
      <c r="X17" s="1">
        <v>8.1499999999999993E-3</v>
      </c>
      <c r="Y17" s="1">
        <v>8.5699999999999995E-3</v>
      </c>
      <c r="Z17" s="1">
        <v>7.9000000000000008E-3</v>
      </c>
      <c r="AA17" s="1">
        <v>8.5199999999999998E-3</v>
      </c>
      <c r="AB17" s="1">
        <v>8.8000000000000005E-3</v>
      </c>
      <c r="AC17" s="1">
        <v>8.3300000000000006E-3</v>
      </c>
      <c r="AD17" s="1">
        <v>8.0800000000000004E-3</v>
      </c>
      <c r="AE17" s="1">
        <v>7.5700000000000003E-3</v>
      </c>
      <c r="AF17" s="1">
        <v>7.8300000000000002E-3</v>
      </c>
      <c r="AG17" s="1">
        <v>7.62E-3</v>
      </c>
      <c r="AH17" s="1">
        <v>6.7400000000000003E-3</v>
      </c>
      <c r="AI17" s="1">
        <v>4.7999999999999996E-3</v>
      </c>
      <c r="AJ17" s="1">
        <v>2.16E-3</v>
      </c>
      <c r="AK17" s="1">
        <v>2.7000000000000001E-3</v>
      </c>
      <c r="AL17" s="1">
        <v>3.3500000000000001E-3</v>
      </c>
      <c r="AM17" s="1">
        <v>4.9100000000000003E-3</v>
      </c>
      <c r="AN17" s="1">
        <v>6.7999999999999996E-3</v>
      </c>
      <c r="AO17" s="1">
        <v>9.8300000000000002E-3</v>
      </c>
      <c r="AP17" s="1">
        <v>1.2800000000000001E-2</v>
      </c>
      <c r="AQ17" s="1">
        <v>1.54E-2</v>
      </c>
      <c r="AR17" s="1">
        <v>1.52E-2</v>
      </c>
      <c r="AS17" s="1">
        <v>1.4999999999999999E-2</v>
      </c>
      <c r="AT17" s="1">
        <v>1.2999999999999999E-2</v>
      </c>
      <c r="AU17" s="1">
        <v>1.3299999999999999E-2</v>
      </c>
      <c r="AV17" s="1">
        <v>1.2699999999999999E-2</v>
      </c>
      <c r="AW17" s="1">
        <v>1.32E-2</v>
      </c>
      <c r="AX17" s="1">
        <v>1.0800000000000001E-2</v>
      </c>
      <c r="AY17" s="1">
        <v>1.14E-2</v>
      </c>
      <c r="AZ17" s="1">
        <v>1.06E-2</v>
      </c>
      <c r="BA17" s="1">
        <v>1.6199999999999999E-2</v>
      </c>
      <c r="BB17" s="1">
        <v>1.7899999999999999E-2</v>
      </c>
      <c r="BC17" s="1">
        <v>1.9099999999999999E-2</v>
      </c>
      <c r="BD17" s="1">
        <v>1.5699999999999999E-2</v>
      </c>
      <c r="BE17" s="1">
        <v>1.44E-2</v>
      </c>
      <c r="BF17" s="1">
        <v>1.0999999999999999E-2</v>
      </c>
      <c r="BG17" s="1">
        <v>8.26E-3</v>
      </c>
      <c r="BH17" s="1">
        <v>9.8700000000000003E-3</v>
      </c>
      <c r="BI17" s="1">
        <v>5.9699999999999996E-3</v>
      </c>
      <c r="BJ17" s="1">
        <v>4.2700000000000004E-3</v>
      </c>
      <c r="BK17" s="1">
        <v>9.0799999999999995E-3</v>
      </c>
      <c r="BL17" s="1">
        <v>1.84E-2</v>
      </c>
      <c r="BM17" s="1">
        <v>2.46E-2</v>
      </c>
      <c r="BN17" s="1">
        <v>3.1300000000000001E-2</v>
      </c>
      <c r="BO17" s="1">
        <v>3.2000000000000001E-2</v>
      </c>
      <c r="BP17" s="1">
        <v>3.09E-2</v>
      </c>
      <c r="BQ17" s="1">
        <v>3.0099999999999998E-2</v>
      </c>
      <c r="BR17" s="1">
        <v>2.87E-2</v>
      </c>
      <c r="BS17" s="1">
        <v>1.9800000000000002E-2</v>
      </c>
      <c r="BT17" s="1">
        <v>2.4299999999999999E-3</v>
      </c>
      <c r="BU17" s="1">
        <v>-3.5300000000000002E-3</v>
      </c>
      <c r="BV17" s="1">
        <v>9.6900000000000003E-4</v>
      </c>
      <c r="BW17" s="1">
        <v>1.23E-2</v>
      </c>
      <c r="BX17" s="1">
        <v>1.77E-2</v>
      </c>
      <c r="BY17" s="1">
        <v>1.8700000000000001E-2</v>
      </c>
      <c r="BZ17" s="1">
        <v>7.8499999999999993E-3</v>
      </c>
      <c r="CA17" s="1">
        <v>1.1299999999999999E-2</v>
      </c>
      <c r="CB17" s="1">
        <v>2.2599999999999999E-2</v>
      </c>
      <c r="CC17" s="1">
        <v>2.4899999999999999E-2</v>
      </c>
      <c r="CD17" s="1">
        <v>3.2500000000000001E-2</v>
      </c>
      <c r="CE17" s="1">
        <v>2.5600000000000001E-2</v>
      </c>
      <c r="CF17" s="1">
        <v>2.3500000000000001E-3</v>
      </c>
      <c r="CG17" s="1">
        <v>-1.7600000000000001E-2</v>
      </c>
      <c r="CH17" s="1">
        <v>-2.4400000000000002E-2</v>
      </c>
      <c r="CI17" s="1">
        <v>2.3199999999999998E-2</v>
      </c>
      <c r="CJ17" s="1">
        <v>3.4200000000000001E-2</v>
      </c>
      <c r="CK17" s="1">
        <v>3.3300000000000003E-2</v>
      </c>
      <c r="CL17" s="1">
        <v>1.01E-2</v>
      </c>
      <c r="CM17" s="1">
        <v>1.47E-2</v>
      </c>
      <c r="CN17" s="1">
        <v>1.84E-2</v>
      </c>
      <c r="CO17" s="1">
        <v>4.1300000000000003E-2</v>
      </c>
      <c r="CP17" s="1">
        <v>1.64E-3</v>
      </c>
      <c r="CQ17" s="1">
        <v>-2.7699999999999999E-2</v>
      </c>
      <c r="CR17" s="1">
        <v>3.0400000000000002E-3</v>
      </c>
      <c r="CS17" s="1">
        <v>-3.6400000000000002E-2</v>
      </c>
      <c r="CT17" s="1">
        <v>1.6199999999999999E-2</v>
      </c>
      <c r="CU17" s="1">
        <v>-2.8400000000000002E-2</v>
      </c>
      <c r="CV17" s="1">
        <v>4.19E-2</v>
      </c>
    </row>
    <row r="18" spans="1:100" x14ac:dyDescent="0.2">
      <c r="A18" t="s">
        <v>211</v>
      </c>
      <c r="B18" s="1">
        <v>2.2100000000000002E-2</v>
      </c>
      <c r="C18" s="1">
        <v>1.3299999999999999E-2</v>
      </c>
      <c r="D18" s="1">
        <v>1.5299999999999999E-2</v>
      </c>
      <c r="E18" s="1">
        <v>2.87E-2</v>
      </c>
      <c r="F18" s="1">
        <v>5.96E-3</v>
      </c>
      <c r="G18" s="1">
        <v>1.5299999999999999E-2</v>
      </c>
      <c r="H18" s="1">
        <v>6.4599999999999996E-3</v>
      </c>
      <c r="I18" s="1">
        <v>1.2999999999999999E-2</v>
      </c>
      <c r="J18" s="1">
        <v>1.7100000000000001E-2</v>
      </c>
      <c r="K18" s="1">
        <v>7.5199999999999998E-3</v>
      </c>
      <c r="L18" s="1">
        <v>1.04E-2</v>
      </c>
      <c r="M18" s="1">
        <v>1.8800000000000001E-2</v>
      </c>
      <c r="N18" s="1">
        <v>1.4999999999999999E-2</v>
      </c>
      <c r="O18" s="1">
        <v>1.55E-2</v>
      </c>
      <c r="P18" s="1">
        <v>1.24E-2</v>
      </c>
      <c r="Q18" s="1">
        <v>1.0699999999999999E-2</v>
      </c>
      <c r="R18" s="1">
        <v>9.1299999999999992E-3</v>
      </c>
      <c r="S18" s="1">
        <v>1.12E-2</v>
      </c>
      <c r="T18" s="1">
        <v>1.03E-2</v>
      </c>
      <c r="U18" s="1">
        <v>9.3699999999999999E-3</v>
      </c>
      <c r="V18" s="1">
        <v>8.6199999999999992E-3</v>
      </c>
      <c r="W18" s="1">
        <v>1.17E-2</v>
      </c>
      <c r="X18" s="1">
        <v>9.8600000000000007E-3</v>
      </c>
      <c r="Y18" s="1">
        <v>1.14E-2</v>
      </c>
      <c r="Z18" s="1">
        <v>1.0200000000000001E-2</v>
      </c>
      <c r="AA18" s="1">
        <v>9.1599999999999997E-3</v>
      </c>
      <c r="AB18" s="1">
        <v>9.9900000000000006E-3</v>
      </c>
      <c r="AC18" s="1">
        <v>8.4200000000000004E-3</v>
      </c>
      <c r="AD18" s="1">
        <v>8.5299999999999994E-3</v>
      </c>
      <c r="AE18" s="1">
        <v>1.06E-2</v>
      </c>
      <c r="AF18" s="1">
        <v>8.7500000000000008E-3</v>
      </c>
      <c r="AG18" s="1">
        <v>8.0099999999999998E-3</v>
      </c>
      <c r="AH18" s="1">
        <v>7.4999999999999997E-3</v>
      </c>
      <c r="AI18" s="1">
        <v>4.2300000000000003E-3</v>
      </c>
      <c r="AJ18" s="1">
        <v>2.1299999999999999E-3</v>
      </c>
      <c r="AK18" s="1">
        <v>2.0100000000000001E-3</v>
      </c>
      <c r="AL18" s="1">
        <v>-6.8300000000000001E-4</v>
      </c>
      <c r="AM18" s="1">
        <v>4.3200000000000001E-3</v>
      </c>
      <c r="AN18" s="1">
        <v>5.7200000000000003E-3</v>
      </c>
      <c r="AO18" s="1">
        <v>3.63E-3</v>
      </c>
      <c r="AP18" s="1">
        <v>4.5700000000000003E-3</v>
      </c>
      <c r="AQ18" s="1">
        <v>3.8400000000000001E-3</v>
      </c>
      <c r="AR18" s="1">
        <v>2.7499999999999998E-3</v>
      </c>
      <c r="AS18" s="1">
        <v>8.1099999999999998E-4</v>
      </c>
      <c r="AT18" s="1">
        <v>1.3600000000000001E-3</v>
      </c>
      <c r="AU18" s="1">
        <v>1.92E-3</v>
      </c>
      <c r="AV18" s="1">
        <v>3.3999999999999998E-3</v>
      </c>
      <c r="AW18" s="1">
        <v>3.3100000000000002E-4</v>
      </c>
      <c r="AX18" s="1">
        <v>9.1100000000000003E-4</v>
      </c>
      <c r="AY18" s="1">
        <v>-8.6799999999999996E-4</v>
      </c>
      <c r="AZ18" s="1">
        <v>-2.8500000000000001E-3</v>
      </c>
      <c r="BA18" s="1">
        <v>-2.4099999999999998E-3</v>
      </c>
      <c r="BB18" s="1">
        <v>2.47E-3</v>
      </c>
      <c r="BC18" s="1">
        <v>3.7200000000000002E-3</v>
      </c>
      <c r="BD18" s="1">
        <v>-9.1600000000000004E-4</v>
      </c>
      <c r="BE18" s="1">
        <v>7.2099999999999996E-4</v>
      </c>
      <c r="BF18" s="1">
        <v>-3.6800000000000001E-3</v>
      </c>
      <c r="BG18" s="1">
        <v>-6.5900000000000004E-3</v>
      </c>
      <c r="BH18" s="1">
        <v>-4.5199999999999997E-3</v>
      </c>
      <c r="BI18" s="1">
        <v>-9.5099999999999994E-3</v>
      </c>
      <c r="BJ18" s="1">
        <v>-1.24E-2</v>
      </c>
      <c r="BK18" s="1">
        <v>-8.5699999999999995E-3</v>
      </c>
      <c r="BL18" s="1">
        <v>-1.09E-3</v>
      </c>
      <c r="BM18" s="1">
        <v>4.3499999999999997E-3</v>
      </c>
      <c r="BN18" s="1">
        <v>9.2599999999999991E-3</v>
      </c>
      <c r="BO18" s="1">
        <v>7.0600000000000003E-3</v>
      </c>
      <c r="BP18" s="1">
        <v>1.72E-2</v>
      </c>
      <c r="BQ18" s="1">
        <v>0.02</v>
      </c>
      <c r="BR18" s="1">
        <v>1.37E-2</v>
      </c>
      <c r="BS18" s="1">
        <v>6.7000000000000002E-3</v>
      </c>
      <c r="BT18" s="1">
        <v>-5.4999999999999997E-3</v>
      </c>
      <c r="BU18" s="1">
        <v>-1.3899999999999999E-2</v>
      </c>
      <c r="BV18" s="1">
        <v>-1.29E-2</v>
      </c>
      <c r="BW18" s="1">
        <v>-8.0999999999999996E-3</v>
      </c>
      <c r="BX18" s="1">
        <v>-6.2300000000000003E-3</v>
      </c>
      <c r="BY18" s="1">
        <v>2.4699999999999999E-4</v>
      </c>
      <c r="BZ18" s="1">
        <v>-1.3100000000000001E-2</v>
      </c>
      <c r="CA18" s="1">
        <v>-9.1199999999999996E-3</v>
      </c>
      <c r="CB18" s="1">
        <v>-5.4000000000000003E-3</v>
      </c>
      <c r="CC18" s="1">
        <v>-1.4599999999999999E-3</v>
      </c>
      <c r="CD18" s="1">
        <v>7.9000000000000008E-3</v>
      </c>
      <c r="CE18" s="1">
        <v>3.3300000000000001E-3</v>
      </c>
      <c r="CF18" s="1">
        <v>-1.38E-2</v>
      </c>
      <c r="CG18" s="1">
        <v>-3.4599999999999999E-2</v>
      </c>
      <c r="CH18" s="1">
        <v>-4.2299999999999997E-2</v>
      </c>
      <c r="CI18" s="1">
        <v>-6.96E-3</v>
      </c>
      <c r="CJ18" s="1">
        <v>-2.72E-4</v>
      </c>
      <c r="CK18" s="1">
        <v>3.0699999999999998E-3</v>
      </c>
      <c r="CL18" s="1">
        <v>-2.98E-2</v>
      </c>
      <c r="CM18" s="1">
        <v>-3.0800000000000001E-2</v>
      </c>
      <c r="CN18" s="1">
        <v>-2.06E-2</v>
      </c>
      <c r="CO18" s="1">
        <v>-1.6999999999999999E-3</v>
      </c>
      <c r="CP18" s="1">
        <v>-2.7E-2</v>
      </c>
      <c r="CQ18" s="1">
        <v>-4.1200000000000001E-2</v>
      </c>
      <c r="CR18" s="1">
        <v>-3.9300000000000002E-2</v>
      </c>
      <c r="CS18" s="1">
        <v>-6.2799999999999995E-2</v>
      </c>
      <c r="CT18" s="1">
        <v>-1.77E-2</v>
      </c>
      <c r="CU18" s="1">
        <v>-6.1800000000000001E-2</v>
      </c>
      <c r="CV18" s="1">
        <v>-3.6900000000000002E-2</v>
      </c>
    </row>
    <row r="19" spans="1:100" x14ac:dyDescent="0.2">
      <c r="A19" t="s">
        <v>212</v>
      </c>
      <c r="B19" s="1">
        <v>3.2399999999999998E-2</v>
      </c>
      <c r="C19" s="1">
        <v>1.11E-2</v>
      </c>
      <c r="D19" s="1">
        <v>-5.5799999999999999E-3</v>
      </c>
      <c r="E19" s="1">
        <v>1.95E-2</v>
      </c>
      <c r="F19" s="1">
        <v>-1.29E-2</v>
      </c>
      <c r="G19" s="1">
        <v>3.46E-3</v>
      </c>
      <c r="H19" s="1">
        <v>-2.4299999999999999E-3</v>
      </c>
      <c r="I19" s="1">
        <v>-2.15E-3</v>
      </c>
      <c r="J19" s="1">
        <v>1.3799999999999999E-3</v>
      </c>
      <c r="K19" s="1">
        <v>-8.6700000000000006E-3</v>
      </c>
      <c r="L19" s="1">
        <v>-6.2599999999999999E-3</v>
      </c>
      <c r="M19" s="1">
        <v>5.0699999999999999E-3</v>
      </c>
      <c r="N19" s="1">
        <v>2.4599999999999999E-3</v>
      </c>
      <c r="O19" s="1">
        <v>1.74E-3</v>
      </c>
      <c r="P19" s="1">
        <v>-7.2999999999999996E-4</v>
      </c>
      <c r="Q19" s="1">
        <v>-6.1799999999999995E-4</v>
      </c>
      <c r="R19" s="1">
        <v>5.13E-4</v>
      </c>
      <c r="S19" s="1">
        <v>1.15E-3</v>
      </c>
      <c r="T19" s="1">
        <v>1.7700000000000001E-3</v>
      </c>
      <c r="U19" s="1">
        <v>1.32E-3</v>
      </c>
      <c r="V19" s="1">
        <v>1.6800000000000001E-3</v>
      </c>
      <c r="W19" s="1">
        <v>2.3800000000000002E-3</v>
      </c>
      <c r="X19" s="1">
        <v>2.1800000000000001E-3</v>
      </c>
      <c r="Y19" s="1">
        <v>2.15E-3</v>
      </c>
      <c r="Z19" s="1">
        <v>1.9499999999999999E-3</v>
      </c>
      <c r="AA19" s="1">
        <v>1.8E-3</v>
      </c>
      <c r="AB19" s="1">
        <v>1.3799999999999999E-3</v>
      </c>
      <c r="AC19" s="1">
        <v>7.6300000000000001E-4</v>
      </c>
      <c r="AD19" s="1">
        <v>6.0599999999999998E-4</v>
      </c>
      <c r="AE19" s="1">
        <v>-5.44E-4</v>
      </c>
      <c r="AF19" s="1">
        <v>-9.5399999999999999E-4</v>
      </c>
      <c r="AG19" s="1">
        <v>-9.4300000000000004E-4</v>
      </c>
      <c r="AH19" s="1">
        <v>-5.4600000000000004E-4</v>
      </c>
      <c r="AI19" s="1">
        <v>-5.5099999999999995E-4</v>
      </c>
      <c r="AJ19" s="1">
        <v>-6.2600000000000004E-4</v>
      </c>
      <c r="AK19" s="1">
        <v>-6.8000000000000005E-4</v>
      </c>
      <c r="AL19" s="1">
        <v>-7.7999999999999999E-4</v>
      </c>
      <c r="AM19" s="1">
        <v>-3.5599999999999998E-4</v>
      </c>
      <c r="AN19" s="1">
        <v>7.86E-5</v>
      </c>
      <c r="AO19" s="1">
        <v>4.0999999999999999E-4</v>
      </c>
      <c r="AP19" s="1">
        <v>7.5000000000000002E-4</v>
      </c>
      <c r="AQ19" s="1">
        <v>5.9800000000000001E-4</v>
      </c>
      <c r="AR19" s="1">
        <v>6.4800000000000003E-4</v>
      </c>
      <c r="AS19" s="1">
        <v>7.0399999999999998E-4</v>
      </c>
      <c r="AT19" s="1">
        <v>5.0199999999999995E-4</v>
      </c>
      <c r="AU19" s="1">
        <v>6.6600000000000003E-4</v>
      </c>
      <c r="AV19" s="1">
        <v>6.8900000000000005E-4</v>
      </c>
      <c r="AW19" s="1">
        <v>2.6400000000000002E-4</v>
      </c>
      <c r="AX19" s="1">
        <v>-1.33E-5</v>
      </c>
      <c r="AY19" s="1">
        <v>-4.8000000000000001E-4</v>
      </c>
      <c r="AZ19" s="1">
        <v>-7.7700000000000002E-4</v>
      </c>
      <c r="BA19" s="1">
        <v>-3.4000000000000002E-4</v>
      </c>
      <c r="BB19" s="1">
        <v>3.8699999999999997E-4</v>
      </c>
      <c r="BC19" s="1">
        <v>4.64E-4</v>
      </c>
      <c r="BD19" s="1">
        <v>2.8899999999999998E-4</v>
      </c>
      <c r="BE19" s="1">
        <v>4.66E-4</v>
      </c>
      <c r="BF19" s="1">
        <v>2.02E-4</v>
      </c>
      <c r="BG19" s="1">
        <v>3.9199999999999997E-5</v>
      </c>
      <c r="BH19" s="1">
        <v>2.2599999999999999E-4</v>
      </c>
      <c r="BI19" s="1">
        <v>7.7700000000000005E-5</v>
      </c>
      <c r="BJ19" s="1">
        <v>7.8399999999999995E-5</v>
      </c>
      <c r="BK19" s="1">
        <v>4.8500000000000003E-4</v>
      </c>
      <c r="BL19" s="1">
        <v>9.5399999999999999E-4</v>
      </c>
      <c r="BM19" s="1">
        <v>1.67E-3</v>
      </c>
      <c r="BN19" s="1">
        <v>2.1900000000000001E-3</v>
      </c>
      <c r="BO19" s="1">
        <v>2.65E-3</v>
      </c>
      <c r="BP19" s="1">
        <v>2.7200000000000002E-3</v>
      </c>
      <c r="BQ19" s="1">
        <v>2.0500000000000002E-3</v>
      </c>
      <c r="BR19" s="1">
        <v>2.7200000000000002E-3</v>
      </c>
      <c r="BS19" s="1">
        <v>2.5600000000000002E-3</v>
      </c>
      <c r="BT19" s="1">
        <v>1.47E-3</v>
      </c>
      <c r="BU19" s="1">
        <v>1.81E-3</v>
      </c>
      <c r="BV19" s="1">
        <v>1.2899999999999999E-3</v>
      </c>
      <c r="BW19" s="1">
        <v>1.98E-3</v>
      </c>
      <c r="BX19" s="1">
        <v>2.5000000000000001E-3</v>
      </c>
      <c r="BY19" s="1">
        <v>3.3999999999999998E-3</v>
      </c>
      <c r="BZ19" s="1">
        <v>3.2000000000000002E-3</v>
      </c>
      <c r="CA19" s="1">
        <v>3.3E-3</v>
      </c>
      <c r="CB19" s="1">
        <v>2.5200000000000001E-3</v>
      </c>
      <c r="CC19" s="1">
        <v>2.2899999999999999E-3</v>
      </c>
      <c r="CD19" s="1">
        <v>2.1900000000000001E-3</v>
      </c>
      <c r="CE19" s="1">
        <v>2.2599999999999999E-3</v>
      </c>
      <c r="CF19" s="1">
        <v>8.52E-4</v>
      </c>
      <c r="CG19" s="1">
        <v>-5.7700000000000004E-4</v>
      </c>
      <c r="CH19" s="1">
        <v>-1.8400000000000001E-3</v>
      </c>
      <c r="CI19" s="1">
        <v>1.9100000000000001E-4</v>
      </c>
      <c r="CJ19" s="1">
        <v>7.9000000000000001E-4</v>
      </c>
      <c r="CK19" s="1">
        <v>1.1299999999999999E-3</v>
      </c>
      <c r="CL19" s="1">
        <v>6.4499999999999996E-4</v>
      </c>
      <c r="CM19" s="1">
        <v>-1.4100000000000001E-4</v>
      </c>
      <c r="CN19" s="1">
        <v>-8.43E-4</v>
      </c>
      <c r="CO19" s="1">
        <v>1.66E-5</v>
      </c>
      <c r="CP19" s="1">
        <v>-1.89E-3</v>
      </c>
      <c r="CQ19" s="1">
        <v>-3.2000000000000002E-3</v>
      </c>
      <c r="CR19" s="1">
        <v>-3.2599999999999999E-3</v>
      </c>
      <c r="CS19" s="1">
        <v>-4.1999999999999997E-3</v>
      </c>
      <c r="CT19" s="1">
        <v>-3.3400000000000001E-3</v>
      </c>
      <c r="CU19" s="1">
        <v>-4.79E-3</v>
      </c>
      <c r="CV19" s="1">
        <v>-4.8099999999999998E-4</v>
      </c>
    </row>
    <row r="20" spans="1:100" x14ac:dyDescent="0.2">
      <c r="A20" t="s">
        <v>213</v>
      </c>
      <c r="B20" s="1">
        <v>-7.1499999999999994E-2</v>
      </c>
      <c r="C20" s="1">
        <v>-0.03</v>
      </c>
      <c r="D20" s="1">
        <v>3.4700000000000002E-2</v>
      </c>
      <c r="E20" s="1">
        <v>-0.108</v>
      </c>
      <c r="F20" s="1">
        <v>0.104</v>
      </c>
      <c r="G20" s="1">
        <v>-4.8599999999999997E-2</v>
      </c>
      <c r="H20" s="1">
        <v>2.7E-2</v>
      </c>
      <c r="I20" s="1">
        <v>2.3199999999999998E-2</v>
      </c>
      <c r="J20" s="1">
        <v>-1.0200000000000001E-2</v>
      </c>
      <c r="K20" s="1">
        <v>0.115</v>
      </c>
      <c r="L20" s="1">
        <v>0.10299999999999999</v>
      </c>
      <c r="M20" s="1">
        <v>-3.4099999999999998E-2</v>
      </c>
      <c r="N20" s="1">
        <v>1.6199999999999999E-2</v>
      </c>
      <c r="O20" s="1">
        <v>3.4599999999999999E-2</v>
      </c>
      <c r="P20" s="1">
        <v>5.45E-2</v>
      </c>
      <c r="Q20" s="1">
        <v>3.7100000000000001E-2</v>
      </c>
      <c r="R20" s="1">
        <v>1.3899999999999999E-2</v>
      </c>
      <c r="S20" s="1">
        <v>3.3600000000000001E-3</v>
      </c>
      <c r="T20" s="1">
        <v>-1.1299999999999999E-3</v>
      </c>
      <c r="U20" s="1">
        <v>-3.8E-3</v>
      </c>
      <c r="V20" s="1">
        <v>-1.0999999999999999E-2</v>
      </c>
      <c r="W20" s="1">
        <v>-2.52E-2</v>
      </c>
      <c r="X20" s="1">
        <v>-1.7600000000000001E-2</v>
      </c>
      <c r="Y20" s="1">
        <v>-5.3299999999999997E-3</v>
      </c>
      <c r="Z20" s="1">
        <v>5.1000000000000004E-3</v>
      </c>
      <c r="AA20" s="1">
        <v>1.38E-2</v>
      </c>
      <c r="AB20" s="1">
        <v>1.5900000000000001E-2</v>
      </c>
      <c r="AC20" s="1">
        <v>1.41E-2</v>
      </c>
      <c r="AD20" s="1">
        <v>1.44E-2</v>
      </c>
      <c r="AE20" s="1">
        <v>1.01E-2</v>
      </c>
      <c r="AF20" s="1">
        <v>1.8599999999999998E-2</v>
      </c>
      <c r="AG20" s="1">
        <v>1.67E-2</v>
      </c>
      <c r="AH20" s="1">
        <v>1.3299999999999999E-2</v>
      </c>
      <c r="AI20" s="1">
        <v>1.5100000000000001E-2</v>
      </c>
      <c r="AJ20" s="1">
        <v>1.8100000000000002E-2</v>
      </c>
      <c r="AK20" s="1">
        <v>1.18E-2</v>
      </c>
      <c r="AL20" s="1">
        <v>7.0299999999999998E-3</v>
      </c>
      <c r="AM20" s="1">
        <v>6.96E-3</v>
      </c>
      <c r="AN20" s="1">
        <v>1.12E-2</v>
      </c>
      <c r="AO20" s="1">
        <v>1.3599999999999999E-2</v>
      </c>
      <c r="AP20" s="1">
        <v>1.23E-2</v>
      </c>
      <c r="AQ20" s="1">
        <v>1.01E-2</v>
      </c>
      <c r="AR20" s="1">
        <v>9.3500000000000007E-3</v>
      </c>
      <c r="AS20" s="1">
        <v>1.2699999999999999E-2</v>
      </c>
      <c r="AT20" s="1">
        <v>2.4899999999999999E-2</v>
      </c>
      <c r="AU20" s="1">
        <v>2.76E-2</v>
      </c>
      <c r="AV20" s="1">
        <v>1.7999999999999999E-2</v>
      </c>
      <c r="AW20" s="1">
        <v>1.6199999999999999E-2</v>
      </c>
      <c r="AX20" s="1">
        <v>1.26E-2</v>
      </c>
      <c r="AY20" s="1">
        <v>1.4200000000000001E-2</v>
      </c>
      <c r="AZ20" s="1">
        <v>9.9500000000000005E-3</v>
      </c>
      <c r="BA20" s="1">
        <v>1.3100000000000001E-2</v>
      </c>
      <c r="BB20" s="1">
        <v>9.8099999999999993E-3</v>
      </c>
      <c r="BC20" s="1">
        <v>1.17E-2</v>
      </c>
      <c r="BD20" s="1">
        <v>1.23E-2</v>
      </c>
      <c r="BE20" s="1">
        <v>2.01E-2</v>
      </c>
      <c r="BF20" s="1">
        <v>2.5000000000000001E-2</v>
      </c>
      <c r="BG20" s="1">
        <v>1.8499999999999999E-2</v>
      </c>
      <c r="BH20" s="1">
        <v>1.8100000000000002E-2</v>
      </c>
      <c r="BI20" s="1">
        <v>1.5599999999999999E-2</v>
      </c>
      <c r="BJ20" s="1">
        <v>1.4500000000000001E-2</v>
      </c>
      <c r="BK20" s="1">
        <v>8.7899999999999992E-3</v>
      </c>
      <c r="BL20" s="1">
        <v>4.1000000000000003E-3</v>
      </c>
      <c r="BM20" s="1">
        <v>1.7799999999999999E-3</v>
      </c>
      <c r="BN20" s="1">
        <v>1.6299999999999999E-3</v>
      </c>
      <c r="BO20" s="1">
        <v>7.28E-3</v>
      </c>
      <c r="BP20" s="1">
        <v>1.35E-2</v>
      </c>
      <c r="BQ20" s="1">
        <v>1.8499999999999999E-2</v>
      </c>
      <c r="BR20" s="1">
        <v>2.9000000000000001E-2</v>
      </c>
      <c r="BS20" s="1">
        <v>3.1800000000000002E-2</v>
      </c>
      <c r="BT20" s="1">
        <v>3.6600000000000001E-2</v>
      </c>
      <c r="BU20" s="1">
        <v>3.9E-2</v>
      </c>
      <c r="BV20" s="1">
        <v>2.3800000000000002E-2</v>
      </c>
      <c r="BW20" s="1">
        <v>3.4299999999999997E-2</v>
      </c>
      <c r="BX20" s="1">
        <v>3.49E-2</v>
      </c>
      <c r="BY20" s="1">
        <v>3.2500000000000001E-2</v>
      </c>
      <c r="BZ20" s="1">
        <v>3.3399999999999999E-2</v>
      </c>
      <c r="CA20" s="1">
        <v>4.4900000000000002E-2</v>
      </c>
      <c r="CB20" s="1">
        <v>3.3700000000000001E-2</v>
      </c>
      <c r="CC20" s="1">
        <v>3.1E-2</v>
      </c>
      <c r="CD20" s="1">
        <v>3.15E-2</v>
      </c>
      <c r="CE20" s="1">
        <v>4.1500000000000002E-2</v>
      </c>
      <c r="CF20" s="1">
        <v>3.7199999999999997E-2</v>
      </c>
      <c r="CG20" s="1">
        <v>3.9399999999999998E-2</v>
      </c>
      <c r="CH20" s="1">
        <v>3.2300000000000002E-2</v>
      </c>
      <c r="CI20" s="1">
        <v>2.9600000000000001E-2</v>
      </c>
      <c r="CJ20" s="1">
        <v>2.5100000000000001E-2</v>
      </c>
      <c r="CK20" s="1">
        <v>3.7199999999999997E-2</v>
      </c>
      <c r="CL20" s="1">
        <v>5.3800000000000001E-2</v>
      </c>
      <c r="CM20" s="1">
        <v>4.6699999999999998E-2</v>
      </c>
      <c r="CN20" s="1">
        <v>4.6800000000000001E-2</v>
      </c>
      <c r="CO20" s="1">
        <v>5.1400000000000001E-2</v>
      </c>
      <c r="CP20" s="1">
        <v>6.2600000000000003E-2</v>
      </c>
      <c r="CQ20" s="1">
        <v>6.1400000000000003E-2</v>
      </c>
      <c r="CR20" s="1">
        <v>6.4000000000000001E-2</v>
      </c>
      <c r="CS20" s="1">
        <v>5.67E-2</v>
      </c>
      <c r="CT20" s="1">
        <v>3.8399999999999997E-2</v>
      </c>
      <c r="CU20" s="1">
        <v>6.6400000000000001E-2</v>
      </c>
      <c r="CV20" s="1">
        <v>6.6699999999999995E-2</v>
      </c>
    </row>
    <row r="21" spans="1:100" x14ac:dyDescent="0.2">
      <c r="A21" t="s">
        <v>214</v>
      </c>
      <c r="B21" s="1">
        <v>3.2300000000000002E-2</v>
      </c>
      <c r="C21" s="1">
        <v>4.3700000000000003E-2</v>
      </c>
      <c r="D21" s="1">
        <v>3.6799999999999999E-2</v>
      </c>
      <c r="E21" s="1">
        <v>2.7900000000000001E-2</v>
      </c>
      <c r="F21" s="1">
        <v>5.3100000000000001E-2</v>
      </c>
      <c r="G21" s="1">
        <v>4.1300000000000003E-2</v>
      </c>
      <c r="H21" s="1">
        <v>3.3399999999999999E-2</v>
      </c>
      <c r="I21" s="1">
        <v>2.3800000000000002E-2</v>
      </c>
      <c r="J21" s="1">
        <v>2.2800000000000001E-2</v>
      </c>
      <c r="K21" s="1">
        <v>0.02</v>
      </c>
      <c r="L21" s="1">
        <v>1.5100000000000001E-2</v>
      </c>
      <c r="M21" s="1">
        <v>3.3600000000000001E-3</v>
      </c>
      <c r="N21" s="1">
        <v>1.6799999999999999E-2</v>
      </c>
      <c r="O21" s="1">
        <v>2.4599999999999999E-3</v>
      </c>
      <c r="P21" s="1">
        <v>4.3600000000000002E-3</v>
      </c>
      <c r="Q21" s="1">
        <v>8.0999999999999996E-3</v>
      </c>
      <c r="R21" s="1">
        <v>-7.6400000000000003E-4</v>
      </c>
      <c r="S21" s="1">
        <v>4.5700000000000003E-3</v>
      </c>
      <c r="T21" s="1">
        <v>2.6099999999999999E-3</v>
      </c>
      <c r="U21" s="1">
        <v>1.8500000000000001E-3</v>
      </c>
      <c r="V21" s="1">
        <v>3.2000000000000002E-3</v>
      </c>
      <c r="W21" s="1">
        <v>1.9799999999999999E-4</v>
      </c>
      <c r="X21" s="1">
        <v>-2E-3</v>
      </c>
      <c r="Y21" s="1">
        <v>-5.2100000000000002E-3</v>
      </c>
      <c r="Z21" s="1">
        <v>4.3699999999999998E-3</v>
      </c>
      <c r="AA21" s="1">
        <v>-2.97E-3</v>
      </c>
      <c r="AB21" s="1">
        <v>-7.8600000000000002E-4</v>
      </c>
      <c r="AC21" s="1">
        <v>-2.0500000000000002E-3</v>
      </c>
      <c r="AD21" s="1">
        <v>4.45E-3</v>
      </c>
      <c r="AE21" s="1">
        <v>6.5900000000000004E-3</v>
      </c>
      <c r="AF21" s="1">
        <v>5.5799999999999999E-3</v>
      </c>
      <c r="AG21" s="1">
        <v>9.7000000000000005E-4</v>
      </c>
      <c r="AH21" s="1">
        <v>3.96E-3</v>
      </c>
      <c r="AI21" s="1">
        <v>1.47E-4</v>
      </c>
      <c r="AJ21" s="1">
        <v>2.4499999999999999E-3</v>
      </c>
      <c r="AK21" s="1">
        <v>2.7699999999999999E-3</v>
      </c>
      <c r="AL21" s="1">
        <v>-1.31E-3</v>
      </c>
      <c r="AM21" s="1">
        <v>-1.9E-3</v>
      </c>
      <c r="AN21" s="1">
        <v>4.1900000000000001E-3</v>
      </c>
      <c r="AO21" s="1">
        <v>2.6199999999999999E-3</v>
      </c>
      <c r="AP21" s="1">
        <v>3.9899999999999996E-3</v>
      </c>
      <c r="AQ21" s="1">
        <v>-7.0500000000000006E-5</v>
      </c>
      <c r="AR21" s="1">
        <v>-5.9699999999999998E-4</v>
      </c>
      <c r="AS21" s="1">
        <v>-1.42E-3</v>
      </c>
      <c r="AT21" s="1">
        <v>6.0099999999999997E-4</v>
      </c>
      <c r="AU21" s="1">
        <v>5.62E-4</v>
      </c>
      <c r="AV21" s="1">
        <v>-5.2400000000000005E-4</v>
      </c>
      <c r="AW21" s="1">
        <v>1.17E-3</v>
      </c>
      <c r="AX21" s="1">
        <v>4.62E-3</v>
      </c>
      <c r="AY21" s="1">
        <v>1.66E-3</v>
      </c>
      <c r="AZ21" s="1">
        <v>2.0999999999999999E-3</v>
      </c>
      <c r="BA21" s="1">
        <v>4.0299999999999997E-5</v>
      </c>
      <c r="BB21" s="1">
        <v>5.0900000000000001E-4</v>
      </c>
      <c r="BC21" s="1">
        <v>8.9599999999999999E-4</v>
      </c>
      <c r="BD21" s="1">
        <v>2.65E-3</v>
      </c>
      <c r="BE21" s="1">
        <v>1.9400000000000001E-3</v>
      </c>
      <c r="BF21" s="1">
        <v>1.4400000000000001E-3</v>
      </c>
      <c r="BG21" s="1">
        <v>1.7099999999999999E-3</v>
      </c>
      <c r="BH21" s="1">
        <v>-2.0699999999999998E-3</v>
      </c>
      <c r="BI21" s="1">
        <v>8.26E-3</v>
      </c>
      <c r="BJ21" s="1">
        <v>1.31E-3</v>
      </c>
      <c r="BK21" s="1">
        <v>3.9899999999999996E-3</v>
      </c>
      <c r="BL21" s="1">
        <v>5.3299999999999997E-3</v>
      </c>
      <c r="BM21" s="1">
        <v>6.9899999999999997E-3</v>
      </c>
      <c r="BN21" s="1">
        <v>6.0000000000000001E-3</v>
      </c>
      <c r="BO21" s="1">
        <v>1.5299999999999999E-3</v>
      </c>
      <c r="BP21" s="1">
        <v>-8.9099999999999995E-3</v>
      </c>
      <c r="BQ21" s="1">
        <v>-2.7000000000000001E-3</v>
      </c>
      <c r="BR21" s="1">
        <v>5.62E-3</v>
      </c>
      <c r="BS21" s="1">
        <v>6.0299999999999998E-3</v>
      </c>
      <c r="BT21" s="1">
        <v>4.1599999999999996E-3</v>
      </c>
      <c r="BU21" s="1">
        <v>2.5400000000000002E-3</v>
      </c>
      <c r="BV21" s="1">
        <v>7.5399999999999998E-3</v>
      </c>
      <c r="BW21" s="1">
        <v>5.3099999999999996E-3</v>
      </c>
      <c r="BX21" s="1">
        <v>6.2500000000000001E-4</v>
      </c>
      <c r="BY21" s="1">
        <v>3.0100000000000001E-3</v>
      </c>
      <c r="BZ21" s="1">
        <v>1.0500000000000001E-2</v>
      </c>
      <c r="CA21" s="1">
        <v>6.7999999999999996E-3</v>
      </c>
      <c r="CB21" s="1">
        <v>1.2200000000000001E-2</v>
      </c>
      <c r="CC21" s="1">
        <v>1.2500000000000001E-2</v>
      </c>
      <c r="CD21" s="1">
        <v>-1.0300000000000001E-3</v>
      </c>
      <c r="CE21" s="1">
        <v>1.18E-2</v>
      </c>
      <c r="CF21" s="1">
        <v>8.4899999999999993E-3</v>
      </c>
      <c r="CG21" s="1">
        <v>1.5900000000000001E-2</v>
      </c>
      <c r="CH21" s="1">
        <v>9.7400000000000004E-3</v>
      </c>
      <c r="CI21" s="1">
        <v>1.6899999999999998E-2</v>
      </c>
      <c r="CJ21" s="1">
        <v>1.35E-2</v>
      </c>
      <c r="CK21" s="1">
        <v>1.61E-2</v>
      </c>
      <c r="CL21" s="1">
        <v>1.6500000000000001E-2</v>
      </c>
      <c r="CM21" s="1">
        <v>1.52E-2</v>
      </c>
      <c r="CN21" s="1">
        <v>1.5299999999999999E-2</v>
      </c>
      <c r="CO21" s="1">
        <v>2.63E-2</v>
      </c>
      <c r="CP21" s="1">
        <v>2.98E-2</v>
      </c>
      <c r="CQ21" s="1">
        <v>2.07E-2</v>
      </c>
      <c r="CR21" s="1">
        <v>4.0899999999999999E-2</v>
      </c>
      <c r="CS21" s="1">
        <v>3.6999999999999998E-2</v>
      </c>
      <c r="CT21" s="1">
        <v>3.85E-2</v>
      </c>
      <c r="CU21" s="1">
        <v>3.9399999999999998E-2</v>
      </c>
      <c r="CV21" s="1">
        <v>4.1700000000000001E-2</v>
      </c>
    </row>
    <row r="22" spans="1:100" x14ac:dyDescent="0.2">
      <c r="A22" t="s">
        <v>215</v>
      </c>
      <c r="B22" s="1">
        <v>-4.3700000000000003E-2</v>
      </c>
      <c r="C22" s="1">
        <v>-5.8599999999999999E-2</v>
      </c>
      <c r="D22" s="1">
        <v>-5.4800000000000001E-2</v>
      </c>
      <c r="E22" s="1">
        <v>-9.0999999999999998E-2</v>
      </c>
      <c r="F22" s="1">
        <v>-3.0700000000000002E-2</v>
      </c>
      <c r="G22" s="1">
        <v>-2.8799999999999999E-2</v>
      </c>
      <c r="H22" s="1">
        <v>-5.16E-2</v>
      </c>
      <c r="I22" s="1">
        <v>-4.9200000000000001E-2</v>
      </c>
      <c r="J22" s="1">
        <v>-5.0299999999999997E-2</v>
      </c>
      <c r="K22" s="1">
        <v>-3.5000000000000003E-2</v>
      </c>
      <c r="L22" s="1">
        <v>-2.1399999999999999E-2</v>
      </c>
      <c r="M22" s="1">
        <v>-2.4799999999999999E-2</v>
      </c>
      <c r="N22" s="1">
        <v>-1.03E-2</v>
      </c>
      <c r="O22" s="1">
        <v>-6.6699999999999997E-3</v>
      </c>
      <c r="P22" s="1">
        <v>1.58E-3</v>
      </c>
      <c r="Q22" s="1">
        <v>-4.3300000000000001E-4</v>
      </c>
      <c r="R22" s="1">
        <v>2.2899999999999999E-3</v>
      </c>
      <c r="S22" s="1">
        <v>-1.1000000000000001E-3</v>
      </c>
      <c r="T22" s="1">
        <v>1.26E-4</v>
      </c>
      <c r="U22" s="1">
        <v>-2.1299999999999999E-3</v>
      </c>
      <c r="V22" s="1">
        <v>-1.97E-3</v>
      </c>
      <c r="W22" s="1">
        <v>-3.2100000000000002E-3</v>
      </c>
      <c r="X22" s="1">
        <v>6.3400000000000001E-4</v>
      </c>
      <c r="Y22" s="1">
        <v>-2.4499999999999999E-4</v>
      </c>
      <c r="Z22" s="1">
        <v>8.8900000000000003E-4</v>
      </c>
      <c r="AA22" s="1">
        <v>9.5100000000000002E-4</v>
      </c>
      <c r="AB22" s="1">
        <v>2.7899999999999999E-3</v>
      </c>
      <c r="AC22" s="1">
        <v>3.9300000000000003E-3</v>
      </c>
      <c r="AD22" s="1">
        <v>2.0999999999999999E-3</v>
      </c>
      <c r="AE22" s="1">
        <v>2.3400000000000001E-3</v>
      </c>
      <c r="AF22" s="1">
        <v>3.14E-3</v>
      </c>
      <c r="AG22" s="1">
        <v>2.7699999999999999E-3</v>
      </c>
      <c r="AH22" s="1">
        <v>1.65E-3</v>
      </c>
      <c r="AI22" s="1">
        <v>4.4900000000000001E-3</v>
      </c>
      <c r="AJ22" s="1">
        <v>3.5400000000000002E-3</v>
      </c>
      <c r="AK22" s="1">
        <v>2.7200000000000002E-3</v>
      </c>
      <c r="AL22" s="1">
        <v>1.15E-3</v>
      </c>
      <c r="AM22" s="1">
        <v>3.0500000000000002E-3</v>
      </c>
      <c r="AN22" s="1">
        <v>2.6199999999999999E-3</v>
      </c>
      <c r="AO22" s="1">
        <v>3.81E-3</v>
      </c>
      <c r="AP22" s="1">
        <v>8.3999999999999995E-3</v>
      </c>
      <c r="AQ22" s="1">
        <v>2.8300000000000001E-3</v>
      </c>
      <c r="AR22" s="1">
        <v>3.5599999999999998E-3</v>
      </c>
      <c r="AS22" s="1">
        <v>5.3499999999999997E-3</v>
      </c>
      <c r="AT22" s="1">
        <v>7.4799999999999997E-3</v>
      </c>
      <c r="AU22" s="1">
        <v>7.2899999999999996E-3</v>
      </c>
      <c r="AV22" s="1">
        <v>4.3200000000000001E-3</v>
      </c>
      <c r="AW22" s="1">
        <v>4.4600000000000004E-3</v>
      </c>
      <c r="AX22" s="1">
        <v>2.63E-3</v>
      </c>
      <c r="AY22" s="1">
        <v>-5.3899999999999998E-4</v>
      </c>
      <c r="AZ22" s="1">
        <v>-2.4099999999999998E-3</v>
      </c>
      <c r="BA22" s="1">
        <v>-2.2100000000000002E-3</v>
      </c>
      <c r="BB22" s="1">
        <v>-1.1199999999999999E-3</v>
      </c>
      <c r="BC22" s="1">
        <v>-6.9999999999999999E-4</v>
      </c>
      <c r="BD22" s="1">
        <v>-4.9899999999999999E-4</v>
      </c>
      <c r="BE22" s="1">
        <v>4.28E-4</v>
      </c>
      <c r="BF22" s="1">
        <v>8.2299999999999995E-4</v>
      </c>
      <c r="BG22" s="1">
        <v>-5.0499999999999998E-3</v>
      </c>
      <c r="BH22" s="1">
        <v>-6.3899999999999998E-3</v>
      </c>
      <c r="BI22" s="1">
        <v>-4.47E-3</v>
      </c>
      <c r="BJ22" s="1">
        <v>-3.4399999999999999E-3</v>
      </c>
      <c r="BK22" s="1">
        <v>-2.5000000000000001E-3</v>
      </c>
      <c r="BL22" s="1">
        <v>-5.1200000000000004E-3</v>
      </c>
      <c r="BM22" s="1">
        <v>-9.4800000000000006E-3</v>
      </c>
      <c r="BN22" s="1">
        <v>-8.77E-3</v>
      </c>
      <c r="BO22" s="1">
        <v>-7.7999999999999996E-3</v>
      </c>
      <c r="BP22" s="1">
        <v>-7.7600000000000004E-3</v>
      </c>
      <c r="BQ22" s="1">
        <v>-5.28E-3</v>
      </c>
      <c r="BR22" s="1">
        <v>-1.57E-3</v>
      </c>
      <c r="BS22" s="1">
        <v>-2E-3</v>
      </c>
      <c r="BT22" s="1">
        <v>-3.3899999999999998E-3</v>
      </c>
      <c r="BU22" s="1">
        <v>-3.5100000000000001E-3</v>
      </c>
      <c r="BV22" s="1">
        <v>-8.2199999999999999E-3</v>
      </c>
      <c r="BW22" s="1">
        <v>-9.1699999999999993E-3</v>
      </c>
      <c r="BX22" s="1">
        <v>-9.6200000000000001E-3</v>
      </c>
      <c r="BY22" s="1">
        <v>3.62E-3</v>
      </c>
      <c r="BZ22" s="1">
        <v>5.1000000000000004E-3</v>
      </c>
      <c r="CA22" s="1">
        <v>9.3900000000000008E-3</v>
      </c>
      <c r="CB22" s="1">
        <v>9.1199999999999996E-3</v>
      </c>
      <c r="CC22" s="1">
        <v>1.09E-2</v>
      </c>
      <c r="CD22" s="1">
        <v>1.0699999999999999E-2</v>
      </c>
      <c r="CE22" s="1">
        <v>8.9099999999999995E-3</v>
      </c>
      <c r="CF22" s="1">
        <v>7.5399999999999998E-3</v>
      </c>
      <c r="CG22" s="1">
        <v>8.7299999999999999E-3</v>
      </c>
      <c r="CH22" s="1">
        <v>1.41E-2</v>
      </c>
      <c r="CI22" s="1">
        <v>2.1000000000000001E-2</v>
      </c>
      <c r="CJ22" s="1">
        <v>1.7100000000000001E-2</v>
      </c>
      <c r="CK22" s="1">
        <v>7.3499999999999998E-3</v>
      </c>
      <c r="CL22" s="1">
        <v>5.2300000000000003E-3</v>
      </c>
      <c r="CM22" s="1">
        <v>-3.0699999999999998E-3</v>
      </c>
      <c r="CN22" s="1">
        <v>-1.6199999999999999E-3</v>
      </c>
      <c r="CO22" s="1">
        <v>1.25E-3</v>
      </c>
      <c r="CP22" s="1">
        <v>-1.2E-2</v>
      </c>
      <c r="CQ22" s="1">
        <v>-8.6499999999999997E-3</v>
      </c>
      <c r="CR22" s="1">
        <v>-8.6999999999999994E-3</v>
      </c>
      <c r="CS22" s="1">
        <v>-8.6E-3</v>
      </c>
      <c r="CT22" s="1">
        <v>1.57E-3</v>
      </c>
      <c r="CU22" s="1">
        <v>-4.4099999999999999E-3</v>
      </c>
      <c r="CV22" s="1">
        <v>-6.5900000000000004E-3</v>
      </c>
    </row>
    <row r="23" spans="1:100" x14ac:dyDescent="0.2">
      <c r="A23" t="s">
        <v>216</v>
      </c>
      <c r="B23" s="1">
        <v>0.22700000000000001</v>
      </c>
      <c r="C23" s="1">
        <v>-0.33300000000000002</v>
      </c>
      <c r="D23" s="1">
        <v>-0.68</v>
      </c>
      <c r="E23" s="1">
        <v>0.36099999999999999</v>
      </c>
      <c r="F23" s="1">
        <v>-0.93</v>
      </c>
      <c r="G23" s="1">
        <v>-7.22E-2</v>
      </c>
      <c r="H23" s="1">
        <v>-0.375</v>
      </c>
      <c r="I23" s="1">
        <v>-0.27</v>
      </c>
      <c r="J23" s="1">
        <v>-2.4899999999999999E-2</v>
      </c>
      <c r="K23" s="1">
        <v>-0.53100000000000003</v>
      </c>
      <c r="L23" s="1">
        <v>-0.43099999999999999</v>
      </c>
      <c r="M23" s="1">
        <v>0.183</v>
      </c>
      <c r="N23" s="1">
        <v>-4.3400000000000001E-2</v>
      </c>
      <c r="O23" s="1">
        <v>-4.7100000000000003E-2</v>
      </c>
      <c r="P23" s="1">
        <v>-0.112</v>
      </c>
      <c r="Q23" s="1">
        <v>-8.6499999999999994E-2</v>
      </c>
      <c r="R23" s="1">
        <v>4.6699999999999998E-2</v>
      </c>
      <c r="S23" s="1">
        <v>8.4599999999999995E-2</v>
      </c>
      <c r="T23" s="1">
        <v>0.13100000000000001</v>
      </c>
      <c r="U23" s="1">
        <v>0.11899999999999999</v>
      </c>
      <c r="V23" s="1">
        <v>9.7600000000000006E-2</v>
      </c>
      <c r="W23" s="1">
        <v>0.19700000000000001</v>
      </c>
      <c r="X23" s="1">
        <v>0.17799999999999999</v>
      </c>
      <c r="Y23" s="1">
        <v>0.13100000000000001</v>
      </c>
      <c r="Z23" s="1">
        <v>8.7599999999999997E-2</v>
      </c>
      <c r="AA23" s="1">
        <v>6.2600000000000003E-2</v>
      </c>
      <c r="AB23" s="1">
        <v>5.3600000000000002E-2</v>
      </c>
      <c r="AC23" s="1">
        <v>3.49E-2</v>
      </c>
      <c r="AD23" s="1">
        <v>2.2499999999999999E-2</v>
      </c>
      <c r="AE23" s="1">
        <v>1.5800000000000002E-2</v>
      </c>
      <c r="AF23" s="1">
        <v>-2.02E-4</v>
      </c>
      <c r="AG23" s="1">
        <v>-8.1600000000000006E-3</v>
      </c>
      <c r="AH23" s="1">
        <v>-2.6599999999999999E-2</v>
      </c>
      <c r="AI23" s="1">
        <v>-4.3799999999999999E-2</v>
      </c>
      <c r="AJ23" s="1">
        <v>-5.8000000000000003E-2</v>
      </c>
      <c r="AK23" s="1">
        <v>-5.5800000000000002E-2</v>
      </c>
      <c r="AL23" s="1">
        <v>-4.3999999999999997E-2</v>
      </c>
      <c r="AM23" s="1">
        <v>-4.6100000000000002E-2</v>
      </c>
      <c r="AN23" s="1">
        <v>-6.2100000000000002E-2</v>
      </c>
      <c r="AO23" s="1">
        <v>-4.5699999999999998E-2</v>
      </c>
      <c r="AP23" s="1">
        <v>-4.7899999999999998E-2</v>
      </c>
      <c r="AQ23" s="1">
        <v>-7.0699999999999999E-3</v>
      </c>
      <c r="AR23" s="1">
        <v>-8.5800000000000008E-3</v>
      </c>
      <c r="AS23" s="1">
        <v>-3.6800000000000001E-3</v>
      </c>
      <c r="AT23" s="1">
        <v>-4.2299999999999997E-2</v>
      </c>
      <c r="AU23" s="1">
        <v>-4.7699999999999999E-2</v>
      </c>
      <c r="AV23" s="1">
        <v>-5.0799999999999998E-2</v>
      </c>
      <c r="AW23" s="1">
        <v>-1.1299999999999999E-2</v>
      </c>
      <c r="AX23" s="1">
        <v>-1.49E-2</v>
      </c>
      <c r="AY23" s="1">
        <v>1.5299999999999999E-2</v>
      </c>
      <c r="AZ23" s="1">
        <v>2.9100000000000001E-2</v>
      </c>
      <c r="BA23" s="1">
        <v>5.8099999999999999E-2</v>
      </c>
      <c r="BB23" s="1">
        <v>6.3899999999999998E-2</v>
      </c>
      <c r="BC23" s="1">
        <v>7.4300000000000005E-2</v>
      </c>
      <c r="BD23" s="1">
        <v>6.9000000000000006E-2</v>
      </c>
      <c r="BE23" s="1">
        <v>3.7199999999999997E-2</v>
      </c>
      <c r="BF23" s="1">
        <v>-4.1900000000000001E-3</v>
      </c>
      <c r="BG23" s="1">
        <v>-3.6299999999999999E-2</v>
      </c>
      <c r="BH23" s="1">
        <v>-5.91E-2</v>
      </c>
      <c r="BI23" s="1">
        <v>-6.7199999999999996E-2</v>
      </c>
      <c r="BJ23" s="1">
        <v>-4.1700000000000001E-2</v>
      </c>
      <c r="BK23" s="1">
        <v>-3.0800000000000001E-2</v>
      </c>
      <c r="BL23" s="1">
        <v>7.7600000000000004E-3</v>
      </c>
      <c r="BM23" s="1">
        <v>0.10100000000000001</v>
      </c>
      <c r="BN23" s="1">
        <v>0.183</v>
      </c>
      <c r="BO23" s="1">
        <v>0.17699999999999999</v>
      </c>
      <c r="BP23" s="1">
        <v>0.13300000000000001</v>
      </c>
      <c r="BQ23" s="1">
        <v>0.11700000000000001</v>
      </c>
      <c r="BR23" s="1">
        <v>0.114</v>
      </c>
      <c r="BS23" s="1">
        <v>4.4999999999999998E-2</v>
      </c>
      <c r="BT23" s="1">
        <v>-0.111</v>
      </c>
      <c r="BU23" s="1">
        <v>-0.16300000000000001</v>
      </c>
      <c r="BV23" s="1">
        <v>-0.104</v>
      </c>
      <c r="BW23" s="1">
        <v>-3.2500000000000001E-2</v>
      </c>
      <c r="BX23" s="1">
        <v>3.0300000000000001E-3</v>
      </c>
      <c r="BY23" s="1">
        <v>-1.0999999999999999E-2</v>
      </c>
      <c r="BZ23" s="1">
        <v>-6.8199999999999997E-3</v>
      </c>
      <c r="CA23" s="1">
        <v>1.38E-2</v>
      </c>
      <c r="CB23" s="1">
        <v>9.9400000000000002E-2</v>
      </c>
      <c r="CC23" s="1">
        <v>0.188</v>
      </c>
      <c r="CD23" s="1">
        <v>0.20899999999999999</v>
      </c>
      <c r="CE23" s="1">
        <v>0.126</v>
      </c>
      <c r="CF23" s="1">
        <v>-7.5399999999999995E-2</v>
      </c>
      <c r="CG23" s="1">
        <v>-0.17100000000000001</v>
      </c>
      <c r="CH23" s="1">
        <v>-0.158</v>
      </c>
      <c r="CI23" s="1">
        <v>0.19800000000000001</v>
      </c>
      <c r="CJ23" s="1">
        <v>0.26100000000000001</v>
      </c>
      <c r="CK23" s="1">
        <v>0.20100000000000001</v>
      </c>
      <c r="CL23" s="1">
        <v>0.106</v>
      </c>
      <c r="CM23" s="1">
        <v>0.11700000000000001</v>
      </c>
      <c r="CN23" s="1">
        <v>0.18099999999999999</v>
      </c>
      <c r="CO23" s="1">
        <v>0.28399999999999997</v>
      </c>
      <c r="CP23" s="1">
        <v>0.14099999999999999</v>
      </c>
      <c r="CQ23" s="1">
        <v>4.1599999999999996E-3</v>
      </c>
      <c r="CR23" s="1">
        <v>9.4899999999999998E-2</v>
      </c>
      <c r="CS23" s="1">
        <v>-8.0199999999999994E-3</v>
      </c>
      <c r="CT23" s="1">
        <v>0.34200000000000003</v>
      </c>
      <c r="CU23" s="1">
        <v>-7.9399999999999991E-3</v>
      </c>
      <c r="CV23" s="1">
        <v>3.6700000000000003E-2</v>
      </c>
    </row>
  </sheetData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EFB2-91C3-0B44-BF81-31AEBEED9BEF}">
  <sheetPr codeName="Planilha9"/>
  <dimension ref="A1:CV23"/>
  <sheetViews>
    <sheetView topLeftCell="A7" workbookViewId="0">
      <selection activeCell="B26" sqref="B26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2.3599999999999999E-2</v>
      </c>
      <c r="C2" s="1">
        <v>9.4899999999999998E-2</v>
      </c>
      <c r="D2" s="1">
        <v>0.16600000000000001</v>
      </c>
      <c r="E2" s="1">
        <v>0.371</v>
      </c>
      <c r="F2" s="1">
        <v>0.66</v>
      </c>
      <c r="G2" s="1">
        <v>0.84099999999999997</v>
      </c>
      <c r="H2" s="1">
        <v>0.97299999999999998</v>
      </c>
      <c r="I2" s="1">
        <v>1.0669999999999999</v>
      </c>
      <c r="J2" s="1">
        <v>1.1779999999999999</v>
      </c>
      <c r="K2" s="1">
        <v>1.248</v>
      </c>
      <c r="L2" s="1">
        <v>1.3540000000000001</v>
      </c>
      <c r="M2" s="1">
        <v>1.401</v>
      </c>
      <c r="N2" s="1">
        <v>1.4730000000000001</v>
      </c>
      <c r="O2" s="1">
        <v>1.5409999999999999</v>
      </c>
      <c r="P2" s="1">
        <v>1.5389999999999999</v>
      </c>
      <c r="Q2" s="1">
        <v>1.619</v>
      </c>
      <c r="R2" s="1">
        <v>1.661</v>
      </c>
      <c r="S2" s="1">
        <v>1.6719999999999999</v>
      </c>
      <c r="T2" s="1">
        <v>1.7070000000000001</v>
      </c>
      <c r="U2" s="1">
        <v>1.7549999999999999</v>
      </c>
      <c r="V2" s="1">
        <v>1.768</v>
      </c>
      <c r="W2" s="1">
        <v>1.7569999999999999</v>
      </c>
      <c r="X2" s="1">
        <v>1.7589999999999999</v>
      </c>
      <c r="Y2" s="1">
        <v>1.758</v>
      </c>
      <c r="Z2" s="1">
        <v>1.798</v>
      </c>
      <c r="AA2" s="1">
        <v>1.8029999999999999</v>
      </c>
      <c r="AB2" s="1">
        <v>1.837</v>
      </c>
      <c r="AC2" s="1">
        <v>1.845</v>
      </c>
      <c r="AD2" s="1">
        <v>1.859</v>
      </c>
      <c r="AE2" s="1">
        <v>1.853</v>
      </c>
      <c r="AF2" s="1">
        <v>1.855</v>
      </c>
      <c r="AG2" s="1">
        <v>1.9019999999999999</v>
      </c>
      <c r="AH2" s="1">
        <v>1.925</v>
      </c>
      <c r="AI2" s="1">
        <v>1.9470000000000001</v>
      </c>
      <c r="AJ2" s="1">
        <v>1.9410000000000001</v>
      </c>
      <c r="AK2" s="1">
        <v>1.9610000000000001</v>
      </c>
      <c r="AL2" s="1">
        <v>1.9870000000000001</v>
      </c>
      <c r="AM2" s="1">
        <v>2.02</v>
      </c>
      <c r="AN2" s="1">
        <v>2.0459999999999998</v>
      </c>
      <c r="AO2" s="1">
        <v>2.0459999999999998</v>
      </c>
      <c r="AP2" s="1">
        <v>2.0680000000000001</v>
      </c>
      <c r="AQ2" s="1">
        <v>2.081</v>
      </c>
      <c r="AR2" s="1">
        <v>2.0950000000000002</v>
      </c>
      <c r="AS2" s="1">
        <v>2.1320000000000001</v>
      </c>
      <c r="AT2" s="1">
        <v>2.14</v>
      </c>
      <c r="AU2" s="1">
        <v>2.165</v>
      </c>
      <c r="AV2" s="1">
        <v>2.1629999999999998</v>
      </c>
      <c r="AW2" s="1">
        <v>2.1680000000000001</v>
      </c>
      <c r="AX2" s="1">
        <v>2.2160000000000002</v>
      </c>
      <c r="AY2" s="1">
        <v>2.2269999999999999</v>
      </c>
      <c r="AZ2" s="1">
        <v>2.2320000000000002</v>
      </c>
      <c r="BA2" s="1">
        <v>2.2650000000000001</v>
      </c>
      <c r="BB2" s="1">
        <v>2.2759999999999998</v>
      </c>
      <c r="BC2" s="1">
        <v>2.3119999999999998</v>
      </c>
      <c r="BD2" s="1">
        <v>2.3490000000000002</v>
      </c>
      <c r="BE2" s="1">
        <v>2.3580000000000001</v>
      </c>
      <c r="BF2" s="1">
        <v>2.3580000000000001</v>
      </c>
      <c r="BG2" s="1">
        <v>2.399</v>
      </c>
      <c r="BH2" s="1">
        <v>2.448</v>
      </c>
      <c r="BI2" s="1">
        <v>2.4620000000000002</v>
      </c>
      <c r="BJ2" s="1">
        <v>2.4529999999999998</v>
      </c>
      <c r="BK2" s="1">
        <v>2.456</v>
      </c>
      <c r="BL2" s="1">
        <v>2.4540000000000002</v>
      </c>
      <c r="BM2" s="1">
        <v>2.4950000000000001</v>
      </c>
      <c r="BN2" s="1">
        <v>2.5369999999999999</v>
      </c>
      <c r="BO2" s="1">
        <v>2.556</v>
      </c>
      <c r="BP2" s="1">
        <v>2.5790000000000002</v>
      </c>
      <c r="BQ2" s="1">
        <v>2.605</v>
      </c>
      <c r="BR2" s="1">
        <v>2.633</v>
      </c>
      <c r="BS2" s="1">
        <v>2.681</v>
      </c>
      <c r="BT2" s="1">
        <v>2.6760000000000002</v>
      </c>
      <c r="BU2" s="1">
        <v>2.738</v>
      </c>
      <c r="BV2" s="1">
        <v>2.7629999999999999</v>
      </c>
      <c r="BW2" s="1">
        <v>2.778</v>
      </c>
      <c r="BX2" s="1">
        <v>2.8239999999999998</v>
      </c>
      <c r="BY2" s="1">
        <v>2.8660000000000001</v>
      </c>
      <c r="BZ2" s="1">
        <v>2.8559999999999999</v>
      </c>
      <c r="CA2" s="1">
        <v>2.899</v>
      </c>
      <c r="CB2" s="1">
        <v>2.9350000000000001</v>
      </c>
      <c r="CC2" s="1">
        <v>2.972</v>
      </c>
      <c r="CD2" s="1">
        <v>3.0259999999999998</v>
      </c>
      <c r="CE2" s="1">
        <v>3.0739999999999998</v>
      </c>
      <c r="CF2" s="1">
        <v>3.15</v>
      </c>
      <c r="CG2" s="1">
        <v>3.1440000000000001</v>
      </c>
      <c r="CH2" s="1">
        <v>3.181</v>
      </c>
      <c r="CI2" s="1">
        <v>3.25</v>
      </c>
      <c r="CJ2" s="1">
        <v>3.3</v>
      </c>
      <c r="CK2" s="1">
        <v>3.3780000000000001</v>
      </c>
      <c r="CL2" s="1">
        <v>3.3959999999999999</v>
      </c>
      <c r="CM2" s="1">
        <v>3.464</v>
      </c>
      <c r="CN2" s="1">
        <v>3.5489999999999999</v>
      </c>
      <c r="CO2" s="1">
        <v>3.6280000000000001</v>
      </c>
      <c r="CP2" s="1">
        <v>3.7040000000000002</v>
      </c>
      <c r="CQ2" s="1">
        <v>3.8559999999999999</v>
      </c>
      <c r="CR2" s="1">
        <v>3.9550000000000001</v>
      </c>
      <c r="CS2" s="1">
        <v>4.0620000000000003</v>
      </c>
      <c r="CT2" s="1">
        <v>4.2830000000000004</v>
      </c>
      <c r="CU2" s="1">
        <v>4.53</v>
      </c>
      <c r="CV2" s="1">
        <v>4.8639999999999999</v>
      </c>
    </row>
    <row r="3" spans="1:100" x14ac:dyDescent="0.2">
      <c r="A3" t="s">
        <v>204</v>
      </c>
      <c r="B3" s="1">
        <v>2.0500000000000001E-2</v>
      </c>
      <c r="C3" s="1">
        <v>8.8400000000000006E-2</v>
      </c>
      <c r="D3" s="1">
        <v>0.156</v>
      </c>
      <c r="E3" s="1">
        <v>0.28499999999999998</v>
      </c>
      <c r="F3" s="1">
        <v>0.60299999999999998</v>
      </c>
      <c r="G3" s="1">
        <v>0.82199999999999995</v>
      </c>
      <c r="H3" s="1">
        <v>0.90800000000000003</v>
      </c>
      <c r="I3" s="1">
        <v>1.107</v>
      </c>
      <c r="J3" s="1">
        <v>1.173</v>
      </c>
      <c r="K3" s="1">
        <v>1.29</v>
      </c>
      <c r="L3" s="1">
        <v>1.3540000000000001</v>
      </c>
      <c r="M3" s="1">
        <v>1.411</v>
      </c>
      <c r="N3" s="1">
        <v>1.4870000000000001</v>
      </c>
      <c r="O3" s="1">
        <v>1.5780000000000001</v>
      </c>
      <c r="P3" s="1">
        <v>1.5880000000000001</v>
      </c>
      <c r="Q3" s="1">
        <v>1.619</v>
      </c>
      <c r="R3" s="1">
        <v>1.6619999999999999</v>
      </c>
      <c r="S3" s="1">
        <v>1.6990000000000001</v>
      </c>
      <c r="T3" s="1">
        <v>1.7170000000000001</v>
      </c>
      <c r="U3" s="1">
        <v>1.748</v>
      </c>
      <c r="V3" s="1">
        <v>1.7569999999999999</v>
      </c>
      <c r="W3" s="1">
        <v>1.796</v>
      </c>
      <c r="X3" s="1">
        <v>1.802</v>
      </c>
      <c r="Y3" s="1">
        <v>1.804</v>
      </c>
      <c r="Z3" s="1">
        <v>1.8089999999999999</v>
      </c>
      <c r="AA3" s="1">
        <v>1.8340000000000001</v>
      </c>
      <c r="AB3" s="1">
        <v>1.845</v>
      </c>
      <c r="AC3" s="1">
        <v>1.8560000000000001</v>
      </c>
      <c r="AD3" s="1">
        <v>1.877</v>
      </c>
      <c r="AE3" s="1">
        <v>1.889</v>
      </c>
      <c r="AF3" s="1">
        <v>1.903</v>
      </c>
      <c r="AG3" s="1">
        <v>1.9419999999999999</v>
      </c>
      <c r="AH3" s="1">
        <v>1.9690000000000001</v>
      </c>
      <c r="AI3" s="1">
        <v>1.986</v>
      </c>
      <c r="AJ3" s="1">
        <v>1.9870000000000001</v>
      </c>
      <c r="AK3" s="1">
        <v>2.0009999999999999</v>
      </c>
      <c r="AL3" s="1">
        <v>2.0270000000000001</v>
      </c>
      <c r="AM3" s="1">
        <v>2.0499999999999998</v>
      </c>
      <c r="AN3" s="1">
        <v>2.0710000000000002</v>
      </c>
      <c r="AO3" s="1">
        <v>2.089</v>
      </c>
      <c r="AP3" s="1">
        <v>2.1070000000000002</v>
      </c>
      <c r="AQ3" s="1">
        <v>2.1139999999999999</v>
      </c>
      <c r="AR3" s="1">
        <v>2.1360000000000001</v>
      </c>
      <c r="AS3" s="1">
        <v>2.1560000000000001</v>
      </c>
      <c r="AT3" s="1">
        <v>2.1779999999999999</v>
      </c>
      <c r="AU3" s="1">
        <v>2.206</v>
      </c>
      <c r="AV3" s="1">
        <v>2.2090000000000001</v>
      </c>
      <c r="AW3" s="1">
        <v>2.2189999999999999</v>
      </c>
      <c r="AX3" s="1">
        <v>2.2639999999999998</v>
      </c>
      <c r="AY3" s="1">
        <v>2.2730000000000001</v>
      </c>
      <c r="AZ3" s="1">
        <v>2.2879999999999998</v>
      </c>
      <c r="BA3" s="1">
        <v>2.31</v>
      </c>
      <c r="BB3" s="1">
        <v>2.3199999999999998</v>
      </c>
      <c r="BC3" s="1">
        <v>2.351</v>
      </c>
      <c r="BD3" s="1">
        <v>2.3879999999999999</v>
      </c>
      <c r="BE3" s="1">
        <v>2.399</v>
      </c>
      <c r="BF3" s="1">
        <v>2.4039999999999999</v>
      </c>
      <c r="BG3" s="1">
        <v>2.4329999999999998</v>
      </c>
      <c r="BH3" s="1">
        <v>2.4910000000000001</v>
      </c>
      <c r="BI3" s="1">
        <v>2.4980000000000002</v>
      </c>
      <c r="BJ3" s="1">
        <v>2.4969999999999999</v>
      </c>
      <c r="BK3" s="1">
        <v>2.4969999999999999</v>
      </c>
      <c r="BL3" s="1">
        <v>2.5070000000000001</v>
      </c>
      <c r="BM3" s="1">
        <v>2.5379999999999998</v>
      </c>
      <c r="BN3" s="1">
        <v>2.5760000000000001</v>
      </c>
      <c r="BO3" s="1">
        <v>2.6040000000000001</v>
      </c>
      <c r="BP3" s="1">
        <v>2.6280000000000001</v>
      </c>
      <c r="BQ3" s="1">
        <v>2.673</v>
      </c>
      <c r="BR3" s="1">
        <v>2.6970000000000001</v>
      </c>
      <c r="BS3" s="1">
        <v>2.7280000000000002</v>
      </c>
      <c r="BT3" s="1">
        <v>2.726</v>
      </c>
      <c r="BU3" s="1">
        <v>2.7770000000000001</v>
      </c>
      <c r="BV3" s="1">
        <v>2.7989999999999999</v>
      </c>
      <c r="BW3" s="1">
        <v>2.8119999999999998</v>
      </c>
      <c r="BX3" s="1">
        <v>2.859</v>
      </c>
      <c r="BY3" s="1">
        <v>2.9</v>
      </c>
      <c r="BZ3" s="1">
        <v>2.9020000000000001</v>
      </c>
      <c r="CA3" s="1">
        <v>2.9359999999999999</v>
      </c>
      <c r="CB3" s="1">
        <v>2.9750000000000001</v>
      </c>
      <c r="CC3" s="1">
        <v>3.0139999999999998</v>
      </c>
      <c r="CD3" s="1">
        <v>3.0609999999999999</v>
      </c>
      <c r="CE3" s="1">
        <v>3.1070000000000002</v>
      </c>
      <c r="CF3" s="1">
        <v>3.1909999999999998</v>
      </c>
      <c r="CG3" s="1">
        <v>3.19</v>
      </c>
      <c r="CH3" s="1">
        <v>3.2170000000000001</v>
      </c>
      <c r="CI3" s="1">
        <v>3.3</v>
      </c>
      <c r="CJ3" s="1">
        <v>3.3420000000000001</v>
      </c>
      <c r="CK3" s="1">
        <v>3.415</v>
      </c>
      <c r="CL3" s="1">
        <v>3.427</v>
      </c>
      <c r="CM3" s="1">
        <v>3.5179999999999998</v>
      </c>
      <c r="CN3" s="1">
        <v>3.5960000000000001</v>
      </c>
      <c r="CO3" s="1">
        <v>3.7</v>
      </c>
      <c r="CP3" s="1">
        <v>3.7869999999999999</v>
      </c>
      <c r="CQ3" s="1">
        <v>3.8849999999999998</v>
      </c>
      <c r="CR3" s="1">
        <v>4.0140000000000002</v>
      </c>
      <c r="CS3" s="1">
        <v>4.1189999999999998</v>
      </c>
      <c r="CT3" s="1">
        <v>4.3449999999999998</v>
      </c>
      <c r="CU3" s="1">
        <v>4.5810000000000004</v>
      </c>
      <c r="CV3" s="1">
        <v>5.0209999999999999</v>
      </c>
    </row>
    <row r="4" spans="1:100" x14ac:dyDescent="0.2">
      <c r="A4" t="s">
        <v>205</v>
      </c>
      <c r="B4" s="1">
        <v>3.0899999999999999E-3</v>
      </c>
      <c r="C4" s="1">
        <v>6.5199999999999998E-3</v>
      </c>
      <c r="D4" s="1">
        <v>9.9399999999999992E-3</v>
      </c>
      <c r="E4" s="1">
        <v>8.6099999999999996E-2</v>
      </c>
      <c r="F4" s="1">
        <v>5.7000000000000002E-2</v>
      </c>
      <c r="G4" s="1">
        <v>1.9099999999999999E-2</v>
      </c>
      <c r="H4" s="1">
        <v>6.5199999999999994E-2</v>
      </c>
      <c r="I4" s="1">
        <v>-4.07E-2</v>
      </c>
      <c r="J4" s="1">
        <v>4.7000000000000002E-3</v>
      </c>
      <c r="K4" s="1">
        <v>-4.2500000000000003E-2</v>
      </c>
      <c r="L4" s="1">
        <v>-6.0899999999999995E-4</v>
      </c>
      <c r="M4" s="1">
        <v>-1.06E-2</v>
      </c>
      <c r="N4" s="1">
        <v>-1.4500000000000001E-2</v>
      </c>
      <c r="O4" s="1">
        <v>-3.6700000000000003E-2</v>
      </c>
      <c r="P4" s="1">
        <v>-4.87E-2</v>
      </c>
      <c r="Q4" s="1">
        <v>2.5700000000000001E-4</v>
      </c>
      <c r="R4" s="1">
        <v>-1.1999999999999999E-3</v>
      </c>
      <c r="S4" s="1">
        <v>-2.7799999999999998E-2</v>
      </c>
      <c r="T4" s="1">
        <v>-9.6799999999999994E-3</v>
      </c>
      <c r="U4" s="1">
        <v>7.2899999999999996E-3</v>
      </c>
      <c r="V4" s="1">
        <v>1.0999999999999999E-2</v>
      </c>
      <c r="W4" s="1">
        <v>-3.9399999999999998E-2</v>
      </c>
      <c r="X4" s="1">
        <v>-4.3799999999999999E-2</v>
      </c>
      <c r="Y4" s="1">
        <v>-4.58E-2</v>
      </c>
      <c r="Z4" s="1">
        <v>-1.0800000000000001E-2</v>
      </c>
      <c r="AA4" s="1">
        <v>-3.1800000000000002E-2</v>
      </c>
      <c r="AB4" s="1">
        <v>-8.4799999999999997E-3</v>
      </c>
      <c r="AC4" s="1">
        <v>-1.09E-2</v>
      </c>
      <c r="AD4" s="1">
        <v>-1.8100000000000002E-2</v>
      </c>
      <c r="AE4" s="1">
        <v>-3.61E-2</v>
      </c>
      <c r="AF4" s="1">
        <v>-4.7800000000000002E-2</v>
      </c>
      <c r="AG4" s="1">
        <v>-3.9300000000000002E-2</v>
      </c>
      <c r="AH4" s="1">
        <v>-4.3799999999999999E-2</v>
      </c>
      <c r="AI4" s="1">
        <v>-3.85E-2</v>
      </c>
      <c r="AJ4" s="1">
        <v>-4.5600000000000002E-2</v>
      </c>
      <c r="AK4" s="1">
        <v>-3.9899999999999998E-2</v>
      </c>
      <c r="AL4" s="1">
        <v>-3.9800000000000002E-2</v>
      </c>
      <c r="AM4" s="1">
        <v>-2.92E-2</v>
      </c>
      <c r="AN4" s="1">
        <v>-2.46E-2</v>
      </c>
      <c r="AO4" s="1">
        <v>-4.2900000000000001E-2</v>
      </c>
      <c r="AP4" s="1">
        <v>-3.95E-2</v>
      </c>
      <c r="AQ4" s="1">
        <v>-3.32E-2</v>
      </c>
      <c r="AR4" s="1">
        <v>-4.07E-2</v>
      </c>
      <c r="AS4" s="1">
        <v>-2.35E-2</v>
      </c>
      <c r="AT4" s="1">
        <v>-3.8399999999999997E-2</v>
      </c>
      <c r="AU4" s="1">
        <v>-4.0599999999999997E-2</v>
      </c>
      <c r="AV4" s="1">
        <v>-4.6600000000000003E-2</v>
      </c>
      <c r="AW4" s="1">
        <v>-5.1900000000000002E-2</v>
      </c>
      <c r="AX4" s="1">
        <v>-4.7800000000000002E-2</v>
      </c>
      <c r="AY4" s="1">
        <v>-4.58E-2</v>
      </c>
      <c r="AZ4" s="1">
        <v>-5.62E-2</v>
      </c>
      <c r="BA4" s="1">
        <v>-4.5100000000000001E-2</v>
      </c>
      <c r="BB4" s="1">
        <v>-4.4200000000000003E-2</v>
      </c>
      <c r="BC4" s="1">
        <v>-3.8600000000000002E-2</v>
      </c>
      <c r="BD4" s="1">
        <v>-3.8600000000000002E-2</v>
      </c>
      <c r="BE4" s="1">
        <v>-4.0599999999999997E-2</v>
      </c>
      <c r="BF4" s="1">
        <v>-4.5999999999999999E-2</v>
      </c>
      <c r="BG4" s="1">
        <v>-3.3799999999999997E-2</v>
      </c>
      <c r="BH4" s="1">
        <v>-4.2900000000000001E-2</v>
      </c>
      <c r="BI4" s="1">
        <v>-3.5099999999999999E-2</v>
      </c>
      <c r="BJ4" s="1">
        <v>-4.36E-2</v>
      </c>
      <c r="BK4" s="1">
        <v>-4.07E-2</v>
      </c>
      <c r="BL4" s="1">
        <v>-5.3100000000000001E-2</v>
      </c>
      <c r="BM4" s="1">
        <v>-4.3400000000000001E-2</v>
      </c>
      <c r="BN4" s="1">
        <v>-3.9399999999999998E-2</v>
      </c>
      <c r="BO4" s="1">
        <v>-4.7800000000000002E-2</v>
      </c>
      <c r="BP4" s="1">
        <v>-4.9000000000000002E-2</v>
      </c>
      <c r="BQ4" s="1">
        <v>-6.83E-2</v>
      </c>
      <c r="BR4" s="1">
        <v>-6.4000000000000001E-2</v>
      </c>
      <c r="BS4" s="1">
        <v>-4.7399999999999998E-2</v>
      </c>
      <c r="BT4" s="1">
        <v>-0.05</v>
      </c>
      <c r="BU4" s="1">
        <v>-3.9E-2</v>
      </c>
      <c r="BV4" s="1">
        <v>-3.6799999999999999E-2</v>
      </c>
      <c r="BW4" s="1">
        <v>-3.39E-2</v>
      </c>
      <c r="BX4" s="1">
        <v>-3.4799999999999998E-2</v>
      </c>
      <c r="BY4" s="1">
        <v>-3.3799999999999997E-2</v>
      </c>
      <c r="BZ4" s="1">
        <v>-4.6399999999999997E-2</v>
      </c>
      <c r="CA4" s="1">
        <v>-3.6400000000000002E-2</v>
      </c>
      <c r="CB4" s="1">
        <v>-4.0300000000000002E-2</v>
      </c>
      <c r="CC4" s="1">
        <v>-4.1799999999999997E-2</v>
      </c>
      <c r="CD4" s="1">
        <v>-3.5299999999999998E-2</v>
      </c>
      <c r="CE4" s="1">
        <v>-3.3099999999999997E-2</v>
      </c>
      <c r="CF4" s="1">
        <v>-4.0599999999999997E-2</v>
      </c>
      <c r="CG4" s="1">
        <v>-4.6199999999999998E-2</v>
      </c>
      <c r="CH4" s="1">
        <v>-3.5400000000000001E-2</v>
      </c>
      <c r="CI4" s="1">
        <v>-5.0299999999999997E-2</v>
      </c>
      <c r="CJ4" s="1">
        <v>-4.24E-2</v>
      </c>
      <c r="CK4" s="1">
        <v>-3.7199999999999997E-2</v>
      </c>
      <c r="CL4" s="1">
        <v>-3.0800000000000001E-2</v>
      </c>
      <c r="CM4" s="1">
        <v>-5.3499999999999999E-2</v>
      </c>
      <c r="CN4" s="1">
        <v>-4.7E-2</v>
      </c>
      <c r="CO4" s="1">
        <v>-7.1300000000000002E-2</v>
      </c>
      <c r="CP4" s="1">
        <v>-8.2799999999999999E-2</v>
      </c>
      <c r="CQ4" s="1">
        <v>-2.8899999999999999E-2</v>
      </c>
      <c r="CR4" s="1">
        <v>-5.9700000000000003E-2</v>
      </c>
      <c r="CS4" s="1">
        <v>-5.6399999999999999E-2</v>
      </c>
      <c r="CT4" s="1">
        <v>-6.2399999999999997E-2</v>
      </c>
      <c r="CU4" s="1">
        <v>-5.0900000000000001E-2</v>
      </c>
      <c r="CV4" s="1">
        <v>-0.157</v>
      </c>
    </row>
    <row r="5" spans="1:100" x14ac:dyDescent="0.2">
      <c r="A5" t="s">
        <v>206</v>
      </c>
      <c r="B5" s="1">
        <v>1E-3</v>
      </c>
      <c r="C5" s="1">
        <v>1E-3</v>
      </c>
      <c r="D5" s="1">
        <v>1E-3</v>
      </c>
      <c r="E5" s="1">
        <v>7.0800000000000004E-3</v>
      </c>
      <c r="F5" s="1">
        <v>1.0999999999999999E-2</v>
      </c>
      <c r="G5" s="1">
        <v>1.46E-2</v>
      </c>
      <c r="H5" s="1">
        <v>1.5599999999999999E-2</v>
      </c>
      <c r="I5" s="1">
        <v>1.7600000000000001E-2</v>
      </c>
      <c r="J5" s="1">
        <v>2.06E-2</v>
      </c>
      <c r="K5" s="1">
        <v>2.12E-2</v>
      </c>
      <c r="L5" s="1">
        <v>2.1700000000000001E-2</v>
      </c>
      <c r="M5" s="1">
        <v>2.3199999999999998E-2</v>
      </c>
      <c r="N5" s="1">
        <v>2.1600000000000001E-2</v>
      </c>
      <c r="O5" s="1">
        <v>1.67E-2</v>
      </c>
      <c r="P5" s="1">
        <v>1.6899999999999998E-2</v>
      </c>
      <c r="Q5" s="1">
        <v>1.67E-2</v>
      </c>
      <c r="R5" s="1">
        <v>1.55E-2</v>
      </c>
      <c r="S5" s="1">
        <v>1.4999999999999999E-2</v>
      </c>
      <c r="T5" s="1">
        <v>1.5299999999999999E-2</v>
      </c>
      <c r="U5" s="1">
        <v>1.46E-2</v>
      </c>
      <c r="V5" s="1">
        <v>1.5900000000000001E-2</v>
      </c>
      <c r="W5" s="1">
        <v>1.5699999999999999E-2</v>
      </c>
      <c r="X5" s="1">
        <v>1.6400000000000001E-2</v>
      </c>
      <c r="Y5" s="1">
        <v>1.7100000000000001E-2</v>
      </c>
      <c r="Z5" s="1">
        <v>1.77E-2</v>
      </c>
      <c r="AA5" s="1">
        <v>1.8100000000000002E-2</v>
      </c>
      <c r="AB5" s="1">
        <v>1.8800000000000001E-2</v>
      </c>
      <c r="AC5" s="1">
        <v>1.9800000000000002E-2</v>
      </c>
      <c r="AD5" s="1">
        <v>2.1000000000000001E-2</v>
      </c>
      <c r="AE5" s="1">
        <v>2.2800000000000001E-2</v>
      </c>
      <c r="AF5" s="1">
        <v>2.4199999999999999E-2</v>
      </c>
      <c r="AG5" s="1">
        <v>2.6200000000000001E-2</v>
      </c>
      <c r="AH5" s="1">
        <v>2.7900000000000001E-2</v>
      </c>
      <c r="AI5" s="1">
        <v>2.8799999999999999E-2</v>
      </c>
      <c r="AJ5" s="1">
        <v>2.9399999999999999E-2</v>
      </c>
      <c r="AK5" s="1">
        <v>0.03</v>
      </c>
      <c r="AL5" s="1">
        <v>3.1E-2</v>
      </c>
      <c r="AM5" s="1">
        <v>3.1699999999999999E-2</v>
      </c>
      <c r="AN5" s="1">
        <v>3.2399999999999998E-2</v>
      </c>
      <c r="AO5" s="1">
        <v>3.3000000000000002E-2</v>
      </c>
      <c r="AP5" s="1">
        <v>3.3300000000000003E-2</v>
      </c>
      <c r="AQ5" s="1">
        <v>3.4200000000000001E-2</v>
      </c>
      <c r="AR5" s="1">
        <v>3.5000000000000003E-2</v>
      </c>
      <c r="AS5" s="1">
        <v>3.5799999999999998E-2</v>
      </c>
      <c r="AT5" s="1">
        <v>3.6799999999999999E-2</v>
      </c>
      <c r="AU5" s="1">
        <v>3.7699999999999997E-2</v>
      </c>
      <c r="AV5" s="1">
        <v>3.8300000000000001E-2</v>
      </c>
      <c r="AW5" s="1">
        <v>3.9E-2</v>
      </c>
      <c r="AX5" s="1">
        <v>4.0800000000000003E-2</v>
      </c>
      <c r="AY5" s="1">
        <v>4.1500000000000002E-2</v>
      </c>
      <c r="AZ5" s="1">
        <v>4.2200000000000001E-2</v>
      </c>
      <c r="BA5" s="1">
        <v>4.3700000000000003E-2</v>
      </c>
      <c r="BB5" s="1">
        <v>4.4499999999999998E-2</v>
      </c>
      <c r="BC5" s="1">
        <v>4.5600000000000002E-2</v>
      </c>
      <c r="BD5" s="1">
        <v>4.6300000000000001E-2</v>
      </c>
      <c r="BE5" s="1">
        <v>4.6399999999999997E-2</v>
      </c>
      <c r="BF5" s="1">
        <v>4.6300000000000001E-2</v>
      </c>
      <c r="BG5" s="1">
        <v>4.6399999999999997E-2</v>
      </c>
      <c r="BH5" s="1">
        <v>4.7100000000000003E-2</v>
      </c>
      <c r="BI5" s="1">
        <v>4.7100000000000003E-2</v>
      </c>
      <c r="BJ5" s="1">
        <v>4.7199999999999999E-2</v>
      </c>
      <c r="BK5" s="1">
        <v>4.6899999999999997E-2</v>
      </c>
      <c r="BL5" s="1">
        <v>4.7399999999999998E-2</v>
      </c>
      <c r="BM5" s="1">
        <v>5.0299999999999997E-2</v>
      </c>
      <c r="BN5" s="1">
        <v>5.5199999999999999E-2</v>
      </c>
      <c r="BO5" s="1">
        <v>5.8999999999999997E-2</v>
      </c>
      <c r="BP5" s="1">
        <v>6.1199999999999997E-2</v>
      </c>
      <c r="BQ5" s="1">
        <v>6.3100000000000003E-2</v>
      </c>
      <c r="BR5" s="1">
        <v>6.3E-2</v>
      </c>
      <c r="BS5" s="1">
        <v>6.3100000000000003E-2</v>
      </c>
      <c r="BT5" s="1">
        <v>6.2399999999999997E-2</v>
      </c>
      <c r="BU5" s="1">
        <v>6.3799999999999996E-2</v>
      </c>
      <c r="BV5" s="1">
        <v>6.3899999999999998E-2</v>
      </c>
      <c r="BW5" s="1">
        <v>6.3899999999999998E-2</v>
      </c>
      <c r="BX5" s="1">
        <v>6.59E-2</v>
      </c>
      <c r="BY5" s="1">
        <v>6.8099999999999994E-2</v>
      </c>
      <c r="BZ5" s="1">
        <v>6.6900000000000001E-2</v>
      </c>
      <c r="CA5" s="1">
        <v>6.9099999999999995E-2</v>
      </c>
      <c r="CB5" s="1">
        <v>7.4200000000000002E-2</v>
      </c>
      <c r="CC5" s="1">
        <v>7.9200000000000007E-2</v>
      </c>
      <c r="CD5" s="1">
        <v>8.3099999999999993E-2</v>
      </c>
      <c r="CE5" s="1">
        <v>8.2299999999999998E-2</v>
      </c>
      <c r="CF5" s="1">
        <v>7.9600000000000004E-2</v>
      </c>
      <c r="CG5" s="1">
        <v>7.6399999999999996E-2</v>
      </c>
      <c r="CH5" s="1">
        <v>7.4700000000000003E-2</v>
      </c>
      <c r="CI5" s="1">
        <v>8.4099999999999994E-2</v>
      </c>
      <c r="CJ5" s="1">
        <v>8.3299999999999999E-2</v>
      </c>
      <c r="CK5" s="1">
        <v>8.2799999999999999E-2</v>
      </c>
      <c r="CL5" s="1">
        <v>7.9299999999999995E-2</v>
      </c>
      <c r="CM5" s="1">
        <v>9.1700000000000004E-2</v>
      </c>
      <c r="CN5" s="1">
        <v>9.64E-2</v>
      </c>
      <c r="CO5" s="1">
        <v>0.10100000000000001</v>
      </c>
      <c r="CP5" s="1">
        <v>9.9699999999999997E-2</v>
      </c>
      <c r="CQ5" s="1">
        <v>9.3399999999999997E-2</v>
      </c>
      <c r="CR5" s="1">
        <v>9.4899999999999998E-2</v>
      </c>
      <c r="CS5" s="1">
        <v>8.2000000000000003E-2</v>
      </c>
      <c r="CT5" s="1">
        <v>0.105</v>
      </c>
      <c r="CU5" s="1">
        <v>8.2699999999999996E-2</v>
      </c>
      <c r="CV5" s="1">
        <v>0.104</v>
      </c>
    </row>
    <row r="6" spans="1:100" x14ac:dyDescent="0.2">
      <c r="A6" t="s">
        <v>207</v>
      </c>
      <c r="B6" s="1">
        <v>2.0899999999999998E-3</v>
      </c>
      <c r="C6" s="1">
        <v>5.5199999999999997E-3</v>
      </c>
      <c r="D6" s="1">
        <v>8.94E-3</v>
      </c>
      <c r="E6" s="1">
        <v>7.9000000000000001E-2</v>
      </c>
      <c r="F6" s="1">
        <v>4.5999999999999999E-2</v>
      </c>
      <c r="G6" s="1">
        <v>4.5500000000000002E-3</v>
      </c>
      <c r="H6" s="1">
        <v>4.9700000000000001E-2</v>
      </c>
      <c r="I6" s="1">
        <v>-5.8299999999999998E-2</v>
      </c>
      <c r="J6" s="1">
        <v>-1.5900000000000001E-2</v>
      </c>
      <c r="K6" s="1">
        <v>-6.3700000000000007E-2</v>
      </c>
      <c r="L6" s="1">
        <v>-2.23E-2</v>
      </c>
      <c r="M6" s="1">
        <v>-3.3799999999999997E-2</v>
      </c>
      <c r="N6" s="1">
        <v>-3.61E-2</v>
      </c>
      <c r="O6" s="1">
        <v>-5.3400000000000003E-2</v>
      </c>
      <c r="P6" s="1">
        <v>-6.5500000000000003E-2</v>
      </c>
      <c r="Q6" s="1">
        <v>-1.6400000000000001E-2</v>
      </c>
      <c r="R6" s="1">
        <v>-1.67E-2</v>
      </c>
      <c r="S6" s="1">
        <v>-4.2799999999999998E-2</v>
      </c>
      <c r="T6" s="1">
        <v>-2.5000000000000001E-2</v>
      </c>
      <c r="U6" s="1">
        <v>-7.28E-3</v>
      </c>
      <c r="V6" s="1">
        <v>-4.8599999999999997E-3</v>
      </c>
      <c r="W6" s="1">
        <v>-5.5100000000000003E-2</v>
      </c>
      <c r="X6" s="1">
        <v>-6.0199999999999997E-2</v>
      </c>
      <c r="Y6" s="1">
        <v>-6.3E-2</v>
      </c>
      <c r="Z6" s="1">
        <v>-2.8500000000000001E-2</v>
      </c>
      <c r="AA6" s="1">
        <v>-4.99E-2</v>
      </c>
      <c r="AB6" s="1">
        <v>-2.7300000000000001E-2</v>
      </c>
      <c r="AC6" s="1">
        <v>-3.0700000000000002E-2</v>
      </c>
      <c r="AD6" s="1">
        <v>-3.9199999999999999E-2</v>
      </c>
      <c r="AE6" s="1">
        <v>-5.8799999999999998E-2</v>
      </c>
      <c r="AF6" s="1">
        <v>-7.1999999999999995E-2</v>
      </c>
      <c r="AG6" s="1">
        <v>-6.5500000000000003E-2</v>
      </c>
      <c r="AH6" s="1">
        <v>-7.17E-2</v>
      </c>
      <c r="AI6" s="1">
        <v>-6.7299999999999999E-2</v>
      </c>
      <c r="AJ6" s="1">
        <v>-7.4999999999999997E-2</v>
      </c>
      <c r="AK6" s="1">
        <v>-6.9900000000000004E-2</v>
      </c>
      <c r="AL6" s="1">
        <v>-7.0800000000000002E-2</v>
      </c>
      <c r="AM6" s="1">
        <v>-6.0900000000000003E-2</v>
      </c>
      <c r="AN6" s="1">
        <v>-5.7000000000000002E-2</v>
      </c>
      <c r="AO6" s="1">
        <v>-7.5899999999999995E-2</v>
      </c>
      <c r="AP6" s="1">
        <v>-7.2800000000000004E-2</v>
      </c>
      <c r="AQ6" s="1">
        <v>-6.7400000000000002E-2</v>
      </c>
      <c r="AR6" s="1">
        <v>-7.5800000000000006E-2</v>
      </c>
      <c r="AS6" s="1">
        <v>-5.9299999999999999E-2</v>
      </c>
      <c r="AT6" s="1">
        <v>-7.51E-2</v>
      </c>
      <c r="AU6" s="1">
        <v>-7.8399999999999997E-2</v>
      </c>
      <c r="AV6" s="1">
        <v>-8.4900000000000003E-2</v>
      </c>
      <c r="AW6" s="1">
        <v>-9.0899999999999995E-2</v>
      </c>
      <c r="AX6" s="1">
        <v>-8.8700000000000001E-2</v>
      </c>
      <c r="AY6" s="1">
        <v>-8.7400000000000005E-2</v>
      </c>
      <c r="AZ6" s="1">
        <v>-9.8400000000000001E-2</v>
      </c>
      <c r="BA6" s="1">
        <v>-8.8700000000000001E-2</v>
      </c>
      <c r="BB6" s="1">
        <v>-8.8800000000000004E-2</v>
      </c>
      <c r="BC6" s="1">
        <v>-8.43E-2</v>
      </c>
      <c r="BD6" s="1">
        <v>-8.4900000000000003E-2</v>
      </c>
      <c r="BE6" s="1">
        <v>-8.6999999999999994E-2</v>
      </c>
      <c r="BF6" s="1">
        <v>-9.2299999999999993E-2</v>
      </c>
      <c r="BG6" s="1">
        <v>-8.0100000000000005E-2</v>
      </c>
      <c r="BH6" s="1">
        <v>-0.09</v>
      </c>
      <c r="BI6" s="1">
        <v>-8.2199999999999995E-2</v>
      </c>
      <c r="BJ6" s="1">
        <v>-9.0800000000000006E-2</v>
      </c>
      <c r="BK6" s="1">
        <v>-8.7599999999999997E-2</v>
      </c>
      <c r="BL6" s="1">
        <v>-0.10100000000000001</v>
      </c>
      <c r="BM6" s="1">
        <v>-9.3700000000000006E-2</v>
      </c>
      <c r="BN6" s="1">
        <v>-9.4600000000000004E-2</v>
      </c>
      <c r="BO6" s="1">
        <v>-0.107</v>
      </c>
      <c r="BP6" s="1">
        <v>-0.11</v>
      </c>
      <c r="BQ6" s="1">
        <v>-0.13100000000000001</v>
      </c>
      <c r="BR6" s="1">
        <v>-0.127</v>
      </c>
      <c r="BS6" s="1">
        <v>-0.111</v>
      </c>
      <c r="BT6" s="1">
        <v>-0.112</v>
      </c>
      <c r="BU6" s="1">
        <v>-0.10299999999999999</v>
      </c>
      <c r="BV6" s="1">
        <v>-0.10100000000000001</v>
      </c>
      <c r="BW6" s="1">
        <v>-9.7799999999999998E-2</v>
      </c>
      <c r="BX6" s="1">
        <v>-0.10100000000000001</v>
      </c>
      <c r="BY6" s="1">
        <v>-0.10199999999999999</v>
      </c>
      <c r="BZ6" s="1">
        <v>-0.113</v>
      </c>
      <c r="CA6" s="1">
        <v>-0.106</v>
      </c>
      <c r="CB6" s="1">
        <v>-0.114</v>
      </c>
      <c r="CC6" s="1">
        <v>-0.121</v>
      </c>
      <c r="CD6" s="1">
        <v>-0.11799999999999999</v>
      </c>
      <c r="CE6" s="1">
        <v>-0.115</v>
      </c>
      <c r="CF6" s="1">
        <v>-0.12</v>
      </c>
      <c r="CG6" s="1">
        <v>-0.123</v>
      </c>
      <c r="CH6" s="1">
        <v>-0.11</v>
      </c>
      <c r="CI6" s="1">
        <v>-0.13400000000000001</v>
      </c>
      <c r="CJ6" s="1">
        <v>-0.126</v>
      </c>
      <c r="CK6" s="1">
        <v>-0.12</v>
      </c>
      <c r="CL6" s="1">
        <v>-0.11</v>
      </c>
      <c r="CM6" s="1">
        <v>-0.14499999999999999</v>
      </c>
      <c r="CN6" s="1">
        <v>-0.14299999999999999</v>
      </c>
      <c r="CO6" s="1">
        <v>-0.17199999999999999</v>
      </c>
      <c r="CP6" s="1">
        <v>-0.182</v>
      </c>
      <c r="CQ6" s="1">
        <v>-0.122</v>
      </c>
      <c r="CR6" s="1">
        <v>-0.155</v>
      </c>
      <c r="CS6" s="1">
        <v>-0.13800000000000001</v>
      </c>
      <c r="CT6" s="1">
        <v>-0.16700000000000001</v>
      </c>
      <c r="CU6" s="1">
        <v>-0.13400000000000001</v>
      </c>
      <c r="CV6" s="1">
        <v>-0.26100000000000001</v>
      </c>
    </row>
    <row r="7" spans="1:100" x14ac:dyDescent="0.2">
      <c r="A7" t="s">
        <v>224</v>
      </c>
      <c r="B7" s="1">
        <v>1.14E-3</v>
      </c>
      <c r="C7" s="1">
        <v>1.14E-3</v>
      </c>
      <c r="D7" s="1">
        <v>1.14E-3</v>
      </c>
      <c r="E7" s="1">
        <v>2.52E-2</v>
      </c>
      <c r="F7" s="1">
        <v>1.8100000000000002E-2</v>
      </c>
      <c r="G7" s="1">
        <v>1.72E-2</v>
      </c>
      <c r="H7" s="1">
        <v>1.7100000000000001E-2</v>
      </c>
      <c r="I7" s="1">
        <v>1.66E-2</v>
      </c>
      <c r="J7" s="1">
        <v>1.77E-2</v>
      </c>
      <c r="K7" s="1">
        <v>1.6799999999999999E-2</v>
      </c>
      <c r="L7" s="1">
        <v>1.72E-2</v>
      </c>
      <c r="M7" s="1">
        <v>1.7600000000000001E-2</v>
      </c>
      <c r="N7" s="1">
        <v>1.61E-2</v>
      </c>
      <c r="O7" s="1">
        <v>1.2200000000000001E-2</v>
      </c>
      <c r="P7" s="1">
        <v>1.26E-2</v>
      </c>
      <c r="Q7" s="1">
        <v>1.21E-2</v>
      </c>
      <c r="R7" s="1">
        <v>1.0800000000000001E-2</v>
      </c>
      <c r="S7" s="1">
        <v>0.01</v>
      </c>
      <c r="T7" s="1">
        <v>1.01E-2</v>
      </c>
      <c r="U7" s="1">
        <v>9.6399999999999993E-3</v>
      </c>
      <c r="V7" s="1">
        <v>1.0200000000000001E-2</v>
      </c>
      <c r="W7" s="1">
        <v>9.8399999999999998E-3</v>
      </c>
      <c r="X7" s="1">
        <v>1.03E-2</v>
      </c>
      <c r="Y7" s="1">
        <v>1.0800000000000001E-2</v>
      </c>
      <c r="Z7" s="1">
        <v>1.12E-2</v>
      </c>
      <c r="AA7" s="1">
        <v>1.14E-2</v>
      </c>
      <c r="AB7" s="1">
        <v>1.23E-2</v>
      </c>
      <c r="AC7" s="1">
        <v>1.3299999999999999E-2</v>
      </c>
      <c r="AD7" s="1">
        <v>1.41E-2</v>
      </c>
      <c r="AE7" s="1">
        <v>1.5100000000000001E-2</v>
      </c>
      <c r="AF7" s="1">
        <v>1.61E-2</v>
      </c>
      <c r="AG7" s="1">
        <v>1.7100000000000001E-2</v>
      </c>
      <c r="AH7" s="1">
        <v>1.83E-2</v>
      </c>
      <c r="AI7" s="1">
        <v>1.8800000000000001E-2</v>
      </c>
      <c r="AJ7" s="1">
        <v>1.9400000000000001E-2</v>
      </c>
      <c r="AK7" s="1">
        <v>1.9800000000000002E-2</v>
      </c>
      <c r="AL7" s="1">
        <v>2.0500000000000001E-2</v>
      </c>
      <c r="AM7" s="1">
        <v>2.0899999999999998E-2</v>
      </c>
      <c r="AN7" s="1">
        <v>2.1499999999999998E-2</v>
      </c>
      <c r="AO7" s="1">
        <v>2.18E-2</v>
      </c>
      <c r="AP7" s="1">
        <v>2.2100000000000002E-2</v>
      </c>
      <c r="AQ7" s="1">
        <v>2.2599999999999999E-2</v>
      </c>
      <c r="AR7" s="1">
        <v>2.3300000000000001E-2</v>
      </c>
      <c r="AS7" s="1">
        <v>2.3900000000000001E-2</v>
      </c>
      <c r="AT7" s="1">
        <v>2.47E-2</v>
      </c>
      <c r="AU7" s="1">
        <v>2.5399999999999999E-2</v>
      </c>
      <c r="AV7" s="1">
        <v>2.58E-2</v>
      </c>
      <c r="AW7" s="1">
        <v>2.6499999999999999E-2</v>
      </c>
      <c r="AX7" s="1">
        <v>2.7799999999999998E-2</v>
      </c>
      <c r="AY7" s="1">
        <v>2.81E-2</v>
      </c>
      <c r="AZ7" s="1">
        <v>2.8899999999999999E-2</v>
      </c>
      <c r="BA7" s="1">
        <v>2.98E-2</v>
      </c>
      <c r="BB7" s="1">
        <v>3.04E-2</v>
      </c>
      <c r="BC7" s="1">
        <v>3.1199999999999999E-2</v>
      </c>
      <c r="BD7" s="1">
        <v>3.1699999999999999E-2</v>
      </c>
      <c r="BE7" s="1">
        <v>3.1899999999999998E-2</v>
      </c>
      <c r="BF7" s="1">
        <v>3.2000000000000001E-2</v>
      </c>
      <c r="BG7" s="1">
        <v>3.1899999999999998E-2</v>
      </c>
      <c r="BH7" s="1">
        <v>3.2399999999999998E-2</v>
      </c>
      <c r="BI7" s="1">
        <v>3.2500000000000001E-2</v>
      </c>
      <c r="BJ7" s="1">
        <v>3.27E-2</v>
      </c>
      <c r="BK7" s="1">
        <v>3.2899999999999999E-2</v>
      </c>
      <c r="BL7" s="1">
        <v>3.3300000000000003E-2</v>
      </c>
      <c r="BM7" s="1">
        <v>3.5299999999999998E-2</v>
      </c>
      <c r="BN7" s="1">
        <v>3.8899999999999997E-2</v>
      </c>
      <c r="BO7" s="1">
        <v>4.1700000000000001E-2</v>
      </c>
      <c r="BP7" s="1">
        <v>4.3099999999999999E-2</v>
      </c>
      <c r="BQ7" s="1">
        <v>4.4499999999999998E-2</v>
      </c>
      <c r="BR7" s="1">
        <v>4.4499999999999998E-2</v>
      </c>
      <c r="BS7" s="1">
        <v>4.4499999999999998E-2</v>
      </c>
      <c r="BT7" s="1">
        <v>4.41E-2</v>
      </c>
      <c r="BU7" s="1">
        <v>4.5400000000000003E-2</v>
      </c>
      <c r="BV7" s="1">
        <v>4.5600000000000002E-2</v>
      </c>
      <c r="BW7" s="1">
        <v>4.5400000000000003E-2</v>
      </c>
      <c r="BX7" s="1">
        <v>4.7E-2</v>
      </c>
      <c r="BY7" s="1">
        <v>4.8300000000000003E-2</v>
      </c>
      <c r="BZ7" s="1">
        <v>4.7800000000000002E-2</v>
      </c>
      <c r="CA7" s="1">
        <v>4.9500000000000002E-2</v>
      </c>
      <c r="CB7" s="1">
        <v>5.3100000000000001E-2</v>
      </c>
      <c r="CC7" s="1">
        <v>5.7099999999999998E-2</v>
      </c>
      <c r="CD7" s="1">
        <v>6.0199999999999997E-2</v>
      </c>
      <c r="CE7" s="1">
        <v>5.9499999999999997E-2</v>
      </c>
      <c r="CF7" s="1">
        <v>5.7799999999999997E-2</v>
      </c>
      <c r="CG7" s="1">
        <v>5.5899999999999998E-2</v>
      </c>
      <c r="CH7" s="1">
        <v>5.4699999999999999E-2</v>
      </c>
      <c r="CI7" s="1">
        <v>6.1800000000000001E-2</v>
      </c>
      <c r="CJ7" s="1">
        <v>6.1100000000000002E-2</v>
      </c>
      <c r="CK7" s="1">
        <v>6.0900000000000003E-2</v>
      </c>
      <c r="CL7" s="1">
        <v>5.8299999999999998E-2</v>
      </c>
      <c r="CM7" s="1">
        <v>6.7500000000000004E-2</v>
      </c>
      <c r="CN7" s="1">
        <v>7.0999999999999994E-2</v>
      </c>
      <c r="CO7" s="1">
        <v>7.3899999999999993E-2</v>
      </c>
      <c r="CP7" s="1">
        <v>7.3499999999999996E-2</v>
      </c>
      <c r="CQ7" s="1">
        <v>6.9000000000000006E-2</v>
      </c>
      <c r="CR7" s="1">
        <v>6.9900000000000004E-2</v>
      </c>
      <c r="CS7" s="1">
        <v>6.0299999999999999E-2</v>
      </c>
      <c r="CT7" s="1">
        <v>7.6499999999999999E-2</v>
      </c>
      <c r="CU7" s="1">
        <v>0.06</v>
      </c>
      <c r="CV7" s="1">
        <v>7.2999999999999995E-2</v>
      </c>
    </row>
    <row r="8" spans="1:100" x14ac:dyDescent="0.2">
      <c r="A8" t="s">
        <v>225</v>
      </c>
      <c r="B8" s="1">
        <v>2.24E-4</v>
      </c>
      <c r="C8" s="1">
        <v>2.24E-4</v>
      </c>
      <c r="D8" s="1">
        <v>2.24E-4</v>
      </c>
      <c r="E8" s="1">
        <v>1.7000000000000001E-2</v>
      </c>
      <c r="F8" s="1">
        <v>1.15E-2</v>
      </c>
      <c r="G8" s="1">
        <v>9.92E-3</v>
      </c>
      <c r="H8" s="1">
        <v>8.8900000000000003E-3</v>
      </c>
      <c r="I8" s="1">
        <v>8.1200000000000005E-3</v>
      </c>
      <c r="J8" s="1">
        <v>8.7100000000000007E-3</v>
      </c>
      <c r="K8" s="1">
        <v>8.0499999999999999E-3</v>
      </c>
      <c r="L8" s="1">
        <v>8.0300000000000007E-3</v>
      </c>
      <c r="M8" s="1">
        <v>8.0700000000000008E-3</v>
      </c>
      <c r="N8" s="1">
        <v>7.3400000000000002E-3</v>
      </c>
      <c r="O8" s="1">
        <v>5.45E-3</v>
      </c>
      <c r="P8" s="1">
        <v>5.5700000000000003E-3</v>
      </c>
      <c r="Q8" s="1">
        <v>5.2399999999999999E-3</v>
      </c>
      <c r="R8" s="1">
        <v>4.5999999999999999E-3</v>
      </c>
      <c r="S8" s="1">
        <v>4.28E-3</v>
      </c>
      <c r="T8" s="1">
        <v>4.3099999999999996E-3</v>
      </c>
      <c r="U8" s="1">
        <v>4.0000000000000001E-3</v>
      </c>
      <c r="V8" s="1">
        <v>4.1900000000000001E-3</v>
      </c>
      <c r="W8" s="1">
        <v>4.0699999999999998E-3</v>
      </c>
      <c r="X8" s="1">
        <v>4.15E-3</v>
      </c>
      <c r="Y8" s="1">
        <v>4.3299999999999996E-3</v>
      </c>
      <c r="Z8" s="1">
        <v>4.45E-3</v>
      </c>
      <c r="AA8" s="1">
        <v>4.4799999999999996E-3</v>
      </c>
      <c r="AB8" s="1">
        <v>4.62E-3</v>
      </c>
      <c r="AC8" s="1">
        <v>4.8399999999999997E-3</v>
      </c>
      <c r="AD8" s="1">
        <v>5.0800000000000003E-3</v>
      </c>
      <c r="AE8" s="1">
        <v>5.5300000000000002E-3</v>
      </c>
      <c r="AF8" s="1">
        <v>5.8999999999999999E-3</v>
      </c>
      <c r="AG8" s="1">
        <v>6.3E-3</v>
      </c>
      <c r="AH8" s="1">
        <v>6.6899999999999998E-3</v>
      </c>
      <c r="AI8" s="1">
        <v>6.8300000000000001E-3</v>
      </c>
      <c r="AJ8" s="1">
        <v>6.9699999999999996E-3</v>
      </c>
      <c r="AK8" s="1">
        <v>7.1500000000000001E-3</v>
      </c>
      <c r="AL8" s="1">
        <v>7.3200000000000001E-3</v>
      </c>
      <c r="AM8" s="1">
        <v>7.3200000000000001E-3</v>
      </c>
      <c r="AN8" s="1">
        <v>7.4400000000000004E-3</v>
      </c>
      <c r="AO8" s="1">
        <v>7.4999999999999997E-3</v>
      </c>
      <c r="AP8" s="1">
        <v>7.5300000000000002E-3</v>
      </c>
      <c r="AQ8" s="1">
        <v>7.7200000000000003E-3</v>
      </c>
      <c r="AR8" s="1">
        <v>7.8399999999999997E-3</v>
      </c>
      <c r="AS8" s="1">
        <v>7.9900000000000006E-3</v>
      </c>
      <c r="AT8" s="1">
        <v>8.0000000000000002E-3</v>
      </c>
      <c r="AU8" s="1">
        <v>8.1399999999999997E-3</v>
      </c>
      <c r="AV8" s="1">
        <v>8.1799999999999998E-3</v>
      </c>
      <c r="AW8" s="1">
        <v>8.2900000000000005E-3</v>
      </c>
      <c r="AX8" s="1">
        <v>8.5599999999999999E-3</v>
      </c>
      <c r="AY8" s="1">
        <v>8.6E-3</v>
      </c>
      <c r="AZ8" s="1">
        <v>8.7500000000000008E-3</v>
      </c>
      <c r="BA8" s="1">
        <v>8.9499999999999996E-3</v>
      </c>
      <c r="BB8" s="1">
        <v>8.9700000000000005E-3</v>
      </c>
      <c r="BC8" s="1">
        <v>9.1199999999999996E-3</v>
      </c>
      <c r="BD8" s="1">
        <v>9.1500000000000001E-3</v>
      </c>
      <c r="BE8" s="1">
        <v>9.1500000000000001E-3</v>
      </c>
      <c r="BF8" s="1">
        <v>9.0900000000000009E-3</v>
      </c>
      <c r="BG8" s="1">
        <v>8.9999999999999993E-3</v>
      </c>
      <c r="BH8" s="1">
        <v>9.1000000000000004E-3</v>
      </c>
      <c r="BI8" s="1">
        <v>8.9999999999999993E-3</v>
      </c>
      <c r="BJ8" s="1">
        <v>8.9499999999999996E-3</v>
      </c>
      <c r="BK8" s="1">
        <v>8.9300000000000004E-3</v>
      </c>
      <c r="BL8" s="1">
        <v>9.0100000000000006E-3</v>
      </c>
      <c r="BM8" s="1">
        <v>9.4400000000000005E-3</v>
      </c>
      <c r="BN8" s="1">
        <v>1.03E-2</v>
      </c>
      <c r="BO8" s="1">
        <v>1.09E-2</v>
      </c>
      <c r="BP8" s="1">
        <v>1.1299999999999999E-2</v>
      </c>
      <c r="BQ8" s="1">
        <v>1.15E-2</v>
      </c>
      <c r="BR8" s="1">
        <v>1.14E-2</v>
      </c>
      <c r="BS8" s="1">
        <v>1.14E-2</v>
      </c>
      <c r="BT8" s="1">
        <v>1.12E-2</v>
      </c>
      <c r="BU8" s="1">
        <v>1.14E-2</v>
      </c>
      <c r="BV8" s="1">
        <v>1.12E-2</v>
      </c>
      <c r="BW8" s="1">
        <v>1.11E-2</v>
      </c>
      <c r="BX8" s="1">
        <v>1.1299999999999999E-2</v>
      </c>
      <c r="BY8" s="1">
        <v>1.17E-2</v>
      </c>
      <c r="BZ8" s="1">
        <v>1.1599999999999999E-2</v>
      </c>
      <c r="CA8" s="1">
        <v>1.2E-2</v>
      </c>
      <c r="CB8" s="1">
        <v>1.2800000000000001E-2</v>
      </c>
      <c r="CC8" s="1">
        <v>1.34E-2</v>
      </c>
      <c r="CD8" s="1">
        <v>1.4E-2</v>
      </c>
      <c r="CE8" s="1">
        <v>1.38E-2</v>
      </c>
      <c r="CF8" s="1">
        <v>1.3299999999999999E-2</v>
      </c>
      <c r="CG8" s="1">
        <v>1.2699999999999999E-2</v>
      </c>
      <c r="CH8" s="1">
        <v>1.23E-2</v>
      </c>
      <c r="CI8" s="1">
        <v>1.3899999999999999E-2</v>
      </c>
      <c r="CJ8" s="1">
        <v>1.38E-2</v>
      </c>
      <c r="CK8" s="1">
        <v>1.37E-2</v>
      </c>
      <c r="CL8" s="1">
        <v>1.32E-2</v>
      </c>
      <c r="CM8" s="1">
        <v>1.54E-2</v>
      </c>
      <c r="CN8" s="1">
        <v>1.6299999999999999E-2</v>
      </c>
      <c r="CO8" s="1">
        <v>1.72E-2</v>
      </c>
      <c r="CP8" s="1">
        <v>1.7299999999999999E-2</v>
      </c>
      <c r="CQ8" s="1">
        <v>1.6199999999999999E-2</v>
      </c>
      <c r="CR8" s="1">
        <v>1.6299999999999999E-2</v>
      </c>
      <c r="CS8" s="1">
        <v>1.4E-2</v>
      </c>
      <c r="CT8" s="1">
        <v>1.9E-2</v>
      </c>
      <c r="CU8" s="1">
        <v>1.6199999999999999E-2</v>
      </c>
      <c r="CV8" s="1">
        <v>2.2800000000000001E-2</v>
      </c>
    </row>
    <row r="9" spans="1:100" x14ac:dyDescent="0.2">
      <c r="A9" t="s">
        <v>210</v>
      </c>
      <c r="B9" s="1">
        <v>4.6E-5</v>
      </c>
      <c r="C9" s="1">
        <v>4.6E-5</v>
      </c>
      <c r="D9" s="1">
        <v>4.6E-5</v>
      </c>
      <c r="E9" s="1">
        <v>7.45E-4</v>
      </c>
      <c r="F9" s="1">
        <v>4.7600000000000002E-4</v>
      </c>
      <c r="G9" s="1">
        <v>4.1899999999999999E-4</v>
      </c>
      <c r="H9" s="1">
        <v>4.1599999999999997E-4</v>
      </c>
      <c r="I9" s="1">
        <v>3.8499999999999998E-4</v>
      </c>
      <c r="J9" s="1">
        <v>3.8999999999999999E-4</v>
      </c>
      <c r="K9" s="1">
        <v>3.5500000000000001E-4</v>
      </c>
      <c r="L9" s="1">
        <v>3.4299999999999999E-4</v>
      </c>
      <c r="M9" s="1">
        <v>3.4000000000000002E-4</v>
      </c>
      <c r="N9" s="1">
        <v>2.9399999999999999E-4</v>
      </c>
      <c r="O9" s="1">
        <v>2.02E-4</v>
      </c>
      <c r="P9" s="1">
        <v>2.1000000000000001E-4</v>
      </c>
      <c r="Q9" s="1">
        <v>1.8799999999999999E-4</v>
      </c>
      <c r="R9" s="1">
        <v>1.5799999999999999E-4</v>
      </c>
      <c r="S9" s="1">
        <v>1.37E-4</v>
      </c>
      <c r="T9" s="1">
        <v>1.2999999999999999E-4</v>
      </c>
      <c r="U9" s="1">
        <v>1.25E-4</v>
      </c>
      <c r="V9" s="1">
        <v>1.3200000000000001E-4</v>
      </c>
      <c r="W9" s="1">
        <v>1.2300000000000001E-4</v>
      </c>
      <c r="X9" s="1">
        <v>1.2899999999999999E-4</v>
      </c>
      <c r="Y9" s="1">
        <v>1.34E-4</v>
      </c>
      <c r="Z9" s="1">
        <v>1.3799999999999999E-4</v>
      </c>
      <c r="AA9" s="1">
        <v>1.36E-4</v>
      </c>
      <c r="AB9" s="1">
        <v>1.46E-4</v>
      </c>
      <c r="AC9" s="1">
        <v>1.55E-4</v>
      </c>
      <c r="AD9" s="1">
        <v>1.64E-4</v>
      </c>
      <c r="AE9" s="1">
        <v>1.76E-4</v>
      </c>
      <c r="AF9" s="1">
        <v>1.8599999999999999E-4</v>
      </c>
      <c r="AG9" s="1">
        <v>1.9799999999999999E-4</v>
      </c>
      <c r="AH9" s="1">
        <v>2.0699999999999999E-4</v>
      </c>
      <c r="AI9" s="1">
        <v>2.12E-4</v>
      </c>
      <c r="AJ9" s="1">
        <v>2.22E-4</v>
      </c>
      <c r="AK9" s="1">
        <v>2.2499999999999999E-4</v>
      </c>
      <c r="AL9" s="1">
        <v>2.24E-4</v>
      </c>
      <c r="AM9" s="1">
        <v>2.23E-4</v>
      </c>
      <c r="AN9" s="1">
        <v>2.3000000000000001E-4</v>
      </c>
      <c r="AO9" s="1">
        <v>2.2900000000000001E-4</v>
      </c>
      <c r="AP9" s="1">
        <v>2.2900000000000001E-4</v>
      </c>
      <c r="AQ9" s="1">
        <v>2.32E-4</v>
      </c>
      <c r="AR9" s="1">
        <v>2.3699999999999999E-4</v>
      </c>
      <c r="AS9" s="1">
        <v>2.4600000000000002E-4</v>
      </c>
      <c r="AT9" s="1">
        <v>2.5300000000000002E-4</v>
      </c>
      <c r="AU9" s="1">
        <v>2.5799999999999998E-4</v>
      </c>
      <c r="AV9" s="1">
        <v>2.6400000000000002E-4</v>
      </c>
      <c r="AW9" s="1">
        <v>2.6699999999999998E-4</v>
      </c>
      <c r="AX9" s="1">
        <v>2.7399999999999999E-4</v>
      </c>
      <c r="AY9" s="1">
        <v>2.81E-4</v>
      </c>
      <c r="AZ9" s="1">
        <v>2.8200000000000002E-4</v>
      </c>
      <c r="BA9" s="1">
        <v>2.8400000000000002E-4</v>
      </c>
      <c r="BB9" s="1">
        <v>2.7999999999999998E-4</v>
      </c>
      <c r="BC9" s="1">
        <v>2.8200000000000002E-4</v>
      </c>
      <c r="BD9" s="1">
        <v>2.8800000000000001E-4</v>
      </c>
      <c r="BE9" s="1">
        <v>2.8600000000000001E-4</v>
      </c>
      <c r="BF9" s="1">
        <v>2.81E-4</v>
      </c>
      <c r="BG9" s="1">
        <v>2.72E-4</v>
      </c>
      <c r="BH9" s="1">
        <v>2.72E-4</v>
      </c>
      <c r="BI9" s="1">
        <v>2.7399999999999999E-4</v>
      </c>
      <c r="BJ9" s="1">
        <v>2.7399999999999999E-4</v>
      </c>
      <c r="BK9" s="1">
        <v>2.7500000000000002E-4</v>
      </c>
      <c r="BL9" s="1">
        <v>2.7900000000000001E-4</v>
      </c>
      <c r="BM9" s="1">
        <v>2.9100000000000003E-4</v>
      </c>
      <c r="BN9" s="1">
        <v>3.2299999999999999E-4</v>
      </c>
      <c r="BO9" s="1">
        <v>3.39E-4</v>
      </c>
      <c r="BP9" s="1">
        <v>3.4699999999999998E-4</v>
      </c>
      <c r="BQ9" s="1">
        <v>3.5399999999999999E-4</v>
      </c>
      <c r="BR9" s="1">
        <v>3.5300000000000002E-4</v>
      </c>
      <c r="BS9" s="1">
        <v>3.4299999999999999E-4</v>
      </c>
      <c r="BT9" s="1">
        <v>3.3500000000000001E-4</v>
      </c>
      <c r="BU9" s="1">
        <v>3.4099999999999999E-4</v>
      </c>
      <c r="BV9" s="1">
        <v>3.5199999999999999E-4</v>
      </c>
      <c r="BW9" s="1">
        <v>3.4499999999999998E-4</v>
      </c>
      <c r="BX9" s="1">
        <v>3.5399999999999999E-4</v>
      </c>
      <c r="BY9" s="1">
        <v>3.6299999999999999E-4</v>
      </c>
      <c r="BZ9" s="1">
        <v>3.6099999999999999E-4</v>
      </c>
      <c r="CA9" s="1">
        <v>3.77E-4</v>
      </c>
      <c r="CB9" s="1">
        <v>3.9800000000000002E-4</v>
      </c>
      <c r="CC9" s="1">
        <v>4.1899999999999999E-4</v>
      </c>
      <c r="CD9" s="1">
        <v>4.4799999999999999E-4</v>
      </c>
      <c r="CE9" s="1">
        <v>4.3899999999999999E-4</v>
      </c>
      <c r="CF9" s="1">
        <v>4.2299999999999998E-4</v>
      </c>
      <c r="CG9" s="1">
        <v>4.1399999999999998E-4</v>
      </c>
      <c r="CH9" s="1">
        <v>4.2200000000000001E-4</v>
      </c>
      <c r="CI9" s="1">
        <v>4.7399999999999997E-4</v>
      </c>
      <c r="CJ9" s="1">
        <v>4.5899999999999999E-4</v>
      </c>
      <c r="CK9" s="1">
        <v>4.7100000000000001E-4</v>
      </c>
      <c r="CL9" s="1">
        <v>4.5899999999999999E-4</v>
      </c>
      <c r="CM9" s="1">
        <v>5.2899999999999996E-4</v>
      </c>
      <c r="CN9" s="1">
        <v>5.71E-4</v>
      </c>
      <c r="CO9" s="1">
        <v>6.11E-4</v>
      </c>
      <c r="CP9" s="1">
        <v>6.2200000000000005E-4</v>
      </c>
      <c r="CQ9" s="1">
        <v>6.3500000000000004E-4</v>
      </c>
      <c r="CR9" s="1">
        <v>6.4800000000000003E-4</v>
      </c>
      <c r="CS9" s="1">
        <v>5.6599999999999999E-4</v>
      </c>
      <c r="CT9" s="1">
        <v>7.36E-4</v>
      </c>
      <c r="CU9" s="1">
        <v>5.6099999999999998E-4</v>
      </c>
      <c r="CV9" s="1">
        <v>7.7499999999999997E-4</v>
      </c>
    </row>
    <row r="10" spans="1:100" x14ac:dyDescent="0.2">
      <c r="A10" t="s">
        <v>211</v>
      </c>
      <c r="B10" s="1">
        <v>2.4800000000000001E-4</v>
      </c>
      <c r="C10" s="1">
        <v>2.4800000000000001E-4</v>
      </c>
      <c r="D10" s="1">
        <v>2.4800000000000001E-4</v>
      </c>
      <c r="E10" s="1">
        <v>4.28E-3</v>
      </c>
      <c r="F10" s="1">
        <v>2.33E-3</v>
      </c>
      <c r="G10" s="1">
        <v>1.72E-3</v>
      </c>
      <c r="H10" s="1">
        <v>1.5299999999999999E-3</v>
      </c>
      <c r="I10" s="1">
        <v>1.48E-3</v>
      </c>
      <c r="J10" s="1">
        <v>1.42E-3</v>
      </c>
      <c r="K10" s="1">
        <v>1.33E-3</v>
      </c>
      <c r="L10" s="1">
        <v>1.16E-3</v>
      </c>
      <c r="M10" s="1">
        <v>1.2700000000000001E-3</v>
      </c>
      <c r="N10" s="1">
        <v>1.07E-3</v>
      </c>
      <c r="O10" s="1">
        <v>7.9699999999999997E-4</v>
      </c>
      <c r="P10" s="1">
        <v>7.8399999999999997E-4</v>
      </c>
      <c r="Q10" s="1">
        <v>6.9099999999999999E-4</v>
      </c>
      <c r="R10" s="1">
        <v>6.5499999999999998E-4</v>
      </c>
      <c r="S10" s="1">
        <v>6.2100000000000002E-4</v>
      </c>
      <c r="T10" s="1">
        <v>6.4300000000000002E-4</v>
      </c>
      <c r="U10" s="1">
        <v>6.1499999999999999E-4</v>
      </c>
      <c r="V10" s="1">
        <v>6.7299999999999999E-4</v>
      </c>
      <c r="W10" s="1">
        <v>5.9400000000000002E-4</v>
      </c>
      <c r="X10" s="1">
        <v>6.8000000000000005E-4</v>
      </c>
      <c r="Y10" s="1">
        <v>6.1799999999999995E-4</v>
      </c>
      <c r="Z10" s="1">
        <v>6.69E-4</v>
      </c>
      <c r="AA10" s="1">
        <v>6.2299999999999996E-4</v>
      </c>
      <c r="AB10" s="1">
        <v>6.7000000000000002E-4</v>
      </c>
      <c r="AC10" s="1">
        <v>7.27E-4</v>
      </c>
      <c r="AD10" s="1">
        <v>7.6599999999999997E-4</v>
      </c>
      <c r="AE10" s="1">
        <v>8.4999999999999995E-4</v>
      </c>
      <c r="AF10" s="1">
        <v>9.59E-4</v>
      </c>
      <c r="AG10" s="1">
        <v>1.07E-3</v>
      </c>
      <c r="AH10" s="1">
        <v>1.1000000000000001E-3</v>
      </c>
      <c r="AI10" s="1">
        <v>1.1800000000000001E-3</v>
      </c>
      <c r="AJ10" s="1">
        <v>1.1299999999999999E-3</v>
      </c>
      <c r="AK10" s="1">
        <v>1.1900000000000001E-3</v>
      </c>
      <c r="AL10" s="1">
        <v>1.23E-3</v>
      </c>
      <c r="AM10" s="1">
        <v>1.2800000000000001E-3</v>
      </c>
      <c r="AN10" s="1">
        <v>1.33E-3</v>
      </c>
      <c r="AO10" s="1">
        <v>1.3699999999999999E-3</v>
      </c>
      <c r="AP10" s="1">
        <v>1.4E-3</v>
      </c>
      <c r="AQ10" s="1">
        <v>1.39E-3</v>
      </c>
      <c r="AR10" s="1">
        <v>1.42E-3</v>
      </c>
      <c r="AS10" s="1">
        <v>1.4599999999999999E-3</v>
      </c>
      <c r="AT10" s="1">
        <v>1.5200000000000001E-3</v>
      </c>
      <c r="AU10" s="1">
        <v>1.6199999999999999E-3</v>
      </c>
      <c r="AV10" s="1">
        <v>1.5900000000000001E-3</v>
      </c>
      <c r="AW10" s="1">
        <v>1.6299999999999999E-3</v>
      </c>
      <c r="AX10" s="1">
        <v>1.6999999999999999E-3</v>
      </c>
      <c r="AY10" s="1">
        <v>1.72E-3</v>
      </c>
      <c r="AZ10" s="1">
        <v>1.7899999999999999E-3</v>
      </c>
      <c r="BA10" s="1">
        <v>1.8699999999999999E-3</v>
      </c>
      <c r="BB10" s="1">
        <v>1.8799999999999999E-3</v>
      </c>
      <c r="BC10" s="1">
        <v>1.8600000000000001E-3</v>
      </c>
      <c r="BD10" s="1">
        <v>1.8799999999999999E-3</v>
      </c>
      <c r="BE10" s="1">
        <v>1.8799999999999999E-3</v>
      </c>
      <c r="BF10" s="1">
        <v>1.83E-3</v>
      </c>
      <c r="BG10" s="1">
        <v>1.81E-3</v>
      </c>
      <c r="BH10" s="1">
        <v>1.8E-3</v>
      </c>
      <c r="BI10" s="1">
        <v>1.8799999999999999E-3</v>
      </c>
      <c r="BJ10" s="1">
        <v>1.6900000000000001E-3</v>
      </c>
      <c r="BK10" s="1">
        <v>1.67E-3</v>
      </c>
      <c r="BL10" s="1">
        <v>1.74E-3</v>
      </c>
      <c r="BM10" s="1">
        <v>1.8400000000000001E-3</v>
      </c>
      <c r="BN10" s="1">
        <v>2.0799999999999998E-3</v>
      </c>
      <c r="BO10" s="1">
        <v>2.2699999999999999E-3</v>
      </c>
      <c r="BP10" s="1">
        <v>2.3500000000000001E-3</v>
      </c>
      <c r="BQ10" s="1">
        <v>2.5200000000000001E-3</v>
      </c>
      <c r="BR10" s="1">
        <v>2.5000000000000001E-3</v>
      </c>
      <c r="BS10" s="1">
        <v>2.5000000000000001E-3</v>
      </c>
      <c r="BT10" s="1">
        <v>2.4199999999999998E-3</v>
      </c>
      <c r="BU10" s="1">
        <v>2.5200000000000001E-3</v>
      </c>
      <c r="BV10" s="1">
        <v>2.5600000000000002E-3</v>
      </c>
      <c r="BW10" s="1">
        <v>2.5600000000000002E-3</v>
      </c>
      <c r="BX10" s="1">
        <v>2.63E-3</v>
      </c>
      <c r="BY10" s="1">
        <v>2.7799999999999999E-3</v>
      </c>
      <c r="BZ10" s="1">
        <v>2.5699999999999998E-3</v>
      </c>
      <c r="CA10" s="1">
        <v>2.7799999999999999E-3</v>
      </c>
      <c r="CB10" s="1">
        <v>2.9499999999999999E-3</v>
      </c>
      <c r="CC10" s="1">
        <v>3.16E-3</v>
      </c>
      <c r="CD10" s="1">
        <v>3.3800000000000002E-3</v>
      </c>
      <c r="CE10" s="1">
        <v>3.4299999999999999E-3</v>
      </c>
      <c r="CF10" s="1">
        <v>3.3400000000000001E-3</v>
      </c>
      <c r="CG10" s="1">
        <v>3.1700000000000001E-3</v>
      </c>
      <c r="CH10" s="1">
        <v>3.3E-3</v>
      </c>
      <c r="CI10" s="1">
        <v>3.8700000000000002E-3</v>
      </c>
      <c r="CJ10" s="1">
        <v>3.82E-3</v>
      </c>
      <c r="CK10" s="1">
        <v>3.81E-3</v>
      </c>
      <c r="CL10" s="1">
        <v>3.63E-3</v>
      </c>
      <c r="CM10" s="1">
        <v>4.1000000000000003E-3</v>
      </c>
      <c r="CN10" s="1">
        <v>4.3099999999999996E-3</v>
      </c>
      <c r="CO10" s="1">
        <v>4.8500000000000001E-3</v>
      </c>
      <c r="CP10" s="1">
        <v>4.9800000000000001E-3</v>
      </c>
      <c r="CQ10" s="1">
        <v>4.8700000000000002E-3</v>
      </c>
      <c r="CR10" s="1">
        <v>5.1599999999999997E-3</v>
      </c>
      <c r="CS10" s="1">
        <v>4.5799999999999999E-3</v>
      </c>
      <c r="CT10" s="1">
        <v>5.9500000000000004E-3</v>
      </c>
      <c r="CU10" s="1">
        <v>4.9100000000000003E-3</v>
      </c>
      <c r="CV10" s="1">
        <v>6.28E-3</v>
      </c>
    </row>
    <row r="11" spans="1:100" x14ac:dyDescent="0.2">
      <c r="A11" t="s">
        <v>212</v>
      </c>
      <c r="B11" s="1">
        <v>-1.8699999999999999E-4</v>
      </c>
      <c r="C11" s="1">
        <v>-1.8699999999999999E-4</v>
      </c>
      <c r="D11" s="1">
        <v>-1.8699999999999999E-4</v>
      </c>
      <c r="E11" s="1">
        <v>-5.47E-3</v>
      </c>
      <c r="F11" s="1">
        <v>-3.8999999999999998E-3</v>
      </c>
      <c r="G11" s="1">
        <v>-3.2799999999999999E-3</v>
      </c>
      <c r="H11" s="1">
        <v>-2.9499999999999999E-3</v>
      </c>
      <c r="I11" s="1">
        <v>-2.65E-3</v>
      </c>
      <c r="J11" s="1">
        <v>-2.5600000000000002E-3</v>
      </c>
      <c r="K11" s="1">
        <v>-2.33E-3</v>
      </c>
      <c r="L11" s="1">
        <v>-2.14E-3</v>
      </c>
      <c r="M11" s="1">
        <v>-2.0400000000000001E-3</v>
      </c>
      <c r="N11" s="1">
        <v>-1.6999999999999999E-3</v>
      </c>
      <c r="O11" s="1">
        <v>-1.17E-3</v>
      </c>
      <c r="P11" s="1">
        <v>-1.1100000000000001E-3</v>
      </c>
      <c r="Q11" s="1">
        <v>-9.2900000000000003E-4</v>
      </c>
      <c r="R11" s="1">
        <v>-8.0099999999999995E-4</v>
      </c>
      <c r="S11" s="1">
        <v>-6.8099999999999996E-4</v>
      </c>
      <c r="T11" s="1">
        <v>-6.3599999999999996E-4</v>
      </c>
      <c r="U11" s="1">
        <v>-5.4500000000000002E-4</v>
      </c>
      <c r="V11" s="1">
        <v>-5.1699999999999999E-4</v>
      </c>
      <c r="W11" s="1">
        <v>-4.6099999999999998E-4</v>
      </c>
      <c r="X11" s="1">
        <v>-4.6299999999999998E-4</v>
      </c>
      <c r="Y11" s="1">
        <v>-4.6099999999999998E-4</v>
      </c>
      <c r="Z11" s="1">
        <v>-4.6799999999999999E-4</v>
      </c>
      <c r="AA11" s="1">
        <v>-4.5100000000000001E-4</v>
      </c>
      <c r="AB11" s="1">
        <v>-4.46E-4</v>
      </c>
      <c r="AC11" s="1">
        <v>-4.7199999999999998E-4</v>
      </c>
      <c r="AD11" s="1">
        <v>-4.8700000000000002E-4</v>
      </c>
      <c r="AE11" s="1">
        <v>-4.7800000000000002E-4</v>
      </c>
      <c r="AF11" s="1">
        <v>-4.6999999999999999E-4</v>
      </c>
      <c r="AG11" s="1">
        <v>-4.8799999999999999E-4</v>
      </c>
      <c r="AH11" s="1">
        <v>-4.8299999999999998E-4</v>
      </c>
      <c r="AI11" s="1">
        <v>-4.7399999999999997E-4</v>
      </c>
      <c r="AJ11" s="1">
        <v>-4.66E-4</v>
      </c>
      <c r="AK11" s="1">
        <v>-4.4900000000000002E-4</v>
      </c>
      <c r="AL11" s="1">
        <v>-4.3100000000000001E-4</v>
      </c>
      <c r="AM11" s="1">
        <v>-4.3800000000000002E-4</v>
      </c>
      <c r="AN11" s="1">
        <v>-4.15E-4</v>
      </c>
      <c r="AO11" s="1">
        <v>-4.0900000000000002E-4</v>
      </c>
      <c r="AP11" s="1">
        <v>-4.1100000000000002E-4</v>
      </c>
      <c r="AQ11" s="1">
        <v>-4.0700000000000003E-4</v>
      </c>
      <c r="AR11" s="1">
        <v>-4.0299999999999998E-4</v>
      </c>
      <c r="AS11" s="1">
        <v>-4.1199999999999999E-4</v>
      </c>
      <c r="AT11" s="1">
        <v>-4.2000000000000002E-4</v>
      </c>
      <c r="AU11" s="1">
        <v>-4.1399999999999998E-4</v>
      </c>
      <c r="AV11" s="1">
        <v>-4.0499999999999998E-4</v>
      </c>
      <c r="AW11" s="1">
        <v>-3.9899999999999999E-4</v>
      </c>
      <c r="AX11" s="1">
        <v>-4.0700000000000003E-4</v>
      </c>
      <c r="AY11" s="1">
        <v>-3.9399999999999998E-4</v>
      </c>
      <c r="AZ11" s="1">
        <v>-3.7800000000000003E-4</v>
      </c>
      <c r="BA11" s="1">
        <v>-3.7500000000000001E-4</v>
      </c>
      <c r="BB11" s="1">
        <v>-3.7199999999999999E-4</v>
      </c>
      <c r="BC11" s="1">
        <v>-3.6099999999999999E-4</v>
      </c>
      <c r="BD11" s="1">
        <v>-3.5599999999999998E-4</v>
      </c>
      <c r="BE11" s="1">
        <v>-3.5100000000000002E-4</v>
      </c>
      <c r="BF11" s="1">
        <v>-3.3700000000000001E-4</v>
      </c>
      <c r="BG11" s="1">
        <v>-3.1100000000000002E-4</v>
      </c>
      <c r="BH11" s="1">
        <v>-3.2400000000000001E-4</v>
      </c>
      <c r="BI11" s="1">
        <v>-3.1399999999999999E-4</v>
      </c>
      <c r="BJ11" s="1">
        <v>-3.0400000000000002E-4</v>
      </c>
      <c r="BK11" s="1">
        <v>-3.0200000000000002E-4</v>
      </c>
      <c r="BL11" s="1">
        <v>-2.9100000000000003E-4</v>
      </c>
      <c r="BM11" s="1">
        <v>-2.9300000000000002E-4</v>
      </c>
      <c r="BN11" s="1">
        <v>-3.21E-4</v>
      </c>
      <c r="BO11" s="1">
        <v>-3.2899999999999997E-4</v>
      </c>
      <c r="BP11" s="1">
        <v>-3.2400000000000001E-4</v>
      </c>
      <c r="BQ11" s="1">
        <v>-3.2499999999999999E-4</v>
      </c>
      <c r="BR11" s="1">
        <v>-3.21E-4</v>
      </c>
      <c r="BS11" s="1">
        <v>-3.1399999999999999E-4</v>
      </c>
      <c r="BT11" s="1">
        <v>-2.7799999999999998E-4</v>
      </c>
      <c r="BU11" s="1">
        <v>-2.7799999999999998E-4</v>
      </c>
      <c r="BV11" s="1">
        <v>-2.7700000000000001E-4</v>
      </c>
      <c r="BW11" s="1">
        <v>-2.9700000000000001E-4</v>
      </c>
      <c r="BX11" s="1">
        <v>-2.9799999999999998E-4</v>
      </c>
      <c r="BY11" s="1">
        <v>-3.0600000000000001E-4</v>
      </c>
      <c r="BZ11" s="1">
        <v>-2.9500000000000001E-4</v>
      </c>
      <c r="CA11" s="1">
        <v>-2.6699999999999998E-4</v>
      </c>
      <c r="CB11" s="1">
        <v>-2.7500000000000002E-4</v>
      </c>
      <c r="CC11" s="1">
        <v>-2.8800000000000001E-4</v>
      </c>
      <c r="CD11" s="1">
        <v>-2.9999999999999997E-4</v>
      </c>
      <c r="CE11" s="1">
        <v>-2.7799999999999998E-4</v>
      </c>
      <c r="CF11" s="1">
        <v>-2.7599999999999999E-4</v>
      </c>
      <c r="CG11" s="1">
        <v>-2.6499999999999999E-4</v>
      </c>
      <c r="CH11" s="1">
        <v>-2.3800000000000001E-4</v>
      </c>
      <c r="CI11" s="1">
        <v>-2.72E-4</v>
      </c>
      <c r="CJ11" s="1">
        <v>-2.5399999999999999E-4</v>
      </c>
      <c r="CK11" s="1">
        <v>-2.8299999999999999E-4</v>
      </c>
      <c r="CL11" s="1">
        <v>-2.3499999999999999E-4</v>
      </c>
      <c r="CM11" s="1">
        <v>-2.4899999999999998E-4</v>
      </c>
      <c r="CN11" s="1">
        <v>-2.41E-4</v>
      </c>
      <c r="CO11" s="1">
        <v>-2.6400000000000002E-4</v>
      </c>
      <c r="CP11" s="1">
        <v>-2.0699999999999999E-4</v>
      </c>
      <c r="CQ11" s="1">
        <v>-2.05E-4</v>
      </c>
      <c r="CR11" s="1">
        <v>-2.1900000000000001E-4</v>
      </c>
      <c r="CS11" s="1">
        <v>-1.8200000000000001E-4</v>
      </c>
      <c r="CT11" s="1">
        <v>-1.34E-4</v>
      </c>
      <c r="CU11" s="1">
        <v>-3.29E-5</v>
      </c>
      <c r="CV11" s="1">
        <v>2.5299999999999998E-5</v>
      </c>
    </row>
    <row r="12" spans="1:100" x14ac:dyDescent="0.2">
      <c r="A12" t="s">
        <v>213</v>
      </c>
      <c r="B12" s="1">
        <v>-3.2499999999999999E-4</v>
      </c>
      <c r="C12" s="1">
        <v>-3.2499999999999999E-4</v>
      </c>
      <c r="D12" s="1">
        <v>-3.2499999999999999E-4</v>
      </c>
      <c r="E12" s="1">
        <v>-1.06E-2</v>
      </c>
      <c r="F12" s="1">
        <v>-6.8399999999999997E-3</v>
      </c>
      <c r="G12" s="1">
        <v>-6.11E-3</v>
      </c>
      <c r="H12" s="1">
        <v>-5.8399999999999997E-3</v>
      </c>
      <c r="I12" s="1">
        <v>-5.62E-3</v>
      </c>
      <c r="J12" s="1">
        <v>-5.9199999999999999E-3</v>
      </c>
      <c r="K12" s="1">
        <v>-5.7800000000000004E-3</v>
      </c>
      <c r="L12" s="1">
        <v>-5.7099999999999998E-3</v>
      </c>
      <c r="M12" s="1">
        <v>-5.8100000000000001E-3</v>
      </c>
      <c r="N12" s="1">
        <v>-5.2700000000000004E-3</v>
      </c>
      <c r="O12" s="1">
        <v>-3.8600000000000001E-3</v>
      </c>
      <c r="P12" s="1">
        <v>-4.0299999999999997E-3</v>
      </c>
      <c r="Q12" s="1">
        <v>-3.7299999999999998E-3</v>
      </c>
      <c r="R12" s="1">
        <v>-3.15E-3</v>
      </c>
      <c r="S12" s="1">
        <v>-2.6700000000000001E-3</v>
      </c>
      <c r="T12" s="1">
        <v>-2.5100000000000001E-3</v>
      </c>
      <c r="U12" s="1">
        <v>-2.2000000000000001E-3</v>
      </c>
      <c r="V12" s="1">
        <v>-2E-3</v>
      </c>
      <c r="W12" s="1">
        <v>-1.74E-3</v>
      </c>
      <c r="X12" s="1">
        <v>-1.7600000000000001E-3</v>
      </c>
      <c r="Y12" s="1">
        <v>-1.82E-3</v>
      </c>
      <c r="Z12" s="1">
        <v>-1.8400000000000001E-3</v>
      </c>
      <c r="AA12" s="1">
        <v>-1.8500000000000001E-3</v>
      </c>
      <c r="AB12" s="1">
        <v>-1.8E-3</v>
      </c>
      <c r="AC12" s="1">
        <v>-1.74E-3</v>
      </c>
      <c r="AD12" s="1">
        <v>-1.7700000000000001E-3</v>
      </c>
      <c r="AE12" s="1">
        <v>-1.7099999999999999E-3</v>
      </c>
      <c r="AF12" s="1">
        <v>-1.6800000000000001E-3</v>
      </c>
      <c r="AG12" s="1">
        <v>-1.73E-3</v>
      </c>
      <c r="AH12" s="1">
        <v>-1.67E-3</v>
      </c>
      <c r="AI12" s="1">
        <v>-1.65E-3</v>
      </c>
      <c r="AJ12" s="1">
        <v>-1.66E-3</v>
      </c>
      <c r="AK12" s="1">
        <v>-1.67E-3</v>
      </c>
      <c r="AL12" s="1">
        <v>-1.64E-3</v>
      </c>
      <c r="AM12" s="1">
        <v>-1.56E-3</v>
      </c>
      <c r="AN12" s="1">
        <v>-1.48E-3</v>
      </c>
      <c r="AO12" s="1">
        <v>-1.5E-3</v>
      </c>
      <c r="AP12" s="1">
        <v>-1.5499999999999999E-3</v>
      </c>
      <c r="AQ12" s="1">
        <v>-1.47E-3</v>
      </c>
      <c r="AR12" s="1">
        <v>-1.42E-3</v>
      </c>
      <c r="AS12" s="1">
        <v>-1.39E-3</v>
      </c>
      <c r="AT12" s="1">
        <v>-1.34E-3</v>
      </c>
      <c r="AU12" s="1">
        <v>-1.32E-3</v>
      </c>
      <c r="AV12" s="1">
        <v>-1.2899999999999999E-3</v>
      </c>
      <c r="AW12" s="1">
        <v>-1.2800000000000001E-3</v>
      </c>
      <c r="AX12" s="1">
        <v>-1.2199999999999999E-3</v>
      </c>
      <c r="AY12" s="1">
        <v>-1.2600000000000001E-3</v>
      </c>
      <c r="AZ12" s="1">
        <v>-1.2999999999999999E-3</v>
      </c>
      <c r="BA12" s="1">
        <v>-1.23E-3</v>
      </c>
      <c r="BB12" s="1">
        <v>-1.24E-3</v>
      </c>
      <c r="BC12" s="1">
        <v>-1.1999999999999999E-3</v>
      </c>
      <c r="BD12" s="1">
        <v>-1.16E-3</v>
      </c>
      <c r="BE12" s="1">
        <v>-1.1000000000000001E-3</v>
      </c>
      <c r="BF12" s="1">
        <v>-1.0499999999999999E-3</v>
      </c>
      <c r="BG12" s="1">
        <v>-9.6699999999999998E-4</v>
      </c>
      <c r="BH12" s="1">
        <v>-9.0399999999999996E-4</v>
      </c>
      <c r="BI12" s="1">
        <v>-9.3199999999999999E-4</v>
      </c>
      <c r="BJ12" s="1">
        <v>-9.6900000000000003E-4</v>
      </c>
      <c r="BK12" s="1">
        <v>-1.01E-3</v>
      </c>
      <c r="BL12" s="1">
        <v>-1.0399999999999999E-3</v>
      </c>
      <c r="BM12" s="1">
        <v>-1.0499999999999999E-3</v>
      </c>
      <c r="BN12" s="1">
        <v>-1.08E-3</v>
      </c>
      <c r="BO12" s="1">
        <v>-1.06E-3</v>
      </c>
      <c r="BP12" s="1">
        <v>-1.0399999999999999E-3</v>
      </c>
      <c r="BQ12" s="1">
        <v>-9.7599999999999998E-4</v>
      </c>
      <c r="BR12" s="1">
        <v>-1E-3</v>
      </c>
      <c r="BS12" s="1">
        <v>-9.7199999999999999E-4</v>
      </c>
      <c r="BT12" s="1">
        <v>-9.3999999999999997E-4</v>
      </c>
      <c r="BU12" s="1">
        <v>-8.7000000000000001E-4</v>
      </c>
      <c r="BV12" s="1">
        <v>-9.3400000000000004E-4</v>
      </c>
      <c r="BW12" s="1">
        <v>-8.1899999999999996E-4</v>
      </c>
      <c r="BX12" s="1">
        <v>-7.7099999999999998E-4</v>
      </c>
      <c r="BY12" s="1">
        <v>-7.5799999999999999E-4</v>
      </c>
      <c r="BZ12" s="1">
        <v>-7.7200000000000001E-4</v>
      </c>
      <c r="CA12" s="1">
        <v>-8.0800000000000002E-4</v>
      </c>
      <c r="CB12" s="1">
        <v>-8.1099999999999998E-4</v>
      </c>
      <c r="CC12" s="1">
        <v>-8.4800000000000001E-4</v>
      </c>
      <c r="CD12" s="1">
        <v>-8.1700000000000002E-4</v>
      </c>
      <c r="CE12" s="1">
        <v>-7.2499999999999995E-4</v>
      </c>
      <c r="CF12" s="1">
        <v>-6.1600000000000001E-4</v>
      </c>
      <c r="CG12" s="1">
        <v>-7.1900000000000002E-4</v>
      </c>
      <c r="CH12" s="1">
        <v>-7.4799999999999997E-4</v>
      </c>
      <c r="CI12" s="1">
        <v>-7.9100000000000004E-4</v>
      </c>
      <c r="CJ12" s="1">
        <v>-6.7400000000000001E-4</v>
      </c>
      <c r="CK12" s="1">
        <v>-7.1299999999999998E-4</v>
      </c>
      <c r="CL12" s="1">
        <v>-7.2099999999999996E-4</v>
      </c>
      <c r="CM12" s="1">
        <v>-7.6599999999999997E-4</v>
      </c>
      <c r="CN12" s="1">
        <v>-8.1599999999999999E-4</v>
      </c>
      <c r="CO12" s="1">
        <v>-8.3500000000000002E-4</v>
      </c>
      <c r="CP12" s="1">
        <v>-8.43E-4</v>
      </c>
      <c r="CQ12" s="1">
        <v>-7.85E-4</v>
      </c>
      <c r="CR12" s="1">
        <v>-6.6200000000000005E-4</v>
      </c>
      <c r="CS12" s="1">
        <v>-5.7300000000000005E-4</v>
      </c>
      <c r="CT12" s="1">
        <v>-7.36E-4</v>
      </c>
      <c r="CU12" s="1">
        <v>-5.0900000000000001E-4</v>
      </c>
      <c r="CV12" s="1">
        <v>-4.7399999999999997E-4</v>
      </c>
    </row>
    <row r="13" spans="1:100" x14ac:dyDescent="0.2">
      <c r="A13" t="s">
        <v>226</v>
      </c>
      <c r="B13" s="1">
        <v>1.85E-4</v>
      </c>
      <c r="C13" s="1">
        <v>1.85E-4</v>
      </c>
      <c r="D13" s="1">
        <v>1.85E-4</v>
      </c>
      <c r="E13" s="1">
        <v>2.48E-3</v>
      </c>
      <c r="F13" s="1">
        <v>1.9400000000000001E-3</v>
      </c>
      <c r="G13" s="1">
        <v>1.8699999999999999E-3</v>
      </c>
      <c r="H13" s="1">
        <v>1.7799999999999999E-3</v>
      </c>
      <c r="I13" s="1">
        <v>1.7899999999999999E-3</v>
      </c>
      <c r="J13" s="1">
        <v>2.0100000000000001E-3</v>
      </c>
      <c r="K13" s="1">
        <v>1.91E-3</v>
      </c>
      <c r="L13" s="1">
        <v>1.8500000000000001E-3</v>
      </c>
      <c r="M13" s="1">
        <v>1.81E-3</v>
      </c>
      <c r="N13" s="1">
        <v>1.65E-3</v>
      </c>
      <c r="O13" s="1">
        <v>1.2199999999999999E-3</v>
      </c>
      <c r="P13" s="1">
        <v>1.07E-3</v>
      </c>
      <c r="Q13" s="1">
        <v>1.15E-3</v>
      </c>
      <c r="R13" s="1">
        <v>9.3999999999999997E-4</v>
      </c>
      <c r="S13" s="1">
        <v>8.6700000000000004E-4</v>
      </c>
      <c r="T13" s="1">
        <v>8.03E-4</v>
      </c>
      <c r="U13" s="1">
        <v>7.4100000000000001E-4</v>
      </c>
      <c r="V13" s="1">
        <v>7.6800000000000002E-4</v>
      </c>
      <c r="W13" s="1">
        <v>7.5699999999999997E-4</v>
      </c>
      <c r="X13" s="1">
        <v>7.9699999999999997E-4</v>
      </c>
      <c r="Y13" s="1">
        <v>7.85E-4</v>
      </c>
      <c r="Z13" s="1">
        <v>6.96E-4</v>
      </c>
      <c r="AA13" s="1">
        <v>7.8399999999999997E-4</v>
      </c>
      <c r="AB13" s="1">
        <v>7.8399999999999997E-4</v>
      </c>
      <c r="AC13" s="1">
        <v>8.3299999999999997E-4</v>
      </c>
      <c r="AD13" s="1">
        <v>8.9400000000000005E-4</v>
      </c>
      <c r="AE13" s="1">
        <v>8.92E-4</v>
      </c>
      <c r="AF13" s="1">
        <v>8.7600000000000004E-4</v>
      </c>
      <c r="AG13" s="1">
        <v>9.3700000000000001E-4</v>
      </c>
      <c r="AH13" s="1">
        <v>9.6900000000000003E-4</v>
      </c>
      <c r="AI13" s="1">
        <v>9.1699999999999995E-4</v>
      </c>
      <c r="AJ13" s="1">
        <v>8.5599999999999999E-4</v>
      </c>
      <c r="AK13" s="1">
        <v>9.1200000000000005E-4</v>
      </c>
      <c r="AL13" s="1">
        <v>9.0600000000000001E-4</v>
      </c>
      <c r="AM13" s="1">
        <v>8.9400000000000005E-4</v>
      </c>
      <c r="AN13" s="1">
        <v>8.4000000000000003E-4</v>
      </c>
      <c r="AO13" s="1">
        <v>9.4600000000000001E-4</v>
      </c>
      <c r="AP13" s="1">
        <v>8.61E-4</v>
      </c>
      <c r="AQ13" s="1">
        <v>7.8299999999999995E-4</v>
      </c>
      <c r="AR13" s="1">
        <v>7.9500000000000003E-4</v>
      </c>
      <c r="AS13" s="1">
        <v>7.9900000000000001E-4</v>
      </c>
      <c r="AT13" s="1">
        <v>8.0800000000000002E-4</v>
      </c>
      <c r="AU13" s="1">
        <v>7.9699999999999997E-4</v>
      </c>
      <c r="AV13" s="1">
        <v>8.7600000000000004E-4</v>
      </c>
      <c r="AW13" s="1">
        <v>7.6499999999999995E-4</v>
      </c>
      <c r="AX13" s="1">
        <v>7.94E-4</v>
      </c>
      <c r="AY13" s="1">
        <v>8.7299999999999997E-4</v>
      </c>
      <c r="AZ13" s="1">
        <v>7.2900000000000005E-4</v>
      </c>
      <c r="BA13" s="1">
        <v>7.3399999999999995E-4</v>
      </c>
      <c r="BB13" s="1">
        <v>6.9700000000000003E-4</v>
      </c>
      <c r="BC13" s="1">
        <v>7.1000000000000002E-4</v>
      </c>
      <c r="BD13" s="1">
        <v>7.1199999999999996E-4</v>
      </c>
      <c r="BE13" s="1">
        <v>6.78E-4</v>
      </c>
      <c r="BF13" s="1">
        <v>5.5500000000000005E-4</v>
      </c>
      <c r="BG13" s="1">
        <v>6.0899999999999995E-4</v>
      </c>
      <c r="BH13" s="1">
        <v>5.7799999999999995E-4</v>
      </c>
      <c r="BI13" s="1">
        <v>6.4099999999999997E-4</v>
      </c>
      <c r="BJ13" s="1">
        <v>8.6700000000000004E-4</v>
      </c>
      <c r="BK13" s="1">
        <v>4.1599999999999997E-4</v>
      </c>
      <c r="BL13" s="1">
        <v>5.0299999999999997E-4</v>
      </c>
      <c r="BM13" s="1">
        <v>5.6800000000000004E-4</v>
      </c>
      <c r="BN13" s="1">
        <v>6.2200000000000005E-4</v>
      </c>
      <c r="BO13" s="1">
        <v>6.4099999999999997E-4</v>
      </c>
      <c r="BP13" s="1">
        <v>5.62E-4</v>
      </c>
      <c r="BQ13" s="1">
        <v>5.8200000000000005E-4</v>
      </c>
      <c r="BR13" s="1">
        <v>5.4600000000000004E-4</v>
      </c>
      <c r="BS13" s="1">
        <v>5.3200000000000003E-4</v>
      </c>
      <c r="BT13" s="1">
        <v>4.5300000000000001E-4</v>
      </c>
      <c r="BU13" s="1">
        <v>4.5800000000000002E-4</v>
      </c>
      <c r="BV13" s="1">
        <v>4.7399999999999997E-4</v>
      </c>
      <c r="BW13" s="1">
        <v>3.57E-4</v>
      </c>
      <c r="BX13" s="1">
        <v>3.5100000000000002E-4</v>
      </c>
      <c r="BY13" s="1">
        <v>3.9500000000000001E-4</v>
      </c>
      <c r="BZ13" s="1">
        <v>3.8000000000000002E-4</v>
      </c>
      <c r="CA13" s="1">
        <v>2.8600000000000001E-4</v>
      </c>
      <c r="CB13" s="1">
        <v>2.5599999999999999E-4</v>
      </c>
      <c r="CC13" s="1">
        <v>2.31E-4</v>
      </c>
      <c r="CD13" s="1">
        <v>2.1499999999999999E-4</v>
      </c>
      <c r="CE13" s="1">
        <v>1.66E-4</v>
      </c>
      <c r="CF13" s="1">
        <v>1.64E-4</v>
      </c>
      <c r="CG13" s="1">
        <v>3.21E-4</v>
      </c>
      <c r="CH13" s="1">
        <v>8.3300000000000005E-5</v>
      </c>
      <c r="CI13" s="1">
        <v>1.21E-4</v>
      </c>
      <c r="CJ13" s="1">
        <v>1.2400000000000001E-4</v>
      </c>
      <c r="CK13" s="1">
        <v>1.55E-4</v>
      </c>
      <c r="CL13" s="1">
        <v>1.2899999999999999E-4</v>
      </c>
      <c r="CM13" s="1">
        <v>1.6900000000000001E-5</v>
      </c>
      <c r="CN13" s="1">
        <v>1.18E-4</v>
      </c>
      <c r="CO13" s="1">
        <v>-1.22E-4</v>
      </c>
      <c r="CP13" s="1">
        <v>-1.75E-4</v>
      </c>
      <c r="CQ13" s="1">
        <v>-2.3900000000000001E-4</v>
      </c>
      <c r="CR13" s="1">
        <v>-5.3200000000000003E-4</v>
      </c>
      <c r="CS13" s="1">
        <v>-6.5700000000000003E-4</v>
      </c>
      <c r="CT13" s="1">
        <v>-9.2500000000000004E-4</v>
      </c>
      <c r="CU13" s="1">
        <v>-1.0300000000000001E-3</v>
      </c>
      <c r="CV13" s="1">
        <v>-1.0200000000000001E-3</v>
      </c>
    </row>
    <row r="14" spans="1:100" x14ac:dyDescent="0.2">
      <c r="A14" t="s">
        <v>227</v>
      </c>
      <c r="B14" s="1">
        <v>-3.2600000000000001E-4</v>
      </c>
      <c r="C14" s="1">
        <v>-3.2600000000000001E-4</v>
      </c>
      <c r="D14" s="1">
        <v>-3.2600000000000001E-4</v>
      </c>
      <c r="E14" s="1">
        <v>-2.6499999999999999E-2</v>
      </c>
      <c r="F14" s="1">
        <v>-1.26E-2</v>
      </c>
      <c r="G14" s="1">
        <v>-7.1500000000000001E-3</v>
      </c>
      <c r="H14" s="1">
        <v>-5.3099999999999996E-3</v>
      </c>
      <c r="I14" s="1">
        <v>-2.49E-3</v>
      </c>
      <c r="J14" s="1">
        <v>-1.08E-3</v>
      </c>
      <c r="K14" s="1">
        <v>8.8699999999999998E-4</v>
      </c>
      <c r="L14" s="1">
        <v>9.9400000000000009E-4</v>
      </c>
      <c r="M14" s="1">
        <v>1.99E-3</v>
      </c>
      <c r="N14" s="1">
        <v>2.0699999999999998E-3</v>
      </c>
      <c r="O14" s="1">
        <v>1.9E-3</v>
      </c>
      <c r="P14" s="1">
        <v>1.7700000000000001E-3</v>
      </c>
      <c r="Q14" s="1">
        <v>1.98E-3</v>
      </c>
      <c r="R14" s="1">
        <v>2.33E-3</v>
      </c>
      <c r="S14" s="1">
        <v>2.4199999999999998E-3</v>
      </c>
      <c r="T14" s="1">
        <v>2.4499999999999999E-3</v>
      </c>
      <c r="U14" s="1">
        <v>2.1900000000000001E-3</v>
      </c>
      <c r="V14" s="1">
        <v>2.4499999999999999E-3</v>
      </c>
      <c r="W14" s="1">
        <v>2.5300000000000001E-3</v>
      </c>
      <c r="X14" s="1">
        <v>2.6099999999999999E-3</v>
      </c>
      <c r="Y14" s="1">
        <v>2.7699999999999999E-3</v>
      </c>
      <c r="Z14" s="1">
        <v>2.8500000000000001E-3</v>
      </c>
      <c r="AA14" s="1">
        <v>2.8900000000000002E-3</v>
      </c>
      <c r="AB14" s="1">
        <v>2.5600000000000002E-3</v>
      </c>
      <c r="AC14" s="1">
        <v>2.1299999999999999E-3</v>
      </c>
      <c r="AD14" s="1">
        <v>2.2499999999999998E-3</v>
      </c>
      <c r="AE14" s="1">
        <v>2.4399999999999999E-3</v>
      </c>
      <c r="AF14" s="1">
        <v>2.3999999999999998E-3</v>
      </c>
      <c r="AG14" s="1">
        <v>2.7699999999999999E-3</v>
      </c>
      <c r="AH14" s="1">
        <v>2.8700000000000002E-3</v>
      </c>
      <c r="AI14" s="1">
        <v>3.0000000000000001E-3</v>
      </c>
      <c r="AJ14" s="1">
        <v>2.9299999999999999E-3</v>
      </c>
      <c r="AK14" s="1">
        <v>2.8700000000000002E-3</v>
      </c>
      <c r="AL14" s="1">
        <v>2.9299999999999999E-3</v>
      </c>
      <c r="AM14" s="1">
        <v>3.0699999999999998E-3</v>
      </c>
      <c r="AN14" s="1">
        <v>2.9299999999999999E-3</v>
      </c>
      <c r="AO14" s="1">
        <v>3.0200000000000001E-3</v>
      </c>
      <c r="AP14" s="1">
        <v>3.1800000000000001E-3</v>
      </c>
      <c r="AQ14" s="1">
        <v>3.3300000000000001E-3</v>
      </c>
      <c r="AR14" s="1">
        <v>3.3300000000000001E-3</v>
      </c>
      <c r="AS14" s="1">
        <v>3.1900000000000001E-3</v>
      </c>
      <c r="AT14" s="1">
        <v>3.2399999999999998E-3</v>
      </c>
      <c r="AU14" s="1">
        <v>3.2799999999999999E-3</v>
      </c>
      <c r="AV14" s="1">
        <v>3.3300000000000001E-3</v>
      </c>
      <c r="AW14" s="1">
        <v>3.2499999999999999E-3</v>
      </c>
      <c r="AX14" s="1">
        <v>3.3700000000000002E-3</v>
      </c>
      <c r="AY14" s="1">
        <v>3.5699999999999998E-3</v>
      </c>
      <c r="AZ14" s="1">
        <v>3.46E-3</v>
      </c>
      <c r="BA14" s="1">
        <v>3.65E-3</v>
      </c>
      <c r="BB14" s="1">
        <v>3.9300000000000003E-3</v>
      </c>
      <c r="BC14" s="1">
        <v>3.98E-3</v>
      </c>
      <c r="BD14" s="1">
        <v>4.0400000000000002E-3</v>
      </c>
      <c r="BE14" s="1">
        <v>3.9399999999999999E-3</v>
      </c>
      <c r="BF14" s="1">
        <v>3.9899999999999996E-3</v>
      </c>
      <c r="BG14" s="1">
        <v>4.0600000000000002E-3</v>
      </c>
      <c r="BH14" s="1">
        <v>4.13E-3</v>
      </c>
      <c r="BI14" s="1">
        <v>3.9899999999999996E-3</v>
      </c>
      <c r="BJ14" s="1">
        <v>3.9699999999999996E-3</v>
      </c>
      <c r="BK14" s="1">
        <v>4.0000000000000001E-3</v>
      </c>
      <c r="BL14" s="1">
        <v>3.9699999999999996E-3</v>
      </c>
      <c r="BM14" s="1">
        <v>4.2399999999999998E-3</v>
      </c>
      <c r="BN14" s="1">
        <v>4.3800000000000002E-3</v>
      </c>
      <c r="BO14" s="1">
        <v>4.5500000000000002E-3</v>
      </c>
      <c r="BP14" s="1">
        <v>4.8700000000000002E-3</v>
      </c>
      <c r="BQ14" s="1">
        <v>5.0000000000000001E-3</v>
      </c>
      <c r="BR14" s="1">
        <v>4.9899999999999996E-3</v>
      </c>
      <c r="BS14" s="1">
        <v>5.1500000000000001E-3</v>
      </c>
      <c r="BT14" s="1">
        <v>5.1500000000000001E-3</v>
      </c>
      <c r="BU14" s="1">
        <v>4.8199999999999996E-3</v>
      </c>
      <c r="BV14" s="1">
        <v>4.8599999999999997E-3</v>
      </c>
      <c r="BW14" s="1">
        <v>5.2599999999999999E-3</v>
      </c>
      <c r="BX14" s="1">
        <v>5.4400000000000004E-3</v>
      </c>
      <c r="BY14" s="1">
        <v>5.62E-3</v>
      </c>
      <c r="BZ14" s="1">
        <v>5.2300000000000003E-3</v>
      </c>
      <c r="CA14" s="1">
        <v>5.2300000000000003E-3</v>
      </c>
      <c r="CB14" s="1">
        <v>5.6899999999999997E-3</v>
      </c>
      <c r="CC14" s="1">
        <v>5.96E-3</v>
      </c>
      <c r="CD14" s="1">
        <v>6.0299999999999998E-3</v>
      </c>
      <c r="CE14" s="1">
        <v>5.9699999999999996E-3</v>
      </c>
      <c r="CF14" s="1">
        <v>5.4599999999999996E-3</v>
      </c>
      <c r="CG14" s="1">
        <v>4.9399999999999999E-3</v>
      </c>
      <c r="CH14" s="1">
        <v>4.8399999999999997E-3</v>
      </c>
      <c r="CI14" s="1">
        <v>4.9699999999999996E-3</v>
      </c>
      <c r="CJ14" s="1">
        <v>4.9399999999999999E-3</v>
      </c>
      <c r="CK14" s="1">
        <v>4.7699999999999999E-3</v>
      </c>
      <c r="CL14" s="1">
        <v>4.4900000000000001E-3</v>
      </c>
      <c r="CM14" s="1">
        <v>5.0899999999999999E-3</v>
      </c>
      <c r="CN14" s="1">
        <v>5.1599999999999997E-3</v>
      </c>
      <c r="CO14" s="1">
        <v>5.1900000000000002E-3</v>
      </c>
      <c r="CP14" s="1">
        <v>4.4999999999999997E-3</v>
      </c>
      <c r="CQ14" s="1">
        <v>3.8999999999999998E-3</v>
      </c>
      <c r="CR14" s="1">
        <v>4.2500000000000003E-3</v>
      </c>
      <c r="CS14" s="1">
        <v>3.9399999999999999E-3</v>
      </c>
      <c r="CT14" s="1">
        <v>4.2100000000000002E-3</v>
      </c>
      <c r="CU14" s="1">
        <v>2.5799999999999998E-3</v>
      </c>
      <c r="CV14" s="1">
        <v>2.3999999999999998E-3</v>
      </c>
    </row>
    <row r="15" spans="1:100" x14ac:dyDescent="0.2">
      <c r="A15" t="s">
        <v>224</v>
      </c>
      <c r="B15" s="1">
        <v>-4.1799999999999997E-2</v>
      </c>
      <c r="C15" s="1">
        <v>-4.1799999999999997E-2</v>
      </c>
      <c r="D15" s="1">
        <v>-4.1799999999999997E-2</v>
      </c>
      <c r="E15" s="1">
        <v>-1.042</v>
      </c>
      <c r="F15" s="1">
        <v>-0.14499999999999999</v>
      </c>
      <c r="G15" s="1">
        <v>-0.45900000000000002</v>
      </c>
      <c r="H15" s="1">
        <v>-0.34499999999999997</v>
      </c>
      <c r="I15" s="1">
        <v>-0.32</v>
      </c>
      <c r="J15" s="1">
        <v>-0.35299999999999998</v>
      </c>
      <c r="K15" s="1">
        <v>-0.33700000000000002</v>
      </c>
      <c r="L15" s="1">
        <v>-0.35199999999999998</v>
      </c>
      <c r="M15" s="1">
        <v>-0.41899999999999998</v>
      </c>
      <c r="N15" s="1">
        <v>-0.42399999999999999</v>
      </c>
      <c r="O15" s="1">
        <v>-0.192</v>
      </c>
      <c r="P15" s="1">
        <v>-0.187</v>
      </c>
      <c r="Q15" s="1">
        <v>-0.29399999999999998</v>
      </c>
      <c r="R15" s="1">
        <v>-0.27200000000000002</v>
      </c>
      <c r="S15" s="1">
        <v>-0.19600000000000001</v>
      </c>
      <c r="T15" s="1">
        <v>-0.218</v>
      </c>
      <c r="U15" s="1">
        <v>-0.20399999999999999</v>
      </c>
      <c r="V15" s="1">
        <v>-0.2</v>
      </c>
      <c r="W15" s="1">
        <v>-0.13700000000000001</v>
      </c>
      <c r="X15" s="1">
        <v>-0.122</v>
      </c>
      <c r="Y15" s="1">
        <v>-0.11899999999999999</v>
      </c>
      <c r="Z15" s="1">
        <v>-0.121</v>
      </c>
      <c r="AA15" s="1">
        <v>-0.108</v>
      </c>
      <c r="AB15" s="1">
        <v>-0.11600000000000001</v>
      </c>
      <c r="AC15" s="1">
        <v>-0.11899999999999999</v>
      </c>
      <c r="AD15" s="1">
        <v>-0.11700000000000001</v>
      </c>
      <c r="AE15" s="1">
        <v>-0.123</v>
      </c>
      <c r="AF15" s="1">
        <v>-0.127</v>
      </c>
      <c r="AG15" s="1">
        <v>-0.11</v>
      </c>
      <c r="AH15" s="1">
        <v>-0.115</v>
      </c>
      <c r="AI15" s="1">
        <v>-0.104</v>
      </c>
      <c r="AJ15" s="1">
        <v>-0.107</v>
      </c>
      <c r="AK15" s="1">
        <v>-8.9200000000000002E-2</v>
      </c>
      <c r="AL15" s="1">
        <v>-8.3000000000000004E-2</v>
      </c>
      <c r="AM15" s="1">
        <v>-7.8700000000000006E-2</v>
      </c>
      <c r="AN15" s="1">
        <v>-8.0299999999999996E-2</v>
      </c>
      <c r="AO15" s="1">
        <v>-8.6900000000000005E-2</v>
      </c>
      <c r="AP15" s="1">
        <v>-7.9100000000000004E-2</v>
      </c>
      <c r="AQ15" s="1">
        <v>-8.7800000000000003E-2</v>
      </c>
      <c r="AR15" s="1">
        <v>-9.2799999999999994E-2</v>
      </c>
      <c r="AS15" s="1">
        <v>-9.2999999999999999E-2</v>
      </c>
      <c r="AT15" s="1">
        <v>-7.8200000000000006E-2</v>
      </c>
      <c r="AU15" s="1">
        <v>-7.6999999999999999E-2</v>
      </c>
      <c r="AV15" s="1">
        <v>-7.1800000000000003E-2</v>
      </c>
      <c r="AW15" s="1">
        <v>-7.8799999999999995E-2</v>
      </c>
      <c r="AX15" s="1">
        <v>-6.6100000000000006E-2</v>
      </c>
      <c r="AY15" s="1">
        <v>-7.0800000000000002E-2</v>
      </c>
      <c r="AZ15" s="1">
        <v>-7.85E-2</v>
      </c>
      <c r="BA15" s="1">
        <v>-6.0499999999999998E-2</v>
      </c>
      <c r="BB15" s="1">
        <v>-6.0600000000000001E-2</v>
      </c>
      <c r="BC15" s="1">
        <v>-5.3999999999999999E-2</v>
      </c>
      <c r="BD15" s="1">
        <v>-6.0199999999999997E-2</v>
      </c>
      <c r="BE15" s="1">
        <v>-5.7299999999999997E-2</v>
      </c>
      <c r="BF15" s="1">
        <v>-7.0900000000000005E-2</v>
      </c>
      <c r="BG15" s="1">
        <v>-6.59E-2</v>
      </c>
      <c r="BH15" s="1">
        <v>-6.9500000000000006E-2</v>
      </c>
      <c r="BI15" s="1">
        <v>-6.7500000000000004E-2</v>
      </c>
      <c r="BJ15" s="1">
        <v>-7.3999999999999996E-2</v>
      </c>
      <c r="BK15" s="1">
        <v>-7.9799999999999996E-2</v>
      </c>
      <c r="BL15" s="1">
        <v>-8.1799999999999998E-2</v>
      </c>
      <c r="BM15" s="1">
        <v>-8.2500000000000004E-2</v>
      </c>
      <c r="BN15" s="1">
        <v>-8.9599999999999999E-2</v>
      </c>
      <c r="BO15" s="1">
        <v>-0.11</v>
      </c>
      <c r="BP15" s="1">
        <v>-0.108</v>
      </c>
      <c r="BQ15" s="1">
        <v>-9.1899999999999996E-2</v>
      </c>
      <c r="BR15" s="1">
        <v>-6.4699999999999994E-2</v>
      </c>
      <c r="BS15" s="1">
        <v>-3.9899999999999998E-2</v>
      </c>
      <c r="BT15" s="1">
        <v>-2.7300000000000001E-2</v>
      </c>
      <c r="BU15" s="1">
        <v>-1.67E-2</v>
      </c>
      <c r="BV15" s="1">
        <v>-1.1900000000000001E-2</v>
      </c>
      <c r="BW15" s="1">
        <v>-3.0200000000000001E-3</v>
      </c>
      <c r="BX15" s="1">
        <v>-9.2099999999999994E-3</v>
      </c>
      <c r="BY15" s="1">
        <v>-7.92E-3</v>
      </c>
      <c r="BZ15" s="1">
        <v>-4.6399999999999997E-2</v>
      </c>
      <c r="CA15" s="1">
        <v>-2.5600000000000001E-2</v>
      </c>
      <c r="CB15" s="1">
        <v>-5.4899999999999997E-2</v>
      </c>
      <c r="CC15" s="1">
        <v>-7.0900000000000005E-2</v>
      </c>
      <c r="CD15" s="1">
        <v>-5.91E-2</v>
      </c>
      <c r="CE15" s="1">
        <v>-8.1600000000000006E-2</v>
      </c>
      <c r="CF15" s="1">
        <v>-8.8800000000000004E-2</v>
      </c>
      <c r="CG15" s="1">
        <v>-9.8199999999999996E-2</v>
      </c>
      <c r="CH15" s="1">
        <v>-7.1900000000000006E-2</v>
      </c>
      <c r="CI15" s="1">
        <v>-7.4399999999999994E-2</v>
      </c>
      <c r="CJ15" s="1">
        <v>-5.0799999999999998E-2</v>
      </c>
      <c r="CK15" s="1">
        <v>-2.8199999999999999E-2</v>
      </c>
      <c r="CL15" s="1">
        <v>-2.98E-2</v>
      </c>
      <c r="CM15" s="1">
        <v>-9.8599999999999993E-2</v>
      </c>
      <c r="CN15" s="1">
        <v>-0.111</v>
      </c>
      <c r="CO15" s="1">
        <v>-0.126</v>
      </c>
      <c r="CP15" s="1">
        <v>-0.12</v>
      </c>
      <c r="CQ15" s="1">
        <v>-4.2299999999999997E-2</v>
      </c>
      <c r="CR15" s="1">
        <v>-3.6299999999999999E-2</v>
      </c>
      <c r="CS15" s="1">
        <v>-9.1900000000000003E-3</v>
      </c>
      <c r="CT15" s="1">
        <v>-0.02</v>
      </c>
      <c r="CU15" s="1">
        <v>-8.6999999999999994E-2</v>
      </c>
      <c r="CV15" s="1">
        <v>-0.23699999999999999</v>
      </c>
    </row>
    <row r="16" spans="1:100" x14ac:dyDescent="0.2">
      <c r="A16" t="s">
        <v>225</v>
      </c>
      <c r="B16" s="1">
        <v>6.4900000000000001E-3</v>
      </c>
      <c r="C16" s="1">
        <v>6.4900000000000001E-3</v>
      </c>
      <c r="D16" s="1">
        <v>6.4900000000000001E-3</v>
      </c>
      <c r="E16" s="1">
        <v>-0.41599999999999998</v>
      </c>
      <c r="F16" s="1">
        <v>-0.13600000000000001</v>
      </c>
      <c r="G16" s="1">
        <v>-0.16800000000000001</v>
      </c>
      <c r="H16" s="1">
        <v>-6.6900000000000001E-2</v>
      </c>
      <c r="I16" s="1">
        <v>-0.107</v>
      </c>
      <c r="J16" s="1">
        <v>-0.112</v>
      </c>
      <c r="K16" s="1">
        <v>-0.13600000000000001</v>
      </c>
      <c r="L16" s="1">
        <v>-0.14399999999999999</v>
      </c>
      <c r="M16" s="1">
        <v>-0.12</v>
      </c>
      <c r="N16" s="1">
        <v>-0.14499999999999999</v>
      </c>
      <c r="O16" s="1">
        <v>-4.6199999999999998E-2</v>
      </c>
      <c r="P16" s="1">
        <v>-2.9399999999999999E-2</v>
      </c>
      <c r="Q16" s="1">
        <v>-0.10199999999999999</v>
      </c>
      <c r="R16" s="1">
        <v>-9.7799999999999998E-2</v>
      </c>
      <c r="S16" s="1">
        <v>-6.1800000000000001E-2</v>
      </c>
      <c r="T16" s="1">
        <v>-7.9600000000000004E-2</v>
      </c>
      <c r="U16" s="1">
        <v>-9.6799999999999997E-2</v>
      </c>
      <c r="V16" s="1">
        <v>-0.111</v>
      </c>
      <c r="W16" s="1">
        <v>-6.6900000000000001E-2</v>
      </c>
      <c r="X16" s="1">
        <v>-0.06</v>
      </c>
      <c r="Y16" s="1">
        <v>-5.7500000000000002E-2</v>
      </c>
      <c r="Z16" s="1">
        <v>-8.1799999999999998E-2</v>
      </c>
      <c r="AA16" s="1">
        <v>-7.6499999999999999E-2</v>
      </c>
      <c r="AB16" s="1">
        <v>-7.3099999999999998E-2</v>
      </c>
      <c r="AC16" s="1">
        <v>-7.6300000000000007E-2</v>
      </c>
      <c r="AD16" s="1">
        <v>-8.7300000000000003E-2</v>
      </c>
      <c r="AE16" s="1">
        <v>-7.9200000000000007E-2</v>
      </c>
      <c r="AF16" s="1">
        <v>-8.9099999999999999E-2</v>
      </c>
      <c r="AG16" s="1">
        <v>-8.8499999999999995E-2</v>
      </c>
      <c r="AH16" s="1">
        <v>-9.1800000000000007E-2</v>
      </c>
      <c r="AI16" s="1">
        <v>-9.01E-2</v>
      </c>
      <c r="AJ16" s="1">
        <v>-0.09</v>
      </c>
      <c r="AK16" s="1">
        <v>-6.7000000000000004E-2</v>
      </c>
      <c r="AL16" s="1">
        <v>-6.59E-2</v>
      </c>
      <c r="AM16" s="1">
        <v>-5.0099999999999999E-2</v>
      </c>
      <c r="AN16" s="1">
        <v>-5.2699999999999997E-2</v>
      </c>
      <c r="AO16" s="1">
        <v>-5.0099999999999999E-2</v>
      </c>
      <c r="AP16" s="1">
        <v>-5.3400000000000003E-2</v>
      </c>
      <c r="AQ16" s="1">
        <v>-4.7500000000000001E-2</v>
      </c>
      <c r="AR16" s="1">
        <v>-0.04</v>
      </c>
      <c r="AS16" s="1">
        <v>-5.1200000000000002E-2</v>
      </c>
      <c r="AT16" s="1">
        <v>-4.8399999999999999E-2</v>
      </c>
      <c r="AU16" s="1">
        <v>-5.4199999999999998E-2</v>
      </c>
      <c r="AV16" s="1">
        <v>-6.0199999999999997E-2</v>
      </c>
      <c r="AW16" s="1">
        <v>-5.8599999999999999E-2</v>
      </c>
      <c r="AX16" s="1">
        <v>-4.2599999999999999E-2</v>
      </c>
      <c r="AY16" s="1">
        <v>-4.2099999999999999E-2</v>
      </c>
      <c r="AZ16" s="1">
        <v>-4.6399999999999997E-2</v>
      </c>
      <c r="BA16" s="1">
        <v>-3.39E-2</v>
      </c>
      <c r="BB16" s="1">
        <v>-3.3000000000000002E-2</v>
      </c>
      <c r="BC16" s="1">
        <v>-3.3099999999999997E-2</v>
      </c>
      <c r="BD16" s="1">
        <v>-3.3399999999999999E-2</v>
      </c>
      <c r="BE16" s="1">
        <v>-0.02</v>
      </c>
      <c r="BF16" s="1">
        <v>-2.0299999999999999E-2</v>
      </c>
      <c r="BG16" s="1">
        <v>-2.6599999999999999E-2</v>
      </c>
      <c r="BH16" s="1">
        <v>-2.8299999999999999E-2</v>
      </c>
      <c r="BI16" s="1">
        <v>-2.3599999999999999E-2</v>
      </c>
      <c r="BJ16" s="1">
        <v>-3.0499999999999999E-2</v>
      </c>
      <c r="BK16" s="1">
        <v>-3.56E-2</v>
      </c>
      <c r="BL16" s="1">
        <v>-4.1799999999999997E-2</v>
      </c>
      <c r="BM16" s="1">
        <v>-3.85E-2</v>
      </c>
      <c r="BN16" s="1">
        <v>-4.99E-2</v>
      </c>
      <c r="BO16" s="1">
        <v>-6.7900000000000002E-2</v>
      </c>
      <c r="BP16" s="1">
        <v>-7.0900000000000005E-2</v>
      </c>
      <c r="BQ16" s="1">
        <v>-6.6299999999999998E-2</v>
      </c>
      <c r="BR16" s="1">
        <v>-5.1700000000000003E-2</v>
      </c>
      <c r="BS16" s="1">
        <v>-2.29E-2</v>
      </c>
      <c r="BT16" s="1">
        <v>-2.1499999999999998E-2</v>
      </c>
      <c r="BU16" s="1">
        <v>-1.29E-2</v>
      </c>
      <c r="BV16" s="1">
        <v>-9.0799999999999995E-3</v>
      </c>
      <c r="BW16" s="1">
        <v>-1.2E-2</v>
      </c>
      <c r="BX16" s="1">
        <v>-1.2800000000000001E-2</v>
      </c>
      <c r="BY16" s="1">
        <v>-2.8000000000000001E-2</v>
      </c>
      <c r="BZ16" s="1">
        <v>-4.4499999999999998E-2</v>
      </c>
      <c r="CA16" s="1">
        <v>-5.4100000000000002E-2</v>
      </c>
      <c r="CB16" s="1">
        <v>-5.6899999999999999E-2</v>
      </c>
      <c r="CC16" s="1">
        <v>-5.6899999999999999E-2</v>
      </c>
      <c r="CD16" s="1">
        <v>-7.9100000000000004E-2</v>
      </c>
      <c r="CE16" s="1">
        <v>-0.115</v>
      </c>
      <c r="CF16" s="1">
        <v>-0.115</v>
      </c>
      <c r="CG16" s="1">
        <v>-0.113</v>
      </c>
      <c r="CH16" s="1">
        <v>-8.6099999999999996E-2</v>
      </c>
      <c r="CI16" s="1">
        <v>-0.113</v>
      </c>
      <c r="CJ16" s="1">
        <v>-7.8399999999999997E-2</v>
      </c>
      <c r="CK16" s="1">
        <v>-5.62E-2</v>
      </c>
      <c r="CL16" s="1">
        <v>-4.1300000000000003E-2</v>
      </c>
      <c r="CM16" s="1">
        <v>-0.14099999999999999</v>
      </c>
      <c r="CN16" s="1">
        <v>-0.129</v>
      </c>
      <c r="CO16" s="1">
        <v>-0.151</v>
      </c>
      <c r="CP16" s="1">
        <v>-0.13100000000000001</v>
      </c>
      <c r="CQ16" s="1">
        <v>-6.6699999999999995E-2</v>
      </c>
      <c r="CR16" s="1">
        <v>-6.13E-2</v>
      </c>
      <c r="CS16" s="1">
        <v>-0.13200000000000001</v>
      </c>
      <c r="CT16" s="1">
        <v>-0.14499999999999999</v>
      </c>
      <c r="CU16" s="1">
        <v>-0.11</v>
      </c>
      <c r="CV16" s="1">
        <v>-0.317</v>
      </c>
    </row>
    <row r="17" spans="1:100" x14ac:dyDescent="0.2">
      <c r="A17" t="s">
        <v>210</v>
      </c>
      <c r="B17" s="1">
        <v>1.5499999999999999E-3</v>
      </c>
      <c r="C17" s="1">
        <v>1.5499999999999999E-3</v>
      </c>
      <c r="D17" s="1">
        <v>1.5499999999999999E-3</v>
      </c>
      <c r="E17" s="1">
        <v>3.5099999999999999E-2</v>
      </c>
      <c r="F17" s="1">
        <v>-1.95E-2</v>
      </c>
      <c r="G17" s="1">
        <v>1.31E-3</v>
      </c>
      <c r="H17" s="1">
        <v>-1.46E-2</v>
      </c>
      <c r="I17" s="1">
        <v>-4.4299999999999999E-3</v>
      </c>
      <c r="J17" s="1">
        <v>8.4800000000000001E-4</v>
      </c>
      <c r="K17" s="1">
        <v>-5.7099999999999998E-3</v>
      </c>
      <c r="L17" s="1">
        <v>4.7999999999999996E-3</v>
      </c>
      <c r="M17" s="1">
        <v>2.4499999999999999E-3</v>
      </c>
      <c r="N17" s="1">
        <v>8.4100000000000008E-3</v>
      </c>
      <c r="O17" s="1">
        <v>-8.1099999999999992E-3</v>
      </c>
      <c r="P17" s="1">
        <v>-8.8400000000000006E-3</v>
      </c>
      <c r="Q17" s="1">
        <v>1.9400000000000001E-3</v>
      </c>
      <c r="R17" s="1">
        <v>3.3899999999999998E-3</v>
      </c>
      <c r="S17" s="1">
        <v>4.9799999999999996E-4</v>
      </c>
      <c r="T17" s="1">
        <v>4.1700000000000001E-3</v>
      </c>
      <c r="U17" s="1">
        <v>5.1900000000000002E-3</v>
      </c>
      <c r="V17" s="1">
        <v>7.2100000000000003E-3</v>
      </c>
      <c r="W17" s="1">
        <v>2.1800000000000001E-3</v>
      </c>
      <c r="X17" s="1">
        <v>4.8900000000000002E-3</v>
      </c>
      <c r="Y17" s="1">
        <v>4.8799999999999998E-3</v>
      </c>
      <c r="Z17" s="1">
        <v>6.6400000000000001E-3</v>
      </c>
      <c r="AA17" s="1">
        <v>3.4199999999999999E-3</v>
      </c>
      <c r="AB17" s="1">
        <v>4.4200000000000003E-3</v>
      </c>
      <c r="AC17" s="1">
        <v>5.2500000000000003E-3</v>
      </c>
      <c r="AD17" s="1">
        <v>7.0499999999999998E-3</v>
      </c>
      <c r="AE17" s="1">
        <v>8.2500000000000004E-3</v>
      </c>
      <c r="AF17" s="1">
        <v>7.5799999999999999E-3</v>
      </c>
      <c r="AG17" s="1">
        <v>6.4200000000000004E-3</v>
      </c>
      <c r="AH17" s="1">
        <v>4.9699999999999996E-3</v>
      </c>
      <c r="AI17" s="1">
        <v>5.3299999999999997E-3</v>
      </c>
      <c r="AJ17" s="1">
        <v>4.7699999999999999E-3</v>
      </c>
      <c r="AK17" s="1">
        <v>6.9499999999999995E-5</v>
      </c>
      <c r="AL17" s="1">
        <v>-2.66E-3</v>
      </c>
      <c r="AM17" s="1">
        <v>-3.3400000000000001E-3</v>
      </c>
      <c r="AN17" s="1">
        <v>-2.1099999999999999E-3</v>
      </c>
      <c r="AO17" s="1">
        <v>-3.7000000000000002E-3</v>
      </c>
      <c r="AP17" s="1">
        <v>-2.1700000000000001E-3</v>
      </c>
      <c r="AQ17" s="1">
        <v>-8.12E-4</v>
      </c>
      <c r="AR17" s="1">
        <v>-1.9599999999999999E-3</v>
      </c>
      <c r="AS17" s="1">
        <v>2.0899999999999998E-3</v>
      </c>
      <c r="AT17" s="1">
        <v>3.9199999999999999E-3</v>
      </c>
      <c r="AU17" s="1">
        <v>3.16E-3</v>
      </c>
      <c r="AV17" s="1">
        <v>6.0499999999999998E-3</v>
      </c>
      <c r="AW17" s="1">
        <v>6.5500000000000003E-3</v>
      </c>
      <c r="AX17" s="1">
        <v>5.2100000000000002E-3</v>
      </c>
      <c r="AY17" s="1">
        <v>6.1399999999999996E-3</v>
      </c>
      <c r="AZ17" s="1">
        <v>6.2500000000000003E-3</v>
      </c>
      <c r="BA17" s="1">
        <v>1.8699999999999999E-3</v>
      </c>
      <c r="BB17" s="1">
        <v>1.56E-3</v>
      </c>
      <c r="BC17" s="1">
        <v>-9.2100000000000005E-4</v>
      </c>
      <c r="BD17" s="1">
        <v>2.2499999999999998E-3</v>
      </c>
      <c r="BE17" s="1">
        <v>5.5999999999999995E-4</v>
      </c>
      <c r="BF17" s="1">
        <v>1.2899999999999999E-3</v>
      </c>
      <c r="BG17" s="1">
        <v>2.1299999999999999E-3</v>
      </c>
      <c r="BH17" s="1">
        <v>3.1099999999999999E-3</v>
      </c>
      <c r="BI17" s="1">
        <v>4.15E-3</v>
      </c>
      <c r="BJ17" s="1">
        <v>5.3499999999999997E-3</v>
      </c>
      <c r="BK17" s="1">
        <v>6.0400000000000002E-3</v>
      </c>
      <c r="BL17" s="1">
        <v>8.2000000000000007E-3</v>
      </c>
      <c r="BM17" s="1">
        <v>9.2300000000000004E-3</v>
      </c>
      <c r="BN17" s="1">
        <v>1.03E-2</v>
      </c>
      <c r="BO17" s="1">
        <v>9.5399999999999999E-3</v>
      </c>
      <c r="BP17" s="1">
        <v>1.1299999999999999E-2</v>
      </c>
      <c r="BQ17" s="1">
        <v>1.24E-2</v>
      </c>
      <c r="BR17" s="1">
        <v>1.01E-2</v>
      </c>
      <c r="BS17" s="1">
        <v>4.96E-3</v>
      </c>
      <c r="BT17" s="1">
        <v>4.6800000000000001E-3</v>
      </c>
      <c r="BU17" s="1">
        <v>2.4499999999999999E-3</v>
      </c>
      <c r="BV17" s="1">
        <v>2.5600000000000002E-3</v>
      </c>
      <c r="BW17" s="1">
        <v>4.62E-3</v>
      </c>
      <c r="BX17" s="1">
        <v>5.8799999999999998E-3</v>
      </c>
      <c r="BY17" s="1">
        <v>8.8699999999999994E-3</v>
      </c>
      <c r="BZ17" s="1">
        <v>1.1599999999999999E-2</v>
      </c>
      <c r="CA17" s="1">
        <v>1.2800000000000001E-2</v>
      </c>
      <c r="CB17" s="1">
        <v>1.4200000000000001E-2</v>
      </c>
      <c r="CC17" s="1">
        <v>1.4200000000000001E-2</v>
      </c>
      <c r="CD17" s="1">
        <v>1.72E-2</v>
      </c>
      <c r="CE17" s="1">
        <v>2.4899999999999999E-2</v>
      </c>
      <c r="CF17" s="1">
        <v>2.0899999999999998E-2</v>
      </c>
      <c r="CG17" s="1">
        <v>2.2499999999999999E-2</v>
      </c>
      <c r="CH17" s="1">
        <v>2.0400000000000001E-2</v>
      </c>
      <c r="CI17" s="1">
        <v>2.1899999999999999E-2</v>
      </c>
      <c r="CJ17" s="1">
        <v>1.8700000000000001E-2</v>
      </c>
      <c r="CK17" s="1">
        <v>1.9800000000000002E-2</v>
      </c>
      <c r="CL17" s="1">
        <v>1.6899999999999998E-2</v>
      </c>
      <c r="CM17" s="1">
        <v>3.0599999999999999E-2</v>
      </c>
      <c r="CN17" s="1">
        <v>2.5899999999999999E-2</v>
      </c>
      <c r="CO17" s="1">
        <v>2.46E-2</v>
      </c>
      <c r="CP17" s="1">
        <v>1.9099999999999999E-2</v>
      </c>
      <c r="CQ17" s="1">
        <v>1.6899999999999998E-2</v>
      </c>
      <c r="CR17" s="1">
        <v>1.23E-2</v>
      </c>
      <c r="CS17" s="1">
        <v>1.4999999999999999E-2</v>
      </c>
      <c r="CT17" s="1">
        <v>2.2800000000000001E-2</v>
      </c>
      <c r="CU17" s="1">
        <v>2.3400000000000001E-3</v>
      </c>
      <c r="CV17" s="1">
        <v>4.8800000000000003E-2</v>
      </c>
    </row>
    <row r="18" spans="1:100" x14ac:dyDescent="0.2">
      <c r="A18" t="s">
        <v>211</v>
      </c>
      <c r="B18" s="1">
        <v>4.8399999999999997E-3</v>
      </c>
      <c r="C18" s="1">
        <v>4.8399999999999997E-3</v>
      </c>
      <c r="D18" s="1">
        <v>4.8399999999999997E-3</v>
      </c>
      <c r="E18" s="1">
        <v>0.14299999999999999</v>
      </c>
      <c r="F18" s="1">
        <v>6.1600000000000002E-2</v>
      </c>
      <c r="G18" s="1">
        <v>3.0499999999999999E-2</v>
      </c>
      <c r="H18" s="1">
        <v>1.7399999999999999E-2</v>
      </c>
      <c r="I18" s="1">
        <v>2.2100000000000002E-2</v>
      </c>
      <c r="J18" s="1">
        <v>0.01</v>
      </c>
      <c r="K18" s="1">
        <v>8.2799999999999992E-3</v>
      </c>
      <c r="L18" s="1">
        <v>5.6100000000000004E-3</v>
      </c>
      <c r="M18" s="1">
        <v>9.8300000000000002E-3</v>
      </c>
      <c r="N18" s="1">
        <v>2.1700000000000001E-3</v>
      </c>
      <c r="O18" s="1">
        <v>9.1699999999999995E-4</v>
      </c>
      <c r="P18" s="1">
        <v>-3.47E-3</v>
      </c>
      <c r="Q18" s="1">
        <v>9.0600000000000001E-4</v>
      </c>
      <c r="R18" s="1">
        <v>3.8300000000000001E-3</v>
      </c>
      <c r="S18" s="1">
        <v>1.42E-3</v>
      </c>
      <c r="T18" s="1">
        <v>2.8400000000000001E-3</v>
      </c>
      <c r="U18" s="1">
        <v>5.0899999999999999E-3</v>
      </c>
      <c r="V18" s="1">
        <v>6.0099999999999997E-3</v>
      </c>
      <c r="W18" s="1">
        <v>2.48E-3</v>
      </c>
      <c r="X18" s="1">
        <v>6.3800000000000003E-3</v>
      </c>
      <c r="Y18" s="1">
        <v>2.1800000000000001E-3</v>
      </c>
      <c r="Z18" s="1">
        <v>4.4600000000000004E-3</v>
      </c>
      <c r="AA18" s="1">
        <v>2.6700000000000001E-3</v>
      </c>
      <c r="AB18" s="1">
        <v>3.47E-3</v>
      </c>
      <c r="AC18" s="1">
        <v>3.98E-3</v>
      </c>
      <c r="AD18" s="1">
        <v>2.1900000000000001E-3</v>
      </c>
      <c r="AE18" s="1">
        <v>4.0200000000000001E-3</v>
      </c>
      <c r="AF18" s="1">
        <v>5.5700000000000003E-3</v>
      </c>
      <c r="AG18" s="1">
        <v>5.8599999999999998E-3</v>
      </c>
      <c r="AH18" s="1">
        <v>4.2100000000000002E-3</v>
      </c>
      <c r="AI18" s="1">
        <v>4.5199999999999997E-3</v>
      </c>
      <c r="AJ18" s="1">
        <v>2.8E-3</v>
      </c>
      <c r="AK18" s="1">
        <v>1.4E-3</v>
      </c>
      <c r="AL18" s="1">
        <v>1.4300000000000001E-3</v>
      </c>
      <c r="AM18" s="1">
        <v>7.6999999999999996E-4</v>
      </c>
      <c r="AN18" s="1">
        <v>1.27E-4</v>
      </c>
      <c r="AO18" s="1">
        <v>1.32E-3</v>
      </c>
      <c r="AP18" s="1">
        <v>4.4400000000000004E-3</v>
      </c>
      <c r="AQ18" s="1">
        <v>4.1799999999999997E-3</v>
      </c>
      <c r="AR18" s="1">
        <v>3.3500000000000001E-3</v>
      </c>
      <c r="AS18" s="1">
        <v>5.3899999999999998E-3</v>
      </c>
      <c r="AT18" s="1">
        <v>6.4700000000000001E-3</v>
      </c>
      <c r="AU18" s="1">
        <v>7.5500000000000003E-3</v>
      </c>
      <c r="AV18" s="1">
        <v>7.8799999999999999E-3</v>
      </c>
      <c r="AW18" s="1">
        <v>9.8200000000000006E-3</v>
      </c>
      <c r="AX18" s="1">
        <v>8.3999999999999995E-3</v>
      </c>
      <c r="AY18" s="1">
        <v>9.4400000000000005E-3</v>
      </c>
      <c r="AZ18" s="1">
        <v>1.0999999999999999E-2</v>
      </c>
      <c r="BA18" s="1">
        <v>9.2700000000000005E-3</v>
      </c>
      <c r="BB18" s="1">
        <v>8.7100000000000007E-3</v>
      </c>
      <c r="BC18" s="1">
        <v>4.3200000000000001E-3</v>
      </c>
      <c r="BD18" s="1">
        <v>4.7800000000000004E-3</v>
      </c>
      <c r="BE18" s="1">
        <v>3.1800000000000001E-3</v>
      </c>
      <c r="BF18" s="1">
        <v>2.49E-3</v>
      </c>
      <c r="BG18" s="1">
        <v>1.16E-3</v>
      </c>
      <c r="BH18" s="1">
        <v>-8.3500000000000002E-4</v>
      </c>
      <c r="BI18" s="1">
        <v>-1.08E-3</v>
      </c>
      <c r="BJ18" s="1">
        <v>-4.7999999999999996E-3</v>
      </c>
      <c r="BK18" s="1">
        <v>-3.1800000000000001E-3</v>
      </c>
      <c r="BL18" s="1">
        <v>-3.2399999999999998E-3</v>
      </c>
      <c r="BM18" s="1">
        <v>-6.2899999999999996E-3</v>
      </c>
      <c r="BN18" s="1">
        <v>-7.1199999999999996E-3</v>
      </c>
      <c r="BO18" s="1">
        <v>-4.7400000000000003E-3</v>
      </c>
      <c r="BP18" s="1">
        <v>-4.1900000000000001E-3</v>
      </c>
      <c r="BQ18" s="1">
        <v>-2.1099999999999999E-3</v>
      </c>
      <c r="BR18" s="1">
        <v>-4.1200000000000004E-3</v>
      </c>
      <c r="BS18" s="1">
        <v>-7.1300000000000001E-3</v>
      </c>
      <c r="BT18" s="1">
        <v>-6.5599999999999999E-3</v>
      </c>
      <c r="BU18" s="1">
        <v>-8.7100000000000007E-3</v>
      </c>
      <c r="BV18" s="1">
        <v>-7.9299999999999995E-3</v>
      </c>
      <c r="BW18" s="1">
        <v>-5.0400000000000002E-3</v>
      </c>
      <c r="BX18" s="1">
        <v>-6.28E-3</v>
      </c>
      <c r="BY18" s="1">
        <v>-5.7499999999999999E-3</v>
      </c>
      <c r="BZ18" s="1">
        <v>-6.4000000000000003E-3</v>
      </c>
      <c r="CA18" s="1">
        <v>-7.2500000000000004E-3</v>
      </c>
      <c r="CB18" s="1">
        <v>-8.2400000000000008E-3</v>
      </c>
      <c r="CC18" s="1">
        <v>-7.8200000000000006E-3</v>
      </c>
      <c r="CD18" s="1">
        <v>-6.11E-3</v>
      </c>
      <c r="CE18" s="1">
        <v>5.4200000000000003E-3</v>
      </c>
      <c r="CF18" s="1">
        <v>2.3E-3</v>
      </c>
      <c r="CG18" s="1">
        <v>6.8100000000000002E-5</v>
      </c>
      <c r="CH18" s="1">
        <v>1.34E-3</v>
      </c>
      <c r="CI18" s="1">
        <v>7.0699999999999999E-3</v>
      </c>
      <c r="CJ18" s="1">
        <v>1.7700000000000001E-3</v>
      </c>
      <c r="CK18" s="1">
        <v>-2.3500000000000001E-3</v>
      </c>
      <c r="CL18" s="1">
        <v>-3.57E-4</v>
      </c>
      <c r="CM18" s="1">
        <v>7.0200000000000002E-3</v>
      </c>
      <c r="CN18" s="1">
        <v>1.7899999999999999E-2</v>
      </c>
      <c r="CO18" s="1">
        <v>1.9800000000000002E-2</v>
      </c>
      <c r="CP18" s="1">
        <v>1.34E-2</v>
      </c>
      <c r="CQ18" s="1">
        <v>-1.6500000000000001E-2</v>
      </c>
      <c r="CR18" s="1">
        <v>-6.2399999999999999E-3</v>
      </c>
      <c r="CS18" s="1">
        <v>4.3099999999999996E-3</v>
      </c>
      <c r="CT18" s="1">
        <v>-3.2199999999999999E-2</v>
      </c>
      <c r="CU18" s="1">
        <v>-1.89E-2</v>
      </c>
      <c r="CV18" s="1">
        <v>1.67E-2</v>
      </c>
    </row>
    <row r="19" spans="1:100" x14ac:dyDescent="0.2">
      <c r="A19" t="s">
        <v>212</v>
      </c>
      <c r="B19" s="1">
        <v>1.57E-3</v>
      </c>
      <c r="C19" s="1">
        <v>1.57E-3</v>
      </c>
      <c r="D19" s="1">
        <v>1.57E-3</v>
      </c>
      <c r="E19" s="1">
        <v>7.4200000000000002E-2</v>
      </c>
      <c r="F19" s="1">
        <v>3.8300000000000001E-2</v>
      </c>
      <c r="G19" s="1">
        <v>3.9899999999999998E-2</v>
      </c>
      <c r="H19" s="1">
        <v>1.4500000000000001E-2</v>
      </c>
      <c r="I19" s="1">
        <v>1.4500000000000001E-2</v>
      </c>
      <c r="J19" s="1">
        <v>1.6899999999999998E-2</v>
      </c>
      <c r="K19" s="1">
        <v>1.46E-2</v>
      </c>
      <c r="L19" s="1">
        <v>1.5299999999999999E-2</v>
      </c>
      <c r="M19" s="1">
        <v>1.3299999999999999E-2</v>
      </c>
      <c r="N19" s="1">
        <v>1.35E-2</v>
      </c>
      <c r="O19" s="1">
        <v>6.1799999999999997E-3</v>
      </c>
      <c r="P19" s="1">
        <v>4.2599999999999999E-3</v>
      </c>
      <c r="Q19" s="1">
        <v>5.0099999999999997E-3</v>
      </c>
      <c r="R19" s="1">
        <v>5.4000000000000003E-3</v>
      </c>
      <c r="S19" s="1">
        <v>3.3999999999999998E-3</v>
      </c>
      <c r="T19" s="1">
        <v>5.0699999999999999E-3</v>
      </c>
      <c r="U19" s="1">
        <v>4.4099999999999999E-3</v>
      </c>
      <c r="V19" s="1">
        <v>3.7200000000000002E-3</v>
      </c>
      <c r="W19" s="1">
        <v>2E-3</v>
      </c>
      <c r="X19" s="1">
        <v>2.4099999999999998E-3</v>
      </c>
      <c r="Y19" s="1">
        <v>2.5699999999999998E-3</v>
      </c>
      <c r="Z19" s="1">
        <v>3.5799999999999998E-3</v>
      </c>
      <c r="AA19" s="1">
        <v>3.2499999999999999E-3</v>
      </c>
      <c r="AB19" s="1">
        <v>3.29E-3</v>
      </c>
      <c r="AC19" s="1">
        <v>4.3200000000000001E-3</v>
      </c>
      <c r="AD19" s="1">
        <v>4.9500000000000004E-3</v>
      </c>
      <c r="AE19" s="1">
        <v>4.6600000000000001E-3</v>
      </c>
      <c r="AF19" s="1">
        <v>4.7499999999999999E-3</v>
      </c>
      <c r="AG19" s="1">
        <v>4.62E-3</v>
      </c>
      <c r="AH19" s="1">
        <v>4.13E-3</v>
      </c>
      <c r="AI19" s="1">
        <v>3.6900000000000001E-3</v>
      </c>
      <c r="AJ19" s="1">
        <v>3.7599999999999999E-3</v>
      </c>
      <c r="AK19" s="1">
        <v>2.8900000000000002E-3</v>
      </c>
      <c r="AL19" s="1">
        <v>2.64E-3</v>
      </c>
      <c r="AM19" s="1">
        <v>2.3999999999999998E-3</v>
      </c>
      <c r="AN19" s="1">
        <v>2.4199999999999998E-3</v>
      </c>
      <c r="AO19" s="1">
        <v>2.8400000000000001E-3</v>
      </c>
      <c r="AP19" s="1">
        <v>3.3999999999999998E-3</v>
      </c>
      <c r="AQ19" s="1">
        <v>3.5400000000000002E-3</v>
      </c>
      <c r="AR19" s="1">
        <v>3.6700000000000001E-3</v>
      </c>
      <c r="AS19" s="1">
        <v>4.3899999999999998E-3</v>
      </c>
      <c r="AT19" s="1">
        <v>4.9899999999999996E-3</v>
      </c>
      <c r="AU19" s="1">
        <v>5.11E-3</v>
      </c>
      <c r="AV19" s="1">
        <v>4.7999999999999996E-3</v>
      </c>
      <c r="AW19" s="1">
        <v>4.3899999999999998E-3</v>
      </c>
      <c r="AX19" s="1">
        <v>4.0899999999999999E-3</v>
      </c>
      <c r="AY19" s="1">
        <v>4.1399999999999996E-3</v>
      </c>
      <c r="AZ19" s="1">
        <v>3.8999999999999998E-3</v>
      </c>
      <c r="BA19" s="1">
        <v>2.7799999999999999E-3</v>
      </c>
      <c r="BB19" s="1">
        <v>2.7799999999999999E-3</v>
      </c>
      <c r="BC19" s="1">
        <v>2.5100000000000001E-3</v>
      </c>
      <c r="BD19" s="1">
        <v>2.2499999999999998E-3</v>
      </c>
      <c r="BE19" s="1">
        <v>2.4599999999999999E-3</v>
      </c>
      <c r="BF19" s="1">
        <v>2.1800000000000001E-3</v>
      </c>
      <c r="BG19" s="1">
        <v>1.75E-3</v>
      </c>
      <c r="BH19" s="1">
        <v>2.5600000000000002E-3</v>
      </c>
      <c r="BI19" s="1">
        <v>2.4499999999999999E-3</v>
      </c>
      <c r="BJ19" s="1">
        <v>2.8500000000000001E-3</v>
      </c>
      <c r="BK19" s="1">
        <v>2.7599999999999999E-3</v>
      </c>
      <c r="BL19" s="1">
        <v>2.6199999999999999E-3</v>
      </c>
      <c r="BM19" s="1">
        <v>2.1299999999999999E-3</v>
      </c>
      <c r="BN19" s="1">
        <v>2.4199999999999998E-3</v>
      </c>
      <c r="BO19" s="1">
        <v>2.47E-3</v>
      </c>
      <c r="BP19" s="1">
        <v>1.41E-3</v>
      </c>
      <c r="BQ19" s="1">
        <v>1.5499999999999999E-3</v>
      </c>
      <c r="BR19" s="1">
        <v>1.17E-3</v>
      </c>
      <c r="BS19" s="1">
        <v>7.3399999999999995E-4</v>
      </c>
      <c r="BT19" s="1">
        <v>1.09E-3</v>
      </c>
      <c r="BU19" s="1">
        <v>7.2599999999999997E-4</v>
      </c>
      <c r="BV19" s="1">
        <v>2.7E-4</v>
      </c>
      <c r="BW19" s="1">
        <v>1.5299999999999999E-3</v>
      </c>
      <c r="BX19" s="1">
        <v>1.6100000000000001E-3</v>
      </c>
      <c r="BY19" s="1">
        <v>2.14E-3</v>
      </c>
      <c r="BZ19" s="1">
        <v>1.91E-3</v>
      </c>
      <c r="CA19" s="1">
        <v>2.6400000000000002E-4</v>
      </c>
      <c r="CB19" s="1">
        <v>3.1399999999999999E-4</v>
      </c>
      <c r="CC19" s="1">
        <v>-8.0799999999999999E-5</v>
      </c>
      <c r="CD19" s="1">
        <v>-2.41E-4</v>
      </c>
      <c r="CE19" s="1">
        <v>-2.5400000000000002E-3</v>
      </c>
      <c r="CF19" s="1">
        <v>-2.3E-3</v>
      </c>
      <c r="CG19" s="1">
        <v>-2.3800000000000002E-3</v>
      </c>
      <c r="CH19" s="1">
        <v>-2E-3</v>
      </c>
      <c r="CI19" s="1">
        <v>-2.5799999999999998E-3</v>
      </c>
      <c r="CJ19" s="1">
        <v>-3.96E-3</v>
      </c>
      <c r="CK19" s="1">
        <v>-3.0699999999999998E-3</v>
      </c>
      <c r="CL19" s="1">
        <v>-1.92E-3</v>
      </c>
      <c r="CM19" s="1">
        <v>-1.5100000000000001E-3</v>
      </c>
      <c r="CN19" s="1">
        <v>-3.1099999999999999E-3</v>
      </c>
      <c r="CO19" s="1">
        <v>-3.0200000000000001E-3</v>
      </c>
      <c r="CP19" s="1">
        <v>-4.15E-3</v>
      </c>
      <c r="CQ19" s="1">
        <v>-4.15E-3</v>
      </c>
      <c r="CR19" s="1">
        <v>-7.9500000000000005E-3</v>
      </c>
      <c r="CS19" s="1">
        <v>-5.9100000000000003E-3</v>
      </c>
      <c r="CT19" s="1">
        <v>-1.1900000000000001E-2</v>
      </c>
      <c r="CU19" s="1">
        <v>-1.54E-2</v>
      </c>
      <c r="CV19" s="1">
        <v>-1.89E-2</v>
      </c>
    </row>
    <row r="20" spans="1:100" x14ac:dyDescent="0.2">
      <c r="A20" t="s">
        <v>213</v>
      </c>
      <c r="B20" s="1">
        <v>-2E-3</v>
      </c>
      <c r="C20" s="1">
        <v>-2E-3</v>
      </c>
      <c r="D20" s="1">
        <v>-2E-3</v>
      </c>
      <c r="E20" s="1">
        <v>-0.23300000000000001</v>
      </c>
      <c r="F20" s="1">
        <v>2.9399999999999999E-2</v>
      </c>
      <c r="G20" s="1">
        <v>-6.4299999999999996E-2</v>
      </c>
      <c r="H20" s="1">
        <v>2.1000000000000001E-2</v>
      </c>
      <c r="I20" s="1">
        <v>-1.5100000000000001E-2</v>
      </c>
      <c r="J20" s="1">
        <v>-2.63E-2</v>
      </c>
      <c r="K20" s="1">
        <v>-6.5799999999999999E-3</v>
      </c>
      <c r="L20" s="1">
        <v>-2.01E-2</v>
      </c>
      <c r="M20" s="1">
        <v>-2.0500000000000001E-2</v>
      </c>
      <c r="N20" s="1">
        <v>-3.4099999999999998E-2</v>
      </c>
      <c r="O20" s="1">
        <v>4.6800000000000001E-2</v>
      </c>
      <c r="P20" s="1">
        <v>6.4399999999999999E-2</v>
      </c>
      <c r="Q20" s="1">
        <v>-1.3899999999999999E-2</v>
      </c>
      <c r="R20" s="1">
        <v>-2.23E-2</v>
      </c>
      <c r="S20" s="1">
        <v>8.7500000000000008E-3</v>
      </c>
      <c r="T20" s="1">
        <v>-2.35E-2</v>
      </c>
      <c r="U20" s="1">
        <v>-3.39E-2</v>
      </c>
      <c r="V20" s="1">
        <v>-1.17E-2</v>
      </c>
      <c r="W20" s="1">
        <v>1.14E-2</v>
      </c>
      <c r="X20" s="1">
        <v>1.03E-2</v>
      </c>
      <c r="Y20" s="1">
        <v>7.7999999999999999E-4</v>
      </c>
      <c r="Z20" s="1">
        <v>-1.3100000000000001E-2</v>
      </c>
      <c r="AA20" s="1">
        <v>-1.9599999999999999E-2</v>
      </c>
      <c r="AB20" s="1">
        <v>-1.46E-2</v>
      </c>
      <c r="AC20" s="1">
        <v>-1.3100000000000001E-2</v>
      </c>
      <c r="AD20" s="1">
        <v>-1.72E-2</v>
      </c>
      <c r="AE20" s="1">
        <v>-1.9599999999999999E-2</v>
      </c>
      <c r="AF20" s="1">
        <v>-2.07E-2</v>
      </c>
      <c r="AG20" s="1">
        <v>-1.6400000000000001E-2</v>
      </c>
      <c r="AH20" s="1">
        <v>-1.52E-2</v>
      </c>
      <c r="AI20" s="1">
        <v>-1.1900000000000001E-2</v>
      </c>
      <c r="AJ20" s="1">
        <v>-9.5099999999999994E-3</v>
      </c>
      <c r="AK20" s="1">
        <v>-7.6800000000000002E-3</v>
      </c>
      <c r="AL20" s="1">
        <v>-4.4299999999999999E-3</v>
      </c>
      <c r="AM20" s="1">
        <v>-2.82E-3</v>
      </c>
      <c r="AN20" s="1">
        <v>-1.8600000000000001E-3</v>
      </c>
      <c r="AO20" s="1">
        <v>2.1199999999999999E-3</v>
      </c>
      <c r="AP20" s="1">
        <v>-9.9799999999999993E-3</v>
      </c>
      <c r="AQ20" s="1">
        <v>-1.14E-2</v>
      </c>
      <c r="AR20" s="1">
        <v>-8.94E-3</v>
      </c>
      <c r="AS20" s="1">
        <v>-1.09E-2</v>
      </c>
      <c r="AT20" s="1">
        <v>-1.2500000000000001E-2</v>
      </c>
      <c r="AU20" s="1">
        <v>-8.9599999999999992E-3</v>
      </c>
      <c r="AV20" s="1">
        <v>-4.1399999999999996E-3</v>
      </c>
      <c r="AW20" s="1">
        <v>-3.5799999999999998E-3</v>
      </c>
      <c r="AX20" s="1">
        <v>-3.5899999999999999E-6</v>
      </c>
      <c r="AY20" s="1">
        <v>3.0599999999999998E-3</v>
      </c>
      <c r="AZ20" s="1">
        <v>4.1999999999999997E-3</v>
      </c>
      <c r="BA20" s="1">
        <v>7.5399999999999998E-3</v>
      </c>
      <c r="BB20" s="1">
        <v>8.3700000000000007E-3</v>
      </c>
      <c r="BC20" s="1">
        <v>7.9399999999999991E-3</v>
      </c>
      <c r="BD20" s="1">
        <v>8.2400000000000008E-3</v>
      </c>
      <c r="BE20" s="1">
        <v>1.09E-2</v>
      </c>
      <c r="BF20" s="1">
        <v>6.6299999999999996E-3</v>
      </c>
      <c r="BG20" s="1">
        <v>6.6499999999999997E-3</v>
      </c>
      <c r="BH20" s="1">
        <v>4.66E-4</v>
      </c>
      <c r="BI20" s="1">
        <v>1.82E-3</v>
      </c>
      <c r="BJ20" s="1">
        <v>2.0899999999999998E-3</v>
      </c>
      <c r="BK20" s="1">
        <v>2.0699999999999999E-4</v>
      </c>
      <c r="BL20" s="1">
        <v>-9.2000000000000003E-4</v>
      </c>
      <c r="BM20" s="1">
        <v>1.5500000000000001E-5</v>
      </c>
      <c r="BN20" s="1">
        <v>-2.3700000000000001E-3</v>
      </c>
      <c r="BO20" s="1">
        <v>-1.6299999999999999E-3</v>
      </c>
      <c r="BP20" s="1">
        <v>-5.0299999999999997E-4</v>
      </c>
      <c r="BQ20" s="1">
        <v>-1.25E-3</v>
      </c>
      <c r="BR20" s="1">
        <v>-3.0500000000000002E-3</v>
      </c>
      <c r="BS20" s="1">
        <v>2.0899999999999998E-3</v>
      </c>
      <c r="BT20" s="1">
        <v>3.29E-3</v>
      </c>
      <c r="BU20" s="1">
        <v>5.5100000000000001E-3</v>
      </c>
      <c r="BV20" s="1">
        <v>3.13E-3</v>
      </c>
      <c r="BW20" s="1">
        <v>3.5599999999999998E-3</v>
      </c>
      <c r="BX20" s="1">
        <v>3.62E-3</v>
      </c>
      <c r="BY20" s="1">
        <v>3.9500000000000004E-3</v>
      </c>
      <c r="BZ20" s="1">
        <v>8.5400000000000007E-3</v>
      </c>
      <c r="CA20" s="1">
        <v>0.01</v>
      </c>
      <c r="CB20" s="1">
        <v>1.43E-2</v>
      </c>
      <c r="CC20" s="1">
        <v>1.5599999999999999E-2</v>
      </c>
      <c r="CD20" s="1">
        <v>1.5800000000000002E-2</v>
      </c>
      <c r="CE20" s="1">
        <v>1.5699999999999999E-2</v>
      </c>
      <c r="CF20" s="1">
        <v>1.9400000000000001E-2</v>
      </c>
      <c r="CG20" s="1">
        <v>1.0699999999999999E-2</v>
      </c>
      <c r="CH20" s="1">
        <v>1.24E-2</v>
      </c>
      <c r="CI20" s="1">
        <v>1.5800000000000002E-2</v>
      </c>
      <c r="CJ20" s="1">
        <v>1.6899999999999998E-2</v>
      </c>
      <c r="CK20" s="1">
        <v>1.5900000000000001E-2</v>
      </c>
      <c r="CL20" s="1">
        <v>1.54E-2</v>
      </c>
      <c r="CM20" s="1">
        <v>7.7400000000000004E-3</v>
      </c>
      <c r="CN20" s="1">
        <v>-8.4499999999999992E-3</v>
      </c>
      <c r="CO20" s="1">
        <v>-1.0200000000000001E-2</v>
      </c>
      <c r="CP20" s="1">
        <v>-1.43E-2</v>
      </c>
      <c r="CQ20" s="1">
        <v>2.5600000000000002E-3</v>
      </c>
      <c r="CR20" s="1">
        <v>5.0499999999999998E-3</v>
      </c>
      <c r="CS20" s="1">
        <v>-1.7000000000000001E-2</v>
      </c>
      <c r="CT20" s="1">
        <v>-2.98E-2</v>
      </c>
      <c r="CU20" s="1">
        <v>-5.1900000000000002E-2</v>
      </c>
      <c r="CV20" s="1">
        <v>-5.4600000000000003E-2</v>
      </c>
    </row>
    <row r="21" spans="1:100" x14ac:dyDescent="0.2">
      <c r="A21" t="s">
        <v>226</v>
      </c>
      <c r="B21" s="1">
        <v>-4.75E-4</v>
      </c>
      <c r="C21" s="1">
        <v>-4.75E-4</v>
      </c>
      <c r="D21" s="1">
        <v>-4.75E-4</v>
      </c>
      <c r="E21" s="1">
        <v>-3.2599999999999997E-2</v>
      </c>
      <c r="F21" s="1">
        <v>-2.3599999999999999E-2</v>
      </c>
      <c r="G21" s="1">
        <v>-4.7500000000000001E-2</v>
      </c>
      <c r="H21" s="1">
        <v>-4.1399999999999999E-2</v>
      </c>
      <c r="I21" s="1">
        <v>-3.1800000000000002E-2</v>
      </c>
      <c r="J21" s="1">
        <v>-2.29E-2</v>
      </c>
      <c r="K21" s="1">
        <v>-1.7500000000000002E-2</v>
      </c>
      <c r="L21" s="1">
        <v>-3.09E-2</v>
      </c>
      <c r="M21" s="1">
        <v>-2.0299999999999999E-2</v>
      </c>
      <c r="N21" s="1">
        <v>-2.07E-2</v>
      </c>
      <c r="O21" s="1">
        <v>-2.3599999999999999E-2</v>
      </c>
      <c r="P21" s="1">
        <v>-1.8100000000000002E-2</v>
      </c>
      <c r="Q21" s="1">
        <v>-7.1500000000000001E-3</v>
      </c>
      <c r="R21" s="1">
        <v>-1.06E-2</v>
      </c>
      <c r="S21" s="1">
        <v>-5.2500000000000003E-3</v>
      </c>
      <c r="T21" s="1">
        <v>-4.6100000000000004E-3</v>
      </c>
      <c r="U21" s="1">
        <v>-7.3899999999999999E-3</v>
      </c>
      <c r="V21" s="1">
        <v>-9.3799999999999994E-3</v>
      </c>
      <c r="W21" s="1">
        <v>-1.84E-2</v>
      </c>
      <c r="X21" s="1">
        <v>-7.2500000000000004E-3</v>
      </c>
      <c r="Y21" s="1">
        <v>-3.7100000000000002E-4</v>
      </c>
      <c r="Z21" s="1">
        <v>-7.6400000000000001E-3</v>
      </c>
      <c r="AA21" s="1">
        <v>-4.3499999999999997E-3</v>
      </c>
      <c r="AB21" s="1">
        <v>-6.5799999999999999E-3</v>
      </c>
      <c r="AC21" s="1">
        <v>-8.8699999999999994E-3</v>
      </c>
      <c r="AD21" s="1">
        <v>-9.1599999999999997E-3</v>
      </c>
      <c r="AE21" s="1">
        <v>-9.92E-3</v>
      </c>
      <c r="AF21" s="1">
        <v>-7.9799999999999992E-3</v>
      </c>
      <c r="AG21" s="1">
        <v>-6.4900000000000001E-3</v>
      </c>
      <c r="AH21" s="1">
        <v>-6.1199999999999996E-3</v>
      </c>
      <c r="AI21" s="1">
        <v>-9.6600000000000002E-3</v>
      </c>
      <c r="AJ21" s="1">
        <v>-3.5699999999999998E-3</v>
      </c>
      <c r="AK21" s="1">
        <v>-5.5399999999999998E-3</v>
      </c>
      <c r="AL21" s="1">
        <v>-3.8700000000000002E-3</v>
      </c>
      <c r="AM21" s="1">
        <v>-5.9500000000000004E-3</v>
      </c>
      <c r="AN21" s="1">
        <v>-7.6499999999999997E-3</v>
      </c>
      <c r="AO21" s="1">
        <v>-2.9199999999999999E-3</v>
      </c>
      <c r="AP21" s="1">
        <v>-1.01E-2</v>
      </c>
      <c r="AQ21" s="1">
        <v>-2.9299999999999999E-3</v>
      </c>
      <c r="AR21" s="1">
        <v>-6.2500000000000003E-3</v>
      </c>
      <c r="AS21" s="1">
        <v>-7.1000000000000004E-3</v>
      </c>
      <c r="AT21" s="1">
        <v>-7.4700000000000001E-3</v>
      </c>
      <c r="AU21" s="1">
        <v>-1.24E-2</v>
      </c>
      <c r="AV21" s="1">
        <v>-9.0500000000000008E-3</v>
      </c>
      <c r="AW21" s="1">
        <v>-7.0099999999999997E-3</v>
      </c>
      <c r="AX21" s="1">
        <v>-7.1199999999999996E-3</v>
      </c>
      <c r="AY21" s="1">
        <v>-8.6800000000000002E-3</v>
      </c>
      <c r="AZ21" s="1">
        <v>-7.7999999999999996E-3</v>
      </c>
      <c r="BA21" s="1">
        <v>-6.4799999999999996E-3</v>
      </c>
      <c r="BB21" s="1">
        <v>-6.2700000000000004E-3</v>
      </c>
      <c r="BC21" s="1">
        <v>-5.7299999999999999E-3</v>
      </c>
      <c r="BD21" s="1">
        <v>-7.45E-3</v>
      </c>
      <c r="BE21" s="1">
        <v>-8.0599999999999995E-3</v>
      </c>
      <c r="BF21" s="1">
        <v>-9.2800000000000001E-3</v>
      </c>
      <c r="BG21" s="1">
        <v>-5.8999999999999999E-3</v>
      </c>
      <c r="BH21" s="1">
        <v>-9.2999999999999992E-3</v>
      </c>
      <c r="BI21" s="1">
        <v>-1.15E-2</v>
      </c>
      <c r="BJ21" s="1">
        <v>-1.37E-2</v>
      </c>
      <c r="BK21" s="1">
        <v>-7.5700000000000003E-3</v>
      </c>
      <c r="BL21" s="1">
        <v>-6.1599999999999997E-3</v>
      </c>
      <c r="BM21" s="1">
        <v>-7.0000000000000001E-3</v>
      </c>
      <c r="BN21" s="1">
        <v>-8.2799999999999992E-3</v>
      </c>
      <c r="BO21" s="1">
        <v>-6.3200000000000001E-3</v>
      </c>
      <c r="BP21" s="1">
        <v>-1.15E-2</v>
      </c>
      <c r="BQ21" s="1">
        <v>-9.2800000000000001E-3</v>
      </c>
      <c r="BR21" s="1">
        <v>-1.04E-2</v>
      </c>
      <c r="BS21" s="1">
        <v>-1.3899999999999999E-2</v>
      </c>
      <c r="BT21" s="1">
        <v>-1.1599999999999999E-2</v>
      </c>
      <c r="BU21" s="1">
        <v>-1.09E-2</v>
      </c>
      <c r="BV21" s="1">
        <v>-9.7999999999999997E-3</v>
      </c>
      <c r="BW21" s="1">
        <v>-9.6799999999999994E-3</v>
      </c>
      <c r="BX21" s="1">
        <v>-1.12E-2</v>
      </c>
      <c r="BY21" s="1">
        <v>-1.5100000000000001E-2</v>
      </c>
      <c r="BZ21" s="1">
        <v>-1.04E-2</v>
      </c>
      <c r="CA21" s="1">
        <v>-1.0699999999999999E-2</v>
      </c>
      <c r="CB21" s="1">
        <v>-9.9000000000000008E-3</v>
      </c>
      <c r="CC21" s="1">
        <v>-8.8900000000000003E-3</v>
      </c>
      <c r="CD21" s="1">
        <v>-1.0999999999999999E-2</v>
      </c>
      <c r="CE21" s="1">
        <v>-8.5500000000000003E-3</v>
      </c>
      <c r="CF21" s="1">
        <v>-1.17E-2</v>
      </c>
      <c r="CG21" s="1">
        <v>-7.5799999999999999E-3</v>
      </c>
      <c r="CH21" s="1">
        <v>-8.8500000000000002E-3</v>
      </c>
      <c r="CI21" s="1">
        <v>-6.0600000000000003E-3</v>
      </c>
      <c r="CJ21" s="1">
        <v>-4.5900000000000003E-3</v>
      </c>
      <c r="CK21" s="1">
        <v>-1.1299999999999999E-2</v>
      </c>
      <c r="CL21" s="1">
        <v>4.8200000000000001E-4</v>
      </c>
      <c r="CM21" s="1">
        <v>-3.0300000000000001E-3</v>
      </c>
      <c r="CN21" s="1">
        <v>-9.4199999999999996E-3</v>
      </c>
      <c r="CO21" s="1">
        <v>-7.5500000000000003E-3</v>
      </c>
      <c r="CP21" s="1">
        <v>-3.6600000000000001E-3</v>
      </c>
      <c r="CQ21" s="1">
        <v>-4.7299999999999998E-3</v>
      </c>
      <c r="CR21" s="1">
        <v>-1.17E-2</v>
      </c>
      <c r="CS21" s="1">
        <v>-1.9900000000000001E-2</v>
      </c>
      <c r="CT21" s="1">
        <v>-1.17E-2</v>
      </c>
      <c r="CU21" s="1">
        <v>-2.2200000000000001E-2</v>
      </c>
      <c r="CV21" s="1">
        <v>-7.0299999999999998E-3</v>
      </c>
    </row>
    <row r="22" spans="1:100" x14ac:dyDescent="0.2">
      <c r="A22" t="s">
        <v>227</v>
      </c>
      <c r="B22" s="1">
        <v>1.32E-2</v>
      </c>
      <c r="C22" s="1">
        <v>1.32E-2</v>
      </c>
      <c r="D22" s="1">
        <v>1.32E-2</v>
      </c>
      <c r="E22" s="1">
        <v>0.16700000000000001</v>
      </c>
      <c r="F22" s="1">
        <v>0.13400000000000001</v>
      </c>
      <c r="G22" s="1">
        <v>9.1700000000000004E-2</v>
      </c>
      <c r="H22" s="1">
        <v>2.5499999999999998E-2</v>
      </c>
      <c r="I22" s="1">
        <v>-2.2800000000000001E-2</v>
      </c>
      <c r="J22" s="1">
        <v>-5.8500000000000003E-2</v>
      </c>
      <c r="K22" s="1">
        <v>-4.0399999999999998E-2</v>
      </c>
      <c r="L22" s="1">
        <v>-3.4799999999999998E-2</v>
      </c>
      <c r="M22" s="1">
        <v>-2.6800000000000001E-2</v>
      </c>
      <c r="N22" s="1">
        <v>-1.8700000000000001E-2</v>
      </c>
      <c r="O22" s="1">
        <v>1.8600000000000001E-3</v>
      </c>
      <c r="P22" s="1">
        <v>-3.1099999999999999E-3</v>
      </c>
      <c r="Q22" s="1">
        <v>-6.7600000000000004E-3</v>
      </c>
      <c r="R22" s="1">
        <v>-7.9399999999999991E-3</v>
      </c>
      <c r="S22" s="1">
        <v>-9.2200000000000008E-3</v>
      </c>
      <c r="T22" s="1">
        <v>-6.1799999999999997E-3</v>
      </c>
      <c r="U22" s="1">
        <v>-5.1399999999999996E-3</v>
      </c>
      <c r="V22" s="1">
        <v>-2.9499999999999999E-3</v>
      </c>
      <c r="W22" s="1">
        <v>5.1900000000000002E-3</v>
      </c>
      <c r="X22" s="1">
        <v>1.57E-3</v>
      </c>
      <c r="Y22" s="1">
        <v>3.8700000000000002E-3</v>
      </c>
      <c r="Z22" s="1">
        <v>9.4600000000000001E-4</v>
      </c>
      <c r="AA22" s="1">
        <v>3.0000000000000001E-3</v>
      </c>
      <c r="AB22" s="1">
        <v>5.2700000000000004E-3</v>
      </c>
      <c r="AC22" s="1">
        <v>5.4000000000000003E-3</v>
      </c>
      <c r="AD22" s="1">
        <v>1.67E-3</v>
      </c>
      <c r="AE22" s="1">
        <v>1.3500000000000001E-3</v>
      </c>
      <c r="AF22" s="1">
        <v>4.1100000000000002E-4</v>
      </c>
      <c r="AG22" s="1">
        <v>9.4200000000000002E-4</v>
      </c>
      <c r="AH22" s="1">
        <v>9.6200000000000001E-3</v>
      </c>
      <c r="AI22" s="1">
        <v>1.6799999999999999E-2</v>
      </c>
      <c r="AJ22" s="1">
        <v>1.7100000000000001E-2</v>
      </c>
      <c r="AK22" s="1">
        <v>1.9599999999999999E-2</v>
      </c>
      <c r="AL22" s="1">
        <v>2.01E-2</v>
      </c>
      <c r="AM22" s="1">
        <v>1.5900000000000001E-2</v>
      </c>
      <c r="AN22" s="1">
        <v>1.7100000000000001E-2</v>
      </c>
      <c r="AO22" s="1">
        <v>1.8499999999999999E-2</v>
      </c>
      <c r="AP22" s="1">
        <v>1.7100000000000001E-2</v>
      </c>
      <c r="AQ22" s="1">
        <v>2.2499999999999999E-2</v>
      </c>
      <c r="AR22" s="1">
        <v>2.35E-2</v>
      </c>
      <c r="AS22" s="1">
        <v>2.24E-2</v>
      </c>
      <c r="AT22" s="1">
        <v>1.9300000000000001E-2</v>
      </c>
      <c r="AU22" s="1">
        <v>2.1100000000000001E-2</v>
      </c>
      <c r="AV22" s="1">
        <v>1.72E-2</v>
      </c>
      <c r="AW22" s="1">
        <v>1.6199999999999999E-2</v>
      </c>
      <c r="AX22" s="1">
        <v>1.7299999999999999E-2</v>
      </c>
      <c r="AY22" s="1">
        <v>1.4500000000000001E-2</v>
      </c>
      <c r="AZ22" s="1">
        <v>1.8800000000000001E-2</v>
      </c>
      <c r="BA22" s="1">
        <v>1.8700000000000001E-2</v>
      </c>
      <c r="BB22" s="1">
        <v>2.8000000000000001E-2</v>
      </c>
      <c r="BC22" s="1">
        <v>2.6800000000000001E-2</v>
      </c>
      <c r="BD22" s="1">
        <v>2.7300000000000001E-2</v>
      </c>
      <c r="BE22" s="1">
        <v>2.6200000000000001E-2</v>
      </c>
      <c r="BF22" s="1">
        <v>2.5899999999999999E-2</v>
      </c>
      <c r="BG22" s="1">
        <v>2.3599999999999999E-2</v>
      </c>
      <c r="BH22" s="1">
        <v>2.0299999999999999E-2</v>
      </c>
      <c r="BI22" s="1">
        <v>1.54E-2</v>
      </c>
      <c r="BJ22" s="1">
        <v>1.4999999999999999E-2</v>
      </c>
      <c r="BK22" s="1">
        <v>1.78E-2</v>
      </c>
      <c r="BL22" s="1">
        <v>1.8200000000000001E-2</v>
      </c>
      <c r="BM22" s="1">
        <v>1.7000000000000001E-2</v>
      </c>
      <c r="BN22" s="1">
        <v>1.9199999999999998E-2</v>
      </c>
      <c r="BO22" s="1">
        <v>2.2200000000000001E-2</v>
      </c>
      <c r="BP22" s="1">
        <v>2.3900000000000001E-2</v>
      </c>
      <c r="BQ22" s="1">
        <v>2.52E-2</v>
      </c>
      <c r="BR22" s="1">
        <v>2.3400000000000001E-2</v>
      </c>
      <c r="BS22" s="1">
        <v>2.3199999999999998E-2</v>
      </c>
      <c r="BT22" s="1">
        <v>1.0200000000000001E-2</v>
      </c>
      <c r="BU22" s="1">
        <v>1.8100000000000002E-2</v>
      </c>
      <c r="BV22" s="1">
        <v>1.77E-2</v>
      </c>
      <c r="BW22" s="1">
        <v>1.3299999999999999E-2</v>
      </c>
      <c r="BX22" s="1">
        <v>1.49E-2</v>
      </c>
      <c r="BY22" s="1">
        <v>1.2E-2</v>
      </c>
      <c r="BZ22" s="1">
        <v>-0.01</v>
      </c>
      <c r="CA22" s="1">
        <v>-6.0499999999999998E-3</v>
      </c>
      <c r="CB22" s="1">
        <v>-9.0299999999999998E-3</v>
      </c>
      <c r="CC22" s="1">
        <v>-1.0500000000000001E-2</v>
      </c>
      <c r="CD22" s="1">
        <v>-6.0600000000000003E-3</v>
      </c>
      <c r="CE22" s="1">
        <v>-2.3500000000000001E-3</v>
      </c>
      <c r="CF22" s="1">
        <v>-6.4000000000000003E-3</v>
      </c>
      <c r="CG22" s="1">
        <v>-6.7299999999999999E-3</v>
      </c>
      <c r="CH22" s="1">
        <v>-6.4599999999999996E-3</v>
      </c>
      <c r="CI22" s="1">
        <v>-1.26E-2</v>
      </c>
      <c r="CJ22" s="1">
        <v>-1.5299999999999999E-2</v>
      </c>
      <c r="CK22" s="1">
        <v>-1.41E-2</v>
      </c>
      <c r="CL22" s="1">
        <v>-6.9699999999999996E-3</v>
      </c>
      <c r="CM22" s="1">
        <v>-1.43E-2</v>
      </c>
      <c r="CN22" s="1">
        <v>-1.5699999999999999E-2</v>
      </c>
      <c r="CO22" s="1">
        <v>-5.3600000000000002E-3</v>
      </c>
      <c r="CP22" s="1">
        <v>-7.6099999999999996E-3</v>
      </c>
      <c r="CQ22" s="1">
        <v>-1.21E-2</v>
      </c>
      <c r="CR22" s="1">
        <v>-1.95E-2</v>
      </c>
      <c r="CS22" s="1">
        <v>-2.47E-3</v>
      </c>
      <c r="CT22" s="1">
        <v>4.5700000000000003E-3</v>
      </c>
      <c r="CU22" s="1">
        <v>2.4400000000000002E-2</v>
      </c>
      <c r="CV22" s="1">
        <v>1.8200000000000001E-2</v>
      </c>
    </row>
    <row r="23" spans="1:100" x14ac:dyDescent="0.2">
      <c r="A23" t="s">
        <v>216</v>
      </c>
      <c r="B23" s="1">
        <v>1.8599999999999998E-2</v>
      </c>
      <c r="C23" s="1">
        <v>2.2100000000000002E-2</v>
      </c>
      <c r="D23" s="1">
        <v>2.5499999999999998E-2</v>
      </c>
      <c r="E23" s="1">
        <v>1.383</v>
      </c>
      <c r="F23" s="1">
        <v>0.107</v>
      </c>
      <c r="G23" s="1">
        <v>0.57999999999999996</v>
      </c>
      <c r="H23" s="1">
        <v>0.439</v>
      </c>
      <c r="I23" s="1">
        <v>0.40600000000000003</v>
      </c>
      <c r="J23" s="1">
        <v>0.52900000000000003</v>
      </c>
      <c r="K23" s="1">
        <v>0.45700000000000002</v>
      </c>
      <c r="L23" s="1">
        <v>0.53400000000000003</v>
      </c>
      <c r="M23" s="1">
        <v>0.54700000000000004</v>
      </c>
      <c r="N23" s="1">
        <v>0.58199999999999996</v>
      </c>
      <c r="O23" s="1">
        <v>0.161</v>
      </c>
      <c r="P23" s="1">
        <v>0.11600000000000001</v>
      </c>
      <c r="Q23" s="1">
        <v>0.39900000000000002</v>
      </c>
      <c r="R23" s="1">
        <v>0.38100000000000001</v>
      </c>
      <c r="S23" s="1">
        <v>0.215</v>
      </c>
      <c r="T23" s="1">
        <v>0.29499999999999998</v>
      </c>
      <c r="U23" s="1">
        <v>0.32500000000000001</v>
      </c>
      <c r="V23" s="1">
        <v>0.314</v>
      </c>
      <c r="W23" s="1">
        <v>0.14299999999999999</v>
      </c>
      <c r="X23" s="1">
        <v>0.104</v>
      </c>
      <c r="Y23" s="1">
        <v>9.9299999999999999E-2</v>
      </c>
      <c r="Z23" s="1">
        <v>0.17899999999999999</v>
      </c>
      <c r="AA23" s="1">
        <v>0.14599999999999999</v>
      </c>
      <c r="AB23" s="1">
        <v>0.16600000000000001</v>
      </c>
      <c r="AC23" s="1">
        <v>0.16800000000000001</v>
      </c>
      <c r="AD23" s="1">
        <v>0.17599999999999999</v>
      </c>
      <c r="AE23" s="1">
        <v>0.155</v>
      </c>
      <c r="AF23" s="1">
        <v>0.154</v>
      </c>
      <c r="AG23" s="1">
        <v>0.13800000000000001</v>
      </c>
      <c r="AH23" s="1">
        <v>0.13400000000000001</v>
      </c>
      <c r="AI23" s="1">
        <v>0.11799999999999999</v>
      </c>
      <c r="AJ23" s="1">
        <v>0.106</v>
      </c>
      <c r="AK23" s="1">
        <v>7.5600000000000001E-2</v>
      </c>
      <c r="AL23" s="1">
        <v>6.4899999999999999E-2</v>
      </c>
      <c r="AM23" s="1">
        <v>6.0900000000000003E-2</v>
      </c>
      <c r="AN23" s="1">
        <v>6.7900000000000002E-2</v>
      </c>
      <c r="AO23" s="1">
        <v>4.2999999999999997E-2</v>
      </c>
      <c r="AP23" s="1">
        <v>5.7000000000000002E-2</v>
      </c>
      <c r="AQ23" s="1">
        <v>5.28E-2</v>
      </c>
      <c r="AR23" s="1">
        <v>4.36E-2</v>
      </c>
      <c r="AS23" s="1">
        <v>6.8599999999999994E-2</v>
      </c>
      <c r="AT23" s="1">
        <v>3.6700000000000003E-2</v>
      </c>
      <c r="AU23" s="1">
        <v>3.7199999999999997E-2</v>
      </c>
      <c r="AV23" s="1">
        <v>2.4199999999999999E-2</v>
      </c>
      <c r="AW23" s="1">
        <v>2.01E-2</v>
      </c>
      <c r="AX23" s="1">
        <v>-7.7499999999999999E-3</v>
      </c>
      <c r="AY23" s="1">
        <v>-3.0999999999999999E-3</v>
      </c>
      <c r="AZ23" s="1">
        <v>-9.8600000000000007E-3</v>
      </c>
      <c r="BA23" s="1">
        <v>-2.81E-2</v>
      </c>
      <c r="BB23" s="1">
        <v>-3.8300000000000001E-2</v>
      </c>
      <c r="BC23" s="1">
        <v>-3.2199999999999999E-2</v>
      </c>
      <c r="BD23" s="1">
        <v>-2.87E-2</v>
      </c>
      <c r="BE23" s="1">
        <v>-4.48E-2</v>
      </c>
      <c r="BF23" s="1">
        <v>-3.0300000000000001E-2</v>
      </c>
      <c r="BG23" s="1">
        <v>-1.7100000000000001E-2</v>
      </c>
      <c r="BH23" s="1">
        <v>-8.43E-3</v>
      </c>
      <c r="BI23" s="1">
        <v>-2.3E-3</v>
      </c>
      <c r="BJ23" s="1">
        <v>6.8999999999999999E-3</v>
      </c>
      <c r="BK23" s="1">
        <v>1.18E-2</v>
      </c>
      <c r="BL23" s="1">
        <v>4.3699999999999998E-3</v>
      </c>
      <c r="BM23" s="1">
        <v>1.21E-2</v>
      </c>
      <c r="BN23" s="1">
        <v>3.0800000000000001E-2</v>
      </c>
      <c r="BO23" s="1">
        <v>4.9799999999999997E-2</v>
      </c>
      <c r="BP23" s="1">
        <v>4.7800000000000002E-2</v>
      </c>
      <c r="BQ23" s="1">
        <v>3.9800000000000002E-4</v>
      </c>
      <c r="BR23" s="1">
        <v>-2.7699999999999999E-2</v>
      </c>
      <c r="BS23" s="1">
        <v>-5.7700000000000001E-2</v>
      </c>
      <c r="BT23" s="1">
        <v>-6.4799999999999996E-2</v>
      </c>
      <c r="BU23" s="1">
        <v>-8.0399999999999999E-2</v>
      </c>
      <c r="BV23" s="1">
        <v>-8.5599999999999996E-2</v>
      </c>
      <c r="BW23" s="1">
        <v>-9.11E-2</v>
      </c>
      <c r="BX23" s="1">
        <v>-8.7300000000000003E-2</v>
      </c>
      <c r="BY23" s="1">
        <v>-7.2099999999999997E-2</v>
      </c>
      <c r="BZ23" s="1">
        <v>-1.77E-2</v>
      </c>
      <c r="CA23" s="1">
        <v>-2.4899999999999999E-2</v>
      </c>
      <c r="CB23" s="1">
        <v>-4.15E-3</v>
      </c>
      <c r="CC23" s="1">
        <v>4.3099999999999996E-3</v>
      </c>
      <c r="CD23" s="1">
        <v>1.03E-2</v>
      </c>
      <c r="CE23" s="1">
        <v>4.8899999999999999E-2</v>
      </c>
      <c r="CF23" s="1">
        <v>6.0999999999999999E-2</v>
      </c>
      <c r="CG23" s="1">
        <v>7.1999999999999995E-2</v>
      </c>
      <c r="CH23" s="1">
        <v>3.1099999999999999E-2</v>
      </c>
      <c r="CI23" s="1">
        <v>2.9499999999999998E-2</v>
      </c>
      <c r="CJ23" s="1">
        <v>-0.01</v>
      </c>
      <c r="CK23" s="1">
        <v>-4.0399999999999998E-2</v>
      </c>
      <c r="CL23" s="1">
        <v>-6.25E-2</v>
      </c>
      <c r="CM23" s="1">
        <v>6.7699999999999996E-2</v>
      </c>
      <c r="CN23" s="1">
        <v>8.8999999999999996E-2</v>
      </c>
      <c r="CO23" s="1">
        <v>8.72E-2</v>
      </c>
      <c r="CP23" s="1">
        <v>6.5699999999999995E-2</v>
      </c>
      <c r="CQ23" s="1">
        <v>4.7499999999999999E-3</v>
      </c>
      <c r="CR23" s="1">
        <v>-2.8799999999999999E-2</v>
      </c>
      <c r="CS23" s="1">
        <v>2.8299999999999999E-2</v>
      </c>
      <c r="CT23" s="1">
        <v>5.6099999999999997E-2</v>
      </c>
      <c r="CU23" s="1">
        <v>0.14599999999999999</v>
      </c>
      <c r="CV23" s="1">
        <v>0.28999999999999998</v>
      </c>
    </row>
  </sheetData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0F173-85B7-0241-80C9-35AD587A95E6}">
  <sheetPr codeName="Planilha6"/>
  <dimension ref="A1:CV23"/>
  <sheetViews>
    <sheetView workbookViewId="0">
      <selection activeCell="C28" sqref="C28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2.3300000000000001E-2</v>
      </c>
      <c r="C2" s="1">
        <v>8.8800000000000004E-2</v>
      </c>
      <c r="D2" s="1">
        <v>0.154</v>
      </c>
      <c r="E2" s="1">
        <v>0.28999999999999998</v>
      </c>
      <c r="F2" s="1">
        <v>0.55400000000000005</v>
      </c>
      <c r="G2" s="1">
        <v>0.84099999999999997</v>
      </c>
      <c r="H2" s="1">
        <v>0.95799999999999996</v>
      </c>
      <c r="I2" s="1">
        <v>1.069</v>
      </c>
      <c r="J2" s="1">
        <v>1.169</v>
      </c>
      <c r="K2" s="1">
        <v>1.2490000000000001</v>
      </c>
      <c r="L2" s="1">
        <v>1.353</v>
      </c>
      <c r="M2" s="1">
        <v>1.4019999999999999</v>
      </c>
      <c r="N2" s="1">
        <v>1.484</v>
      </c>
      <c r="O2" s="1">
        <v>1.536</v>
      </c>
      <c r="P2" s="1">
        <v>1.5569999999999999</v>
      </c>
      <c r="Q2" s="1">
        <v>1.62</v>
      </c>
      <c r="R2" s="1">
        <v>1.6619999999999999</v>
      </c>
      <c r="S2" s="1">
        <v>1.6870000000000001</v>
      </c>
      <c r="T2" s="1">
        <v>1.7090000000000001</v>
      </c>
      <c r="U2" s="1">
        <v>1.756</v>
      </c>
      <c r="V2" s="1">
        <v>1.7569999999999999</v>
      </c>
      <c r="W2" s="1">
        <v>1.7569999999999999</v>
      </c>
      <c r="X2" s="1">
        <v>1.762</v>
      </c>
      <c r="Y2" s="1">
        <v>1.7589999999999999</v>
      </c>
      <c r="Z2" s="1">
        <v>1.8009999999999999</v>
      </c>
      <c r="AA2" s="1">
        <v>1.821</v>
      </c>
      <c r="AB2" s="1">
        <v>1.8440000000000001</v>
      </c>
      <c r="AC2" s="1">
        <v>1.853</v>
      </c>
      <c r="AD2" s="1">
        <v>1.8540000000000001</v>
      </c>
      <c r="AE2" s="1">
        <v>1.853</v>
      </c>
      <c r="AF2" s="1">
        <v>1.89</v>
      </c>
      <c r="AG2" s="1">
        <v>1.923</v>
      </c>
      <c r="AH2" s="1">
        <v>1.9430000000000001</v>
      </c>
      <c r="AI2" s="1">
        <v>1.94</v>
      </c>
      <c r="AJ2" s="1">
        <v>1.9570000000000001</v>
      </c>
      <c r="AK2" s="1">
        <v>1.982</v>
      </c>
      <c r="AL2" s="1">
        <v>2.0190000000000001</v>
      </c>
      <c r="AM2" s="1">
        <v>2.0449999999999999</v>
      </c>
      <c r="AN2" s="1">
        <v>2.0459999999999998</v>
      </c>
      <c r="AO2" s="1">
        <v>2.0670000000000002</v>
      </c>
      <c r="AP2" s="1">
        <v>2.0870000000000002</v>
      </c>
      <c r="AQ2" s="1">
        <v>2.1</v>
      </c>
      <c r="AR2" s="1">
        <v>2.1349999999999998</v>
      </c>
      <c r="AS2" s="1">
        <v>2.141</v>
      </c>
      <c r="AT2" s="1">
        <v>2.169</v>
      </c>
      <c r="AU2" s="1">
        <v>2.1640000000000001</v>
      </c>
      <c r="AV2" s="1">
        <v>2.1909999999999998</v>
      </c>
      <c r="AW2" s="1">
        <v>2.2269999999999999</v>
      </c>
      <c r="AX2" s="1">
        <v>2.2280000000000002</v>
      </c>
      <c r="AY2" s="1">
        <v>2.2480000000000002</v>
      </c>
      <c r="AZ2" s="1">
        <v>2.2679999999999998</v>
      </c>
      <c r="BA2" s="1">
        <v>2.2930000000000001</v>
      </c>
      <c r="BB2" s="1">
        <v>2.3319999999999999</v>
      </c>
      <c r="BC2" s="1">
        <v>2.3460000000000001</v>
      </c>
      <c r="BD2" s="1">
        <v>2.3570000000000002</v>
      </c>
      <c r="BE2" s="1">
        <v>2.3780000000000001</v>
      </c>
      <c r="BF2" s="1">
        <v>2.4079999999999999</v>
      </c>
      <c r="BG2" s="1">
        <v>2.456</v>
      </c>
      <c r="BH2" s="1">
        <v>2.4500000000000002</v>
      </c>
      <c r="BI2" s="1">
        <v>2.4510000000000001</v>
      </c>
      <c r="BJ2" s="1">
        <v>2.452</v>
      </c>
      <c r="BK2" s="1">
        <v>2.4940000000000002</v>
      </c>
      <c r="BL2" s="1">
        <v>2.5339999999999998</v>
      </c>
      <c r="BM2" s="1">
        <v>2.5470000000000002</v>
      </c>
      <c r="BN2" s="1">
        <v>2.5779999999999998</v>
      </c>
      <c r="BO2" s="1">
        <v>2.6040000000000001</v>
      </c>
      <c r="BP2" s="1">
        <v>2.6339999999999999</v>
      </c>
      <c r="BQ2" s="1">
        <v>2.6819999999999999</v>
      </c>
      <c r="BR2" s="1">
        <v>2.6760000000000002</v>
      </c>
      <c r="BS2" s="1">
        <v>2.7410000000000001</v>
      </c>
      <c r="BT2" s="1">
        <v>2.7669999999999999</v>
      </c>
      <c r="BU2" s="1">
        <v>2.7869999999999999</v>
      </c>
      <c r="BV2" s="1">
        <v>2.831</v>
      </c>
      <c r="BW2" s="1">
        <v>2.855</v>
      </c>
      <c r="BX2" s="1">
        <v>2.8570000000000002</v>
      </c>
      <c r="BY2" s="1">
        <v>2.915</v>
      </c>
      <c r="BZ2" s="1">
        <v>2.9620000000000002</v>
      </c>
      <c r="CA2" s="1">
        <v>3.008</v>
      </c>
      <c r="CB2" s="1">
        <v>3.05</v>
      </c>
      <c r="CC2" s="1">
        <v>3.1160000000000001</v>
      </c>
      <c r="CD2" s="1">
        <v>3.1709999999999998</v>
      </c>
      <c r="CE2" s="1">
        <v>3.145</v>
      </c>
      <c r="CF2" s="1">
        <v>3.2189999999999999</v>
      </c>
      <c r="CG2" s="1">
        <v>3.2709999999999999</v>
      </c>
      <c r="CH2" s="1">
        <v>3.3639999999999999</v>
      </c>
      <c r="CI2" s="1">
        <v>3.3679999999999999</v>
      </c>
      <c r="CJ2" s="1">
        <v>3.4550000000000001</v>
      </c>
      <c r="CK2" s="1">
        <v>3.548</v>
      </c>
      <c r="CL2" s="1">
        <v>3.61</v>
      </c>
      <c r="CM2" s="1">
        <v>3.7050000000000001</v>
      </c>
      <c r="CN2" s="1">
        <v>3.835</v>
      </c>
      <c r="CO2" s="1">
        <v>3.9319999999999999</v>
      </c>
      <c r="CP2" s="1">
        <v>4.0640000000000001</v>
      </c>
      <c r="CQ2" s="1">
        <v>4.2439999999999998</v>
      </c>
      <c r="CR2" s="1">
        <v>4.4660000000000002</v>
      </c>
      <c r="CS2" s="1">
        <v>4.7560000000000002</v>
      </c>
      <c r="CT2" s="1">
        <v>5.3419999999999996</v>
      </c>
      <c r="CU2" s="1">
        <v>5.82</v>
      </c>
      <c r="CV2" s="1">
        <v>6.5430000000000001</v>
      </c>
    </row>
    <row r="3" spans="1:100" x14ac:dyDescent="0.2">
      <c r="A3" t="s">
        <v>204</v>
      </c>
      <c r="B3" s="1">
        <v>2.3099999999999999E-2</v>
      </c>
      <c r="C3" s="1">
        <v>8.8800000000000004E-2</v>
      </c>
      <c r="D3" s="1">
        <v>0.154</v>
      </c>
      <c r="E3" s="1">
        <v>0.21199999999999999</v>
      </c>
      <c r="F3" s="1">
        <v>0.6</v>
      </c>
      <c r="G3" s="1">
        <v>0.84299999999999997</v>
      </c>
      <c r="H3" s="1">
        <v>0.92700000000000005</v>
      </c>
      <c r="I3" s="1">
        <v>1.1160000000000001</v>
      </c>
      <c r="J3" s="1">
        <v>1.1950000000000001</v>
      </c>
      <c r="K3" s="1">
        <v>1.298</v>
      </c>
      <c r="L3" s="1">
        <v>1.399</v>
      </c>
      <c r="M3" s="1">
        <v>1.4510000000000001</v>
      </c>
      <c r="N3" s="1">
        <v>1.536</v>
      </c>
      <c r="O3" s="1">
        <v>1.581</v>
      </c>
      <c r="P3" s="1">
        <v>1.6120000000000001</v>
      </c>
      <c r="Q3" s="1">
        <v>1.655</v>
      </c>
      <c r="R3" s="1">
        <v>1.6950000000000001</v>
      </c>
      <c r="S3" s="1">
        <v>1.714</v>
      </c>
      <c r="T3" s="1">
        <v>1.748</v>
      </c>
      <c r="U3" s="1">
        <v>1.7589999999999999</v>
      </c>
      <c r="V3" s="1">
        <v>1.7989999999999999</v>
      </c>
      <c r="W3" s="1">
        <v>1.8069999999999999</v>
      </c>
      <c r="X3" s="1">
        <v>1.804</v>
      </c>
      <c r="Y3" s="1">
        <v>1.8140000000000001</v>
      </c>
      <c r="Z3" s="1">
        <v>1.8420000000000001</v>
      </c>
      <c r="AA3" s="1">
        <v>1.8520000000000001</v>
      </c>
      <c r="AB3" s="1">
        <v>1.865</v>
      </c>
      <c r="AC3" s="1">
        <v>1.891</v>
      </c>
      <c r="AD3" s="1">
        <v>1.897</v>
      </c>
      <c r="AE3" s="1">
        <v>1.9339999999999999</v>
      </c>
      <c r="AF3" s="1">
        <v>1.968</v>
      </c>
      <c r="AG3" s="1">
        <v>1.986</v>
      </c>
      <c r="AH3" s="1">
        <v>1.986</v>
      </c>
      <c r="AI3" s="1">
        <v>2.0089999999999999</v>
      </c>
      <c r="AJ3" s="1">
        <v>2.032</v>
      </c>
      <c r="AK3" s="1">
        <v>2.0619999999999998</v>
      </c>
      <c r="AL3" s="1">
        <v>2.0859999999999999</v>
      </c>
      <c r="AM3" s="1">
        <v>2.093</v>
      </c>
      <c r="AN3" s="1">
        <v>2.1160000000000001</v>
      </c>
      <c r="AO3" s="1">
        <v>2.1269999999999998</v>
      </c>
      <c r="AP3" s="1">
        <v>2.145</v>
      </c>
      <c r="AQ3" s="1">
        <v>2.1779999999999999</v>
      </c>
      <c r="AR3" s="1">
        <v>2.2029999999999998</v>
      </c>
      <c r="AS3" s="1">
        <v>2.2069999999999999</v>
      </c>
      <c r="AT3" s="1">
        <v>2.218</v>
      </c>
      <c r="AU3" s="1">
        <v>2.266</v>
      </c>
      <c r="AV3" s="1">
        <v>2.274</v>
      </c>
      <c r="AW3" s="1">
        <v>2.294</v>
      </c>
      <c r="AX3" s="1">
        <v>2.3149999999999999</v>
      </c>
      <c r="AY3" s="1">
        <v>2.3319999999999999</v>
      </c>
      <c r="AZ3" s="1">
        <v>2.3660000000000001</v>
      </c>
      <c r="BA3" s="1">
        <v>2.3919999999999999</v>
      </c>
      <c r="BB3" s="1">
        <v>2.4</v>
      </c>
      <c r="BC3" s="1">
        <v>2.415</v>
      </c>
      <c r="BD3" s="1">
        <v>2.4649999999999999</v>
      </c>
      <c r="BE3" s="1">
        <v>2.496</v>
      </c>
      <c r="BF3" s="1">
        <v>2.4940000000000002</v>
      </c>
      <c r="BG3" s="1">
        <v>2.4980000000000002</v>
      </c>
      <c r="BH3" s="1">
        <v>2.5070000000000001</v>
      </c>
      <c r="BI3" s="1">
        <v>2.54</v>
      </c>
      <c r="BJ3" s="1">
        <v>2.581</v>
      </c>
      <c r="BK3" s="1">
        <v>2.613</v>
      </c>
      <c r="BL3" s="1">
        <v>2.6349999999999998</v>
      </c>
      <c r="BM3" s="1">
        <v>2.6760000000000002</v>
      </c>
      <c r="BN3" s="1">
        <v>2.718</v>
      </c>
      <c r="BO3" s="1">
        <v>2.7189999999999999</v>
      </c>
      <c r="BP3" s="1">
        <v>2.754</v>
      </c>
      <c r="BQ3" s="1">
        <v>2.7890000000000001</v>
      </c>
      <c r="BR3" s="1">
        <v>2.8069999999999999</v>
      </c>
      <c r="BS3" s="1">
        <v>2.8490000000000002</v>
      </c>
      <c r="BT3" s="1">
        <v>2.899</v>
      </c>
      <c r="BU3" s="1">
        <v>2.9020000000000001</v>
      </c>
      <c r="BV3" s="1">
        <v>2.9390000000000001</v>
      </c>
      <c r="BW3" s="1">
        <v>2.9860000000000002</v>
      </c>
      <c r="BX3" s="1">
        <v>3.0209999999999999</v>
      </c>
      <c r="BY3" s="1">
        <v>3.081</v>
      </c>
      <c r="BZ3" s="1">
        <v>3.13</v>
      </c>
      <c r="CA3" s="1">
        <v>3.198</v>
      </c>
      <c r="CB3" s="1">
        <v>3.1989999999999998</v>
      </c>
      <c r="CC3" s="1">
        <v>3.2509999999999999</v>
      </c>
      <c r="CD3" s="1">
        <v>3.3159999999999998</v>
      </c>
      <c r="CE3" s="1">
        <v>3.4079999999999999</v>
      </c>
      <c r="CF3" s="1">
        <v>3.4180000000000001</v>
      </c>
      <c r="CG3" s="1">
        <v>3.5009999999999999</v>
      </c>
      <c r="CH3" s="1">
        <v>3.61</v>
      </c>
      <c r="CI3" s="1">
        <v>3.6949999999999998</v>
      </c>
      <c r="CJ3" s="1">
        <v>3.7850000000000001</v>
      </c>
      <c r="CK3" s="1">
        <v>3.887</v>
      </c>
      <c r="CL3" s="1">
        <v>4.0250000000000004</v>
      </c>
      <c r="CM3" s="1">
        <v>4.1479999999999997</v>
      </c>
      <c r="CN3" s="1">
        <v>4.37</v>
      </c>
      <c r="CO3" s="1">
        <v>4.5960000000000001</v>
      </c>
      <c r="CP3" s="1">
        <v>4.9770000000000003</v>
      </c>
      <c r="CQ3" s="1">
        <v>5.49</v>
      </c>
      <c r="CR3" s="1">
        <v>5.6029999999999998</v>
      </c>
      <c r="CS3" s="1">
        <v>5.9020000000000001</v>
      </c>
      <c r="CT3" s="1">
        <v>6.1879999999999997</v>
      </c>
      <c r="CU3" s="1">
        <v>6.6340000000000003</v>
      </c>
      <c r="CV3" s="1">
        <v>7.1070000000000002</v>
      </c>
    </row>
    <row r="4" spans="1:100" x14ac:dyDescent="0.2">
      <c r="A4" t="s">
        <v>205</v>
      </c>
      <c r="B4" s="1">
        <v>1.94E-4</v>
      </c>
      <c r="C4" s="1">
        <v>6.1699999999999995E-5</v>
      </c>
      <c r="D4" s="1">
        <v>-7.0699999999999997E-5</v>
      </c>
      <c r="E4" s="1">
        <v>7.8200000000000006E-2</v>
      </c>
      <c r="F4" s="1">
        <v>-4.53E-2</v>
      </c>
      <c r="G4" s="1">
        <v>-2.0400000000000001E-3</v>
      </c>
      <c r="H4" s="1">
        <v>3.0700000000000002E-2</v>
      </c>
      <c r="I4" s="1">
        <v>-4.7199999999999999E-2</v>
      </c>
      <c r="J4" s="1">
        <v>-2.6200000000000001E-2</v>
      </c>
      <c r="K4" s="1">
        <v>-4.9299999999999997E-2</v>
      </c>
      <c r="L4" s="1">
        <v>-4.6199999999999998E-2</v>
      </c>
      <c r="M4" s="1">
        <v>-4.8899999999999999E-2</v>
      </c>
      <c r="N4" s="1">
        <v>-5.2200000000000003E-2</v>
      </c>
      <c r="O4" s="1">
        <v>-4.53E-2</v>
      </c>
      <c r="P4" s="1">
        <v>-5.5399999999999998E-2</v>
      </c>
      <c r="Q4" s="1">
        <v>-3.5099999999999999E-2</v>
      </c>
      <c r="R4" s="1">
        <v>-3.3399999999999999E-2</v>
      </c>
      <c r="S4" s="1">
        <v>-2.64E-2</v>
      </c>
      <c r="T4" s="1">
        <v>-3.8699999999999998E-2</v>
      </c>
      <c r="U4" s="1">
        <v>-2.6800000000000001E-3</v>
      </c>
      <c r="V4" s="1">
        <v>-4.2599999999999999E-2</v>
      </c>
      <c r="W4" s="1">
        <v>-4.9500000000000002E-2</v>
      </c>
      <c r="X4" s="1">
        <v>-4.1599999999999998E-2</v>
      </c>
      <c r="Y4" s="1">
        <v>-5.4800000000000001E-2</v>
      </c>
      <c r="Z4" s="1">
        <v>-4.0899999999999999E-2</v>
      </c>
      <c r="AA4" s="1">
        <v>-3.0300000000000001E-2</v>
      </c>
      <c r="AB4" s="1">
        <v>-2.1299999999999999E-2</v>
      </c>
      <c r="AC4" s="1">
        <v>-3.85E-2</v>
      </c>
      <c r="AD4" s="1">
        <v>-4.3099999999999999E-2</v>
      </c>
      <c r="AE4" s="1">
        <v>-8.1100000000000005E-2</v>
      </c>
      <c r="AF4" s="1">
        <v>-7.8299999999999995E-2</v>
      </c>
      <c r="AG4" s="1">
        <v>-6.2600000000000003E-2</v>
      </c>
      <c r="AH4" s="1">
        <v>-4.3200000000000002E-2</v>
      </c>
      <c r="AI4" s="1">
        <v>-6.8099999999999994E-2</v>
      </c>
      <c r="AJ4" s="1">
        <v>-7.4999999999999997E-2</v>
      </c>
      <c r="AK4" s="1">
        <v>-7.9899999999999999E-2</v>
      </c>
      <c r="AL4" s="1">
        <v>-6.6799999999999998E-2</v>
      </c>
      <c r="AM4" s="1">
        <v>-4.8000000000000001E-2</v>
      </c>
      <c r="AN4" s="1">
        <v>-7.0400000000000004E-2</v>
      </c>
      <c r="AO4" s="1">
        <v>-5.9499999999999997E-2</v>
      </c>
      <c r="AP4" s="1">
        <v>-5.8099999999999999E-2</v>
      </c>
      <c r="AQ4" s="1">
        <v>-7.7799999999999994E-2</v>
      </c>
      <c r="AR4" s="1">
        <v>-6.8500000000000005E-2</v>
      </c>
      <c r="AS4" s="1">
        <v>-6.54E-2</v>
      </c>
      <c r="AT4" s="1">
        <v>-4.9200000000000001E-2</v>
      </c>
      <c r="AU4" s="1">
        <v>-0.10299999999999999</v>
      </c>
      <c r="AV4" s="1">
        <v>-8.2400000000000001E-2</v>
      </c>
      <c r="AW4" s="1">
        <v>-6.7500000000000004E-2</v>
      </c>
      <c r="AX4" s="1">
        <v>-8.7800000000000003E-2</v>
      </c>
      <c r="AY4" s="1">
        <v>-8.3599999999999994E-2</v>
      </c>
      <c r="AZ4" s="1">
        <v>-9.8100000000000007E-2</v>
      </c>
      <c r="BA4" s="1">
        <v>-9.9000000000000005E-2</v>
      </c>
      <c r="BB4" s="1">
        <v>-6.7900000000000002E-2</v>
      </c>
      <c r="BC4" s="1">
        <v>-6.9099999999999995E-2</v>
      </c>
      <c r="BD4" s="1">
        <v>-0.108</v>
      </c>
      <c r="BE4" s="1">
        <v>-0.11799999999999999</v>
      </c>
      <c r="BF4" s="1">
        <v>-8.5699999999999998E-2</v>
      </c>
      <c r="BG4" s="1">
        <v>-4.1799999999999997E-2</v>
      </c>
      <c r="BH4" s="1">
        <v>-5.7000000000000002E-2</v>
      </c>
      <c r="BI4" s="1">
        <v>-8.8800000000000004E-2</v>
      </c>
      <c r="BJ4" s="1">
        <v>-0.129</v>
      </c>
      <c r="BK4" s="1">
        <v>-0.11899999999999999</v>
      </c>
      <c r="BL4" s="1">
        <v>-0.1</v>
      </c>
      <c r="BM4" s="1">
        <v>-0.129</v>
      </c>
      <c r="BN4" s="1">
        <v>-0.14000000000000001</v>
      </c>
      <c r="BO4" s="1">
        <v>-0.115</v>
      </c>
      <c r="BP4" s="1">
        <v>-0.121</v>
      </c>
      <c r="BQ4" s="1">
        <v>-0.107</v>
      </c>
      <c r="BR4" s="1">
        <v>-0.13100000000000001</v>
      </c>
      <c r="BS4" s="1">
        <v>-0.108</v>
      </c>
      <c r="BT4" s="1">
        <v>-0.13200000000000001</v>
      </c>
      <c r="BU4" s="1">
        <v>-0.115</v>
      </c>
      <c r="BV4" s="1">
        <v>-0.108</v>
      </c>
      <c r="BW4" s="1">
        <v>-0.13100000000000001</v>
      </c>
      <c r="BX4" s="1">
        <v>-0.16400000000000001</v>
      </c>
      <c r="BY4" s="1">
        <v>-0.16600000000000001</v>
      </c>
      <c r="BZ4" s="1">
        <v>-0.16700000000000001</v>
      </c>
      <c r="CA4" s="1">
        <v>-0.19</v>
      </c>
      <c r="CB4" s="1">
        <v>-0.14799999999999999</v>
      </c>
      <c r="CC4" s="1">
        <v>-0.13500000000000001</v>
      </c>
      <c r="CD4" s="1">
        <v>-0.14499999999999999</v>
      </c>
      <c r="CE4" s="1">
        <v>-0.26200000000000001</v>
      </c>
      <c r="CF4" s="1">
        <v>-0.19900000000000001</v>
      </c>
      <c r="CG4" s="1">
        <v>-0.23</v>
      </c>
      <c r="CH4" s="1">
        <v>-0.245</v>
      </c>
      <c r="CI4" s="1">
        <v>-0.32700000000000001</v>
      </c>
      <c r="CJ4" s="1">
        <v>-0.33</v>
      </c>
      <c r="CK4" s="1">
        <v>-0.33900000000000002</v>
      </c>
      <c r="CL4" s="1">
        <v>-0.41499999999999998</v>
      </c>
      <c r="CM4" s="1">
        <v>-0.443</v>
      </c>
      <c r="CN4" s="1">
        <v>-0.53400000000000003</v>
      </c>
      <c r="CO4" s="1">
        <v>-0.66400000000000003</v>
      </c>
      <c r="CP4" s="1">
        <v>-0.91300000000000003</v>
      </c>
      <c r="CQ4" s="1">
        <v>-1.2450000000000001</v>
      </c>
      <c r="CR4" s="1">
        <v>-1.137</v>
      </c>
      <c r="CS4" s="1">
        <v>-1.147</v>
      </c>
      <c r="CT4" s="1">
        <v>-0.84599999999999997</v>
      </c>
      <c r="CU4" s="1">
        <v>-0.81399999999999995</v>
      </c>
      <c r="CV4" s="1">
        <v>-0.56399999999999995</v>
      </c>
    </row>
    <row r="5" spans="1:100" x14ac:dyDescent="0.2">
      <c r="A5" t="s">
        <v>206</v>
      </c>
      <c r="B5" s="1">
        <v>4.0400000000000001E-4</v>
      </c>
      <c r="C5" s="1">
        <v>4.0400000000000001E-4</v>
      </c>
      <c r="D5" s="1">
        <v>4.0400000000000001E-4</v>
      </c>
      <c r="E5" s="1">
        <v>-6.5300000000000002E-3</v>
      </c>
      <c r="F5" s="1">
        <v>1.2099999999999999E-3</v>
      </c>
      <c r="G5" s="1">
        <v>5.8900000000000003E-3</v>
      </c>
      <c r="H5" s="1">
        <v>8.2299999999999995E-3</v>
      </c>
      <c r="I5" s="1">
        <v>1.1299999999999999E-2</v>
      </c>
      <c r="J5" s="1">
        <v>1.38E-2</v>
      </c>
      <c r="K5" s="1">
        <v>1.47E-2</v>
      </c>
      <c r="L5" s="1">
        <v>1.5299999999999999E-2</v>
      </c>
      <c r="M5" s="1">
        <v>1.6299999999999999E-2</v>
      </c>
      <c r="N5" s="1">
        <v>1.3899999999999999E-2</v>
      </c>
      <c r="O5" s="1">
        <v>1.26E-2</v>
      </c>
      <c r="P5" s="1">
        <v>1.2500000000000001E-2</v>
      </c>
      <c r="Q5" s="1">
        <v>1.18E-2</v>
      </c>
      <c r="R5" s="1">
        <v>1.1900000000000001E-2</v>
      </c>
      <c r="S5" s="1">
        <v>1.23E-2</v>
      </c>
      <c r="T5" s="1">
        <v>1.18E-2</v>
      </c>
      <c r="U5" s="1">
        <v>1.2999999999999999E-2</v>
      </c>
      <c r="V5" s="1">
        <v>1.2999999999999999E-2</v>
      </c>
      <c r="W5" s="1">
        <v>1.38E-2</v>
      </c>
      <c r="X5" s="1">
        <v>1.46E-2</v>
      </c>
      <c r="Y5" s="1">
        <v>1.5100000000000001E-2</v>
      </c>
      <c r="Z5" s="1">
        <v>1.5699999999999999E-2</v>
      </c>
      <c r="AA5" s="1">
        <v>1.6500000000000001E-2</v>
      </c>
      <c r="AB5" s="1">
        <v>1.7600000000000001E-2</v>
      </c>
      <c r="AC5" s="1">
        <v>1.8800000000000001E-2</v>
      </c>
      <c r="AD5" s="1">
        <v>2.06E-2</v>
      </c>
      <c r="AE5" s="1">
        <v>2.24E-2</v>
      </c>
      <c r="AF5" s="1">
        <v>2.41E-2</v>
      </c>
      <c r="AG5" s="1">
        <v>2.5100000000000001E-2</v>
      </c>
      <c r="AH5" s="1">
        <v>2.58E-2</v>
      </c>
      <c r="AI5" s="1">
        <v>2.6499999999999999E-2</v>
      </c>
      <c r="AJ5" s="1">
        <v>2.7400000000000001E-2</v>
      </c>
      <c r="AK5" s="1">
        <v>2.81E-2</v>
      </c>
      <c r="AL5" s="1">
        <v>2.8799999999999999E-2</v>
      </c>
      <c r="AM5" s="1">
        <v>2.93E-2</v>
      </c>
      <c r="AN5" s="1">
        <v>2.98E-2</v>
      </c>
      <c r="AO5" s="1">
        <v>3.1E-2</v>
      </c>
      <c r="AP5" s="1">
        <v>3.1699999999999999E-2</v>
      </c>
      <c r="AQ5" s="1">
        <v>3.2300000000000002E-2</v>
      </c>
      <c r="AR5" s="1">
        <v>3.3599999999999998E-2</v>
      </c>
      <c r="AS5" s="1">
        <v>3.4200000000000001E-2</v>
      </c>
      <c r="AT5" s="1">
        <v>3.4799999999999998E-2</v>
      </c>
      <c r="AU5" s="1">
        <v>3.6600000000000001E-2</v>
      </c>
      <c r="AV5" s="1">
        <v>3.73E-2</v>
      </c>
      <c r="AW5" s="1">
        <v>3.8100000000000002E-2</v>
      </c>
      <c r="AX5" s="1">
        <v>3.9199999999999999E-2</v>
      </c>
      <c r="AY5" s="1">
        <v>4.0300000000000002E-2</v>
      </c>
      <c r="AZ5" s="1">
        <v>4.1300000000000003E-2</v>
      </c>
      <c r="BA5" s="1">
        <v>4.1700000000000001E-2</v>
      </c>
      <c r="BB5" s="1">
        <v>4.1700000000000001E-2</v>
      </c>
      <c r="BC5" s="1">
        <v>4.1799999999999997E-2</v>
      </c>
      <c r="BD5" s="1">
        <v>4.19E-2</v>
      </c>
      <c r="BE5" s="1">
        <v>4.24E-2</v>
      </c>
      <c r="BF5" s="1">
        <v>4.2799999999999998E-2</v>
      </c>
      <c r="BG5" s="1">
        <v>4.2599999999999999E-2</v>
      </c>
      <c r="BH5" s="1">
        <v>4.3099999999999999E-2</v>
      </c>
      <c r="BI5" s="1">
        <v>4.58E-2</v>
      </c>
      <c r="BJ5" s="1">
        <v>5.0599999999999999E-2</v>
      </c>
      <c r="BK5" s="1">
        <v>5.4300000000000001E-2</v>
      </c>
      <c r="BL5" s="1">
        <v>5.5800000000000002E-2</v>
      </c>
      <c r="BM5" s="1">
        <v>5.7299999999999997E-2</v>
      </c>
      <c r="BN5" s="1">
        <v>5.7700000000000001E-2</v>
      </c>
      <c r="BO5" s="1">
        <v>5.7500000000000002E-2</v>
      </c>
      <c r="BP5" s="1">
        <v>5.7599999999999998E-2</v>
      </c>
      <c r="BQ5" s="1">
        <v>5.8200000000000002E-2</v>
      </c>
      <c r="BR5" s="1">
        <v>5.8400000000000001E-2</v>
      </c>
      <c r="BS5" s="1">
        <v>0.06</v>
      </c>
      <c r="BT5" s="1">
        <v>6.25E-2</v>
      </c>
      <c r="BU5" s="1">
        <v>6.1600000000000002E-2</v>
      </c>
      <c r="BV5" s="1">
        <v>6.4100000000000004E-2</v>
      </c>
      <c r="BW5" s="1">
        <v>7.0000000000000007E-2</v>
      </c>
      <c r="BX5" s="1">
        <v>7.3899999999999993E-2</v>
      </c>
      <c r="BY5" s="1">
        <v>7.7100000000000002E-2</v>
      </c>
      <c r="BZ5" s="1">
        <v>7.4899999999999994E-2</v>
      </c>
      <c r="CA5" s="1">
        <v>7.3200000000000001E-2</v>
      </c>
      <c r="CB5" s="1">
        <v>7.0099999999999996E-2</v>
      </c>
      <c r="CC5" s="1">
        <v>7.3200000000000001E-2</v>
      </c>
      <c r="CD5" s="1">
        <v>7.8200000000000006E-2</v>
      </c>
      <c r="CE5" s="1">
        <v>7.9799999999999996E-2</v>
      </c>
      <c r="CF5" s="1">
        <v>7.5800000000000006E-2</v>
      </c>
      <c r="CG5" s="1">
        <v>8.5000000000000006E-2</v>
      </c>
      <c r="CH5" s="1">
        <v>9.3899999999999997E-2</v>
      </c>
      <c r="CI5" s="1">
        <v>9.74E-2</v>
      </c>
      <c r="CJ5" s="1">
        <v>9.6100000000000005E-2</v>
      </c>
      <c r="CK5" s="1">
        <v>9.0200000000000002E-2</v>
      </c>
      <c r="CL5" s="1">
        <v>9.4500000000000001E-2</v>
      </c>
      <c r="CM5" s="1">
        <v>8.9200000000000002E-2</v>
      </c>
      <c r="CN5" s="1">
        <v>0.108</v>
      </c>
      <c r="CO5" s="1">
        <v>9.3200000000000005E-2</v>
      </c>
      <c r="CP5" s="1">
        <v>0.115</v>
      </c>
      <c r="CQ5" s="1">
        <v>3.7199999999999997E-2</v>
      </c>
      <c r="CR5" s="1">
        <v>4.3499999999999997E-2</v>
      </c>
      <c r="CS5" s="1">
        <v>5.8299999999999998E-2</v>
      </c>
      <c r="CT5" s="1">
        <v>5.7000000000000002E-2</v>
      </c>
      <c r="CU5" s="1">
        <v>7.51E-2</v>
      </c>
      <c r="CV5" s="1">
        <v>7.0099999999999996E-2</v>
      </c>
    </row>
    <row r="6" spans="1:100" x14ac:dyDescent="0.2">
      <c r="A6" t="s">
        <v>207</v>
      </c>
      <c r="B6" s="1">
        <v>-2.1000000000000001E-4</v>
      </c>
      <c r="C6" s="1">
        <v>-3.4200000000000002E-4</v>
      </c>
      <c r="D6" s="1">
        <v>-4.75E-4</v>
      </c>
      <c r="E6" s="1">
        <v>8.48E-2</v>
      </c>
      <c r="F6" s="1">
        <v>-4.65E-2</v>
      </c>
      <c r="G6" s="1">
        <v>-7.9299999999999995E-3</v>
      </c>
      <c r="H6" s="1">
        <v>2.24E-2</v>
      </c>
      <c r="I6" s="1">
        <v>-5.8400000000000001E-2</v>
      </c>
      <c r="J6" s="1">
        <v>-3.9899999999999998E-2</v>
      </c>
      <c r="K6" s="1">
        <v>-6.4000000000000001E-2</v>
      </c>
      <c r="L6" s="1">
        <v>-6.1499999999999999E-2</v>
      </c>
      <c r="M6" s="1">
        <v>-6.5199999999999994E-2</v>
      </c>
      <c r="N6" s="1">
        <v>-6.6100000000000006E-2</v>
      </c>
      <c r="O6" s="1">
        <v>-5.79E-2</v>
      </c>
      <c r="P6" s="1">
        <v>-6.7900000000000002E-2</v>
      </c>
      <c r="Q6" s="1">
        <v>-4.6899999999999997E-2</v>
      </c>
      <c r="R6" s="1">
        <v>-4.53E-2</v>
      </c>
      <c r="S6" s="1">
        <v>-3.8699999999999998E-2</v>
      </c>
      <c r="T6" s="1">
        <v>-5.0500000000000003E-2</v>
      </c>
      <c r="U6" s="1">
        <v>-1.5699999999999999E-2</v>
      </c>
      <c r="V6" s="1">
        <v>-5.5599999999999997E-2</v>
      </c>
      <c r="W6" s="1">
        <v>-6.3299999999999995E-2</v>
      </c>
      <c r="X6" s="1">
        <v>-5.62E-2</v>
      </c>
      <c r="Y6" s="1">
        <v>-7.0000000000000007E-2</v>
      </c>
      <c r="Z6" s="1">
        <v>-5.6599999999999998E-2</v>
      </c>
      <c r="AA6" s="1">
        <v>-4.6800000000000001E-2</v>
      </c>
      <c r="AB6" s="1">
        <v>-3.8899999999999997E-2</v>
      </c>
      <c r="AC6" s="1">
        <v>-5.7299999999999997E-2</v>
      </c>
      <c r="AD6" s="1">
        <v>-6.3700000000000007E-2</v>
      </c>
      <c r="AE6" s="1">
        <v>-0.10299999999999999</v>
      </c>
      <c r="AF6" s="1">
        <v>-0.10199999999999999</v>
      </c>
      <c r="AG6" s="1">
        <v>-8.77E-2</v>
      </c>
      <c r="AH6" s="1">
        <v>-6.9000000000000006E-2</v>
      </c>
      <c r="AI6" s="1">
        <v>-9.4600000000000004E-2</v>
      </c>
      <c r="AJ6" s="1">
        <v>-0.10199999999999999</v>
      </c>
      <c r="AK6" s="1">
        <v>-0.108</v>
      </c>
      <c r="AL6" s="1">
        <v>-9.5600000000000004E-2</v>
      </c>
      <c r="AM6" s="1">
        <v>-7.7200000000000005E-2</v>
      </c>
      <c r="AN6" s="1">
        <v>-0.1</v>
      </c>
      <c r="AO6" s="1">
        <v>-9.0499999999999997E-2</v>
      </c>
      <c r="AP6" s="1">
        <v>-8.9700000000000002E-2</v>
      </c>
      <c r="AQ6" s="1">
        <v>-0.11</v>
      </c>
      <c r="AR6" s="1">
        <v>-0.10199999999999999</v>
      </c>
      <c r="AS6" s="1">
        <v>-9.9599999999999994E-2</v>
      </c>
      <c r="AT6" s="1">
        <v>-8.4000000000000005E-2</v>
      </c>
      <c r="AU6" s="1">
        <v>-0.13900000000000001</v>
      </c>
      <c r="AV6" s="1">
        <v>-0.12</v>
      </c>
      <c r="AW6" s="1">
        <v>-0.106</v>
      </c>
      <c r="AX6" s="1">
        <v>-0.127</v>
      </c>
      <c r="AY6" s="1">
        <v>-0.124</v>
      </c>
      <c r="AZ6" s="1">
        <v>-0.13900000000000001</v>
      </c>
      <c r="BA6" s="1">
        <v>-0.14099999999999999</v>
      </c>
      <c r="BB6" s="1">
        <v>-0.11</v>
      </c>
      <c r="BC6" s="1">
        <v>-0.111</v>
      </c>
      <c r="BD6" s="1">
        <v>-0.15</v>
      </c>
      <c r="BE6" s="1">
        <v>-0.16</v>
      </c>
      <c r="BF6" s="1">
        <v>-0.129</v>
      </c>
      <c r="BG6" s="1">
        <v>-8.4400000000000003E-2</v>
      </c>
      <c r="BH6" s="1">
        <v>-0.1</v>
      </c>
      <c r="BI6" s="1">
        <v>-0.13500000000000001</v>
      </c>
      <c r="BJ6" s="1">
        <v>-0.18</v>
      </c>
      <c r="BK6" s="1">
        <v>-0.17299999999999999</v>
      </c>
      <c r="BL6" s="1">
        <v>-0.156</v>
      </c>
      <c r="BM6" s="1">
        <v>-0.186</v>
      </c>
      <c r="BN6" s="1">
        <v>-0.19700000000000001</v>
      </c>
      <c r="BO6" s="1">
        <v>-0.17299999999999999</v>
      </c>
      <c r="BP6" s="1">
        <v>-0.17799999999999999</v>
      </c>
      <c r="BQ6" s="1">
        <v>-0.16500000000000001</v>
      </c>
      <c r="BR6" s="1">
        <v>-0.19</v>
      </c>
      <c r="BS6" s="1">
        <v>-0.16800000000000001</v>
      </c>
      <c r="BT6" s="1">
        <v>-0.19500000000000001</v>
      </c>
      <c r="BU6" s="1">
        <v>-0.17599999999999999</v>
      </c>
      <c r="BV6" s="1">
        <v>-0.17199999999999999</v>
      </c>
      <c r="BW6" s="1">
        <v>-0.20100000000000001</v>
      </c>
      <c r="BX6" s="1">
        <v>-0.23799999999999999</v>
      </c>
      <c r="BY6" s="1">
        <v>-0.24299999999999999</v>
      </c>
      <c r="BZ6" s="1">
        <v>-0.24199999999999999</v>
      </c>
      <c r="CA6" s="1">
        <v>-0.26300000000000001</v>
      </c>
      <c r="CB6" s="1">
        <v>-0.218</v>
      </c>
      <c r="CC6" s="1">
        <v>-0.20899999999999999</v>
      </c>
      <c r="CD6" s="1">
        <v>-0.223</v>
      </c>
      <c r="CE6" s="1">
        <v>-0.34200000000000003</v>
      </c>
      <c r="CF6" s="1">
        <v>-0.27500000000000002</v>
      </c>
      <c r="CG6" s="1">
        <v>-0.315</v>
      </c>
      <c r="CH6" s="1">
        <v>-0.33900000000000002</v>
      </c>
      <c r="CI6" s="1">
        <v>-0.42399999999999999</v>
      </c>
      <c r="CJ6" s="1">
        <v>-0.42599999999999999</v>
      </c>
      <c r="CK6" s="1">
        <v>-0.42899999999999999</v>
      </c>
      <c r="CL6" s="1">
        <v>-0.50900000000000001</v>
      </c>
      <c r="CM6" s="1">
        <v>-0.53200000000000003</v>
      </c>
      <c r="CN6" s="1">
        <v>-0.64200000000000002</v>
      </c>
      <c r="CO6" s="1">
        <v>-0.75700000000000001</v>
      </c>
      <c r="CP6" s="1">
        <v>-1.028</v>
      </c>
      <c r="CQ6" s="1">
        <v>-1.2829999999999999</v>
      </c>
      <c r="CR6" s="1">
        <v>-1.18</v>
      </c>
      <c r="CS6" s="1">
        <v>-1.2050000000000001</v>
      </c>
      <c r="CT6" s="1">
        <v>-0.90300000000000002</v>
      </c>
      <c r="CU6" s="1">
        <v>-0.88900000000000001</v>
      </c>
      <c r="CV6" s="1">
        <v>-0.63400000000000001</v>
      </c>
    </row>
    <row r="7" spans="1:100" x14ac:dyDescent="0.2">
      <c r="A7" t="s">
        <v>224</v>
      </c>
      <c r="B7" s="1">
        <v>8.6399999999999997E-4</v>
      </c>
      <c r="C7" s="1">
        <v>8.6399999999999997E-4</v>
      </c>
      <c r="D7" s="1">
        <v>8.6399999999999997E-4</v>
      </c>
      <c r="E7" s="1">
        <v>1.41E-2</v>
      </c>
      <c r="F7" s="1">
        <v>1.4800000000000001E-2</v>
      </c>
      <c r="G7" s="1">
        <v>1.34E-2</v>
      </c>
      <c r="H7" s="1">
        <v>1.49E-2</v>
      </c>
      <c r="I7" s="1">
        <v>1.43E-2</v>
      </c>
      <c r="J7" s="1">
        <v>1.54E-2</v>
      </c>
      <c r="K7" s="1">
        <v>1.49E-2</v>
      </c>
      <c r="L7" s="1">
        <v>1.44E-2</v>
      </c>
      <c r="M7" s="1">
        <v>1.4500000000000001E-2</v>
      </c>
      <c r="N7" s="1">
        <v>1.1900000000000001E-2</v>
      </c>
      <c r="O7" s="1">
        <v>1.09E-2</v>
      </c>
      <c r="P7" s="1">
        <v>1.04E-2</v>
      </c>
      <c r="Q7" s="1">
        <v>9.3600000000000003E-3</v>
      </c>
      <c r="R7" s="1">
        <v>8.77E-3</v>
      </c>
      <c r="S7" s="1">
        <v>8.8299999999999993E-3</v>
      </c>
      <c r="T7" s="1">
        <v>8.3899999999999999E-3</v>
      </c>
      <c r="U7" s="1">
        <v>8.8699999999999994E-3</v>
      </c>
      <c r="V7" s="1">
        <v>8.6E-3</v>
      </c>
      <c r="W7" s="1">
        <v>8.9899999999999997E-3</v>
      </c>
      <c r="X7" s="1">
        <v>9.5600000000000008E-3</v>
      </c>
      <c r="Y7" s="1">
        <v>9.92E-3</v>
      </c>
      <c r="Z7" s="1">
        <v>1.04E-2</v>
      </c>
      <c r="AA7" s="1">
        <v>1.1299999999999999E-2</v>
      </c>
      <c r="AB7" s="1">
        <v>1.2E-2</v>
      </c>
      <c r="AC7" s="1">
        <v>1.2800000000000001E-2</v>
      </c>
      <c r="AD7" s="1">
        <v>1.38E-2</v>
      </c>
      <c r="AE7" s="1">
        <v>1.4800000000000001E-2</v>
      </c>
      <c r="AF7" s="1">
        <v>1.5800000000000002E-2</v>
      </c>
      <c r="AG7" s="1">
        <v>1.6299999999999999E-2</v>
      </c>
      <c r="AH7" s="1">
        <v>1.6899999999999998E-2</v>
      </c>
      <c r="AI7" s="1">
        <v>1.7299999999999999E-2</v>
      </c>
      <c r="AJ7" s="1">
        <v>1.7899999999999999E-2</v>
      </c>
      <c r="AK7" s="1">
        <v>1.83E-2</v>
      </c>
      <c r="AL7" s="1">
        <v>1.8800000000000001E-2</v>
      </c>
      <c r="AM7" s="1">
        <v>1.9099999999999999E-2</v>
      </c>
      <c r="AN7" s="1">
        <v>1.9400000000000001E-2</v>
      </c>
      <c r="AO7" s="1">
        <v>2.01E-2</v>
      </c>
      <c r="AP7" s="1">
        <v>2.07E-2</v>
      </c>
      <c r="AQ7" s="1">
        <v>2.1299999999999999E-2</v>
      </c>
      <c r="AR7" s="1">
        <v>2.1999999999999999E-2</v>
      </c>
      <c r="AS7" s="1">
        <v>2.2499999999999999E-2</v>
      </c>
      <c r="AT7" s="1">
        <v>2.3E-2</v>
      </c>
      <c r="AU7" s="1">
        <v>2.4299999999999999E-2</v>
      </c>
      <c r="AV7" s="1">
        <v>2.46E-2</v>
      </c>
      <c r="AW7" s="1">
        <v>2.53E-2</v>
      </c>
      <c r="AX7" s="1">
        <v>2.5999999999999999E-2</v>
      </c>
      <c r="AY7" s="1">
        <v>2.6800000000000001E-2</v>
      </c>
      <c r="AZ7" s="1">
        <v>2.7400000000000001E-2</v>
      </c>
      <c r="BA7" s="1">
        <v>2.7699999999999999E-2</v>
      </c>
      <c r="BB7" s="1">
        <v>2.7900000000000001E-2</v>
      </c>
      <c r="BC7" s="1">
        <v>2.7900000000000001E-2</v>
      </c>
      <c r="BD7" s="1">
        <v>2.8000000000000001E-2</v>
      </c>
      <c r="BE7" s="1">
        <v>2.8400000000000002E-2</v>
      </c>
      <c r="BF7" s="1">
        <v>2.86E-2</v>
      </c>
      <c r="BG7" s="1">
        <v>2.8799999999999999E-2</v>
      </c>
      <c r="BH7" s="1">
        <v>2.92E-2</v>
      </c>
      <c r="BI7" s="1">
        <v>3.1E-2</v>
      </c>
      <c r="BJ7" s="1">
        <v>3.4299999999999997E-2</v>
      </c>
      <c r="BK7" s="1">
        <v>3.6900000000000002E-2</v>
      </c>
      <c r="BL7" s="1">
        <v>3.78E-2</v>
      </c>
      <c r="BM7" s="1">
        <v>3.8800000000000001E-2</v>
      </c>
      <c r="BN7" s="1">
        <v>3.9E-2</v>
      </c>
      <c r="BO7" s="1">
        <v>3.8800000000000001E-2</v>
      </c>
      <c r="BP7" s="1">
        <v>3.9100000000000003E-2</v>
      </c>
      <c r="BQ7" s="1">
        <v>3.9699999999999999E-2</v>
      </c>
      <c r="BR7" s="1">
        <v>3.9800000000000002E-2</v>
      </c>
      <c r="BS7" s="1">
        <v>4.0899999999999999E-2</v>
      </c>
      <c r="BT7" s="1">
        <v>4.2500000000000003E-2</v>
      </c>
      <c r="BU7" s="1">
        <v>4.2000000000000003E-2</v>
      </c>
      <c r="BV7" s="1">
        <v>4.3799999999999999E-2</v>
      </c>
      <c r="BW7" s="1">
        <v>4.7699999999999999E-2</v>
      </c>
      <c r="BX7" s="1">
        <v>5.0700000000000002E-2</v>
      </c>
      <c r="BY7" s="1">
        <v>5.2999999999999999E-2</v>
      </c>
      <c r="BZ7" s="1">
        <v>5.1400000000000001E-2</v>
      </c>
      <c r="CA7" s="1">
        <v>5.04E-2</v>
      </c>
      <c r="CB7" s="1">
        <v>4.8599999999999997E-2</v>
      </c>
      <c r="CC7" s="1">
        <v>5.0500000000000003E-2</v>
      </c>
      <c r="CD7" s="1">
        <v>5.4100000000000002E-2</v>
      </c>
      <c r="CE7" s="1">
        <v>5.5E-2</v>
      </c>
      <c r="CF7" s="1">
        <v>5.2499999999999998E-2</v>
      </c>
      <c r="CG7" s="1">
        <v>5.8599999999999999E-2</v>
      </c>
      <c r="CH7" s="1">
        <v>6.4500000000000002E-2</v>
      </c>
      <c r="CI7" s="1">
        <v>6.6400000000000001E-2</v>
      </c>
      <c r="CJ7" s="1">
        <v>6.54E-2</v>
      </c>
      <c r="CK7" s="1">
        <v>6.13E-2</v>
      </c>
      <c r="CL7" s="1">
        <v>6.3600000000000004E-2</v>
      </c>
      <c r="CM7" s="1">
        <v>5.9499999999999997E-2</v>
      </c>
      <c r="CN7" s="1">
        <v>7.0199999999999999E-2</v>
      </c>
      <c r="CO7" s="1">
        <v>5.8500000000000003E-2</v>
      </c>
      <c r="CP7" s="1">
        <v>6.8099999999999994E-2</v>
      </c>
      <c r="CQ7" s="1">
        <v>1.9599999999999999E-2</v>
      </c>
      <c r="CR7" s="1">
        <v>2.47E-2</v>
      </c>
      <c r="CS7" s="1">
        <v>3.3799999999999997E-2</v>
      </c>
      <c r="CT7" s="1">
        <v>3.5299999999999998E-2</v>
      </c>
      <c r="CU7" s="1">
        <v>4.99E-2</v>
      </c>
      <c r="CV7" s="1">
        <v>5.0599999999999999E-2</v>
      </c>
    </row>
    <row r="8" spans="1:100" x14ac:dyDescent="0.2">
      <c r="A8" t="s">
        <v>225</v>
      </c>
      <c r="B8" s="1">
        <v>2.1599999999999999E-4</v>
      </c>
      <c r="C8" s="1">
        <v>2.1599999999999999E-4</v>
      </c>
      <c r="D8" s="1">
        <v>2.1599999999999999E-4</v>
      </c>
      <c r="E8" s="1">
        <v>1.2200000000000001E-2</v>
      </c>
      <c r="F8" s="1">
        <v>1.2E-2</v>
      </c>
      <c r="G8" s="1">
        <v>9.6699999999999998E-3</v>
      </c>
      <c r="H8" s="1">
        <v>9.4199999999999996E-3</v>
      </c>
      <c r="I8" s="1">
        <v>8.6800000000000002E-3</v>
      </c>
      <c r="J8" s="1">
        <v>9.1800000000000007E-3</v>
      </c>
      <c r="K8" s="1">
        <v>8.5699999999999995E-3</v>
      </c>
      <c r="L8" s="1">
        <v>8.26E-3</v>
      </c>
      <c r="M8" s="1">
        <v>8.2500000000000004E-3</v>
      </c>
      <c r="N8" s="1">
        <v>6.6499999999999997E-3</v>
      </c>
      <c r="O8" s="1">
        <v>5.8999999999999999E-3</v>
      </c>
      <c r="P8" s="1">
        <v>5.6299999999999996E-3</v>
      </c>
      <c r="Q8" s="1">
        <v>4.9199999999999999E-3</v>
      </c>
      <c r="R8" s="1">
        <v>4.5599999999999998E-3</v>
      </c>
      <c r="S8" s="1">
        <v>4.5900000000000003E-3</v>
      </c>
      <c r="T8" s="1">
        <v>4.2599999999999999E-3</v>
      </c>
      <c r="U8" s="1">
        <v>4.47E-3</v>
      </c>
      <c r="V8" s="1">
        <v>4.3499999999999997E-3</v>
      </c>
      <c r="W8" s="1">
        <v>4.4299999999999999E-3</v>
      </c>
      <c r="X8" s="1">
        <v>4.6600000000000001E-3</v>
      </c>
      <c r="Y8" s="1">
        <v>4.7800000000000004E-3</v>
      </c>
      <c r="Z8" s="1">
        <v>4.8700000000000002E-3</v>
      </c>
      <c r="AA8" s="1">
        <v>5.0699999999999999E-3</v>
      </c>
      <c r="AB8" s="1">
        <v>5.3200000000000001E-3</v>
      </c>
      <c r="AC8" s="1">
        <v>5.6499999999999996E-3</v>
      </c>
      <c r="AD8" s="1">
        <v>6.1900000000000002E-3</v>
      </c>
      <c r="AE8" s="1">
        <v>6.6400000000000001E-3</v>
      </c>
      <c r="AF8" s="1">
        <v>7.0600000000000003E-3</v>
      </c>
      <c r="AG8" s="1">
        <v>7.26E-3</v>
      </c>
      <c r="AH8" s="1">
        <v>7.4400000000000004E-3</v>
      </c>
      <c r="AI8" s="1">
        <v>7.6699999999999997E-3</v>
      </c>
      <c r="AJ8" s="1">
        <v>7.8100000000000001E-3</v>
      </c>
      <c r="AK8" s="1">
        <v>7.8200000000000006E-3</v>
      </c>
      <c r="AL8" s="1">
        <v>7.9699999999999997E-3</v>
      </c>
      <c r="AM8" s="1">
        <v>8.0300000000000007E-3</v>
      </c>
      <c r="AN8" s="1">
        <v>8.0800000000000004E-3</v>
      </c>
      <c r="AO8" s="1">
        <v>8.3700000000000007E-3</v>
      </c>
      <c r="AP8" s="1">
        <v>8.5299999999999994E-3</v>
      </c>
      <c r="AQ8" s="1">
        <v>8.5000000000000006E-3</v>
      </c>
      <c r="AR8" s="1">
        <v>8.6999999999999994E-3</v>
      </c>
      <c r="AS8" s="1">
        <v>8.77E-3</v>
      </c>
      <c r="AT8" s="1">
        <v>8.8800000000000007E-3</v>
      </c>
      <c r="AU8" s="1">
        <v>9.1999999999999998E-3</v>
      </c>
      <c r="AV8" s="1">
        <v>9.2599999999999991E-3</v>
      </c>
      <c r="AW8" s="1">
        <v>9.4400000000000005E-3</v>
      </c>
      <c r="AX8" s="1">
        <v>9.6399999999999993E-3</v>
      </c>
      <c r="AY8" s="1">
        <v>9.6600000000000002E-3</v>
      </c>
      <c r="AZ8" s="1">
        <v>9.8399999999999998E-3</v>
      </c>
      <c r="BA8" s="1">
        <v>9.8799999999999999E-3</v>
      </c>
      <c r="BB8" s="1">
        <v>9.7599999999999996E-3</v>
      </c>
      <c r="BC8" s="1">
        <v>9.7400000000000004E-3</v>
      </c>
      <c r="BD8" s="1">
        <v>9.7300000000000008E-3</v>
      </c>
      <c r="BE8" s="1">
        <v>9.75E-3</v>
      </c>
      <c r="BF8" s="1">
        <v>9.7300000000000008E-3</v>
      </c>
      <c r="BG8" s="1">
        <v>9.7000000000000003E-3</v>
      </c>
      <c r="BH8" s="1">
        <v>9.8099999999999993E-3</v>
      </c>
      <c r="BI8" s="1">
        <v>1.03E-2</v>
      </c>
      <c r="BJ8" s="1">
        <v>1.1299999999999999E-2</v>
      </c>
      <c r="BK8" s="1">
        <v>1.2E-2</v>
      </c>
      <c r="BL8" s="1">
        <v>1.23E-2</v>
      </c>
      <c r="BM8" s="1">
        <v>1.2500000000000001E-2</v>
      </c>
      <c r="BN8" s="1">
        <v>1.2500000000000001E-2</v>
      </c>
      <c r="BO8" s="1">
        <v>1.24E-2</v>
      </c>
      <c r="BP8" s="1">
        <v>1.24E-2</v>
      </c>
      <c r="BQ8" s="1">
        <v>1.23E-2</v>
      </c>
      <c r="BR8" s="1">
        <v>1.2200000000000001E-2</v>
      </c>
      <c r="BS8" s="1">
        <v>1.24E-2</v>
      </c>
      <c r="BT8" s="1">
        <v>1.29E-2</v>
      </c>
      <c r="BU8" s="1">
        <v>1.2800000000000001E-2</v>
      </c>
      <c r="BV8" s="1">
        <v>1.34E-2</v>
      </c>
      <c r="BW8" s="1">
        <v>1.46E-2</v>
      </c>
      <c r="BX8" s="1">
        <v>1.5100000000000001E-2</v>
      </c>
      <c r="BY8" s="1">
        <v>1.5699999999999999E-2</v>
      </c>
      <c r="BZ8" s="1">
        <v>1.5100000000000001E-2</v>
      </c>
      <c r="CA8" s="1">
        <v>1.4800000000000001E-2</v>
      </c>
      <c r="CB8" s="1">
        <v>1.4200000000000001E-2</v>
      </c>
      <c r="CC8" s="1">
        <v>1.47E-2</v>
      </c>
      <c r="CD8" s="1">
        <v>1.5900000000000001E-2</v>
      </c>
      <c r="CE8" s="1">
        <v>1.6199999999999999E-2</v>
      </c>
      <c r="CF8" s="1">
        <v>1.55E-2</v>
      </c>
      <c r="CG8" s="1">
        <v>1.7500000000000002E-2</v>
      </c>
      <c r="CH8" s="1">
        <v>1.9599999999999999E-2</v>
      </c>
      <c r="CI8" s="1">
        <v>2.07E-2</v>
      </c>
      <c r="CJ8" s="1">
        <v>2.0799999999999999E-2</v>
      </c>
      <c r="CK8" s="1">
        <v>1.9699999999999999E-2</v>
      </c>
      <c r="CL8" s="1">
        <v>2.0899999999999998E-2</v>
      </c>
      <c r="CM8" s="1">
        <v>2.01E-2</v>
      </c>
      <c r="CN8" s="1">
        <v>2.5899999999999999E-2</v>
      </c>
      <c r="CO8" s="1">
        <v>2.4299999999999999E-2</v>
      </c>
      <c r="CP8" s="1">
        <v>3.32E-2</v>
      </c>
      <c r="CQ8" s="1">
        <v>1.2E-2</v>
      </c>
      <c r="CR8" s="1">
        <v>1.2500000000000001E-2</v>
      </c>
      <c r="CS8" s="1">
        <v>1.5699999999999999E-2</v>
      </c>
      <c r="CT8" s="1">
        <v>1.3299999999999999E-2</v>
      </c>
      <c r="CU8" s="1">
        <v>1.6400000000000001E-2</v>
      </c>
      <c r="CV8" s="1">
        <v>1.3599999999999999E-2</v>
      </c>
    </row>
    <row r="9" spans="1:100" x14ac:dyDescent="0.2">
      <c r="A9" t="s">
        <v>210</v>
      </c>
      <c r="B9" s="1">
        <v>1.4300000000000001E-4</v>
      </c>
      <c r="C9" s="1">
        <v>1.4300000000000001E-4</v>
      </c>
      <c r="D9" s="1">
        <v>1.4300000000000001E-4</v>
      </c>
      <c r="E9" s="1">
        <v>2.0999999999999999E-3</v>
      </c>
      <c r="F9" s="1">
        <v>1.83E-3</v>
      </c>
      <c r="G9" s="1">
        <v>1.4599999999999999E-3</v>
      </c>
      <c r="H9" s="1">
        <v>1.5900000000000001E-3</v>
      </c>
      <c r="I9" s="1">
        <v>1.4300000000000001E-3</v>
      </c>
      <c r="J9" s="1">
        <v>1.42E-3</v>
      </c>
      <c r="K9" s="1">
        <v>1.31E-3</v>
      </c>
      <c r="L9" s="1">
        <v>1.16E-3</v>
      </c>
      <c r="M9" s="1">
        <v>1.1299999999999999E-3</v>
      </c>
      <c r="N9" s="1">
        <v>8.3500000000000002E-4</v>
      </c>
      <c r="O9" s="1">
        <v>7.3700000000000002E-4</v>
      </c>
      <c r="P9" s="1">
        <v>6.7599999999999995E-4</v>
      </c>
      <c r="Q9" s="1">
        <v>5.5400000000000002E-4</v>
      </c>
      <c r="R9" s="1">
        <v>4.7800000000000002E-4</v>
      </c>
      <c r="S9" s="1">
        <v>4.4999999999999999E-4</v>
      </c>
      <c r="T9" s="1">
        <v>4.2499999999999998E-4</v>
      </c>
      <c r="U9" s="1">
        <v>4.5100000000000001E-4</v>
      </c>
      <c r="V9" s="1">
        <v>4.2000000000000002E-4</v>
      </c>
      <c r="W9" s="1">
        <v>4.4000000000000002E-4</v>
      </c>
      <c r="X9" s="1">
        <v>4.66E-4</v>
      </c>
      <c r="Y9" s="1">
        <v>4.64E-4</v>
      </c>
      <c r="Z9" s="1">
        <v>4.7399999999999997E-4</v>
      </c>
      <c r="AA9" s="1">
        <v>5.13E-4</v>
      </c>
      <c r="AB9" s="1">
        <v>5.4299999999999997E-4</v>
      </c>
      <c r="AC9" s="1">
        <v>5.6300000000000002E-4</v>
      </c>
      <c r="AD9" s="1">
        <v>6.1300000000000005E-4</v>
      </c>
      <c r="AE9" s="1">
        <v>6.5300000000000004E-4</v>
      </c>
      <c r="AF9" s="1">
        <v>6.8300000000000001E-4</v>
      </c>
      <c r="AG9" s="1">
        <v>7.0299999999999996E-4</v>
      </c>
      <c r="AH9" s="1">
        <v>7.3800000000000005E-4</v>
      </c>
      <c r="AI9" s="1">
        <v>7.5199999999999996E-4</v>
      </c>
      <c r="AJ9" s="1">
        <v>7.4299999999999995E-4</v>
      </c>
      <c r="AK9" s="1">
        <v>7.3399999999999995E-4</v>
      </c>
      <c r="AL9" s="1">
        <v>7.5600000000000005E-4</v>
      </c>
      <c r="AM9" s="1">
        <v>7.5500000000000003E-4</v>
      </c>
      <c r="AN9" s="1">
        <v>7.5100000000000004E-4</v>
      </c>
      <c r="AO9" s="1">
        <v>7.5900000000000002E-4</v>
      </c>
      <c r="AP9" s="1">
        <v>7.9799999999999999E-4</v>
      </c>
      <c r="AQ9" s="1">
        <v>8.1899999999999996E-4</v>
      </c>
      <c r="AR9" s="1">
        <v>8.3900000000000001E-4</v>
      </c>
      <c r="AS9" s="1">
        <v>8.6200000000000003E-4</v>
      </c>
      <c r="AT9" s="1">
        <v>8.6899999999999998E-4</v>
      </c>
      <c r="AU9" s="1">
        <v>8.8999999999999995E-4</v>
      </c>
      <c r="AV9" s="1">
        <v>9.1E-4</v>
      </c>
      <c r="AW9" s="1">
        <v>9.1200000000000005E-4</v>
      </c>
      <c r="AX9" s="1">
        <v>9.0899999999999998E-4</v>
      </c>
      <c r="AY9" s="1">
        <v>8.9700000000000001E-4</v>
      </c>
      <c r="AZ9" s="1">
        <v>9.0600000000000001E-4</v>
      </c>
      <c r="BA9" s="1">
        <v>9.2299999999999999E-4</v>
      </c>
      <c r="BB9" s="1">
        <v>8.9899999999999995E-4</v>
      </c>
      <c r="BC9" s="1">
        <v>8.7200000000000005E-4</v>
      </c>
      <c r="BD9" s="1">
        <v>8.4400000000000002E-4</v>
      </c>
      <c r="BE9" s="1">
        <v>8.5800000000000004E-4</v>
      </c>
      <c r="BF9" s="1">
        <v>8.5700000000000001E-4</v>
      </c>
      <c r="BG9" s="1">
        <v>8.5800000000000004E-4</v>
      </c>
      <c r="BH9" s="1">
        <v>8.6899999999999998E-4</v>
      </c>
      <c r="BI9" s="1">
        <v>9.0300000000000005E-4</v>
      </c>
      <c r="BJ9" s="1">
        <v>1.01E-3</v>
      </c>
      <c r="BK9" s="1">
        <v>1.0499999999999999E-3</v>
      </c>
      <c r="BL9" s="1">
        <v>1.0499999999999999E-3</v>
      </c>
      <c r="BM9" s="1">
        <v>1.06E-3</v>
      </c>
      <c r="BN9" s="1">
        <v>1.0499999999999999E-3</v>
      </c>
      <c r="BO9" s="1">
        <v>1.0200000000000001E-3</v>
      </c>
      <c r="BP9" s="1">
        <v>9.9500000000000001E-4</v>
      </c>
      <c r="BQ9" s="1">
        <v>1.0300000000000001E-3</v>
      </c>
      <c r="BR9" s="1">
        <v>1.0200000000000001E-3</v>
      </c>
      <c r="BS9" s="1">
        <v>1.0300000000000001E-3</v>
      </c>
      <c r="BT9" s="1">
        <v>1.06E-3</v>
      </c>
      <c r="BU9" s="1">
        <v>1.0399999999999999E-3</v>
      </c>
      <c r="BV9" s="1">
        <v>1.08E-3</v>
      </c>
      <c r="BW9" s="1">
        <v>1.14E-3</v>
      </c>
      <c r="BX9" s="1">
        <v>1.17E-3</v>
      </c>
      <c r="BY9" s="1">
        <v>1.24E-3</v>
      </c>
      <c r="BZ9" s="1">
        <v>1.17E-3</v>
      </c>
      <c r="CA9" s="1">
        <v>1.1299999999999999E-3</v>
      </c>
      <c r="CB9" s="1">
        <v>1.1000000000000001E-3</v>
      </c>
      <c r="CC9" s="1">
        <v>1.14E-3</v>
      </c>
      <c r="CD9" s="1">
        <v>1.1800000000000001E-3</v>
      </c>
      <c r="CE9" s="1">
        <v>1.1999999999999999E-3</v>
      </c>
      <c r="CF9" s="1">
        <v>1.1199999999999999E-3</v>
      </c>
      <c r="CG9" s="1">
        <v>1.1999999999999999E-3</v>
      </c>
      <c r="CH9" s="1">
        <v>1.2999999999999999E-3</v>
      </c>
      <c r="CI9" s="1">
        <v>1.2899999999999999E-3</v>
      </c>
      <c r="CJ9" s="1">
        <v>1.2099999999999999E-3</v>
      </c>
      <c r="CK9" s="1">
        <v>1.1900000000000001E-3</v>
      </c>
      <c r="CL9" s="1">
        <v>1.06E-3</v>
      </c>
      <c r="CM9" s="1">
        <v>7.1599999999999995E-4</v>
      </c>
      <c r="CN9" s="1">
        <v>4.66E-4</v>
      </c>
      <c r="CO9" s="1">
        <v>-3.1700000000000001E-4</v>
      </c>
      <c r="CP9" s="1">
        <v>-1.4400000000000001E-3</v>
      </c>
      <c r="CQ9" s="1">
        <v>-1.0300000000000001E-3</v>
      </c>
      <c r="CR9" s="1">
        <v>-2.5399999999999999E-4</v>
      </c>
      <c r="CS9" s="1">
        <v>2.5500000000000002E-4</v>
      </c>
      <c r="CT9" s="1">
        <v>4.6200000000000001E-4</v>
      </c>
      <c r="CU9" s="1">
        <v>7.6300000000000001E-4</v>
      </c>
      <c r="CV9" s="1">
        <v>1.3799999999999999E-3</v>
      </c>
    </row>
    <row r="10" spans="1:100" x14ac:dyDescent="0.2">
      <c r="A10" t="s">
        <v>211</v>
      </c>
      <c r="B10" s="1">
        <v>1.9599999999999999E-4</v>
      </c>
      <c r="C10" s="1">
        <v>1.9599999999999999E-4</v>
      </c>
      <c r="D10" s="1">
        <v>1.9599999999999999E-4</v>
      </c>
      <c r="E10" s="1">
        <v>2.9199999999999999E-3</v>
      </c>
      <c r="F10" s="1">
        <v>2.2000000000000001E-3</v>
      </c>
      <c r="G10" s="1">
        <v>1.5200000000000001E-3</v>
      </c>
      <c r="H10" s="1">
        <v>1.31E-3</v>
      </c>
      <c r="I10" s="1">
        <v>1.2700000000000001E-3</v>
      </c>
      <c r="J10" s="1">
        <v>1.2600000000000001E-3</v>
      </c>
      <c r="K10" s="1">
        <v>1.1299999999999999E-3</v>
      </c>
      <c r="L10" s="1">
        <v>1.01E-3</v>
      </c>
      <c r="M10" s="1">
        <v>1.0399999999999999E-3</v>
      </c>
      <c r="N10" s="1">
        <v>8.1499999999999997E-4</v>
      </c>
      <c r="O10" s="1">
        <v>7.0500000000000001E-4</v>
      </c>
      <c r="P10" s="1">
        <v>5.8E-4</v>
      </c>
      <c r="Q10" s="1">
        <v>5.6899999999999995E-4</v>
      </c>
      <c r="R10" s="1">
        <v>5.2400000000000005E-4</v>
      </c>
      <c r="S10" s="1">
        <v>5.6700000000000001E-4</v>
      </c>
      <c r="T10" s="1">
        <v>5.4000000000000001E-4</v>
      </c>
      <c r="U10" s="1">
        <v>5.8600000000000004E-4</v>
      </c>
      <c r="V10" s="1">
        <v>5.1599999999999997E-4</v>
      </c>
      <c r="W10" s="1">
        <v>5.9400000000000002E-4</v>
      </c>
      <c r="X10" s="1">
        <v>5.4799999999999998E-4</v>
      </c>
      <c r="Y10" s="1">
        <v>5.7600000000000001E-4</v>
      </c>
      <c r="Z10" s="1">
        <v>5.6800000000000004E-4</v>
      </c>
      <c r="AA10" s="1">
        <v>6.0999999999999997E-4</v>
      </c>
      <c r="AB10" s="1">
        <v>6.4300000000000002E-4</v>
      </c>
      <c r="AC10" s="1">
        <v>7.0399999999999998E-4</v>
      </c>
      <c r="AD10" s="1">
        <v>8.0099999999999995E-4</v>
      </c>
      <c r="AE10" s="1">
        <v>8.9499999999999996E-4</v>
      </c>
      <c r="AF10" s="1">
        <v>9.4499999999999998E-4</v>
      </c>
      <c r="AG10" s="1">
        <v>1.01E-3</v>
      </c>
      <c r="AH10" s="1">
        <v>9.7499999999999996E-4</v>
      </c>
      <c r="AI10" s="1">
        <v>1.0300000000000001E-3</v>
      </c>
      <c r="AJ10" s="1">
        <v>1.0499999999999999E-3</v>
      </c>
      <c r="AK10" s="1">
        <v>1.1199999999999999E-3</v>
      </c>
      <c r="AL10" s="1">
        <v>1.17E-3</v>
      </c>
      <c r="AM10" s="1">
        <v>1.1800000000000001E-3</v>
      </c>
      <c r="AN10" s="1">
        <v>1.2099999999999999E-3</v>
      </c>
      <c r="AO10" s="1">
        <v>1.1999999999999999E-3</v>
      </c>
      <c r="AP10" s="1">
        <v>1.23E-3</v>
      </c>
      <c r="AQ10" s="1">
        <v>1.2899999999999999E-3</v>
      </c>
      <c r="AR10" s="1">
        <v>1.3799999999999999E-3</v>
      </c>
      <c r="AS10" s="1">
        <v>1.3500000000000001E-3</v>
      </c>
      <c r="AT10" s="1">
        <v>1.3799999999999999E-3</v>
      </c>
      <c r="AU10" s="1">
        <v>1.4499999999999999E-3</v>
      </c>
      <c r="AV10" s="1">
        <v>1.4499999999999999E-3</v>
      </c>
      <c r="AW10" s="1">
        <v>1.5399999999999999E-3</v>
      </c>
      <c r="AX10" s="1">
        <v>1.58E-3</v>
      </c>
      <c r="AY10" s="1">
        <v>1.5900000000000001E-3</v>
      </c>
      <c r="AZ10" s="1">
        <v>1.58E-3</v>
      </c>
      <c r="BA10" s="1">
        <v>1.57E-3</v>
      </c>
      <c r="BB10" s="1">
        <v>1.5299999999999999E-3</v>
      </c>
      <c r="BC10" s="1">
        <v>1.5299999999999999E-3</v>
      </c>
      <c r="BD10" s="1">
        <v>1.5200000000000001E-3</v>
      </c>
      <c r="BE10" s="1">
        <v>1.6100000000000001E-3</v>
      </c>
      <c r="BF10" s="1">
        <v>1.4300000000000001E-3</v>
      </c>
      <c r="BG10" s="1">
        <v>1.41E-3</v>
      </c>
      <c r="BH10" s="1">
        <v>1.4599999999999999E-3</v>
      </c>
      <c r="BI10" s="1">
        <v>1.5499999999999999E-3</v>
      </c>
      <c r="BJ10" s="1">
        <v>1.75E-3</v>
      </c>
      <c r="BK10" s="1">
        <v>1.9300000000000001E-3</v>
      </c>
      <c r="BL10" s="1">
        <v>2E-3</v>
      </c>
      <c r="BM10" s="1">
        <v>2.0699999999999998E-3</v>
      </c>
      <c r="BN10" s="1">
        <v>2.0699999999999998E-3</v>
      </c>
      <c r="BO10" s="1">
        <v>1.98E-3</v>
      </c>
      <c r="BP10" s="1">
        <v>2.0699999999999998E-3</v>
      </c>
      <c r="BQ10" s="1">
        <v>2.0799999999999998E-3</v>
      </c>
      <c r="BR10" s="1">
        <v>2.1099999999999999E-3</v>
      </c>
      <c r="BS10" s="1">
        <v>2.1800000000000001E-3</v>
      </c>
      <c r="BT10" s="1">
        <v>2.31E-3</v>
      </c>
      <c r="BU10" s="1">
        <v>2.1099999999999999E-3</v>
      </c>
      <c r="BV10" s="1">
        <v>2.31E-3</v>
      </c>
      <c r="BW10" s="1">
        <v>2.47E-3</v>
      </c>
      <c r="BX10" s="1">
        <v>2.6099999999999999E-3</v>
      </c>
      <c r="BY10" s="1">
        <v>2.81E-3</v>
      </c>
      <c r="BZ10" s="1">
        <v>2.7200000000000002E-3</v>
      </c>
      <c r="CA10" s="1">
        <v>2.7299999999999998E-3</v>
      </c>
      <c r="CB10" s="1">
        <v>2.5899999999999999E-3</v>
      </c>
      <c r="CC10" s="1">
        <v>2.8700000000000002E-3</v>
      </c>
      <c r="CD10" s="1">
        <v>3.0100000000000001E-3</v>
      </c>
      <c r="CE10" s="1">
        <v>3.0500000000000002E-3</v>
      </c>
      <c r="CF10" s="1">
        <v>2.8600000000000001E-3</v>
      </c>
      <c r="CG10" s="1">
        <v>3.1199999999999999E-3</v>
      </c>
      <c r="CH10" s="1">
        <v>3.4099999999999998E-3</v>
      </c>
      <c r="CI10" s="1">
        <v>3.65E-3</v>
      </c>
      <c r="CJ10" s="1">
        <v>3.6900000000000001E-3</v>
      </c>
      <c r="CK10" s="1">
        <v>3.4499999999999999E-3</v>
      </c>
      <c r="CL10" s="1">
        <v>3.63E-3</v>
      </c>
      <c r="CM10" s="1">
        <v>3.2100000000000002E-3</v>
      </c>
      <c r="CN10" s="1">
        <v>3.5699999999999998E-3</v>
      </c>
      <c r="CO10" s="1">
        <v>2.2899999999999999E-3</v>
      </c>
      <c r="CP10" s="1">
        <v>1.3799999999999999E-3</v>
      </c>
      <c r="CQ10" s="1">
        <v>-3.4600000000000001E-4</v>
      </c>
      <c r="CR10" s="1">
        <v>1.26E-4</v>
      </c>
      <c r="CS10" s="1">
        <v>5.8E-4</v>
      </c>
      <c r="CT10" s="1">
        <v>6.0499999999999996E-4</v>
      </c>
      <c r="CU10" s="1">
        <v>1.4499999999999999E-3</v>
      </c>
      <c r="CV10" s="1">
        <v>1.24E-3</v>
      </c>
    </row>
    <row r="11" spans="1:100" x14ac:dyDescent="0.2">
      <c r="A11" t="s">
        <v>212</v>
      </c>
      <c r="B11" s="1">
        <v>-2.2699999999999999E-4</v>
      </c>
      <c r="C11" s="1">
        <v>-2.2699999999999999E-4</v>
      </c>
      <c r="D11" s="1">
        <v>-2.2699999999999999E-4</v>
      </c>
      <c r="E11" s="1">
        <v>-5.2199999999999998E-3</v>
      </c>
      <c r="F11" s="1">
        <v>-5.4299999999999999E-3</v>
      </c>
      <c r="G11" s="1">
        <v>-4.2500000000000003E-3</v>
      </c>
      <c r="H11" s="1">
        <v>-4.1099999999999999E-3</v>
      </c>
      <c r="I11" s="1">
        <v>-3.63E-3</v>
      </c>
      <c r="J11" s="1">
        <v>-3.5000000000000001E-3</v>
      </c>
      <c r="K11" s="1">
        <v>-3.2100000000000002E-3</v>
      </c>
      <c r="L11" s="1">
        <v>-2.7899999999999999E-3</v>
      </c>
      <c r="M11" s="1">
        <v>-2.5600000000000002E-3</v>
      </c>
      <c r="N11" s="1">
        <v>-1.9400000000000001E-3</v>
      </c>
      <c r="O11" s="1">
        <v>-1.58E-3</v>
      </c>
      <c r="P11" s="1">
        <v>-1.3500000000000001E-3</v>
      </c>
      <c r="Q11" s="1">
        <v>-1.1299999999999999E-3</v>
      </c>
      <c r="R11" s="1">
        <v>-9.6299999999999999E-4</v>
      </c>
      <c r="S11" s="1">
        <v>-8.8199999999999997E-4</v>
      </c>
      <c r="T11" s="1">
        <v>-7.5900000000000002E-4</v>
      </c>
      <c r="U11" s="1">
        <v>-7.18E-4</v>
      </c>
      <c r="V11" s="1">
        <v>-6.4599999999999998E-4</v>
      </c>
      <c r="W11" s="1">
        <v>-6.4899999999999995E-4</v>
      </c>
      <c r="X11" s="1">
        <v>-6.4999999999999997E-4</v>
      </c>
      <c r="Y11" s="1">
        <v>-6.5899999999999997E-4</v>
      </c>
      <c r="Z11" s="1">
        <v>-6.2299999999999996E-4</v>
      </c>
      <c r="AA11" s="1">
        <v>-6.29E-4</v>
      </c>
      <c r="AB11" s="1">
        <v>-6.6600000000000003E-4</v>
      </c>
      <c r="AC11" s="1">
        <v>-6.7299999999999999E-4</v>
      </c>
      <c r="AD11" s="1">
        <v>-6.5200000000000002E-4</v>
      </c>
      <c r="AE11" s="1">
        <v>-6.6799999999999997E-4</v>
      </c>
      <c r="AF11" s="1">
        <v>-6.6799999999999997E-4</v>
      </c>
      <c r="AG11" s="1">
        <v>-6.5899999999999997E-4</v>
      </c>
      <c r="AH11" s="1">
        <v>-6.4700000000000001E-4</v>
      </c>
      <c r="AI11" s="1">
        <v>-6.2E-4</v>
      </c>
      <c r="AJ11" s="1">
        <v>-6.0899999999999995E-4</v>
      </c>
      <c r="AK11" s="1">
        <v>-6.0999999999999997E-4</v>
      </c>
      <c r="AL11" s="1">
        <v>-5.8500000000000002E-4</v>
      </c>
      <c r="AM11" s="1">
        <v>-5.8E-4</v>
      </c>
      <c r="AN11" s="1">
        <v>-5.7799999999999995E-4</v>
      </c>
      <c r="AO11" s="1">
        <v>-5.6700000000000001E-4</v>
      </c>
      <c r="AP11" s="1">
        <v>-5.6400000000000005E-4</v>
      </c>
      <c r="AQ11" s="1">
        <v>-5.8699999999999996E-4</v>
      </c>
      <c r="AR11" s="1">
        <v>-5.9100000000000005E-4</v>
      </c>
      <c r="AS11" s="1">
        <v>-5.6999999999999998E-4</v>
      </c>
      <c r="AT11" s="1">
        <v>-5.5599999999999996E-4</v>
      </c>
      <c r="AU11" s="1">
        <v>-5.7399999999999997E-4</v>
      </c>
      <c r="AV11" s="1">
        <v>-5.5099999999999995E-4</v>
      </c>
      <c r="AW11" s="1">
        <v>-5.3499999999999999E-4</v>
      </c>
      <c r="AX11" s="1">
        <v>-5.2700000000000002E-4</v>
      </c>
      <c r="AY11" s="1">
        <v>-5.2400000000000005E-4</v>
      </c>
      <c r="AZ11" s="1">
        <v>-5.1400000000000003E-4</v>
      </c>
      <c r="BA11" s="1">
        <v>-5.0900000000000001E-4</v>
      </c>
      <c r="BB11" s="1">
        <v>-4.9600000000000002E-4</v>
      </c>
      <c r="BC11" s="1">
        <v>-4.55E-4</v>
      </c>
      <c r="BD11" s="1">
        <v>-4.5800000000000002E-4</v>
      </c>
      <c r="BE11" s="1">
        <v>-4.5600000000000003E-4</v>
      </c>
      <c r="BF11" s="1">
        <v>-4.4200000000000001E-4</v>
      </c>
      <c r="BG11" s="1">
        <v>-4.35E-4</v>
      </c>
      <c r="BH11" s="1">
        <v>-4.28E-4</v>
      </c>
      <c r="BI11" s="1">
        <v>-4.3399999999999998E-4</v>
      </c>
      <c r="BJ11" s="1">
        <v>-4.7100000000000001E-4</v>
      </c>
      <c r="BK11" s="1">
        <v>-4.6999999999999999E-4</v>
      </c>
      <c r="BL11" s="1">
        <v>-4.8000000000000001E-4</v>
      </c>
      <c r="BM11" s="1">
        <v>-4.7699999999999999E-4</v>
      </c>
      <c r="BN11" s="1">
        <v>-4.75E-4</v>
      </c>
      <c r="BO11" s="1">
        <v>-4.35E-4</v>
      </c>
      <c r="BP11" s="1">
        <v>-4.1300000000000001E-4</v>
      </c>
      <c r="BQ11" s="1">
        <v>-4.0999999999999999E-4</v>
      </c>
      <c r="BR11" s="1">
        <v>-4.5199999999999998E-4</v>
      </c>
      <c r="BS11" s="1">
        <v>-4.3600000000000003E-4</v>
      </c>
      <c r="BT11" s="1">
        <v>-4.6000000000000001E-4</v>
      </c>
      <c r="BU11" s="1">
        <v>-4.4799999999999999E-4</v>
      </c>
      <c r="BV11" s="1">
        <v>-4.15E-4</v>
      </c>
      <c r="BW11" s="1">
        <v>-4.3199999999999998E-4</v>
      </c>
      <c r="BX11" s="1">
        <v>-4.3899999999999999E-4</v>
      </c>
      <c r="BY11" s="1">
        <v>-4.6900000000000002E-4</v>
      </c>
      <c r="BZ11" s="1">
        <v>-4.4299999999999998E-4</v>
      </c>
      <c r="CA11" s="1">
        <v>-4.3600000000000003E-4</v>
      </c>
      <c r="CB11" s="1">
        <v>-4.1199999999999999E-4</v>
      </c>
      <c r="CC11" s="1">
        <v>-4.2099999999999999E-4</v>
      </c>
      <c r="CD11" s="1">
        <v>-4.2200000000000001E-4</v>
      </c>
      <c r="CE11" s="1">
        <v>-4.6900000000000002E-4</v>
      </c>
      <c r="CF11" s="1">
        <v>-4.0999999999999999E-4</v>
      </c>
      <c r="CG11" s="1">
        <v>-4.4299999999999998E-4</v>
      </c>
      <c r="CH11" s="1">
        <v>-4.8700000000000002E-4</v>
      </c>
      <c r="CI11" s="1">
        <v>-4.8000000000000001E-4</v>
      </c>
      <c r="CJ11" s="1">
        <v>-3.9800000000000002E-4</v>
      </c>
      <c r="CK11" s="1">
        <v>-3.4299999999999999E-4</v>
      </c>
      <c r="CL11" s="1">
        <v>-3.6499999999999998E-4</v>
      </c>
      <c r="CM11" s="1">
        <v>-3.1199999999999999E-4</v>
      </c>
      <c r="CN11" s="1">
        <v>-2.7099999999999997E-4</v>
      </c>
      <c r="CO11" s="1">
        <v>-1.34E-4</v>
      </c>
      <c r="CP11" s="1">
        <v>1.13E-4</v>
      </c>
      <c r="CQ11" s="1">
        <v>1.5300000000000001E-4</v>
      </c>
      <c r="CR11" s="1">
        <v>-2.32E-4</v>
      </c>
      <c r="CS11" s="1">
        <v>-1.27E-4</v>
      </c>
      <c r="CT11" s="1">
        <v>2.94E-5</v>
      </c>
      <c r="CU11" s="1">
        <v>-1.74E-4</v>
      </c>
      <c r="CV11" s="1">
        <v>-2.8600000000000001E-4</v>
      </c>
    </row>
    <row r="12" spans="1:100" x14ac:dyDescent="0.2">
      <c r="A12" t="s">
        <v>213</v>
      </c>
      <c r="B12" s="1">
        <v>-2.8800000000000001E-4</v>
      </c>
      <c r="C12" s="1">
        <v>-2.8800000000000001E-4</v>
      </c>
      <c r="D12" s="1">
        <v>-2.8800000000000001E-4</v>
      </c>
      <c r="E12" s="1">
        <v>-8.1899999999999994E-3</v>
      </c>
      <c r="F12" s="1">
        <v>-7.3400000000000002E-3</v>
      </c>
      <c r="G12" s="1">
        <v>-5.9899999999999997E-3</v>
      </c>
      <c r="H12" s="1">
        <v>-6.3200000000000001E-3</v>
      </c>
      <c r="I12" s="1">
        <v>-5.9100000000000003E-3</v>
      </c>
      <c r="J12" s="1">
        <v>-6.1799999999999997E-3</v>
      </c>
      <c r="K12" s="1">
        <v>-6.0499999999999998E-3</v>
      </c>
      <c r="L12" s="1">
        <v>-5.7000000000000002E-3</v>
      </c>
      <c r="M12" s="1">
        <v>-5.6600000000000001E-3</v>
      </c>
      <c r="N12" s="1">
        <v>-4.4999999999999997E-3</v>
      </c>
      <c r="O12" s="1">
        <v>-4.0499999999999998E-3</v>
      </c>
      <c r="P12" s="1">
        <v>-3.7799999999999999E-3</v>
      </c>
      <c r="Q12" s="1">
        <v>-3.2799999999999999E-3</v>
      </c>
      <c r="R12" s="1">
        <v>-2.7100000000000002E-3</v>
      </c>
      <c r="S12" s="1">
        <v>-2.5500000000000002E-3</v>
      </c>
      <c r="T12" s="1">
        <v>-2.2200000000000002E-3</v>
      </c>
      <c r="U12" s="1">
        <v>-2.0100000000000001E-3</v>
      </c>
      <c r="V12" s="1">
        <v>-1.7700000000000001E-3</v>
      </c>
      <c r="W12" s="1">
        <v>-1.7899999999999999E-3</v>
      </c>
      <c r="X12" s="1">
        <v>-1.8600000000000001E-3</v>
      </c>
      <c r="Y12" s="1">
        <v>-1.8799999999999999E-3</v>
      </c>
      <c r="Z12" s="1">
        <v>-1.8500000000000001E-3</v>
      </c>
      <c r="AA12" s="1">
        <v>-1.7899999999999999E-3</v>
      </c>
      <c r="AB12" s="1">
        <v>-1.7600000000000001E-3</v>
      </c>
      <c r="AC12" s="1">
        <v>-1.7799999999999999E-3</v>
      </c>
      <c r="AD12" s="1">
        <v>-1.6999999999999999E-3</v>
      </c>
      <c r="AE12" s="1">
        <v>-1.74E-3</v>
      </c>
      <c r="AF12" s="1">
        <v>-1.6999999999999999E-3</v>
      </c>
      <c r="AG12" s="1">
        <v>-1.67E-3</v>
      </c>
      <c r="AH12" s="1">
        <v>-1.6900000000000001E-3</v>
      </c>
      <c r="AI12" s="1">
        <v>-1.6900000000000001E-3</v>
      </c>
      <c r="AJ12" s="1">
        <v>-1.66E-3</v>
      </c>
      <c r="AK12" s="1">
        <v>-1.57E-3</v>
      </c>
      <c r="AL12" s="1">
        <v>-1.49E-3</v>
      </c>
      <c r="AM12" s="1">
        <v>-1.56E-3</v>
      </c>
      <c r="AN12" s="1">
        <v>-1.56E-3</v>
      </c>
      <c r="AO12" s="1">
        <v>-1.47E-3</v>
      </c>
      <c r="AP12" s="1">
        <v>-1.4400000000000001E-3</v>
      </c>
      <c r="AQ12" s="1">
        <v>-1.41E-3</v>
      </c>
      <c r="AR12" s="1">
        <v>-1.3600000000000001E-3</v>
      </c>
      <c r="AS12" s="1">
        <v>-1.33E-3</v>
      </c>
      <c r="AT12" s="1">
        <v>-1.33E-3</v>
      </c>
      <c r="AU12" s="1">
        <v>-1.2600000000000001E-3</v>
      </c>
      <c r="AV12" s="1">
        <v>-1.31E-3</v>
      </c>
      <c r="AW12" s="1">
        <v>-1.34E-3</v>
      </c>
      <c r="AX12" s="1">
        <v>-1.2800000000000001E-3</v>
      </c>
      <c r="AY12" s="1">
        <v>-1.2800000000000001E-3</v>
      </c>
      <c r="AZ12" s="1">
        <v>-1.23E-3</v>
      </c>
      <c r="BA12" s="1">
        <v>-1.1900000000000001E-3</v>
      </c>
      <c r="BB12" s="1">
        <v>-1.1299999999999999E-3</v>
      </c>
      <c r="BC12" s="1">
        <v>-1.0499999999999999E-3</v>
      </c>
      <c r="BD12" s="1">
        <v>-9.6000000000000002E-4</v>
      </c>
      <c r="BE12" s="1">
        <v>-1.01E-3</v>
      </c>
      <c r="BF12" s="1">
        <v>-1.0300000000000001E-3</v>
      </c>
      <c r="BG12" s="1">
        <v>-1.07E-3</v>
      </c>
      <c r="BH12" s="1">
        <v>-1.1000000000000001E-3</v>
      </c>
      <c r="BI12" s="1">
        <v>-1.1100000000000001E-3</v>
      </c>
      <c r="BJ12" s="1">
        <v>-1.14E-3</v>
      </c>
      <c r="BK12" s="1">
        <v>-1.14E-3</v>
      </c>
      <c r="BL12" s="1">
        <v>-1.1000000000000001E-3</v>
      </c>
      <c r="BM12" s="1">
        <v>-1.09E-3</v>
      </c>
      <c r="BN12" s="1">
        <v>-1.06E-3</v>
      </c>
      <c r="BO12" s="1">
        <v>-1.0300000000000001E-3</v>
      </c>
      <c r="BP12" s="1">
        <v>-9.9200000000000004E-4</v>
      </c>
      <c r="BQ12" s="1">
        <v>-1.0200000000000001E-3</v>
      </c>
      <c r="BR12" s="1">
        <v>-9.5E-4</v>
      </c>
      <c r="BS12" s="1">
        <v>-8.7399999999999999E-4</v>
      </c>
      <c r="BT12" s="1">
        <v>-8.7900000000000001E-4</v>
      </c>
      <c r="BU12" s="1">
        <v>-8.8599999999999996E-4</v>
      </c>
      <c r="BV12" s="1">
        <v>-9.2900000000000003E-4</v>
      </c>
      <c r="BW12" s="1">
        <v>-9.7499999999999996E-4</v>
      </c>
      <c r="BX12" s="1">
        <v>-9.9500000000000001E-4</v>
      </c>
      <c r="BY12" s="1">
        <v>-9.6599999999999995E-4</v>
      </c>
      <c r="BZ12" s="1">
        <v>-8.7299999999999997E-4</v>
      </c>
      <c r="CA12" s="1">
        <v>-8.12E-4</v>
      </c>
      <c r="CB12" s="1">
        <v>-9.0700000000000004E-4</v>
      </c>
      <c r="CC12" s="1">
        <v>-9.3400000000000004E-4</v>
      </c>
      <c r="CD12" s="1">
        <v>-9.3000000000000005E-4</v>
      </c>
      <c r="CE12" s="1">
        <v>-9.4700000000000003E-4</v>
      </c>
      <c r="CF12" s="1">
        <v>-9.7599999999999998E-4</v>
      </c>
      <c r="CG12" s="1">
        <v>-1.06E-3</v>
      </c>
      <c r="CH12" s="1">
        <v>-1.1299999999999999E-3</v>
      </c>
      <c r="CI12" s="1">
        <v>-1.2099999999999999E-3</v>
      </c>
      <c r="CJ12" s="1">
        <v>-1.2899999999999999E-3</v>
      </c>
      <c r="CK12" s="1">
        <v>-1.2899999999999999E-3</v>
      </c>
      <c r="CL12" s="1">
        <v>-1.33E-3</v>
      </c>
      <c r="CM12" s="1">
        <v>-1.39E-3</v>
      </c>
      <c r="CN12" s="1">
        <v>-2.0799999999999998E-3</v>
      </c>
      <c r="CO12" s="1">
        <v>-2.31E-3</v>
      </c>
      <c r="CP12" s="1">
        <v>-4.1799999999999997E-3</v>
      </c>
      <c r="CQ12" s="1">
        <v>-2.4199999999999998E-3</v>
      </c>
      <c r="CR12" s="1">
        <v>-2.3900000000000002E-3</v>
      </c>
      <c r="CS12" s="1">
        <v>-2.6199999999999999E-3</v>
      </c>
      <c r="CT12" s="1">
        <v>-2.0699999999999998E-3</v>
      </c>
      <c r="CU12" s="1">
        <v>-2.0899999999999998E-3</v>
      </c>
      <c r="CV12" s="1">
        <v>-1.6999999999999999E-3</v>
      </c>
    </row>
    <row r="13" spans="1:100" x14ac:dyDescent="0.2">
      <c r="A13" t="s">
        <v>226</v>
      </c>
      <c r="B13" s="1">
        <v>6.0000000000000002E-5</v>
      </c>
      <c r="C13" s="1">
        <v>6.0000000000000002E-5</v>
      </c>
      <c r="D13" s="1">
        <v>6.0000000000000002E-5</v>
      </c>
      <c r="E13" s="1">
        <v>6.6E-4</v>
      </c>
      <c r="F13" s="1">
        <v>7.5699999999999997E-4</v>
      </c>
      <c r="G13" s="1">
        <v>4.28E-4</v>
      </c>
      <c r="H13" s="1">
        <v>3.6699999999999998E-4</v>
      </c>
      <c r="I13" s="1">
        <v>5.6700000000000001E-4</v>
      </c>
      <c r="J13" s="1">
        <v>4.7699999999999999E-4</v>
      </c>
      <c r="K13" s="1">
        <v>3.39E-4</v>
      </c>
      <c r="L13" s="1">
        <v>4.0200000000000001E-4</v>
      </c>
      <c r="M13" s="1">
        <v>3.3500000000000001E-4</v>
      </c>
      <c r="N13" s="1">
        <v>3.5E-4</v>
      </c>
      <c r="O13" s="1">
        <v>3.6600000000000001E-4</v>
      </c>
      <c r="P13" s="1">
        <v>2.8499999999999999E-4</v>
      </c>
      <c r="Q13" s="1">
        <v>2.34E-4</v>
      </c>
      <c r="R13" s="1">
        <v>2.32E-4</v>
      </c>
      <c r="S13" s="1">
        <v>1.7699999999999999E-4</v>
      </c>
      <c r="T13" s="1">
        <v>1.46E-4</v>
      </c>
      <c r="U13" s="1">
        <v>1.8000000000000001E-4</v>
      </c>
      <c r="V13" s="1">
        <v>1.8000000000000001E-4</v>
      </c>
      <c r="W13" s="1">
        <v>2.5799999999999998E-4</v>
      </c>
      <c r="X13" s="1">
        <v>1.4300000000000001E-4</v>
      </c>
      <c r="Y13" s="1">
        <v>1.9900000000000001E-4</v>
      </c>
      <c r="Z13" s="1">
        <v>1.8900000000000001E-4</v>
      </c>
      <c r="AA13" s="1">
        <v>1.13E-4</v>
      </c>
      <c r="AB13" s="1">
        <v>2.2800000000000001E-4</v>
      </c>
      <c r="AC13" s="1">
        <v>1.8000000000000001E-4</v>
      </c>
      <c r="AD13" s="1">
        <v>2.0100000000000001E-4</v>
      </c>
      <c r="AE13" s="1">
        <v>2.0799999999999999E-4</v>
      </c>
      <c r="AF13" s="1">
        <v>2.5599999999999999E-4</v>
      </c>
      <c r="AG13" s="1">
        <v>1.85E-4</v>
      </c>
      <c r="AH13" s="1">
        <v>1.3799999999999999E-4</v>
      </c>
      <c r="AI13" s="1">
        <v>1.8799999999999999E-4</v>
      </c>
      <c r="AJ13" s="1">
        <v>2.1800000000000001E-4</v>
      </c>
      <c r="AK13" s="1">
        <v>2.1000000000000001E-4</v>
      </c>
      <c r="AL13" s="1">
        <v>1.7899999999999999E-4</v>
      </c>
      <c r="AM13" s="1">
        <v>1.4200000000000001E-4</v>
      </c>
      <c r="AN13" s="1">
        <v>2.0100000000000001E-4</v>
      </c>
      <c r="AO13" s="1">
        <v>1.6200000000000001E-4</v>
      </c>
      <c r="AP13" s="1">
        <v>1.1E-4</v>
      </c>
      <c r="AQ13" s="1">
        <v>1.37E-4</v>
      </c>
      <c r="AR13" s="1">
        <v>2.0000000000000001E-4</v>
      </c>
      <c r="AS13" s="1">
        <v>2.6800000000000001E-4</v>
      </c>
      <c r="AT13" s="1">
        <v>1.2300000000000001E-4</v>
      </c>
      <c r="AU13" s="1">
        <v>1.4100000000000001E-4</v>
      </c>
      <c r="AV13" s="1">
        <v>2.0799999999999999E-4</v>
      </c>
      <c r="AW13" s="1">
        <v>9.3700000000000001E-5</v>
      </c>
      <c r="AX13" s="1">
        <v>8.2899999999999996E-5</v>
      </c>
      <c r="AY13" s="1">
        <v>9.6199999999999994E-5</v>
      </c>
      <c r="AZ13" s="1">
        <v>9.09E-5</v>
      </c>
      <c r="BA13" s="1">
        <v>1.35E-4</v>
      </c>
      <c r="BB13" s="1">
        <v>1.54E-4</v>
      </c>
      <c r="BC13" s="1">
        <v>5.5600000000000003E-5</v>
      </c>
      <c r="BD13" s="1">
        <v>4.3999999999999999E-5</v>
      </c>
      <c r="BE13" s="1">
        <v>4.88E-5</v>
      </c>
      <c r="BF13" s="1">
        <v>4.06E-4</v>
      </c>
      <c r="BG13" s="1">
        <v>5.5300000000000002E-5</v>
      </c>
      <c r="BH13" s="1">
        <v>2.8799999999999999E-5</v>
      </c>
      <c r="BI13" s="1">
        <v>1.01E-5</v>
      </c>
      <c r="BJ13" s="1">
        <v>5.1900000000000001E-5</v>
      </c>
      <c r="BK13" s="1">
        <v>7.6100000000000007E-5</v>
      </c>
      <c r="BL13" s="1">
        <v>8.85E-6</v>
      </c>
      <c r="BM13" s="1">
        <v>8.1299999999999997E-5</v>
      </c>
      <c r="BN13" s="1">
        <v>-7.4999999999999993E-5</v>
      </c>
      <c r="BO13" s="1">
        <v>3.2199999999999997E-5</v>
      </c>
      <c r="BP13" s="1">
        <v>-5.8499999999999999E-5</v>
      </c>
      <c r="BQ13" s="1">
        <v>-1.2300000000000001E-4</v>
      </c>
      <c r="BR13" s="1">
        <v>-1.17E-4</v>
      </c>
      <c r="BS13" s="1">
        <v>-1.73E-4</v>
      </c>
      <c r="BT13" s="1">
        <v>-1.8799999999999999E-4</v>
      </c>
      <c r="BU13" s="1">
        <v>-5.1100000000000002E-5</v>
      </c>
      <c r="BV13" s="1">
        <v>-2.5300000000000002E-4</v>
      </c>
      <c r="BW13" s="1">
        <v>-2.81E-4</v>
      </c>
      <c r="BX13" s="1">
        <v>-2.4899999999999998E-4</v>
      </c>
      <c r="BY13" s="1">
        <v>-3.57E-4</v>
      </c>
      <c r="BZ13" s="1">
        <v>-3.5799999999999997E-4</v>
      </c>
      <c r="CA13" s="1">
        <v>-3.2699999999999998E-4</v>
      </c>
      <c r="CB13" s="1">
        <v>-5.22E-4</v>
      </c>
      <c r="CC13" s="1">
        <v>-4.1100000000000002E-4</v>
      </c>
      <c r="CD13" s="1">
        <v>-3.4200000000000002E-4</v>
      </c>
      <c r="CE13" s="1">
        <v>-3.7399999999999998E-4</v>
      </c>
      <c r="CF13" s="1">
        <v>-5.2499999999999997E-4</v>
      </c>
      <c r="CG13" s="1">
        <v>-6.1200000000000002E-4</v>
      </c>
      <c r="CH13" s="1">
        <v>-7.4399999999999998E-4</v>
      </c>
      <c r="CI13" s="1">
        <v>-1.01E-3</v>
      </c>
      <c r="CJ13" s="1">
        <v>-1.1299999999999999E-3</v>
      </c>
      <c r="CK13" s="1">
        <v>-1.1299999999999999E-3</v>
      </c>
      <c r="CL13" s="1">
        <v>-1.67E-3</v>
      </c>
      <c r="CM13" s="1">
        <v>-2.0300000000000001E-3</v>
      </c>
      <c r="CN13" s="1">
        <v>-2.81E-3</v>
      </c>
      <c r="CO13" s="1">
        <v>-3.1099999999999999E-3</v>
      </c>
      <c r="CP13" s="1">
        <v>-4.3099999999999996E-3</v>
      </c>
      <c r="CQ13" s="1">
        <v>-1.64E-3</v>
      </c>
      <c r="CR13" s="1">
        <v>-1.2999999999999999E-3</v>
      </c>
      <c r="CS13" s="1">
        <v>-1.5900000000000001E-3</v>
      </c>
      <c r="CT13" s="1">
        <v>-1.6299999999999999E-3</v>
      </c>
      <c r="CU13" s="1">
        <v>-1.33E-3</v>
      </c>
      <c r="CV13" s="1">
        <v>-6.9999999999999999E-4</v>
      </c>
    </row>
    <row r="14" spans="1:100" x14ac:dyDescent="0.2">
      <c r="A14" t="s">
        <v>227</v>
      </c>
      <c r="B14" s="1">
        <v>-5.6099999999999998E-4</v>
      </c>
      <c r="C14" s="1">
        <v>-5.6099999999999998E-4</v>
      </c>
      <c r="D14" s="1">
        <v>-5.6099999999999998E-4</v>
      </c>
      <c r="E14" s="1">
        <v>-2.5100000000000001E-2</v>
      </c>
      <c r="F14" s="1">
        <v>-1.7600000000000001E-2</v>
      </c>
      <c r="G14" s="1">
        <v>-1.04E-2</v>
      </c>
      <c r="H14" s="1">
        <v>-8.9800000000000001E-3</v>
      </c>
      <c r="I14" s="1">
        <v>-5.4200000000000003E-3</v>
      </c>
      <c r="J14" s="1">
        <v>-4.2599999999999999E-3</v>
      </c>
      <c r="K14" s="1">
        <v>-2.31E-3</v>
      </c>
      <c r="L14" s="1">
        <v>-1.48E-3</v>
      </c>
      <c r="M14" s="1">
        <v>-8.03E-4</v>
      </c>
      <c r="N14" s="1">
        <v>-2.5999999999999998E-4</v>
      </c>
      <c r="O14" s="1">
        <v>-3.3399999999999999E-4</v>
      </c>
      <c r="P14" s="1">
        <v>-8.1499999999999999E-6</v>
      </c>
      <c r="Q14" s="1">
        <v>5.7399999999999997E-4</v>
      </c>
      <c r="R14" s="1">
        <v>9.8799999999999995E-4</v>
      </c>
      <c r="S14" s="1">
        <v>1.1100000000000001E-3</v>
      </c>
      <c r="T14" s="1">
        <v>9.9400000000000009E-4</v>
      </c>
      <c r="U14" s="1">
        <v>1.2199999999999999E-3</v>
      </c>
      <c r="V14" s="1">
        <v>1.39E-3</v>
      </c>
      <c r="W14" s="1">
        <v>1.5E-3</v>
      </c>
      <c r="X14" s="1">
        <v>1.7099999999999999E-3</v>
      </c>
      <c r="Y14" s="1">
        <v>1.73E-3</v>
      </c>
      <c r="Z14" s="1">
        <v>1.6999999999999999E-3</v>
      </c>
      <c r="AA14" s="1">
        <v>1.33E-3</v>
      </c>
      <c r="AB14" s="1">
        <v>1.24E-3</v>
      </c>
      <c r="AC14" s="1">
        <v>1.41E-3</v>
      </c>
      <c r="AD14" s="1">
        <v>1.4E-3</v>
      </c>
      <c r="AE14" s="1">
        <v>1.66E-3</v>
      </c>
      <c r="AF14" s="1">
        <v>1.7700000000000001E-3</v>
      </c>
      <c r="AG14" s="1">
        <v>1.9400000000000001E-3</v>
      </c>
      <c r="AH14" s="1">
        <v>1.9E-3</v>
      </c>
      <c r="AI14" s="1">
        <v>1.8400000000000001E-3</v>
      </c>
      <c r="AJ14" s="1">
        <v>1.97E-3</v>
      </c>
      <c r="AK14" s="1">
        <v>2.0600000000000002E-3</v>
      </c>
      <c r="AL14" s="1">
        <v>1.9499999999999999E-3</v>
      </c>
      <c r="AM14" s="1">
        <v>2.1900000000000001E-3</v>
      </c>
      <c r="AN14" s="1">
        <v>2.2799999999999999E-3</v>
      </c>
      <c r="AO14" s="1">
        <v>2.5000000000000001E-3</v>
      </c>
      <c r="AP14" s="1">
        <v>2.31E-3</v>
      </c>
      <c r="AQ14" s="1">
        <v>2.33E-3</v>
      </c>
      <c r="AR14" s="1">
        <v>2.3700000000000001E-3</v>
      </c>
      <c r="AS14" s="1">
        <v>2.4199999999999998E-3</v>
      </c>
      <c r="AT14" s="1">
        <v>2.3900000000000002E-3</v>
      </c>
      <c r="AU14" s="1">
        <v>2.49E-3</v>
      </c>
      <c r="AV14" s="1">
        <v>2.6900000000000001E-3</v>
      </c>
      <c r="AW14" s="1">
        <v>2.6800000000000001E-3</v>
      </c>
      <c r="AX14" s="1">
        <v>2.8E-3</v>
      </c>
      <c r="AY14" s="1">
        <v>3.13E-3</v>
      </c>
      <c r="AZ14" s="1">
        <v>3.1900000000000001E-3</v>
      </c>
      <c r="BA14" s="1">
        <v>3.1700000000000001E-3</v>
      </c>
      <c r="BB14" s="1">
        <v>3.1099999999999999E-3</v>
      </c>
      <c r="BC14" s="1">
        <v>3.2299999999999998E-3</v>
      </c>
      <c r="BD14" s="1">
        <v>3.2599999999999999E-3</v>
      </c>
      <c r="BE14" s="1">
        <v>3.2699999999999999E-3</v>
      </c>
      <c r="BF14" s="1">
        <v>3.2699999999999999E-3</v>
      </c>
      <c r="BG14" s="1">
        <v>3.31E-3</v>
      </c>
      <c r="BH14" s="1">
        <v>3.29E-3</v>
      </c>
      <c r="BI14" s="1">
        <v>3.5699999999999998E-3</v>
      </c>
      <c r="BJ14" s="1">
        <v>3.7799999999999999E-3</v>
      </c>
      <c r="BK14" s="1">
        <v>4.0000000000000001E-3</v>
      </c>
      <c r="BL14" s="1">
        <v>4.2500000000000003E-3</v>
      </c>
      <c r="BM14" s="1">
        <v>4.4099999999999999E-3</v>
      </c>
      <c r="BN14" s="1">
        <v>4.6699999999999997E-3</v>
      </c>
      <c r="BO14" s="1">
        <v>4.81E-3</v>
      </c>
      <c r="BP14" s="1">
        <v>4.6100000000000004E-3</v>
      </c>
      <c r="BQ14" s="1">
        <v>4.6100000000000004E-3</v>
      </c>
      <c r="BR14" s="1">
        <v>4.7499999999999999E-3</v>
      </c>
      <c r="BS14" s="1">
        <v>4.9899999999999996E-3</v>
      </c>
      <c r="BT14" s="1">
        <v>5.3099999999999996E-3</v>
      </c>
      <c r="BU14" s="1">
        <v>5.0600000000000003E-3</v>
      </c>
      <c r="BV14" s="1">
        <v>5.1500000000000001E-3</v>
      </c>
      <c r="BW14" s="1">
        <v>5.7299999999999999E-3</v>
      </c>
      <c r="BX14" s="1">
        <v>6.0299999999999998E-3</v>
      </c>
      <c r="BY14" s="1">
        <v>6.1900000000000002E-3</v>
      </c>
      <c r="BZ14" s="1">
        <v>6.1500000000000001E-3</v>
      </c>
      <c r="CA14" s="1">
        <v>5.7499999999999999E-3</v>
      </c>
      <c r="CB14" s="1">
        <v>5.4400000000000004E-3</v>
      </c>
      <c r="CC14" s="1">
        <v>5.64E-3</v>
      </c>
      <c r="CD14" s="1">
        <v>5.7800000000000004E-3</v>
      </c>
      <c r="CE14" s="1">
        <v>6.0699999999999999E-3</v>
      </c>
      <c r="CF14" s="1">
        <v>5.7000000000000002E-3</v>
      </c>
      <c r="CG14" s="1">
        <v>6.6499999999999997E-3</v>
      </c>
      <c r="CH14" s="1">
        <v>7.5399999999999998E-3</v>
      </c>
      <c r="CI14" s="1">
        <v>8.1499999999999993E-3</v>
      </c>
      <c r="CJ14" s="1">
        <v>7.77E-3</v>
      </c>
      <c r="CK14" s="1">
        <v>7.4200000000000004E-3</v>
      </c>
      <c r="CL14" s="1">
        <v>8.7299999999999999E-3</v>
      </c>
      <c r="CM14" s="1">
        <v>9.4199999999999996E-3</v>
      </c>
      <c r="CN14" s="1">
        <v>1.32E-2</v>
      </c>
      <c r="CO14" s="1">
        <v>1.4E-2</v>
      </c>
      <c r="CP14" s="1">
        <v>2.1999999999999999E-2</v>
      </c>
      <c r="CQ14" s="1">
        <v>1.09E-2</v>
      </c>
      <c r="CR14" s="1">
        <v>1.03E-2</v>
      </c>
      <c r="CS14" s="1">
        <v>1.23E-2</v>
      </c>
      <c r="CT14" s="1">
        <v>1.0999999999999999E-2</v>
      </c>
      <c r="CU14" s="1">
        <v>1.01E-2</v>
      </c>
      <c r="CV14" s="1">
        <v>5.9500000000000004E-3</v>
      </c>
    </row>
    <row r="15" spans="1:100" x14ac:dyDescent="0.2">
      <c r="A15" t="s">
        <v>224</v>
      </c>
      <c r="B15" s="1">
        <v>-4.3299999999999998E-2</v>
      </c>
      <c r="C15" s="1">
        <v>-4.3299999999999998E-2</v>
      </c>
      <c r="D15" s="1">
        <v>-4.3299999999999998E-2</v>
      </c>
      <c r="E15" s="1">
        <v>0.10100000000000001</v>
      </c>
      <c r="F15" s="1">
        <v>-0.317</v>
      </c>
      <c r="G15" s="1">
        <v>-0.38600000000000001</v>
      </c>
      <c r="H15" s="1">
        <v>-0.44</v>
      </c>
      <c r="I15" s="1">
        <v>-0.39600000000000002</v>
      </c>
      <c r="J15" s="1">
        <v>-0.41699999999999998</v>
      </c>
      <c r="K15" s="1">
        <v>-0.36799999999999999</v>
      </c>
      <c r="L15" s="1">
        <v>-0.33</v>
      </c>
      <c r="M15" s="1">
        <v>-0.35399999999999998</v>
      </c>
      <c r="N15" s="1">
        <v>-0.28499999999999998</v>
      </c>
      <c r="O15" s="1">
        <v>-0.23799999999999999</v>
      </c>
      <c r="P15" s="1">
        <v>-0.19900000000000001</v>
      </c>
      <c r="Q15" s="1">
        <v>-0.23100000000000001</v>
      </c>
      <c r="R15" s="1">
        <v>-0.20499999999999999</v>
      </c>
      <c r="S15" s="1">
        <v>-0.21</v>
      </c>
      <c r="T15" s="1">
        <v>-0.17699999999999999</v>
      </c>
      <c r="U15" s="1">
        <v>-0.21199999999999999</v>
      </c>
      <c r="V15" s="1">
        <v>-0.151</v>
      </c>
      <c r="W15" s="1">
        <v>-0.14299999999999999</v>
      </c>
      <c r="X15" s="1">
        <v>-0.14000000000000001</v>
      </c>
      <c r="Y15" s="1">
        <v>-0.12</v>
      </c>
      <c r="Z15" s="1">
        <v>-0.13700000000000001</v>
      </c>
      <c r="AA15" s="1">
        <v>-0.13300000000000001</v>
      </c>
      <c r="AB15" s="1">
        <v>-0.13600000000000001</v>
      </c>
      <c r="AC15" s="1">
        <v>-0.13700000000000001</v>
      </c>
      <c r="AD15" s="1">
        <v>-0.157</v>
      </c>
      <c r="AE15" s="1">
        <v>-0.155</v>
      </c>
      <c r="AF15" s="1">
        <v>-0.152</v>
      </c>
      <c r="AG15" s="1">
        <v>-0.13300000000000001</v>
      </c>
      <c r="AH15" s="1">
        <v>-0.11700000000000001</v>
      </c>
      <c r="AI15" s="1">
        <v>-0.11600000000000001</v>
      </c>
      <c r="AJ15" s="1">
        <v>-0.106</v>
      </c>
      <c r="AK15" s="1">
        <v>-9.5200000000000007E-2</v>
      </c>
      <c r="AL15" s="1">
        <v>-8.6599999999999996E-2</v>
      </c>
      <c r="AM15" s="1">
        <v>-8.43E-2</v>
      </c>
      <c r="AN15" s="1">
        <v>-8.72E-2</v>
      </c>
      <c r="AO15" s="1">
        <v>-9.2100000000000001E-2</v>
      </c>
      <c r="AP15" s="1">
        <v>-0.10100000000000001</v>
      </c>
      <c r="AQ15" s="1">
        <v>-0.10199999999999999</v>
      </c>
      <c r="AR15" s="1">
        <v>-0.109</v>
      </c>
      <c r="AS15" s="1">
        <v>-9.0800000000000006E-2</v>
      </c>
      <c r="AT15" s="1">
        <v>-8.9300000000000004E-2</v>
      </c>
      <c r="AU15" s="1">
        <v>-0.10199999999999999</v>
      </c>
      <c r="AV15" s="1">
        <v>-9.5200000000000007E-2</v>
      </c>
      <c r="AW15" s="1">
        <v>-7.6499999999999999E-2</v>
      </c>
      <c r="AX15" s="1">
        <v>-9.6100000000000005E-2</v>
      </c>
      <c r="AY15" s="1">
        <v>-8.3500000000000005E-2</v>
      </c>
      <c r="AZ15" s="1">
        <v>-7.3499999999999996E-2</v>
      </c>
      <c r="BA15" s="1">
        <v>-6.6299999999999998E-2</v>
      </c>
      <c r="BB15" s="1">
        <v>-5.5199999999999999E-2</v>
      </c>
      <c r="BC15" s="1">
        <v>-4.9399999999999999E-2</v>
      </c>
      <c r="BD15" s="1">
        <v>-5.1700000000000003E-2</v>
      </c>
      <c r="BE15" s="1">
        <v>-7.4399999999999994E-2</v>
      </c>
      <c r="BF15" s="1">
        <v>-7.8700000000000006E-2</v>
      </c>
      <c r="BG15" s="1">
        <v>-7.46E-2</v>
      </c>
      <c r="BH15" s="1">
        <v>-6.9099999999999995E-2</v>
      </c>
      <c r="BI15" s="1">
        <v>-0.104</v>
      </c>
      <c r="BJ15" s="1">
        <v>-0.16300000000000001</v>
      </c>
      <c r="BK15" s="1">
        <v>-0.186</v>
      </c>
      <c r="BL15" s="1">
        <v>-0.151</v>
      </c>
      <c r="BM15" s="1">
        <v>-0.13900000000000001</v>
      </c>
      <c r="BN15" s="1">
        <v>-0.10100000000000001</v>
      </c>
      <c r="BO15" s="1">
        <v>-6.4699999999999994E-2</v>
      </c>
      <c r="BP15" s="1">
        <v>-4.8599999999999997E-2</v>
      </c>
      <c r="BQ15" s="1">
        <v>-1.8599999999999998E-2</v>
      </c>
      <c r="BR15" s="1">
        <v>-2.8799999999999999E-2</v>
      </c>
      <c r="BS15" s="1">
        <v>-4.8599999999999997E-3</v>
      </c>
      <c r="BT15" s="1">
        <v>-2.5100000000000001E-2</v>
      </c>
      <c r="BU15" s="1">
        <v>-1.5599999999999999E-2</v>
      </c>
      <c r="BV15" s="1">
        <v>-3.5400000000000001E-2</v>
      </c>
      <c r="BW15" s="1">
        <v>-0.108</v>
      </c>
      <c r="BX15" s="1">
        <v>-0.16600000000000001</v>
      </c>
      <c r="BY15" s="1">
        <v>-0.14299999999999999</v>
      </c>
      <c r="BZ15" s="1">
        <v>-6.4000000000000001E-2</v>
      </c>
      <c r="CA15" s="1">
        <v>-2.1600000000000001E-2</v>
      </c>
      <c r="CB15" s="1">
        <v>6.2700000000000004E-3</v>
      </c>
      <c r="CC15" s="1">
        <v>-4.0800000000000003E-2</v>
      </c>
      <c r="CD15" s="1">
        <v>-8.6599999999999996E-2</v>
      </c>
      <c r="CE15" s="1">
        <v>-0.14299999999999999</v>
      </c>
      <c r="CF15" s="1">
        <v>-5.9400000000000001E-2</v>
      </c>
      <c r="CG15" s="1">
        <v>-8.4599999999999995E-2</v>
      </c>
      <c r="CH15" s="1">
        <v>-0.13900000000000001</v>
      </c>
      <c r="CI15" s="1">
        <v>-0.192</v>
      </c>
      <c r="CJ15" s="1">
        <v>-0.14399999999999999</v>
      </c>
      <c r="CK15" s="1">
        <v>-7.8299999999999995E-2</v>
      </c>
      <c r="CL15" s="1">
        <v>-0.11799999999999999</v>
      </c>
      <c r="CM15" s="1">
        <v>-7.0199999999999999E-2</v>
      </c>
      <c r="CN15" s="1">
        <v>-0.24399999999999999</v>
      </c>
      <c r="CO15" s="1">
        <v>-0.30099999999999999</v>
      </c>
      <c r="CP15" s="1">
        <v>-0.63600000000000001</v>
      </c>
      <c r="CQ15" s="1">
        <v>0.34499999999999997</v>
      </c>
      <c r="CR15" s="1">
        <v>0.21</v>
      </c>
      <c r="CS15" s="1">
        <v>7.8799999999999999E-3</v>
      </c>
      <c r="CT15" s="1">
        <v>0.32800000000000001</v>
      </c>
      <c r="CU15" s="1">
        <v>-3.7499999999999999E-2</v>
      </c>
      <c r="CV15" s="1">
        <v>-0.11</v>
      </c>
    </row>
    <row r="16" spans="1:100" x14ac:dyDescent="0.2">
      <c r="A16" t="s">
        <v>225</v>
      </c>
      <c r="B16" s="1">
        <v>6.28E-3</v>
      </c>
      <c r="C16" s="1">
        <v>6.28E-3</v>
      </c>
      <c r="D16" s="1">
        <v>6.28E-3</v>
      </c>
      <c r="E16" s="1">
        <v>0.224</v>
      </c>
      <c r="F16" s="1">
        <v>-0.216</v>
      </c>
      <c r="G16" s="1">
        <v>-0.154</v>
      </c>
      <c r="H16" s="1">
        <v>-8.6300000000000002E-2</v>
      </c>
      <c r="I16" s="1">
        <v>-0.11</v>
      </c>
      <c r="J16" s="1">
        <v>-0.121</v>
      </c>
      <c r="K16" s="1">
        <v>-0.16200000000000001</v>
      </c>
      <c r="L16" s="1">
        <v>-0.122</v>
      </c>
      <c r="M16" s="1">
        <v>-0.11899999999999999</v>
      </c>
      <c r="N16" s="1">
        <v>-7.0400000000000004E-2</v>
      </c>
      <c r="O16" s="1">
        <v>-5.9499999999999997E-2</v>
      </c>
      <c r="P16" s="1">
        <v>-2.2800000000000001E-2</v>
      </c>
      <c r="Q16" s="1">
        <v>-5.2699999999999997E-2</v>
      </c>
      <c r="R16" s="1">
        <v>-6.2399999999999997E-2</v>
      </c>
      <c r="S16" s="1">
        <v>-7.1300000000000002E-2</v>
      </c>
      <c r="T16" s="1">
        <v>-6.7500000000000004E-2</v>
      </c>
      <c r="U16" s="1">
        <v>-0.11</v>
      </c>
      <c r="V16" s="1">
        <v>-6.8199999999999997E-2</v>
      </c>
      <c r="W16" s="1">
        <v>-6.3899999999999998E-2</v>
      </c>
      <c r="X16" s="1">
        <v>-8.1699999999999995E-2</v>
      </c>
      <c r="Y16" s="1">
        <v>-6.9099999999999995E-2</v>
      </c>
      <c r="Z16" s="1">
        <v>-8.48E-2</v>
      </c>
      <c r="AA16" s="1">
        <v>-8.6999999999999994E-2</v>
      </c>
      <c r="AB16" s="1">
        <v>-8.5300000000000001E-2</v>
      </c>
      <c r="AC16" s="1">
        <v>-9.2700000000000005E-2</v>
      </c>
      <c r="AD16" s="1">
        <v>-9.9699999999999997E-2</v>
      </c>
      <c r="AE16" s="1">
        <v>-0.105</v>
      </c>
      <c r="AF16" s="1">
        <v>-0.104</v>
      </c>
      <c r="AG16" s="1">
        <v>-9.6799999999999997E-2</v>
      </c>
      <c r="AH16" s="1">
        <v>-0.10100000000000001</v>
      </c>
      <c r="AI16" s="1">
        <v>-9.7100000000000006E-2</v>
      </c>
      <c r="AJ16" s="1">
        <v>-7.2499999999999995E-2</v>
      </c>
      <c r="AK16" s="1">
        <v>-5.9799999999999999E-2</v>
      </c>
      <c r="AL16" s="1">
        <v>-5.45E-2</v>
      </c>
      <c r="AM16" s="1">
        <v>-5.3600000000000002E-2</v>
      </c>
      <c r="AN16" s="1">
        <v>-4.4999999999999998E-2</v>
      </c>
      <c r="AO16" s="1">
        <v>-4.9099999999999998E-2</v>
      </c>
      <c r="AP16" s="1">
        <v>-5.5100000000000003E-2</v>
      </c>
      <c r="AQ16" s="1">
        <v>-4.0300000000000002E-2</v>
      </c>
      <c r="AR16" s="1">
        <v>-5.45E-2</v>
      </c>
      <c r="AS16" s="1">
        <v>-5.0099999999999999E-2</v>
      </c>
      <c r="AT16" s="1">
        <v>-5.4800000000000001E-2</v>
      </c>
      <c r="AU16" s="1">
        <v>-7.2800000000000004E-2</v>
      </c>
      <c r="AV16" s="1">
        <v>-5.5500000000000001E-2</v>
      </c>
      <c r="AW16" s="1">
        <v>-5.0099999999999999E-2</v>
      </c>
      <c r="AX16" s="1">
        <v>-5.4600000000000003E-2</v>
      </c>
      <c r="AY16" s="1">
        <v>-3.5499999999999997E-2</v>
      </c>
      <c r="AZ16" s="1">
        <v>-3.04E-2</v>
      </c>
      <c r="BA16" s="1">
        <v>-2.8000000000000001E-2</v>
      </c>
      <c r="BB16" s="1">
        <v>-1.5900000000000001E-2</v>
      </c>
      <c r="BC16" s="1">
        <v>1.32E-2</v>
      </c>
      <c r="BD16" s="1">
        <v>4.5799999999999999E-3</v>
      </c>
      <c r="BE16" s="1">
        <v>-1.17E-2</v>
      </c>
      <c r="BF16" s="1">
        <v>-2.01E-2</v>
      </c>
      <c r="BG16" s="1">
        <v>-1.3100000000000001E-2</v>
      </c>
      <c r="BH16" s="1">
        <v>-1.55E-2</v>
      </c>
      <c r="BI16" s="1">
        <v>-5.4800000000000001E-2</v>
      </c>
      <c r="BJ16" s="1">
        <v>-0.115</v>
      </c>
      <c r="BK16" s="1">
        <v>-0.129</v>
      </c>
      <c r="BL16" s="1">
        <v>-7.9600000000000004E-2</v>
      </c>
      <c r="BM16" s="1">
        <v>-8.2699999999999996E-2</v>
      </c>
      <c r="BN16" s="1">
        <v>-6.1600000000000002E-2</v>
      </c>
      <c r="BO16" s="1">
        <v>-2.81E-2</v>
      </c>
      <c r="BP16" s="1">
        <v>-4.1000000000000003E-3</v>
      </c>
      <c r="BQ16" s="1">
        <v>1.44E-2</v>
      </c>
      <c r="BR16" s="1">
        <v>2.6800000000000001E-3</v>
      </c>
      <c r="BS16" s="1">
        <v>1.9400000000000001E-2</v>
      </c>
      <c r="BT16" s="1">
        <v>-7.6299999999999996E-3</v>
      </c>
      <c r="BU16" s="1">
        <v>-0.02</v>
      </c>
      <c r="BV16" s="1">
        <v>-5.6899999999999999E-2</v>
      </c>
      <c r="BW16" s="1">
        <v>-0.104</v>
      </c>
      <c r="BX16" s="1">
        <v>-0.15</v>
      </c>
      <c r="BY16" s="1">
        <v>-0.14099999999999999</v>
      </c>
      <c r="BZ16" s="1">
        <v>-4.6600000000000003E-2</v>
      </c>
      <c r="CA16" s="1">
        <v>1.0200000000000001E-2</v>
      </c>
      <c r="CB16" s="1">
        <v>3.5099999999999999E-2</v>
      </c>
      <c r="CC16" s="1">
        <v>-5.8700000000000002E-2</v>
      </c>
      <c r="CD16" s="1">
        <v>-0.10100000000000001</v>
      </c>
      <c r="CE16" s="1">
        <v>-0.153</v>
      </c>
      <c r="CF16" s="1">
        <v>-6.8599999999999994E-2</v>
      </c>
      <c r="CG16" s="1">
        <v>-0.121</v>
      </c>
      <c r="CH16" s="1">
        <v>-0.152</v>
      </c>
      <c r="CI16" s="1">
        <v>-0.22700000000000001</v>
      </c>
      <c r="CJ16" s="1">
        <v>-0.161</v>
      </c>
      <c r="CK16" s="1">
        <v>-5.74E-2</v>
      </c>
      <c r="CL16" s="1">
        <v>-9.1600000000000001E-2</v>
      </c>
      <c r="CM16" s="1">
        <v>-2.2700000000000001E-2</v>
      </c>
      <c r="CN16" s="1">
        <v>-0.246</v>
      </c>
      <c r="CO16" s="1">
        <v>-0.10199999999999999</v>
      </c>
      <c r="CP16" s="1">
        <v>-0.65300000000000002</v>
      </c>
      <c r="CQ16" s="1">
        <v>0.47099999999999997</v>
      </c>
      <c r="CR16" s="1">
        <v>0.372</v>
      </c>
      <c r="CS16" s="1">
        <v>0.157</v>
      </c>
      <c r="CT16" s="1">
        <v>1.403</v>
      </c>
      <c r="CU16" s="1">
        <v>0.375</v>
      </c>
      <c r="CV16" s="1">
        <v>9.3299999999999994E-2</v>
      </c>
    </row>
    <row r="17" spans="1:100" x14ac:dyDescent="0.2">
      <c r="A17" t="s">
        <v>210</v>
      </c>
      <c r="B17" s="1">
        <v>1.4400000000000001E-3</v>
      </c>
      <c r="C17" s="1">
        <v>1.4400000000000001E-3</v>
      </c>
      <c r="D17" s="1">
        <v>1.4400000000000001E-3</v>
      </c>
      <c r="E17" s="1">
        <v>-7.9000000000000001E-2</v>
      </c>
      <c r="F17" s="1">
        <v>-1.9400000000000001E-2</v>
      </c>
      <c r="G17" s="1">
        <v>-4.28E-3</v>
      </c>
      <c r="H17" s="1">
        <v>-1.6799999999999999E-2</v>
      </c>
      <c r="I17" s="1">
        <v>-5.4400000000000004E-3</v>
      </c>
      <c r="J17" s="1">
        <v>9.4099999999999997E-5</v>
      </c>
      <c r="K17" s="1">
        <v>-3.98E-3</v>
      </c>
      <c r="L17" s="1">
        <v>-3.1800000000000001E-3</v>
      </c>
      <c r="M17" s="1">
        <v>-6.7000000000000002E-3</v>
      </c>
      <c r="N17" s="1">
        <v>-9.0399999999999994E-3</v>
      </c>
      <c r="O17" s="1">
        <v>-7.2100000000000003E-3</v>
      </c>
      <c r="P17" s="1">
        <v>-1.2800000000000001E-2</v>
      </c>
      <c r="Q17" s="1">
        <v>-7.1500000000000001E-3</v>
      </c>
      <c r="R17" s="1">
        <v>-3.3999999999999998E-3</v>
      </c>
      <c r="S17" s="1">
        <v>1.4300000000000001E-4</v>
      </c>
      <c r="T17" s="1">
        <v>3.2899999999999997E-4</v>
      </c>
      <c r="U17" s="1">
        <v>5.7499999999999999E-3</v>
      </c>
      <c r="V17" s="1">
        <v>1.31E-3</v>
      </c>
      <c r="W17" s="1">
        <v>2.8E-3</v>
      </c>
      <c r="X17" s="1">
        <v>5.9100000000000003E-3</v>
      </c>
      <c r="Y17" s="1">
        <v>4.0299999999999997E-3</v>
      </c>
      <c r="Z17" s="1">
        <v>4.3299999999999996E-3</v>
      </c>
      <c r="AA17" s="1">
        <v>5.1599999999999997E-3</v>
      </c>
      <c r="AB17" s="1">
        <v>6.2399999999999999E-3</v>
      </c>
      <c r="AC17" s="1">
        <v>6.1199999999999996E-3</v>
      </c>
      <c r="AD17" s="1">
        <v>9.1500000000000001E-3</v>
      </c>
      <c r="AE17" s="1">
        <v>9.4800000000000006E-3</v>
      </c>
      <c r="AF17" s="1">
        <v>7.4900000000000001E-3</v>
      </c>
      <c r="AG17" s="1">
        <v>3.7399999999999998E-3</v>
      </c>
      <c r="AH17" s="1">
        <v>6.0099999999999997E-3</v>
      </c>
      <c r="AI17" s="1">
        <v>3.63E-3</v>
      </c>
      <c r="AJ17" s="1">
        <v>-1.6800000000000001E-3</v>
      </c>
      <c r="AK17" s="1">
        <v>-5.5199999999999997E-3</v>
      </c>
      <c r="AL17" s="1">
        <v>-3.8800000000000002E-3</v>
      </c>
      <c r="AM17" s="1">
        <v>-5.1000000000000004E-3</v>
      </c>
      <c r="AN17" s="1">
        <v>-6.3299999999999997E-3</v>
      </c>
      <c r="AO17" s="1">
        <v>-4.4999999999999997E-3</v>
      </c>
      <c r="AP17" s="1">
        <v>-3.3599999999999998E-4</v>
      </c>
      <c r="AQ17" s="1">
        <v>-9.19E-4</v>
      </c>
      <c r="AR17" s="1">
        <v>1.97E-3</v>
      </c>
      <c r="AS17" s="1">
        <v>3.0000000000000001E-3</v>
      </c>
      <c r="AT17" s="1">
        <v>2.0799999999999998E-3</v>
      </c>
      <c r="AU17" s="1">
        <v>4.9199999999999999E-3</v>
      </c>
      <c r="AV17" s="1">
        <v>5.0600000000000003E-3</v>
      </c>
      <c r="AW17" s="1">
        <v>3.3600000000000001E-3</v>
      </c>
      <c r="AX17" s="1">
        <v>2.7599999999999999E-3</v>
      </c>
      <c r="AY17" s="1">
        <v>-1.4499999999999999E-3</v>
      </c>
      <c r="AZ17" s="1">
        <v>-1.7799999999999999E-3</v>
      </c>
      <c r="BA17" s="1">
        <v>-2.15E-3</v>
      </c>
      <c r="BB17" s="1">
        <v>-3.96E-3</v>
      </c>
      <c r="BC17" s="1">
        <v>-6.7999999999999996E-3</v>
      </c>
      <c r="BD17" s="1">
        <v>-8.1200000000000005E-3</v>
      </c>
      <c r="BE17" s="1">
        <v>-3.3E-3</v>
      </c>
      <c r="BF17" s="1">
        <v>-1.1800000000000001E-3</v>
      </c>
      <c r="BG17" s="1">
        <v>-2.7300000000000002E-4</v>
      </c>
      <c r="BH17" s="1">
        <v>2.47E-3</v>
      </c>
      <c r="BI17" s="1">
        <v>5.5999999999999999E-3</v>
      </c>
      <c r="BJ17" s="1">
        <v>1.5900000000000001E-2</v>
      </c>
      <c r="BK17" s="1">
        <v>1.7999999999999999E-2</v>
      </c>
      <c r="BL17" s="1">
        <v>1.03E-2</v>
      </c>
      <c r="BM17" s="1">
        <v>6.8300000000000001E-3</v>
      </c>
      <c r="BN17" s="1">
        <v>3.5100000000000001E-3</v>
      </c>
      <c r="BO17" s="1">
        <v>8.6200000000000003E-4</v>
      </c>
      <c r="BP17" s="1">
        <v>-2.3600000000000001E-3</v>
      </c>
      <c r="BQ17" s="1">
        <v>-7.85E-4</v>
      </c>
      <c r="BR17" s="1">
        <v>-1.83E-4</v>
      </c>
      <c r="BS17" s="1">
        <v>-2.4099999999999998E-3</v>
      </c>
      <c r="BT17" s="1">
        <v>-2.7200000000000002E-3</v>
      </c>
      <c r="BU17" s="1">
        <v>4.66E-4</v>
      </c>
      <c r="BV17" s="1">
        <v>5.1399999999999996E-3</v>
      </c>
      <c r="BW17" s="1">
        <v>1.32E-2</v>
      </c>
      <c r="BX17" s="1">
        <v>1.6500000000000001E-2</v>
      </c>
      <c r="BY17" s="1">
        <v>1.8100000000000002E-2</v>
      </c>
      <c r="BZ17" s="1">
        <v>4.7800000000000004E-3</v>
      </c>
      <c r="CA17" s="1">
        <v>-3.81E-3</v>
      </c>
      <c r="CB17" s="1">
        <v>-2.7899999999999999E-3</v>
      </c>
      <c r="CC17" s="1">
        <v>1.23E-2</v>
      </c>
      <c r="CD17" s="1">
        <v>1.32E-2</v>
      </c>
      <c r="CE17" s="1">
        <v>1.9400000000000001E-2</v>
      </c>
      <c r="CF17" s="1">
        <v>8.3199999999999993E-3</v>
      </c>
      <c r="CG17" s="1">
        <v>9.2300000000000004E-3</v>
      </c>
      <c r="CH17" s="1">
        <v>1.46E-2</v>
      </c>
      <c r="CI17" s="1">
        <v>2.1399999999999999E-2</v>
      </c>
      <c r="CJ17" s="1">
        <v>9.6200000000000001E-3</v>
      </c>
      <c r="CK17" s="1">
        <v>7.1199999999999996E-4</v>
      </c>
      <c r="CL17" s="1">
        <v>-2.3099999999999999E-2</v>
      </c>
      <c r="CM17" s="1">
        <v>-5.7700000000000001E-2</v>
      </c>
      <c r="CN17" s="1">
        <v>-7.3400000000000007E-2</v>
      </c>
      <c r="CO17" s="1">
        <v>-0.13200000000000001</v>
      </c>
      <c r="CP17" s="1">
        <v>-0.214</v>
      </c>
      <c r="CQ17" s="1">
        <v>-0.161</v>
      </c>
      <c r="CR17" s="1">
        <v>-4.7500000000000001E-2</v>
      </c>
      <c r="CS17" s="1">
        <v>5.3800000000000001E-2</v>
      </c>
      <c r="CT17" s="1">
        <v>0.35099999999999998</v>
      </c>
      <c r="CU17" s="1">
        <v>0.125</v>
      </c>
      <c r="CV17" s="1">
        <v>8.7800000000000003E-2</v>
      </c>
    </row>
    <row r="18" spans="1:100" x14ac:dyDescent="0.2">
      <c r="A18" t="s">
        <v>211</v>
      </c>
      <c r="B18" s="1">
        <v>4.3299999999999996E-3</v>
      </c>
      <c r="C18" s="1">
        <v>4.3299999999999996E-3</v>
      </c>
      <c r="D18" s="1">
        <v>4.3299999999999996E-3</v>
      </c>
      <c r="E18" s="1">
        <v>9.4200000000000006E-2</v>
      </c>
      <c r="F18" s="1">
        <v>7.6399999999999996E-2</v>
      </c>
      <c r="G18" s="1">
        <v>3.5499999999999997E-2</v>
      </c>
      <c r="H18" s="1">
        <v>1.23E-2</v>
      </c>
      <c r="I18" s="1">
        <v>1.9599999999999999E-2</v>
      </c>
      <c r="J18" s="1">
        <v>0.01</v>
      </c>
      <c r="K18" s="1">
        <v>7.0800000000000004E-3</v>
      </c>
      <c r="L18" s="1">
        <v>5.0800000000000003E-3</v>
      </c>
      <c r="M18" s="1">
        <v>6.79E-3</v>
      </c>
      <c r="N18" s="1">
        <v>-3.2899999999999997E-4</v>
      </c>
      <c r="O18" s="1">
        <v>-1.17E-3</v>
      </c>
      <c r="P18" s="1">
        <v>-4.3E-3</v>
      </c>
      <c r="Q18" s="1">
        <v>-4.6000000000000001E-4</v>
      </c>
      <c r="R18" s="1">
        <v>2.0200000000000001E-3</v>
      </c>
      <c r="S18" s="1">
        <v>2.82E-3</v>
      </c>
      <c r="T18" s="1">
        <v>1.01E-3</v>
      </c>
      <c r="U18" s="1">
        <v>5.5900000000000004E-3</v>
      </c>
      <c r="V18" s="1">
        <v>2.2899999999999999E-3</v>
      </c>
      <c r="W18" s="1">
        <v>5.0600000000000003E-3</v>
      </c>
      <c r="X18" s="1">
        <v>4.0200000000000001E-3</v>
      </c>
      <c r="Y18" s="1">
        <v>3.3700000000000002E-3</v>
      </c>
      <c r="Z18" s="1">
        <v>3.6099999999999999E-3</v>
      </c>
      <c r="AA18" s="1">
        <v>5.1999999999999998E-3</v>
      </c>
      <c r="AB18" s="1">
        <v>4.9100000000000003E-3</v>
      </c>
      <c r="AC18" s="1">
        <v>3.3400000000000001E-3</v>
      </c>
      <c r="AD18" s="1">
        <v>5.6299999999999996E-3</v>
      </c>
      <c r="AE18" s="1">
        <v>8.0199999999999994E-3</v>
      </c>
      <c r="AF18" s="1">
        <v>7.5500000000000003E-3</v>
      </c>
      <c r="AG18" s="1">
        <v>6.28E-3</v>
      </c>
      <c r="AH18" s="1">
        <v>2.0200000000000001E-3</v>
      </c>
      <c r="AI18" s="1">
        <v>4.1900000000000001E-3</v>
      </c>
      <c r="AJ18" s="1">
        <v>1.92E-3</v>
      </c>
      <c r="AK18" s="1">
        <v>3.82E-3</v>
      </c>
      <c r="AL18" s="1">
        <v>2.7000000000000001E-3</v>
      </c>
      <c r="AM18" s="1">
        <v>5.2700000000000002E-4</v>
      </c>
      <c r="AN18" s="1">
        <v>1.8500000000000001E-3</v>
      </c>
      <c r="AO18" s="1">
        <v>3.3600000000000001E-3</v>
      </c>
      <c r="AP18" s="1">
        <v>4.1200000000000004E-3</v>
      </c>
      <c r="AQ18" s="1">
        <v>5.2599999999999999E-3</v>
      </c>
      <c r="AR18" s="1">
        <v>9.3600000000000003E-3</v>
      </c>
      <c r="AS18" s="1">
        <v>7.28E-3</v>
      </c>
      <c r="AT18" s="1">
        <v>6.13E-3</v>
      </c>
      <c r="AU18" s="1">
        <v>1.04E-2</v>
      </c>
      <c r="AV18" s="1">
        <v>8.4899999999999993E-3</v>
      </c>
      <c r="AW18" s="1">
        <v>9.9500000000000005E-3</v>
      </c>
      <c r="AX18" s="1">
        <v>1.32E-2</v>
      </c>
      <c r="AY18" s="1">
        <v>1.1900000000000001E-2</v>
      </c>
      <c r="AZ18" s="1">
        <v>6.7299999999999999E-3</v>
      </c>
      <c r="BA18" s="1">
        <v>5.1599999999999997E-3</v>
      </c>
      <c r="BB18" s="1">
        <v>9.4200000000000002E-4</v>
      </c>
      <c r="BC18" s="1">
        <v>7.86E-5</v>
      </c>
      <c r="BD18" s="1">
        <v>-9.4200000000000002E-4</v>
      </c>
      <c r="BE18" s="1">
        <v>3.31E-3</v>
      </c>
      <c r="BF18" s="1">
        <v>-3.6600000000000001E-3</v>
      </c>
      <c r="BG18" s="1">
        <v>-1.03E-2</v>
      </c>
      <c r="BH18" s="1">
        <v>-4.0899999999999999E-3</v>
      </c>
      <c r="BI18" s="1">
        <v>9.4499999999999998E-4</v>
      </c>
      <c r="BJ18" s="1">
        <v>6.9300000000000004E-3</v>
      </c>
      <c r="BK18" s="1">
        <v>7.3000000000000001E-3</v>
      </c>
      <c r="BL18" s="1">
        <v>2.0500000000000002E-3</v>
      </c>
      <c r="BM18" s="1">
        <v>1.3699999999999999E-3</v>
      </c>
      <c r="BN18" s="1">
        <v>-2.8700000000000002E-3</v>
      </c>
      <c r="BO18" s="1">
        <v>-9.3100000000000006E-3</v>
      </c>
      <c r="BP18" s="1">
        <v>-7.3000000000000001E-3</v>
      </c>
      <c r="BQ18" s="1">
        <v>-9.7199999999999995E-3</v>
      </c>
      <c r="BR18" s="1">
        <v>-5.7200000000000003E-3</v>
      </c>
      <c r="BS18" s="1">
        <v>-7.9799999999999992E-3</v>
      </c>
      <c r="BT18" s="1">
        <v>-3.0899999999999999E-3</v>
      </c>
      <c r="BU18" s="1">
        <v>-8.5400000000000007E-3</v>
      </c>
      <c r="BV18" s="1">
        <v>-3.9899999999999996E-3</v>
      </c>
      <c r="BW18" s="1">
        <v>4.0600000000000002E-3</v>
      </c>
      <c r="BX18" s="1">
        <v>1.0800000000000001E-2</v>
      </c>
      <c r="BY18" s="1">
        <v>9.1800000000000007E-3</v>
      </c>
      <c r="BZ18" s="1">
        <v>-7.1700000000000002E-3</v>
      </c>
      <c r="CA18" s="1">
        <v>-1.2500000000000001E-2</v>
      </c>
      <c r="CB18" s="1">
        <v>-1.6299999999999999E-2</v>
      </c>
      <c r="CC18" s="1">
        <v>8.2500000000000004E-3</v>
      </c>
      <c r="CD18" s="1">
        <v>1.01E-2</v>
      </c>
      <c r="CE18" s="1">
        <v>1.61E-2</v>
      </c>
      <c r="CF18" s="1">
        <v>-2.47E-3</v>
      </c>
      <c r="CG18" s="1">
        <v>1.8799999999999999E-3</v>
      </c>
      <c r="CH18" s="1">
        <v>7.7600000000000004E-3</v>
      </c>
      <c r="CI18" s="1">
        <v>2.53E-2</v>
      </c>
      <c r="CJ18" s="1">
        <v>1.61E-2</v>
      </c>
      <c r="CK18" s="1">
        <v>1.0500000000000001E-2</v>
      </c>
      <c r="CL18" s="1">
        <v>1.12E-2</v>
      </c>
      <c r="CM18" s="1">
        <v>-1.5100000000000001E-2</v>
      </c>
      <c r="CN18" s="1">
        <v>-1.89E-2</v>
      </c>
      <c r="CO18" s="1">
        <v>-6.7000000000000004E-2</v>
      </c>
      <c r="CP18" s="1">
        <v>-7.85E-2</v>
      </c>
      <c r="CQ18" s="1">
        <v>-0.19400000000000001</v>
      </c>
      <c r="CR18" s="1">
        <v>-0.13200000000000001</v>
      </c>
      <c r="CS18" s="1">
        <v>-3.9600000000000003E-2</v>
      </c>
      <c r="CT18" s="1">
        <v>4.7600000000000003E-2</v>
      </c>
      <c r="CU18" s="1">
        <v>8.2600000000000007E-2</v>
      </c>
      <c r="CV18" s="1">
        <v>6.8699999999999997E-2</v>
      </c>
    </row>
    <row r="19" spans="1:100" x14ac:dyDescent="0.2">
      <c r="A19" t="s">
        <v>212</v>
      </c>
      <c r="B19" s="1">
        <v>1.5E-3</v>
      </c>
      <c r="C19" s="1">
        <v>1.5E-3</v>
      </c>
      <c r="D19" s="1">
        <v>1.5E-3</v>
      </c>
      <c r="E19" s="1">
        <v>1.4E-2</v>
      </c>
      <c r="F19" s="1">
        <v>5.1900000000000002E-2</v>
      </c>
      <c r="G19" s="1">
        <v>4.1700000000000001E-2</v>
      </c>
      <c r="H19" s="1">
        <v>1.84E-2</v>
      </c>
      <c r="I19" s="1">
        <v>1.8200000000000001E-2</v>
      </c>
      <c r="J19" s="1">
        <v>1.9599999999999999E-2</v>
      </c>
      <c r="K19" s="1">
        <v>1.7500000000000002E-2</v>
      </c>
      <c r="L19" s="1">
        <v>1.4800000000000001E-2</v>
      </c>
      <c r="M19" s="1">
        <v>1.0699999999999999E-2</v>
      </c>
      <c r="N19" s="1">
        <v>8.4700000000000001E-3</v>
      </c>
      <c r="O19" s="1">
        <v>5.94E-3</v>
      </c>
      <c r="P19" s="1">
        <v>2.4499999999999999E-3</v>
      </c>
      <c r="Q19" s="1">
        <v>3.14E-3</v>
      </c>
      <c r="R19" s="1">
        <v>3.5000000000000001E-3</v>
      </c>
      <c r="S19" s="1">
        <v>4.1399999999999996E-3</v>
      </c>
      <c r="T19" s="1">
        <v>2.6099999999999999E-3</v>
      </c>
      <c r="U19" s="1">
        <v>4.3899999999999998E-3</v>
      </c>
      <c r="V19" s="1">
        <v>2.7899999999999999E-3</v>
      </c>
      <c r="W19" s="1">
        <v>2.8E-3</v>
      </c>
      <c r="X19" s="1">
        <v>3.3300000000000001E-3</v>
      </c>
      <c r="Y19" s="1">
        <v>3.4499999999999999E-3</v>
      </c>
      <c r="Z19" s="1">
        <v>3.9699999999999996E-3</v>
      </c>
      <c r="AA19" s="1">
        <v>3.9100000000000003E-3</v>
      </c>
      <c r="AB19" s="1">
        <v>5.0200000000000002E-3</v>
      </c>
      <c r="AC19" s="1">
        <v>5.4900000000000001E-3</v>
      </c>
      <c r="AD19" s="1">
        <v>5.2300000000000003E-3</v>
      </c>
      <c r="AE19" s="1">
        <v>5.7299999999999999E-3</v>
      </c>
      <c r="AF19" s="1">
        <v>5.3299999999999997E-3</v>
      </c>
      <c r="AG19" s="1">
        <v>4.4600000000000004E-3</v>
      </c>
      <c r="AH19" s="1">
        <v>4.0899999999999999E-3</v>
      </c>
      <c r="AI19" s="1">
        <v>3.8300000000000001E-3</v>
      </c>
      <c r="AJ19" s="1">
        <v>3.3400000000000001E-3</v>
      </c>
      <c r="AK19" s="1">
        <v>3.3999999999999998E-3</v>
      </c>
      <c r="AL19" s="1">
        <v>2.4599999999999999E-3</v>
      </c>
      <c r="AM19" s="1">
        <v>3.0000000000000001E-3</v>
      </c>
      <c r="AN19" s="1">
        <v>3.5400000000000002E-3</v>
      </c>
      <c r="AO19" s="1">
        <v>3.8300000000000001E-3</v>
      </c>
      <c r="AP19" s="1">
        <v>3.9699999999999996E-3</v>
      </c>
      <c r="AQ19" s="1">
        <v>4.9100000000000003E-3</v>
      </c>
      <c r="AR19" s="1">
        <v>5.2700000000000004E-3</v>
      </c>
      <c r="AS19" s="1">
        <v>5.3E-3</v>
      </c>
      <c r="AT19" s="1">
        <v>5.1500000000000001E-3</v>
      </c>
      <c r="AU19" s="1">
        <v>5.4999999999999997E-3</v>
      </c>
      <c r="AV19" s="1">
        <v>4.6899999999999997E-3</v>
      </c>
      <c r="AW19" s="1">
        <v>3.9699999999999996E-3</v>
      </c>
      <c r="AX19" s="1">
        <v>4.1700000000000001E-3</v>
      </c>
      <c r="AY19" s="1">
        <v>4.0499999999999998E-3</v>
      </c>
      <c r="AZ19" s="1">
        <v>2.8800000000000002E-3</v>
      </c>
      <c r="BA19" s="1">
        <v>3.16E-3</v>
      </c>
      <c r="BB19" s="1">
        <v>2.6099999999999999E-3</v>
      </c>
      <c r="BC19" s="1">
        <v>1.9599999999999999E-3</v>
      </c>
      <c r="BD19" s="1">
        <v>2.31E-3</v>
      </c>
      <c r="BE19" s="1">
        <v>2.1099999999999999E-3</v>
      </c>
      <c r="BF19" s="1">
        <v>2.3500000000000001E-3</v>
      </c>
      <c r="BG19" s="1">
        <v>2.6199999999999999E-3</v>
      </c>
      <c r="BH19" s="1">
        <v>3.2699999999999999E-3</v>
      </c>
      <c r="BI19" s="1">
        <v>3.2599999999999999E-3</v>
      </c>
      <c r="BJ19" s="1">
        <v>4.2599999999999999E-3</v>
      </c>
      <c r="BK19" s="1">
        <v>3.7000000000000002E-3</v>
      </c>
      <c r="BL19" s="1">
        <v>3.3700000000000002E-3</v>
      </c>
      <c r="BM19" s="1">
        <v>3.0300000000000001E-3</v>
      </c>
      <c r="BN19" s="1">
        <v>2.0799999999999998E-3</v>
      </c>
      <c r="BO19" s="1">
        <v>1.39E-3</v>
      </c>
      <c r="BP19" s="1">
        <v>5.6099999999999998E-4</v>
      </c>
      <c r="BQ19" s="1">
        <v>3.21E-4</v>
      </c>
      <c r="BR19" s="1">
        <v>2.7000000000000001E-3</v>
      </c>
      <c r="BS19" s="1">
        <v>1.8500000000000001E-3</v>
      </c>
      <c r="BT19" s="1">
        <v>1.9300000000000001E-3</v>
      </c>
      <c r="BU19" s="1">
        <v>2.4399999999999999E-3</v>
      </c>
      <c r="BV19" s="1">
        <v>1.98E-3</v>
      </c>
      <c r="BW19" s="1">
        <v>2.3800000000000002E-3</v>
      </c>
      <c r="BX19" s="1">
        <v>2.3800000000000002E-3</v>
      </c>
      <c r="BY19" s="1">
        <v>2.5899999999999999E-3</v>
      </c>
      <c r="BZ19" s="1">
        <v>1.32E-3</v>
      </c>
      <c r="CA19" s="1">
        <v>6.0100000000000001E-6</v>
      </c>
      <c r="CB19" s="1">
        <v>-8.5899999999999995E-4</v>
      </c>
      <c r="CC19" s="1">
        <v>-1.65E-3</v>
      </c>
      <c r="CD19" s="1">
        <v>-1.6000000000000001E-3</v>
      </c>
      <c r="CE19" s="1">
        <v>2.7599999999999999E-4</v>
      </c>
      <c r="CF19" s="1">
        <v>-1.75E-3</v>
      </c>
      <c r="CG19" s="1">
        <v>-1.5399999999999999E-3</v>
      </c>
      <c r="CH19" s="1">
        <v>-1.08E-3</v>
      </c>
      <c r="CI19" s="1">
        <v>6.2100000000000002E-4</v>
      </c>
      <c r="CJ19" s="1">
        <v>-7.1199999999999996E-4</v>
      </c>
      <c r="CK19" s="1">
        <v>-3.1800000000000001E-3</v>
      </c>
      <c r="CL19" s="1">
        <v>-3.7599999999999999E-3</v>
      </c>
      <c r="CM19" s="1">
        <v>-4.2599999999999999E-3</v>
      </c>
      <c r="CN19" s="1">
        <v>-5.8399999999999997E-3</v>
      </c>
      <c r="CO19" s="1">
        <v>-1.2699999999999999E-2</v>
      </c>
      <c r="CP19" s="1">
        <v>-1.78E-2</v>
      </c>
      <c r="CQ19" s="1">
        <v>-2.18E-2</v>
      </c>
      <c r="CR19" s="1">
        <v>-1.2999999999999999E-2</v>
      </c>
      <c r="CS19" s="1">
        <v>-1.3599999999999999E-2</v>
      </c>
      <c r="CT19" s="1">
        <v>-1.5599999999999999E-2</v>
      </c>
      <c r="CU19" s="1">
        <v>9.5E-4</v>
      </c>
      <c r="CV19" s="1">
        <v>-2.47E-3</v>
      </c>
    </row>
    <row r="20" spans="1:100" x14ac:dyDescent="0.2">
      <c r="A20" t="s">
        <v>213</v>
      </c>
      <c r="B20" s="1">
        <v>-2.2799999999999999E-3</v>
      </c>
      <c r="C20" s="1">
        <v>-2.2799999999999999E-3</v>
      </c>
      <c r="D20" s="1">
        <v>-2.2799999999999999E-3</v>
      </c>
      <c r="E20" s="1">
        <v>0.28699999999999998</v>
      </c>
      <c r="F20" s="1">
        <v>-1.72E-2</v>
      </c>
      <c r="G20" s="1">
        <v>-5.0200000000000002E-2</v>
      </c>
      <c r="H20" s="1">
        <v>-1.2999999999999999E-2</v>
      </c>
      <c r="I20" s="1">
        <v>-4.3900000000000002E-2</v>
      </c>
      <c r="J20" s="1">
        <v>-4.9799999999999997E-2</v>
      </c>
      <c r="K20" s="1">
        <v>-3.39E-2</v>
      </c>
      <c r="L20" s="1">
        <v>-1.5800000000000002E-2</v>
      </c>
      <c r="M20" s="1">
        <v>-4.1099999999999999E-3</v>
      </c>
      <c r="N20" s="1">
        <v>0.03</v>
      </c>
      <c r="O20" s="1">
        <v>3.44E-2</v>
      </c>
      <c r="P20" s="1">
        <v>6.5699999999999995E-2</v>
      </c>
      <c r="Q20" s="1">
        <v>2.4500000000000001E-2</v>
      </c>
      <c r="R20" s="1">
        <v>2.35E-2</v>
      </c>
      <c r="S20" s="1">
        <v>-3.7200000000000002E-3</v>
      </c>
      <c r="T20" s="1">
        <v>1.17E-3</v>
      </c>
      <c r="U20" s="1">
        <v>-1.1299999999999999E-2</v>
      </c>
      <c r="V20" s="1">
        <v>1.2E-2</v>
      </c>
      <c r="W20" s="1">
        <v>1.06E-2</v>
      </c>
      <c r="X20" s="1">
        <v>1.3799999999999999E-3</v>
      </c>
      <c r="Y20" s="1">
        <v>-2.5100000000000001E-3</v>
      </c>
      <c r="Z20" s="1">
        <v>-1.6500000000000001E-2</v>
      </c>
      <c r="AA20" s="1">
        <v>-1.2999999999999999E-2</v>
      </c>
      <c r="AB20" s="1">
        <v>-1.01E-2</v>
      </c>
      <c r="AC20" s="1">
        <v>-1.61E-2</v>
      </c>
      <c r="AD20" s="1">
        <v>-1.2999999999999999E-2</v>
      </c>
      <c r="AE20" s="1">
        <v>-2.41E-2</v>
      </c>
      <c r="AF20" s="1">
        <v>-1.4800000000000001E-2</v>
      </c>
      <c r="AG20" s="1">
        <v>-1.0699999999999999E-2</v>
      </c>
      <c r="AH20" s="1">
        <v>-1.35E-2</v>
      </c>
      <c r="AI20" s="1">
        <v>-1.09E-2</v>
      </c>
      <c r="AJ20" s="1">
        <v>-2.2300000000000002E-3</v>
      </c>
      <c r="AK20" s="1">
        <v>6.4999999999999997E-3</v>
      </c>
      <c r="AL20" s="1">
        <v>8.43E-3</v>
      </c>
      <c r="AM20" s="1">
        <v>-6.2500000000000003E-3</v>
      </c>
      <c r="AN20" s="1">
        <v>1.05E-4</v>
      </c>
      <c r="AO20" s="1">
        <v>3.0699999999999998E-3</v>
      </c>
      <c r="AP20" s="1">
        <v>-4.2500000000000003E-3</v>
      </c>
      <c r="AQ20" s="1">
        <v>-3.16E-3</v>
      </c>
      <c r="AR20" s="1">
        <v>-2.0400000000000001E-3</v>
      </c>
      <c r="AS20" s="1">
        <v>-6.3099999999999996E-3</v>
      </c>
      <c r="AT20" s="1">
        <v>-3.9300000000000003E-3</v>
      </c>
      <c r="AU20" s="1">
        <v>4.7999999999999996E-3</v>
      </c>
      <c r="AV20" s="1">
        <v>1.2099999999999999E-3</v>
      </c>
      <c r="AW20" s="1">
        <v>-3.0200000000000001E-3</v>
      </c>
      <c r="AX20" s="1">
        <v>9.6799999999999994E-3</v>
      </c>
      <c r="AY20" s="1">
        <v>1.43E-2</v>
      </c>
      <c r="AZ20" s="1">
        <v>1.4999999999999999E-2</v>
      </c>
      <c r="BA20" s="1">
        <v>1.84E-2</v>
      </c>
      <c r="BB20" s="1">
        <v>2.0799999999999999E-2</v>
      </c>
      <c r="BC20" s="1">
        <v>2.6200000000000001E-2</v>
      </c>
      <c r="BD20" s="1">
        <v>2.75E-2</v>
      </c>
      <c r="BE20" s="1">
        <v>1.3100000000000001E-2</v>
      </c>
      <c r="BF20" s="1">
        <v>-2.12E-4</v>
      </c>
      <c r="BG20" s="1">
        <v>-2.5799999999999998E-3</v>
      </c>
      <c r="BH20" s="1">
        <v>-2.2599999999999999E-3</v>
      </c>
      <c r="BI20" s="1">
        <v>-7.4299999999999995E-4</v>
      </c>
      <c r="BJ20" s="1">
        <v>-2.31E-3</v>
      </c>
      <c r="BK20" s="1">
        <v>1.97E-3</v>
      </c>
      <c r="BL20" s="1">
        <v>8.6800000000000002E-3</v>
      </c>
      <c r="BM20" s="1">
        <v>5.96E-3</v>
      </c>
      <c r="BN20" s="1">
        <v>1.04E-2</v>
      </c>
      <c r="BO20" s="1">
        <v>6.6499999999999997E-3</v>
      </c>
      <c r="BP20" s="1">
        <v>1.2800000000000001E-2</v>
      </c>
      <c r="BQ20" s="1">
        <v>1.29E-2</v>
      </c>
      <c r="BR20" s="1">
        <v>1.9300000000000001E-2</v>
      </c>
      <c r="BS20" s="1">
        <v>2.2499999999999999E-2</v>
      </c>
      <c r="BT20" s="1">
        <v>2.6700000000000002E-2</v>
      </c>
      <c r="BU20" s="1">
        <v>1.43E-2</v>
      </c>
      <c r="BV20" s="1">
        <v>2.0500000000000002E-3</v>
      </c>
      <c r="BW20" s="1">
        <v>7.3899999999999999E-3</v>
      </c>
      <c r="BX20" s="1">
        <v>7.5100000000000002E-3</v>
      </c>
      <c r="BY20" s="1">
        <v>1.5100000000000001E-2</v>
      </c>
      <c r="BZ20" s="1">
        <v>3.56E-2</v>
      </c>
      <c r="CA20" s="1">
        <v>4.9700000000000001E-2</v>
      </c>
      <c r="CB20" s="1">
        <v>3.73E-2</v>
      </c>
      <c r="CC20" s="1">
        <v>1.4500000000000001E-2</v>
      </c>
      <c r="CD20" s="1">
        <v>1.5599999999999999E-2</v>
      </c>
      <c r="CE20" s="1">
        <v>2.23E-2</v>
      </c>
      <c r="CF20" s="1">
        <v>2.5100000000000001E-2</v>
      </c>
      <c r="CG20" s="1">
        <v>1.6299999999999999E-2</v>
      </c>
      <c r="CH20" s="1">
        <v>1.35E-2</v>
      </c>
      <c r="CI20" s="1">
        <v>7.2700000000000004E-3</v>
      </c>
      <c r="CJ20" s="1">
        <v>7.4099999999999999E-3</v>
      </c>
      <c r="CK20" s="1">
        <v>4.1599999999999996E-3</v>
      </c>
      <c r="CL20" s="1">
        <v>-1.33E-3</v>
      </c>
      <c r="CM20" s="1">
        <v>5.64E-3</v>
      </c>
      <c r="CN20" s="1">
        <v>-4.9799999999999997E-2</v>
      </c>
      <c r="CO20" s="1">
        <v>-5.6500000000000002E-2</v>
      </c>
      <c r="CP20" s="1">
        <v>-0.27900000000000003</v>
      </c>
      <c r="CQ20" s="1">
        <v>-2.76E-2</v>
      </c>
      <c r="CR20" s="1">
        <v>-2.5999999999999999E-2</v>
      </c>
      <c r="CS20" s="1">
        <v>1.9E-2</v>
      </c>
      <c r="CT20" s="1">
        <v>0.624</v>
      </c>
      <c r="CU20" s="1">
        <v>0.22700000000000001</v>
      </c>
      <c r="CV20" s="1">
        <v>8.2000000000000003E-2</v>
      </c>
    </row>
    <row r="21" spans="1:100" x14ac:dyDescent="0.2">
      <c r="A21" t="s">
        <v>226</v>
      </c>
      <c r="B21" s="1">
        <v>-6.1600000000000001E-4</v>
      </c>
      <c r="C21" s="1">
        <v>-6.1600000000000001E-4</v>
      </c>
      <c r="D21" s="1">
        <v>-6.1600000000000001E-4</v>
      </c>
      <c r="E21" s="1">
        <v>-6.2899999999999998E-2</v>
      </c>
      <c r="F21" s="1">
        <v>-2.5100000000000001E-2</v>
      </c>
      <c r="G21" s="1">
        <v>-5.16E-2</v>
      </c>
      <c r="H21" s="1">
        <v>-4.53E-2</v>
      </c>
      <c r="I21" s="1">
        <v>-4.0500000000000001E-2</v>
      </c>
      <c r="J21" s="1">
        <v>-3.1800000000000002E-2</v>
      </c>
      <c r="K21" s="1">
        <v>-3.27E-2</v>
      </c>
      <c r="L21" s="1">
        <v>-3.4000000000000002E-2</v>
      </c>
      <c r="M21" s="1">
        <v>-2.52E-2</v>
      </c>
      <c r="N21" s="1">
        <v>-1.9900000000000001E-2</v>
      </c>
      <c r="O21" s="1">
        <v>-2.2599999999999999E-2</v>
      </c>
      <c r="P21" s="1">
        <v>-1.26E-2</v>
      </c>
      <c r="Q21" s="1">
        <v>-0.01</v>
      </c>
      <c r="R21" s="1">
        <v>-8.9499999999999996E-3</v>
      </c>
      <c r="S21" s="1">
        <v>-8.3099999999999997E-3</v>
      </c>
      <c r="T21" s="1">
        <v>-7.1900000000000002E-3</v>
      </c>
      <c r="U21" s="1">
        <v>-1.14E-2</v>
      </c>
      <c r="V21" s="1">
        <v>-1.9699999999999999E-2</v>
      </c>
      <c r="W21" s="1">
        <v>-1.3899999999999999E-2</v>
      </c>
      <c r="X21" s="1">
        <v>-5.9100000000000003E-3</v>
      </c>
      <c r="Y21" s="1">
        <v>-7.9500000000000005E-3</v>
      </c>
      <c r="Z21" s="1">
        <v>-9.3399999999999993E-3</v>
      </c>
      <c r="AA21" s="1">
        <v>-1.2500000000000001E-2</v>
      </c>
      <c r="AB21" s="1">
        <v>-1.15E-2</v>
      </c>
      <c r="AC21" s="1">
        <v>-1.24E-2</v>
      </c>
      <c r="AD21" s="1">
        <v>-1.6199999999999999E-2</v>
      </c>
      <c r="AE21" s="1">
        <v>-1.1599999999999999E-2</v>
      </c>
      <c r="AF21" s="1">
        <v>-8.5500000000000003E-3</v>
      </c>
      <c r="AG21" s="1">
        <v>-1.2500000000000001E-2</v>
      </c>
      <c r="AH21" s="1">
        <v>-1.17E-2</v>
      </c>
      <c r="AI21" s="1">
        <v>-1.1299999999999999E-2</v>
      </c>
      <c r="AJ21" s="1">
        <v>-7.6400000000000001E-3</v>
      </c>
      <c r="AK21" s="1">
        <v>-7.5900000000000004E-3</v>
      </c>
      <c r="AL21" s="1">
        <v>-9.4500000000000001E-3</v>
      </c>
      <c r="AM21" s="1">
        <v>-1.0699999999999999E-2</v>
      </c>
      <c r="AN21" s="1">
        <v>-9.2499999999999995E-3</v>
      </c>
      <c r="AO21" s="1">
        <v>-1.2E-2</v>
      </c>
      <c r="AP21" s="1">
        <v>-1.06E-2</v>
      </c>
      <c r="AQ21" s="1">
        <v>-9.2800000000000001E-3</v>
      </c>
      <c r="AR21" s="1">
        <v>-7.9000000000000008E-3</v>
      </c>
      <c r="AS21" s="1">
        <v>-5.9699999999999996E-3</v>
      </c>
      <c r="AT21" s="1">
        <v>-1.44E-2</v>
      </c>
      <c r="AU21" s="1">
        <v>-1.2E-2</v>
      </c>
      <c r="AV21" s="1">
        <v>-8.3599999999999994E-3</v>
      </c>
      <c r="AW21" s="1">
        <v>-1.3899999999999999E-2</v>
      </c>
      <c r="AX21" s="1">
        <v>-1.2999999999999999E-2</v>
      </c>
      <c r="AY21" s="1">
        <v>-1.41E-2</v>
      </c>
      <c r="AZ21" s="1">
        <v>-1.52E-2</v>
      </c>
      <c r="BA21" s="1">
        <v>-8.3099999999999997E-3</v>
      </c>
      <c r="BB21" s="1">
        <v>-7.9100000000000004E-3</v>
      </c>
      <c r="BC21" s="1">
        <v>-1.0699999999999999E-2</v>
      </c>
      <c r="BD21" s="1">
        <v>-1.6199999999999999E-2</v>
      </c>
      <c r="BE21" s="1">
        <v>-1.21E-2</v>
      </c>
      <c r="BF21" s="1">
        <v>-6.7699999999999998E-4</v>
      </c>
      <c r="BG21" s="1">
        <v>-9.7099999999999999E-3</v>
      </c>
      <c r="BH21" s="1">
        <v>-2.76E-2</v>
      </c>
      <c r="BI21" s="1">
        <v>-1.6199999999999999E-2</v>
      </c>
      <c r="BJ21" s="1">
        <v>-1.6E-2</v>
      </c>
      <c r="BK21" s="1">
        <v>-1.2999999999999999E-2</v>
      </c>
      <c r="BL21" s="1">
        <v>-1.3299999999999999E-2</v>
      </c>
      <c r="BM21" s="1">
        <v>-1.18E-2</v>
      </c>
      <c r="BN21" s="1">
        <v>-0.02</v>
      </c>
      <c r="BO21" s="1">
        <v>-1.21E-2</v>
      </c>
      <c r="BP21" s="1">
        <v>-1.8700000000000001E-2</v>
      </c>
      <c r="BQ21" s="1">
        <v>-2.0899999999999998E-2</v>
      </c>
      <c r="BR21" s="1">
        <v>-1.6E-2</v>
      </c>
      <c r="BS21" s="1">
        <v>-2.0199999999999999E-2</v>
      </c>
      <c r="BT21" s="1">
        <v>-2.3300000000000001E-2</v>
      </c>
      <c r="BU21" s="1">
        <v>-1.2999999999999999E-2</v>
      </c>
      <c r="BV21" s="1">
        <v>-2.12E-2</v>
      </c>
      <c r="BW21" s="1">
        <v>-3.5900000000000001E-2</v>
      </c>
      <c r="BX21" s="1">
        <v>-2.29E-2</v>
      </c>
      <c r="BY21" s="1">
        <v>-2.7099999999999999E-2</v>
      </c>
      <c r="BZ21" s="1">
        <v>-2.24E-2</v>
      </c>
      <c r="CA21" s="1">
        <v>-2.1999999999999999E-2</v>
      </c>
      <c r="CB21" s="1">
        <v>-2.53E-2</v>
      </c>
      <c r="CC21" s="1">
        <v>-2.07E-2</v>
      </c>
      <c r="CD21" s="1">
        <v>-2.1600000000000001E-2</v>
      </c>
      <c r="CE21" s="1">
        <v>-2.3400000000000001E-2</v>
      </c>
      <c r="CF21" s="1">
        <v>-2.4899999999999999E-2</v>
      </c>
      <c r="CG21" s="1">
        <v>-3.6999999999999998E-2</v>
      </c>
      <c r="CH21" s="1">
        <v>-4.2500000000000003E-2</v>
      </c>
      <c r="CI21" s="1">
        <v>-5.5399999999999998E-2</v>
      </c>
      <c r="CJ21" s="1">
        <v>-5.4800000000000001E-2</v>
      </c>
      <c r="CK21" s="1">
        <v>-5.4600000000000003E-2</v>
      </c>
      <c r="CL21" s="1">
        <v>-6.8199999999999997E-2</v>
      </c>
      <c r="CM21" s="1">
        <v>-8.1600000000000006E-2</v>
      </c>
      <c r="CN21" s="1">
        <v>-0.12</v>
      </c>
      <c r="CO21" s="1">
        <v>-0.128</v>
      </c>
      <c r="CP21" s="1">
        <v>-0.223</v>
      </c>
      <c r="CQ21" s="1">
        <v>-4.5499999999999999E-2</v>
      </c>
      <c r="CR21" s="1">
        <v>-2.0500000000000001E-2</v>
      </c>
      <c r="CS21" s="1">
        <v>-3.8600000000000002E-2</v>
      </c>
      <c r="CT21" s="1">
        <v>9.6299999999999997E-2</v>
      </c>
      <c r="CU21" s="1">
        <v>1.5399999999999999E-3</v>
      </c>
      <c r="CV21" s="1">
        <v>1.5100000000000001E-2</v>
      </c>
    </row>
    <row r="22" spans="1:100" x14ac:dyDescent="0.2">
      <c r="A22" t="s">
        <v>227</v>
      </c>
      <c r="B22" s="1">
        <v>1.23E-2</v>
      </c>
      <c r="C22" s="1">
        <v>1.23E-2</v>
      </c>
      <c r="D22" s="1">
        <v>1.23E-2</v>
      </c>
      <c r="E22" s="1">
        <v>-6.0299999999999998E-3</v>
      </c>
      <c r="F22" s="1">
        <v>9.5000000000000001E-2</v>
      </c>
      <c r="G22" s="1">
        <v>5.6099999999999997E-2</v>
      </c>
      <c r="H22" s="1">
        <v>9.2699999999999998E-4</v>
      </c>
      <c r="I22" s="1">
        <v>-5.1700000000000003E-2</v>
      </c>
      <c r="J22" s="1">
        <v>-8.0699999999999994E-2</v>
      </c>
      <c r="K22" s="1">
        <v>-5.8599999999999999E-2</v>
      </c>
      <c r="L22" s="1">
        <v>-4.9700000000000001E-2</v>
      </c>
      <c r="M22" s="1">
        <v>-4.1200000000000001E-2</v>
      </c>
      <c r="N22" s="1">
        <v>-2.6200000000000001E-2</v>
      </c>
      <c r="O22" s="1">
        <v>-1.72E-2</v>
      </c>
      <c r="P22" s="1">
        <v>-6.3200000000000001E-3</v>
      </c>
      <c r="Q22" s="1">
        <v>-1.2699999999999999E-2</v>
      </c>
      <c r="R22" s="1">
        <v>-1.3100000000000001E-2</v>
      </c>
      <c r="S22" s="1">
        <v>-1.24E-2</v>
      </c>
      <c r="T22" s="1">
        <v>-1.06E-2</v>
      </c>
      <c r="U22" s="1">
        <v>-8.4899999999999993E-3</v>
      </c>
      <c r="V22" s="1">
        <v>-8.1200000000000005E-3</v>
      </c>
      <c r="W22" s="1">
        <v>-2.2499999999999998E-3</v>
      </c>
      <c r="X22" s="1">
        <v>-2.7200000000000002E-3</v>
      </c>
      <c r="Y22" s="1">
        <v>-1.6999999999999999E-3</v>
      </c>
      <c r="Z22" s="1">
        <v>-2.1199999999999999E-3</v>
      </c>
      <c r="AA22" s="1">
        <v>2.5799999999999998E-3</v>
      </c>
      <c r="AB22" s="1">
        <v>2.0400000000000001E-3</v>
      </c>
      <c r="AC22" s="1">
        <v>-2.5500000000000002E-3</v>
      </c>
      <c r="AD22" s="1">
        <v>-2.8999999999999998E-3</v>
      </c>
      <c r="AE22" s="1">
        <v>-5.2599999999999999E-3</v>
      </c>
      <c r="AF22" s="1">
        <v>-4.4600000000000004E-3</v>
      </c>
      <c r="AG22" s="1">
        <v>5.9500000000000004E-3</v>
      </c>
      <c r="AH22" s="1">
        <v>1.2200000000000001E-2</v>
      </c>
      <c r="AI22" s="1">
        <v>1.41E-2</v>
      </c>
      <c r="AJ22" s="1">
        <v>1.0999999999999999E-2</v>
      </c>
      <c r="AK22" s="1">
        <v>1.21E-2</v>
      </c>
      <c r="AL22" s="1">
        <v>1.34E-2</v>
      </c>
      <c r="AM22" s="1">
        <v>1.23E-2</v>
      </c>
      <c r="AN22" s="1">
        <v>1.0699999999999999E-2</v>
      </c>
      <c r="AO22" s="1">
        <v>1.23E-2</v>
      </c>
      <c r="AP22" s="1">
        <v>1.83E-2</v>
      </c>
      <c r="AQ22" s="1">
        <v>1.4200000000000001E-2</v>
      </c>
      <c r="AR22" s="1">
        <v>1.6199999999999999E-2</v>
      </c>
      <c r="AS22" s="1">
        <v>1.37E-2</v>
      </c>
      <c r="AT22" s="1">
        <v>1.15E-2</v>
      </c>
      <c r="AU22" s="1">
        <v>9.4599999999999997E-3</v>
      </c>
      <c r="AV22" s="1">
        <v>9.6900000000000007E-3</v>
      </c>
      <c r="AW22" s="1">
        <v>6.11E-3</v>
      </c>
      <c r="AX22" s="1">
        <v>6.0200000000000002E-3</v>
      </c>
      <c r="AY22" s="1">
        <v>1.34E-2</v>
      </c>
      <c r="AZ22" s="1">
        <v>1.04E-2</v>
      </c>
      <c r="BA22" s="1">
        <v>1.9699999999999999E-2</v>
      </c>
      <c r="BB22" s="1">
        <v>2.41E-2</v>
      </c>
      <c r="BC22" s="1">
        <v>2.24E-2</v>
      </c>
      <c r="BD22" s="1">
        <v>1.8800000000000001E-2</v>
      </c>
      <c r="BE22" s="1">
        <v>8.6599999999999993E-3</v>
      </c>
      <c r="BF22" s="1">
        <v>7.5900000000000004E-3</v>
      </c>
      <c r="BG22" s="1">
        <v>9.8200000000000006E-3</v>
      </c>
      <c r="BH22" s="1">
        <v>8.4499999999999992E-3</v>
      </c>
      <c r="BI22" s="1">
        <v>7.4099999999999999E-3</v>
      </c>
      <c r="BJ22" s="1">
        <v>1.01E-2</v>
      </c>
      <c r="BK22" s="1">
        <v>1.12E-2</v>
      </c>
      <c r="BL22" s="1">
        <v>1.46E-2</v>
      </c>
      <c r="BM22" s="1">
        <v>1.4999999999999999E-2</v>
      </c>
      <c r="BN22" s="1">
        <v>1.4999999999999999E-2</v>
      </c>
      <c r="BO22" s="1">
        <v>1.61E-2</v>
      </c>
      <c r="BP22" s="1">
        <v>3.0999999999999999E-3</v>
      </c>
      <c r="BQ22" s="1">
        <v>1.15E-3</v>
      </c>
      <c r="BR22" s="1">
        <v>-6.78E-4</v>
      </c>
      <c r="BS22" s="1">
        <v>9.5200000000000007E-3</v>
      </c>
      <c r="BT22" s="1">
        <v>4.0000000000000001E-3</v>
      </c>
      <c r="BU22" s="1">
        <v>-1.9800000000000002E-2</v>
      </c>
      <c r="BV22" s="1">
        <v>-1.9800000000000002E-2</v>
      </c>
      <c r="BW22" s="1">
        <v>-2.5100000000000001E-2</v>
      </c>
      <c r="BX22" s="1">
        <v>-2.4199999999999999E-2</v>
      </c>
      <c r="BY22" s="1">
        <v>-3.6600000000000001E-2</v>
      </c>
      <c r="BZ22" s="1">
        <v>-3.73E-2</v>
      </c>
      <c r="CA22" s="1">
        <v>-3.1800000000000002E-2</v>
      </c>
      <c r="CB22" s="1">
        <v>-1.66E-2</v>
      </c>
      <c r="CC22" s="1">
        <v>-2.3400000000000001E-2</v>
      </c>
      <c r="CD22" s="1">
        <v>-2.92E-2</v>
      </c>
      <c r="CE22" s="1">
        <v>-3.61E-2</v>
      </c>
      <c r="CF22" s="1">
        <v>-3.3300000000000003E-2</v>
      </c>
      <c r="CG22" s="1">
        <v>-4.0599999999999997E-2</v>
      </c>
      <c r="CH22" s="1">
        <v>-5.2699999999999997E-2</v>
      </c>
      <c r="CI22" s="1">
        <v>-6.1899999999999997E-2</v>
      </c>
      <c r="CJ22" s="1">
        <v>-5.8599999999999999E-2</v>
      </c>
      <c r="CK22" s="1">
        <v>-6.2100000000000002E-2</v>
      </c>
      <c r="CL22" s="1">
        <v>-6.3899999999999998E-2</v>
      </c>
      <c r="CM22" s="1">
        <v>-7.7399999999999997E-2</v>
      </c>
      <c r="CN22" s="1">
        <v>-0.11899999999999999</v>
      </c>
      <c r="CO22" s="1">
        <v>-0.13300000000000001</v>
      </c>
      <c r="CP22" s="1">
        <v>-0.20100000000000001</v>
      </c>
      <c r="CQ22" s="1">
        <v>-5.04E-2</v>
      </c>
      <c r="CR22" s="1">
        <v>-2.9600000000000001E-2</v>
      </c>
      <c r="CS22" s="1">
        <v>-3.6299999999999999E-2</v>
      </c>
      <c r="CT22" s="1">
        <v>7.6499999999999999E-2</v>
      </c>
      <c r="CU22" s="1">
        <v>2.8299999999999999E-2</v>
      </c>
      <c r="CV22" s="1">
        <v>4.9200000000000001E-2</v>
      </c>
    </row>
    <row r="23" spans="1:100" x14ac:dyDescent="0.2">
      <c r="A23" t="s">
        <v>216</v>
      </c>
      <c r="B23" s="1">
        <v>2.01E-2</v>
      </c>
      <c r="C23" s="1">
        <v>0.02</v>
      </c>
      <c r="D23" s="1">
        <v>1.9900000000000001E-2</v>
      </c>
      <c r="E23" s="1">
        <v>-0.48799999999999999</v>
      </c>
      <c r="F23" s="1">
        <v>0.32500000000000001</v>
      </c>
      <c r="G23" s="1">
        <v>0.505</v>
      </c>
      <c r="H23" s="1">
        <v>0.59199999999999997</v>
      </c>
      <c r="I23" s="1">
        <v>0.55100000000000005</v>
      </c>
      <c r="J23" s="1">
        <v>0.63100000000000001</v>
      </c>
      <c r="K23" s="1">
        <v>0.57099999999999995</v>
      </c>
      <c r="L23" s="1">
        <v>0.47299999999999998</v>
      </c>
      <c r="M23" s="1">
        <v>0.46700000000000003</v>
      </c>
      <c r="N23" s="1">
        <v>0.30599999999999999</v>
      </c>
      <c r="O23" s="1">
        <v>0.248</v>
      </c>
      <c r="P23" s="1">
        <v>0.122</v>
      </c>
      <c r="Q23" s="1">
        <v>0.24</v>
      </c>
      <c r="R23" s="1">
        <v>0.219</v>
      </c>
      <c r="S23" s="1">
        <v>0.26</v>
      </c>
      <c r="T23" s="1">
        <v>0.20599999999999999</v>
      </c>
      <c r="U23" s="1">
        <v>0.32200000000000001</v>
      </c>
      <c r="V23" s="1">
        <v>0.17399999999999999</v>
      </c>
      <c r="W23" s="1">
        <v>0.13800000000000001</v>
      </c>
      <c r="X23" s="1">
        <v>0.16</v>
      </c>
      <c r="Y23" s="1">
        <v>0.12</v>
      </c>
      <c r="Z23" s="1">
        <v>0.18099999999999999</v>
      </c>
      <c r="AA23" s="1">
        <v>0.182</v>
      </c>
      <c r="AB23" s="1">
        <v>0.186</v>
      </c>
      <c r="AC23" s="1">
        <v>0.188</v>
      </c>
      <c r="AD23" s="1">
        <v>0.20499999999999999</v>
      </c>
      <c r="AE23" s="1">
        <v>0.17399999999999999</v>
      </c>
      <c r="AF23" s="1">
        <v>0.161</v>
      </c>
      <c r="AG23" s="1">
        <v>0.14399999999999999</v>
      </c>
      <c r="AH23" s="1">
        <v>0.15</v>
      </c>
      <c r="AI23" s="1">
        <v>0.115</v>
      </c>
      <c r="AJ23" s="1">
        <v>7.0999999999999994E-2</v>
      </c>
      <c r="AK23" s="1">
        <v>3.4200000000000001E-2</v>
      </c>
      <c r="AL23" s="1">
        <v>3.1899999999999998E-2</v>
      </c>
      <c r="AM23" s="1">
        <v>6.6900000000000001E-2</v>
      </c>
      <c r="AN23" s="1">
        <v>3.1399999999999997E-2</v>
      </c>
      <c r="AO23" s="1">
        <v>4.4699999999999997E-2</v>
      </c>
      <c r="AP23" s="1">
        <v>5.5399999999999998E-2</v>
      </c>
      <c r="AQ23" s="1">
        <v>2.1499999999999998E-2</v>
      </c>
      <c r="AR23" s="1">
        <v>3.8399999999999997E-2</v>
      </c>
      <c r="AS23" s="1">
        <v>2.4299999999999999E-2</v>
      </c>
      <c r="AT23" s="1">
        <v>5.3600000000000002E-2</v>
      </c>
      <c r="AU23" s="1">
        <v>1.2800000000000001E-2</v>
      </c>
      <c r="AV23" s="1">
        <v>1.03E-2</v>
      </c>
      <c r="AW23" s="1">
        <v>1.4500000000000001E-2</v>
      </c>
      <c r="AX23" s="1">
        <v>8.6200000000000003E-4</v>
      </c>
      <c r="AY23" s="1">
        <v>-3.3000000000000002E-2</v>
      </c>
      <c r="AZ23" s="1">
        <v>-5.3600000000000002E-2</v>
      </c>
      <c r="BA23" s="1">
        <v>-8.2299999999999998E-2</v>
      </c>
      <c r="BB23" s="1">
        <v>-7.51E-2</v>
      </c>
      <c r="BC23" s="1">
        <v>-0.108</v>
      </c>
      <c r="BD23" s="1">
        <v>-0.126</v>
      </c>
      <c r="BE23" s="1">
        <v>-8.5800000000000001E-2</v>
      </c>
      <c r="BF23" s="1">
        <v>-3.4000000000000002E-2</v>
      </c>
      <c r="BG23" s="1">
        <v>1.37E-2</v>
      </c>
      <c r="BH23" s="1">
        <v>4.3E-3</v>
      </c>
      <c r="BI23" s="1">
        <v>2.3599999999999999E-2</v>
      </c>
      <c r="BJ23" s="1">
        <v>8.0100000000000005E-2</v>
      </c>
      <c r="BK23" s="1">
        <v>0.113</v>
      </c>
      <c r="BL23" s="1">
        <v>4.8399999999999999E-2</v>
      </c>
      <c r="BM23" s="1">
        <v>1.4999999999999999E-2</v>
      </c>
      <c r="BN23" s="1">
        <v>-4.2500000000000003E-2</v>
      </c>
      <c r="BO23" s="1">
        <v>-8.3500000000000005E-2</v>
      </c>
      <c r="BP23" s="1">
        <v>-0.114</v>
      </c>
      <c r="BQ23" s="1">
        <v>-0.14399999999999999</v>
      </c>
      <c r="BR23" s="1">
        <v>-0.16300000000000001</v>
      </c>
      <c r="BS23" s="1">
        <v>-0.186</v>
      </c>
      <c r="BT23" s="1">
        <v>-0.16600000000000001</v>
      </c>
      <c r="BU23" s="1">
        <v>-0.11700000000000001</v>
      </c>
      <c r="BV23" s="1">
        <v>-4.4200000000000003E-2</v>
      </c>
      <c r="BW23" s="1">
        <v>4.4299999999999999E-2</v>
      </c>
      <c r="BX23" s="1">
        <v>8.8599999999999998E-2</v>
      </c>
      <c r="BY23" s="1">
        <v>5.8799999999999998E-2</v>
      </c>
      <c r="BZ23" s="1">
        <v>-0.107</v>
      </c>
      <c r="CA23" s="1">
        <v>-0.23100000000000001</v>
      </c>
      <c r="CB23" s="1">
        <v>-0.23499999999999999</v>
      </c>
      <c r="CC23" s="1">
        <v>-9.8500000000000004E-2</v>
      </c>
      <c r="CD23" s="1">
        <v>-2.1999999999999999E-2</v>
      </c>
      <c r="CE23" s="1">
        <v>-4.3999999999999997E-2</v>
      </c>
      <c r="CF23" s="1">
        <v>-0.11799999999999999</v>
      </c>
      <c r="CG23" s="1">
        <v>-5.7700000000000001E-2</v>
      </c>
      <c r="CH23" s="1">
        <v>1.2500000000000001E-2</v>
      </c>
      <c r="CI23" s="1">
        <v>5.8400000000000001E-2</v>
      </c>
      <c r="CJ23" s="1">
        <v>-0.04</v>
      </c>
      <c r="CK23" s="1">
        <v>-0.189</v>
      </c>
      <c r="CL23" s="1">
        <v>-0.151</v>
      </c>
      <c r="CM23" s="1">
        <v>-0.20899999999999999</v>
      </c>
      <c r="CN23" s="1">
        <v>0.23499999999999999</v>
      </c>
      <c r="CO23" s="1">
        <v>0.17499999999999999</v>
      </c>
      <c r="CP23" s="1">
        <v>1.274</v>
      </c>
      <c r="CQ23" s="1">
        <v>-1.599</v>
      </c>
      <c r="CR23" s="1">
        <v>-1.4930000000000001</v>
      </c>
      <c r="CS23" s="1">
        <v>-1.3149999999999999</v>
      </c>
      <c r="CT23" s="1">
        <v>-3.8130000000000002</v>
      </c>
      <c r="CU23" s="1">
        <v>-1.6919999999999999</v>
      </c>
      <c r="CV23" s="1">
        <v>-0.91700000000000004</v>
      </c>
    </row>
  </sheetData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D007-4223-694B-BDED-482A6BEA04C4}">
  <sheetPr codeName="Planilha5"/>
  <dimension ref="A1:CV23"/>
  <sheetViews>
    <sheetView workbookViewId="0">
      <selection activeCell="J31" sqref="J31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0.19900000000000001</v>
      </c>
      <c r="C2" s="1">
        <v>0.55800000000000005</v>
      </c>
      <c r="D2" s="1">
        <v>0.78600000000000003</v>
      </c>
      <c r="E2" s="1">
        <v>0.88</v>
      </c>
      <c r="F2" s="1">
        <v>1.075</v>
      </c>
      <c r="G2" s="1">
        <v>1.1379999999999999</v>
      </c>
      <c r="H2" s="1">
        <v>1.246</v>
      </c>
      <c r="I2" s="1">
        <v>1.3069999999999999</v>
      </c>
      <c r="J2" s="1">
        <v>1.4079999999999999</v>
      </c>
      <c r="K2" s="1">
        <v>1.4470000000000001</v>
      </c>
      <c r="L2" s="1">
        <v>1.5409999999999999</v>
      </c>
      <c r="M2" s="1">
        <v>1.5469999999999999</v>
      </c>
      <c r="N2" s="1">
        <v>1.579</v>
      </c>
      <c r="O2" s="1">
        <v>1.6319999999999999</v>
      </c>
      <c r="P2" s="1">
        <v>1.663</v>
      </c>
      <c r="Q2" s="1">
        <v>1.6759999999999999</v>
      </c>
      <c r="R2" s="1">
        <v>1.7010000000000001</v>
      </c>
      <c r="S2" s="1">
        <v>1.7509999999999999</v>
      </c>
      <c r="T2" s="1">
        <v>1.7649999999999999</v>
      </c>
      <c r="U2" s="1">
        <v>1.7789999999999999</v>
      </c>
      <c r="V2" s="1">
        <v>1.7929999999999999</v>
      </c>
      <c r="W2" s="1">
        <v>1.806</v>
      </c>
      <c r="X2" s="1">
        <v>1.82</v>
      </c>
      <c r="Y2" s="1">
        <v>1.7929999999999999</v>
      </c>
      <c r="Z2" s="1">
        <v>1.796</v>
      </c>
      <c r="AA2" s="1">
        <v>1.831</v>
      </c>
      <c r="AB2" s="1">
        <v>1.847</v>
      </c>
      <c r="AC2" s="1">
        <v>1.8480000000000001</v>
      </c>
      <c r="AD2" s="1">
        <v>1.861</v>
      </c>
      <c r="AE2" s="1">
        <v>1.873</v>
      </c>
      <c r="AF2" s="1">
        <v>1.8859999999999999</v>
      </c>
      <c r="AG2" s="1">
        <v>1.857</v>
      </c>
      <c r="AH2" s="1">
        <v>1.9019999999999999</v>
      </c>
      <c r="AI2" s="1">
        <v>1.9259999999999999</v>
      </c>
      <c r="AJ2" s="1">
        <v>1.9419999999999999</v>
      </c>
      <c r="AK2" s="1">
        <v>1.956</v>
      </c>
      <c r="AL2" s="1">
        <v>1.9350000000000001</v>
      </c>
      <c r="AM2" s="1">
        <v>1.9770000000000001</v>
      </c>
      <c r="AN2" s="1">
        <v>1.996</v>
      </c>
      <c r="AO2" s="1">
        <v>2.0179999999999998</v>
      </c>
      <c r="AP2" s="1">
        <v>2.0419999999999998</v>
      </c>
      <c r="AQ2" s="1">
        <v>2.0590000000000002</v>
      </c>
      <c r="AR2" s="1">
        <v>2.0680000000000001</v>
      </c>
      <c r="AS2" s="1">
        <v>2.0840000000000001</v>
      </c>
      <c r="AT2" s="1">
        <v>2.0910000000000002</v>
      </c>
      <c r="AU2" s="1">
        <v>2.1070000000000002</v>
      </c>
      <c r="AV2" s="1">
        <v>2.1349999999999998</v>
      </c>
      <c r="AW2" s="1">
        <v>2.1419999999999999</v>
      </c>
      <c r="AX2" s="1">
        <v>2.17</v>
      </c>
      <c r="AY2" s="1">
        <v>2.1859999999999999</v>
      </c>
      <c r="AZ2" s="1">
        <v>2.2029999999999998</v>
      </c>
      <c r="BA2" s="1">
        <v>2.21</v>
      </c>
      <c r="BB2" s="1">
        <v>2.222</v>
      </c>
      <c r="BC2" s="1">
        <v>2.2400000000000002</v>
      </c>
      <c r="BD2" s="1">
        <v>2.2559999999999998</v>
      </c>
      <c r="BE2" s="1">
        <v>2.2759999999999998</v>
      </c>
      <c r="BF2" s="1">
        <v>2.298</v>
      </c>
      <c r="BG2" s="1">
        <v>2.34</v>
      </c>
      <c r="BH2" s="1">
        <v>2.35</v>
      </c>
      <c r="BI2" s="1">
        <v>2.37</v>
      </c>
      <c r="BJ2" s="1">
        <v>2.3719999999999999</v>
      </c>
      <c r="BK2" s="1">
        <v>2.4140000000000001</v>
      </c>
      <c r="BL2" s="1">
        <v>2.4590000000000001</v>
      </c>
      <c r="BM2" s="1">
        <v>2.4790000000000001</v>
      </c>
      <c r="BN2" s="1">
        <v>2.4990000000000001</v>
      </c>
      <c r="BO2" s="1">
        <v>2.5179999999999998</v>
      </c>
      <c r="BP2" s="1">
        <v>2.4849999999999999</v>
      </c>
      <c r="BQ2" s="1">
        <v>2.5099999999999998</v>
      </c>
      <c r="BR2" s="1">
        <v>2.5539999999999998</v>
      </c>
      <c r="BS2" s="1">
        <v>2.581</v>
      </c>
      <c r="BT2" s="1">
        <v>2.5979999999999999</v>
      </c>
      <c r="BU2" s="1">
        <v>2.6419999999999999</v>
      </c>
      <c r="BV2" s="1">
        <v>2.68</v>
      </c>
      <c r="BW2" s="1">
        <v>2.71</v>
      </c>
      <c r="BX2" s="1">
        <v>2.7360000000000002</v>
      </c>
      <c r="BY2" s="1">
        <v>2.762</v>
      </c>
      <c r="BZ2" s="1">
        <v>2.7829999999999999</v>
      </c>
      <c r="CA2" s="1">
        <v>2.8290000000000002</v>
      </c>
      <c r="CB2" s="1">
        <v>2.88</v>
      </c>
      <c r="CC2" s="1">
        <v>2.9129999999999998</v>
      </c>
      <c r="CD2" s="1">
        <v>2.9180000000000001</v>
      </c>
      <c r="CE2" s="1">
        <v>2.9630000000000001</v>
      </c>
      <c r="CF2" s="1">
        <v>3.0139999999999998</v>
      </c>
      <c r="CG2" s="1">
        <v>3.0529999999999999</v>
      </c>
      <c r="CH2" s="1">
        <v>3.14</v>
      </c>
      <c r="CI2" s="1">
        <v>3.1549999999999998</v>
      </c>
      <c r="CJ2" s="1">
        <v>3.161</v>
      </c>
      <c r="CK2" s="1">
        <v>3.2570000000000001</v>
      </c>
      <c r="CL2" s="1">
        <v>3.3220000000000001</v>
      </c>
      <c r="CM2" s="1">
        <v>3.4020000000000001</v>
      </c>
      <c r="CN2" s="1">
        <v>3.43</v>
      </c>
      <c r="CO2" s="1">
        <v>3.51</v>
      </c>
      <c r="CP2" s="1">
        <v>3.5680000000000001</v>
      </c>
      <c r="CQ2" s="1">
        <v>3.6970000000000001</v>
      </c>
      <c r="CR2" s="1">
        <v>3.8410000000000002</v>
      </c>
      <c r="CS2" s="1">
        <v>3.9510000000000001</v>
      </c>
      <c r="CT2" s="1">
        <v>4.13</v>
      </c>
      <c r="CU2" s="1">
        <v>4.3460000000000001</v>
      </c>
      <c r="CV2" s="1">
        <v>4.6529999999999996</v>
      </c>
    </row>
    <row r="3" spans="1:100" x14ac:dyDescent="0.2">
      <c r="A3" t="s">
        <v>204</v>
      </c>
      <c r="B3" s="1">
        <v>0.19</v>
      </c>
      <c r="C3" s="1">
        <v>0.48399999999999999</v>
      </c>
      <c r="D3" s="1">
        <v>0.70499999999999996</v>
      </c>
      <c r="E3" s="1">
        <v>0.88800000000000001</v>
      </c>
      <c r="F3" s="1">
        <v>0.997</v>
      </c>
      <c r="G3" s="1">
        <v>1.111</v>
      </c>
      <c r="H3" s="1">
        <v>1.1970000000000001</v>
      </c>
      <c r="I3" s="1">
        <v>1.292</v>
      </c>
      <c r="J3" s="1">
        <v>1.3879999999999999</v>
      </c>
      <c r="K3" s="1">
        <v>1.4219999999999999</v>
      </c>
      <c r="L3" s="1">
        <v>1.492</v>
      </c>
      <c r="M3" s="1">
        <v>1.575</v>
      </c>
      <c r="N3" s="1">
        <v>1.583</v>
      </c>
      <c r="O3" s="1">
        <v>1.613</v>
      </c>
      <c r="P3" s="1">
        <v>1.647</v>
      </c>
      <c r="Q3" s="1">
        <v>1.6719999999999999</v>
      </c>
      <c r="R3" s="1">
        <v>1.704</v>
      </c>
      <c r="S3" s="1">
        <v>1.718</v>
      </c>
      <c r="T3" s="1">
        <v>1.744</v>
      </c>
      <c r="U3" s="1">
        <v>1.7509999999999999</v>
      </c>
      <c r="V3" s="1">
        <v>1.758</v>
      </c>
      <c r="W3" s="1">
        <v>1.7949999999999999</v>
      </c>
      <c r="X3" s="1">
        <v>1.802</v>
      </c>
      <c r="Y3" s="1">
        <v>1.8009999999999999</v>
      </c>
      <c r="Z3" s="1">
        <v>1.806</v>
      </c>
      <c r="AA3" s="1">
        <v>1.8109999999999999</v>
      </c>
      <c r="AB3" s="1">
        <v>1.839</v>
      </c>
      <c r="AC3" s="1">
        <v>1.8440000000000001</v>
      </c>
      <c r="AD3" s="1">
        <v>1.8520000000000001</v>
      </c>
      <c r="AE3" s="1">
        <v>1.86</v>
      </c>
      <c r="AF3" s="1">
        <v>1.881</v>
      </c>
      <c r="AG3" s="1">
        <v>1.889</v>
      </c>
      <c r="AH3" s="1">
        <v>1.895</v>
      </c>
      <c r="AI3" s="1">
        <v>1.9119999999999999</v>
      </c>
      <c r="AJ3" s="1">
        <v>1.95</v>
      </c>
      <c r="AK3" s="1">
        <v>1.9690000000000001</v>
      </c>
      <c r="AL3" s="1">
        <v>1.9810000000000001</v>
      </c>
      <c r="AM3" s="1">
        <v>1.9830000000000001</v>
      </c>
      <c r="AN3" s="1">
        <v>1.9890000000000001</v>
      </c>
      <c r="AO3" s="1">
        <v>2.008</v>
      </c>
      <c r="AP3" s="1">
        <v>2.028</v>
      </c>
      <c r="AQ3" s="1">
        <v>2.0470000000000002</v>
      </c>
      <c r="AR3" s="1">
        <v>2.0649999999999999</v>
      </c>
      <c r="AS3" s="1">
        <v>2.089</v>
      </c>
      <c r="AT3" s="1">
        <v>2.0950000000000002</v>
      </c>
      <c r="AU3" s="1">
        <v>2.1139999999999999</v>
      </c>
      <c r="AV3" s="1">
        <v>2.1160000000000001</v>
      </c>
      <c r="AW3" s="1">
        <v>2.137</v>
      </c>
      <c r="AX3" s="1">
        <v>2.1469999999999998</v>
      </c>
      <c r="AY3" s="1">
        <v>2.1760000000000002</v>
      </c>
      <c r="AZ3" s="1">
        <v>2.2029999999999998</v>
      </c>
      <c r="BA3" s="1">
        <v>2.2170000000000001</v>
      </c>
      <c r="BB3" s="1">
        <v>2.2090000000000001</v>
      </c>
      <c r="BC3" s="1">
        <v>2.2290000000000001</v>
      </c>
      <c r="BD3" s="1">
        <v>2.2679999999999998</v>
      </c>
      <c r="BE3" s="1">
        <v>2.2719999999999998</v>
      </c>
      <c r="BF3" s="1">
        <v>2.2919999999999998</v>
      </c>
      <c r="BG3" s="1">
        <v>2.3109999999999999</v>
      </c>
      <c r="BH3" s="1">
        <v>2.3180000000000001</v>
      </c>
      <c r="BI3" s="1">
        <v>2.3490000000000002</v>
      </c>
      <c r="BJ3" s="1">
        <v>2.3889999999999998</v>
      </c>
      <c r="BK3" s="1">
        <v>2.4</v>
      </c>
      <c r="BL3" s="1">
        <v>2.4020000000000001</v>
      </c>
      <c r="BM3" s="1">
        <v>2.4359999999999999</v>
      </c>
      <c r="BN3" s="1">
        <v>2.4929999999999999</v>
      </c>
      <c r="BO3" s="1">
        <v>2.504</v>
      </c>
      <c r="BP3" s="1">
        <v>2.496</v>
      </c>
      <c r="BQ3" s="1">
        <v>2.5</v>
      </c>
      <c r="BR3" s="1">
        <v>2.5030000000000001</v>
      </c>
      <c r="BS3" s="1">
        <v>2.5379999999999998</v>
      </c>
      <c r="BT3" s="1">
        <v>2.5840000000000001</v>
      </c>
      <c r="BU3" s="1">
        <v>2.621</v>
      </c>
      <c r="BV3" s="1">
        <v>2.6389999999999998</v>
      </c>
      <c r="BW3" s="1">
        <v>2.6789999999999998</v>
      </c>
      <c r="BX3" s="1">
        <v>2.718</v>
      </c>
      <c r="BY3" s="1">
        <v>2.7210000000000001</v>
      </c>
      <c r="BZ3" s="1">
        <v>2.7759999999999998</v>
      </c>
      <c r="CA3" s="1">
        <v>2.8039999999999998</v>
      </c>
      <c r="CB3" s="1">
        <v>2.8290000000000002</v>
      </c>
      <c r="CC3" s="1">
        <v>2.8959999999999999</v>
      </c>
      <c r="CD3" s="1">
        <v>2.899</v>
      </c>
      <c r="CE3" s="1">
        <v>2.91</v>
      </c>
      <c r="CF3" s="1">
        <v>2.9649999999999999</v>
      </c>
      <c r="CG3" s="1">
        <v>3.012</v>
      </c>
      <c r="CH3" s="1">
        <v>3.0640000000000001</v>
      </c>
      <c r="CI3" s="1">
        <v>3.1339999999999999</v>
      </c>
      <c r="CJ3" s="1">
        <v>3.2040000000000002</v>
      </c>
      <c r="CK3" s="1">
        <v>3.198</v>
      </c>
      <c r="CL3" s="1">
        <v>3.2719999999999998</v>
      </c>
      <c r="CM3" s="1">
        <v>3.335</v>
      </c>
      <c r="CN3" s="1">
        <v>3.4140000000000001</v>
      </c>
      <c r="CO3" s="1">
        <v>3.44</v>
      </c>
      <c r="CP3" s="1">
        <v>3.5590000000000002</v>
      </c>
      <c r="CQ3" s="1">
        <v>3.6520000000000001</v>
      </c>
      <c r="CR3" s="1">
        <v>3.76</v>
      </c>
      <c r="CS3" s="1">
        <v>3.887</v>
      </c>
      <c r="CT3" s="1">
        <v>4.1040000000000001</v>
      </c>
      <c r="CU3" s="1">
        <v>4.2880000000000003</v>
      </c>
      <c r="CV3" s="1">
        <v>4.609</v>
      </c>
    </row>
    <row r="4" spans="1:100" x14ac:dyDescent="0.2">
      <c r="A4" t="s">
        <v>205</v>
      </c>
      <c r="B4" s="1">
        <v>8.4200000000000004E-3</v>
      </c>
      <c r="C4" s="1">
        <v>7.3200000000000001E-2</v>
      </c>
      <c r="D4" s="1">
        <v>8.1000000000000003E-2</v>
      </c>
      <c r="E4" s="1">
        <v>-7.9699999999999997E-3</v>
      </c>
      <c r="F4" s="1">
        <v>7.8200000000000006E-2</v>
      </c>
      <c r="G4" s="1">
        <v>2.6499999999999999E-2</v>
      </c>
      <c r="H4" s="1">
        <v>4.8099999999999997E-2</v>
      </c>
      <c r="I4" s="1">
        <v>1.46E-2</v>
      </c>
      <c r="J4" s="1">
        <v>0.02</v>
      </c>
      <c r="K4" s="1">
        <v>2.52E-2</v>
      </c>
      <c r="L4" s="1">
        <v>4.87E-2</v>
      </c>
      <c r="M4" s="1">
        <v>-2.8000000000000001E-2</v>
      </c>
      <c r="N4" s="1">
        <v>-4.7999999999999996E-3</v>
      </c>
      <c r="O4" s="1">
        <v>1.8700000000000001E-2</v>
      </c>
      <c r="P4" s="1">
        <v>1.6500000000000001E-2</v>
      </c>
      <c r="Q4" s="1">
        <v>4.62E-3</v>
      </c>
      <c r="R4" s="1">
        <v>-3.0200000000000001E-3</v>
      </c>
      <c r="S4" s="1">
        <v>3.3700000000000001E-2</v>
      </c>
      <c r="T4" s="1">
        <v>2.12E-2</v>
      </c>
      <c r="U4" s="1">
        <v>2.7400000000000001E-2</v>
      </c>
      <c r="V4" s="1">
        <v>3.4200000000000001E-2</v>
      </c>
      <c r="W4" s="1">
        <v>1.09E-2</v>
      </c>
      <c r="X4" s="1">
        <v>1.7600000000000001E-2</v>
      </c>
      <c r="Y4" s="1">
        <v>-8.9300000000000004E-3</v>
      </c>
      <c r="Z4" s="1">
        <v>-9.8200000000000006E-3</v>
      </c>
      <c r="AA4" s="1">
        <v>0.02</v>
      </c>
      <c r="AB4" s="1">
        <v>7.7200000000000003E-3</v>
      </c>
      <c r="AC4" s="1">
        <v>4.3E-3</v>
      </c>
      <c r="AD4" s="1">
        <v>8.9899999999999997E-3</v>
      </c>
      <c r="AE4" s="1">
        <v>1.38E-2</v>
      </c>
      <c r="AF4" s="1">
        <v>5.0000000000000001E-3</v>
      </c>
      <c r="AG4" s="1">
        <v>-3.2000000000000001E-2</v>
      </c>
      <c r="AH4" s="1">
        <v>6.6100000000000004E-3</v>
      </c>
      <c r="AI4" s="1">
        <v>1.46E-2</v>
      </c>
      <c r="AJ4" s="1">
        <v>-8.0400000000000003E-3</v>
      </c>
      <c r="AK4" s="1">
        <v>-1.2500000000000001E-2</v>
      </c>
      <c r="AL4" s="1">
        <v>-4.5699999999999998E-2</v>
      </c>
      <c r="AM4" s="1">
        <v>-6.0299999999999998E-3</v>
      </c>
      <c r="AN4" s="1">
        <v>6.0800000000000003E-3</v>
      </c>
      <c r="AO4" s="1">
        <v>9.7599999999999996E-3</v>
      </c>
      <c r="AP4" s="1">
        <v>1.4200000000000001E-2</v>
      </c>
      <c r="AQ4" s="1">
        <v>1.2E-2</v>
      </c>
      <c r="AR4" s="1">
        <v>3.5699999999999998E-3</v>
      </c>
      <c r="AS4" s="1">
        <v>-4.7200000000000002E-3</v>
      </c>
      <c r="AT4" s="1">
        <v>-3.15E-3</v>
      </c>
      <c r="AU4" s="1">
        <v>-7.0400000000000003E-3</v>
      </c>
      <c r="AV4" s="1">
        <v>1.8700000000000001E-2</v>
      </c>
      <c r="AW4" s="1">
        <v>5.1799999999999997E-3</v>
      </c>
      <c r="AX4" s="1">
        <v>2.2599999999999999E-2</v>
      </c>
      <c r="AY4" s="1">
        <v>1.0699999999999999E-2</v>
      </c>
      <c r="AZ4" s="1">
        <v>-5.5900000000000004E-4</v>
      </c>
      <c r="BA4" s="1">
        <v>-6.79E-3</v>
      </c>
      <c r="BB4" s="1">
        <v>1.24E-2</v>
      </c>
      <c r="BC4" s="1">
        <v>1.03E-2</v>
      </c>
      <c r="BD4" s="1">
        <v>-1.2699999999999999E-2</v>
      </c>
      <c r="BE4" s="1">
        <v>4.3699999999999998E-3</v>
      </c>
      <c r="BF4" s="1">
        <v>5.9699999999999996E-3</v>
      </c>
      <c r="BG4" s="1">
        <v>2.93E-2</v>
      </c>
      <c r="BH4" s="1">
        <v>3.1300000000000001E-2</v>
      </c>
      <c r="BI4" s="1">
        <v>2.1299999999999999E-2</v>
      </c>
      <c r="BJ4" s="1">
        <v>-1.7100000000000001E-2</v>
      </c>
      <c r="BK4" s="1">
        <v>1.38E-2</v>
      </c>
      <c r="BL4" s="1">
        <v>5.7799999999999997E-2</v>
      </c>
      <c r="BM4" s="1">
        <v>4.2700000000000002E-2</v>
      </c>
      <c r="BN4" s="1">
        <v>5.8799999999999998E-3</v>
      </c>
      <c r="BO4" s="1">
        <v>1.4E-2</v>
      </c>
      <c r="BP4" s="1">
        <v>-1.0999999999999999E-2</v>
      </c>
      <c r="BQ4" s="1">
        <v>9.7900000000000001E-3</v>
      </c>
      <c r="BR4" s="1">
        <v>5.11E-2</v>
      </c>
      <c r="BS4" s="1">
        <v>4.2900000000000001E-2</v>
      </c>
      <c r="BT4" s="1">
        <v>1.4E-2</v>
      </c>
      <c r="BU4" s="1">
        <v>2.1100000000000001E-2</v>
      </c>
      <c r="BV4" s="1">
        <v>4.1000000000000002E-2</v>
      </c>
      <c r="BW4" s="1">
        <v>3.0800000000000001E-2</v>
      </c>
      <c r="BX4" s="1">
        <v>1.7999999999999999E-2</v>
      </c>
      <c r="BY4" s="1">
        <v>4.1599999999999998E-2</v>
      </c>
      <c r="BZ4" s="1">
        <v>6.5100000000000002E-3</v>
      </c>
      <c r="CA4" s="1">
        <v>2.4299999999999999E-2</v>
      </c>
      <c r="CB4" s="1">
        <v>5.0900000000000001E-2</v>
      </c>
      <c r="CC4" s="1">
        <v>1.6899999999999998E-2</v>
      </c>
      <c r="CD4" s="1">
        <v>1.8700000000000001E-2</v>
      </c>
      <c r="CE4" s="1">
        <v>5.2299999999999999E-2</v>
      </c>
      <c r="CF4" s="1">
        <v>4.8899999999999999E-2</v>
      </c>
      <c r="CG4" s="1">
        <v>4.1200000000000001E-2</v>
      </c>
      <c r="CH4" s="1">
        <v>7.6100000000000001E-2</v>
      </c>
      <c r="CI4" s="1">
        <v>2.1100000000000001E-2</v>
      </c>
      <c r="CJ4" s="1">
        <v>-4.3900000000000002E-2</v>
      </c>
      <c r="CK4" s="1">
        <v>5.8299999999999998E-2</v>
      </c>
      <c r="CL4" s="1">
        <v>0.05</v>
      </c>
      <c r="CM4" s="1">
        <v>6.6900000000000001E-2</v>
      </c>
      <c r="CN4" s="1">
        <v>1.6E-2</v>
      </c>
      <c r="CO4" s="1">
        <v>6.9199999999999998E-2</v>
      </c>
      <c r="CP4" s="1">
        <v>9.0699999999999999E-3</v>
      </c>
      <c r="CQ4" s="1">
        <v>4.4499999999999998E-2</v>
      </c>
      <c r="CR4" s="1">
        <v>8.0799999999999997E-2</v>
      </c>
      <c r="CS4" s="1">
        <v>6.4000000000000001E-2</v>
      </c>
      <c r="CT4" s="1">
        <v>2.58E-2</v>
      </c>
      <c r="CU4" s="1">
        <v>5.7099999999999998E-2</v>
      </c>
      <c r="CV4" s="1">
        <v>4.3999999999999997E-2</v>
      </c>
    </row>
    <row r="5" spans="1:100" x14ac:dyDescent="0.2">
      <c r="A5" t="s">
        <v>206</v>
      </c>
      <c r="B5" s="1">
        <v>2.7899999999999999E-3</v>
      </c>
      <c r="C5" s="1">
        <v>6.4999999999999997E-3</v>
      </c>
      <c r="D5" s="1">
        <v>9.8200000000000006E-3</v>
      </c>
      <c r="E5" s="1">
        <v>9.4299999999999991E-3</v>
      </c>
      <c r="F5" s="1">
        <v>1.43E-2</v>
      </c>
      <c r="G5" s="1">
        <v>1.35E-2</v>
      </c>
      <c r="H5" s="1">
        <v>1.6799999999999999E-2</v>
      </c>
      <c r="I5" s="1">
        <v>1.7399999999999999E-2</v>
      </c>
      <c r="J5" s="1">
        <v>1.6500000000000001E-2</v>
      </c>
      <c r="K5" s="1">
        <v>1.8599999999999998E-2</v>
      </c>
      <c r="L5" s="1">
        <v>1.7100000000000001E-2</v>
      </c>
      <c r="M5" s="1">
        <v>1.29E-2</v>
      </c>
      <c r="N5" s="1">
        <v>1.2999999999999999E-2</v>
      </c>
      <c r="O5" s="1">
        <v>1.2699999999999999E-2</v>
      </c>
      <c r="P5" s="1">
        <v>1.2200000000000001E-2</v>
      </c>
      <c r="Q5" s="1">
        <v>1.26E-2</v>
      </c>
      <c r="R5" s="1">
        <v>1.1900000000000001E-2</v>
      </c>
      <c r="S5" s="1">
        <v>1.2E-2</v>
      </c>
      <c r="T5" s="1">
        <v>1.14E-2</v>
      </c>
      <c r="U5" s="1">
        <v>1.2200000000000001E-2</v>
      </c>
      <c r="V5" s="1">
        <v>1.3100000000000001E-2</v>
      </c>
      <c r="W5" s="1">
        <v>1.26E-2</v>
      </c>
      <c r="X5" s="1">
        <v>1.32E-2</v>
      </c>
      <c r="Y5" s="1">
        <v>1.41E-2</v>
      </c>
      <c r="Z5" s="1">
        <v>1.4200000000000001E-2</v>
      </c>
      <c r="AA5" s="1">
        <v>1.4800000000000001E-2</v>
      </c>
      <c r="AB5" s="1">
        <v>1.52E-2</v>
      </c>
      <c r="AC5" s="1">
        <v>1.5800000000000002E-2</v>
      </c>
      <c r="AD5" s="1">
        <v>1.6199999999999999E-2</v>
      </c>
      <c r="AE5" s="1">
        <v>1.72E-2</v>
      </c>
      <c r="AF5" s="1">
        <v>1.84E-2</v>
      </c>
      <c r="AG5" s="1">
        <v>1.9599999999999999E-2</v>
      </c>
      <c r="AH5" s="1">
        <v>2.07E-2</v>
      </c>
      <c r="AI5" s="1">
        <v>2.23E-2</v>
      </c>
      <c r="AJ5" s="1">
        <v>2.4400000000000002E-2</v>
      </c>
      <c r="AK5" s="1">
        <v>2.5899999999999999E-2</v>
      </c>
      <c r="AL5" s="1">
        <v>2.7099999999999999E-2</v>
      </c>
      <c r="AM5" s="1">
        <v>2.7699999999999999E-2</v>
      </c>
      <c r="AN5" s="1">
        <v>2.8000000000000001E-2</v>
      </c>
      <c r="AO5" s="1">
        <v>2.8899999999999999E-2</v>
      </c>
      <c r="AP5" s="1">
        <v>2.98E-2</v>
      </c>
      <c r="AQ5" s="1">
        <v>3.0499999999999999E-2</v>
      </c>
      <c r="AR5" s="1">
        <v>3.1300000000000001E-2</v>
      </c>
      <c r="AS5" s="1">
        <v>3.1800000000000002E-2</v>
      </c>
      <c r="AT5" s="1">
        <v>3.2000000000000001E-2</v>
      </c>
      <c r="AU5" s="1">
        <v>3.2599999999999997E-2</v>
      </c>
      <c r="AV5" s="1">
        <v>3.3500000000000002E-2</v>
      </c>
      <c r="AW5" s="1">
        <v>3.4200000000000001E-2</v>
      </c>
      <c r="AX5" s="1">
        <v>3.5099999999999999E-2</v>
      </c>
      <c r="AY5" s="1">
        <v>3.61E-2</v>
      </c>
      <c r="AZ5" s="1">
        <v>3.7699999999999997E-2</v>
      </c>
      <c r="BA5" s="1">
        <v>3.7999999999999999E-2</v>
      </c>
      <c r="BB5" s="1">
        <v>3.8800000000000001E-2</v>
      </c>
      <c r="BC5" s="1">
        <v>0.04</v>
      </c>
      <c r="BD5" s="1">
        <v>4.2599999999999999E-2</v>
      </c>
      <c r="BE5" s="1">
        <v>4.3099999999999999E-2</v>
      </c>
      <c r="BF5" s="1">
        <v>4.4499999999999998E-2</v>
      </c>
      <c r="BG5" s="1">
        <v>4.6100000000000002E-2</v>
      </c>
      <c r="BH5" s="1">
        <v>4.7100000000000003E-2</v>
      </c>
      <c r="BI5" s="1">
        <v>4.8800000000000003E-2</v>
      </c>
      <c r="BJ5" s="1">
        <v>4.9700000000000001E-2</v>
      </c>
      <c r="BK5" s="1">
        <v>4.9700000000000001E-2</v>
      </c>
      <c r="BL5" s="1">
        <v>4.9399999999999999E-2</v>
      </c>
      <c r="BM5" s="1">
        <v>4.8599999999999997E-2</v>
      </c>
      <c r="BN5" s="1">
        <v>4.9099999999999998E-2</v>
      </c>
      <c r="BO5" s="1">
        <v>4.9099999999999998E-2</v>
      </c>
      <c r="BP5" s="1">
        <v>4.8899999999999999E-2</v>
      </c>
      <c r="BQ5" s="1">
        <v>4.8399999999999999E-2</v>
      </c>
      <c r="BR5" s="1">
        <v>4.8399999999999999E-2</v>
      </c>
      <c r="BS5" s="1">
        <v>5.2900000000000003E-2</v>
      </c>
      <c r="BT5" s="1">
        <v>6.2E-2</v>
      </c>
      <c r="BU5" s="1">
        <v>6.8099999999999994E-2</v>
      </c>
      <c r="BV5" s="1">
        <v>6.9000000000000006E-2</v>
      </c>
      <c r="BW5" s="1">
        <v>6.8900000000000003E-2</v>
      </c>
      <c r="BX5" s="1">
        <v>6.8500000000000005E-2</v>
      </c>
      <c r="BY5" s="1">
        <v>6.7199999999999996E-2</v>
      </c>
      <c r="BZ5" s="1">
        <v>6.88E-2</v>
      </c>
      <c r="CA5" s="1">
        <v>6.8900000000000003E-2</v>
      </c>
      <c r="CB5" s="1">
        <v>6.8699999999999997E-2</v>
      </c>
      <c r="CC5" s="1">
        <v>7.0699999999999999E-2</v>
      </c>
      <c r="CD5" s="1">
        <v>6.9400000000000003E-2</v>
      </c>
      <c r="CE5" s="1">
        <v>6.7799999999999999E-2</v>
      </c>
      <c r="CF5" s="1">
        <v>7.4499999999999997E-2</v>
      </c>
      <c r="CG5" s="1">
        <v>8.2000000000000003E-2</v>
      </c>
      <c r="CH5" s="1">
        <v>8.6099999999999996E-2</v>
      </c>
      <c r="CI5" s="1">
        <v>7.9699999999999993E-2</v>
      </c>
      <c r="CJ5" s="1">
        <v>7.5300000000000006E-2</v>
      </c>
      <c r="CK5" s="1">
        <v>6.9900000000000004E-2</v>
      </c>
      <c r="CL5" s="1">
        <v>7.8799999999999995E-2</v>
      </c>
      <c r="CM5" s="1">
        <v>7.9399999999999998E-2</v>
      </c>
      <c r="CN5" s="1">
        <v>7.4499999999999997E-2</v>
      </c>
      <c r="CO5" s="1">
        <v>7.1499999999999994E-2</v>
      </c>
      <c r="CP5" s="1">
        <v>9.2399999999999996E-2</v>
      </c>
      <c r="CQ5" s="1">
        <v>9.1499999999999998E-2</v>
      </c>
      <c r="CR5" s="1">
        <v>9.2799999999999994E-2</v>
      </c>
      <c r="CS5" s="1">
        <v>8.6599999999999996E-2</v>
      </c>
      <c r="CT5" s="1">
        <v>7.7399999999999997E-2</v>
      </c>
      <c r="CU5" s="1">
        <v>8.9899999999999994E-2</v>
      </c>
      <c r="CV5" s="1">
        <v>6.5799999999999997E-2</v>
      </c>
    </row>
    <row r="6" spans="1:100" x14ac:dyDescent="0.2">
      <c r="A6" t="s">
        <v>207</v>
      </c>
      <c r="B6" s="1">
        <v>5.64E-3</v>
      </c>
      <c r="C6" s="1">
        <v>6.6699999999999995E-2</v>
      </c>
      <c r="D6" s="1">
        <v>7.1199999999999999E-2</v>
      </c>
      <c r="E6" s="1">
        <v>-1.7399999999999999E-2</v>
      </c>
      <c r="F6" s="1">
        <v>6.3899999999999998E-2</v>
      </c>
      <c r="G6" s="1">
        <v>1.2999999999999999E-2</v>
      </c>
      <c r="H6" s="1">
        <v>3.1300000000000001E-2</v>
      </c>
      <c r="I6" s="1">
        <v>-2.8400000000000001E-3</v>
      </c>
      <c r="J6" s="1">
        <v>3.5300000000000002E-3</v>
      </c>
      <c r="K6" s="1">
        <v>6.6299999999999996E-3</v>
      </c>
      <c r="L6" s="1">
        <v>3.1600000000000003E-2</v>
      </c>
      <c r="M6" s="1">
        <v>-4.0899999999999999E-2</v>
      </c>
      <c r="N6" s="1">
        <v>-1.78E-2</v>
      </c>
      <c r="O6" s="1">
        <v>6.0200000000000002E-3</v>
      </c>
      <c r="P6" s="1">
        <v>4.2700000000000004E-3</v>
      </c>
      <c r="Q6" s="1">
        <v>-7.9699999999999997E-3</v>
      </c>
      <c r="R6" s="1">
        <v>-1.49E-2</v>
      </c>
      <c r="S6" s="1">
        <v>2.1600000000000001E-2</v>
      </c>
      <c r="T6" s="1">
        <v>9.7599999999999996E-3</v>
      </c>
      <c r="U6" s="1">
        <v>1.52E-2</v>
      </c>
      <c r="V6" s="1">
        <v>2.1100000000000001E-2</v>
      </c>
      <c r="W6" s="1">
        <v>-1.72E-3</v>
      </c>
      <c r="X6" s="1">
        <v>4.3699999999999998E-3</v>
      </c>
      <c r="Y6" s="1">
        <v>-2.3E-2</v>
      </c>
      <c r="Z6" s="1">
        <v>-2.4E-2</v>
      </c>
      <c r="AA6" s="1">
        <v>5.2399999999999999E-3</v>
      </c>
      <c r="AB6" s="1">
        <v>-7.45E-3</v>
      </c>
      <c r="AC6" s="1">
        <v>-1.15E-2</v>
      </c>
      <c r="AD6" s="1">
        <v>-7.1999999999999998E-3</v>
      </c>
      <c r="AE6" s="1">
        <v>-3.3600000000000001E-3</v>
      </c>
      <c r="AF6" s="1">
        <v>-1.34E-2</v>
      </c>
      <c r="AG6" s="1">
        <v>-5.16E-2</v>
      </c>
      <c r="AH6" s="1">
        <v>-1.41E-2</v>
      </c>
      <c r="AI6" s="1">
        <v>-7.7600000000000004E-3</v>
      </c>
      <c r="AJ6" s="1">
        <v>-3.2399999999999998E-2</v>
      </c>
      <c r="AK6" s="1">
        <v>-3.8399999999999997E-2</v>
      </c>
      <c r="AL6" s="1">
        <v>-7.2800000000000004E-2</v>
      </c>
      <c r="AM6" s="1">
        <v>-3.3700000000000001E-2</v>
      </c>
      <c r="AN6" s="1">
        <v>-2.1899999999999999E-2</v>
      </c>
      <c r="AO6" s="1">
        <v>-1.9099999999999999E-2</v>
      </c>
      <c r="AP6" s="1">
        <v>-1.5599999999999999E-2</v>
      </c>
      <c r="AQ6" s="1">
        <v>-1.8499999999999999E-2</v>
      </c>
      <c r="AR6" s="1">
        <v>-2.7699999999999999E-2</v>
      </c>
      <c r="AS6" s="1">
        <v>-3.6499999999999998E-2</v>
      </c>
      <c r="AT6" s="1">
        <v>-3.5200000000000002E-2</v>
      </c>
      <c r="AU6" s="1">
        <v>-3.9600000000000003E-2</v>
      </c>
      <c r="AV6" s="1">
        <v>-1.4800000000000001E-2</v>
      </c>
      <c r="AW6" s="1">
        <v>-2.9100000000000001E-2</v>
      </c>
      <c r="AX6" s="1">
        <v>-1.24E-2</v>
      </c>
      <c r="AY6" s="1">
        <v>-2.5499999999999998E-2</v>
      </c>
      <c r="AZ6" s="1">
        <v>-3.8300000000000001E-2</v>
      </c>
      <c r="BA6" s="1">
        <v>-4.48E-2</v>
      </c>
      <c r="BB6" s="1">
        <v>-2.64E-2</v>
      </c>
      <c r="BC6" s="1">
        <v>-2.9700000000000001E-2</v>
      </c>
      <c r="BD6" s="1">
        <v>-5.5300000000000002E-2</v>
      </c>
      <c r="BE6" s="1">
        <v>-3.8800000000000001E-2</v>
      </c>
      <c r="BF6" s="1">
        <v>-3.85E-2</v>
      </c>
      <c r="BG6" s="1">
        <v>-1.6799999999999999E-2</v>
      </c>
      <c r="BH6" s="1">
        <v>-1.5800000000000002E-2</v>
      </c>
      <c r="BI6" s="1">
        <v>-2.75E-2</v>
      </c>
      <c r="BJ6" s="1">
        <v>-6.6799999999999998E-2</v>
      </c>
      <c r="BK6" s="1">
        <v>-3.5900000000000001E-2</v>
      </c>
      <c r="BL6" s="1">
        <v>8.4200000000000004E-3</v>
      </c>
      <c r="BM6" s="1">
        <v>-5.9300000000000004E-3</v>
      </c>
      <c r="BN6" s="1">
        <v>-4.3200000000000002E-2</v>
      </c>
      <c r="BO6" s="1">
        <v>-3.5099999999999999E-2</v>
      </c>
      <c r="BP6" s="1">
        <v>-0.06</v>
      </c>
      <c r="BQ6" s="1">
        <v>-3.8600000000000002E-2</v>
      </c>
      <c r="BR6" s="1">
        <v>2.64E-3</v>
      </c>
      <c r="BS6" s="1">
        <v>-9.9500000000000005E-3</v>
      </c>
      <c r="BT6" s="1">
        <v>-4.8000000000000001E-2</v>
      </c>
      <c r="BU6" s="1">
        <v>-4.7E-2</v>
      </c>
      <c r="BV6" s="1">
        <v>-2.81E-2</v>
      </c>
      <c r="BW6" s="1">
        <v>-3.8100000000000002E-2</v>
      </c>
      <c r="BX6" s="1">
        <v>-5.0500000000000003E-2</v>
      </c>
      <c r="BY6" s="1">
        <v>-2.5600000000000001E-2</v>
      </c>
      <c r="BZ6" s="1">
        <v>-6.2300000000000001E-2</v>
      </c>
      <c r="CA6" s="1">
        <v>-4.4499999999999998E-2</v>
      </c>
      <c r="CB6" s="1">
        <v>-1.78E-2</v>
      </c>
      <c r="CC6" s="1">
        <v>-5.3800000000000001E-2</v>
      </c>
      <c r="CD6" s="1">
        <v>-5.0700000000000002E-2</v>
      </c>
      <c r="CE6" s="1">
        <v>-1.55E-2</v>
      </c>
      <c r="CF6" s="1">
        <v>-2.5600000000000001E-2</v>
      </c>
      <c r="CG6" s="1">
        <v>-4.0800000000000003E-2</v>
      </c>
      <c r="CH6" s="1">
        <v>-9.9600000000000001E-3</v>
      </c>
      <c r="CI6" s="1">
        <v>-5.8599999999999999E-2</v>
      </c>
      <c r="CJ6" s="1">
        <v>-0.11899999999999999</v>
      </c>
      <c r="CK6" s="1">
        <v>-1.1599999999999999E-2</v>
      </c>
      <c r="CL6" s="1">
        <v>-2.8899999999999999E-2</v>
      </c>
      <c r="CM6" s="1">
        <v>-1.24E-2</v>
      </c>
      <c r="CN6" s="1">
        <v>-5.8500000000000003E-2</v>
      </c>
      <c r="CO6" s="1">
        <v>-2.31E-3</v>
      </c>
      <c r="CP6" s="1">
        <v>-8.3299999999999999E-2</v>
      </c>
      <c r="CQ6" s="1">
        <v>-4.7E-2</v>
      </c>
      <c r="CR6" s="1">
        <v>-1.21E-2</v>
      </c>
      <c r="CS6" s="1">
        <v>-2.2599999999999999E-2</v>
      </c>
      <c r="CT6" s="1">
        <v>-5.16E-2</v>
      </c>
      <c r="CU6" s="1">
        <v>-3.27E-2</v>
      </c>
      <c r="CV6" s="1">
        <v>-2.18E-2</v>
      </c>
    </row>
    <row r="7" spans="1:100" x14ac:dyDescent="0.2">
      <c r="A7" t="s">
        <v>208</v>
      </c>
      <c r="B7" s="1">
        <v>6.3899999999999998E-3</v>
      </c>
      <c r="C7" s="1">
        <v>1.0500000000000001E-2</v>
      </c>
      <c r="D7" s="1">
        <v>1.2200000000000001E-2</v>
      </c>
      <c r="E7" s="1">
        <v>9.6900000000000007E-3</v>
      </c>
      <c r="F7" s="1">
        <v>1.38E-2</v>
      </c>
      <c r="G7" s="1">
        <v>1.1900000000000001E-2</v>
      </c>
      <c r="H7" s="1">
        <v>1.34E-2</v>
      </c>
      <c r="I7" s="1">
        <v>1.3100000000000001E-2</v>
      </c>
      <c r="J7" s="1">
        <v>1.2500000000000001E-2</v>
      </c>
      <c r="K7" s="1">
        <v>1.35E-2</v>
      </c>
      <c r="L7" s="1">
        <v>1.24E-2</v>
      </c>
      <c r="M7" s="1">
        <v>8.9700000000000005E-3</v>
      </c>
      <c r="N7" s="1">
        <v>9.3399999999999993E-3</v>
      </c>
      <c r="O7" s="1">
        <v>8.8900000000000003E-3</v>
      </c>
      <c r="P7" s="1">
        <v>8.3499999999999998E-3</v>
      </c>
      <c r="Q7" s="1">
        <v>8.1600000000000006E-3</v>
      </c>
      <c r="R7" s="1">
        <v>7.45E-3</v>
      </c>
      <c r="S7" s="1">
        <v>7.45E-3</v>
      </c>
      <c r="T7" s="1">
        <v>7.0400000000000003E-3</v>
      </c>
      <c r="U7" s="1">
        <v>7.4000000000000003E-3</v>
      </c>
      <c r="V7" s="1">
        <v>7.7499999999999999E-3</v>
      </c>
      <c r="W7" s="1">
        <v>7.3200000000000001E-3</v>
      </c>
      <c r="X7" s="1">
        <v>7.6400000000000001E-3</v>
      </c>
      <c r="Y7" s="1">
        <v>8.0300000000000007E-3</v>
      </c>
      <c r="Z7" s="1">
        <v>8.2699999999999996E-3</v>
      </c>
      <c r="AA7" s="1">
        <v>8.5699999999999995E-3</v>
      </c>
      <c r="AB7" s="1">
        <v>8.8400000000000006E-3</v>
      </c>
      <c r="AC7" s="1">
        <v>9.4500000000000001E-3</v>
      </c>
      <c r="AD7" s="1">
        <v>9.9500000000000005E-3</v>
      </c>
      <c r="AE7" s="1">
        <v>1.0800000000000001E-2</v>
      </c>
      <c r="AF7" s="1">
        <v>1.15E-2</v>
      </c>
      <c r="AG7" s="1">
        <v>1.2200000000000001E-2</v>
      </c>
      <c r="AH7" s="1">
        <v>1.2800000000000001E-2</v>
      </c>
      <c r="AI7" s="1">
        <v>1.37E-2</v>
      </c>
      <c r="AJ7" s="1">
        <v>1.4999999999999999E-2</v>
      </c>
      <c r="AK7" s="1">
        <v>1.5900000000000001E-2</v>
      </c>
      <c r="AL7" s="1">
        <v>1.6400000000000001E-2</v>
      </c>
      <c r="AM7" s="1">
        <v>1.6899999999999998E-2</v>
      </c>
      <c r="AN7" s="1">
        <v>1.7299999999999999E-2</v>
      </c>
      <c r="AO7" s="1">
        <v>1.7899999999999999E-2</v>
      </c>
      <c r="AP7" s="1">
        <v>1.8499999999999999E-2</v>
      </c>
      <c r="AQ7" s="1">
        <v>1.9E-2</v>
      </c>
      <c r="AR7" s="1">
        <v>1.95E-2</v>
      </c>
      <c r="AS7" s="1">
        <v>1.9900000000000001E-2</v>
      </c>
      <c r="AT7" s="1">
        <v>2.0199999999999999E-2</v>
      </c>
      <c r="AU7" s="1">
        <v>2.0500000000000001E-2</v>
      </c>
      <c r="AV7" s="1">
        <v>2.1100000000000001E-2</v>
      </c>
      <c r="AW7" s="1">
        <v>2.1600000000000001E-2</v>
      </c>
      <c r="AX7" s="1">
        <v>2.24E-2</v>
      </c>
      <c r="AY7" s="1">
        <v>2.3099999999999999E-2</v>
      </c>
      <c r="AZ7" s="1">
        <v>2.4199999999999999E-2</v>
      </c>
      <c r="BA7" s="1">
        <v>2.4299999999999999E-2</v>
      </c>
      <c r="BB7" s="1">
        <v>2.5100000000000001E-2</v>
      </c>
      <c r="BC7" s="1">
        <v>2.5899999999999999E-2</v>
      </c>
      <c r="BD7" s="1">
        <v>2.7699999999999999E-2</v>
      </c>
      <c r="BE7" s="1">
        <v>2.81E-2</v>
      </c>
      <c r="BF7" s="1">
        <v>2.9100000000000001E-2</v>
      </c>
      <c r="BG7" s="1">
        <v>3.0099999999999998E-2</v>
      </c>
      <c r="BH7" s="1">
        <v>3.0800000000000001E-2</v>
      </c>
      <c r="BI7" s="1">
        <v>3.2099999999999997E-2</v>
      </c>
      <c r="BJ7" s="1">
        <v>3.2800000000000003E-2</v>
      </c>
      <c r="BK7" s="1">
        <v>3.2899999999999999E-2</v>
      </c>
      <c r="BL7" s="1">
        <v>3.2800000000000003E-2</v>
      </c>
      <c r="BM7" s="1">
        <v>3.2300000000000002E-2</v>
      </c>
      <c r="BN7" s="1">
        <v>3.27E-2</v>
      </c>
      <c r="BO7" s="1">
        <v>3.27E-2</v>
      </c>
      <c r="BP7" s="1">
        <v>3.27E-2</v>
      </c>
      <c r="BQ7" s="1">
        <v>3.2800000000000003E-2</v>
      </c>
      <c r="BR7" s="1">
        <v>3.2899999999999999E-2</v>
      </c>
      <c r="BS7" s="1">
        <v>3.5999999999999997E-2</v>
      </c>
      <c r="BT7" s="1">
        <v>4.2500000000000003E-2</v>
      </c>
      <c r="BU7" s="1">
        <v>4.6800000000000001E-2</v>
      </c>
      <c r="BV7" s="1">
        <v>4.7399999999999998E-2</v>
      </c>
      <c r="BW7" s="1">
        <v>4.7500000000000001E-2</v>
      </c>
      <c r="BX7" s="1">
        <v>4.7E-2</v>
      </c>
      <c r="BY7" s="1">
        <v>4.6399999999999997E-2</v>
      </c>
      <c r="BZ7" s="1">
        <v>4.7600000000000003E-2</v>
      </c>
      <c r="CA7" s="1">
        <v>4.7800000000000002E-2</v>
      </c>
      <c r="CB7" s="1">
        <v>4.7500000000000001E-2</v>
      </c>
      <c r="CC7" s="1">
        <v>4.9099999999999998E-2</v>
      </c>
      <c r="CD7" s="1">
        <v>4.7899999999999998E-2</v>
      </c>
      <c r="CE7" s="1">
        <v>4.7199999999999999E-2</v>
      </c>
      <c r="CF7" s="1">
        <v>5.1700000000000003E-2</v>
      </c>
      <c r="CG7" s="1">
        <v>5.7200000000000001E-2</v>
      </c>
      <c r="CH7" s="1">
        <v>6.0199999999999997E-2</v>
      </c>
      <c r="CI7" s="1">
        <v>5.5800000000000002E-2</v>
      </c>
      <c r="CJ7" s="1">
        <v>5.2600000000000001E-2</v>
      </c>
      <c r="CK7" s="1">
        <v>4.9299999999999997E-2</v>
      </c>
      <c r="CL7" s="1">
        <v>5.5599999999999997E-2</v>
      </c>
      <c r="CM7" s="1">
        <v>5.5899999999999998E-2</v>
      </c>
      <c r="CN7" s="1">
        <v>5.2699999999999997E-2</v>
      </c>
      <c r="CO7" s="1">
        <v>5.0999999999999997E-2</v>
      </c>
      <c r="CP7" s="1">
        <v>6.6000000000000003E-2</v>
      </c>
      <c r="CQ7" s="1">
        <v>6.5500000000000003E-2</v>
      </c>
      <c r="CR7" s="1">
        <v>6.6100000000000006E-2</v>
      </c>
      <c r="CS7" s="1">
        <v>6.1600000000000002E-2</v>
      </c>
      <c r="CT7" s="1">
        <v>5.4100000000000002E-2</v>
      </c>
      <c r="CU7" s="1">
        <v>6.2600000000000003E-2</v>
      </c>
      <c r="CV7" s="1">
        <v>4.5600000000000002E-2</v>
      </c>
    </row>
    <row r="8" spans="1:100" x14ac:dyDescent="0.2">
      <c r="A8" t="s">
        <v>209</v>
      </c>
      <c r="B8" s="1">
        <v>2.8800000000000002E-3</v>
      </c>
      <c r="C8" s="1">
        <v>5.5799999999999999E-3</v>
      </c>
      <c r="D8" s="1">
        <v>6.3899999999999998E-3</v>
      </c>
      <c r="E8" s="1">
        <v>4.9899999999999996E-3</v>
      </c>
      <c r="F8" s="1">
        <v>6.8300000000000001E-3</v>
      </c>
      <c r="G8" s="1">
        <v>6.0400000000000002E-3</v>
      </c>
      <c r="H8" s="1">
        <v>7.0200000000000002E-3</v>
      </c>
      <c r="I8" s="1">
        <v>6.5700000000000003E-3</v>
      </c>
      <c r="J8" s="1">
        <v>6.1900000000000002E-3</v>
      </c>
      <c r="K8" s="1">
        <v>6.7200000000000003E-3</v>
      </c>
      <c r="L8" s="1">
        <v>6.1500000000000001E-3</v>
      </c>
      <c r="M8" s="1">
        <v>4.4400000000000004E-3</v>
      </c>
      <c r="N8" s="1">
        <v>4.6100000000000004E-3</v>
      </c>
      <c r="O8" s="1">
        <v>4.4099999999999999E-3</v>
      </c>
      <c r="P8" s="1">
        <v>4.0099999999999997E-3</v>
      </c>
      <c r="Q8" s="1">
        <v>3.8999999999999998E-3</v>
      </c>
      <c r="R8" s="1">
        <v>3.5400000000000002E-3</v>
      </c>
      <c r="S8" s="1">
        <v>3.5799999999999998E-3</v>
      </c>
      <c r="T8" s="1">
        <v>3.3500000000000001E-3</v>
      </c>
      <c r="U8" s="1">
        <v>3.47E-3</v>
      </c>
      <c r="V8" s="1">
        <v>3.65E-3</v>
      </c>
      <c r="W8" s="1">
        <v>3.48E-3</v>
      </c>
      <c r="X8" s="1">
        <v>3.5400000000000002E-3</v>
      </c>
      <c r="Y8" s="1">
        <v>3.7299999999999998E-3</v>
      </c>
      <c r="Z8" s="1">
        <v>3.8300000000000001E-3</v>
      </c>
      <c r="AA8" s="1">
        <v>3.9399999999999999E-3</v>
      </c>
      <c r="AB8" s="1">
        <v>4.0000000000000001E-3</v>
      </c>
      <c r="AC8" s="1">
        <v>4.1399999999999996E-3</v>
      </c>
      <c r="AD8" s="1">
        <v>4.2500000000000003E-3</v>
      </c>
      <c r="AE8" s="1">
        <v>4.45E-3</v>
      </c>
      <c r="AF8" s="1">
        <v>4.7499999999999999E-3</v>
      </c>
      <c r="AG8" s="1">
        <v>5.0600000000000003E-3</v>
      </c>
      <c r="AH8" s="1">
        <v>5.3800000000000002E-3</v>
      </c>
      <c r="AI8" s="1">
        <v>5.8100000000000001E-3</v>
      </c>
      <c r="AJ8" s="1">
        <v>6.2899999999999996E-3</v>
      </c>
      <c r="AK8" s="1">
        <v>6.6299999999999996E-3</v>
      </c>
      <c r="AL8" s="1">
        <v>6.9300000000000004E-3</v>
      </c>
      <c r="AM8" s="1">
        <v>7.0800000000000004E-3</v>
      </c>
      <c r="AN8" s="1">
        <v>7.26E-3</v>
      </c>
      <c r="AO8" s="1">
        <v>7.4999999999999997E-3</v>
      </c>
      <c r="AP8" s="1">
        <v>7.6699999999999997E-3</v>
      </c>
      <c r="AQ8" s="1">
        <v>7.7299999999999999E-3</v>
      </c>
      <c r="AR8" s="1">
        <v>7.8700000000000003E-3</v>
      </c>
      <c r="AS8" s="1">
        <v>7.9699999999999997E-3</v>
      </c>
      <c r="AT8" s="1">
        <v>8.0300000000000007E-3</v>
      </c>
      <c r="AU8" s="1">
        <v>8.0800000000000004E-3</v>
      </c>
      <c r="AV8" s="1">
        <v>8.3400000000000002E-3</v>
      </c>
      <c r="AW8" s="1">
        <v>8.43E-3</v>
      </c>
      <c r="AX8" s="1">
        <v>8.6300000000000005E-3</v>
      </c>
      <c r="AY8" s="1">
        <v>8.6800000000000002E-3</v>
      </c>
      <c r="AZ8" s="1">
        <v>8.9999999999999993E-3</v>
      </c>
      <c r="BA8" s="1">
        <v>8.9899999999999997E-3</v>
      </c>
      <c r="BB8" s="1">
        <v>9.1400000000000006E-3</v>
      </c>
      <c r="BC8" s="1">
        <v>9.3900000000000008E-3</v>
      </c>
      <c r="BD8" s="1">
        <v>9.8600000000000007E-3</v>
      </c>
      <c r="BE8" s="1">
        <v>9.9500000000000005E-3</v>
      </c>
      <c r="BF8" s="1">
        <v>1.0200000000000001E-2</v>
      </c>
      <c r="BG8" s="1">
        <v>1.0500000000000001E-2</v>
      </c>
      <c r="BH8" s="1">
        <v>1.0500000000000001E-2</v>
      </c>
      <c r="BI8" s="1">
        <v>1.0800000000000001E-2</v>
      </c>
      <c r="BJ8" s="1">
        <v>1.09E-2</v>
      </c>
      <c r="BK8" s="1">
        <v>1.0800000000000001E-2</v>
      </c>
      <c r="BL8" s="1">
        <v>1.0699999999999999E-2</v>
      </c>
      <c r="BM8" s="1">
        <v>1.0500000000000001E-2</v>
      </c>
      <c r="BN8" s="1">
        <v>1.0500000000000001E-2</v>
      </c>
      <c r="BO8" s="1">
        <v>1.03E-2</v>
      </c>
      <c r="BP8" s="1">
        <v>1.01E-2</v>
      </c>
      <c r="BQ8" s="1">
        <v>0.01</v>
      </c>
      <c r="BR8" s="1">
        <v>9.9900000000000006E-3</v>
      </c>
      <c r="BS8" s="1">
        <v>1.0800000000000001E-2</v>
      </c>
      <c r="BT8" s="1">
        <v>1.26E-2</v>
      </c>
      <c r="BU8" s="1">
        <v>1.37E-2</v>
      </c>
      <c r="BV8" s="1">
        <v>1.37E-2</v>
      </c>
      <c r="BW8" s="1">
        <v>1.3599999999999999E-2</v>
      </c>
      <c r="BX8" s="1">
        <v>1.34E-2</v>
      </c>
      <c r="BY8" s="1">
        <v>1.3100000000000001E-2</v>
      </c>
      <c r="BZ8" s="1">
        <v>1.3299999999999999E-2</v>
      </c>
      <c r="CA8" s="1">
        <v>1.3100000000000001E-2</v>
      </c>
      <c r="CB8" s="1">
        <v>1.29E-2</v>
      </c>
      <c r="CC8" s="1">
        <v>1.32E-2</v>
      </c>
      <c r="CD8" s="1">
        <v>1.2999999999999999E-2</v>
      </c>
      <c r="CE8" s="1">
        <v>1.2800000000000001E-2</v>
      </c>
      <c r="CF8" s="1">
        <v>1.41E-2</v>
      </c>
      <c r="CG8" s="1">
        <v>1.52E-2</v>
      </c>
      <c r="CH8" s="1">
        <v>1.5900000000000001E-2</v>
      </c>
      <c r="CI8" s="1">
        <v>1.47E-2</v>
      </c>
      <c r="CJ8" s="1">
        <v>1.4E-2</v>
      </c>
      <c r="CK8" s="1">
        <v>1.2999999999999999E-2</v>
      </c>
      <c r="CL8" s="1">
        <v>1.47E-2</v>
      </c>
      <c r="CM8" s="1">
        <v>1.4800000000000001E-2</v>
      </c>
      <c r="CN8" s="1">
        <v>1.3899999999999999E-2</v>
      </c>
      <c r="CO8" s="1">
        <v>1.34E-2</v>
      </c>
      <c r="CP8" s="1">
        <v>1.77E-2</v>
      </c>
      <c r="CQ8" s="1">
        <v>1.78E-2</v>
      </c>
      <c r="CR8" s="1">
        <v>1.84E-2</v>
      </c>
      <c r="CS8" s="1">
        <v>1.7399999999999999E-2</v>
      </c>
      <c r="CT8" s="1">
        <v>1.5800000000000002E-2</v>
      </c>
      <c r="CU8" s="1">
        <v>1.9300000000000001E-2</v>
      </c>
      <c r="CV8" s="1">
        <v>1.5100000000000001E-2</v>
      </c>
    </row>
    <row r="9" spans="1:100" x14ac:dyDescent="0.2">
      <c r="A9" t="s">
        <v>210</v>
      </c>
      <c r="B9" s="1">
        <v>8.9599999999999999E-4</v>
      </c>
      <c r="C9" s="1">
        <v>1.2700000000000001E-3</v>
      </c>
      <c r="D9" s="1">
        <v>1.4499999999999999E-3</v>
      </c>
      <c r="E9" s="1">
        <v>1.0499999999999999E-3</v>
      </c>
      <c r="F9" s="1">
        <v>1.5100000000000001E-3</v>
      </c>
      <c r="G9" s="1">
        <v>1.1999999999999999E-3</v>
      </c>
      <c r="H9" s="1">
        <v>1.1999999999999999E-3</v>
      </c>
      <c r="I9" s="1">
        <v>1.1299999999999999E-3</v>
      </c>
      <c r="J9" s="1">
        <v>1.01E-3</v>
      </c>
      <c r="K9" s="1">
        <v>1.0399999999999999E-3</v>
      </c>
      <c r="L9" s="1">
        <v>8.9499999999999996E-4</v>
      </c>
      <c r="M9" s="1">
        <v>5.9599999999999996E-4</v>
      </c>
      <c r="N9" s="1">
        <v>6.0499999999999996E-4</v>
      </c>
      <c r="O9" s="1">
        <v>5.4699999999999996E-4</v>
      </c>
      <c r="P9" s="1">
        <v>4.7800000000000002E-4</v>
      </c>
      <c r="Q9" s="1">
        <v>4.4000000000000002E-4</v>
      </c>
      <c r="R9" s="1">
        <v>3.7300000000000001E-4</v>
      </c>
      <c r="S9" s="1">
        <v>3.6499999999999998E-4</v>
      </c>
      <c r="T9" s="1">
        <v>3.4299999999999999E-4</v>
      </c>
      <c r="U9" s="1">
        <v>3.6200000000000002E-4</v>
      </c>
      <c r="V9" s="1">
        <v>3.8200000000000002E-4</v>
      </c>
      <c r="W9" s="1">
        <v>3.5799999999999997E-4</v>
      </c>
      <c r="X9" s="1">
        <v>3.7599999999999998E-4</v>
      </c>
      <c r="Y9" s="1">
        <v>3.9300000000000001E-4</v>
      </c>
      <c r="Z9" s="1">
        <v>4.0900000000000002E-4</v>
      </c>
      <c r="AA9" s="1">
        <v>4.17E-4</v>
      </c>
      <c r="AB9" s="1">
        <v>4.2999999999999999E-4</v>
      </c>
      <c r="AC9" s="1">
        <v>4.6200000000000001E-4</v>
      </c>
      <c r="AD9" s="1">
        <v>4.84E-4</v>
      </c>
      <c r="AE9" s="1">
        <v>5.1900000000000004E-4</v>
      </c>
      <c r="AF9" s="1">
        <v>5.5199999999999997E-4</v>
      </c>
      <c r="AG9" s="1">
        <v>5.8200000000000005E-4</v>
      </c>
      <c r="AH9" s="1">
        <v>6.1499999999999999E-4</v>
      </c>
      <c r="AI9" s="1">
        <v>6.7199999999999996E-4</v>
      </c>
      <c r="AJ9" s="1">
        <v>7.3499999999999998E-4</v>
      </c>
      <c r="AK9" s="1">
        <v>7.6900000000000004E-4</v>
      </c>
      <c r="AL9" s="1">
        <v>7.8899999999999999E-4</v>
      </c>
      <c r="AM9" s="1">
        <v>8.2799999999999996E-4</v>
      </c>
      <c r="AN9" s="1">
        <v>8.4500000000000005E-4</v>
      </c>
      <c r="AO9" s="1">
        <v>8.7799999999999998E-4</v>
      </c>
      <c r="AP9" s="1">
        <v>8.7600000000000004E-4</v>
      </c>
      <c r="AQ9" s="1">
        <v>8.7600000000000004E-4</v>
      </c>
      <c r="AR9" s="1">
        <v>8.9899999999999995E-4</v>
      </c>
      <c r="AS9" s="1">
        <v>9.1200000000000005E-4</v>
      </c>
      <c r="AT9" s="1">
        <v>9.3300000000000002E-4</v>
      </c>
      <c r="AU9" s="1">
        <v>9.3700000000000001E-4</v>
      </c>
      <c r="AV9" s="1">
        <v>9.4799999999999995E-4</v>
      </c>
      <c r="AW9" s="1">
        <v>9.7400000000000004E-4</v>
      </c>
      <c r="AX9" s="1">
        <v>1.0200000000000001E-3</v>
      </c>
      <c r="AY9" s="1">
        <v>1.0499999999999999E-3</v>
      </c>
      <c r="AZ9" s="1">
        <v>1.08E-3</v>
      </c>
      <c r="BA9" s="1">
        <v>1.09E-3</v>
      </c>
      <c r="BB9" s="1">
        <v>1.1299999999999999E-3</v>
      </c>
      <c r="BC9" s="1">
        <v>1.14E-3</v>
      </c>
      <c r="BD9" s="1">
        <v>1.1900000000000001E-3</v>
      </c>
      <c r="BE9" s="1">
        <v>1.2099999999999999E-3</v>
      </c>
      <c r="BF9" s="1">
        <v>1.24E-3</v>
      </c>
      <c r="BG9" s="1">
        <v>1.24E-3</v>
      </c>
      <c r="BH9" s="1">
        <v>1.2199999999999999E-3</v>
      </c>
      <c r="BI9" s="1">
        <v>1.24E-3</v>
      </c>
      <c r="BJ9" s="1">
        <v>1.2700000000000001E-3</v>
      </c>
      <c r="BK9" s="1">
        <v>1.24E-3</v>
      </c>
      <c r="BL9" s="1">
        <v>1.1999999999999999E-3</v>
      </c>
      <c r="BM9" s="1">
        <v>1.15E-3</v>
      </c>
      <c r="BN9" s="1">
        <v>1.14E-3</v>
      </c>
      <c r="BO9" s="1">
        <v>1.14E-3</v>
      </c>
      <c r="BP9" s="1">
        <v>1.14E-3</v>
      </c>
      <c r="BQ9" s="1">
        <v>1.14E-3</v>
      </c>
      <c r="BR9" s="1">
        <v>1.14E-3</v>
      </c>
      <c r="BS9" s="1">
        <v>1.23E-3</v>
      </c>
      <c r="BT9" s="1">
        <v>1.4499999999999999E-3</v>
      </c>
      <c r="BU9" s="1">
        <v>1.56E-3</v>
      </c>
      <c r="BV9" s="1">
        <v>1.5399999999999999E-3</v>
      </c>
      <c r="BW9" s="1">
        <v>1.5100000000000001E-3</v>
      </c>
      <c r="BX9" s="1">
        <v>1.4499999999999999E-3</v>
      </c>
      <c r="BY9" s="1">
        <v>1.42E-3</v>
      </c>
      <c r="BZ9" s="1">
        <v>1.4599999999999999E-3</v>
      </c>
      <c r="CA9" s="1">
        <v>1.5E-3</v>
      </c>
      <c r="CB9" s="1">
        <v>1.4599999999999999E-3</v>
      </c>
      <c r="CC9" s="1">
        <v>1.49E-3</v>
      </c>
      <c r="CD9" s="1">
        <v>1.4599999999999999E-3</v>
      </c>
      <c r="CE9" s="1">
        <v>1.4499999999999999E-3</v>
      </c>
      <c r="CF9" s="1">
        <v>1.6000000000000001E-3</v>
      </c>
      <c r="CG9" s="1">
        <v>1.75E-3</v>
      </c>
      <c r="CH9" s="1">
        <v>1.89E-3</v>
      </c>
      <c r="CI9" s="1">
        <v>1.73E-3</v>
      </c>
      <c r="CJ9" s="1">
        <v>1.64E-3</v>
      </c>
      <c r="CK9" s="1">
        <v>1.6199999999999999E-3</v>
      </c>
      <c r="CL9" s="1">
        <v>1.82E-3</v>
      </c>
      <c r="CM9" s="1">
        <v>1.8E-3</v>
      </c>
      <c r="CN9" s="1">
        <v>1.7799999999999999E-3</v>
      </c>
      <c r="CO9" s="1">
        <v>1.82E-3</v>
      </c>
      <c r="CP9" s="1">
        <v>2.4099999999999998E-3</v>
      </c>
      <c r="CQ9" s="1">
        <v>2.47E-3</v>
      </c>
      <c r="CR9" s="1">
        <v>2.5899999999999999E-3</v>
      </c>
      <c r="CS9" s="1">
        <v>2.5999999999999999E-3</v>
      </c>
      <c r="CT9" s="1">
        <v>2.3400000000000001E-3</v>
      </c>
      <c r="CU9" s="1">
        <v>2.8600000000000001E-3</v>
      </c>
      <c r="CV9" s="1">
        <v>1.9599999999999999E-3</v>
      </c>
    </row>
    <row r="10" spans="1:100" x14ac:dyDescent="0.2">
      <c r="A10" t="s">
        <v>211</v>
      </c>
      <c r="B10" s="1">
        <v>9.3400000000000004E-4</v>
      </c>
      <c r="C10" s="1">
        <v>1.2600000000000001E-3</v>
      </c>
      <c r="D10" s="1">
        <v>1.1000000000000001E-3</v>
      </c>
      <c r="E10" s="1">
        <v>7.36E-4</v>
      </c>
      <c r="F10" s="1">
        <v>1.0300000000000001E-3</v>
      </c>
      <c r="G10" s="1">
        <v>9.0499999999999999E-4</v>
      </c>
      <c r="H10" s="1">
        <v>1.0200000000000001E-3</v>
      </c>
      <c r="I10" s="1">
        <v>9.0600000000000001E-4</v>
      </c>
      <c r="J10" s="1">
        <v>7.1900000000000002E-4</v>
      </c>
      <c r="K10" s="1">
        <v>7.7200000000000001E-4</v>
      </c>
      <c r="L10" s="1">
        <v>6.9999999999999999E-4</v>
      </c>
      <c r="M10" s="1">
        <v>5.0900000000000001E-4</v>
      </c>
      <c r="N10" s="1">
        <v>5.4500000000000002E-4</v>
      </c>
      <c r="O10" s="1">
        <v>4.9299999999999995E-4</v>
      </c>
      <c r="P10" s="1">
        <v>4.2900000000000002E-4</v>
      </c>
      <c r="Q10" s="1">
        <v>4.5399999999999998E-4</v>
      </c>
      <c r="R10" s="1">
        <v>4.37E-4</v>
      </c>
      <c r="S10" s="1">
        <v>4.2299999999999998E-4</v>
      </c>
      <c r="T10" s="1">
        <v>4.3300000000000001E-4</v>
      </c>
      <c r="U10" s="1">
        <v>4.5300000000000001E-4</v>
      </c>
      <c r="V10" s="1">
        <v>4.8000000000000001E-4</v>
      </c>
      <c r="W10" s="1">
        <v>4.3899999999999999E-4</v>
      </c>
      <c r="X10" s="1">
        <v>4.8299999999999998E-4</v>
      </c>
      <c r="Y10" s="1">
        <v>4.7100000000000001E-4</v>
      </c>
      <c r="Z10" s="1">
        <v>4.7600000000000002E-4</v>
      </c>
      <c r="AA10" s="1">
        <v>5.0500000000000002E-4</v>
      </c>
      <c r="AB10" s="1">
        <v>5.0900000000000001E-4</v>
      </c>
      <c r="AC10" s="1">
        <v>5.4100000000000003E-4</v>
      </c>
      <c r="AD10" s="1">
        <v>5.6099999999999998E-4</v>
      </c>
      <c r="AE10" s="1">
        <v>5.9599999999999996E-4</v>
      </c>
      <c r="AF10" s="1">
        <v>6.4700000000000001E-4</v>
      </c>
      <c r="AG10" s="1">
        <v>6.96E-4</v>
      </c>
      <c r="AH10" s="1">
        <v>7.5500000000000003E-4</v>
      </c>
      <c r="AI10" s="1">
        <v>8.52E-4</v>
      </c>
      <c r="AJ10" s="1">
        <v>9.4700000000000003E-4</v>
      </c>
      <c r="AK10" s="1">
        <v>9.77E-4</v>
      </c>
      <c r="AL10" s="1">
        <v>1.0499999999999999E-3</v>
      </c>
      <c r="AM10" s="1">
        <v>1.0200000000000001E-3</v>
      </c>
      <c r="AN10" s="1">
        <v>1.0399999999999999E-3</v>
      </c>
      <c r="AO10" s="1">
        <v>1.1100000000000001E-3</v>
      </c>
      <c r="AP10" s="1">
        <v>1.14E-3</v>
      </c>
      <c r="AQ10" s="1">
        <v>1.17E-3</v>
      </c>
      <c r="AR10" s="1">
        <v>1.2099999999999999E-3</v>
      </c>
      <c r="AS10" s="1">
        <v>1.2600000000000001E-3</v>
      </c>
      <c r="AT10" s="1">
        <v>1.25E-3</v>
      </c>
      <c r="AU10" s="1">
        <v>1.2700000000000001E-3</v>
      </c>
      <c r="AV10" s="1">
        <v>1.2600000000000001E-3</v>
      </c>
      <c r="AW10" s="1">
        <v>1.32E-3</v>
      </c>
      <c r="AX10" s="1">
        <v>1.3500000000000001E-3</v>
      </c>
      <c r="AY10" s="1">
        <v>1.42E-3</v>
      </c>
      <c r="AZ10" s="1">
        <v>1.49E-3</v>
      </c>
      <c r="BA10" s="1">
        <v>1.5399999999999999E-3</v>
      </c>
      <c r="BB10" s="1">
        <v>1.5E-3</v>
      </c>
      <c r="BC10" s="1">
        <v>1.56E-3</v>
      </c>
      <c r="BD10" s="1">
        <v>1.6800000000000001E-3</v>
      </c>
      <c r="BE10" s="1">
        <v>1.66E-3</v>
      </c>
      <c r="BF10" s="1">
        <v>1.7700000000000001E-3</v>
      </c>
      <c r="BG10" s="1">
        <v>1.8500000000000001E-3</v>
      </c>
      <c r="BH10" s="1">
        <v>1.8500000000000001E-3</v>
      </c>
      <c r="BI10" s="1">
        <v>1.91E-3</v>
      </c>
      <c r="BJ10" s="1">
        <v>1.9499999999999999E-3</v>
      </c>
      <c r="BK10" s="1">
        <v>1.9599999999999999E-3</v>
      </c>
      <c r="BL10" s="1">
        <v>1.89E-3</v>
      </c>
      <c r="BM10" s="1">
        <v>1.8500000000000001E-3</v>
      </c>
      <c r="BN10" s="1">
        <v>1.83E-3</v>
      </c>
      <c r="BO10" s="1">
        <v>1.91E-3</v>
      </c>
      <c r="BP10" s="1">
        <v>1.74E-3</v>
      </c>
      <c r="BQ10" s="1">
        <v>1.67E-3</v>
      </c>
      <c r="BR10" s="1">
        <v>1.7799999999999999E-3</v>
      </c>
      <c r="BS10" s="1">
        <v>1.9499999999999999E-3</v>
      </c>
      <c r="BT10" s="1">
        <v>2.33E-3</v>
      </c>
      <c r="BU10" s="1">
        <v>2.5999999999999999E-3</v>
      </c>
      <c r="BV10" s="1">
        <v>2.64E-3</v>
      </c>
      <c r="BW10" s="1">
        <v>2.64E-3</v>
      </c>
      <c r="BX10" s="1">
        <v>2.63E-3</v>
      </c>
      <c r="BY10" s="1">
        <v>2.5200000000000001E-3</v>
      </c>
      <c r="BZ10" s="1">
        <v>2.6800000000000001E-3</v>
      </c>
      <c r="CA10" s="1">
        <v>2.6800000000000001E-3</v>
      </c>
      <c r="CB10" s="1">
        <v>2.6800000000000001E-3</v>
      </c>
      <c r="CC10" s="1">
        <v>2.7399999999999998E-3</v>
      </c>
      <c r="CD10" s="1">
        <v>2.6099999999999999E-3</v>
      </c>
      <c r="CE10" s="1">
        <v>2.6199999999999999E-3</v>
      </c>
      <c r="CF10" s="1">
        <v>2.8999999999999998E-3</v>
      </c>
      <c r="CG10" s="1">
        <v>3.15E-3</v>
      </c>
      <c r="CH10" s="1">
        <v>3.4199999999999999E-3</v>
      </c>
      <c r="CI10" s="1">
        <v>3.2000000000000002E-3</v>
      </c>
      <c r="CJ10" s="1">
        <v>3.0899999999999999E-3</v>
      </c>
      <c r="CK10" s="1">
        <v>2.97E-3</v>
      </c>
      <c r="CL10" s="1">
        <v>3.5799999999999998E-3</v>
      </c>
      <c r="CM10" s="1">
        <v>3.5599999999999998E-3</v>
      </c>
      <c r="CN10" s="1">
        <v>3.3500000000000001E-3</v>
      </c>
      <c r="CO10" s="1">
        <v>3.2799999999999999E-3</v>
      </c>
      <c r="CP10" s="1">
        <v>4.2100000000000002E-3</v>
      </c>
      <c r="CQ10" s="1">
        <v>4.2599999999999999E-3</v>
      </c>
      <c r="CR10" s="1">
        <v>4.5700000000000003E-3</v>
      </c>
      <c r="CS10" s="1">
        <v>4.5999999999999999E-3</v>
      </c>
      <c r="CT10" s="1">
        <v>4.2599999999999999E-3</v>
      </c>
      <c r="CU10" s="1">
        <v>4.9899999999999996E-3</v>
      </c>
      <c r="CV10" s="1">
        <v>3.8300000000000001E-3</v>
      </c>
    </row>
    <row r="11" spans="1:100" x14ac:dyDescent="0.2">
      <c r="A11" t="s">
        <v>212</v>
      </c>
      <c r="B11" s="1">
        <v>-2E-3</v>
      </c>
      <c r="C11" s="1">
        <v>-3.46E-3</v>
      </c>
      <c r="D11" s="1">
        <v>-3.8800000000000002E-3</v>
      </c>
      <c r="E11" s="1">
        <v>-2.4599999999999999E-3</v>
      </c>
      <c r="F11" s="1">
        <v>-3.3E-3</v>
      </c>
      <c r="G11" s="1">
        <v>-2.7000000000000001E-3</v>
      </c>
      <c r="H11" s="1">
        <v>-2.6800000000000001E-3</v>
      </c>
      <c r="I11" s="1">
        <v>-2.5400000000000002E-3</v>
      </c>
      <c r="J11" s="1">
        <v>-2.2300000000000002E-3</v>
      </c>
      <c r="K11" s="1">
        <v>-2.2200000000000002E-3</v>
      </c>
      <c r="L11" s="1">
        <v>-1.8600000000000001E-3</v>
      </c>
      <c r="M11" s="1">
        <v>-1.1900000000000001E-3</v>
      </c>
      <c r="N11" s="1">
        <v>-1.17E-3</v>
      </c>
      <c r="O11" s="1">
        <v>-9.9799999999999997E-4</v>
      </c>
      <c r="P11" s="1">
        <v>-8.8400000000000002E-4</v>
      </c>
      <c r="Q11" s="1">
        <v>-7.8799999999999996E-4</v>
      </c>
      <c r="R11" s="1">
        <v>-6.7699999999999998E-4</v>
      </c>
      <c r="S11" s="1">
        <v>-6.1799999999999995E-4</v>
      </c>
      <c r="T11" s="1">
        <v>-5.44E-4</v>
      </c>
      <c r="U11" s="1">
        <v>-5.3499999999999999E-4</v>
      </c>
      <c r="V11" s="1">
        <v>-5.0100000000000003E-4</v>
      </c>
      <c r="W11" s="1">
        <v>-4.4799999999999999E-4</v>
      </c>
      <c r="X11" s="1">
        <v>-4.4200000000000001E-4</v>
      </c>
      <c r="Y11" s="1">
        <v>-4.3399999999999998E-4</v>
      </c>
      <c r="Z11" s="1">
        <v>-4.2200000000000001E-4</v>
      </c>
      <c r="AA11" s="1">
        <v>-4.2700000000000002E-4</v>
      </c>
      <c r="AB11" s="1">
        <v>-4.2499999999999998E-4</v>
      </c>
      <c r="AC11" s="1">
        <v>-4.3600000000000003E-4</v>
      </c>
      <c r="AD11" s="1">
        <v>-4.46E-4</v>
      </c>
      <c r="AE11" s="1">
        <v>-4.86E-4</v>
      </c>
      <c r="AF11" s="1">
        <v>-4.9600000000000002E-4</v>
      </c>
      <c r="AG11" s="1">
        <v>-4.8700000000000002E-4</v>
      </c>
      <c r="AH11" s="1">
        <v>-4.7800000000000002E-4</v>
      </c>
      <c r="AI11" s="1">
        <v>-4.8000000000000001E-4</v>
      </c>
      <c r="AJ11" s="1">
        <v>-5.0100000000000003E-4</v>
      </c>
      <c r="AK11" s="1">
        <v>-5.0199999999999995E-4</v>
      </c>
      <c r="AL11" s="1">
        <v>-5.0600000000000005E-4</v>
      </c>
      <c r="AM11" s="1">
        <v>-4.9700000000000005E-4</v>
      </c>
      <c r="AN11" s="1">
        <v>-4.73E-4</v>
      </c>
      <c r="AO11" s="1">
        <v>-4.6000000000000001E-4</v>
      </c>
      <c r="AP11" s="1">
        <v>-4.4700000000000002E-4</v>
      </c>
      <c r="AQ11" s="1">
        <v>-4.5800000000000002E-4</v>
      </c>
      <c r="AR11" s="1">
        <v>-4.4999999999999999E-4</v>
      </c>
      <c r="AS11" s="1">
        <v>-4.3899999999999999E-4</v>
      </c>
      <c r="AT11" s="1">
        <v>-4.37E-4</v>
      </c>
      <c r="AU11" s="1">
        <v>-4.3600000000000003E-4</v>
      </c>
      <c r="AV11" s="1">
        <v>-4.2700000000000002E-4</v>
      </c>
      <c r="AW11" s="1">
        <v>-4.26E-4</v>
      </c>
      <c r="AX11" s="1">
        <v>-4.3300000000000001E-4</v>
      </c>
      <c r="AY11" s="1">
        <v>-4.46E-4</v>
      </c>
      <c r="AZ11" s="1">
        <v>-4.5899999999999999E-4</v>
      </c>
      <c r="BA11" s="1">
        <v>-4.57E-4</v>
      </c>
      <c r="BB11" s="1">
        <v>-4.3600000000000003E-4</v>
      </c>
      <c r="BC11" s="1">
        <v>-4.35E-4</v>
      </c>
      <c r="BD11" s="1">
        <v>-4.4299999999999998E-4</v>
      </c>
      <c r="BE11" s="1">
        <v>-4.2400000000000001E-4</v>
      </c>
      <c r="BF11" s="1">
        <v>-4.1399999999999998E-4</v>
      </c>
      <c r="BG11" s="1">
        <v>-4.15E-4</v>
      </c>
      <c r="BH11" s="1">
        <v>-4.17E-4</v>
      </c>
      <c r="BI11" s="1">
        <v>-4.0200000000000001E-4</v>
      </c>
      <c r="BJ11" s="1">
        <v>-3.9899999999999999E-4</v>
      </c>
      <c r="BK11" s="1">
        <v>-3.8200000000000002E-4</v>
      </c>
      <c r="BL11" s="1">
        <v>-3.6000000000000002E-4</v>
      </c>
      <c r="BM11" s="1">
        <v>-3.28E-4</v>
      </c>
      <c r="BN11" s="1">
        <v>-3.2699999999999998E-4</v>
      </c>
      <c r="BO11" s="1">
        <v>-3.1799999999999998E-4</v>
      </c>
      <c r="BP11" s="1">
        <v>-2.9799999999999998E-4</v>
      </c>
      <c r="BQ11" s="1">
        <v>-3.2000000000000003E-4</v>
      </c>
      <c r="BR11" s="1">
        <v>-2.9100000000000003E-4</v>
      </c>
      <c r="BS11" s="1">
        <v>-3.0800000000000001E-4</v>
      </c>
      <c r="BT11" s="1">
        <v>-3.8900000000000002E-4</v>
      </c>
      <c r="BU11" s="1">
        <v>-3.9500000000000001E-4</v>
      </c>
      <c r="BV11" s="1">
        <v>-3.97E-4</v>
      </c>
      <c r="BW11" s="1">
        <v>-3.8999999999999999E-4</v>
      </c>
      <c r="BX11" s="1">
        <v>-3.68E-4</v>
      </c>
      <c r="BY11" s="1">
        <v>-3.19E-4</v>
      </c>
      <c r="BZ11" s="1">
        <v>-2.99E-4</v>
      </c>
      <c r="CA11" s="1">
        <v>-3.0499999999999999E-4</v>
      </c>
      <c r="CB11" s="1">
        <v>-3.19E-4</v>
      </c>
      <c r="CC11" s="1">
        <v>-3.2600000000000001E-4</v>
      </c>
      <c r="CD11" s="1">
        <v>-3.19E-4</v>
      </c>
      <c r="CE11" s="1">
        <v>-2.9399999999999999E-4</v>
      </c>
      <c r="CF11" s="1">
        <v>-3.21E-4</v>
      </c>
      <c r="CG11" s="1">
        <v>-3.5799999999999997E-4</v>
      </c>
      <c r="CH11" s="1">
        <v>-3.7300000000000001E-4</v>
      </c>
      <c r="CI11" s="1">
        <v>-3.4000000000000002E-4</v>
      </c>
      <c r="CJ11" s="1">
        <v>-3.2699999999999998E-4</v>
      </c>
      <c r="CK11" s="1">
        <v>-2.8699999999999998E-4</v>
      </c>
      <c r="CL11" s="1">
        <v>-3.01E-4</v>
      </c>
      <c r="CM11" s="1">
        <v>-3.1300000000000002E-4</v>
      </c>
      <c r="CN11" s="1">
        <v>-3.4600000000000001E-4</v>
      </c>
      <c r="CO11" s="1">
        <v>-3.1300000000000002E-4</v>
      </c>
      <c r="CP11" s="1">
        <v>-4.1599999999999997E-4</v>
      </c>
      <c r="CQ11" s="1">
        <v>-4.3100000000000001E-4</v>
      </c>
      <c r="CR11" s="1">
        <v>-4.37E-4</v>
      </c>
      <c r="CS11" s="1">
        <v>-4.2299999999999998E-4</v>
      </c>
      <c r="CT11" s="1">
        <v>-4.6000000000000001E-4</v>
      </c>
      <c r="CU11" s="1">
        <v>-4.2700000000000002E-4</v>
      </c>
      <c r="CV11" s="1">
        <v>-2.8299999999999999E-4</v>
      </c>
    </row>
    <row r="12" spans="1:100" x14ac:dyDescent="0.2">
      <c r="A12" t="s">
        <v>213</v>
      </c>
      <c r="B12" s="1">
        <v>-2.0999999999999999E-3</v>
      </c>
      <c r="C12" s="1">
        <v>-3.4299999999999999E-3</v>
      </c>
      <c r="D12" s="1">
        <v>-4.2199999999999998E-3</v>
      </c>
      <c r="E12" s="1">
        <v>-3.2799999999999999E-3</v>
      </c>
      <c r="F12" s="1">
        <v>-4.7200000000000002E-3</v>
      </c>
      <c r="G12" s="1">
        <v>-4.15E-3</v>
      </c>
      <c r="H12" s="1">
        <v>-4.62E-3</v>
      </c>
      <c r="I12" s="1">
        <v>-4.5500000000000002E-3</v>
      </c>
      <c r="J12" s="1">
        <v>-4.3200000000000001E-3</v>
      </c>
      <c r="K12" s="1">
        <v>-4.6100000000000004E-3</v>
      </c>
      <c r="L12" s="1">
        <v>-4.2100000000000002E-3</v>
      </c>
      <c r="M12" s="1">
        <v>-2.9199999999999999E-3</v>
      </c>
      <c r="N12" s="1">
        <v>-3.0599999999999998E-3</v>
      </c>
      <c r="O12" s="1">
        <v>-2.82E-3</v>
      </c>
      <c r="P12" s="1">
        <v>-2.48E-3</v>
      </c>
      <c r="Q12" s="1">
        <v>-2.0999999999999999E-3</v>
      </c>
      <c r="R12" s="1">
        <v>-1.8E-3</v>
      </c>
      <c r="S12" s="1">
        <v>-1.65E-3</v>
      </c>
      <c r="T12" s="1">
        <v>-1.4400000000000001E-3</v>
      </c>
      <c r="U12" s="1">
        <v>-1.2999999999999999E-3</v>
      </c>
      <c r="V12" s="1">
        <v>-1.17E-3</v>
      </c>
      <c r="W12" s="1">
        <v>-9.9500000000000001E-4</v>
      </c>
      <c r="X12" s="1">
        <v>-9.9500000000000001E-4</v>
      </c>
      <c r="Y12" s="1">
        <v>-1.0200000000000001E-3</v>
      </c>
      <c r="Z12" s="1">
        <v>-1.0499999999999999E-3</v>
      </c>
      <c r="AA12" s="1">
        <v>-1.06E-3</v>
      </c>
      <c r="AB12" s="1">
        <v>-1.0300000000000001E-3</v>
      </c>
      <c r="AC12" s="1">
        <v>-9.8299999999999993E-4</v>
      </c>
      <c r="AD12" s="1">
        <v>-9.5200000000000005E-4</v>
      </c>
      <c r="AE12" s="1">
        <v>-8.9300000000000002E-4</v>
      </c>
      <c r="AF12" s="1">
        <v>-9.2699999999999998E-4</v>
      </c>
      <c r="AG12" s="1">
        <v>-8.5800000000000004E-4</v>
      </c>
      <c r="AH12" s="1">
        <v>-7.94E-4</v>
      </c>
      <c r="AI12" s="1">
        <v>-7.7700000000000002E-4</v>
      </c>
      <c r="AJ12" s="1">
        <v>-7.8100000000000001E-4</v>
      </c>
      <c r="AK12" s="1">
        <v>-7.1599999999999995E-4</v>
      </c>
      <c r="AL12" s="1">
        <v>-6.7400000000000001E-4</v>
      </c>
      <c r="AM12" s="1">
        <v>-6.5899999999999997E-4</v>
      </c>
      <c r="AN12" s="1">
        <v>-6.7400000000000001E-4</v>
      </c>
      <c r="AO12" s="1">
        <v>-6.5700000000000003E-4</v>
      </c>
      <c r="AP12" s="1">
        <v>-6.2200000000000005E-4</v>
      </c>
      <c r="AQ12" s="1">
        <v>-5.5800000000000001E-4</v>
      </c>
      <c r="AR12" s="1">
        <v>-4.9899999999999999E-4</v>
      </c>
      <c r="AS12" s="1">
        <v>-4.84E-4</v>
      </c>
      <c r="AT12" s="1">
        <v>-5.44E-4</v>
      </c>
      <c r="AU12" s="1">
        <v>-5.5199999999999997E-4</v>
      </c>
      <c r="AV12" s="1">
        <v>-4.6000000000000001E-4</v>
      </c>
      <c r="AW12" s="1">
        <v>-4.3199999999999998E-4</v>
      </c>
      <c r="AX12" s="1">
        <v>-3.9899999999999999E-4</v>
      </c>
      <c r="AY12" s="1">
        <v>-3.7599999999999998E-4</v>
      </c>
      <c r="AZ12" s="1">
        <v>-3.2200000000000002E-4</v>
      </c>
      <c r="BA12" s="1">
        <v>-3.2299999999999999E-4</v>
      </c>
      <c r="BB12" s="1">
        <v>-2.7500000000000002E-4</v>
      </c>
      <c r="BC12" s="1">
        <v>-2.6699999999999998E-4</v>
      </c>
      <c r="BD12" s="1">
        <v>-2.1800000000000001E-4</v>
      </c>
      <c r="BE12" s="1">
        <v>-2.4499999999999999E-4</v>
      </c>
      <c r="BF12" s="1">
        <v>-2.6800000000000001E-4</v>
      </c>
      <c r="BG12" s="1">
        <v>-1.9699999999999999E-4</v>
      </c>
      <c r="BH12" s="1">
        <v>-2.04E-4</v>
      </c>
      <c r="BI12" s="1">
        <v>-1.64E-4</v>
      </c>
      <c r="BJ12" s="1">
        <v>-1.54E-4</v>
      </c>
      <c r="BK12" s="1">
        <v>-1.06E-4</v>
      </c>
      <c r="BL12" s="1">
        <v>-5.94E-5</v>
      </c>
      <c r="BM12" s="1">
        <v>-1.6399999999999999E-5</v>
      </c>
      <c r="BN12" s="1">
        <v>3.26E-5</v>
      </c>
      <c r="BO12" s="1">
        <v>-1.4100000000000001E-6</v>
      </c>
      <c r="BP12" s="1">
        <v>-5.2200000000000002E-5</v>
      </c>
      <c r="BQ12" s="1">
        <v>-9.0099999999999995E-5</v>
      </c>
      <c r="BR12" s="1">
        <v>-1.5799999999999999E-4</v>
      </c>
      <c r="BS12" s="1">
        <v>-1.63E-4</v>
      </c>
      <c r="BT12" s="1">
        <v>-1.8100000000000001E-4</v>
      </c>
      <c r="BU12" s="1">
        <v>-1.7100000000000001E-4</v>
      </c>
      <c r="BV12" s="1">
        <v>-7.2700000000000005E-5</v>
      </c>
      <c r="BW12" s="1">
        <v>-1.2899999999999999E-4</v>
      </c>
      <c r="BX12" s="1">
        <v>-1.3300000000000001E-4</v>
      </c>
      <c r="BY12" s="1">
        <v>-1.0900000000000001E-4</v>
      </c>
      <c r="BZ12" s="1">
        <v>-8.3599999999999999E-5</v>
      </c>
      <c r="CA12" s="1">
        <v>-1.8599999999999999E-4</v>
      </c>
      <c r="CB12" s="1">
        <v>-9.6500000000000001E-5</v>
      </c>
      <c r="CC12" s="1">
        <v>-8.6600000000000004E-5</v>
      </c>
      <c r="CD12" s="1">
        <v>-9.3999999999999994E-5</v>
      </c>
      <c r="CE12" s="1">
        <v>-1.3999999999999999E-4</v>
      </c>
      <c r="CF12" s="1">
        <v>-1.13E-4</v>
      </c>
      <c r="CG12" s="1">
        <v>-1.73E-4</v>
      </c>
      <c r="CH12" s="1">
        <v>-1.34E-4</v>
      </c>
      <c r="CI12" s="1">
        <v>-6.7399999999999998E-5</v>
      </c>
      <c r="CJ12" s="1">
        <v>-4.8900000000000003E-5</v>
      </c>
      <c r="CK12" s="1">
        <v>-1.95E-4</v>
      </c>
      <c r="CL12" s="1">
        <v>-2.6200000000000003E-4</v>
      </c>
      <c r="CM12" s="1">
        <v>-2.13E-4</v>
      </c>
      <c r="CN12" s="1">
        <v>-2.7700000000000001E-4</v>
      </c>
      <c r="CO12" s="1">
        <v>-2.6699999999999998E-4</v>
      </c>
      <c r="CP12" s="1">
        <v>-3.2499999999999999E-4</v>
      </c>
      <c r="CQ12" s="1">
        <v>-3.79E-4</v>
      </c>
      <c r="CR12" s="1">
        <v>-4.4000000000000002E-4</v>
      </c>
      <c r="CS12" s="1">
        <v>-4.6099999999999998E-4</v>
      </c>
      <c r="CT12" s="1">
        <v>-2.61E-4</v>
      </c>
      <c r="CU12" s="1">
        <v>-4.28E-4</v>
      </c>
      <c r="CV12" s="1">
        <v>-4.2499999999999998E-4</v>
      </c>
    </row>
    <row r="13" spans="1:100" x14ac:dyDescent="0.2">
      <c r="A13" t="s">
        <v>214</v>
      </c>
      <c r="B13" s="1">
        <v>8.8800000000000001E-4</v>
      </c>
      <c r="C13" s="1">
        <v>6.9099999999999999E-4</v>
      </c>
      <c r="D13" s="1">
        <v>8.5099999999999998E-4</v>
      </c>
      <c r="E13" s="1">
        <v>5.9199999999999997E-4</v>
      </c>
      <c r="F13" s="1">
        <v>4.0499999999999998E-4</v>
      </c>
      <c r="G13" s="1">
        <v>2.2900000000000001E-4</v>
      </c>
      <c r="H13" s="1">
        <v>3.7500000000000001E-4</v>
      </c>
      <c r="I13" s="1">
        <v>4.0099999999999999E-4</v>
      </c>
      <c r="J13" s="1">
        <v>4.46E-4</v>
      </c>
      <c r="K13" s="1">
        <v>4.9200000000000003E-4</v>
      </c>
      <c r="L13" s="1">
        <v>4.7199999999999998E-4</v>
      </c>
      <c r="M13" s="1">
        <v>4.7399999999999997E-4</v>
      </c>
      <c r="N13" s="1">
        <v>1.9799999999999999E-4</v>
      </c>
      <c r="O13" s="1">
        <v>3.7599999999999998E-4</v>
      </c>
      <c r="P13" s="1">
        <v>3.2699999999999998E-4</v>
      </c>
      <c r="Q13" s="1">
        <v>2.9999999999999997E-4</v>
      </c>
      <c r="R13" s="1">
        <v>2.9399999999999999E-4</v>
      </c>
      <c r="S13" s="1">
        <v>2.2499999999999999E-4</v>
      </c>
      <c r="T13" s="1">
        <v>2.2699999999999999E-4</v>
      </c>
      <c r="U13" s="1">
        <v>2.34E-4</v>
      </c>
      <c r="V13" s="1">
        <v>2.5999999999999998E-4</v>
      </c>
      <c r="W13" s="1">
        <v>2.6600000000000001E-4</v>
      </c>
      <c r="X13" s="1">
        <v>3.6000000000000002E-4</v>
      </c>
      <c r="Y13" s="1">
        <v>4.1800000000000002E-4</v>
      </c>
      <c r="Z13" s="1">
        <v>1.44E-4</v>
      </c>
      <c r="AA13" s="1">
        <v>2.8899999999999998E-4</v>
      </c>
      <c r="AB13" s="1">
        <v>3.2000000000000003E-4</v>
      </c>
      <c r="AC13" s="1">
        <v>3.4000000000000002E-4</v>
      </c>
      <c r="AD13" s="1">
        <v>1.9599999999999999E-4</v>
      </c>
      <c r="AE13" s="1">
        <v>3.2000000000000003E-4</v>
      </c>
      <c r="AF13" s="1">
        <v>3.3399999999999999E-4</v>
      </c>
      <c r="AG13" s="1">
        <v>4.0299999999999998E-4</v>
      </c>
      <c r="AH13" s="1">
        <v>3.1500000000000001E-4</v>
      </c>
      <c r="AI13" s="1">
        <v>3.5300000000000002E-4</v>
      </c>
      <c r="AJ13" s="1">
        <v>3.8900000000000002E-4</v>
      </c>
      <c r="AK13" s="1">
        <v>4.4299999999999998E-4</v>
      </c>
      <c r="AL13" s="1">
        <v>4.3199999999999998E-4</v>
      </c>
      <c r="AM13" s="1">
        <v>5.4600000000000004E-4</v>
      </c>
      <c r="AN13" s="1">
        <v>2.9E-4</v>
      </c>
      <c r="AO13" s="1">
        <v>3.8200000000000002E-4</v>
      </c>
      <c r="AP13" s="1">
        <v>3.9199999999999999E-4</v>
      </c>
      <c r="AQ13" s="1">
        <v>4.08E-4</v>
      </c>
      <c r="AR13" s="1">
        <v>4.2000000000000002E-4</v>
      </c>
      <c r="AS13" s="1">
        <v>4.3300000000000001E-4</v>
      </c>
      <c r="AT13" s="1">
        <v>3.6299999999999999E-4</v>
      </c>
      <c r="AU13" s="1">
        <v>4.4900000000000002E-4</v>
      </c>
      <c r="AV13" s="1">
        <v>3.2899999999999997E-4</v>
      </c>
      <c r="AW13" s="1">
        <v>3.8000000000000002E-4</v>
      </c>
      <c r="AX13" s="1">
        <v>3.8099999999999999E-4</v>
      </c>
      <c r="AY13" s="1">
        <v>4.0299999999999998E-4</v>
      </c>
      <c r="AZ13" s="1">
        <v>3.8499999999999998E-4</v>
      </c>
      <c r="BA13" s="1">
        <v>4.5199999999999998E-4</v>
      </c>
      <c r="BB13" s="1">
        <v>3.7300000000000001E-4</v>
      </c>
      <c r="BC13" s="1">
        <v>4.2499999999999998E-4</v>
      </c>
      <c r="BD13" s="1">
        <v>4.3800000000000002E-4</v>
      </c>
      <c r="BE13" s="1">
        <v>4.0299999999999998E-4</v>
      </c>
      <c r="BF13" s="1">
        <v>4.0000000000000002E-4</v>
      </c>
      <c r="BG13" s="1">
        <v>4.0400000000000001E-4</v>
      </c>
      <c r="BH13" s="1">
        <v>3.8699999999999997E-4</v>
      </c>
      <c r="BI13" s="1">
        <v>4.2200000000000001E-4</v>
      </c>
      <c r="BJ13" s="1">
        <v>4.17E-4</v>
      </c>
      <c r="BK13" s="1">
        <v>4.2499999999999998E-4</v>
      </c>
      <c r="BL13" s="1">
        <v>3.4900000000000003E-4</v>
      </c>
      <c r="BM13" s="1">
        <v>3.5300000000000002E-4</v>
      </c>
      <c r="BN13" s="1">
        <v>3.3599999999999998E-4</v>
      </c>
      <c r="BO13" s="1">
        <v>4.4200000000000001E-4</v>
      </c>
      <c r="BP13" s="1">
        <v>8.3199999999999995E-4</v>
      </c>
      <c r="BQ13" s="1">
        <v>4.4099999999999999E-4</v>
      </c>
      <c r="BR13" s="1">
        <v>3.0499999999999999E-4</v>
      </c>
      <c r="BS13" s="1">
        <v>3.5399999999999999E-4</v>
      </c>
      <c r="BT13" s="1">
        <v>3.5199999999999999E-4</v>
      </c>
      <c r="BU13" s="1">
        <v>4.2999999999999999E-4</v>
      </c>
      <c r="BV13" s="1">
        <v>3.6499999999999998E-4</v>
      </c>
      <c r="BW13" s="1">
        <v>3.1399999999999999E-4</v>
      </c>
      <c r="BX13" s="1">
        <v>4.3899999999999999E-4</v>
      </c>
      <c r="BY13" s="1">
        <v>2.2499999999999999E-4</v>
      </c>
      <c r="BZ13" s="1">
        <v>2.3499999999999999E-4</v>
      </c>
      <c r="CA13" s="1">
        <v>2.9399999999999999E-4</v>
      </c>
      <c r="CB13" s="1">
        <v>2.02E-4</v>
      </c>
      <c r="CC13" s="1">
        <v>1.8799999999999999E-4</v>
      </c>
      <c r="CD13" s="1">
        <v>6.0999999999999997E-4</v>
      </c>
      <c r="CE13" s="1">
        <v>1.64E-4</v>
      </c>
      <c r="CF13" s="1">
        <v>2.4399999999999999E-4</v>
      </c>
      <c r="CG13" s="1">
        <v>1.3899999999999999E-4</v>
      </c>
      <c r="CH13" s="1">
        <v>1.8699999999999999E-4</v>
      </c>
      <c r="CI13" s="1">
        <v>1.37E-4</v>
      </c>
      <c r="CJ13" s="1">
        <v>2.24E-4</v>
      </c>
      <c r="CK13" s="1">
        <v>-7.8999999999999996E-5</v>
      </c>
      <c r="CL13" s="1">
        <v>2.8799999999999999E-5</v>
      </c>
      <c r="CM13" s="1">
        <v>3.5800000000000003E-5</v>
      </c>
      <c r="CN13" s="1">
        <v>1.8100000000000001E-4</v>
      </c>
      <c r="CO13" s="1">
        <v>-3.9199999999999997E-5</v>
      </c>
      <c r="CP13" s="1">
        <v>-1.05E-4</v>
      </c>
      <c r="CQ13" s="1">
        <v>-2.24E-4</v>
      </c>
      <c r="CR13" s="1">
        <v>-4.0299999999999998E-4</v>
      </c>
      <c r="CS13" s="1">
        <v>-6.6299999999999996E-4</v>
      </c>
      <c r="CT13" s="1">
        <v>-6.0999999999999997E-4</v>
      </c>
      <c r="CU13" s="1">
        <v>-8.8000000000000003E-4</v>
      </c>
      <c r="CV13" s="1">
        <v>-9.9700000000000006E-4</v>
      </c>
    </row>
    <row r="14" spans="1:100" x14ac:dyDescent="0.2">
      <c r="A14" t="s">
        <v>215</v>
      </c>
      <c r="B14" s="1">
        <v>-5.1000000000000004E-3</v>
      </c>
      <c r="C14" s="1">
        <v>-5.9699999999999996E-3</v>
      </c>
      <c r="D14" s="1">
        <v>-4.0299999999999997E-3</v>
      </c>
      <c r="E14" s="1">
        <v>-1.89E-3</v>
      </c>
      <c r="F14" s="1">
        <v>-1.2600000000000001E-3</v>
      </c>
      <c r="G14" s="1">
        <v>2.8099999999999999E-5</v>
      </c>
      <c r="H14" s="1">
        <v>1.1000000000000001E-3</v>
      </c>
      <c r="I14" s="1">
        <v>2.3800000000000002E-3</v>
      </c>
      <c r="J14" s="1">
        <v>2.1099999999999999E-3</v>
      </c>
      <c r="K14" s="1">
        <v>2.9099999999999998E-3</v>
      </c>
      <c r="L14" s="1">
        <v>2.5999999999999999E-3</v>
      </c>
      <c r="M14" s="1">
        <v>2.0300000000000001E-3</v>
      </c>
      <c r="N14" s="1">
        <v>1.9E-3</v>
      </c>
      <c r="O14" s="1">
        <v>1.7600000000000001E-3</v>
      </c>
      <c r="P14" s="1">
        <v>1.9499999999999999E-3</v>
      </c>
      <c r="Q14" s="1">
        <v>2.2300000000000002E-3</v>
      </c>
      <c r="R14" s="1">
        <v>2.2599999999999999E-3</v>
      </c>
      <c r="S14" s="1">
        <v>2.2499999999999998E-3</v>
      </c>
      <c r="T14" s="1">
        <v>2.0100000000000001E-3</v>
      </c>
      <c r="U14" s="1">
        <v>2.0699999999999998E-3</v>
      </c>
      <c r="V14" s="1">
        <v>2.2399999999999998E-3</v>
      </c>
      <c r="W14" s="1">
        <v>2.1900000000000001E-3</v>
      </c>
      <c r="X14" s="1">
        <v>2.2399999999999998E-3</v>
      </c>
      <c r="Y14" s="1">
        <v>2.47E-3</v>
      </c>
      <c r="Z14" s="1">
        <v>2.5200000000000001E-3</v>
      </c>
      <c r="AA14" s="1">
        <v>2.5500000000000002E-3</v>
      </c>
      <c r="AB14" s="1">
        <v>2.5300000000000001E-3</v>
      </c>
      <c r="AC14" s="1">
        <v>2.33E-3</v>
      </c>
      <c r="AD14" s="1">
        <v>2.14E-3</v>
      </c>
      <c r="AE14" s="1">
        <v>1.9300000000000001E-3</v>
      </c>
      <c r="AF14" s="1">
        <v>1.9499999999999999E-3</v>
      </c>
      <c r="AG14" s="1">
        <v>2.0799999999999998E-3</v>
      </c>
      <c r="AH14" s="1">
        <v>2.1299999999999999E-3</v>
      </c>
      <c r="AI14" s="1">
        <v>2.16E-3</v>
      </c>
      <c r="AJ14" s="1">
        <v>2.3600000000000001E-3</v>
      </c>
      <c r="AK14" s="1">
        <v>2.5000000000000001E-3</v>
      </c>
      <c r="AL14" s="1">
        <v>2.6199999999999999E-3</v>
      </c>
      <c r="AM14" s="1">
        <v>2.5100000000000001E-3</v>
      </c>
      <c r="AN14" s="1">
        <v>2.3999999999999998E-3</v>
      </c>
      <c r="AO14" s="1">
        <v>2.2399999999999998E-3</v>
      </c>
      <c r="AP14" s="1">
        <v>2.2599999999999999E-3</v>
      </c>
      <c r="AQ14" s="1">
        <v>2.3700000000000001E-3</v>
      </c>
      <c r="AR14" s="1">
        <v>2.2699999999999999E-3</v>
      </c>
      <c r="AS14" s="1">
        <v>2.2499999999999998E-3</v>
      </c>
      <c r="AT14" s="1">
        <v>2.2699999999999999E-3</v>
      </c>
      <c r="AU14" s="1">
        <v>2.33E-3</v>
      </c>
      <c r="AV14" s="1">
        <v>2.4499999999999999E-3</v>
      </c>
      <c r="AW14" s="1">
        <v>2.3900000000000002E-3</v>
      </c>
      <c r="AX14" s="1">
        <v>2.16E-3</v>
      </c>
      <c r="AY14" s="1">
        <v>2.2699999999999999E-3</v>
      </c>
      <c r="AZ14" s="1">
        <v>2.33E-3</v>
      </c>
      <c r="BA14" s="1">
        <v>2.33E-3</v>
      </c>
      <c r="BB14" s="1">
        <v>2.3500000000000001E-3</v>
      </c>
      <c r="BC14" s="1">
        <v>2.31E-3</v>
      </c>
      <c r="BD14" s="1">
        <v>2.4199999999999998E-3</v>
      </c>
      <c r="BE14" s="1">
        <v>2.5200000000000001E-3</v>
      </c>
      <c r="BF14" s="1">
        <v>2.5200000000000001E-3</v>
      </c>
      <c r="BG14" s="1">
        <v>2.65E-3</v>
      </c>
      <c r="BH14" s="1">
        <v>2.98E-3</v>
      </c>
      <c r="BI14" s="1">
        <v>2.8800000000000002E-3</v>
      </c>
      <c r="BJ14" s="1">
        <v>2.9099999999999998E-3</v>
      </c>
      <c r="BK14" s="1">
        <v>2.81E-3</v>
      </c>
      <c r="BL14" s="1">
        <v>2.8500000000000001E-3</v>
      </c>
      <c r="BM14" s="1">
        <v>2.8500000000000001E-3</v>
      </c>
      <c r="BN14" s="1">
        <v>2.8700000000000002E-3</v>
      </c>
      <c r="BO14" s="1">
        <v>2.8600000000000001E-3</v>
      </c>
      <c r="BP14" s="1">
        <v>2.7699999999999999E-3</v>
      </c>
      <c r="BQ14" s="1">
        <v>2.7200000000000002E-3</v>
      </c>
      <c r="BR14" s="1">
        <v>2.7599999999999999E-3</v>
      </c>
      <c r="BS14" s="1">
        <v>3.0300000000000001E-3</v>
      </c>
      <c r="BT14" s="1">
        <v>3.3700000000000002E-3</v>
      </c>
      <c r="BU14" s="1">
        <v>3.5899999999999999E-3</v>
      </c>
      <c r="BV14" s="1">
        <v>3.8500000000000001E-3</v>
      </c>
      <c r="BW14" s="1">
        <v>3.98E-3</v>
      </c>
      <c r="BX14" s="1">
        <v>4.1200000000000004E-3</v>
      </c>
      <c r="BY14" s="1">
        <v>4.0299999999999997E-3</v>
      </c>
      <c r="BZ14" s="1">
        <v>3.9199999999999999E-3</v>
      </c>
      <c r="CA14" s="1">
        <v>3.9399999999999999E-3</v>
      </c>
      <c r="CB14" s="1">
        <v>4.3099999999999996E-3</v>
      </c>
      <c r="CC14" s="1">
        <v>4.4299999999999999E-3</v>
      </c>
      <c r="CD14" s="1">
        <v>4.3099999999999996E-3</v>
      </c>
      <c r="CE14" s="1">
        <v>4.0400000000000002E-3</v>
      </c>
      <c r="CF14" s="1">
        <v>4.4799999999999996E-3</v>
      </c>
      <c r="CG14" s="1">
        <v>5.0600000000000003E-3</v>
      </c>
      <c r="CH14" s="1">
        <v>4.9800000000000001E-3</v>
      </c>
      <c r="CI14" s="1">
        <v>4.5799999999999999E-3</v>
      </c>
      <c r="CJ14" s="1">
        <v>4.13E-3</v>
      </c>
      <c r="CK14" s="1">
        <v>3.5400000000000002E-3</v>
      </c>
      <c r="CL14" s="1">
        <v>3.6800000000000001E-3</v>
      </c>
      <c r="CM14" s="1">
        <v>3.7799999999999999E-3</v>
      </c>
      <c r="CN14" s="1">
        <v>3.14E-3</v>
      </c>
      <c r="CO14" s="1">
        <v>2.64E-3</v>
      </c>
      <c r="CP14" s="1">
        <v>2.8800000000000002E-3</v>
      </c>
      <c r="CQ14" s="1">
        <v>2.5000000000000001E-3</v>
      </c>
      <c r="CR14" s="1">
        <v>2.3900000000000002E-3</v>
      </c>
      <c r="CS14" s="1">
        <v>2.0300000000000001E-3</v>
      </c>
      <c r="CT14" s="1">
        <v>2.16E-3</v>
      </c>
      <c r="CU14" s="1">
        <v>1.8500000000000001E-3</v>
      </c>
      <c r="CV14" s="1">
        <v>9.8299999999999993E-4</v>
      </c>
    </row>
    <row r="15" spans="1:100" x14ac:dyDescent="0.2">
      <c r="A15" t="s">
        <v>208</v>
      </c>
      <c r="B15" s="1">
        <v>8.5000000000000006E-3</v>
      </c>
      <c r="C15" s="1">
        <v>-0.58599999999999997</v>
      </c>
      <c r="D15" s="1">
        <v>-0.86899999999999999</v>
      </c>
      <c r="E15" s="1">
        <v>-0.188</v>
      </c>
      <c r="F15" s="1">
        <v>-0.91200000000000003</v>
      </c>
      <c r="G15" s="1">
        <v>-0.47499999999999998</v>
      </c>
      <c r="H15" s="1">
        <v>-0.54700000000000004</v>
      </c>
      <c r="I15" s="1">
        <v>-0.42399999999999999</v>
      </c>
      <c r="J15" s="1">
        <v>-0.28799999999999998</v>
      </c>
      <c r="K15" s="1">
        <v>-0.38900000000000001</v>
      </c>
      <c r="L15" s="1">
        <v>-0.45600000000000002</v>
      </c>
      <c r="M15" s="1">
        <v>-9.7600000000000006E-2</v>
      </c>
      <c r="N15" s="1">
        <v>-0.16900000000000001</v>
      </c>
      <c r="O15" s="1">
        <v>-0.24199999999999999</v>
      </c>
      <c r="P15" s="1">
        <v>-0.23499999999999999</v>
      </c>
      <c r="Q15" s="1">
        <v>-0.21</v>
      </c>
      <c r="R15" s="1">
        <v>-0.17399999999999999</v>
      </c>
      <c r="S15" s="1">
        <v>-0.20200000000000001</v>
      </c>
      <c r="T15" s="1">
        <v>-0.155</v>
      </c>
      <c r="U15" s="1">
        <v>-0.14899999999999999</v>
      </c>
      <c r="V15" s="1">
        <v>-0.14599999999999999</v>
      </c>
      <c r="W15" s="1">
        <v>-0.11</v>
      </c>
      <c r="X15" s="1">
        <v>-0.115</v>
      </c>
      <c r="Y15" s="1">
        <v>-7.22E-2</v>
      </c>
      <c r="Z15" s="1">
        <v>-7.1800000000000003E-2</v>
      </c>
      <c r="AA15" s="1">
        <v>-6.5699999999999995E-2</v>
      </c>
      <c r="AB15" s="1">
        <v>-6.6100000000000006E-2</v>
      </c>
      <c r="AC15" s="1">
        <v>-6.5199999999999994E-2</v>
      </c>
      <c r="AD15" s="1">
        <v>-6.9900000000000004E-2</v>
      </c>
      <c r="AE15" s="1">
        <v>-7.7899999999999997E-2</v>
      </c>
      <c r="AF15" s="1">
        <v>-8.7400000000000005E-2</v>
      </c>
      <c r="AG15" s="1">
        <v>-7.4999999999999997E-2</v>
      </c>
      <c r="AH15" s="1">
        <v>-4.6199999999999998E-2</v>
      </c>
      <c r="AI15" s="1">
        <v>-4.4200000000000003E-2</v>
      </c>
      <c r="AJ15" s="1">
        <v>-5.6300000000000003E-2</v>
      </c>
      <c r="AK15" s="1">
        <v>-7.9100000000000004E-2</v>
      </c>
      <c r="AL15" s="1">
        <v>-7.9500000000000001E-2</v>
      </c>
      <c r="AM15" s="1">
        <v>-5.6599999999999998E-2</v>
      </c>
      <c r="AN15" s="1">
        <v>-4.9799999999999997E-2</v>
      </c>
      <c r="AO15" s="1">
        <v>-5.0900000000000001E-2</v>
      </c>
      <c r="AP15" s="1">
        <v>-5.1700000000000003E-2</v>
      </c>
      <c r="AQ15" s="1">
        <v>-5.04E-2</v>
      </c>
      <c r="AR15" s="1">
        <v>-7.0400000000000004E-2</v>
      </c>
      <c r="AS15" s="1">
        <v>-7.2499999999999995E-2</v>
      </c>
      <c r="AT15" s="1">
        <v>-7.2499999999999995E-2</v>
      </c>
      <c r="AU15" s="1">
        <v>-7.3400000000000007E-2</v>
      </c>
      <c r="AV15" s="1">
        <v>-7.6899999999999996E-2</v>
      </c>
      <c r="AW15" s="1">
        <v>-6.08E-2</v>
      </c>
      <c r="AX15" s="1">
        <v>-6.4100000000000004E-2</v>
      </c>
      <c r="AY15" s="1">
        <v>-6.8099999999999994E-2</v>
      </c>
      <c r="AZ15" s="1">
        <v>-0.08</v>
      </c>
      <c r="BA15" s="1">
        <v>-4.7600000000000003E-2</v>
      </c>
      <c r="BB15" s="1">
        <v>-4.4400000000000002E-2</v>
      </c>
      <c r="BC15" s="1">
        <v>-4.7699999999999999E-2</v>
      </c>
      <c r="BD15" s="1">
        <v>-6.3799999999999996E-2</v>
      </c>
      <c r="BE15" s="1">
        <v>-3.8699999999999998E-2</v>
      </c>
      <c r="BF15" s="1">
        <v>-3.3799999999999997E-2</v>
      </c>
      <c r="BG15" s="1">
        <v>-4.2000000000000003E-2</v>
      </c>
      <c r="BH15" s="1">
        <v>-4.7300000000000002E-2</v>
      </c>
      <c r="BI15" s="1">
        <v>-6.2300000000000001E-2</v>
      </c>
      <c r="BJ15" s="1">
        <v>-9.7500000000000003E-2</v>
      </c>
      <c r="BK15" s="1">
        <v>-0.107</v>
      </c>
      <c r="BL15" s="1">
        <v>-8.9200000000000002E-2</v>
      </c>
      <c r="BM15" s="1">
        <v>-7.0199999999999999E-2</v>
      </c>
      <c r="BN15" s="1">
        <v>-6.6199999999999995E-2</v>
      </c>
      <c r="BO15" s="1">
        <v>-6.1199999999999997E-2</v>
      </c>
      <c r="BP15" s="1">
        <v>-6.1800000000000001E-2</v>
      </c>
      <c r="BQ15" s="1">
        <v>-2.52E-2</v>
      </c>
      <c r="BR15" s="1">
        <v>3.3399999999999999E-2</v>
      </c>
      <c r="BS15" s="1">
        <v>3.3099999999999997E-2</v>
      </c>
      <c r="BT15" s="1">
        <v>-4.6699999999999998E-2</v>
      </c>
      <c r="BU15" s="1">
        <v>-8.8599999999999998E-2</v>
      </c>
      <c r="BV15" s="1">
        <v>-8.0600000000000005E-2</v>
      </c>
      <c r="BW15" s="1">
        <v>-6.0900000000000003E-2</v>
      </c>
      <c r="BX15" s="1">
        <v>-5.3699999999999998E-2</v>
      </c>
      <c r="BY15" s="1">
        <v>-4.2500000000000003E-2</v>
      </c>
      <c r="BZ15" s="1">
        <v>-6.4500000000000002E-2</v>
      </c>
      <c r="CA15" s="1">
        <v>-6.4299999999999996E-2</v>
      </c>
      <c r="CB15" s="1">
        <v>-3.8600000000000002E-2</v>
      </c>
      <c r="CC15" s="1">
        <v>-3.8600000000000002E-2</v>
      </c>
      <c r="CD15" s="1">
        <v>-0.01</v>
      </c>
      <c r="CE15" s="1">
        <v>5.5199999999999999E-2</v>
      </c>
      <c r="CF15" s="1">
        <v>1.6E-2</v>
      </c>
      <c r="CG15" s="1">
        <v>-7.0599999999999996E-2</v>
      </c>
      <c r="CH15" s="1">
        <v>-0.151</v>
      </c>
      <c r="CI15" s="1">
        <v>-0.113</v>
      </c>
      <c r="CJ15" s="1">
        <v>-0.112</v>
      </c>
      <c r="CK15" s="1">
        <v>5.8200000000000002E-2</v>
      </c>
      <c r="CL15" s="1">
        <v>-3.78E-2</v>
      </c>
      <c r="CM15" s="1">
        <v>-4.1799999999999997E-2</v>
      </c>
      <c r="CN15" s="1">
        <v>-2.64E-2</v>
      </c>
      <c r="CO15" s="1">
        <v>2.52E-2</v>
      </c>
      <c r="CP15" s="1">
        <v>-0.14000000000000001</v>
      </c>
      <c r="CQ15" s="1">
        <v>-8.4900000000000003E-2</v>
      </c>
      <c r="CR15" s="1">
        <v>-6.7500000000000004E-2</v>
      </c>
      <c r="CS15" s="1">
        <v>-6.0900000000000003E-2</v>
      </c>
      <c r="CT15" s="1">
        <v>-4.2099999999999999E-2</v>
      </c>
      <c r="CU15" s="1">
        <v>-4.7300000000000002E-2</v>
      </c>
      <c r="CV15" s="1">
        <v>-5.45E-2</v>
      </c>
    </row>
    <row r="16" spans="1:100" x14ac:dyDescent="0.2">
      <c r="A16" t="s">
        <v>209</v>
      </c>
      <c r="B16" s="1">
        <v>4.9099999999999998E-2</v>
      </c>
      <c r="C16" s="1">
        <v>-0.104</v>
      </c>
      <c r="D16" s="1">
        <v>-0.16400000000000001</v>
      </c>
      <c r="E16" s="1">
        <v>2.53E-2</v>
      </c>
      <c r="F16" s="1">
        <v>-0.13200000000000001</v>
      </c>
      <c r="G16" s="1">
        <v>6.4000000000000003E-3</v>
      </c>
      <c r="H16" s="1">
        <v>-7.9500000000000001E-2</v>
      </c>
      <c r="I16" s="1">
        <v>-7.2499999999999995E-2</v>
      </c>
      <c r="J16" s="1">
        <v>-4.4200000000000003E-2</v>
      </c>
      <c r="K16" s="1">
        <v>-4.5499999999999999E-2</v>
      </c>
      <c r="L16" s="1">
        <v>-0.14199999999999999</v>
      </c>
      <c r="M16" s="1">
        <v>1.8499999999999999E-2</v>
      </c>
      <c r="N16" s="1">
        <v>-1.23E-2</v>
      </c>
      <c r="O16" s="1">
        <v>-7.8100000000000003E-2</v>
      </c>
      <c r="P16" s="1">
        <v>-6.2899999999999998E-2</v>
      </c>
      <c r="Q16" s="1">
        <v>-5.1799999999999999E-2</v>
      </c>
      <c r="R16" s="1">
        <v>-3.6400000000000002E-2</v>
      </c>
      <c r="S16" s="1">
        <v>-6.54E-2</v>
      </c>
      <c r="T16" s="1">
        <v>-5.9799999999999999E-2</v>
      </c>
      <c r="U16" s="1">
        <v>-7.0599999999999996E-2</v>
      </c>
      <c r="V16" s="1">
        <v>-7.5499999999999998E-2</v>
      </c>
      <c r="W16" s="1">
        <v>-5.96E-2</v>
      </c>
      <c r="X16" s="1">
        <v>-6.2600000000000003E-2</v>
      </c>
      <c r="Y16" s="1">
        <v>-3.5400000000000001E-2</v>
      </c>
      <c r="Z16" s="1">
        <v>-3.4700000000000002E-2</v>
      </c>
      <c r="AA16" s="1">
        <v>-3.1600000000000003E-2</v>
      </c>
      <c r="AB16" s="1">
        <v>-3.7100000000000001E-2</v>
      </c>
      <c r="AC16" s="1">
        <v>-3.3500000000000002E-2</v>
      </c>
      <c r="AD16" s="1">
        <v>-4.1799999999999997E-2</v>
      </c>
      <c r="AE16" s="1">
        <v>-5.2999999999999999E-2</v>
      </c>
      <c r="AF16" s="1">
        <v>-7.6300000000000007E-2</v>
      </c>
      <c r="AG16" s="1">
        <v>-3.7600000000000001E-2</v>
      </c>
      <c r="AH16" s="1">
        <v>-2.75E-2</v>
      </c>
      <c r="AI16" s="1">
        <v>-3.4700000000000002E-2</v>
      </c>
      <c r="AJ16" s="1">
        <v>-4.4499999999999998E-2</v>
      </c>
      <c r="AK16" s="1">
        <v>-5.3900000000000003E-2</v>
      </c>
      <c r="AL16" s="1">
        <v>-3.9800000000000002E-2</v>
      </c>
      <c r="AM16" s="1">
        <v>-2.01E-2</v>
      </c>
      <c r="AN16" s="1">
        <v>-2.93E-2</v>
      </c>
      <c r="AO16" s="1">
        <v>-3.3599999999999998E-2</v>
      </c>
      <c r="AP16" s="1">
        <v>-3.0599999999999999E-2</v>
      </c>
      <c r="AQ16" s="1">
        <v>-3.04E-2</v>
      </c>
      <c r="AR16" s="1">
        <v>-2.86E-2</v>
      </c>
      <c r="AS16" s="1">
        <v>-3.2199999999999999E-2</v>
      </c>
      <c r="AT16" s="1">
        <v>-2.8799999999999999E-2</v>
      </c>
      <c r="AU16" s="1">
        <v>-1.5699999999999999E-2</v>
      </c>
      <c r="AV16" s="1">
        <v>-1.3899999999999999E-2</v>
      </c>
      <c r="AW16" s="1">
        <v>-8.7100000000000007E-3</v>
      </c>
      <c r="AX16" s="1">
        <v>-1.2699999999999999E-2</v>
      </c>
      <c r="AY16" s="1">
        <v>-1.9E-2</v>
      </c>
      <c r="AZ16" s="1">
        <v>-3.5299999999999998E-2</v>
      </c>
      <c r="BA16" s="1">
        <v>-1.3500000000000001E-3</v>
      </c>
      <c r="BB16" s="1">
        <v>-3.3600000000000001E-3</v>
      </c>
      <c r="BC16" s="1">
        <v>-1.4500000000000001E-2</v>
      </c>
      <c r="BD16" s="1">
        <v>-9.8799999999999995E-4</v>
      </c>
      <c r="BE16" s="1">
        <v>2.9099999999999998E-3</v>
      </c>
      <c r="BF16" s="1">
        <v>3.5999999999999999E-3</v>
      </c>
      <c r="BG16" s="1">
        <v>-6.7799999999999996E-3</v>
      </c>
      <c r="BH16" s="1">
        <v>-6.5399999999999998E-3</v>
      </c>
      <c r="BI16" s="1">
        <v>-2.1600000000000001E-2</v>
      </c>
      <c r="BJ16" s="1">
        <v>-6.4199999999999993E-2</v>
      </c>
      <c r="BK16" s="1">
        <v>-7.9299999999999995E-2</v>
      </c>
      <c r="BL16" s="1">
        <v>-4.9200000000000001E-2</v>
      </c>
      <c r="BM16" s="1">
        <v>-2.8500000000000001E-2</v>
      </c>
      <c r="BN16" s="1">
        <v>-2.9600000000000001E-2</v>
      </c>
      <c r="BO16" s="1">
        <v>-2.6100000000000002E-2</v>
      </c>
      <c r="BP16" s="1">
        <v>2.5600000000000002E-3</v>
      </c>
      <c r="BQ16" s="1">
        <v>3.61E-2</v>
      </c>
      <c r="BR16" s="1">
        <v>9.4399999999999998E-2</v>
      </c>
      <c r="BS16" s="1">
        <v>8.5500000000000007E-2</v>
      </c>
      <c r="BT16" s="1">
        <v>-2.6100000000000002E-2</v>
      </c>
      <c r="BU16" s="1">
        <v>-7.2800000000000004E-2</v>
      </c>
      <c r="BV16" s="1">
        <v>-7.3700000000000002E-2</v>
      </c>
      <c r="BW16" s="1">
        <v>-7.3200000000000001E-2</v>
      </c>
      <c r="BX16" s="1">
        <v>-5.8999999999999997E-2</v>
      </c>
      <c r="BY16" s="1">
        <v>-4.82E-2</v>
      </c>
      <c r="BZ16" s="1">
        <v>-7.5200000000000003E-2</v>
      </c>
      <c r="CA16" s="1">
        <v>-7.2900000000000006E-2</v>
      </c>
      <c r="CB16" s="1">
        <v>-4.1599999999999998E-2</v>
      </c>
      <c r="CC16" s="1">
        <v>-5.0700000000000002E-2</v>
      </c>
      <c r="CD16" s="1">
        <v>-3.2000000000000001E-2</v>
      </c>
      <c r="CE16" s="1">
        <v>4.3299999999999998E-2</v>
      </c>
      <c r="CF16" s="1">
        <v>2.5600000000000001E-2</v>
      </c>
      <c r="CG16" s="1">
        <v>-5.7599999999999998E-2</v>
      </c>
      <c r="CH16" s="1">
        <v>-0.17899999999999999</v>
      </c>
      <c r="CI16" s="1">
        <v>-0.13200000000000001</v>
      </c>
      <c r="CJ16" s="1">
        <v>-9.5399999999999999E-2</v>
      </c>
      <c r="CK16" s="1">
        <v>7.6799999999999993E-2</v>
      </c>
      <c r="CL16" s="1">
        <v>-4.4600000000000001E-2</v>
      </c>
      <c r="CM16" s="1">
        <v>-5.4300000000000001E-2</v>
      </c>
      <c r="CN16" s="1">
        <v>-3.2800000000000003E-2</v>
      </c>
      <c r="CO16" s="1">
        <v>3.9399999999999998E-2</v>
      </c>
      <c r="CP16" s="1">
        <v>-0.16200000000000001</v>
      </c>
      <c r="CQ16" s="1">
        <v>-0.104</v>
      </c>
      <c r="CR16" s="1">
        <v>-0.10299999999999999</v>
      </c>
      <c r="CS16" s="1">
        <v>-8.3099999999999993E-2</v>
      </c>
      <c r="CT16" s="1">
        <v>-9.1999999999999998E-2</v>
      </c>
      <c r="CU16" s="1">
        <v>-0.16700000000000001</v>
      </c>
      <c r="CV16" s="1">
        <v>-8.1699999999999995E-2</v>
      </c>
    </row>
    <row r="17" spans="1:100" x14ac:dyDescent="0.2">
      <c r="A17" t="s">
        <v>210</v>
      </c>
      <c r="B17" s="1">
        <v>-1.84E-2</v>
      </c>
      <c r="C17" s="1">
        <v>-1.73E-3</v>
      </c>
      <c r="D17" s="1">
        <v>2.87E-2</v>
      </c>
      <c r="E17" s="1">
        <v>-2.1100000000000001E-2</v>
      </c>
      <c r="F17" s="1">
        <v>2.8799999999999999E-2</v>
      </c>
      <c r="G17" s="1">
        <v>7.3099999999999999E-4</v>
      </c>
      <c r="H17" s="1">
        <v>7.1500000000000001E-3</v>
      </c>
      <c r="I17" s="1">
        <v>7.8399999999999997E-4</v>
      </c>
      <c r="J17" s="1">
        <v>-6.4400000000000004E-3</v>
      </c>
      <c r="K17" s="1">
        <v>3.3400000000000001E-3</v>
      </c>
      <c r="L17" s="1">
        <v>0.02</v>
      </c>
      <c r="M17" s="1">
        <v>-1.37E-2</v>
      </c>
      <c r="N17" s="1">
        <v>-8.2000000000000007E-3</v>
      </c>
      <c r="O17" s="1">
        <v>6.2399999999999999E-3</v>
      </c>
      <c r="P17" s="1">
        <v>7.3600000000000002E-3</v>
      </c>
      <c r="Q17" s="1">
        <v>5.96E-3</v>
      </c>
      <c r="R17" s="1">
        <v>2.6199999999999999E-3</v>
      </c>
      <c r="S17" s="1">
        <v>6.0899999999999999E-3</v>
      </c>
      <c r="T17" s="1">
        <v>4.1900000000000001E-3</v>
      </c>
      <c r="U17" s="1">
        <v>5.8599999999999998E-3</v>
      </c>
      <c r="V17" s="1">
        <v>7.5599999999999999E-3</v>
      </c>
      <c r="W17" s="1">
        <v>5.4799999999999996E-3</v>
      </c>
      <c r="X17" s="1">
        <v>7.0299999999999998E-3</v>
      </c>
      <c r="Y17" s="1">
        <v>3.1800000000000001E-3</v>
      </c>
      <c r="Z17" s="1">
        <v>2.6900000000000001E-3</v>
      </c>
      <c r="AA17" s="1">
        <v>1.49E-3</v>
      </c>
      <c r="AB17" s="1">
        <v>2.5300000000000001E-3</v>
      </c>
      <c r="AC17" s="1">
        <v>1.49E-3</v>
      </c>
      <c r="AD17" s="1">
        <v>3.48E-3</v>
      </c>
      <c r="AE17" s="1">
        <v>6.5500000000000003E-3</v>
      </c>
      <c r="AF17" s="1">
        <v>9.41E-3</v>
      </c>
      <c r="AG17" s="1">
        <v>2.2399999999999998E-3</v>
      </c>
      <c r="AH17" s="1">
        <v>-6.1899999999999998E-4</v>
      </c>
      <c r="AI17" s="1">
        <v>2.9199999999999999E-3</v>
      </c>
      <c r="AJ17" s="1">
        <v>4.5700000000000003E-3</v>
      </c>
      <c r="AK17" s="1">
        <v>7.6099999999999996E-3</v>
      </c>
      <c r="AL17" s="1">
        <v>2.7399999999999998E-3</v>
      </c>
      <c r="AM17" s="1">
        <v>-5.3600000000000002E-4</v>
      </c>
      <c r="AN17" s="1">
        <v>-4.9399999999999997E-4</v>
      </c>
      <c r="AO17" s="1">
        <v>2.2399999999999998E-3</v>
      </c>
      <c r="AP17" s="1">
        <v>3.5599999999999998E-4</v>
      </c>
      <c r="AQ17" s="1">
        <v>3.5300000000000002E-4</v>
      </c>
      <c r="AR17" s="1">
        <v>-1.7799999999999999E-4</v>
      </c>
      <c r="AS17" s="1">
        <v>9.5299999999999996E-4</v>
      </c>
      <c r="AT17" s="1">
        <v>1.2999999999999999E-3</v>
      </c>
      <c r="AU17" s="1">
        <v>8.34E-4</v>
      </c>
      <c r="AV17" s="1">
        <v>1.4E-3</v>
      </c>
      <c r="AW17" s="1">
        <v>3.8699999999999997E-4</v>
      </c>
      <c r="AX17" s="1">
        <v>3.5200000000000001E-3</v>
      </c>
      <c r="AY17" s="1">
        <v>6.43E-3</v>
      </c>
      <c r="AZ17" s="1">
        <v>9.1900000000000003E-3</v>
      </c>
      <c r="BA17" s="1">
        <v>3.3899999999999998E-3</v>
      </c>
      <c r="BB17" s="1">
        <v>4.8500000000000001E-3</v>
      </c>
      <c r="BC17" s="1">
        <v>6.1799999999999997E-3</v>
      </c>
      <c r="BD17" s="1">
        <v>4.6899999999999997E-3</v>
      </c>
      <c r="BE17" s="1">
        <v>5.1999999999999998E-3</v>
      </c>
      <c r="BF17" s="1">
        <v>5.3899999999999998E-3</v>
      </c>
      <c r="BG17" s="1">
        <v>5.3299999999999997E-3</v>
      </c>
      <c r="BH17" s="1">
        <v>3.1099999999999999E-3</v>
      </c>
      <c r="BI17" s="1">
        <v>5.4900000000000001E-3</v>
      </c>
      <c r="BJ17" s="1">
        <v>1.5299999999999999E-2</v>
      </c>
      <c r="BK17" s="1">
        <v>1.7500000000000002E-2</v>
      </c>
      <c r="BL17" s="1">
        <v>1.2E-2</v>
      </c>
      <c r="BM17" s="1">
        <v>7.5500000000000003E-3</v>
      </c>
      <c r="BN17" s="1">
        <v>6.4200000000000004E-3</v>
      </c>
      <c r="BO17" s="1">
        <v>6.3299999999999997E-3</v>
      </c>
      <c r="BP17" s="1">
        <v>3.9300000000000003E-3</v>
      </c>
      <c r="BQ17" s="1">
        <v>-4.5899999999999999E-4</v>
      </c>
      <c r="BR17" s="1">
        <v>-9.41E-3</v>
      </c>
      <c r="BS17" s="1">
        <v>-1.0999999999999999E-2</v>
      </c>
      <c r="BT17" s="1">
        <v>0.01</v>
      </c>
      <c r="BU17" s="1">
        <v>2.0400000000000001E-2</v>
      </c>
      <c r="BV17" s="1">
        <v>1.5699999999999999E-2</v>
      </c>
      <c r="BW17" s="1">
        <v>1.2699999999999999E-2</v>
      </c>
      <c r="BX17" s="1">
        <v>6.0099999999999997E-3</v>
      </c>
      <c r="BY17" s="1">
        <v>-7.7999999999999999E-4</v>
      </c>
      <c r="BZ17" s="1">
        <v>1.0500000000000001E-2</v>
      </c>
      <c r="CA17" s="1">
        <v>1.66E-2</v>
      </c>
      <c r="CB17" s="1">
        <v>1.12E-2</v>
      </c>
      <c r="CC17" s="1">
        <v>1.3299999999999999E-2</v>
      </c>
      <c r="CD17" s="1">
        <v>8.2399999999999997E-4</v>
      </c>
      <c r="CE17" s="1">
        <v>-7.8899999999999994E-3</v>
      </c>
      <c r="CF17" s="1">
        <v>-7.1900000000000002E-3</v>
      </c>
      <c r="CG17" s="1">
        <v>1.0500000000000001E-2</v>
      </c>
      <c r="CH17" s="1">
        <v>3.6600000000000001E-2</v>
      </c>
      <c r="CI17" s="1">
        <v>2.5899999999999999E-2</v>
      </c>
      <c r="CJ17" s="1">
        <v>1.35E-2</v>
      </c>
      <c r="CK17" s="1">
        <v>-2.0400000000000001E-2</v>
      </c>
      <c r="CL17" s="1">
        <v>9.8600000000000007E-3</v>
      </c>
      <c r="CM17" s="1">
        <v>1.0699999999999999E-2</v>
      </c>
      <c r="CN17" s="1">
        <v>2.0500000000000002E-3</v>
      </c>
      <c r="CO17" s="1">
        <v>-7.4200000000000004E-3</v>
      </c>
      <c r="CP17" s="1">
        <v>3.2000000000000001E-2</v>
      </c>
      <c r="CQ17" s="1">
        <v>6.4900000000000001E-3</v>
      </c>
      <c r="CR17" s="1">
        <v>1.43E-2</v>
      </c>
      <c r="CS17" s="1">
        <v>1.18E-2</v>
      </c>
      <c r="CT17" s="1">
        <v>7.8300000000000006E-5</v>
      </c>
      <c r="CU17" s="1">
        <v>-1.06E-2</v>
      </c>
      <c r="CV17" s="1">
        <v>-3.27E-2</v>
      </c>
    </row>
    <row r="18" spans="1:100" x14ac:dyDescent="0.2">
      <c r="A18" t="s">
        <v>211</v>
      </c>
      <c r="B18" s="1">
        <v>2.7E-2</v>
      </c>
      <c r="C18" s="1">
        <v>2.0400000000000001E-2</v>
      </c>
      <c r="D18" s="1">
        <v>1.7000000000000001E-2</v>
      </c>
      <c r="E18" s="1">
        <v>-6.0699999999999999E-3</v>
      </c>
      <c r="F18" s="1">
        <v>2.7200000000000002E-3</v>
      </c>
      <c r="G18" s="1">
        <v>-4.0699999999999998E-3</v>
      </c>
      <c r="H18" s="1">
        <v>6.0600000000000003E-3</v>
      </c>
      <c r="I18" s="1">
        <v>-8.7299999999999997E-4</v>
      </c>
      <c r="J18" s="1">
        <v>-9.0200000000000002E-3</v>
      </c>
      <c r="K18" s="1">
        <v>-8.4700000000000001E-3</v>
      </c>
      <c r="L18" s="1">
        <v>-2.2000000000000001E-3</v>
      </c>
      <c r="M18" s="1">
        <v>-1.0800000000000001E-2</v>
      </c>
      <c r="N18" s="1">
        <v>-7.11E-3</v>
      </c>
      <c r="O18" s="1">
        <v>-4.5700000000000003E-3</v>
      </c>
      <c r="P18" s="1">
        <v>-3.29E-3</v>
      </c>
      <c r="Q18" s="1">
        <v>-3.4399999999999999E-3</v>
      </c>
      <c r="R18" s="1">
        <v>-1.81E-3</v>
      </c>
      <c r="S18" s="1">
        <v>1.47E-3</v>
      </c>
      <c r="T18" s="1">
        <v>1.8400000000000001E-3</v>
      </c>
      <c r="U18" s="1">
        <v>2.6700000000000001E-3</v>
      </c>
      <c r="V18" s="1">
        <v>3.7399999999999998E-3</v>
      </c>
      <c r="W18" s="1">
        <v>2.0699999999999998E-3</v>
      </c>
      <c r="X18" s="1">
        <v>3.8500000000000001E-3</v>
      </c>
      <c r="Y18" s="1">
        <v>-4.9299999999999995E-4</v>
      </c>
      <c r="Z18" s="1">
        <v>-6.5899999999999997E-4</v>
      </c>
      <c r="AA18" s="1">
        <v>1.6900000000000001E-3</v>
      </c>
      <c r="AB18" s="1">
        <v>1.0399999999999999E-3</v>
      </c>
      <c r="AC18" s="1">
        <v>-1.4400000000000001E-3</v>
      </c>
      <c r="AD18" s="1">
        <v>-6.4300000000000002E-4</v>
      </c>
      <c r="AE18" s="1">
        <v>7.6199999999999998E-4</v>
      </c>
      <c r="AF18" s="1">
        <v>2.7799999999999999E-3</v>
      </c>
      <c r="AG18" s="1">
        <v>-1.1299999999999999E-3</v>
      </c>
      <c r="AH18" s="1">
        <v>-3.1099999999999999E-3</v>
      </c>
      <c r="AI18" s="1">
        <v>-1.7600000000000001E-3</v>
      </c>
      <c r="AJ18" s="1">
        <v>-1.1100000000000001E-3</v>
      </c>
      <c r="AK18" s="1">
        <v>7.2700000000000005E-5</v>
      </c>
      <c r="AL18" s="1">
        <v>6.6799999999999997E-4</v>
      </c>
      <c r="AM18" s="1">
        <v>-4.4400000000000004E-3</v>
      </c>
      <c r="AN18" s="1">
        <v>-5.1000000000000004E-3</v>
      </c>
      <c r="AO18" s="1">
        <v>-3.0500000000000002E-3</v>
      </c>
      <c r="AP18" s="1">
        <v>-4.5199999999999997E-3</v>
      </c>
      <c r="AQ18" s="1">
        <v>-3.2599999999999999E-3</v>
      </c>
      <c r="AR18" s="1">
        <v>-2.16E-3</v>
      </c>
      <c r="AS18" s="1">
        <v>-8.3300000000000005E-5</v>
      </c>
      <c r="AT18" s="1">
        <v>1.6100000000000001E-3</v>
      </c>
      <c r="AU18" s="1">
        <v>5.5999999999999995E-4</v>
      </c>
      <c r="AV18" s="1">
        <v>4.6000000000000001E-4</v>
      </c>
      <c r="AW18" s="1">
        <v>6.2200000000000005E-4</v>
      </c>
      <c r="AX18" s="1">
        <v>1.08E-3</v>
      </c>
      <c r="AY18" s="1">
        <v>3.9100000000000003E-3</v>
      </c>
      <c r="AZ18" s="1">
        <v>6.5300000000000002E-3</v>
      </c>
      <c r="BA18" s="1">
        <v>1.81E-3</v>
      </c>
      <c r="BB18" s="1">
        <v>-9.0499999999999999E-4</v>
      </c>
      <c r="BC18" s="1">
        <v>1.7600000000000001E-3</v>
      </c>
      <c r="BD18" s="1">
        <v>2.2399999999999998E-3</v>
      </c>
      <c r="BE18" s="1">
        <v>-1.1000000000000001E-3</v>
      </c>
      <c r="BF18" s="1">
        <v>1.74E-3</v>
      </c>
      <c r="BG18" s="1">
        <v>5.3499999999999997E-3</v>
      </c>
      <c r="BH18" s="1">
        <v>2.0799999999999998E-3</v>
      </c>
      <c r="BI18" s="1">
        <v>4.4099999999999999E-3</v>
      </c>
      <c r="BJ18" s="1">
        <v>8.9899999999999997E-3</v>
      </c>
      <c r="BK18" s="1">
        <v>9.1199999999999996E-3</v>
      </c>
      <c r="BL18" s="1">
        <v>6.1000000000000004E-3</v>
      </c>
      <c r="BM18" s="1">
        <v>4.5799999999999999E-3</v>
      </c>
      <c r="BN18" s="1">
        <v>3.8600000000000001E-3</v>
      </c>
      <c r="BO18" s="1">
        <v>7.0699999999999999E-3</v>
      </c>
      <c r="BP18" s="1">
        <v>-5.4999999999999997E-3</v>
      </c>
      <c r="BQ18" s="1">
        <v>-1.66E-2</v>
      </c>
      <c r="BR18" s="1">
        <v>-1.9699999999999999E-2</v>
      </c>
      <c r="BS18" s="1">
        <v>-2.0400000000000001E-2</v>
      </c>
      <c r="BT18" s="1">
        <v>-4.0600000000000002E-3</v>
      </c>
      <c r="BU18" s="1">
        <v>5.0600000000000003E-3</v>
      </c>
      <c r="BV18" s="1">
        <v>2.2599999999999999E-3</v>
      </c>
      <c r="BW18" s="1">
        <v>2.3500000000000001E-3</v>
      </c>
      <c r="BX18" s="1">
        <v>2.2000000000000001E-3</v>
      </c>
      <c r="BY18" s="1">
        <v>-2.5100000000000001E-3</v>
      </c>
      <c r="BZ18" s="1">
        <v>7.1000000000000004E-3</v>
      </c>
      <c r="CA18" s="1">
        <v>9.58E-3</v>
      </c>
      <c r="CB18" s="1">
        <v>7.62E-3</v>
      </c>
      <c r="CC18" s="1">
        <v>1.0200000000000001E-2</v>
      </c>
      <c r="CD18" s="1">
        <v>1.5100000000000001E-4</v>
      </c>
      <c r="CE18" s="1">
        <v>-1.1299999999999999E-2</v>
      </c>
      <c r="CF18" s="1">
        <v>-1.1299999999999999E-2</v>
      </c>
      <c r="CG18" s="1">
        <v>2.2399999999999998E-3</v>
      </c>
      <c r="CH18" s="1">
        <v>2.4E-2</v>
      </c>
      <c r="CI18" s="1">
        <v>1.77E-2</v>
      </c>
      <c r="CJ18" s="1">
        <v>2.0100000000000001E-3</v>
      </c>
      <c r="CK18" s="1">
        <v>-3.2099999999999997E-2</v>
      </c>
      <c r="CL18" s="1">
        <v>1.1100000000000001E-3</v>
      </c>
      <c r="CM18" s="1">
        <v>3.8500000000000001E-3</v>
      </c>
      <c r="CN18" s="1">
        <v>2.5600000000000002E-3</v>
      </c>
      <c r="CO18" s="1">
        <v>-1.2E-2</v>
      </c>
      <c r="CP18" s="1">
        <v>2.1600000000000001E-2</v>
      </c>
      <c r="CQ18" s="1">
        <v>-6.9100000000000003E-3</v>
      </c>
      <c r="CR18" s="1">
        <v>-0.02</v>
      </c>
      <c r="CS18" s="1">
        <v>-1.9199999999999998E-2</v>
      </c>
      <c r="CT18" s="1">
        <v>-9.75E-3</v>
      </c>
      <c r="CU18" s="1">
        <v>-4.7699999999999999E-2</v>
      </c>
      <c r="CV18" s="1">
        <v>-3.5000000000000003E-2</v>
      </c>
    </row>
    <row r="19" spans="1:100" x14ac:dyDescent="0.2">
      <c r="A19" t="s">
        <v>212</v>
      </c>
      <c r="B19" s="1">
        <v>6.6299999999999996E-3</v>
      </c>
      <c r="C19" s="1">
        <v>3.2899999999999999E-2</v>
      </c>
      <c r="D19" s="1">
        <v>3.8300000000000001E-2</v>
      </c>
      <c r="E19" s="1">
        <v>6.5599999999999999E-3</v>
      </c>
      <c r="F19" s="1">
        <v>2.1399999999999999E-2</v>
      </c>
      <c r="G19" s="1">
        <v>7.6899999999999998E-3</v>
      </c>
      <c r="H19" s="1">
        <v>1.54E-2</v>
      </c>
      <c r="I19" s="1">
        <v>1.5100000000000001E-2</v>
      </c>
      <c r="J19" s="1">
        <v>9.5999999999999992E-3</v>
      </c>
      <c r="K19" s="1">
        <v>1.4800000000000001E-2</v>
      </c>
      <c r="L19" s="1">
        <v>1.6299999999999999E-2</v>
      </c>
      <c r="M19" s="1">
        <v>1.72E-3</v>
      </c>
      <c r="N19" s="1">
        <v>3.1099999999999999E-3</v>
      </c>
      <c r="O19" s="1">
        <v>4.4099999999999999E-3</v>
      </c>
      <c r="P19" s="1">
        <v>5.5599999999999998E-3</v>
      </c>
      <c r="Q19" s="1">
        <v>5.3899999999999998E-3</v>
      </c>
      <c r="R19" s="1">
        <v>5.3600000000000002E-3</v>
      </c>
      <c r="S19" s="1">
        <v>6.0299999999999998E-3</v>
      </c>
      <c r="T19" s="1">
        <v>4.45E-3</v>
      </c>
      <c r="U19" s="1">
        <v>4.2399999999999998E-3</v>
      </c>
      <c r="V19" s="1">
        <v>3.5100000000000001E-3</v>
      </c>
      <c r="W19" s="1">
        <v>2.3700000000000001E-3</v>
      </c>
      <c r="X19" s="1">
        <v>2.2399999999999998E-3</v>
      </c>
      <c r="Y19" s="1">
        <v>1.98E-3</v>
      </c>
      <c r="Z19" s="1">
        <v>2.1700000000000001E-3</v>
      </c>
      <c r="AA19" s="1">
        <v>2.2200000000000002E-3</v>
      </c>
      <c r="AB19" s="1">
        <v>2.3700000000000001E-3</v>
      </c>
      <c r="AC19" s="1">
        <v>2.48E-3</v>
      </c>
      <c r="AD19" s="1">
        <v>2.6900000000000001E-3</v>
      </c>
      <c r="AE19" s="1">
        <v>3.5599999999999998E-3</v>
      </c>
      <c r="AF19" s="1">
        <v>3.7599999999999999E-3</v>
      </c>
      <c r="AG19" s="1">
        <v>3.15E-3</v>
      </c>
      <c r="AH19" s="1">
        <v>2.4199999999999998E-3</v>
      </c>
      <c r="AI19" s="1">
        <v>2.0400000000000001E-3</v>
      </c>
      <c r="AJ19" s="1">
        <v>2.5100000000000001E-3</v>
      </c>
      <c r="AK19" s="1">
        <v>2.5500000000000002E-3</v>
      </c>
      <c r="AL19" s="1">
        <v>2.63E-3</v>
      </c>
      <c r="AM19" s="1">
        <v>2.2000000000000001E-3</v>
      </c>
      <c r="AN19" s="1">
        <v>2.16E-3</v>
      </c>
      <c r="AO19" s="1">
        <v>1.72E-3</v>
      </c>
      <c r="AP19" s="1">
        <v>1.65E-3</v>
      </c>
      <c r="AQ19" s="1">
        <v>1.89E-3</v>
      </c>
      <c r="AR19" s="1">
        <v>2.3900000000000002E-3</v>
      </c>
      <c r="AS19" s="1">
        <v>2.1700000000000001E-3</v>
      </c>
      <c r="AT19" s="1">
        <v>1.81E-3</v>
      </c>
      <c r="AU19" s="1">
        <v>1.83E-3</v>
      </c>
      <c r="AV19" s="1">
        <v>1.7600000000000001E-3</v>
      </c>
      <c r="AW19" s="1">
        <v>2.5100000000000001E-3</v>
      </c>
      <c r="AX19" s="1">
        <v>2.5500000000000002E-3</v>
      </c>
      <c r="AY19" s="1">
        <v>2.8300000000000001E-3</v>
      </c>
      <c r="AZ19" s="1">
        <v>3.1099999999999999E-3</v>
      </c>
      <c r="BA19" s="1">
        <v>2.2899999999999999E-3</v>
      </c>
      <c r="BB19" s="1">
        <v>1.9599999999999999E-3</v>
      </c>
      <c r="BC19" s="1">
        <v>1.9400000000000001E-3</v>
      </c>
      <c r="BD19" s="1">
        <v>2.4599999999999999E-3</v>
      </c>
      <c r="BE19" s="1">
        <v>1.3699999999999999E-3</v>
      </c>
      <c r="BF19" s="1">
        <v>1.7899999999999999E-3</v>
      </c>
      <c r="BG19" s="1">
        <v>1.0300000000000001E-3</v>
      </c>
      <c r="BH19" s="1">
        <v>8.0599999999999997E-4</v>
      </c>
      <c r="BI19" s="1">
        <v>5.0199999999999995E-4</v>
      </c>
      <c r="BJ19" s="1">
        <v>1.0499999999999999E-3</v>
      </c>
      <c r="BK19" s="1">
        <v>1.5299999999999999E-3</v>
      </c>
      <c r="BL19" s="1">
        <v>1.1299999999999999E-3</v>
      </c>
      <c r="BM19" s="1">
        <v>4.3199999999999998E-4</v>
      </c>
      <c r="BN19" s="1">
        <v>4.0499999999999998E-4</v>
      </c>
      <c r="BO19" s="1">
        <v>2.24E-4</v>
      </c>
      <c r="BP19" s="1">
        <v>-1.7000000000000001E-4</v>
      </c>
      <c r="BQ19" s="1">
        <v>-1.4100000000000001E-4</v>
      </c>
      <c r="BR19" s="1">
        <v>-1.23E-3</v>
      </c>
      <c r="BS19" s="1">
        <v>-1.33E-3</v>
      </c>
      <c r="BT19" s="1">
        <v>-2.41E-4</v>
      </c>
      <c r="BU19" s="1">
        <v>7.2200000000000007E-5</v>
      </c>
      <c r="BV19" s="1">
        <v>-6.0400000000000004E-4</v>
      </c>
      <c r="BW19" s="1">
        <v>-7.5900000000000002E-4</v>
      </c>
      <c r="BX19" s="1">
        <v>3.5500000000000001E-4</v>
      </c>
      <c r="BY19" s="1">
        <v>-6.1200000000000002E-4</v>
      </c>
      <c r="BZ19" s="1">
        <v>-3.21E-4</v>
      </c>
      <c r="CA19" s="1">
        <v>-9.9099999999999996E-5</v>
      </c>
      <c r="CB19" s="1">
        <v>2.9E-5</v>
      </c>
      <c r="CC19" s="1">
        <v>1.93E-4</v>
      </c>
      <c r="CD19" s="1">
        <v>-4.2200000000000001E-4</v>
      </c>
      <c r="CE19" s="1">
        <v>-1.1299999999999999E-3</v>
      </c>
      <c r="CF19" s="1">
        <v>-2.33E-3</v>
      </c>
      <c r="CG19" s="1">
        <v>-1.31E-3</v>
      </c>
      <c r="CH19" s="1">
        <v>-2.1099999999999999E-3</v>
      </c>
      <c r="CI19" s="1">
        <v>-2.0999999999999999E-3</v>
      </c>
      <c r="CJ19" s="1">
        <v>-2.0300000000000001E-3</v>
      </c>
      <c r="CK19" s="1">
        <v>-6.1199999999999996E-3</v>
      </c>
      <c r="CL19" s="1">
        <v>-6.1000000000000004E-3</v>
      </c>
      <c r="CM19" s="1">
        <v>-5.4799999999999996E-3</v>
      </c>
      <c r="CN19" s="1">
        <v>-3.3700000000000002E-3</v>
      </c>
      <c r="CO19" s="1">
        <v>-4.8999999999999998E-3</v>
      </c>
      <c r="CP19" s="1">
        <v>-4.8999999999999998E-3</v>
      </c>
      <c r="CQ19" s="1">
        <v>-5.0200000000000002E-3</v>
      </c>
      <c r="CR19" s="1">
        <v>-3.32E-3</v>
      </c>
      <c r="CS19" s="1">
        <v>-5.4999999999999997E-3</v>
      </c>
      <c r="CT19" s="1">
        <v>-4.2399999999999998E-3</v>
      </c>
      <c r="CU19" s="1">
        <v>-6.8900000000000003E-3</v>
      </c>
      <c r="CV19" s="1">
        <v>-7.5599999999999999E-3</v>
      </c>
    </row>
    <row r="20" spans="1:100" x14ac:dyDescent="0.2">
      <c r="A20" t="s">
        <v>213</v>
      </c>
      <c r="B20" s="1">
        <v>-9.2999999999999992E-3</v>
      </c>
      <c r="C20" s="1">
        <v>-4.9399999999999999E-2</v>
      </c>
      <c r="D20" s="1">
        <v>-0.126</v>
      </c>
      <c r="E20" s="1">
        <v>2.2200000000000001E-2</v>
      </c>
      <c r="F20" s="1">
        <v>-0.14699999999999999</v>
      </c>
      <c r="G20" s="1">
        <v>-2.1399999999999999E-2</v>
      </c>
      <c r="H20" s="1">
        <v>-6.2199999999999998E-2</v>
      </c>
      <c r="I20" s="1">
        <v>-2.5600000000000001E-2</v>
      </c>
      <c r="J20" s="1">
        <v>-1.0500000000000001E-2</v>
      </c>
      <c r="K20" s="1">
        <v>-3.4299999999999997E-2</v>
      </c>
      <c r="L20" s="1">
        <v>-0.109</v>
      </c>
      <c r="M20" s="1">
        <v>5.9299999999999999E-2</v>
      </c>
      <c r="N20" s="1">
        <v>3.2099999999999997E-2</v>
      </c>
      <c r="O20" s="1">
        <v>-3.4099999999999998E-2</v>
      </c>
      <c r="P20" s="1">
        <v>-3.5099999999999999E-2</v>
      </c>
      <c r="Q20" s="1">
        <v>-2.3800000000000002E-2</v>
      </c>
      <c r="R20" s="1">
        <v>-2.6100000000000002E-2</v>
      </c>
      <c r="S20" s="1">
        <v>-4.6199999999999998E-2</v>
      </c>
      <c r="T20" s="1">
        <v>-2.3E-2</v>
      </c>
      <c r="U20" s="1">
        <v>-8.8500000000000002E-3</v>
      </c>
      <c r="V20" s="1">
        <v>5.4599999999999996E-3</v>
      </c>
      <c r="W20" s="1">
        <v>2.4199999999999999E-2</v>
      </c>
      <c r="X20" s="1">
        <v>2.4199999999999999E-2</v>
      </c>
      <c r="Y20" s="1">
        <v>3.6900000000000002E-4</v>
      </c>
      <c r="Z20" s="1">
        <v>-6.4799999999999996E-3</v>
      </c>
      <c r="AA20" s="1">
        <v>-6.4000000000000003E-3</v>
      </c>
      <c r="AB20" s="1">
        <v>-4.9899999999999996E-3</v>
      </c>
      <c r="AC20" s="1">
        <v>-8.8000000000000005E-3</v>
      </c>
      <c r="AD20" s="1">
        <v>-5.5199999999999997E-3</v>
      </c>
      <c r="AE20" s="1">
        <v>8.1599999999999999E-4</v>
      </c>
      <c r="AF20" s="1">
        <v>-2.81E-3</v>
      </c>
      <c r="AG20" s="1">
        <v>-1.3299999999999999E-2</v>
      </c>
      <c r="AH20" s="1">
        <v>-2.02E-4</v>
      </c>
      <c r="AI20" s="1">
        <v>2.1800000000000001E-3</v>
      </c>
      <c r="AJ20" s="1">
        <v>-6.3099999999999996E-3</v>
      </c>
      <c r="AK20" s="1">
        <v>5.7899999999999998E-4</v>
      </c>
      <c r="AL20" s="1">
        <v>1.01E-2</v>
      </c>
      <c r="AM20" s="1">
        <v>1.11E-2</v>
      </c>
      <c r="AN20" s="1">
        <v>8.4600000000000005E-3</v>
      </c>
      <c r="AO20" s="1">
        <v>2.49E-3</v>
      </c>
      <c r="AP20" s="1">
        <v>-2.2100000000000002E-3</v>
      </c>
      <c r="AQ20" s="1">
        <v>4.6800000000000001E-3</v>
      </c>
      <c r="AR20" s="1">
        <v>1.9400000000000001E-2</v>
      </c>
      <c r="AS20" s="1">
        <v>2.1000000000000001E-2</v>
      </c>
      <c r="AT20" s="1">
        <v>-6.3599999999999996E-4</v>
      </c>
      <c r="AU20" s="1">
        <v>-6.8900000000000003E-3</v>
      </c>
      <c r="AV20" s="1">
        <v>2.32E-3</v>
      </c>
      <c r="AW20" s="1">
        <v>-1.15E-3</v>
      </c>
      <c r="AX20" s="1">
        <v>2.6199999999999999E-3</v>
      </c>
      <c r="AY20" s="1">
        <v>5.0200000000000002E-3</v>
      </c>
      <c r="AZ20" s="1">
        <v>1.0800000000000001E-2</v>
      </c>
      <c r="BA20" s="1">
        <v>6.7799999999999996E-3</v>
      </c>
      <c r="BB20" s="1">
        <v>2.1600000000000001E-2</v>
      </c>
      <c r="BC20" s="1">
        <v>2.2499999999999999E-2</v>
      </c>
      <c r="BD20" s="1">
        <v>2.9100000000000001E-2</v>
      </c>
      <c r="BE20" s="1">
        <v>1.7899999999999999E-2</v>
      </c>
      <c r="BF20" s="1">
        <v>1.49E-2</v>
      </c>
      <c r="BG20" s="1">
        <v>1.9199999999999998E-2</v>
      </c>
      <c r="BH20" s="1">
        <v>1.54E-2</v>
      </c>
      <c r="BI20" s="1">
        <v>1.9599999999999999E-2</v>
      </c>
      <c r="BJ20" s="1">
        <v>6.5599999999999999E-3</v>
      </c>
      <c r="BK20" s="1">
        <v>4.8999999999999998E-3</v>
      </c>
      <c r="BL20" s="1">
        <v>8.0099999999999998E-3</v>
      </c>
      <c r="BM20" s="1">
        <v>1.26E-2</v>
      </c>
      <c r="BN20" s="1">
        <v>1.7899999999999999E-2</v>
      </c>
      <c r="BO20" s="1">
        <v>1.4200000000000001E-2</v>
      </c>
      <c r="BP20" s="1">
        <v>2.8899999999999999E-2</v>
      </c>
      <c r="BQ20" s="1">
        <v>1.8800000000000001E-2</v>
      </c>
      <c r="BR20" s="1">
        <v>1.26E-2</v>
      </c>
      <c r="BS20" s="1">
        <v>1.38E-2</v>
      </c>
      <c r="BT20" s="1">
        <v>3.8500000000000001E-3</v>
      </c>
      <c r="BU20" s="1">
        <v>2.3800000000000002E-3</v>
      </c>
      <c r="BV20" s="1">
        <v>2.3400000000000001E-2</v>
      </c>
      <c r="BW20" s="1">
        <v>1.7299999999999999E-2</v>
      </c>
      <c r="BX20" s="1">
        <v>1.1299999999999999E-2</v>
      </c>
      <c r="BY20" s="1">
        <v>2.5100000000000001E-2</v>
      </c>
      <c r="BZ20" s="1">
        <v>1.89E-2</v>
      </c>
      <c r="CA20" s="1">
        <v>9.0700000000000004E-4</v>
      </c>
      <c r="CB20" s="1">
        <v>1.09E-2</v>
      </c>
      <c r="CC20" s="1">
        <v>1.2E-2</v>
      </c>
      <c r="CD20" s="1">
        <v>2.5999999999999999E-2</v>
      </c>
      <c r="CE20" s="1">
        <v>2.1499999999999998E-2</v>
      </c>
      <c r="CF20" s="1">
        <v>2.75E-2</v>
      </c>
      <c r="CG20" s="1">
        <v>2.0899999999999998E-2</v>
      </c>
      <c r="CH20" s="1">
        <v>1.0800000000000001E-2</v>
      </c>
      <c r="CI20" s="1">
        <v>2.98E-2</v>
      </c>
      <c r="CJ20" s="1">
        <v>3.2899999999999999E-2</v>
      </c>
      <c r="CK20" s="1">
        <v>1.8100000000000002E-2</v>
      </c>
      <c r="CL20" s="1">
        <v>-1.47E-3</v>
      </c>
      <c r="CM20" s="1">
        <v>6.3400000000000001E-3</v>
      </c>
      <c r="CN20" s="1">
        <v>5.0600000000000003E-3</v>
      </c>
      <c r="CO20" s="1">
        <v>5.5699999999999999E-4</v>
      </c>
      <c r="CP20" s="1">
        <v>-1.12E-2</v>
      </c>
      <c r="CQ20" s="1">
        <v>-7.3899999999999999E-3</v>
      </c>
      <c r="CR20" s="1">
        <v>-7.2300000000000003E-3</v>
      </c>
      <c r="CS20" s="1">
        <v>4.2500000000000003E-3</v>
      </c>
      <c r="CT20" s="1">
        <v>7.4399999999999998E-4</v>
      </c>
      <c r="CU20" s="1">
        <v>-3.6900000000000002E-2</v>
      </c>
      <c r="CV20" s="1">
        <v>-8.2699999999999996E-2</v>
      </c>
    </row>
    <row r="21" spans="1:100" x14ac:dyDescent="0.2">
      <c r="A21" t="s">
        <v>214</v>
      </c>
      <c r="B21" s="1">
        <v>1.35E-2</v>
      </c>
      <c r="C21" s="1">
        <v>-2.0799999999999998E-3</v>
      </c>
      <c r="D21" s="1">
        <v>-7.9399999999999991E-3</v>
      </c>
      <c r="E21" s="1">
        <v>7.5500000000000003E-3</v>
      </c>
      <c r="F21" s="1">
        <v>-2.7900000000000001E-2</v>
      </c>
      <c r="G21" s="1">
        <v>-2.2700000000000001E-2</v>
      </c>
      <c r="H21" s="1">
        <v>-2.0199999999999999E-2</v>
      </c>
      <c r="I21" s="1">
        <v>-1.7299999999999999E-2</v>
      </c>
      <c r="J21" s="1">
        <v>-1.35E-2</v>
      </c>
      <c r="K21" s="1">
        <v>-1.2999999999999999E-2</v>
      </c>
      <c r="L21" s="1">
        <v>-1.29E-2</v>
      </c>
      <c r="M21" s="1">
        <v>-6.6200000000000005E-4</v>
      </c>
      <c r="N21" s="1">
        <v>-1.1299999999999999E-2</v>
      </c>
      <c r="O21" s="1">
        <v>-4.0800000000000003E-3</v>
      </c>
      <c r="P21" s="1">
        <v>-3.0400000000000002E-3</v>
      </c>
      <c r="Q21" s="1">
        <v>-2.8900000000000002E-3</v>
      </c>
      <c r="R21" s="1">
        <v>2.9999999999999997E-4</v>
      </c>
      <c r="S21" s="1">
        <v>-4.7800000000000004E-3</v>
      </c>
      <c r="T21" s="1">
        <v>-3.5899999999999999E-3</v>
      </c>
      <c r="U21" s="1">
        <v>-3.63E-3</v>
      </c>
      <c r="V21" s="1">
        <v>-3.3600000000000001E-3</v>
      </c>
      <c r="W21" s="1">
        <v>-2.0200000000000001E-3</v>
      </c>
      <c r="X21" s="1">
        <v>1.4499999999999999E-3</v>
      </c>
      <c r="Y21" s="1">
        <v>2.66E-3</v>
      </c>
      <c r="Z21" s="1">
        <v>-5.9300000000000004E-3</v>
      </c>
      <c r="AA21" s="1">
        <v>-9.6000000000000002E-4</v>
      </c>
      <c r="AB21" s="1">
        <v>-6.2799999999999998E-4</v>
      </c>
      <c r="AC21" s="1">
        <v>-6.69E-4</v>
      </c>
      <c r="AD21" s="1">
        <v>-7.4999999999999997E-3</v>
      </c>
      <c r="AE21" s="1">
        <v>-3.7200000000000002E-3</v>
      </c>
      <c r="AF21" s="1">
        <v>-4.3699999999999998E-3</v>
      </c>
      <c r="AG21" s="1">
        <v>-1.7099999999999999E-3</v>
      </c>
      <c r="AH21" s="1">
        <v>-4.0299999999999997E-3</v>
      </c>
      <c r="AI21" s="1">
        <v>-3.63E-3</v>
      </c>
      <c r="AJ21" s="1">
        <v>-3.8300000000000001E-3</v>
      </c>
      <c r="AK21" s="1">
        <v>-2.7100000000000002E-3</v>
      </c>
      <c r="AL21" s="1">
        <v>-1.32E-3</v>
      </c>
      <c r="AM21" s="1">
        <v>1.8500000000000001E-3</v>
      </c>
      <c r="AN21" s="1">
        <v>-5.7099999999999998E-3</v>
      </c>
      <c r="AO21" s="1">
        <v>-3.7499999999999999E-3</v>
      </c>
      <c r="AP21" s="1">
        <v>-3.3300000000000001E-3</v>
      </c>
      <c r="AQ21" s="1">
        <v>-2.2499999999999998E-3</v>
      </c>
      <c r="AR21" s="1">
        <v>-3.1900000000000001E-3</v>
      </c>
      <c r="AS21" s="1">
        <v>-2.4399999999999999E-3</v>
      </c>
      <c r="AT21" s="1">
        <v>-3.0500000000000002E-3</v>
      </c>
      <c r="AU21" s="1">
        <v>-8.3000000000000001E-4</v>
      </c>
      <c r="AV21" s="1">
        <v>-4.0699999999999998E-3</v>
      </c>
      <c r="AW21" s="1">
        <v>-3.7000000000000002E-3</v>
      </c>
      <c r="AX21" s="1">
        <v>-3.5300000000000002E-3</v>
      </c>
      <c r="AY21" s="1">
        <v>-2.8800000000000002E-3</v>
      </c>
      <c r="AZ21" s="1">
        <v>-3.14E-3</v>
      </c>
      <c r="BA21" s="1">
        <v>-2.5899999999999999E-3</v>
      </c>
      <c r="BB21" s="1">
        <v>-3.4099999999999998E-3</v>
      </c>
      <c r="BC21" s="1">
        <v>-3.29E-3</v>
      </c>
      <c r="BD21" s="1">
        <v>-4.0600000000000002E-3</v>
      </c>
      <c r="BE21" s="1">
        <v>-4.2599999999999999E-3</v>
      </c>
      <c r="BF21" s="1">
        <v>-4.5900000000000003E-3</v>
      </c>
      <c r="BG21" s="1">
        <v>-4.0400000000000002E-3</v>
      </c>
      <c r="BH21" s="1">
        <v>-4.2399999999999998E-3</v>
      </c>
      <c r="BI21" s="1">
        <v>-3.1800000000000001E-3</v>
      </c>
      <c r="BJ21" s="1">
        <v>-3.65E-3</v>
      </c>
      <c r="BK21" s="1">
        <v>-2.31E-3</v>
      </c>
      <c r="BL21" s="1">
        <v>-1.89E-3</v>
      </c>
      <c r="BM21" s="1">
        <v>-2.9499999999999999E-3</v>
      </c>
      <c r="BN21" s="1">
        <v>-3.3999999999999998E-3</v>
      </c>
      <c r="BO21" s="1">
        <v>2.0000000000000001E-4</v>
      </c>
      <c r="BP21" s="1">
        <v>1.37E-2</v>
      </c>
      <c r="BQ21" s="1">
        <v>3.46E-3</v>
      </c>
      <c r="BR21" s="1">
        <v>-3.2499999999999999E-4</v>
      </c>
      <c r="BS21" s="1">
        <v>-1.01E-3</v>
      </c>
      <c r="BT21" s="1">
        <v>-2.5899999999999999E-3</v>
      </c>
      <c r="BU21" s="1">
        <v>-1.99E-3</v>
      </c>
      <c r="BV21" s="1">
        <v>-3.5699999999999998E-3</v>
      </c>
      <c r="BW21" s="1">
        <v>-3.3300000000000001E-3</v>
      </c>
      <c r="BX21" s="1">
        <v>2.6900000000000001E-3</v>
      </c>
      <c r="BY21" s="1">
        <v>-1.7799999999999999E-3</v>
      </c>
      <c r="BZ21" s="1">
        <v>-9.6000000000000002E-4</v>
      </c>
      <c r="CA21" s="1">
        <v>3.1399999999999999E-4</v>
      </c>
      <c r="CB21" s="1">
        <v>-1.64E-3</v>
      </c>
      <c r="CC21" s="1">
        <v>-1.75E-3</v>
      </c>
      <c r="CD21" s="1">
        <v>1.21E-2</v>
      </c>
      <c r="CE21" s="1">
        <v>-3.1E-4</v>
      </c>
      <c r="CF21" s="1">
        <v>1.1999999999999999E-3</v>
      </c>
      <c r="CG21" s="1">
        <v>-2.2599999999999999E-3</v>
      </c>
      <c r="CH21" s="1">
        <v>8.92E-4</v>
      </c>
      <c r="CI21" s="1">
        <v>-8.5400000000000005E-4</v>
      </c>
      <c r="CJ21" s="1">
        <v>-4.8700000000000002E-4</v>
      </c>
      <c r="CK21" s="1">
        <v>-9.9799999999999993E-3</v>
      </c>
      <c r="CL21" s="1">
        <v>-4.1000000000000003E-3</v>
      </c>
      <c r="CM21" s="1">
        <v>-2.7100000000000002E-3</v>
      </c>
      <c r="CN21" s="1">
        <v>8.5500000000000003E-3</v>
      </c>
      <c r="CO21" s="1">
        <v>3.7399999999999998E-3</v>
      </c>
      <c r="CP21" s="1">
        <v>1.09E-2</v>
      </c>
      <c r="CQ21" s="1">
        <v>6.7200000000000003E-3</v>
      </c>
      <c r="CR21" s="1">
        <v>7.7300000000000003E-4</v>
      </c>
      <c r="CS21" s="1">
        <v>-1.3299999999999999E-2</v>
      </c>
      <c r="CT21" s="1">
        <v>-1.2500000000000001E-2</v>
      </c>
      <c r="CU21" s="1">
        <v>-1.12E-2</v>
      </c>
      <c r="CV21" s="1">
        <v>-1.43E-2</v>
      </c>
    </row>
    <row r="22" spans="1:100" x14ac:dyDescent="0.2">
      <c r="A22" t="s">
        <v>215</v>
      </c>
      <c r="B22" s="1">
        <v>6.2799999999999995E-2</v>
      </c>
      <c r="C22" s="1">
        <v>4.4600000000000001E-2</v>
      </c>
      <c r="D22" s="1">
        <v>4.0399999999999998E-2</v>
      </c>
      <c r="E22" s="1">
        <v>4.3699999999999998E-3</v>
      </c>
      <c r="F22" s="1">
        <v>-4.7600000000000003E-2</v>
      </c>
      <c r="G22" s="1">
        <v>-6.2100000000000002E-2</v>
      </c>
      <c r="H22" s="1">
        <v>-5.5199999999999999E-2</v>
      </c>
      <c r="I22" s="1">
        <v>-4.58E-2</v>
      </c>
      <c r="J22" s="1">
        <v>-4.1599999999999998E-2</v>
      </c>
      <c r="K22" s="1">
        <v>-3.5000000000000003E-2</v>
      </c>
      <c r="L22" s="1">
        <v>-3.9899999999999998E-2</v>
      </c>
      <c r="M22" s="1">
        <v>-3.04E-2</v>
      </c>
      <c r="N22" s="1">
        <v>-3.7999999999999999E-2</v>
      </c>
      <c r="O22" s="1">
        <v>-2.9700000000000001E-2</v>
      </c>
      <c r="P22" s="1">
        <v>-3.09E-2</v>
      </c>
      <c r="Q22" s="1">
        <v>-2.7E-2</v>
      </c>
      <c r="R22" s="1">
        <v>-2.0199999999999999E-2</v>
      </c>
      <c r="S22" s="1">
        <v>-1.3899999999999999E-2</v>
      </c>
      <c r="T22" s="1">
        <v>-1.4E-2</v>
      </c>
      <c r="U22" s="1">
        <v>-1.2E-2</v>
      </c>
      <c r="V22" s="1">
        <v>-1.03E-2</v>
      </c>
      <c r="W22" s="1">
        <v>-9.92E-3</v>
      </c>
      <c r="X22" s="1">
        <v>-1.2200000000000001E-2</v>
      </c>
      <c r="Y22" s="1">
        <v>-6.4999999999999997E-3</v>
      </c>
      <c r="Z22" s="1">
        <v>-7.3299999999999997E-3</v>
      </c>
      <c r="AA22" s="1">
        <v>-3.81E-3</v>
      </c>
      <c r="AB22" s="1">
        <v>-5.2599999999999999E-3</v>
      </c>
      <c r="AC22" s="1">
        <v>-6.5399999999999998E-3</v>
      </c>
      <c r="AD22" s="1">
        <v>-4.7800000000000004E-3</v>
      </c>
      <c r="AE22" s="1">
        <v>-3.9300000000000003E-3</v>
      </c>
      <c r="AF22" s="1">
        <v>-5.77E-3</v>
      </c>
      <c r="AG22" s="1">
        <v>-6.8199999999999997E-3</v>
      </c>
      <c r="AH22" s="1">
        <v>-6.7999999999999996E-3</v>
      </c>
      <c r="AI22" s="1">
        <v>-6.41E-5</v>
      </c>
      <c r="AJ22" s="1">
        <v>-3.7199999999999999E-4</v>
      </c>
      <c r="AK22" s="1">
        <v>7.1100000000000004E-4</v>
      </c>
      <c r="AL22" s="1">
        <v>5.2199999999999998E-3</v>
      </c>
      <c r="AM22" s="1">
        <v>4.8399999999999997E-3</v>
      </c>
      <c r="AN22" s="1">
        <v>5.6299999999999996E-3</v>
      </c>
      <c r="AO22" s="1">
        <v>3.81E-3</v>
      </c>
      <c r="AP22" s="1">
        <v>-4.55E-4</v>
      </c>
      <c r="AQ22" s="1">
        <v>-7.2000000000000002E-5</v>
      </c>
      <c r="AR22" s="1">
        <v>9.0700000000000004E-4</v>
      </c>
      <c r="AS22" s="1">
        <v>3.4699999999999998E-4</v>
      </c>
      <c r="AT22" s="1">
        <v>4.8300000000000001E-3</v>
      </c>
      <c r="AU22" s="1">
        <v>4.3699999999999998E-3</v>
      </c>
      <c r="AV22" s="1">
        <v>5.5799999999999999E-3</v>
      </c>
      <c r="AW22" s="1">
        <v>5.5900000000000004E-3</v>
      </c>
      <c r="AX22" s="1">
        <v>4.8500000000000001E-3</v>
      </c>
      <c r="AY22" s="1">
        <v>2.82E-3</v>
      </c>
      <c r="AZ22" s="1">
        <v>4.5900000000000003E-3</v>
      </c>
      <c r="BA22" s="1">
        <v>2.4199999999999998E-3</v>
      </c>
      <c r="BB22" s="1">
        <v>4.7499999999999999E-3</v>
      </c>
      <c r="BC22" s="1">
        <v>5.6899999999999997E-3</v>
      </c>
      <c r="BD22" s="1">
        <v>3.0899999999999999E-3</v>
      </c>
      <c r="BE22" s="1">
        <v>1.39E-3</v>
      </c>
      <c r="BF22" s="1">
        <v>8.5699999999999995E-3</v>
      </c>
      <c r="BG22" s="1">
        <v>0.01</v>
      </c>
      <c r="BH22" s="1">
        <v>8.3499999999999998E-3</v>
      </c>
      <c r="BI22" s="1">
        <v>7.8499999999999993E-3</v>
      </c>
      <c r="BJ22" s="1">
        <v>1.97E-3</v>
      </c>
      <c r="BK22" s="1">
        <v>3.8300000000000001E-3</v>
      </c>
      <c r="BL22" s="1">
        <v>7.3099999999999997E-3</v>
      </c>
      <c r="BM22" s="1">
        <v>9.3900000000000008E-3</v>
      </c>
      <c r="BN22" s="1">
        <v>7.1300000000000001E-3</v>
      </c>
      <c r="BO22" s="1">
        <v>7.5900000000000004E-3</v>
      </c>
      <c r="BP22" s="1">
        <v>1.84E-2</v>
      </c>
      <c r="BQ22" s="1">
        <v>1.5599999999999999E-2</v>
      </c>
      <c r="BR22" s="1">
        <v>1.5599999999999999E-2</v>
      </c>
      <c r="BS22" s="1">
        <v>1.7299999999999999E-2</v>
      </c>
      <c r="BT22" s="1">
        <v>1.5699999999999999E-2</v>
      </c>
      <c r="BU22" s="1">
        <v>1.9599999999999999E-2</v>
      </c>
      <c r="BV22" s="1">
        <v>2.06E-2</v>
      </c>
      <c r="BW22" s="1">
        <v>2.2599999999999999E-2</v>
      </c>
      <c r="BX22" s="1">
        <v>3.3500000000000002E-2</v>
      </c>
      <c r="BY22" s="1">
        <v>1.8700000000000001E-2</v>
      </c>
      <c r="BZ22" s="1">
        <v>1.4E-2</v>
      </c>
      <c r="CA22" s="1">
        <v>1.21E-2</v>
      </c>
      <c r="CB22" s="1">
        <v>1.5699999999999999E-2</v>
      </c>
      <c r="CC22" s="1">
        <v>1.43E-2</v>
      </c>
      <c r="CD22" s="1">
        <v>1.1599999999999999E-2</v>
      </c>
      <c r="CE22" s="1">
        <v>1.2999999999999999E-2</v>
      </c>
      <c r="CF22" s="1">
        <v>1.7299999999999999E-2</v>
      </c>
      <c r="CG22" s="1">
        <v>2.9700000000000001E-2</v>
      </c>
      <c r="CH22" s="1">
        <v>2.2200000000000001E-2</v>
      </c>
      <c r="CI22" s="1">
        <v>1.9800000000000002E-2</v>
      </c>
      <c r="CJ22" s="1">
        <v>1.6899999999999998E-2</v>
      </c>
      <c r="CK22" s="1">
        <v>2.3900000000000001E-2</v>
      </c>
      <c r="CL22" s="1">
        <v>2.3199999999999998E-2</v>
      </c>
      <c r="CM22" s="1">
        <v>2.58E-2</v>
      </c>
      <c r="CN22" s="1">
        <v>3.39E-2</v>
      </c>
      <c r="CO22" s="1">
        <v>2.8000000000000001E-2</v>
      </c>
      <c r="CP22" s="1">
        <v>5.7000000000000002E-2</v>
      </c>
      <c r="CQ22" s="1">
        <v>-8.1200000000000005E-3</v>
      </c>
      <c r="CR22" s="1">
        <v>-8.4499999999999992E-3</v>
      </c>
      <c r="CS22" s="1">
        <v>-1.83E-2</v>
      </c>
      <c r="CT22" s="1">
        <v>-1.8499999999999999E-2</v>
      </c>
      <c r="CU22" s="1">
        <v>1.4200000000000001E-2</v>
      </c>
      <c r="CV22" s="1">
        <v>2.06E-2</v>
      </c>
    </row>
    <row r="23" spans="1:100" x14ac:dyDescent="0.2">
      <c r="A23" t="s">
        <v>216</v>
      </c>
      <c r="B23" s="1">
        <v>-0.13400000000000001</v>
      </c>
      <c r="C23" s="1">
        <v>0.71199999999999997</v>
      </c>
      <c r="D23" s="1">
        <v>1.1140000000000001</v>
      </c>
      <c r="E23" s="1">
        <v>0.13200000000000001</v>
      </c>
      <c r="F23" s="1">
        <v>1.2769999999999999</v>
      </c>
      <c r="G23" s="1">
        <v>0.58299999999999996</v>
      </c>
      <c r="H23" s="1">
        <v>0.76700000000000002</v>
      </c>
      <c r="I23" s="1">
        <v>0.56799999999999995</v>
      </c>
      <c r="J23" s="1">
        <v>0.40699999999999997</v>
      </c>
      <c r="K23" s="1">
        <v>0.51400000000000001</v>
      </c>
      <c r="L23" s="1">
        <v>0.75700000000000001</v>
      </c>
      <c r="M23" s="1">
        <v>3.2800000000000003E-2</v>
      </c>
      <c r="N23" s="1">
        <v>0.193</v>
      </c>
      <c r="O23" s="1">
        <v>0.38800000000000001</v>
      </c>
      <c r="P23" s="1">
        <v>0.36199999999999999</v>
      </c>
      <c r="Q23" s="1">
        <v>0.3</v>
      </c>
      <c r="R23" s="1">
        <v>0.23599999999999999</v>
      </c>
      <c r="S23" s="1">
        <v>0.34</v>
      </c>
      <c r="T23" s="1">
        <v>0.254</v>
      </c>
      <c r="U23" s="1">
        <v>0.246</v>
      </c>
      <c r="V23" s="1">
        <v>0.23599999999999999</v>
      </c>
      <c r="W23" s="1">
        <v>0.14599999999999999</v>
      </c>
      <c r="X23" s="1">
        <v>0.156</v>
      </c>
      <c r="Y23" s="1">
        <v>8.3400000000000002E-2</v>
      </c>
      <c r="Z23" s="1">
        <v>9.8100000000000007E-2</v>
      </c>
      <c r="AA23" s="1">
        <v>0.108</v>
      </c>
      <c r="AB23" s="1">
        <v>0.10100000000000001</v>
      </c>
      <c r="AC23" s="1">
        <v>0.10100000000000001</v>
      </c>
      <c r="AD23" s="1">
        <v>0.11700000000000001</v>
      </c>
      <c r="AE23" s="1">
        <v>0.124</v>
      </c>
      <c r="AF23" s="1">
        <v>0.14699999999999999</v>
      </c>
      <c r="AG23" s="1">
        <v>7.85E-2</v>
      </c>
      <c r="AH23" s="1">
        <v>7.1900000000000006E-2</v>
      </c>
      <c r="AI23" s="1">
        <v>6.9400000000000003E-2</v>
      </c>
      <c r="AJ23" s="1">
        <v>7.2900000000000006E-2</v>
      </c>
      <c r="AK23" s="1">
        <v>8.5699999999999998E-2</v>
      </c>
      <c r="AL23" s="1">
        <v>2.64E-2</v>
      </c>
      <c r="AM23" s="1">
        <v>2.8000000000000001E-2</v>
      </c>
      <c r="AN23" s="1">
        <v>5.2299999999999999E-2</v>
      </c>
      <c r="AO23" s="1">
        <v>6.2E-2</v>
      </c>
      <c r="AP23" s="1">
        <v>7.5200000000000003E-2</v>
      </c>
      <c r="AQ23" s="1">
        <v>6.0900000000000003E-2</v>
      </c>
      <c r="AR23" s="1">
        <v>5.4100000000000002E-2</v>
      </c>
      <c r="AS23" s="1">
        <v>4.6199999999999998E-2</v>
      </c>
      <c r="AT23" s="1">
        <v>6.0199999999999997E-2</v>
      </c>
      <c r="AU23" s="1">
        <v>4.9500000000000002E-2</v>
      </c>
      <c r="AV23" s="1">
        <v>6.8500000000000005E-2</v>
      </c>
      <c r="AW23" s="1">
        <v>3.6200000000000003E-2</v>
      </c>
      <c r="AX23" s="1">
        <v>5.33E-2</v>
      </c>
      <c r="AY23" s="1">
        <v>4.3499999999999997E-2</v>
      </c>
      <c r="AZ23" s="1">
        <v>4.6100000000000002E-2</v>
      </c>
      <c r="BA23" s="1">
        <v>-9.8700000000000003E-3</v>
      </c>
      <c r="BB23" s="1">
        <v>-7.5399999999999998E-3</v>
      </c>
      <c r="BC23" s="1">
        <v>-2.2300000000000002E-3</v>
      </c>
      <c r="BD23" s="1">
        <v>-2.8000000000000001E-2</v>
      </c>
      <c r="BE23" s="1">
        <v>-2.3400000000000001E-2</v>
      </c>
      <c r="BF23" s="1">
        <v>-3.6200000000000003E-2</v>
      </c>
      <c r="BG23" s="1">
        <v>-4.9899999999999996E-3</v>
      </c>
      <c r="BH23" s="1">
        <v>1.2500000000000001E-2</v>
      </c>
      <c r="BI23" s="1">
        <v>2.1600000000000001E-2</v>
      </c>
      <c r="BJ23" s="1">
        <v>6.4699999999999994E-2</v>
      </c>
      <c r="BK23" s="1">
        <v>0.115</v>
      </c>
      <c r="BL23" s="1">
        <v>0.114</v>
      </c>
      <c r="BM23" s="1">
        <v>6.1100000000000002E-2</v>
      </c>
      <c r="BN23" s="1">
        <v>2.0400000000000001E-2</v>
      </c>
      <c r="BO23" s="1">
        <v>1.66E-2</v>
      </c>
      <c r="BP23" s="1">
        <v>-6.0100000000000001E-2</v>
      </c>
      <c r="BQ23" s="1">
        <v>-7.0000000000000007E-2</v>
      </c>
      <c r="BR23" s="1">
        <v>-0.123</v>
      </c>
      <c r="BS23" s="1">
        <v>-0.126</v>
      </c>
      <c r="BT23" s="1">
        <v>2.0600000000000002E-3</v>
      </c>
      <c r="BU23" s="1">
        <v>6.8900000000000003E-2</v>
      </c>
      <c r="BV23" s="1">
        <v>6.8500000000000005E-2</v>
      </c>
      <c r="BW23" s="1">
        <v>4.5100000000000001E-2</v>
      </c>
      <c r="BX23" s="1">
        <v>6.1700000000000001E-3</v>
      </c>
      <c r="BY23" s="1">
        <v>2.7099999999999999E-2</v>
      </c>
      <c r="BZ23" s="1">
        <v>2.8299999999999999E-2</v>
      </c>
      <c r="CA23" s="1">
        <v>5.33E-2</v>
      </c>
      <c r="CB23" s="1">
        <v>1.8800000000000001E-2</v>
      </c>
      <c r="CC23" s="1">
        <v>-1.2699999999999999E-2</v>
      </c>
      <c r="CD23" s="1">
        <v>-5.8999999999999997E-2</v>
      </c>
      <c r="CE23" s="1">
        <v>-0.128</v>
      </c>
      <c r="CF23" s="1">
        <v>-9.2399999999999996E-2</v>
      </c>
      <c r="CG23" s="1">
        <v>2.7699999999999999E-2</v>
      </c>
      <c r="CH23" s="1">
        <v>0.22800000000000001</v>
      </c>
      <c r="CI23" s="1">
        <v>9.5899999999999999E-2</v>
      </c>
      <c r="CJ23" s="1">
        <v>2.53E-2</v>
      </c>
      <c r="CK23" s="1">
        <v>-0.12</v>
      </c>
      <c r="CL23" s="1">
        <v>3.1099999999999999E-2</v>
      </c>
      <c r="CM23" s="1">
        <v>4.5199999999999997E-2</v>
      </c>
      <c r="CN23" s="1">
        <v>-4.8099999999999997E-2</v>
      </c>
      <c r="CO23" s="1">
        <v>-7.4999999999999997E-2</v>
      </c>
      <c r="CP23" s="1">
        <v>0.113</v>
      </c>
      <c r="CQ23" s="1">
        <v>0.156</v>
      </c>
      <c r="CR23" s="1">
        <v>0.182</v>
      </c>
      <c r="CS23" s="1">
        <v>0.16200000000000001</v>
      </c>
      <c r="CT23" s="1">
        <v>0.127</v>
      </c>
      <c r="CU23" s="1">
        <v>0.28100000000000003</v>
      </c>
      <c r="CV23" s="1">
        <v>0.26600000000000001</v>
      </c>
    </row>
  </sheetData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AEF4-B231-054C-88E0-FCA44F8AFE6A}">
  <sheetPr codeName="Planilha12"/>
  <dimension ref="A1:KL78"/>
  <sheetViews>
    <sheetView topLeftCell="A31" workbookViewId="0">
      <selection activeCell="B61" sqref="B61:CV78"/>
    </sheetView>
  </sheetViews>
  <sheetFormatPr baseColWidth="10" defaultRowHeight="16" x14ac:dyDescent="0.2"/>
  <cols>
    <col min="1" max="1" width="20.6640625" customWidth="1"/>
  </cols>
  <sheetData>
    <row r="1" spans="1:298" x14ac:dyDescent="0.2">
      <c r="A1" t="str">
        <f>""</f>
        <v/>
      </c>
      <c r="B1" t="str">
        <f>"(1)"</f>
        <v>(1)</v>
      </c>
      <c r="C1" t="str">
        <f>""</f>
        <v/>
      </c>
      <c r="D1" t="str">
        <f>"(2)"</f>
        <v>(2)</v>
      </c>
      <c r="E1" t="str">
        <f>""</f>
        <v/>
      </c>
      <c r="F1" t="str">
        <f>"(3)"</f>
        <v>(3)</v>
      </c>
      <c r="G1" t="str">
        <f>""</f>
        <v/>
      </c>
      <c r="H1" t="str">
        <f>"(4)"</f>
        <v>(4)</v>
      </c>
      <c r="I1" t="str">
        <f>""</f>
        <v/>
      </c>
      <c r="J1" t="str">
        <f>"(5)"</f>
        <v>(5)</v>
      </c>
      <c r="K1" t="str">
        <f>""</f>
        <v/>
      </c>
      <c r="L1" t="str">
        <f>"(6)"</f>
        <v>(6)</v>
      </c>
      <c r="M1" t="str">
        <f>""</f>
        <v/>
      </c>
      <c r="N1" t="str">
        <f>"(7)"</f>
        <v>(7)</v>
      </c>
      <c r="O1" t="str">
        <f>""</f>
        <v/>
      </c>
      <c r="P1" t="str">
        <f>"(8)"</f>
        <v>(8)</v>
      </c>
      <c r="Q1" t="str">
        <f>""</f>
        <v/>
      </c>
      <c r="R1" t="str">
        <f>"(9)"</f>
        <v>(9)</v>
      </c>
      <c r="S1" t="str">
        <f>""</f>
        <v/>
      </c>
      <c r="T1" t="str">
        <f>"(10)"</f>
        <v>(10)</v>
      </c>
      <c r="U1" t="str">
        <f>""</f>
        <v/>
      </c>
      <c r="V1" t="str">
        <f>"(11)"</f>
        <v>(11)</v>
      </c>
      <c r="W1" t="str">
        <f>""</f>
        <v/>
      </c>
      <c r="X1" t="str">
        <f>"(12)"</f>
        <v>(12)</v>
      </c>
      <c r="Y1" t="str">
        <f>""</f>
        <v/>
      </c>
      <c r="Z1" t="str">
        <f>"(13)"</f>
        <v>(13)</v>
      </c>
      <c r="AA1" t="str">
        <f>""</f>
        <v/>
      </c>
      <c r="AB1" t="str">
        <f>"(14)"</f>
        <v>(14)</v>
      </c>
      <c r="AC1" t="str">
        <f>""</f>
        <v/>
      </c>
      <c r="AD1" t="str">
        <f>"(15)"</f>
        <v>(15)</v>
      </c>
      <c r="AE1" t="str">
        <f>""</f>
        <v/>
      </c>
      <c r="AF1" t="str">
        <f>"(16)"</f>
        <v>(16)</v>
      </c>
      <c r="AG1" t="str">
        <f>""</f>
        <v/>
      </c>
      <c r="AH1" t="str">
        <f>"(17)"</f>
        <v>(17)</v>
      </c>
      <c r="AI1" t="str">
        <f>""</f>
        <v/>
      </c>
      <c r="AJ1" t="str">
        <f>"(18)"</f>
        <v>(18)</v>
      </c>
      <c r="AK1" t="str">
        <f>""</f>
        <v/>
      </c>
      <c r="AL1" t="str">
        <f>"(19)"</f>
        <v>(19)</v>
      </c>
      <c r="AM1" t="str">
        <f>""</f>
        <v/>
      </c>
      <c r="AN1" t="str">
        <f>"(20)"</f>
        <v>(20)</v>
      </c>
      <c r="AO1" t="str">
        <f>""</f>
        <v/>
      </c>
      <c r="AP1" t="str">
        <f>"(21)"</f>
        <v>(21)</v>
      </c>
      <c r="AQ1" t="str">
        <f>""</f>
        <v/>
      </c>
      <c r="AR1" t="str">
        <f>"(22)"</f>
        <v>(22)</v>
      </c>
      <c r="AS1" t="str">
        <f>""</f>
        <v/>
      </c>
      <c r="AT1" t="str">
        <f>"(23)"</f>
        <v>(23)</v>
      </c>
      <c r="AU1" t="str">
        <f>""</f>
        <v/>
      </c>
      <c r="AV1" t="str">
        <f>"(24)"</f>
        <v>(24)</v>
      </c>
      <c r="AW1" t="str">
        <f>""</f>
        <v/>
      </c>
      <c r="AX1" t="str">
        <f>"(25)"</f>
        <v>(25)</v>
      </c>
      <c r="AY1" t="str">
        <f>""</f>
        <v/>
      </c>
      <c r="AZ1" t="str">
        <f>"(26)"</f>
        <v>(26)</v>
      </c>
      <c r="BA1" t="str">
        <f>""</f>
        <v/>
      </c>
      <c r="BB1" t="str">
        <f>"(27)"</f>
        <v>(27)</v>
      </c>
      <c r="BC1" t="str">
        <f>""</f>
        <v/>
      </c>
      <c r="BD1" t="str">
        <f>"(28)"</f>
        <v>(28)</v>
      </c>
      <c r="BE1" t="str">
        <f>""</f>
        <v/>
      </c>
      <c r="BF1" t="str">
        <f>"(29)"</f>
        <v>(29)</v>
      </c>
      <c r="BG1" t="str">
        <f>""</f>
        <v/>
      </c>
      <c r="BH1" t="str">
        <f>"(30)"</f>
        <v>(30)</v>
      </c>
      <c r="BI1" t="str">
        <f>""</f>
        <v/>
      </c>
      <c r="BJ1" t="str">
        <f>"(31)"</f>
        <v>(31)</v>
      </c>
      <c r="BK1" t="str">
        <f>""</f>
        <v/>
      </c>
      <c r="BL1" t="str">
        <f>"(32)"</f>
        <v>(32)</v>
      </c>
      <c r="BM1" t="str">
        <f>""</f>
        <v/>
      </c>
      <c r="BN1" t="str">
        <f>"(33)"</f>
        <v>(33)</v>
      </c>
      <c r="BO1" t="str">
        <f>""</f>
        <v/>
      </c>
      <c r="BP1" t="str">
        <f>"(34)"</f>
        <v>(34)</v>
      </c>
      <c r="BQ1" t="str">
        <f>""</f>
        <v/>
      </c>
      <c r="BR1" t="str">
        <f>"(35)"</f>
        <v>(35)</v>
      </c>
      <c r="BS1" t="str">
        <f>""</f>
        <v/>
      </c>
      <c r="BT1" t="str">
        <f>"(36)"</f>
        <v>(36)</v>
      </c>
      <c r="BU1" t="str">
        <f>""</f>
        <v/>
      </c>
      <c r="BV1" t="str">
        <f>"(37)"</f>
        <v>(37)</v>
      </c>
      <c r="BW1" t="str">
        <f>""</f>
        <v/>
      </c>
      <c r="BX1" t="str">
        <f>"(38)"</f>
        <v>(38)</v>
      </c>
      <c r="BY1" t="str">
        <f>""</f>
        <v/>
      </c>
      <c r="BZ1" t="str">
        <f>"(39)"</f>
        <v>(39)</v>
      </c>
      <c r="CA1" t="str">
        <f>""</f>
        <v/>
      </c>
      <c r="CB1" t="str">
        <f>"(40)"</f>
        <v>(40)</v>
      </c>
      <c r="CC1" t="str">
        <f>""</f>
        <v/>
      </c>
      <c r="CD1" t="str">
        <f>"(41)"</f>
        <v>(41)</v>
      </c>
      <c r="CE1" t="str">
        <f>""</f>
        <v/>
      </c>
      <c r="CF1" t="str">
        <f>"(42)"</f>
        <v>(42)</v>
      </c>
      <c r="CG1" t="str">
        <f>""</f>
        <v/>
      </c>
      <c r="CH1" t="str">
        <f>"(43)"</f>
        <v>(43)</v>
      </c>
      <c r="CI1" t="str">
        <f>""</f>
        <v/>
      </c>
      <c r="CJ1" t="str">
        <f>"(44)"</f>
        <v>(44)</v>
      </c>
      <c r="CK1" t="str">
        <f>""</f>
        <v/>
      </c>
      <c r="CL1" t="str">
        <f>"(45)"</f>
        <v>(45)</v>
      </c>
      <c r="CM1" t="str">
        <f>""</f>
        <v/>
      </c>
      <c r="CN1" t="str">
        <f>"(46)"</f>
        <v>(46)</v>
      </c>
      <c r="CO1" t="str">
        <f>""</f>
        <v/>
      </c>
      <c r="CP1" t="str">
        <f>"(47)"</f>
        <v>(47)</v>
      </c>
      <c r="CQ1" t="str">
        <f>""</f>
        <v/>
      </c>
      <c r="CR1" t="str">
        <f>"(48)"</f>
        <v>(48)</v>
      </c>
      <c r="CS1" t="str">
        <f>""</f>
        <v/>
      </c>
      <c r="CT1" t="str">
        <f>"(49)"</f>
        <v>(49)</v>
      </c>
      <c r="CU1" t="str">
        <f>""</f>
        <v/>
      </c>
      <c r="CV1" t="str">
        <f>"(50)"</f>
        <v>(50)</v>
      </c>
      <c r="CW1" t="str">
        <f>""</f>
        <v/>
      </c>
      <c r="CX1" t="str">
        <f>"(51)"</f>
        <v>(51)</v>
      </c>
      <c r="CY1" t="str">
        <f>""</f>
        <v/>
      </c>
      <c r="CZ1" t="str">
        <f>"(52)"</f>
        <v>(52)</v>
      </c>
      <c r="DA1" t="str">
        <f>""</f>
        <v/>
      </c>
      <c r="DB1" t="str">
        <f>"(53)"</f>
        <v>(53)</v>
      </c>
      <c r="DC1" t="str">
        <f>""</f>
        <v/>
      </c>
      <c r="DD1" t="str">
        <f>"(54)"</f>
        <v>(54)</v>
      </c>
      <c r="DE1" t="str">
        <f>""</f>
        <v/>
      </c>
      <c r="DF1" t="str">
        <f>"(55)"</f>
        <v>(55)</v>
      </c>
      <c r="DG1" t="str">
        <f>""</f>
        <v/>
      </c>
      <c r="DH1" t="str">
        <f>"(56)"</f>
        <v>(56)</v>
      </c>
      <c r="DI1" t="str">
        <f>""</f>
        <v/>
      </c>
      <c r="DJ1" t="str">
        <f>"(57)"</f>
        <v>(57)</v>
      </c>
      <c r="DK1" t="str">
        <f>""</f>
        <v/>
      </c>
      <c r="DL1" t="str">
        <f>"(58)"</f>
        <v>(58)</v>
      </c>
      <c r="DM1" t="str">
        <f>""</f>
        <v/>
      </c>
      <c r="DN1" t="str">
        <f>"(59)"</f>
        <v>(59)</v>
      </c>
      <c r="DO1" t="str">
        <f>""</f>
        <v/>
      </c>
      <c r="DP1" t="str">
        <f>"(60)"</f>
        <v>(60)</v>
      </c>
      <c r="DQ1" t="str">
        <f>""</f>
        <v/>
      </c>
      <c r="DR1" t="str">
        <f>"(61)"</f>
        <v>(61)</v>
      </c>
      <c r="DS1" t="str">
        <f>""</f>
        <v/>
      </c>
      <c r="DT1" t="str">
        <f>"(62)"</f>
        <v>(62)</v>
      </c>
      <c r="DU1" t="str">
        <f>""</f>
        <v/>
      </c>
      <c r="DV1" t="str">
        <f>"(63)"</f>
        <v>(63)</v>
      </c>
      <c r="DW1" t="str">
        <f>""</f>
        <v/>
      </c>
      <c r="DX1" t="str">
        <f>"(64)"</f>
        <v>(64)</v>
      </c>
      <c r="DY1" t="str">
        <f>""</f>
        <v/>
      </c>
      <c r="DZ1" t="str">
        <f>"(65)"</f>
        <v>(65)</v>
      </c>
      <c r="EA1" t="str">
        <f>""</f>
        <v/>
      </c>
      <c r="EB1" t="str">
        <f>"(66)"</f>
        <v>(66)</v>
      </c>
      <c r="EC1" t="str">
        <f>""</f>
        <v/>
      </c>
      <c r="ED1" t="str">
        <f>"(67)"</f>
        <v>(67)</v>
      </c>
      <c r="EE1" t="str">
        <f>""</f>
        <v/>
      </c>
      <c r="EF1" t="str">
        <f>"(68)"</f>
        <v>(68)</v>
      </c>
      <c r="EG1" t="str">
        <f>""</f>
        <v/>
      </c>
      <c r="EH1" t="str">
        <f>"(69)"</f>
        <v>(69)</v>
      </c>
      <c r="EI1" t="str">
        <f>""</f>
        <v/>
      </c>
      <c r="EJ1" t="str">
        <f>"(70)"</f>
        <v>(70)</v>
      </c>
      <c r="EK1" t="str">
        <f>""</f>
        <v/>
      </c>
      <c r="EL1" t="str">
        <f>"(71)"</f>
        <v>(71)</v>
      </c>
      <c r="EM1" t="str">
        <f>""</f>
        <v/>
      </c>
      <c r="EN1" t="str">
        <f>"(72)"</f>
        <v>(72)</v>
      </c>
      <c r="EO1" t="str">
        <f>""</f>
        <v/>
      </c>
      <c r="EP1" t="str">
        <f>"(73)"</f>
        <v>(73)</v>
      </c>
      <c r="EQ1" t="str">
        <f>""</f>
        <v/>
      </c>
      <c r="ER1" t="str">
        <f>"(74)"</f>
        <v>(74)</v>
      </c>
      <c r="ES1" t="str">
        <f>""</f>
        <v/>
      </c>
      <c r="ET1" t="str">
        <f>"(75)"</f>
        <v>(75)</v>
      </c>
      <c r="EU1" t="str">
        <f>""</f>
        <v/>
      </c>
      <c r="EV1" t="str">
        <f>"(76)"</f>
        <v>(76)</v>
      </c>
      <c r="EW1" t="str">
        <f>""</f>
        <v/>
      </c>
      <c r="EX1" t="str">
        <f>"(77)"</f>
        <v>(77)</v>
      </c>
      <c r="EY1" t="str">
        <f>""</f>
        <v/>
      </c>
      <c r="EZ1" t="str">
        <f>"(78)"</f>
        <v>(78)</v>
      </c>
      <c r="FA1" t="str">
        <f>""</f>
        <v/>
      </c>
      <c r="FB1" t="str">
        <f>"(79)"</f>
        <v>(79)</v>
      </c>
      <c r="FC1" t="str">
        <f>""</f>
        <v/>
      </c>
      <c r="FD1" t="str">
        <f>"(80)"</f>
        <v>(80)</v>
      </c>
      <c r="FE1" t="str">
        <f>""</f>
        <v/>
      </c>
      <c r="FF1" t="str">
        <f>"(81)"</f>
        <v>(81)</v>
      </c>
      <c r="FG1" t="str">
        <f>""</f>
        <v/>
      </c>
      <c r="FH1" t="str">
        <f>"(82)"</f>
        <v>(82)</v>
      </c>
      <c r="FI1" t="str">
        <f>""</f>
        <v/>
      </c>
      <c r="FJ1" t="str">
        <f>"(83)"</f>
        <v>(83)</v>
      </c>
      <c r="FK1" t="str">
        <f>""</f>
        <v/>
      </c>
      <c r="FL1" t="str">
        <f>"(84)"</f>
        <v>(84)</v>
      </c>
      <c r="FM1" t="str">
        <f>""</f>
        <v/>
      </c>
      <c r="FN1" t="str">
        <f>"(85)"</f>
        <v>(85)</v>
      </c>
      <c r="FO1" t="str">
        <f>""</f>
        <v/>
      </c>
      <c r="FP1" t="str">
        <f>"(86)"</f>
        <v>(86)</v>
      </c>
      <c r="FQ1" t="str">
        <f>""</f>
        <v/>
      </c>
      <c r="FR1" t="str">
        <f>"(87)"</f>
        <v>(87)</v>
      </c>
      <c r="FS1" t="str">
        <f>""</f>
        <v/>
      </c>
      <c r="FT1" t="str">
        <f>"(88)"</f>
        <v>(88)</v>
      </c>
      <c r="FU1" t="str">
        <f>""</f>
        <v/>
      </c>
      <c r="FV1" t="str">
        <f>"(89)"</f>
        <v>(89)</v>
      </c>
      <c r="FW1" t="str">
        <f>""</f>
        <v/>
      </c>
      <c r="FX1" t="str">
        <f>"(90)"</f>
        <v>(90)</v>
      </c>
      <c r="FY1" t="str">
        <f>""</f>
        <v/>
      </c>
      <c r="FZ1" t="str">
        <f>"(91)"</f>
        <v>(91)</v>
      </c>
      <c r="GA1" t="str">
        <f>""</f>
        <v/>
      </c>
      <c r="GB1" t="str">
        <f>"(92)"</f>
        <v>(92)</v>
      </c>
      <c r="GC1" t="str">
        <f>""</f>
        <v/>
      </c>
      <c r="GD1" t="str">
        <f>"(93)"</f>
        <v>(93)</v>
      </c>
      <c r="GE1" t="str">
        <f>""</f>
        <v/>
      </c>
      <c r="GF1" t="str">
        <f>"(94)"</f>
        <v>(94)</v>
      </c>
      <c r="GG1" t="str">
        <f>""</f>
        <v/>
      </c>
      <c r="GH1" t="str">
        <f>"(95)"</f>
        <v>(95)</v>
      </c>
      <c r="GI1" t="str">
        <f>""</f>
        <v/>
      </c>
      <c r="GJ1" t="str">
        <f>"(96)"</f>
        <v>(96)</v>
      </c>
      <c r="GK1" t="str">
        <f>""</f>
        <v/>
      </c>
      <c r="GL1" t="str">
        <f>"(97)"</f>
        <v>(97)</v>
      </c>
      <c r="GM1" t="str">
        <f>""</f>
        <v/>
      </c>
      <c r="GN1" t="str">
        <f>"(98)"</f>
        <v>(98)</v>
      </c>
      <c r="GO1" t="str">
        <f>""</f>
        <v/>
      </c>
      <c r="GP1" t="str">
        <f>"(99)"</f>
        <v>(99)</v>
      </c>
      <c r="GQ1" t="str">
        <f>""</f>
        <v/>
      </c>
    </row>
    <row r="2" spans="1:298" x14ac:dyDescent="0.2">
      <c r="A2" t="str">
        <f>""</f>
        <v/>
      </c>
      <c r="B2" t="str">
        <f>"lsalh"</f>
        <v>lsalh</v>
      </c>
      <c r="C2" t="str">
        <f>""</f>
        <v/>
      </c>
      <c r="D2" t="str">
        <f>"lsalh"</f>
        <v>lsalh</v>
      </c>
      <c r="E2" t="str">
        <f>""</f>
        <v/>
      </c>
      <c r="F2" t="str">
        <f>"lsalh"</f>
        <v>lsalh</v>
      </c>
      <c r="G2" t="str">
        <f>""</f>
        <v/>
      </c>
      <c r="H2" t="str">
        <f>"lsalh"</f>
        <v>lsalh</v>
      </c>
      <c r="I2" t="str">
        <f>""</f>
        <v/>
      </c>
      <c r="J2" t="str">
        <f>"lsalh"</f>
        <v>lsalh</v>
      </c>
      <c r="K2" t="str">
        <f>""</f>
        <v/>
      </c>
      <c r="L2" t="str">
        <f>"lsalh"</f>
        <v>lsalh</v>
      </c>
      <c r="M2" t="str">
        <f>""</f>
        <v/>
      </c>
      <c r="N2" t="str">
        <f>"lsalh"</f>
        <v>lsalh</v>
      </c>
      <c r="O2" t="str">
        <f>""</f>
        <v/>
      </c>
      <c r="P2" t="str">
        <f>"lsalh"</f>
        <v>lsalh</v>
      </c>
      <c r="Q2" t="str">
        <f>""</f>
        <v/>
      </c>
      <c r="R2" t="str">
        <f>"lsalh"</f>
        <v>lsalh</v>
      </c>
      <c r="S2" t="str">
        <f>""</f>
        <v/>
      </c>
      <c r="T2" t="str">
        <f>"lsalh"</f>
        <v>lsalh</v>
      </c>
      <c r="U2" t="str">
        <f>""</f>
        <v/>
      </c>
      <c r="V2" t="str">
        <f>"lsalh"</f>
        <v>lsalh</v>
      </c>
      <c r="W2" t="str">
        <f>""</f>
        <v/>
      </c>
      <c r="X2" t="str">
        <f>"lsalh"</f>
        <v>lsalh</v>
      </c>
      <c r="Y2" t="str">
        <f>""</f>
        <v/>
      </c>
      <c r="Z2" t="str">
        <f>"lsalh"</f>
        <v>lsalh</v>
      </c>
      <c r="AA2" t="str">
        <f>""</f>
        <v/>
      </c>
      <c r="AB2" t="str">
        <f>"lsalh"</f>
        <v>lsalh</v>
      </c>
      <c r="AC2" t="str">
        <f>""</f>
        <v/>
      </c>
      <c r="AD2" t="str">
        <f>"lsalh"</f>
        <v>lsalh</v>
      </c>
      <c r="AE2" t="str">
        <f>""</f>
        <v/>
      </c>
      <c r="AF2" t="str">
        <f>"lsalh"</f>
        <v>lsalh</v>
      </c>
      <c r="AG2" t="str">
        <f>""</f>
        <v/>
      </c>
      <c r="AH2" t="str">
        <f>"lsalh"</f>
        <v>lsalh</v>
      </c>
      <c r="AI2" t="str">
        <f>""</f>
        <v/>
      </c>
      <c r="AJ2" t="str">
        <f>"lsalh"</f>
        <v>lsalh</v>
      </c>
      <c r="AK2" t="str">
        <f>""</f>
        <v/>
      </c>
      <c r="AL2" t="str">
        <f>"lsalh"</f>
        <v>lsalh</v>
      </c>
      <c r="AM2" t="str">
        <f>""</f>
        <v/>
      </c>
      <c r="AN2" t="str">
        <f>"lsalh"</f>
        <v>lsalh</v>
      </c>
      <c r="AO2" t="str">
        <f>""</f>
        <v/>
      </c>
      <c r="AP2" t="str">
        <f>"lsalh"</f>
        <v>lsalh</v>
      </c>
      <c r="AQ2" t="str">
        <f>""</f>
        <v/>
      </c>
      <c r="AR2" t="str">
        <f>"lsalh"</f>
        <v>lsalh</v>
      </c>
      <c r="AS2" t="str">
        <f>""</f>
        <v/>
      </c>
      <c r="AT2" t="str">
        <f>"lsalh"</f>
        <v>lsalh</v>
      </c>
      <c r="AU2" t="str">
        <f>""</f>
        <v/>
      </c>
      <c r="AV2" t="str">
        <f>"lsalh"</f>
        <v>lsalh</v>
      </c>
      <c r="AW2" t="str">
        <f>""</f>
        <v/>
      </c>
      <c r="AX2" t="str">
        <f>"lsalh"</f>
        <v>lsalh</v>
      </c>
      <c r="AY2" t="str">
        <f>""</f>
        <v/>
      </c>
      <c r="AZ2" t="str">
        <f>"lsalh"</f>
        <v>lsalh</v>
      </c>
      <c r="BA2" t="str">
        <f>""</f>
        <v/>
      </c>
      <c r="BB2" t="str">
        <f>"lsalh"</f>
        <v>lsalh</v>
      </c>
      <c r="BC2" t="str">
        <f>""</f>
        <v/>
      </c>
      <c r="BD2" t="str">
        <f>"lsalh"</f>
        <v>lsalh</v>
      </c>
      <c r="BE2" t="str">
        <f>""</f>
        <v/>
      </c>
      <c r="BF2" t="str">
        <f>"lsalh"</f>
        <v>lsalh</v>
      </c>
      <c r="BG2" t="str">
        <f>""</f>
        <v/>
      </c>
      <c r="BH2" t="str">
        <f>"lsalh"</f>
        <v>lsalh</v>
      </c>
      <c r="BI2" t="str">
        <f>""</f>
        <v/>
      </c>
      <c r="BJ2" t="str">
        <f>"lsalh"</f>
        <v>lsalh</v>
      </c>
      <c r="BK2" t="str">
        <f>""</f>
        <v/>
      </c>
      <c r="BL2" t="str">
        <f>"lsalh"</f>
        <v>lsalh</v>
      </c>
      <c r="BM2" t="str">
        <f>""</f>
        <v/>
      </c>
      <c r="BN2" t="str">
        <f>"lsalh"</f>
        <v>lsalh</v>
      </c>
      <c r="BO2" t="str">
        <f>""</f>
        <v/>
      </c>
      <c r="BP2" t="str">
        <f>"lsalh"</f>
        <v>lsalh</v>
      </c>
      <c r="BQ2" t="str">
        <f>""</f>
        <v/>
      </c>
      <c r="BR2" t="str">
        <f>"lsalh"</f>
        <v>lsalh</v>
      </c>
      <c r="BS2" t="str">
        <f>""</f>
        <v/>
      </c>
      <c r="BT2" t="str">
        <f>"lsalh"</f>
        <v>lsalh</v>
      </c>
      <c r="BU2" t="str">
        <f>""</f>
        <v/>
      </c>
      <c r="BV2" t="str">
        <f>"lsalh"</f>
        <v>lsalh</v>
      </c>
      <c r="BW2" t="str">
        <f>""</f>
        <v/>
      </c>
      <c r="BX2" t="str">
        <f>"lsalh"</f>
        <v>lsalh</v>
      </c>
      <c r="BY2" t="str">
        <f>""</f>
        <v/>
      </c>
      <c r="BZ2" t="str">
        <f>"lsalh"</f>
        <v>lsalh</v>
      </c>
      <c r="CA2" t="str">
        <f>""</f>
        <v/>
      </c>
      <c r="CB2" t="str">
        <f>"lsalh"</f>
        <v>lsalh</v>
      </c>
      <c r="CC2" t="str">
        <f>""</f>
        <v/>
      </c>
      <c r="CD2" t="str">
        <f>"lsalh"</f>
        <v>lsalh</v>
      </c>
      <c r="CE2" t="str">
        <f>""</f>
        <v/>
      </c>
      <c r="CF2" t="str">
        <f>"lsalh"</f>
        <v>lsalh</v>
      </c>
      <c r="CG2" t="str">
        <f>""</f>
        <v/>
      </c>
      <c r="CH2" t="str">
        <f>"lsalh"</f>
        <v>lsalh</v>
      </c>
      <c r="CI2" t="str">
        <f>""</f>
        <v/>
      </c>
      <c r="CJ2" t="str">
        <f>"lsalh"</f>
        <v>lsalh</v>
      </c>
      <c r="CK2" t="str">
        <f>""</f>
        <v/>
      </c>
      <c r="CL2" t="str">
        <f>"lsalh"</f>
        <v>lsalh</v>
      </c>
      <c r="CM2" t="str">
        <f>""</f>
        <v/>
      </c>
      <c r="CN2" t="str">
        <f>"lsalh"</f>
        <v>lsalh</v>
      </c>
      <c r="CO2" t="str">
        <f>""</f>
        <v/>
      </c>
      <c r="CP2" t="str">
        <f>"lsalh"</f>
        <v>lsalh</v>
      </c>
      <c r="CQ2" t="str">
        <f>""</f>
        <v/>
      </c>
      <c r="CR2" t="str">
        <f>"lsalh"</f>
        <v>lsalh</v>
      </c>
      <c r="CS2" t="str">
        <f>""</f>
        <v/>
      </c>
      <c r="CT2" t="str">
        <f>"lsalh"</f>
        <v>lsalh</v>
      </c>
      <c r="CU2" t="str">
        <f>""</f>
        <v/>
      </c>
      <c r="CV2" t="str">
        <f>"lsalh"</f>
        <v>lsalh</v>
      </c>
      <c r="CW2" t="str">
        <f>""</f>
        <v/>
      </c>
      <c r="CX2" t="str">
        <f>"lsalh"</f>
        <v>lsalh</v>
      </c>
      <c r="CY2" t="str">
        <f>""</f>
        <v/>
      </c>
      <c r="CZ2" t="str">
        <f>"lsalh"</f>
        <v>lsalh</v>
      </c>
      <c r="DA2" t="str">
        <f>""</f>
        <v/>
      </c>
      <c r="DB2" t="str">
        <f>"lsalh"</f>
        <v>lsalh</v>
      </c>
      <c r="DC2" t="str">
        <f>""</f>
        <v/>
      </c>
      <c r="DD2" t="str">
        <f>"lsalh"</f>
        <v>lsalh</v>
      </c>
      <c r="DE2" t="str">
        <f>""</f>
        <v/>
      </c>
      <c r="DF2" t="str">
        <f>"lsalh"</f>
        <v>lsalh</v>
      </c>
      <c r="DG2" t="str">
        <f>""</f>
        <v/>
      </c>
      <c r="DH2" t="str">
        <f>"lsalh"</f>
        <v>lsalh</v>
      </c>
      <c r="DI2" t="str">
        <f>""</f>
        <v/>
      </c>
      <c r="DJ2" t="str">
        <f>"lsalh"</f>
        <v>lsalh</v>
      </c>
      <c r="DK2" t="str">
        <f>""</f>
        <v/>
      </c>
      <c r="DL2" t="str">
        <f>"lsalh"</f>
        <v>lsalh</v>
      </c>
      <c r="DM2" t="str">
        <f>""</f>
        <v/>
      </c>
      <c r="DN2" t="str">
        <f>"lsalh"</f>
        <v>lsalh</v>
      </c>
      <c r="DO2" t="str">
        <f>""</f>
        <v/>
      </c>
      <c r="DP2" t="str">
        <f>"lsalh"</f>
        <v>lsalh</v>
      </c>
      <c r="DQ2" t="str">
        <f>""</f>
        <v/>
      </c>
      <c r="DR2" t="str">
        <f>"lsalh"</f>
        <v>lsalh</v>
      </c>
      <c r="DS2" t="str">
        <f>""</f>
        <v/>
      </c>
      <c r="DT2" t="str">
        <f>"lsalh"</f>
        <v>lsalh</v>
      </c>
      <c r="DU2" t="str">
        <f>""</f>
        <v/>
      </c>
      <c r="DV2" t="str">
        <f>"lsalh"</f>
        <v>lsalh</v>
      </c>
      <c r="DW2" t="str">
        <f>""</f>
        <v/>
      </c>
      <c r="DX2" t="str">
        <f>"lsalh"</f>
        <v>lsalh</v>
      </c>
      <c r="DY2" t="str">
        <f>""</f>
        <v/>
      </c>
      <c r="DZ2" t="str">
        <f>"lsalh"</f>
        <v>lsalh</v>
      </c>
      <c r="EA2" t="str">
        <f>""</f>
        <v/>
      </c>
      <c r="EB2" t="str">
        <f>"lsalh"</f>
        <v>lsalh</v>
      </c>
      <c r="EC2" t="str">
        <f>""</f>
        <v/>
      </c>
      <c r="ED2" t="str">
        <f>"lsalh"</f>
        <v>lsalh</v>
      </c>
      <c r="EE2" t="str">
        <f>""</f>
        <v/>
      </c>
      <c r="EF2" t="str">
        <f>"lsalh"</f>
        <v>lsalh</v>
      </c>
      <c r="EG2" t="str">
        <f>""</f>
        <v/>
      </c>
      <c r="EH2" t="str">
        <f>"lsalh"</f>
        <v>lsalh</v>
      </c>
      <c r="EI2" t="str">
        <f>""</f>
        <v/>
      </c>
      <c r="EJ2" t="str">
        <f>"lsalh"</f>
        <v>lsalh</v>
      </c>
      <c r="EK2" t="str">
        <f>""</f>
        <v/>
      </c>
      <c r="EL2" t="str">
        <f>"lsalh"</f>
        <v>lsalh</v>
      </c>
      <c r="EM2" t="str">
        <f>""</f>
        <v/>
      </c>
      <c r="EN2" t="str">
        <f>"lsalh"</f>
        <v>lsalh</v>
      </c>
      <c r="EO2" t="str">
        <f>""</f>
        <v/>
      </c>
      <c r="EP2" t="str">
        <f>"lsalh"</f>
        <v>lsalh</v>
      </c>
      <c r="EQ2" t="str">
        <f>""</f>
        <v/>
      </c>
      <c r="ER2" t="str">
        <f>"lsalh"</f>
        <v>lsalh</v>
      </c>
      <c r="ES2" t="str">
        <f>""</f>
        <v/>
      </c>
      <c r="ET2" t="str">
        <f>"lsalh"</f>
        <v>lsalh</v>
      </c>
      <c r="EU2" t="str">
        <f>""</f>
        <v/>
      </c>
      <c r="EV2" t="str">
        <f>"lsalh"</f>
        <v>lsalh</v>
      </c>
      <c r="EW2" t="str">
        <f>""</f>
        <v/>
      </c>
      <c r="EX2" t="str">
        <f>"lsalh"</f>
        <v>lsalh</v>
      </c>
      <c r="EY2" t="str">
        <f>""</f>
        <v/>
      </c>
      <c r="EZ2" t="str">
        <f>"lsalh"</f>
        <v>lsalh</v>
      </c>
      <c r="FA2" t="str">
        <f>""</f>
        <v/>
      </c>
      <c r="FB2" t="str">
        <f>"lsalh"</f>
        <v>lsalh</v>
      </c>
      <c r="FC2" t="str">
        <f>""</f>
        <v/>
      </c>
      <c r="FD2" t="str">
        <f>"lsalh"</f>
        <v>lsalh</v>
      </c>
      <c r="FE2" t="str">
        <f>""</f>
        <v/>
      </c>
      <c r="FF2" t="str">
        <f>"lsalh"</f>
        <v>lsalh</v>
      </c>
      <c r="FG2" t="str">
        <f>""</f>
        <v/>
      </c>
      <c r="FH2" t="str">
        <f>"lsalh"</f>
        <v>lsalh</v>
      </c>
      <c r="FI2" t="str">
        <f>""</f>
        <v/>
      </c>
      <c r="FJ2" t="str">
        <f>"lsalh"</f>
        <v>lsalh</v>
      </c>
      <c r="FK2" t="str">
        <f>""</f>
        <v/>
      </c>
      <c r="FL2" t="str">
        <f>"lsalh"</f>
        <v>lsalh</v>
      </c>
      <c r="FM2" t="str">
        <f>""</f>
        <v/>
      </c>
      <c r="FN2" t="str">
        <f>"lsalh"</f>
        <v>lsalh</v>
      </c>
      <c r="FO2" t="str">
        <f>""</f>
        <v/>
      </c>
      <c r="FP2" t="str">
        <f>"lsalh"</f>
        <v>lsalh</v>
      </c>
      <c r="FQ2" t="str">
        <f>""</f>
        <v/>
      </c>
      <c r="FR2" t="str">
        <f>"lsalh"</f>
        <v>lsalh</v>
      </c>
      <c r="FS2" t="str">
        <f>""</f>
        <v/>
      </c>
      <c r="FT2" t="str">
        <f>"lsalh"</f>
        <v>lsalh</v>
      </c>
      <c r="FU2" t="str">
        <f>""</f>
        <v/>
      </c>
      <c r="FV2" t="str">
        <f>"lsalh"</f>
        <v>lsalh</v>
      </c>
      <c r="FW2" t="str">
        <f>""</f>
        <v/>
      </c>
      <c r="FX2" t="str">
        <f>"lsalh"</f>
        <v>lsalh</v>
      </c>
      <c r="FY2" t="str">
        <f>""</f>
        <v/>
      </c>
      <c r="FZ2" t="str">
        <f>"lsalh"</f>
        <v>lsalh</v>
      </c>
      <c r="GA2" t="str">
        <f>""</f>
        <v/>
      </c>
      <c r="GB2" t="str">
        <f>"lsalh"</f>
        <v>lsalh</v>
      </c>
      <c r="GC2" t="str">
        <f>""</f>
        <v/>
      </c>
      <c r="GD2" t="str">
        <f>"lsalh"</f>
        <v>lsalh</v>
      </c>
      <c r="GE2" t="str">
        <f>""</f>
        <v/>
      </c>
      <c r="GF2" t="str">
        <f>"lsalh"</f>
        <v>lsalh</v>
      </c>
      <c r="GG2" t="str">
        <f>""</f>
        <v/>
      </c>
      <c r="GH2" t="str">
        <f>"lsalh"</f>
        <v>lsalh</v>
      </c>
      <c r="GI2" t="str">
        <f>""</f>
        <v/>
      </c>
      <c r="GJ2" t="str">
        <f>"lsalh"</f>
        <v>lsalh</v>
      </c>
      <c r="GK2" t="str">
        <f>""</f>
        <v/>
      </c>
      <c r="GL2" t="str">
        <f>"lsalh"</f>
        <v>lsalh</v>
      </c>
      <c r="GM2" t="str">
        <f>""</f>
        <v/>
      </c>
      <c r="GN2" t="str">
        <f>"lsalh"</f>
        <v>lsalh</v>
      </c>
      <c r="GO2" t="str">
        <f>""</f>
        <v/>
      </c>
      <c r="GP2" t="str">
        <f>"lsalh"</f>
        <v>lsalh</v>
      </c>
      <c r="GQ2" t="str">
        <f>""</f>
        <v/>
      </c>
    </row>
    <row r="3" spans="1:298" x14ac:dyDescent="0.2">
      <c r="A3" t="str">
        <f>"overall"</f>
        <v>overall</v>
      </c>
      <c r="B3" t="str">
        <f>""</f>
        <v/>
      </c>
      <c r="C3" t="str">
        <f>""</f>
        <v/>
      </c>
      <c r="D3" t="str">
        <f>""</f>
        <v/>
      </c>
      <c r="E3" t="str">
        <f>""</f>
        <v/>
      </c>
      <c r="F3" t="str">
        <f>""</f>
        <v/>
      </c>
      <c r="G3" t="str">
        <f>""</f>
        <v/>
      </c>
      <c r="H3" t="str">
        <f>""</f>
        <v/>
      </c>
      <c r="I3" t="str">
        <f>""</f>
        <v/>
      </c>
      <c r="J3" t="str">
        <f>""</f>
        <v/>
      </c>
      <c r="K3" t="str">
        <f>""</f>
        <v/>
      </c>
      <c r="L3" t="str">
        <f>""</f>
        <v/>
      </c>
      <c r="M3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t="str">
        <f>""</f>
        <v/>
      </c>
      <c r="S3" t="str">
        <f>""</f>
        <v/>
      </c>
      <c r="T3" t="str">
        <f>""</f>
        <v/>
      </c>
      <c r="U3" t="str">
        <f>""</f>
        <v/>
      </c>
      <c r="V3" t="str">
        <f>""</f>
        <v/>
      </c>
      <c r="W3" t="str">
        <f>""</f>
        <v/>
      </c>
      <c r="X3" t="str">
        <f>""</f>
        <v/>
      </c>
      <c r="Y3" t="str">
        <f>""</f>
        <v/>
      </c>
      <c r="Z3" t="str">
        <f>""</f>
        <v/>
      </c>
      <c r="AA3" t="str">
        <f>""</f>
        <v/>
      </c>
      <c r="AB3" t="str">
        <f>""</f>
        <v/>
      </c>
      <c r="AC3" t="str">
        <f>""</f>
        <v/>
      </c>
      <c r="AD3" t="str">
        <f>""</f>
        <v/>
      </c>
      <c r="AE3" t="str">
        <f>""</f>
        <v/>
      </c>
      <c r="AF3" t="str">
        <f>""</f>
        <v/>
      </c>
      <c r="AG3" t="str">
        <f>""</f>
        <v/>
      </c>
      <c r="AH3" t="str">
        <f>""</f>
        <v/>
      </c>
      <c r="AI3" t="str">
        <f>""</f>
        <v/>
      </c>
      <c r="AJ3" t="str">
        <f>""</f>
        <v/>
      </c>
      <c r="AK3" t="str">
        <f>""</f>
        <v/>
      </c>
      <c r="AL3" t="str">
        <f>""</f>
        <v/>
      </c>
      <c r="AM3" t="str">
        <f>""</f>
        <v/>
      </c>
      <c r="AN3" t="str">
        <f>""</f>
        <v/>
      </c>
      <c r="AO3" t="str">
        <f>""</f>
        <v/>
      </c>
      <c r="AP3" t="str">
        <f>""</f>
        <v/>
      </c>
      <c r="AQ3" t="str">
        <f>""</f>
        <v/>
      </c>
      <c r="AR3" t="str">
        <f>""</f>
        <v/>
      </c>
      <c r="AS3" t="str">
        <f>""</f>
        <v/>
      </c>
      <c r="AT3" t="str">
        <f>""</f>
        <v/>
      </c>
      <c r="AU3" t="str">
        <f>""</f>
        <v/>
      </c>
      <c r="AV3" t="str">
        <f>""</f>
        <v/>
      </c>
      <c r="AW3" t="str">
        <f>""</f>
        <v/>
      </c>
      <c r="AX3" t="str">
        <f>""</f>
        <v/>
      </c>
      <c r="AY3" t="str">
        <f>""</f>
        <v/>
      </c>
      <c r="AZ3" t="str">
        <f>""</f>
        <v/>
      </c>
      <c r="BA3" t="str">
        <f>""</f>
        <v/>
      </c>
      <c r="BB3" t="str">
        <f>""</f>
        <v/>
      </c>
      <c r="BC3" t="str">
        <f>""</f>
        <v/>
      </c>
      <c r="BD3" t="str">
        <f>""</f>
        <v/>
      </c>
      <c r="BE3" t="str">
        <f>""</f>
        <v/>
      </c>
      <c r="BF3" t="str">
        <f>""</f>
        <v/>
      </c>
      <c r="BG3" t="str">
        <f>""</f>
        <v/>
      </c>
      <c r="BH3" t="str">
        <f>""</f>
        <v/>
      </c>
      <c r="BI3" t="str">
        <f>""</f>
        <v/>
      </c>
      <c r="BJ3" t="str">
        <f>""</f>
        <v/>
      </c>
      <c r="BK3" t="str">
        <f>""</f>
        <v/>
      </c>
      <c r="BL3" t="str">
        <f>""</f>
        <v/>
      </c>
      <c r="BM3" t="str">
        <f>""</f>
        <v/>
      </c>
      <c r="BN3" t="str">
        <f>""</f>
        <v/>
      </c>
      <c r="BO3" t="str">
        <f>""</f>
        <v/>
      </c>
      <c r="BP3" t="str">
        <f>""</f>
        <v/>
      </c>
      <c r="BQ3" t="str">
        <f>""</f>
        <v/>
      </c>
      <c r="BR3" t="str">
        <f>""</f>
        <v/>
      </c>
      <c r="BS3" t="str">
        <f>""</f>
        <v/>
      </c>
      <c r="BT3" t="str">
        <f>""</f>
        <v/>
      </c>
      <c r="BU3" t="str">
        <f>""</f>
        <v/>
      </c>
      <c r="BV3" t="str">
        <f>""</f>
        <v/>
      </c>
      <c r="BW3" t="str">
        <f>""</f>
        <v/>
      </c>
      <c r="BX3" t="str">
        <f>""</f>
        <v/>
      </c>
      <c r="BY3" t="str">
        <f>""</f>
        <v/>
      </c>
      <c r="BZ3" t="str">
        <f>""</f>
        <v/>
      </c>
      <c r="CA3" t="str">
        <f>""</f>
        <v/>
      </c>
      <c r="CB3" t="str">
        <f>""</f>
        <v/>
      </c>
      <c r="CC3" t="str">
        <f>""</f>
        <v/>
      </c>
      <c r="CD3" t="str">
        <f>""</f>
        <v/>
      </c>
      <c r="CE3" t="str">
        <f>""</f>
        <v/>
      </c>
      <c r="CF3" t="str">
        <f>""</f>
        <v/>
      </c>
      <c r="CG3" t="str">
        <f>""</f>
        <v/>
      </c>
      <c r="CH3" t="str">
        <f>""</f>
        <v/>
      </c>
      <c r="CI3" t="str">
        <f>""</f>
        <v/>
      </c>
      <c r="CJ3" t="str">
        <f>""</f>
        <v/>
      </c>
      <c r="CK3" t="str">
        <f>""</f>
        <v/>
      </c>
      <c r="CL3" t="str">
        <f>""</f>
        <v/>
      </c>
      <c r="CM3" t="str">
        <f>""</f>
        <v/>
      </c>
      <c r="CN3" t="str">
        <f>""</f>
        <v/>
      </c>
      <c r="CO3" t="str">
        <f>""</f>
        <v/>
      </c>
      <c r="CP3" t="str">
        <f>""</f>
        <v/>
      </c>
      <c r="CQ3" t="str">
        <f>""</f>
        <v/>
      </c>
      <c r="CR3" t="str">
        <f>""</f>
        <v/>
      </c>
      <c r="CS3" t="str">
        <f>""</f>
        <v/>
      </c>
      <c r="CT3" t="str">
        <f>""</f>
        <v/>
      </c>
      <c r="CU3" t="str">
        <f>""</f>
        <v/>
      </c>
      <c r="CV3" t="str">
        <f>""</f>
        <v/>
      </c>
      <c r="CW3" t="str">
        <f>""</f>
        <v/>
      </c>
      <c r="CX3" t="str">
        <f>""</f>
        <v/>
      </c>
      <c r="CY3" t="str">
        <f>""</f>
        <v/>
      </c>
      <c r="CZ3" t="str">
        <f>""</f>
        <v/>
      </c>
      <c r="DA3" t="str">
        <f>""</f>
        <v/>
      </c>
      <c r="DB3" t="str">
        <f>""</f>
        <v/>
      </c>
      <c r="DC3" t="str">
        <f>""</f>
        <v/>
      </c>
      <c r="DD3" t="str">
        <f>""</f>
        <v/>
      </c>
      <c r="DE3" t="str">
        <f>""</f>
        <v/>
      </c>
      <c r="DF3" t="str">
        <f>""</f>
        <v/>
      </c>
      <c r="DG3" t="str">
        <f>""</f>
        <v/>
      </c>
      <c r="DH3" t="str">
        <f>""</f>
        <v/>
      </c>
      <c r="DI3" t="str">
        <f>""</f>
        <v/>
      </c>
      <c r="DJ3" t="str">
        <f>""</f>
        <v/>
      </c>
      <c r="DK3" t="str">
        <f>""</f>
        <v/>
      </c>
      <c r="DL3" t="str">
        <f>""</f>
        <v/>
      </c>
      <c r="DM3" t="str">
        <f>""</f>
        <v/>
      </c>
      <c r="DN3" t="str">
        <f>""</f>
        <v/>
      </c>
      <c r="DO3" t="str">
        <f>""</f>
        <v/>
      </c>
      <c r="DP3" t="str">
        <f>""</f>
        <v/>
      </c>
      <c r="DQ3" t="str">
        <f>""</f>
        <v/>
      </c>
      <c r="DR3" t="str">
        <f>""</f>
        <v/>
      </c>
      <c r="DS3" t="str">
        <f>""</f>
        <v/>
      </c>
      <c r="DT3" t="str">
        <f>""</f>
        <v/>
      </c>
      <c r="DU3" t="str">
        <f>""</f>
        <v/>
      </c>
      <c r="DV3" t="str">
        <f>""</f>
        <v/>
      </c>
      <c r="DW3" t="str">
        <f>""</f>
        <v/>
      </c>
      <c r="DX3" t="str">
        <f>""</f>
        <v/>
      </c>
      <c r="DY3" t="str">
        <f>""</f>
        <v/>
      </c>
      <c r="DZ3" t="str">
        <f>""</f>
        <v/>
      </c>
      <c r="EA3" t="str">
        <f>""</f>
        <v/>
      </c>
      <c r="EB3" t="str">
        <f>""</f>
        <v/>
      </c>
      <c r="EC3" t="str">
        <f>""</f>
        <v/>
      </c>
      <c r="ED3" t="str">
        <f>""</f>
        <v/>
      </c>
      <c r="EE3" t="str">
        <f>""</f>
        <v/>
      </c>
      <c r="EF3" t="str">
        <f>""</f>
        <v/>
      </c>
      <c r="EG3" t="str">
        <f>""</f>
        <v/>
      </c>
      <c r="EH3" t="str">
        <f>""</f>
        <v/>
      </c>
      <c r="EI3" t="str">
        <f>""</f>
        <v/>
      </c>
      <c r="EJ3" t="str">
        <f>""</f>
        <v/>
      </c>
      <c r="EK3" t="str">
        <f>""</f>
        <v/>
      </c>
      <c r="EL3" t="str">
        <f>""</f>
        <v/>
      </c>
      <c r="EM3" t="str">
        <f>""</f>
        <v/>
      </c>
      <c r="EN3" t="str">
        <f>""</f>
        <v/>
      </c>
      <c r="EO3" t="str">
        <f>""</f>
        <v/>
      </c>
      <c r="EP3" t="str">
        <f>""</f>
        <v/>
      </c>
      <c r="EQ3" t="str">
        <f>""</f>
        <v/>
      </c>
      <c r="ER3" t="str">
        <f>""</f>
        <v/>
      </c>
      <c r="ES3" t="str">
        <f>""</f>
        <v/>
      </c>
      <c r="ET3" t="str">
        <f>""</f>
        <v/>
      </c>
      <c r="EU3" t="str">
        <f>""</f>
        <v/>
      </c>
      <c r="EV3" t="str">
        <f>""</f>
        <v/>
      </c>
      <c r="EW3" t="str">
        <f>""</f>
        <v/>
      </c>
      <c r="EX3" t="str">
        <f>""</f>
        <v/>
      </c>
      <c r="EY3" t="str">
        <f>""</f>
        <v/>
      </c>
      <c r="EZ3" t="str">
        <f>""</f>
        <v/>
      </c>
      <c r="FA3" t="str">
        <f>""</f>
        <v/>
      </c>
      <c r="FB3" t="str">
        <f>""</f>
        <v/>
      </c>
      <c r="FC3" t="str">
        <f>""</f>
        <v/>
      </c>
      <c r="FD3" t="str">
        <f>""</f>
        <v/>
      </c>
      <c r="FE3" t="str">
        <f>""</f>
        <v/>
      </c>
      <c r="FF3" t="str">
        <f>""</f>
        <v/>
      </c>
      <c r="FG3" t="str">
        <f>""</f>
        <v/>
      </c>
      <c r="FH3" t="str">
        <f>""</f>
        <v/>
      </c>
      <c r="FI3" t="str">
        <f>""</f>
        <v/>
      </c>
      <c r="FJ3" t="str">
        <f>""</f>
        <v/>
      </c>
      <c r="FK3" t="str">
        <f>""</f>
        <v/>
      </c>
      <c r="FL3" t="str">
        <f>""</f>
        <v/>
      </c>
      <c r="FM3" t="str">
        <f>""</f>
        <v/>
      </c>
      <c r="FN3" t="str">
        <f>""</f>
        <v/>
      </c>
      <c r="FO3" t="str">
        <f>""</f>
        <v/>
      </c>
      <c r="FP3" t="str">
        <f>""</f>
        <v/>
      </c>
      <c r="FQ3" t="str">
        <f>""</f>
        <v/>
      </c>
      <c r="FR3" t="str">
        <f>""</f>
        <v/>
      </c>
      <c r="FS3" t="str">
        <f>""</f>
        <v/>
      </c>
      <c r="FT3" t="str">
        <f>""</f>
        <v/>
      </c>
      <c r="FU3" t="str">
        <f>""</f>
        <v/>
      </c>
      <c r="FV3" t="str">
        <f>""</f>
        <v/>
      </c>
      <c r="FW3" t="str">
        <f>""</f>
        <v/>
      </c>
      <c r="FX3" t="str">
        <f>""</f>
        <v/>
      </c>
      <c r="FY3" t="str">
        <f>""</f>
        <v/>
      </c>
      <c r="FZ3" t="str">
        <f>""</f>
        <v/>
      </c>
      <c r="GA3" t="str">
        <f>""</f>
        <v/>
      </c>
      <c r="GB3" t="str">
        <f>""</f>
        <v/>
      </c>
      <c r="GC3" t="str">
        <f>""</f>
        <v/>
      </c>
      <c r="GD3" t="str">
        <f>""</f>
        <v/>
      </c>
      <c r="GE3" t="str">
        <f>""</f>
        <v/>
      </c>
      <c r="GF3" t="str">
        <f>""</f>
        <v/>
      </c>
      <c r="GG3" t="str">
        <f>""</f>
        <v/>
      </c>
      <c r="GH3" t="str">
        <f>""</f>
        <v/>
      </c>
      <c r="GI3" t="str">
        <f>""</f>
        <v/>
      </c>
      <c r="GJ3" t="str">
        <f>""</f>
        <v/>
      </c>
      <c r="GK3" t="str">
        <f>""</f>
        <v/>
      </c>
      <c r="GL3" t="str">
        <f>""</f>
        <v/>
      </c>
      <c r="GM3" t="str">
        <f>""</f>
        <v/>
      </c>
      <c r="GN3" t="str">
        <f>""</f>
        <v/>
      </c>
      <c r="GO3" t="str">
        <f>""</f>
        <v/>
      </c>
      <c r="GP3" t="str">
        <f>""</f>
        <v/>
      </c>
      <c r="GQ3" t="str">
        <f>""</f>
        <v/>
      </c>
    </row>
    <row r="4" spans="1:298" x14ac:dyDescent="0.2">
      <c r="A4" t="str">
        <f>"group_1"</f>
        <v>group_1</v>
      </c>
      <c r="B4" t="str">
        <f>"0.199***"</f>
        <v>0.199***</v>
      </c>
      <c r="C4" t="s">
        <v>2514</v>
      </c>
      <c r="D4" t="s">
        <v>2513</v>
      </c>
      <c r="E4" t="str">
        <f>"0.549***"</f>
        <v>0.549***</v>
      </c>
      <c r="F4" t="s">
        <v>2512</v>
      </c>
      <c r="G4" t="s">
        <v>2511</v>
      </c>
      <c r="H4" t="str">
        <f>"0.804***"</f>
        <v>0.804***</v>
      </c>
      <c r="I4" t="s">
        <v>2510</v>
      </c>
      <c r="J4" t="s">
        <v>2509</v>
      </c>
      <c r="K4" t="str">
        <f>"0.960***"</f>
        <v>0.960***</v>
      </c>
      <c r="L4" t="s">
        <v>2508</v>
      </c>
      <c r="M4" t="s">
        <v>2507</v>
      </c>
      <c r="N4" t="str">
        <f>"1.130***"</f>
        <v>1.130***</v>
      </c>
      <c r="O4" t="s">
        <v>2506</v>
      </c>
      <c r="P4" t="s">
        <v>2505</v>
      </c>
      <c r="Q4" t="str">
        <f>"1.188***"</f>
        <v>1.188***</v>
      </c>
      <c r="R4" t="s">
        <v>2504</v>
      </c>
      <c r="S4" t="s">
        <v>2503</v>
      </c>
      <c r="T4" t="str">
        <f>"1.315***"</f>
        <v>1.315***</v>
      </c>
      <c r="U4" t="s">
        <v>2502</v>
      </c>
      <c r="V4" t="s">
        <v>2501</v>
      </c>
      <c r="W4" t="str">
        <f>"1.366***"</f>
        <v>1.366***</v>
      </c>
      <c r="X4" t="s">
        <v>2500</v>
      </c>
      <c r="Y4" t="s">
        <v>2499</v>
      </c>
      <c r="Z4" t="str">
        <f>"1.438***"</f>
        <v>1.438***</v>
      </c>
      <c r="AA4" t="s">
        <v>2498</v>
      </c>
      <c r="AB4" t="s">
        <v>2497</v>
      </c>
      <c r="AC4" t="str">
        <f>"1.507***"</f>
        <v>1.507***</v>
      </c>
      <c r="AD4" t="s">
        <v>2496</v>
      </c>
      <c r="AE4" t="s">
        <v>2495</v>
      </c>
      <c r="AF4" t="str">
        <f>"1.547***"</f>
        <v>1.547***</v>
      </c>
      <c r="AG4" t="s">
        <v>2494</v>
      </c>
      <c r="AH4" t="s">
        <v>2493</v>
      </c>
      <c r="AI4" t="str">
        <f>"1.594***"</f>
        <v>1.594***</v>
      </c>
      <c r="AJ4" t="s">
        <v>2492</v>
      </c>
      <c r="AK4" t="s">
        <v>2491</v>
      </c>
      <c r="AL4" t="str">
        <f>"1.622***"</f>
        <v>1.622***</v>
      </c>
      <c r="AM4" t="s">
        <v>2490</v>
      </c>
      <c r="AN4" t="s">
        <v>2489</v>
      </c>
      <c r="AO4" t="str">
        <f>"1.638***"</f>
        <v>1.638***</v>
      </c>
      <c r="AP4" t="s">
        <v>2488</v>
      </c>
      <c r="AQ4" t="s">
        <v>2487</v>
      </c>
      <c r="AR4" t="str">
        <f>"1.647***"</f>
        <v>1.647***</v>
      </c>
      <c r="AS4" t="s">
        <v>2486</v>
      </c>
      <c r="AT4" t="s">
        <v>2485</v>
      </c>
      <c r="AU4" t="str">
        <f>"1.668***"</f>
        <v>1.668***</v>
      </c>
      <c r="AV4" t="s">
        <v>2484</v>
      </c>
      <c r="AW4" t="s">
        <v>2483</v>
      </c>
      <c r="AX4" t="str">
        <f>"1.694***"</f>
        <v>1.694***</v>
      </c>
      <c r="AY4" t="s">
        <v>2482</v>
      </c>
      <c r="AZ4" t="s">
        <v>2481</v>
      </c>
      <c r="BA4" t="str">
        <f>"1.709***"</f>
        <v>1.709***</v>
      </c>
      <c r="BB4" t="s">
        <v>2480</v>
      </c>
      <c r="BC4" t="s">
        <v>2479</v>
      </c>
      <c r="BD4" t="str">
        <f>"1.719***"</f>
        <v>1.719***</v>
      </c>
      <c r="BE4" t="s">
        <v>2478</v>
      </c>
      <c r="BF4" t="s">
        <v>2477</v>
      </c>
      <c r="BG4" t="str">
        <f>"1.730***"</f>
        <v>1.730***</v>
      </c>
      <c r="BH4" t="s">
        <v>2476</v>
      </c>
      <c r="BI4" t="s">
        <v>2475</v>
      </c>
      <c r="BJ4" t="str">
        <f>"1.752***"</f>
        <v>1.752***</v>
      </c>
      <c r="BK4" t="s">
        <v>2474</v>
      </c>
      <c r="BL4" t="s">
        <v>2473</v>
      </c>
      <c r="BM4" t="str">
        <f>"1.770***"</f>
        <v>1.770***</v>
      </c>
      <c r="BN4" t="s">
        <v>2472</v>
      </c>
      <c r="BO4" t="s">
        <v>2471</v>
      </c>
      <c r="BP4" t="str">
        <f>"1.795***"</f>
        <v>1.795***</v>
      </c>
      <c r="BQ4" t="s">
        <v>2470</v>
      </c>
      <c r="BR4" t="s">
        <v>2469</v>
      </c>
      <c r="BS4" t="str">
        <f>"1.807***"</f>
        <v>1.807***</v>
      </c>
      <c r="BT4" t="s">
        <v>2468</v>
      </c>
      <c r="BU4" t="s">
        <v>2467</v>
      </c>
      <c r="BV4" t="str">
        <f>"1.807***"</f>
        <v>1.807***</v>
      </c>
      <c r="BW4" t="s">
        <v>2466</v>
      </c>
      <c r="BX4" t="s">
        <v>2465</v>
      </c>
      <c r="BY4" t="str">
        <f>"1.817***"</f>
        <v>1.817***</v>
      </c>
      <c r="BZ4" t="s">
        <v>2464</v>
      </c>
      <c r="CA4" t="s">
        <v>2463</v>
      </c>
      <c r="CB4" t="str">
        <f>"1.823***"</f>
        <v>1.823***</v>
      </c>
      <c r="CC4" t="s">
        <v>2462</v>
      </c>
      <c r="CD4" t="s">
        <v>2461</v>
      </c>
      <c r="CE4" t="str">
        <f>"1.827***"</f>
        <v>1.827***</v>
      </c>
      <c r="CF4" t="s">
        <v>2460</v>
      </c>
      <c r="CG4" t="s">
        <v>2459</v>
      </c>
      <c r="CH4" t="str">
        <f>"1.838***"</f>
        <v>1.838***</v>
      </c>
      <c r="CI4" t="s">
        <v>2458</v>
      </c>
      <c r="CJ4" t="s">
        <v>2457</v>
      </c>
      <c r="CK4" t="str">
        <f>"1.852***"</f>
        <v>1.852***</v>
      </c>
      <c r="CL4" t="s">
        <v>2456</v>
      </c>
      <c r="CM4" t="s">
        <v>2455</v>
      </c>
      <c r="CN4" t="str">
        <f>"1.862***"</f>
        <v>1.862***</v>
      </c>
      <c r="CO4" t="s">
        <v>2454</v>
      </c>
      <c r="CP4" t="s">
        <v>2453</v>
      </c>
      <c r="CQ4" t="str">
        <f>"1.877***"</f>
        <v>1.877***</v>
      </c>
      <c r="CR4" t="s">
        <v>2452</v>
      </c>
      <c r="CS4" t="s">
        <v>2451</v>
      </c>
      <c r="CT4" t="str">
        <f>"1.903***"</f>
        <v>1.903***</v>
      </c>
      <c r="CU4" t="s">
        <v>2450</v>
      </c>
      <c r="CV4" t="s">
        <v>2449</v>
      </c>
      <c r="CW4" t="str">
        <f>"1.924***"</f>
        <v>1.924***</v>
      </c>
      <c r="CX4" t="s">
        <v>2448</v>
      </c>
      <c r="CY4" t="s">
        <v>2447</v>
      </c>
      <c r="CZ4" t="str">
        <f>"1.937***"</f>
        <v>1.937***</v>
      </c>
      <c r="DA4" t="s">
        <v>2446</v>
      </c>
      <c r="DB4" t="s">
        <v>2445</v>
      </c>
      <c r="DC4" t="str">
        <f>"1.952***"</f>
        <v>1.952***</v>
      </c>
      <c r="DD4" t="s">
        <v>2444</v>
      </c>
      <c r="DE4" t="s">
        <v>2443</v>
      </c>
      <c r="DF4" t="str">
        <f>"1.960***"</f>
        <v>1.960***</v>
      </c>
      <c r="DG4" t="s">
        <v>2442</v>
      </c>
      <c r="DH4" t="s">
        <v>2441</v>
      </c>
      <c r="DI4" t="str">
        <f>"1.975***"</f>
        <v>1.975***</v>
      </c>
      <c r="DJ4" t="s">
        <v>2440</v>
      </c>
      <c r="DK4" t="s">
        <v>2439</v>
      </c>
      <c r="DL4" t="str">
        <f>"2.006***"</f>
        <v>2.006***</v>
      </c>
      <c r="DM4" t="s">
        <v>2438</v>
      </c>
      <c r="DN4" t="s">
        <v>2437</v>
      </c>
      <c r="DO4" t="str">
        <f>"2.037***"</f>
        <v>2.037***</v>
      </c>
      <c r="DP4" t="s">
        <v>2436</v>
      </c>
      <c r="DQ4" t="s">
        <v>2435</v>
      </c>
      <c r="DR4" t="str">
        <f>"2.041***"</f>
        <v>2.041***</v>
      </c>
      <c r="DS4" t="s">
        <v>2434</v>
      </c>
      <c r="DT4" t="s">
        <v>2433</v>
      </c>
      <c r="DU4" t="str">
        <f>"2.048***"</f>
        <v>2.048***</v>
      </c>
      <c r="DV4" t="s">
        <v>2432</v>
      </c>
      <c r="DW4" t="s">
        <v>2431</v>
      </c>
      <c r="DX4" t="str">
        <f>"2.058***"</f>
        <v>2.058***</v>
      </c>
      <c r="DY4" t="s">
        <v>2430</v>
      </c>
      <c r="DZ4" t="s">
        <v>2429</v>
      </c>
      <c r="EA4" t="str">
        <f>"2.072***"</f>
        <v>2.072***</v>
      </c>
      <c r="EB4" t="s">
        <v>2428</v>
      </c>
      <c r="EC4" t="s">
        <v>2427</v>
      </c>
      <c r="ED4" t="str">
        <f>"2.070***"</f>
        <v>2.070***</v>
      </c>
      <c r="EE4" t="s">
        <v>2426</v>
      </c>
      <c r="EF4" t="s">
        <v>2425</v>
      </c>
      <c r="EG4" t="str">
        <f>"2.097***"</f>
        <v>2.097***</v>
      </c>
      <c r="EH4" t="s">
        <v>2424</v>
      </c>
      <c r="EI4" t="s">
        <v>2423</v>
      </c>
      <c r="EJ4" t="str">
        <f>"2.121***"</f>
        <v>2.121***</v>
      </c>
      <c r="EK4" t="s">
        <v>2422</v>
      </c>
      <c r="EL4" t="s">
        <v>2421</v>
      </c>
      <c r="EM4" t="str">
        <f>"2.134***"</f>
        <v>2.134***</v>
      </c>
      <c r="EN4" t="s">
        <v>2420</v>
      </c>
      <c r="EO4" t="s">
        <v>2419</v>
      </c>
      <c r="EP4" t="str">
        <f>"2.147***"</f>
        <v>2.147***</v>
      </c>
      <c r="EQ4" t="s">
        <v>2418</v>
      </c>
      <c r="ER4" t="s">
        <v>2417</v>
      </c>
      <c r="ES4" t="str">
        <f>"2.163***"</f>
        <v>2.163***</v>
      </c>
      <c r="ET4" t="s">
        <v>2416</v>
      </c>
      <c r="EU4" t="s">
        <v>2415</v>
      </c>
      <c r="EV4" t="str">
        <f>"2.197***"</f>
        <v>2.197***</v>
      </c>
      <c r="EW4" t="s">
        <v>2414</v>
      </c>
      <c r="EX4" t="s">
        <v>2413</v>
      </c>
      <c r="EY4" t="str">
        <f>"2.222***"</f>
        <v>2.222***</v>
      </c>
      <c r="EZ4" t="s">
        <v>2412</v>
      </c>
      <c r="FA4" t="s">
        <v>2411</v>
      </c>
      <c r="FB4" t="str">
        <f>"2.227***"</f>
        <v>2.227***</v>
      </c>
      <c r="FC4" t="s">
        <v>2410</v>
      </c>
      <c r="FD4" t="s">
        <v>2409</v>
      </c>
      <c r="FE4" t="str">
        <f>"2.247***"</f>
        <v>2.247***</v>
      </c>
      <c r="FF4" t="s">
        <v>2408</v>
      </c>
      <c r="FG4" t="s">
        <v>2407</v>
      </c>
      <c r="FH4" t="str">
        <f>"2.245***"</f>
        <v>2.245***</v>
      </c>
      <c r="FI4" t="s">
        <v>2406</v>
      </c>
      <c r="FJ4" t="s">
        <v>2405</v>
      </c>
      <c r="FK4" t="str">
        <f>"2.272***"</f>
        <v>2.272***</v>
      </c>
      <c r="FL4" t="s">
        <v>2404</v>
      </c>
      <c r="FM4" t="s">
        <v>2403</v>
      </c>
      <c r="FN4" t="str">
        <f>"2.289***"</f>
        <v>2.289***</v>
      </c>
      <c r="FO4" t="s">
        <v>2402</v>
      </c>
      <c r="FP4" t="s">
        <v>2401</v>
      </c>
      <c r="FQ4" t="str">
        <f>"2.313***"</f>
        <v>2.313***</v>
      </c>
      <c r="FR4" t="s">
        <v>2400</v>
      </c>
      <c r="FS4" t="s">
        <v>2399</v>
      </c>
      <c r="FT4" t="str">
        <f>"2.329***"</f>
        <v>2.329***</v>
      </c>
      <c r="FU4" t="s">
        <v>2398</v>
      </c>
      <c r="FV4" t="s">
        <v>2397</v>
      </c>
      <c r="FW4" t="str">
        <f>"2.350***"</f>
        <v>2.350***</v>
      </c>
      <c r="FX4" t="s">
        <v>2396</v>
      </c>
      <c r="FY4" t="s">
        <v>2395</v>
      </c>
      <c r="FZ4" t="str">
        <f>"2.361***"</f>
        <v>2.361***</v>
      </c>
      <c r="GA4" t="s">
        <v>2394</v>
      </c>
      <c r="GB4" t="s">
        <v>2393</v>
      </c>
      <c r="GC4" t="str">
        <f>"2.388***"</f>
        <v>2.388***</v>
      </c>
      <c r="GD4" t="s">
        <v>2392</v>
      </c>
      <c r="GE4" t="s">
        <v>2391</v>
      </c>
      <c r="GF4" t="str">
        <f>"2.410***"</f>
        <v>2.410***</v>
      </c>
      <c r="GG4" t="s">
        <v>2390</v>
      </c>
      <c r="GH4" t="s">
        <v>2389</v>
      </c>
      <c r="GI4" t="str">
        <f>"2.441***"</f>
        <v>2.441***</v>
      </c>
      <c r="GJ4" t="s">
        <v>2388</v>
      </c>
      <c r="GK4" t="s">
        <v>2387</v>
      </c>
      <c r="GL4" t="str">
        <f>"2.450***"</f>
        <v>2.450***</v>
      </c>
      <c r="GM4" t="s">
        <v>2386</v>
      </c>
      <c r="GN4" t="s">
        <v>2385</v>
      </c>
      <c r="GO4" t="str">
        <f>"2.472***"</f>
        <v>2.472***</v>
      </c>
      <c r="GP4" t="s">
        <v>2384</v>
      </c>
      <c r="GQ4" t="s">
        <v>2383</v>
      </c>
      <c r="GR4" t="str">
        <f>"2.476***"</f>
        <v>2.476***</v>
      </c>
      <c r="GS4" t="s">
        <v>2382</v>
      </c>
      <c r="GT4" t="s">
        <v>2381</v>
      </c>
      <c r="GU4" t="str">
        <f>"2.511***"</f>
        <v>2.511***</v>
      </c>
      <c r="GV4" t="s">
        <v>2380</v>
      </c>
      <c r="GW4" t="s">
        <v>2379</v>
      </c>
      <c r="GX4" t="str">
        <f>"2.531***"</f>
        <v>2.531***</v>
      </c>
      <c r="GY4" t="s">
        <v>2378</v>
      </c>
      <c r="GZ4" t="s">
        <v>2377</v>
      </c>
      <c r="HA4" t="str">
        <f>"2.553***"</f>
        <v>2.553***</v>
      </c>
      <c r="HB4" t="s">
        <v>2376</v>
      </c>
      <c r="HC4" t="s">
        <v>2375</v>
      </c>
      <c r="HD4" t="str">
        <f>"2.577***"</f>
        <v>2.577***</v>
      </c>
      <c r="HE4" t="s">
        <v>2374</v>
      </c>
      <c r="HF4" t="s">
        <v>2373</v>
      </c>
      <c r="HG4" t="str">
        <f>"2.607***"</f>
        <v>2.607***</v>
      </c>
      <c r="HH4" t="s">
        <v>2372</v>
      </c>
      <c r="HI4" t="s">
        <v>2371</v>
      </c>
      <c r="HJ4" t="str">
        <f>"2.636***"</f>
        <v>2.636***</v>
      </c>
      <c r="HK4" t="s">
        <v>2370</v>
      </c>
      <c r="HL4" t="s">
        <v>2369</v>
      </c>
      <c r="HM4" t="str">
        <f>"2.657***"</f>
        <v>2.657***</v>
      </c>
      <c r="HN4" t="s">
        <v>2368</v>
      </c>
      <c r="HO4" t="s">
        <v>2367</v>
      </c>
      <c r="HP4" t="str">
        <f>"2.710***"</f>
        <v>2.710***</v>
      </c>
      <c r="HQ4" t="s">
        <v>2366</v>
      </c>
      <c r="HR4" t="s">
        <v>2365</v>
      </c>
      <c r="HS4" t="str">
        <f>"2.741***"</f>
        <v>2.741***</v>
      </c>
      <c r="HT4" t="s">
        <v>2364</v>
      </c>
      <c r="HU4" t="s">
        <v>2363</v>
      </c>
      <c r="HV4" t="str">
        <f>"2.752***"</f>
        <v>2.752***</v>
      </c>
      <c r="HW4" t="s">
        <v>2362</v>
      </c>
      <c r="HX4" t="s">
        <v>2361</v>
      </c>
      <c r="HY4" t="str">
        <f>"2.779***"</f>
        <v>2.779***</v>
      </c>
      <c r="HZ4" t="s">
        <v>2162</v>
      </c>
      <c r="IA4" t="s">
        <v>2360</v>
      </c>
      <c r="IB4" t="str">
        <f>"2.783***"</f>
        <v>2.783***</v>
      </c>
      <c r="IC4" t="s">
        <v>2359</v>
      </c>
      <c r="ID4" t="s">
        <v>2358</v>
      </c>
      <c r="IE4" t="str">
        <f>"2.840***"</f>
        <v>2.840***</v>
      </c>
      <c r="IF4" t="s">
        <v>2357</v>
      </c>
      <c r="IG4" t="s">
        <v>2356</v>
      </c>
      <c r="IH4" t="str">
        <f>"2.879***"</f>
        <v>2.879***</v>
      </c>
      <c r="II4" t="s">
        <v>2355</v>
      </c>
      <c r="IJ4" t="s">
        <v>2354</v>
      </c>
      <c r="IK4" t="str">
        <f>"2.936***"</f>
        <v>2.936***</v>
      </c>
      <c r="IL4" t="s">
        <v>2353</v>
      </c>
      <c r="IM4" t="s">
        <v>2352</v>
      </c>
      <c r="IN4" t="str">
        <f>"2.971***"</f>
        <v>2.971***</v>
      </c>
      <c r="IO4" t="s">
        <v>2351</v>
      </c>
      <c r="IP4" t="s">
        <v>2350</v>
      </c>
      <c r="IQ4" t="str">
        <f>"3.003***"</f>
        <v>3.003***</v>
      </c>
      <c r="IR4" t="s">
        <v>2349</v>
      </c>
      <c r="IS4" t="s">
        <v>2348</v>
      </c>
      <c r="IT4" t="str">
        <f>"3.051***"</f>
        <v>3.051***</v>
      </c>
      <c r="IU4" t="s">
        <v>2347</v>
      </c>
      <c r="IV4" t="s">
        <v>2346</v>
      </c>
      <c r="IW4" t="str">
        <f>"3.118***"</f>
        <v>3.118***</v>
      </c>
      <c r="IX4" t="s">
        <v>2345</v>
      </c>
      <c r="IY4" t="s">
        <v>2344</v>
      </c>
      <c r="IZ4" t="str">
        <f>"3.156***"</f>
        <v>3.156***</v>
      </c>
      <c r="JA4" t="s">
        <v>2343</v>
      </c>
      <c r="JB4" t="s">
        <v>2342</v>
      </c>
      <c r="JC4" t="str">
        <f>"3.193***"</f>
        <v>3.193***</v>
      </c>
      <c r="JD4" t="s">
        <v>2341</v>
      </c>
      <c r="JE4" t="s">
        <v>2340</v>
      </c>
      <c r="JF4" t="str">
        <f>"3.270***"</f>
        <v>3.270***</v>
      </c>
      <c r="JG4" t="s">
        <v>2339</v>
      </c>
      <c r="JH4" t="s">
        <v>2338</v>
      </c>
      <c r="JI4" t="str">
        <f>"3.329***"</f>
        <v>3.329***</v>
      </c>
      <c r="JJ4" t="s">
        <v>2337</v>
      </c>
      <c r="JK4" t="s">
        <v>2336</v>
      </c>
      <c r="JL4" t="str">
        <f>"3.427***"</f>
        <v>3.427***</v>
      </c>
      <c r="JM4" t="s">
        <v>2335</v>
      </c>
      <c r="JN4" t="s">
        <v>2334</v>
      </c>
      <c r="JO4" t="str">
        <f>"3.449***"</f>
        <v>3.449***</v>
      </c>
      <c r="JP4" t="s">
        <v>2333</v>
      </c>
      <c r="JQ4" t="s">
        <v>2332</v>
      </c>
      <c r="JR4" t="str">
        <f>"3.563***"</f>
        <v>3.563***</v>
      </c>
      <c r="JS4" t="s">
        <v>2331</v>
      </c>
      <c r="JT4" t="s">
        <v>2330</v>
      </c>
      <c r="JU4" t="str">
        <f>"3.660***"</f>
        <v>3.660***</v>
      </c>
      <c r="JV4" t="s">
        <v>2329</v>
      </c>
      <c r="JW4" t="s">
        <v>2328</v>
      </c>
      <c r="JX4" t="str">
        <f>"3.748***"</f>
        <v>3.748***</v>
      </c>
      <c r="JY4" t="s">
        <v>2327</v>
      </c>
      <c r="JZ4" t="s">
        <v>2326</v>
      </c>
      <c r="KA4" t="str">
        <f>"3.897***"</f>
        <v>3.897***</v>
      </c>
      <c r="KB4" t="s">
        <v>2325</v>
      </c>
      <c r="KC4" t="s">
        <v>2324</v>
      </c>
      <c r="KD4" t="str">
        <f>"4.073***"</f>
        <v>4.073***</v>
      </c>
      <c r="KE4" t="s">
        <v>2323</v>
      </c>
      <c r="KF4" t="s">
        <v>2322</v>
      </c>
      <c r="KG4" t="str">
        <f>"4.295***"</f>
        <v>4.295***</v>
      </c>
      <c r="KH4" t="s">
        <v>2126</v>
      </c>
      <c r="KI4" t="s">
        <v>2321</v>
      </c>
      <c r="KJ4" t="str">
        <f>"4.626***"</f>
        <v>4.626***</v>
      </c>
      <c r="KK4" t="s">
        <v>2320</v>
      </c>
      <c r="KL4" t="s">
        <v>2319</v>
      </c>
    </row>
    <row r="5" spans="1:298" x14ac:dyDescent="0.2">
      <c r="A5" t="str">
        <f>"group_2"</f>
        <v>group_2</v>
      </c>
      <c r="B5" t="str">
        <f>"-0.0770***"</f>
        <v>-0.0770***</v>
      </c>
      <c r="C5" t="s">
        <v>1277</v>
      </c>
      <c r="D5" t="s">
        <v>1321</v>
      </c>
      <c r="E5" t="str">
        <f>"0.306***"</f>
        <v>0.306***</v>
      </c>
      <c r="F5" t="s">
        <v>2318</v>
      </c>
      <c r="G5" t="s">
        <v>2317</v>
      </c>
      <c r="H5" t="str">
        <f>"0.536***"</f>
        <v>0.536***</v>
      </c>
      <c r="I5" t="s">
        <v>2316</v>
      </c>
      <c r="J5" t="s">
        <v>2315</v>
      </c>
      <c r="K5" t="str">
        <f>"0.691***"</f>
        <v>0.691***</v>
      </c>
      <c r="L5" t="s">
        <v>2314</v>
      </c>
      <c r="M5" t="s">
        <v>2313</v>
      </c>
      <c r="N5" t="str">
        <f>"0.856***"</f>
        <v>0.856***</v>
      </c>
      <c r="O5" t="s">
        <v>2312</v>
      </c>
      <c r="P5" t="s">
        <v>2311</v>
      </c>
      <c r="Q5" t="str">
        <f>"0.963***"</f>
        <v>0.963***</v>
      </c>
      <c r="R5" t="s">
        <v>2310</v>
      </c>
      <c r="S5" t="s">
        <v>2309</v>
      </c>
      <c r="T5" t="str">
        <f>"1.053***"</f>
        <v>1.053***</v>
      </c>
      <c r="U5" t="s">
        <v>2308</v>
      </c>
      <c r="V5" t="s">
        <v>2307</v>
      </c>
      <c r="W5" t="str">
        <f>"1.149***"</f>
        <v>1.149***</v>
      </c>
      <c r="X5" t="s">
        <v>2306</v>
      </c>
      <c r="Y5" t="s">
        <v>2305</v>
      </c>
      <c r="Z5" t="str">
        <f>"1.220***"</f>
        <v>1.220***</v>
      </c>
      <c r="AA5" t="s">
        <v>2304</v>
      </c>
      <c r="AB5" t="s">
        <v>2303</v>
      </c>
      <c r="AC5" t="str">
        <f>"1.309***"</f>
        <v>1.309***</v>
      </c>
      <c r="AD5" t="s">
        <v>2302</v>
      </c>
      <c r="AE5" t="s">
        <v>2301</v>
      </c>
      <c r="AF5" t="str">
        <f>"1.340***"</f>
        <v>1.340***</v>
      </c>
      <c r="AG5" t="s">
        <v>2300</v>
      </c>
      <c r="AH5" t="s">
        <v>2299</v>
      </c>
      <c r="AI5" t="str">
        <f>"1.389***"</f>
        <v>1.389***</v>
      </c>
      <c r="AJ5" t="s">
        <v>2298</v>
      </c>
      <c r="AK5" t="s">
        <v>2297</v>
      </c>
      <c r="AL5" t="str">
        <f>"1.436***"</f>
        <v>1.436***</v>
      </c>
      <c r="AM5" t="s">
        <v>2296</v>
      </c>
      <c r="AN5" t="s">
        <v>2295</v>
      </c>
      <c r="AO5" t="str">
        <f>"1.468***"</f>
        <v>1.468***</v>
      </c>
      <c r="AP5" t="s">
        <v>2294</v>
      </c>
      <c r="AQ5" t="s">
        <v>2293</v>
      </c>
      <c r="AR5" t="str">
        <f>"1.509***"</f>
        <v>1.509***</v>
      </c>
      <c r="AS5" t="s">
        <v>2292</v>
      </c>
      <c r="AT5" t="s">
        <v>2291</v>
      </c>
      <c r="AU5" t="str">
        <f>"1.536***"</f>
        <v>1.536***</v>
      </c>
      <c r="AV5" t="s">
        <v>2290</v>
      </c>
      <c r="AW5" t="s">
        <v>2289</v>
      </c>
      <c r="AX5" t="str">
        <f>"1.555***"</f>
        <v>1.555***</v>
      </c>
      <c r="AY5" t="s">
        <v>2288</v>
      </c>
      <c r="AZ5" t="s">
        <v>2287</v>
      </c>
      <c r="BA5" t="str">
        <f>"1.568***"</f>
        <v>1.568***</v>
      </c>
      <c r="BB5" t="s">
        <v>2286</v>
      </c>
      <c r="BC5" t="s">
        <v>2285</v>
      </c>
      <c r="BD5" t="str">
        <f>"1.590***"</f>
        <v>1.590***</v>
      </c>
      <c r="BE5" t="s">
        <v>2284</v>
      </c>
      <c r="BF5" t="s">
        <v>2283</v>
      </c>
      <c r="BG5" t="str">
        <f>"1.606***"</f>
        <v>1.606***</v>
      </c>
      <c r="BH5" t="s">
        <v>2282</v>
      </c>
      <c r="BI5" t="s">
        <v>2281</v>
      </c>
      <c r="BJ5" t="str">
        <f>"1.627***"</f>
        <v>1.627***</v>
      </c>
      <c r="BK5" t="s">
        <v>2280</v>
      </c>
      <c r="BL5" t="s">
        <v>2279</v>
      </c>
      <c r="BM5" t="str">
        <f>"1.641***"</f>
        <v>1.641***</v>
      </c>
      <c r="BN5" t="s">
        <v>2278</v>
      </c>
      <c r="BO5" t="s">
        <v>2277</v>
      </c>
      <c r="BP5" t="str">
        <f>"1.653***"</f>
        <v>1.653***</v>
      </c>
      <c r="BQ5" t="s">
        <v>2276</v>
      </c>
      <c r="BR5" t="s">
        <v>2275</v>
      </c>
      <c r="BS5" t="str">
        <f>"1.671***"</f>
        <v>1.671***</v>
      </c>
      <c r="BT5" t="s">
        <v>2274</v>
      </c>
      <c r="BU5" t="s">
        <v>2273</v>
      </c>
      <c r="BV5" t="str">
        <f>"1.685***"</f>
        <v>1.685***</v>
      </c>
      <c r="BW5" t="s">
        <v>2272</v>
      </c>
      <c r="BX5" t="s">
        <v>2271</v>
      </c>
      <c r="BY5" t="str">
        <f>"1.705***"</f>
        <v>1.705***</v>
      </c>
      <c r="BZ5" t="s">
        <v>2270</v>
      </c>
      <c r="CA5" t="s">
        <v>2269</v>
      </c>
      <c r="CB5" t="str">
        <f>"1.721***"</f>
        <v>1.721***</v>
      </c>
      <c r="CC5" t="s">
        <v>2268</v>
      </c>
      <c r="CD5" t="s">
        <v>2267</v>
      </c>
      <c r="CE5" t="str">
        <f>"1.736***"</f>
        <v>1.736***</v>
      </c>
      <c r="CF5" t="s">
        <v>2266</v>
      </c>
      <c r="CG5" t="s">
        <v>2265</v>
      </c>
      <c r="CH5" t="str">
        <f>"1.747***"</f>
        <v>1.747***</v>
      </c>
      <c r="CI5" t="s">
        <v>2264</v>
      </c>
      <c r="CJ5" t="s">
        <v>2263</v>
      </c>
      <c r="CK5" t="str">
        <f>"1.756***"</f>
        <v>1.756***</v>
      </c>
      <c r="CL5" t="s">
        <v>2262</v>
      </c>
      <c r="CM5" t="s">
        <v>2261</v>
      </c>
      <c r="CN5" t="str">
        <f>"1.767***"</f>
        <v>1.767***</v>
      </c>
      <c r="CO5" t="s">
        <v>2260</v>
      </c>
      <c r="CP5" t="s">
        <v>2259</v>
      </c>
      <c r="CQ5" t="str">
        <f>"1.777***"</f>
        <v>1.777***</v>
      </c>
      <c r="CR5" t="s">
        <v>2258</v>
      </c>
      <c r="CS5" t="s">
        <v>2257</v>
      </c>
      <c r="CT5" t="str">
        <f>"1.787***"</f>
        <v>1.787***</v>
      </c>
      <c r="CU5" t="s">
        <v>2256</v>
      </c>
      <c r="CV5" t="s">
        <v>2255</v>
      </c>
      <c r="CW5" t="str">
        <f>"1.810***"</f>
        <v>1.810***</v>
      </c>
      <c r="CX5" t="s">
        <v>2254</v>
      </c>
      <c r="CY5" t="s">
        <v>2253</v>
      </c>
      <c r="CZ5" t="str">
        <f>"1.825***"</f>
        <v>1.825***</v>
      </c>
      <c r="DA5" t="s">
        <v>2252</v>
      </c>
      <c r="DB5" t="s">
        <v>2251</v>
      </c>
      <c r="DC5" t="str">
        <f>"1.838***"</f>
        <v>1.838***</v>
      </c>
      <c r="DD5" t="s">
        <v>2250</v>
      </c>
      <c r="DE5" t="s">
        <v>2249</v>
      </c>
      <c r="DF5" t="str">
        <f>"1.854***"</f>
        <v>1.854***</v>
      </c>
      <c r="DG5" t="s">
        <v>2248</v>
      </c>
      <c r="DH5" t="s">
        <v>2247</v>
      </c>
      <c r="DI5" t="str">
        <f>"1.870***"</f>
        <v>1.870***</v>
      </c>
      <c r="DJ5" t="s">
        <v>2246</v>
      </c>
      <c r="DK5" t="s">
        <v>2245</v>
      </c>
      <c r="DL5" t="str">
        <f>"1.888***"</f>
        <v>1.888***</v>
      </c>
      <c r="DM5" t="s">
        <v>2244</v>
      </c>
      <c r="DN5" t="s">
        <v>2243</v>
      </c>
      <c r="DO5" t="str">
        <f>"1.899***"</f>
        <v>1.899***</v>
      </c>
      <c r="DP5" t="s">
        <v>2242</v>
      </c>
      <c r="DQ5" t="s">
        <v>2241</v>
      </c>
      <c r="DR5" t="str">
        <f>"1.914***"</f>
        <v>1.914***</v>
      </c>
      <c r="DS5" t="s">
        <v>2240</v>
      </c>
      <c r="DT5" t="s">
        <v>2239</v>
      </c>
      <c r="DU5" t="str">
        <f>"1.930***"</f>
        <v>1.930***</v>
      </c>
      <c r="DV5" t="s">
        <v>2238</v>
      </c>
      <c r="DW5" t="s">
        <v>2237</v>
      </c>
      <c r="DX5" t="str">
        <f>"1.952***"</f>
        <v>1.952***</v>
      </c>
      <c r="DY5" t="s">
        <v>2236</v>
      </c>
      <c r="DZ5" t="s">
        <v>2235</v>
      </c>
      <c r="EA5" t="str">
        <f>"1.969***"</f>
        <v>1.969***</v>
      </c>
      <c r="EB5" t="s">
        <v>2234</v>
      </c>
      <c r="EC5" t="s">
        <v>2233</v>
      </c>
      <c r="ED5" t="str">
        <f>"1.993***"</f>
        <v>1.993***</v>
      </c>
      <c r="EE5" t="s">
        <v>2232</v>
      </c>
      <c r="EF5" t="s">
        <v>2231</v>
      </c>
      <c r="EG5" t="str">
        <f>"2.010***"</f>
        <v>2.010***</v>
      </c>
      <c r="EH5" t="s">
        <v>2230</v>
      </c>
      <c r="EI5" t="s">
        <v>2229</v>
      </c>
      <c r="EJ5" t="str">
        <f>"2.028***"</f>
        <v>2.028***</v>
      </c>
      <c r="EK5" t="s">
        <v>2228</v>
      </c>
      <c r="EL5" t="s">
        <v>2227</v>
      </c>
      <c r="EM5" t="str">
        <f>"2.030***"</f>
        <v>2.030***</v>
      </c>
      <c r="EN5" t="s">
        <v>2226</v>
      </c>
      <c r="EO5" t="s">
        <v>2225</v>
      </c>
      <c r="EP5" t="str">
        <f>"2.039***"</f>
        <v>2.039***</v>
      </c>
      <c r="EQ5" t="s">
        <v>2224</v>
      </c>
      <c r="ER5" t="s">
        <v>2223</v>
      </c>
      <c r="ES5" t="str">
        <f>"2.058***"</f>
        <v>2.058***</v>
      </c>
      <c r="ET5" t="s">
        <v>2222</v>
      </c>
      <c r="EU5" t="s">
        <v>2221</v>
      </c>
      <c r="EV5" t="str">
        <f>"2.070***"</f>
        <v>2.070***</v>
      </c>
      <c r="EW5" t="s">
        <v>2220</v>
      </c>
      <c r="EX5" t="s">
        <v>2219</v>
      </c>
      <c r="EY5" t="str">
        <f>"2.093***"</f>
        <v>2.093***</v>
      </c>
      <c r="EZ5" t="s">
        <v>2218</v>
      </c>
      <c r="FA5" t="s">
        <v>2217</v>
      </c>
      <c r="FB5" t="str">
        <f>"2.118***"</f>
        <v>2.118***</v>
      </c>
      <c r="FC5" t="s">
        <v>2216</v>
      </c>
      <c r="FD5" t="s">
        <v>2215</v>
      </c>
      <c r="FE5" t="str">
        <f>"2.138***"</f>
        <v>2.138***</v>
      </c>
      <c r="FF5" t="s">
        <v>2214</v>
      </c>
      <c r="FG5" t="s">
        <v>2213</v>
      </c>
      <c r="FH5" t="str">
        <f>"2.150***"</f>
        <v>2.150***</v>
      </c>
      <c r="FI5" t="s">
        <v>2212</v>
      </c>
      <c r="FJ5" t="s">
        <v>2211</v>
      </c>
      <c r="FK5" t="str">
        <f>"2.170***"</f>
        <v>2.170***</v>
      </c>
      <c r="FL5" t="s">
        <v>2210</v>
      </c>
      <c r="FM5" t="s">
        <v>2209</v>
      </c>
      <c r="FN5" t="str">
        <f>"2.201***"</f>
        <v>2.201***</v>
      </c>
      <c r="FO5" t="s">
        <v>2208</v>
      </c>
      <c r="FP5" t="s">
        <v>2207</v>
      </c>
      <c r="FQ5" t="str">
        <f>"2.224***"</f>
        <v>2.224***</v>
      </c>
      <c r="FR5" t="s">
        <v>2206</v>
      </c>
      <c r="FS5" t="s">
        <v>2205</v>
      </c>
      <c r="FT5" t="str">
        <f>"2.245***"</f>
        <v>2.245***</v>
      </c>
      <c r="FU5" t="s">
        <v>2204</v>
      </c>
      <c r="FV5" t="s">
        <v>2203</v>
      </c>
      <c r="FW5" t="str">
        <f>"2.246***"</f>
        <v>2.246***</v>
      </c>
      <c r="FX5" t="s">
        <v>2202</v>
      </c>
      <c r="FY5" t="s">
        <v>2201</v>
      </c>
      <c r="FZ5" t="str">
        <f>"2.259***"</f>
        <v>2.259***</v>
      </c>
      <c r="GA5" t="s">
        <v>2200</v>
      </c>
      <c r="GB5" t="s">
        <v>2199</v>
      </c>
      <c r="GC5" t="str">
        <f>"2.285***"</f>
        <v>2.285***</v>
      </c>
      <c r="GD5" t="s">
        <v>2198</v>
      </c>
      <c r="GE5" t="s">
        <v>2197</v>
      </c>
      <c r="GF5" t="str">
        <f>"2.311***"</f>
        <v>2.311***</v>
      </c>
      <c r="GG5" t="s">
        <v>2196</v>
      </c>
      <c r="GH5" t="s">
        <v>2195</v>
      </c>
      <c r="GI5" t="str">
        <f>"2.329***"</f>
        <v>2.329***</v>
      </c>
      <c r="GJ5" t="s">
        <v>2194</v>
      </c>
      <c r="GK5" t="s">
        <v>2193</v>
      </c>
      <c r="GL5" t="str">
        <f>"2.348***"</f>
        <v>2.348***</v>
      </c>
      <c r="GM5" t="s">
        <v>2192</v>
      </c>
      <c r="GN5" t="s">
        <v>2191</v>
      </c>
      <c r="GO5" t="str">
        <f>"2.386***"</f>
        <v>2.386***</v>
      </c>
      <c r="GP5" t="s">
        <v>2190</v>
      </c>
      <c r="GQ5" t="s">
        <v>2189</v>
      </c>
      <c r="GR5" t="str">
        <f>"2.414***"</f>
        <v>2.414***</v>
      </c>
      <c r="GS5" t="s">
        <v>2188</v>
      </c>
      <c r="GT5" t="s">
        <v>2187</v>
      </c>
      <c r="GU5" t="str">
        <f>"2.437***"</f>
        <v>2.437***</v>
      </c>
      <c r="GV5" t="s">
        <v>2186</v>
      </c>
      <c r="GW5" t="s">
        <v>2185</v>
      </c>
      <c r="GX5" t="str">
        <f>"2.441***"</f>
        <v>2.441***</v>
      </c>
      <c r="GY5" t="s">
        <v>2184</v>
      </c>
      <c r="GZ5" t="s">
        <v>2183</v>
      </c>
      <c r="HA5" t="str">
        <f>"2.468***"</f>
        <v>2.468***</v>
      </c>
      <c r="HB5" t="s">
        <v>2182</v>
      </c>
      <c r="HC5" t="s">
        <v>2181</v>
      </c>
      <c r="HD5" t="str">
        <f>"2.503***"</f>
        <v>2.503***</v>
      </c>
      <c r="HE5" t="s">
        <v>2180</v>
      </c>
      <c r="HF5" t="s">
        <v>2179</v>
      </c>
      <c r="HG5" t="str">
        <f>"2.531***"</f>
        <v>2.531***</v>
      </c>
      <c r="HH5" t="s">
        <v>2178</v>
      </c>
      <c r="HI5" t="s">
        <v>2177</v>
      </c>
      <c r="HJ5" t="str">
        <f>"2.550***"</f>
        <v>2.550***</v>
      </c>
      <c r="HK5" t="s">
        <v>2176</v>
      </c>
      <c r="HL5" t="s">
        <v>2175</v>
      </c>
      <c r="HM5" t="str">
        <f>"2.586***"</f>
        <v>2.586***</v>
      </c>
      <c r="HN5" t="s">
        <v>2174</v>
      </c>
      <c r="HO5" t="s">
        <v>2173</v>
      </c>
      <c r="HP5" t="str">
        <f>"2.627***"</f>
        <v>2.627***</v>
      </c>
      <c r="HQ5" t="s">
        <v>2172</v>
      </c>
      <c r="HR5" t="s">
        <v>2171</v>
      </c>
      <c r="HS5" t="str">
        <f>"2.660***"</f>
        <v>2.660***</v>
      </c>
      <c r="HT5" t="s">
        <v>2170</v>
      </c>
      <c r="HU5" t="s">
        <v>2169</v>
      </c>
      <c r="HV5" t="str">
        <f>"2.667***"</f>
        <v>2.667***</v>
      </c>
      <c r="HW5" t="s">
        <v>2168</v>
      </c>
      <c r="HX5" t="s">
        <v>2167</v>
      </c>
      <c r="HY5" t="str">
        <f>"2.719***"</f>
        <v>2.719***</v>
      </c>
      <c r="HZ5" t="s">
        <v>2166</v>
      </c>
      <c r="IA5" t="s">
        <v>2165</v>
      </c>
      <c r="IB5" t="str">
        <f>"2.749***"</f>
        <v>2.749***</v>
      </c>
      <c r="IC5" t="s">
        <v>2164</v>
      </c>
      <c r="ID5" t="s">
        <v>2163</v>
      </c>
      <c r="IE5" t="str">
        <f>"2.781***"</f>
        <v>2.781***</v>
      </c>
      <c r="IF5" t="s">
        <v>2162</v>
      </c>
      <c r="IG5" t="s">
        <v>2161</v>
      </c>
      <c r="IH5" t="str">
        <f>"2.833***"</f>
        <v>2.833***</v>
      </c>
      <c r="II5" t="s">
        <v>2160</v>
      </c>
      <c r="IJ5" t="s">
        <v>2159</v>
      </c>
      <c r="IK5" t="str">
        <f>"2.869***"</f>
        <v>2.869***</v>
      </c>
      <c r="IL5" t="s">
        <v>2158</v>
      </c>
      <c r="IM5" t="s">
        <v>2157</v>
      </c>
      <c r="IN5" t="str">
        <f>"2.933***"</f>
        <v>2.933***</v>
      </c>
      <c r="IO5" t="s">
        <v>2156</v>
      </c>
      <c r="IP5" t="s">
        <v>2155</v>
      </c>
      <c r="IQ5" t="str">
        <f>"2.942***"</f>
        <v>2.942***</v>
      </c>
      <c r="IR5" t="s">
        <v>2154</v>
      </c>
      <c r="IS5" t="s">
        <v>2153</v>
      </c>
      <c r="IT5" t="str">
        <f>"2.978***"</f>
        <v>2.978***</v>
      </c>
      <c r="IU5" t="s">
        <v>2152</v>
      </c>
      <c r="IV5" t="s">
        <v>2151</v>
      </c>
      <c r="IW5" t="str">
        <f>"3.042***"</f>
        <v>3.042***</v>
      </c>
      <c r="IX5" t="s">
        <v>2150</v>
      </c>
      <c r="IY5" t="s">
        <v>2149</v>
      </c>
      <c r="IZ5" t="str">
        <f>"3.117***"</f>
        <v>3.117***</v>
      </c>
      <c r="JA5" t="s">
        <v>2148</v>
      </c>
      <c r="JB5" t="s">
        <v>2147</v>
      </c>
      <c r="JC5" t="str">
        <f>"3.172***"</f>
        <v>3.172***</v>
      </c>
      <c r="JD5" t="s">
        <v>2146</v>
      </c>
      <c r="JE5" t="s">
        <v>2145</v>
      </c>
      <c r="JF5" t="str">
        <f>"3.222***"</f>
        <v>3.222***</v>
      </c>
      <c r="JG5" t="s">
        <v>2144</v>
      </c>
      <c r="JH5" t="s">
        <v>2143</v>
      </c>
      <c r="JI5" t="str">
        <f>"3.297***"</f>
        <v>3.297***</v>
      </c>
      <c r="JJ5" t="s">
        <v>2142</v>
      </c>
      <c r="JK5" t="s">
        <v>2141</v>
      </c>
      <c r="JL5" t="str">
        <f>"3.346***"</f>
        <v>3.346***</v>
      </c>
      <c r="JM5" t="s">
        <v>2140</v>
      </c>
      <c r="JN5" t="s">
        <v>2139</v>
      </c>
      <c r="JO5" t="str">
        <f>"3.429***"</f>
        <v>3.429***</v>
      </c>
      <c r="JP5" t="s">
        <v>2138</v>
      </c>
      <c r="JQ5" t="s">
        <v>2137</v>
      </c>
      <c r="JR5" t="str">
        <f>"3.523***"</f>
        <v>3.523***</v>
      </c>
      <c r="JS5" t="s">
        <v>2136</v>
      </c>
      <c r="JT5" t="s">
        <v>2135</v>
      </c>
      <c r="JU5" t="str">
        <f>"3.650***"</f>
        <v>3.650***</v>
      </c>
      <c r="JV5" t="s">
        <v>2134</v>
      </c>
      <c r="JW5" t="s">
        <v>2133</v>
      </c>
      <c r="JX5" t="str">
        <f>"3.747***"</f>
        <v>3.747***</v>
      </c>
      <c r="JY5" t="s">
        <v>2132</v>
      </c>
      <c r="JZ5" t="s">
        <v>2131</v>
      </c>
      <c r="KA5" t="str">
        <f>"3.864***"</f>
        <v>3.864***</v>
      </c>
      <c r="KB5" t="s">
        <v>2130</v>
      </c>
      <c r="KC5" t="s">
        <v>2129</v>
      </c>
      <c r="KD5" t="str">
        <f>"4.041***"</f>
        <v>4.041***</v>
      </c>
      <c r="KE5" t="s">
        <v>2128</v>
      </c>
      <c r="KF5" t="s">
        <v>2127</v>
      </c>
      <c r="KG5" t="str">
        <f>"4.294***"</f>
        <v>4.294***</v>
      </c>
      <c r="KH5" t="s">
        <v>2126</v>
      </c>
      <c r="KI5" t="s">
        <v>2125</v>
      </c>
      <c r="KJ5" t="str">
        <f>"4.609***"</f>
        <v>4.609***</v>
      </c>
      <c r="KK5" t="s">
        <v>2124</v>
      </c>
      <c r="KL5" t="s">
        <v>2123</v>
      </c>
    </row>
    <row r="6" spans="1:298" x14ac:dyDescent="0.2">
      <c r="A6" t="str">
        <f>"difference"</f>
        <v>difference</v>
      </c>
      <c r="B6" t="str">
        <f>"0.276***"</f>
        <v>0.276***</v>
      </c>
      <c r="C6" t="s">
        <v>2122</v>
      </c>
      <c r="D6" t="s">
        <v>2121</v>
      </c>
      <c r="E6" t="str">
        <f>"0.243***"</f>
        <v>0.243***</v>
      </c>
      <c r="F6" t="s">
        <v>2120</v>
      </c>
      <c r="G6" t="s">
        <v>2119</v>
      </c>
      <c r="H6" t="str">
        <f>"0.268***"</f>
        <v>0.268***</v>
      </c>
      <c r="I6" t="s">
        <v>2118</v>
      </c>
      <c r="J6" t="s">
        <v>2117</v>
      </c>
      <c r="K6" t="str">
        <f>"0.269***"</f>
        <v>0.269***</v>
      </c>
      <c r="L6" t="s">
        <v>2116</v>
      </c>
      <c r="M6" t="s">
        <v>2115</v>
      </c>
      <c r="N6" t="str">
        <f>"0.274***"</f>
        <v>0.274***</v>
      </c>
      <c r="O6" t="s">
        <v>2114</v>
      </c>
      <c r="P6" t="s">
        <v>2113</v>
      </c>
      <c r="Q6" t="str">
        <f>"0.226***"</f>
        <v>0.226***</v>
      </c>
      <c r="R6" t="s">
        <v>2112</v>
      </c>
      <c r="S6" t="s">
        <v>2111</v>
      </c>
      <c r="T6" t="str">
        <f>"0.262***"</f>
        <v>0.262***</v>
      </c>
      <c r="U6" t="s">
        <v>2110</v>
      </c>
      <c r="V6" t="s">
        <v>2109</v>
      </c>
      <c r="W6" t="str">
        <f>"0.217***"</f>
        <v>0.217***</v>
      </c>
      <c r="X6" t="s">
        <v>2108</v>
      </c>
      <c r="Y6" t="s">
        <v>2106</v>
      </c>
      <c r="Z6" t="str">
        <f>"0.218***"</f>
        <v>0.218***</v>
      </c>
      <c r="AA6" t="s">
        <v>2107</v>
      </c>
      <c r="AB6" t="s">
        <v>2106</v>
      </c>
      <c r="AC6" t="str">
        <f>"0.198***"</f>
        <v>0.198***</v>
      </c>
      <c r="AD6" t="s">
        <v>2105</v>
      </c>
      <c r="AE6" t="s">
        <v>2104</v>
      </c>
      <c r="AF6" t="str">
        <f>"0.207***"</f>
        <v>0.207***</v>
      </c>
      <c r="AG6" t="s">
        <v>2103</v>
      </c>
      <c r="AH6" t="s">
        <v>2102</v>
      </c>
      <c r="AI6" t="str">
        <f>"0.205***"</f>
        <v>0.205***</v>
      </c>
      <c r="AJ6" t="s">
        <v>2101</v>
      </c>
      <c r="AK6" t="s">
        <v>2100</v>
      </c>
      <c r="AL6" t="str">
        <f>"0.187***"</f>
        <v>0.187***</v>
      </c>
      <c r="AM6" t="s">
        <v>2099</v>
      </c>
      <c r="AN6" t="s">
        <v>2098</v>
      </c>
      <c r="AO6" t="str">
        <f>"0.170***"</f>
        <v>0.170***</v>
      </c>
      <c r="AP6" t="s">
        <v>2097</v>
      </c>
      <c r="AQ6" t="s">
        <v>2096</v>
      </c>
      <c r="AR6" t="str">
        <f>"0.138***"</f>
        <v>0.138***</v>
      </c>
      <c r="AS6" t="s">
        <v>2052</v>
      </c>
      <c r="AT6" t="s">
        <v>621</v>
      </c>
      <c r="AU6" t="str">
        <f>"0.133***"</f>
        <v>0.133***</v>
      </c>
      <c r="AV6" t="s">
        <v>2095</v>
      </c>
      <c r="AW6" t="s">
        <v>442</v>
      </c>
      <c r="AX6" t="str">
        <f>"0.140***"</f>
        <v>0.140***</v>
      </c>
      <c r="AY6" t="s">
        <v>2094</v>
      </c>
      <c r="AZ6" t="s">
        <v>2093</v>
      </c>
      <c r="BA6" t="str">
        <f>"0.141***"</f>
        <v>0.141***</v>
      </c>
      <c r="BB6" t="s">
        <v>2092</v>
      </c>
      <c r="BC6" t="s">
        <v>2091</v>
      </c>
      <c r="BD6" t="str">
        <f>"0.129***"</f>
        <v>0.129***</v>
      </c>
      <c r="BE6" t="s">
        <v>2090</v>
      </c>
      <c r="BF6" t="s">
        <v>2089</v>
      </c>
      <c r="BG6" t="str">
        <f>"0.124***"</f>
        <v>0.124***</v>
      </c>
      <c r="BH6" t="s">
        <v>2088</v>
      </c>
      <c r="BI6" t="s">
        <v>2087</v>
      </c>
      <c r="BJ6" t="str">
        <f>"0.125***"</f>
        <v>0.125***</v>
      </c>
      <c r="BK6" t="s">
        <v>2086</v>
      </c>
      <c r="BL6" t="s">
        <v>2085</v>
      </c>
      <c r="BM6" t="str">
        <f>"0.129***"</f>
        <v>0.129***</v>
      </c>
      <c r="BN6" t="s">
        <v>2084</v>
      </c>
      <c r="BO6" t="s">
        <v>2083</v>
      </c>
      <c r="BP6" t="str">
        <f>"0.141***"</f>
        <v>0.141***</v>
      </c>
      <c r="BQ6" t="s">
        <v>2082</v>
      </c>
      <c r="BR6" t="s">
        <v>2081</v>
      </c>
      <c r="BS6" t="str">
        <f>"0.136***"</f>
        <v>0.136***</v>
      </c>
      <c r="BT6" t="s">
        <v>2080</v>
      </c>
      <c r="BU6" t="s">
        <v>2079</v>
      </c>
      <c r="BV6" t="str">
        <f>"0.122***"</f>
        <v>0.122***</v>
      </c>
      <c r="BW6" t="s">
        <v>2078</v>
      </c>
      <c r="BX6" t="s">
        <v>2077</v>
      </c>
      <c r="BY6" t="str">
        <f>"0.112***"</f>
        <v>0.112***</v>
      </c>
      <c r="BZ6" t="s">
        <v>2076</v>
      </c>
      <c r="CA6" t="s">
        <v>2075</v>
      </c>
      <c r="CB6" t="str">
        <f>"0.102***"</f>
        <v>0.102***</v>
      </c>
      <c r="CC6" t="s">
        <v>2074</v>
      </c>
      <c r="CD6" t="s">
        <v>2073</v>
      </c>
      <c r="CE6" t="str">
        <f>"0.0907***"</f>
        <v>0.0907***</v>
      </c>
      <c r="CF6" t="s">
        <v>2072</v>
      </c>
      <c r="CG6" t="s">
        <v>2071</v>
      </c>
      <c r="CH6" t="str">
        <f>"0.0910***"</f>
        <v>0.0910***</v>
      </c>
      <c r="CI6" t="s">
        <v>2070</v>
      </c>
      <c r="CJ6" t="s">
        <v>2069</v>
      </c>
      <c r="CK6" t="str">
        <f>"0.0965***"</f>
        <v>0.0965***</v>
      </c>
      <c r="CL6" t="s">
        <v>2068</v>
      </c>
      <c r="CM6" t="s">
        <v>2067</v>
      </c>
      <c r="CN6" t="str">
        <f>"0.0944***"</f>
        <v>0.0944***</v>
      </c>
      <c r="CO6" t="s">
        <v>2066</v>
      </c>
      <c r="CP6" t="s">
        <v>466</v>
      </c>
      <c r="CQ6" t="str">
        <f>"0.0999***"</f>
        <v>0.0999***</v>
      </c>
      <c r="CR6" t="s">
        <v>2065</v>
      </c>
      <c r="CS6" t="s">
        <v>2064</v>
      </c>
      <c r="CT6" t="str">
        <f>"0.116***"</f>
        <v>0.116***</v>
      </c>
      <c r="CU6" t="s">
        <v>2063</v>
      </c>
      <c r="CV6" t="s">
        <v>2062</v>
      </c>
      <c r="CW6" t="str">
        <f>"0.114***"</f>
        <v>0.114***</v>
      </c>
      <c r="CX6" t="s">
        <v>2061</v>
      </c>
      <c r="CY6" t="s">
        <v>2057</v>
      </c>
      <c r="CZ6" t="str">
        <f>"0.112***"</f>
        <v>0.112***</v>
      </c>
      <c r="DA6" t="s">
        <v>2060</v>
      </c>
      <c r="DB6" t="s">
        <v>2059</v>
      </c>
      <c r="DC6" t="str">
        <f>"0.114***"</f>
        <v>0.114***</v>
      </c>
      <c r="DD6" t="s">
        <v>2058</v>
      </c>
      <c r="DE6" t="s">
        <v>2057</v>
      </c>
      <c r="DF6" t="str">
        <f>"0.106***"</f>
        <v>0.106***</v>
      </c>
      <c r="DG6" t="s">
        <v>2056</v>
      </c>
      <c r="DH6" t="s">
        <v>350</v>
      </c>
      <c r="DI6" t="str">
        <f>"0.104***"</f>
        <v>0.104***</v>
      </c>
      <c r="DJ6" t="s">
        <v>2055</v>
      </c>
      <c r="DK6" t="s">
        <v>438</v>
      </c>
      <c r="DL6" t="str">
        <f>"0.118***"</f>
        <v>0.118***</v>
      </c>
      <c r="DM6" t="s">
        <v>2054</v>
      </c>
      <c r="DN6" t="s">
        <v>2053</v>
      </c>
      <c r="DO6" t="str">
        <f>"0.138***"</f>
        <v>0.138***</v>
      </c>
      <c r="DP6" t="s">
        <v>2052</v>
      </c>
      <c r="DQ6" t="s">
        <v>2051</v>
      </c>
      <c r="DR6" t="str">
        <f>"0.127***"</f>
        <v>0.127***</v>
      </c>
      <c r="DS6" t="s">
        <v>2050</v>
      </c>
      <c r="DT6" t="s">
        <v>2049</v>
      </c>
      <c r="DU6" t="str">
        <f>"0.118***"</f>
        <v>0.118***</v>
      </c>
      <c r="DV6" t="s">
        <v>2048</v>
      </c>
      <c r="DW6" t="s">
        <v>2047</v>
      </c>
      <c r="DX6" t="str">
        <f>"0.106***"</f>
        <v>0.106***</v>
      </c>
      <c r="DY6" t="s">
        <v>1806</v>
      </c>
      <c r="DZ6" t="s">
        <v>2019</v>
      </c>
      <c r="EA6" t="str">
        <f>"0.103***"</f>
        <v>0.103***</v>
      </c>
      <c r="EB6" t="s">
        <v>2046</v>
      </c>
      <c r="EC6" t="s">
        <v>2045</v>
      </c>
      <c r="ED6" t="str">
        <f>"0.0768***"</f>
        <v>0.0768***</v>
      </c>
      <c r="EE6" t="s">
        <v>2044</v>
      </c>
      <c r="EF6" t="s">
        <v>2043</v>
      </c>
      <c r="EG6" t="str">
        <f>"0.0863***"</f>
        <v>0.0863***</v>
      </c>
      <c r="EH6" t="s">
        <v>2026</v>
      </c>
      <c r="EI6" t="s">
        <v>369</v>
      </c>
      <c r="EJ6" t="str">
        <f>"0.0932***"</f>
        <v>0.0932***</v>
      </c>
      <c r="EK6" t="s">
        <v>2042</v>
      </c>
      <c r="EL6" t="s">
        <v>2041</v>
      </c>
      <c r="EM6" t="str">
        <f>"0.104***"</f>
        <v>0.104***</v>
      </c>
      <c r="EN6" t="s">
        <v>2038</v>
      </c>
      <c r="EO6" t="s">
        <v>750</v>
      </c>
      <c r="EP6" t="str">
        <f>"0.108***"</f>
        <v>0.108***</v>
      </c>
      <c r="EQ6" t="s">
        <v>2040</v>
      </c>
      <c r="ER6" t="s">
        <v>2039</v>
      </c>
      <c r="ES6" t="str">
        <f>"0.105***"</f>
        <v>0.105***</v>
      </c>
      <c r="ET6" t="s">
        <v>2038</v>
      </c>
      <c r="EU6" t="s">
        <v>2037</v>
      </c>
      <c r="EV6" t="str">
        <f>"0.127***"</f>
        <v>0.127***</v>
      </c>
      <c r="EW6" t="s">
        <v>2036</v>
      </c>
      <c r="EX6" t="s">
        <v>2035</v>
      </c>
      <c r="EY6" t="str">
        <f>"0.129***"</f>
        <v>0.129***</v>
      </c>
      <c r="EZ6" t="s">
        <v>2034</v>
      </c>
      <c r="FA6" t="s">
        <v>2033</v>
      </c>
      <c r="FB6" t="str">
        <f>"0.109***"</f>
        <v>0.109***</v>
      </c>
      <c r="FC6" t="s">
        <v>2032</v>
      </c>
      <c r="FD6" t="s">
        <v>2031</v>
      </c>
      <c r="FE6" t="str">
        <f>"0.110***"</f>
        <v>0.110***</v>
      </c>
      <c r="FF6" t="s">
        <v>2030</v>
      </c>
      <c r="FG6" t="s">
        <v>282</v>
      </c>
      <c r="FH6" t="str">
        <f>"0.0949***"</f>
        <v>0.0949***</v>
      </c>
      <c r="FI6" t="s">
        <v>2029</v>
      </c>
      <c r="FJ6" t="s">
        <v>2028</v>
      </c>
      <c r="FK6" t="str">
        <f>"0.102***"</f>
        <v>0.102***</v>
      </c>
      <c r="FL6" t="s">
        <v>1810</v>
      </c>
      <c r="FM6" t="s">
        <v>2027</v>
      </c>
      <c r="FN6" t="str">
        <f>"0.0874***"</f>
        <v>0.0874***</v>
      </c>
      <c r="FO6" t="s">
        <v>2026</v>
      </c>
      <c r="FP6" t="s">
        <v>2025</v>
      </c>
      <c r="FQ6" t="str">
        <f>"0.0889***"</f>
        <v>0.0889***</v>
      </c>
      <c r="FR6" t="s">
        <v>2024</v>
      </c>
      <c r="FS6" t="s">
        <v>2023</v>
      </c>
      <c r="FT6" t="str">
        <f>"0.0839***"</f>
        <v>0.0839***</v>
      </c>
      <c r="FU6" t="s">
        <v>2022</v>
      </c>
      <c r="FV6" t="s">
        <v>2021</v>
      </c>
      <c r="FW6" t="str">
        <f>"0.104***"</f>
        <v>0.104***</v>
      </c>
      <c r="FX6" t="s">
        <v>2020</v>
      </c>
      <c r="FY6" t="s">
        <v>2019</v>
      </c>
      <c r="FZ6" t="str">
        <f>"0.102***"</f>
        <v>0.102***</v>
      </c>
      <c r="GA6" t="s">
        <v>2018</v>
      </c>
      <c r="GB6" t="s">
        <v>2017</v>
      </c>
      <c r="GC6" t="str">
        <f>"0.103***"</f>
        <v>0.103***</v>
      </c>
      <c r="GD6" t="s">
        <v>2016</v>
      </c>
      <c r="GE6" t="s">
        <v>2015</v>
      </c>
      <c r="GF6" t="str">
        <f>"0.0993***"</f>
        <v>0.0993***</v>
      </c>
      <c r="GG6" t="s">
        <v>2014</v>
      </c>
      <c r="GH6" t="s">
        <v>2013</v>
      </c>
      <c r="GI6" t="str">
        <f>"0.112***"</f>
        <v>0.112***</v>
      </c>
      <c r="GJ6" t="s">
        <v>2012</v>
      </c>
      <c r="GK6" t="s">
        <v>2011</v>
      </c>
      <c r="GL6" t="str">
        <f>"0.102***"</f>
        <v>0.102***</v>
      </c>
      <c r="GM6" t="s">
        <v>2010</v>
      </c>
      <c r="GN6" t="s">
        <v>2009</v>
      </c>
      <c r="GO6" t="str">
        <f>"0.0856***"</f>
        <v>0.0856***</v>
      </c>
      <c r="GP6" t="s">
        <v>2008</v>
      </c>
      <c r="GQ6" t="s">
        <v>371</v>
      </c>
      <c r="GR6" t="str">
        <f>"0.0621***"</f>
        <v>0.0621***</v>
      </c>
      <c r="GS6" t="s">
        <v>1987</v>
      </c>
      <c r="GT6" t="s">
        <v>1990</v>
      </c>
      <c r="GU6" t="str">
        <f>"0.0737***"</f>
        <v>0.0737***</v>
      </c>
      <c r="GV6" t="s">
        <v>2007</v>
      </c>
      <c r="GW6" t="s">
        <v>2006</v>
      </c>
      <c r="GX6" t="str">
        <f>"0.0896***"</f>
        <v>0.0896***</v>
      </c>
      <c r="GY6" t="s">
        <v>1784</v>
      </c>
      <c r="GZ6" t="s">
        <v>2005</v>
      </c>
      <c r="HA6" t="str">
        <f>"0.0846***"</f>
        <v>0.0846***</v>
      </c>
      <c r="HB6" t="s">
        <v>2004</v>
      </c>
      <c r="HC6" t="s">
        <v>2003</v>
      </c>
      <c r="HD6" t="str">
        <f>"0.0740***"</f>
        <v>0.0740***</v>
      </c>
      <c r="HE6" t="s">
        <v>2002</v>
      </c>
      <c r="HF6" t="s">
        <v>2001</v>
      </c>
      <c r="HG6" t="str">
        <f>"0.0763***"</f>
        <v>0.0763***</v>
      </c>
      <c r="HH6" t="s">
        <v>1874</v>
      </c>
      <c r="HI6" t="s">
        <v>2000</v>
      </c>
      <c r="HJ6" t="str">
        <f>"0.0869***"</f>
        <v>0.0869***</v>
      </c>
      <c r="HK6" t="s">
        <v>1771</v>
      </c>
      <c r="HL6" t="s">
        <v>1999</v>
      </c>
      <c r="HM6" t="str">
        <f>"0.0709***"</f>
        <v>0.0709***</v>
      </c>
      <c r="HN6" t="s">
        <v>1998</v>
      </c>
      <c r="HO6" t="s">
        <v>1997</v>
      </c>
      <c r="HP6" t="str">
        <f>"0.0826***"</f>
        <v>0.0826***</v>
      </c>
      <c r="HQ6" t="s">
        <v>1855</v>
      </c>
      <c r="HR6" t="s">
        <v>1996</v>
      </c>
      <c r="HS6" t="str">
        <f>"0.0810***"</f>
        <v>0.0810***</v>
      </c>
      <c r="HT6" t="s">
        <v>1995</v>
      </c>
      <c r="HU6" t="s">
        <v>1994</v>
      </c>
      <c r="HV6" t="str">
        <f>"0.0846***"</f>
        <v>0.0846***</v>
      </c>
      <c r="HW6" t="s">
        <v>1993</v>
      </c>
      <c r="HX6" t="s">
        <v>1992</v>
      </c>
      <c r="HY6" t="str">
        <f>"0.0601***"</f>
        <v>0.0601***</v>
      </c>
      <c r="HZ6" t="s">
        <v>1991</v>
      </c>
      <c r="IA6" t="s">
        <v>1990</v>
      </c>
      <c r="IB6" t="str">
        <f>"0.0344***"</f>
        <v>0.0344***</v>
      </c>
      <c r="IC6" t="s">
        <v>323</v>
      </c>
      <c r="ID6" t="s">
        <v>1989</v>
      </c>
      <c r="IE6" t="str">
        <f>"0.0589***"</f>
        <v>0.0589***</v>
      </c>
      <c r="IF6" t="s">
        <v>1988</v>
      </c>
      <c r="IG6" t="s">
        <v>1767</v>
      </c>
      <c r="IH6" t="str">
        <f>"0.0469***"</f>
        <v>0.0469***</v>
      </c>
      <c r="II6" t="s">
        <v>1929</v>
      </c>
      <c r="IJ6" t="s">
        <v>1899</v>
      </c>
      <c r="IK6" t="str">
        <f>"0.0669***"</f>
        <v>0.0669***</v>
      </c>
      <c r="IL6" t="s">
        <v>1987</v>
      </c>
      <c r="IM6" t="s">
        <v>1986</v>
      </c>
      <c r="IN6" t="str">
        <f>"0.0377***"</f>
        <v>0.0377***</v>
      </c>
      <c r="IO6" t="s">
        <v>1648</v>
      </c>
      <c r="IP6" t="s">
        <v>1616</v>
      </c>
      <c r="IQ6" t="str">
        <f>"0.0609***"</f>
        <v>0.0609***</v>
      </c>
      <c r="IR6" t="s">
        <v>1985</v>
      </c>
      <c r="IS6" t="s">
        <v>1870</v>
      </c>
      <c r="IT6" t="str">
        <f>"0.0735***"</f>
        <v>0.0735***</v>
      </c>
      <c r="IU6" t="s">
        <v>1848</v>
      </c>
      <c r="IV6" t="s">
        <v>1984</v>
      </c>
      <c r="IW6" t="str">
        <f>"0.0763***"</f>
        <v>0.0763***</v>
      </c>
      <c r="IX6" t="s">
        <v>1577</v>
      </c>
      <c r="IY6" t="s">
        <v>1983</v>
      </c>
      <c r="IZ6" t="str">
        <f>"0.0393***"</f>
        <v>0.0393***</v>
      </c>
      <c r="JA6" t="s">
        <v>764</v>
      </c>
      <c r="JB6" t="s">
        <v>513</v>
      </c>
      <c r="JC6" t="str">
        <f>"0.0210**"</f>
        <v>0.0210**</v>
      </c>
      <c r="JD6" t="s">
        <v>1058</v>
      </c>
      <c r="JE6" t="s">
        <v>1044</v>
      </c>
      <c r="JF6" t="str">
        <f>"0.0477***"</f>
        <v>0.0477***</v>
      </c>
      <c r="JG6" t="s">
        <v>1982</v>
      </c>
      <c r="JH6" t="s">
        <v>1981</v>
      </c>
      <c r="JI6" t="str">
        <f>"0.0318***"</f>
        <v>0.0318***</v>
      </c>
      <c r="JJ6" t="s">
        <v>754</v>
      </c>
      <c r="JK6" t="s">
        <v>1980</v>
      </c>
      <c r="JL6" t="str">
        <f>"0.0813***"</f>
        <v>0.0813***</v>
      </c>
      <c r="JM6" t="s">
        <v>1564</v>
      </c>
      <c r="JN6" t="s">
        <v>1137</v>
      </c>
      <c r="JO6" t="str">
        <f>"0.0198*"</f>
        <v>0.0198*</v>
      </c>
      <c r="JP6" t="s">
        <v>729</v>
      </c>
      <c r="JQ6" t="s">
        <v>1034</v>
      </c>
      <c r="JR6" t="str">
        <f>"0.0400***"</f>
        <v>0.0400***</v>
      </c>
      <c r="JS6" t="s">
        <v>1979</v>
      </c>
      <c r="JT6" t="s">
        <v>1978</v>
      </c>
      <c r="JU6" t="str">
        <f>"0.00986"</f>
        <v>0.00986</v>
      </c>
      <c r="JV6" t="s">
        <v>644</v>
      </c>
      <c r="JW6" t="s">
        <v>544</v>
      </c>
      <c r="JX6" t="str">
        <f>"0.000815"</f>
        <v>0.000815</v>
      </c>
      <c r="JY6" t="s">
        <v>1977</v>
      </c>
      <c r="JZ6" t="s">
        <v>782</v>
      </c>
      <c r="KA6" t="str">
        <f>"0.0324**"</f>
        <v>0.0324**</v>
      </c>
      <c r="KB6" t="s">
        <v>1729</v>
      </c>
      <c r="KC6" t="s">
        <v>1976</v>
      </c>
      <c r="KD6" t="str">
        <f>"0.0324*"</f>
        <v>0.0324*</v>
      </c>
      <c r="KE6" t="s">
        <v>1017</v>
      </c>
      <c r="KF6" t="s">
        <v>1741</v>
      </c>
      <c r="KG6" t="str">
        <f>"0.00124"</f>
        <v>0.00124</v>
      </c>
      <c r="KH6" t="s">
        <v>1975</v>
      </c>
      <c r="KI6" t="s">
        <v>1940</v>
      </c>
      <c r="KJ6" t="str">
        <f>"0.0173"</f>
        <v>0.0173</v>
      </c>
      <c r="KK6" t="s">
        <v>1974</v>
      </c>
      <c r="KL6" t="s">
        <v>1899</v>
      </c>
    </row>
    <row r="7" spans="1:298" x14ac:dyDescent="0.2">
      <c r="A7" t="str">
        <f>"explained"</f>
        <v>explained</v>
      </c>
      <c r="B7" t="str">
        <f>"0.0483***"</f>
        <v>0.0483***</v>
      </c>
      <c r="C7" t="s">
        <v>1617</v>
      </c>
      <c r="D7" t="s">
        <v>1228</v>
      </c>
      <c r="E7" t="str">
        <f>"0.0676***"</f>
        <v>0.0676***</v>
      </c>
      <c r="F7" t="s">
        <v>1568</v>
      </c>
      <c r="G7" t="s">
        <v>1594</v>
      </c>
      <c r="H7" t="str">
        <f>"0.0676***"</f>
        <v>0.0676***</v>
      </c>
      <c r="I7" t="s">
        <v>1973</v>
      </c>
      <c r="J7" t="s">
        <v>1972</v>
      </c>
      <c r="K7" t="str">
        <f>"0.0674***"</f>
        <v>0.0674***</v>
      </c>
      <c r="L7" t="s">
        <v>1757</v>
      </c>
      <c r="M7" t="s">
        <v>1758</v>
      </c>
      <c r="N7" t="str">
        <f>"0.0634***"</f>
        <v>0.0634***</v>
      </c>
      <c r="O7" t="s">
        <v>1587</v>
      </c>
      <c r="P7" t="s">
        <v>1889</v>
      </c>
      <c r="Q7" t="str">
        <f>"0.0681***"</f>
        <v>0.0681***</v>
      </c>
      <c r="R7" t="s">
        <v>1971</v>
      </c>
      <c r="S7" t="s">
        <v>1970</v>
      </c>
      <c r="T7" t="str">
        <f>"0.0664***"</f>
        <v>0.0664***</v>
      </c>
      <c r="U7" t="s">
        <v>1969</v>
      </c>
      <c r="V7" t="s">
        <v>1968</v>
      </c>
      <c r="W7" t="str">
        <f>"0.0621***"</f>
        <v>0.0621***</v>
      </c>
      <c r="X7" t="s">
        <v>1967</v>
      </c>
      <c r="Y7" t="s">
        <v>1966</v>
      </c>
      <c r="Z7" t="str">
        <f>"0.0637***"</f>
        <v>0.0637***</v>
      </c>
      <c r="AA7" t="s">
        <v>1965</v>
      </c>
      <c r="AB7" t="s">
        <v>1964</v>
      </c>
      <c r="AC7" t="str">
        <f>"0.0511***"</f>
        <v>0.0511***</v>
      </c>
      <c r="AD7" t="s">
        <v>1963</v>
      </c>
      <c r="AE7" t="s">
        <v>1046</v>
      </c>
      <c r="AF7" t="str">
        <f>"0.0494***"</f>
        <v>0.0494***</v>
      </c>
      <c r="AG7" t="s">
        <v>1962</v>
      </c>
      <c r="AH7" t="s">
        <v>1740</v>
      </c>
      <c r="AI7" t="str">
        <f>"0.0467***"</f>
        <v>0.0467***</v>
      </c>
      <c r="AJ7" t="s">
        <v>1613</v>
      </c>
      <c r="AK7" t="s">
        <v>482</v>
      </c>
      <c r="AL7" t="str">
        <f>"0.0427***"</f>
        <v>0.0427***</v>
      </c>
      <c r="AM7" t="s">
        <v>1961</v>
      </c>
      <c r="AN7" t="s">
        <v>507</v>
      </c>
      <c r="AO7" t="str">
        <f>"0.0386***"</f>
        <v>0.0386***</v>
      </c>
      <c r="AP7" t="s">
        <v>1626</v>
      </c>
      <c r="AQ7" t="s">
        <v>1960</v>
      </c>
      <c r="AR7" t="str">
        <f>"0.0322***"</f>
        <v>0.0322***</v>
      </c>
      <c r="AS7" t="s">
        <v>1959</v>
      </c>
      <c r="AT7" t="s">
        <v>1958</v>
      </c>
      <c r="AU7" t="str">
        <f>"0.0293***"</f>
        <v>0.0293***</v>
      </c>
      <c r="AV7" t="s">
        <v>1957</v>
      </c>
      <c r="AW7" t="s">
        <v>556</v>
      </c>
      <c r="AX7" t="str">
        <f>"0.0280***"</f>
        <v>0.0280***</v>
      </c>
      <c r="AY7" t="s">
        <v>1956</v>
      </c>
      <c r="AZ7" t="s">
        <v>1955</v>
      </c>
      <c r="BA7" t="str">
        <f>"0.0275***"</f>
        <v>0.0275***</v>
      </c>
      <c r="BB7" t="s">
        <v>764</v>
      </c>
      <c r="BC7" t="s">
        <v>1954</v>
      </c>
      <c r="BD7" t="str">
        <f>"0.0262***"</f>
        <v>0.0262***</v>
      </c>
      <c r="BE7" t="s">
        <v>1736</v>
      </c>
      <c r="BF7" t="s">
        <v>989</v>
      </c>
      <c r="BG7" t="str">
        <f>"0.0257***"</f>
        <v>0.0257***</v>
      </c>
      <c r="BH7" t="s">
        <v>1953</v>
      </c>
      <c r="BI7" t="s">
        <v>1127</v>
      </c>
      <c r="BJ7" t="str">
        <f>"0.0252***"</f>
        <v>0.0252***</v>
      </c>
      <c r="BK7" t="s">
        <v>1951</v>
      </c>
      <c r="BL7" t="s">
        <v>564</v>
      </c>
      <c r="BM7" t="str">
        <f>"0.0253***"</f>
        <v>0.0253***</v>
      </c>
      <c r="BN7" t="s">
        <v>1951</v>
      </c>
      <c r="BO7" t="s">
        <v>564</v>
      </c>
      <c r="BP7" t="str">
        <f>"0.0252***"</f>
        <v>0.0252***</v>
      </c>
      <c r="BQ7" t="s">
        <v>1951</v>
      </c>
      <c r="BR7" t="s">
        <v>1952</v>
      </c>
      <c r="BS7" t="str">
        <f>"0.0252***"</f>
        <v>0.0252***</v>
      </c>
      <c r="BT7" t="s">
        <v>1951</v>
      </c>
      <c r="BU7" t="s">
        <v>1952</v>
      </c>
      <c r="BV7" t="str">
        <f>"0.0252***"</f>
        <v>0.0252***</v>
      </c>
      <c r="BW7" t="s">
        <v>1951</v>
      </c>
      <c r="BX7" t="s">
        <v>1950</v>
      </c>
      <c r="BY7" t="str">
        <f>"0.0248***"</f>
        <v>0.0248***</v>
      </c>
      <c r="BZ7" t="s">
        <v>1949</v>
      </c>
      <c r="CA7" t="s">
        <v>1948</v>
      </c>
      <c r="CB7" t="str">
        <f>"0.0247***"</f>
        <v>0.0247***</v>
      </c>
      <c r="CC7" t="s">
        <v>768</v>
      </c>
      <c r="CD7" t="s">
        <v>959</v>
      </c>
      <c r="CE7" t="str">
        <f>"0.0247***"</f>
        <v>0.0247***</v>
      </c>
      <c r="CF7" t="s">
        <v>768</v>
      </c>
      <c r="CG7" t="s">
        <v>959</v>
      </c>
      <c r="CH7" t="str">
        <f>"0.0250***"</f>
        <v>0.0250***</v>
      </c>
      <c r="CI7" t="s">
        <v>1656</v>
      </c>
      <c r="CJ7" t="s">
        <v>551</v>
      </c>
      <c r="CK7" t="str">
        <f>"0.0256***"</f>
        <v>0.0256***</v>
      </c>
      <c r="CL7" t="s">
        <v>1655</v>
      </c>
      <c r="CM7" t="s">
        <v>1231</v>
      </c>
      <c r="CN7" t="str">
        <f>"0.0263***"</f>
        <v>0.0263***</v>
      </c>
      <c r="CO7" t="s">
        <v>1947</v>
      </c>
      <c r="CP7" t="s">
        <v>544</v>
      </c>
      <c r="CQ7" t="str">
        <f>"0.0268***"</f>
        <v>0.0268***</v>
      </c>
      <c r="CR7" t="s">
        <v>1946</v>
      </c>
      <c r="CS7" t="s">
        <v>1945</v>
      </c>
      <c r="CT7" t="str">
        <f>"0.0274***"</f>
        <v>0.0274***</v>
      </c>
      <c r="CU7" t="s">
        <v>1684</v>
      </c>
      <c r="CV7" t="s">
        <v>1944</v>
      </c>
      <c r="CW7" t="str">
        <f>"0.0285***"</f>
        <v>0.0285***</v>
      </c>
      <c r="CX7" t="s">
        <v>1646</v>
      </c>
      <c r="CY7" t="s">
        <v>1730</v>
      </c>
      <c r="CZ7" t="str">
        <f>"0.0294***"</f>
        <v>0.0294***</v>
      </c>
      <c r="DA7" t="s">
        <v>1943</v>
      </c>
      <c r="DB7" t="s">
        <v>1942</v>
      </c>
      <c r="DC7" t="str">
        <f>"0.0302***"</f>
        <v>0.0302***</v>
      </c>
      <c r="DD7" t="s">
        <v>1643</v>
      </c>
      <c r="DE7" t="s">
        <v>553</v>
      </c>
      <c r="DF7" t="str">
        <f>"0.0312***"</f>
        <v>0.0312***</v>
      </c>
      <c r="DG7" t="s">
        <v>1941</v>
      </c>
      <c r="DH7" t="s">
        <v>1940</v>
      </c>
      <c r="DI7" t="str">
        <f>"0.0325***"</f>
        <v>0.0325***</v>
      </c>
      <c r="DJ7" t="s">
        <v>1224</v>
      </c>
      <c r="DK7" t="s">
        <v>1939</v>
      </c>
      <c r="DL7" t="str">
        <f>"0.0334***"</f>
        <v>0.0334***</v>
      </c>
      <c r="DM7" t="s">
        <v>1938</v>
      </c>
      <c r="DN7" t="s">
        <v>1937</v>
      </c>
      <c r="DO7" t="str">
        <f>"0.0345***"</f>
        <v>0.0345***</v>
      </c>
      <c r="DP7" t="s">
        <v>1936</v>
      </c>
      <c r="DQ7" t="s">
        <v>1035</v>
      </c>
      <c r="DR7" t="str">
        <f>"0.0352***"</f>
        <v>0.0352***</v>
      </c>
      <c r="DS7" t="s">
        <v>1935</v>
      </c>
      <c r="DT7" t="s">
        <v>1934</v>
      </c>
      <c r="DU7" t="str">
        <f>"0.0361***"</f>
        <v>0.0361***</v>
      </c>
      <c r="DV7" t="s">
        <v>1933</v>
      </c>
      <c r="DW7" t="s">
        <v>1932</v>
      </c>
      <c r="DX7" t="str">
        <f>"0.0367***"</f>
        <v>0.0367***</v>
      </c>
      <c r="DY7" t="s">
        <v>1929</v>
      </c>
      <c r="DZ7" t="s">
        <v>1061</v>
      </c>
      <c r="EA7" t="str">
        <f>"0.0368***"</f>
        <v>0.0368***</v>
      </c>
      <c r="EB7" t="s">
        <v>1931</v>
      </c>
      <c r="EC7" t="s">
        <v>1930</v>
      </c>
      <c r="ED7" t="str">
        <f>"0.0367***"</f>
        <v>0.0367***</v>
      </c>
      <c r="EE7" t="s">
        <v>1929</v>
      </c>
      <c r="EF7" t="s">
        <v>1928</v>
      </c>
      <c r="EG7" t="str">
        <f>"0.0365***"</f>
        <v>0.0365***</v>
      </c>
      <c r="EH7" t="s">
        <v>1636</v>
      </c>
      <c r="EI7" t="s">
        <v>1635</v>
      </c>
      <c r="EJ7" t="str">
        <f>"0.0367***"</f>
        <v>0.0367***</v>
      </c>
      <c r="EK7" t="s">
        <v>1929</v>
      </c>
      <c r="EL7" t="s">
        <v>1928</v>
      </c>
      <c r="EM7" t="str">
        <f>"0.0376***"</f>
        <v>0.0376***</v>
      </c>
      <c r="EN7" t="s">
        <v>1927</v>
      </c>
      <c r="EO7" t="s">
        <v>773</v>
      </c>
      <c r="EP7" t="str">
        <f>"0.0380***"</f>
        <v>0.0380***</v>
      </c>
      <c r="EQ7" t="s">
        <v>1634</v>
      </c>
      <c r="ER7" t="s">
        <v>1191</v>
      </c>
      <c r="ES7" t="str">
        <f>"0.0392***"</f>
        <v>0.0392***</v>
      </c>
      <c r="ET7" t="s">
        <v>1926</v>
      </c>
      <c r="EU7" t="s">
        <v>1925</v>
      </c>
      <c r="EV7" t="str">
        <f>"0.0402***"</f>
        <v>0.0402***</v>
      </c>
      <c r="EW7" t="s">
        <v>1924</v>
      </c>
      <c r="EX7" t="s">
        <v>1923</v>
      </c>
      <c r="EY7" t="str">
        <f>"0.0425***"</f>
        <v>0.0425***</v>
      </c>
      <c r="EZ7" t="s">
        <v>1922</v>
      </c>
      <c r="FA7" t="s">
        <v>1921</v>
      </c>
      <c r="FB7" t="str">
        <f>"0.0450***"</f>
        <v>0.0450***</v>
      </c>
      <c r="FC7" t="s">
        <v>1920</v>
      </c>
      <c r="FD7" t="s">
        <v>1919</v>
      </c>
      <c r="FE7" t="str">
        <f>"0.0466***"</f>
        <v>0.0466***</v>
      </c>
      <c r="FF7" t="s">
        <v>1912</v>
      </c>
      <c r="FG7" t="s">
        <v>1910</v>
      </c>
      <c r="FH7" t="str">
        <f>"0.0476***"</f>
        <v>0.0476***</v>
      </c>
      <c r="FI7" t="s">
        <v>1918</v>
      </c>
      <c r="FJ7" t="s">
        <v>1917</v>
      </c>
      <c r="FK7" t="str">
        <f>"0.0480***"</f>
        <v>0.0480***</v>
      </c>
      <c r="FL7" t="s">
        <v>1916</v>
      </c>
      <c r="FM7" t="s">
        <v>1915</v>
      </c>
      <c r="FN7" t="str">
        <f>"0.0474***"</f>
        <v>0.0474***</v>
      </c>
      <c r="FO7" t="s">
        <v>1914</v>
      </c>
      <c r="FP7" t="s">
        <v>1913</v>
      </c>
      <c r="FQ7" t="str">
        <f>"0.0467***"</f>
        <v>0.0467***</v>
      </c>
      <c r="FR7" t="s">
        <v>1912</v>
      </c>
      <c r="FS7" t="s">
        <v>1911</v>
      </c>
      <c r="FT7" t="str">
        <f>"0.0466***"</f>
        <v>0.0466***</v>
      </c>
      <c r="FU7" t="s">
        <v>305</v>
      </c>
      <c r="FV7" t="s">
        <v>1910</v>
      </c>
      <c r="FW7" t="str">
        <f>"0.0468***"</f>
        <v>0.0468***</v>
      </c>
      <c r="FX7" t="s">
        <v>1909</v>
      </c>
      <c r="FY7" t="s">
        <v>1908</v>
      </c>
      <c r="FZ7" t="str">
        <f>"0.0470***"</f>
        <v>0.0470***</v>
      </c>
      <c r="GA7" t="s">
        <v>1611</v>
      </c>
      <c r="GB7" t="s">
        <v>1907</v>
      </c>
      <c r="GC7" t="str">
        <f>"0.0488***"</f>
        <v>0.0488***</v>
      </c>
      <c r="GD7" t="s">
        <v>1906</v>
      </c>
      <c r="GE7" t="s">
        <v>1905</v>
      </c>
      <c r="GF7" t="str">
        <f>"0.0511***"</f>
        <v>0.0511***</v>
      </c>
      <c r="GG7" t="s">
        <v>1904</v>
      </c>
      <c r="GH7" t="s">
        <v>1903</v>
      </c>
      <c r="GI7" t="str">
        <f>"0.0531***"</f>
        <v>0.0531***</v>
      </c>
      <c r="GJ7" t="s">
        <v>1609</v>
      </c>
      <c r="GK7" t="s">
        <v>1902</v>
      </c>
      <c r="GL7" t="str">
        <f>"0.0543***"</f>
        <v>0.0543***</v>
      </c>
      <c r="GM7" t="s">
        <v>1901</v>
      </c>
      <c r="GN7" t="s">
        <v>1900</v>
      </c>
      <c r="GO7" t="str">
        <f>"0.0552***"</f>
        <v>0.0552***</v>
      </c>
      <c r="GP7" t="s">
        <v>1601</v>
      </c>
      <c r="GQ7" t="s">
        <v>1899</v>
      </c>
      <c r="GR7" t="str">
        <f>"0.0547***"</f>
        <v>0.0547***</v>
      </c>
      <c r="GS7" t="s">
        <v>1898</v>
      </c>
      <c r="GT7" t="s">
        <v>1897</v>
      </c>
      <c r="GU7" t="str">
        <f>"0.0547***"</f>
        <v>0.0547***</v>
      </c>
      <c r="GV7" t="s">
        <v>1896</v>
      </c>
      <c r="GW7" t="s">
        <v>1895</v>
      </c>
      <c r="GX7" t="str">
        <f>"0.0547***"</f>
        <v>0.0547***</v>
      </c>
      <c r="GY7" t="s">
        <v>1896</v>
      </c>
      <c r="GZ7" t="s">
        <v>1895</v>
      </c>
      <c r="HA7" t="str">
        <f>"0.0560***"</f>
        <v>0.0560***</v>
      </c>
      <c r="HB7" t="s">
        <v>1894</v>
      </c>
      <c r="HC7" t="s">
        <v>494</v>
      </c>
      <c r="HD7" t="str">
        <f>"0.0594***"</f>
        <v>0.0594***</v>
      </c>
      <c r="HE7" t="s">
        <v>1893</v>
      </c>
      <c r="HF7" t="s">
        <v>1158</v>
      </c>
      <c r="HG7" t="str">
        <f>"0.0624***"</f>
        <v>0.0624***</v>
      </c>
      <c r="HH7" t="s">
        <v>1892</v>
      </c>
      <c r="HI7" t="s">
        <v>1891</v>
      </c>
      <c r="HJ7" t="str">
        <f>"0.0644***"</f>
        <v>0.0644***</v>
      </c>
      <c r="HK7" t="s">
        <v>1890</v>
      </c>
      <c r="HL7" t="s">
        <v>1889</v>
      </c>
      <c r="HM7" t="str">
        <f>"0.0663***"</f>
        <v>0.0663***</v>
      </c>
      <c r="HN7" t="s">
        <v>1888</v>
      </c>
      <c r="HO7" t="s">
        <v>1887</v>
      </c>
      <c r="HP7" t="str">
        <f>"0.0655***"</f>
        <v>0.0655***</v>
      </c>
      <c r="HQ7" t="s">
        <v>1597</v>
      </c>
      <c r="HR7" t="s">
        <v>1160</v>
      </c>
      <c r="HS7" t="str">
        <f>"0.0649***"</f>
        <v>0.0649***</v>
      </c>
      <c r="HT7" t="s">
        <v>1886</v>
      </c>
      <c r="HU7" t="s">
        <v>1885</v>
      </c>
      <c r="HV7" t="str">
        <f>"0.0640***"</f>
        <v>0.0640***</v>
      </c>
      <c r="HW7" t="s">
        <v>1884</v>
      </c>
      <c r="HX7" t="s">
        <v>1883</v>
      </c>
      <c r="HY7" t="str">
        <f>"0.0672***"</f>
        <v>0.0672***</v>
      </c>
      <c r="HZ7" t="s">
        <v>1882</v>
      </c>
      <c r="IA7" t="s">
        <v>1881</v>
      </c>
      <c r="IB7" t="str">
        <f>"0.0713***"</f>
        <v>0.0713***</v>
      </c>
      <c r="IC7" t="s">
        <v>1880</v>
      </c>
      <c r="ID7" t="s">
        <v>1879</v>
      </c>
      <c r="IE7" t="str">
        <f>"0.0746***"</f>
        <v>0.0746***</v>
      </c>
      <c r="IF7" t="s">
        <v>1878</v>
      </c>
      <c r="IG7" t="s">
        <v>1877</v>
      </c>
      <c r="IH7" t="str">
        <f>"0.0776***"</f>
        <v>0.0776***</v>
      </c>
      <c r="II7" t="s">
        <v>1876</v>
      </c>
      <c r="IJ7" t="s">
        <v>1875</v>
      </c>
      <c r="IK7" t="str">
        <f>"0.0737***"</f>
        <v>0.0737***</v>
      </c>
      <c r="IL7" t="s">
        <v>1874</v>
      </c>
      <c r="IM7" t="s">
        <v>1873</v>
      </c>
      <c r="IN7" t="str">
        <f>"0.0680***"</f>
        <v>0.0680***</v>
      </c>
      <c r="IO7" t="s">
        <v>1872</v>
      </c>
      <c r="IP7" t="s">
        <v>1567</v>
      </c>
      <c r="IQ7" t="str">
        <f>"0.0666***"</f>
        <v>0.0666***</v>
      </c>
      <c r="IR7" t="s">
        <v>1871</v>
      </c>
      <c r="IS7" t="s">
        <v>1870</v>
      </c>
      <c r="IT7" t="str">
        <f>"0.0704***"</f>
        <v>0.0704***</v>
      </c>
      <c r="IU7" t="s">
        <v>1869</v>
      </c>
      <c r="IV7" t="s">
        <v>1868</v>
      </c>
      <c r="IW7" t="str">
        <f>"0.0878***"</f>
        <v>0.0878***</v>
      </c>
      <c r="IX7" t="s">
        <v>1867</v>
      </c>
      <c r="IY7" t="s">
        <v>1866</v>
      </c>
      <c r="IZ7" t="str">
        <f>"0.0848***"</f>
        <v>0.0848***</v>
      </c>
      <c r="JA7" t="s">
        <v>1865</v>
      </c>
      <c r="JB7" t="s">
        <v>1864</v>
      </c>
      <c r="JC7" t="str">
        <f>"0.0800***"</f>
        <v>0.0800***</v>
      </c>
      <c r="JD7" t="s">
        <v>1863</v>
      </c>
      <c r="JE7" t="s">
        <v>1574</v>
      </c>
      <c r="JF7" t="str">
        <f>"0.0828***"</f>
        <v>0.0828***</v>
      </c>
      <c r="JG7" t="s">
        <v>1862</v>
      </c>
      <c r="JH7" t="s">
        <v>464</v>
      </c>
      <c r="JI7" t="str">
        <f>"0.0818***"</f>
        <v>0.0818***</v>
      </c>
      <c r="JJ7" t="s">
        <v>1861</v>
      </c>
      <c r="JK7" t="s">
        <v>1860</v>
      </c>
      <c r="JL7" t="str">
        <f>"0.0754***"</f>
        <v>0.0754***</v>
      </c>
      <c r="JM7" t="s">
        <v>1580</v>
      </c>
      <c r="JN7" t="s">
        <v>1859</v>
      </c>
      <c r="JO7" t="str">
        <f>"0.0864***"</f>
        <v>0.0864***</v>
      </c>
      <c r="JP7" t="s">
        <v>1569</v>
      </c>
      <c r="JQ7" t="s">
        <v>1858</v>
      </c>
      <c r="JR7" t="str">
        <f>"0.0952***"</f>
        <v>0.0952***</v>
      </c>
      <c r="JS7" t="s">
        <v>1857</v>
      </c>
      <c r="JT7" t="s">
        <v>1856</v>
      </c>
      <c r="JU7" t="str">
        <f>"0.0816***"</f>
        <v>0.0816***</v>
      </c>
      <c r="JV7" t="s">
        <v>1855</v>
      </c>
      <c r="JW7" t="s">
        <v>1854</v>
      </c>
      <c r="JX7" t="str">
        <f>"0.0944***"</f>
        <v>0.0944***</v>
      </c>
      <c r="JY7" t="s">
        <v>1853</v>
      </c>
      <c r="JZ7" t="s">
        <v>1852</v>
      </c>
      <c r="KA7" t="str">
        <f>"0.0719***"</f>
        <v>0.0719***</v>
      </c>
      <c r="KB7" t="s">
        <v>1851</v>
      </c>
      <c r="KC7" t="s">
        <v>1850</v>
      </c>
      <c r="KD7" t="str">
        <f>"0.0832***"</f>
        <v>0.0832***</v>
      </c>
      <c r="KE7" t="s">
        <v>1796</v>
      </c>
      <c r="KF7" t="s">
        <v>1285</v>
      </c>
      <c r="KG7" t="str">
        <f>"0.0795***"</f>
        <v>0.0795***</v>
      </c>
      <c r="KH7" t="s">
        <v>1779</v>
      </c>
      <c r="KI7" t="s">
        <v>1849</v>
      </c>
      <c r="KJ7" t="str">
        <f>"0.0699***"</f>
        <v>0.0699***</v>
      </c>
      <c r="KK7" t="s">
        <v>1848</v>
      </c>
      <c r="KL7" t="s">
        <v>1847</v>
      </c>
    </row>
    <row r="8" spans="1:298" x14ac:dyDescent="0.2">
      <c r="A8" t="str">
        <f>"unexplained"</f>
        <v>unexplained</v>
      </c>
      <c r="B8" t="str">
        <f>"0.228***"</f>
        <v>0.228***</v>
      </c>
      <c r="C8" t="s">
        <v>271</v>
      </c>
      <c r="D8" t="s">
        <v>1846</v>
      </c>
      <c r="E8" t="str">
        <f>"0.175***"</f>
        <v>0.175***</v>
      </c>
      <c r="F8" t="s">
        <v>1845</v>
      </c>
      <c r="G8" t="s">
        <v>1844</v>
      </c>
      <c r="H8" t="str">
        <f>"0.201***"</f>
        <v>0.201***</v>
      </c>
      <c r="I8" t="s">
        <v>1843</v>
      </c>
      <c r="J8" t="s">
        <v>1842</v>
      </c>
      <c r="K8" t="str">
        <f>"0.202***"</f>
        <v>0.202***</v>
      </c>
      <c r="L8" t="s">
        <v>1841</v>
      </c>
      <c r="M8" t="s">
        <v>1840</v>
      </c>
      <c r="N8" t="str">
        <f>"0.211***"</f>
        <v>0.211***</v>
      </c>
      <c r="O8" t="s">
        <v>1839</v>
      </c>
      <c r="P8" t="s">
        <v>1838</v>
      </c>
      <c r="Q8" t="str">
        <f>"0.157***"</f>
        <v>0.157***</v>
      </c>
      <c r="R8" t="s">
        <v>1837</v>
      </c>
      <c r="S8" t="s">
        <v>1836</v>
      </c>
      <c r="T8" t="str">
        <f>"0.196***"</f>
        <v>0.196***</v>
      </c>
      <c r="U8" t="s">
        <v>1835</v>
      </c>
      <c r="V8" t="s">
        <v>1834</v>
      </c>
      <c r="W8" t="str">
        <f>"0.155***"</f>
        <v>0.155***</v>
      </c>
      <c r="X8" t="s">
        <v>313</v>
      </c>
      <c r="Y8" t="s">
        <v>1833</v>
      </c>
      <c r="Z8" t="str">
        <f>"0.154***"</f>
        <v>0.154***</v>
      </c>
      <c r="AA8" t="s">
        <v>1832</v>
      </c>
      <c r="AB8" t="s">
        <v>1831</v>
      </c>
      <c r="AC8" t="str">
        <f>"0.147***"</f>
        <v>0.147***</v>
      </c>
      <c r="AD8" t="s">
        <v>1830</v>
      </c>
      <c r="AE8" t="s">
        <v>1829</v>
      </c>
      <c r="AF8" t="str">
        <f>"0.157***"</f>
        <v>0.157***</v>
      </c>
      <c r="AG8" t="s">
        <v>1828</v>
      </c>
      <c r="AH8" t="s">
        <v>1827</v>
      </c>
      <c r="AI8" t="str">
        <f>"0.159***"</f>
        <v>0.159***</v>
      </c>
      <c r="AJ8" t="s">
        <v>1826</v>
      </c>
      <c r="AK8" t="s">
        <v>1825</v>
      </c>
      <c r="AL8" t="str">
        <f>"0.144***"</f>
        <v>0.144***</v>
      </c>
      <c r="AM8" t="s">
        <v>1824</v>
      </c>
      <c r="AN8" t="s">
        <v>1823</v>
      </c>
      <c r="AO8" t="str">
        <f>"0.131***"</f>
        <v>0.131***</v>
      </c>
      <c r="AP8" t="s">
        <v>1822</v>
      </c>
      <c r="AQ8" t="s">
        <v>1821</v>
      </c>
      <c r="AR8" t="str">
        <f>"0.106***"</f>
        <v>0.106***</v>
      </c>
      <c r="AS8" t="s">
        <v>1820</v>
      </c>
      <c r="AT8" t="s">
        <v>1819</v>
      </c>
      <c r="AU8" t="str">
        <f>"0.103***"</f>
        <v>0.103***</v>
      </c>
      <c r="AV8" t="s">
        <v>1818</v>
      </c>
      <c r="AW8" t="s">
        <v>1817</v>
      </c>
      <c r="AX8" t="str">
        <f>"0.112***"</f>
        <v>0.112***</v>
      </c>
      <c r="AY8" t="s">
        <v>1816</v>
      </c>
      <c r="AZ8" t="s">
        <v>1815</v>
      </c>
      <c r="BA8" t="str">
        <f>"0.113***"</f>
        <v>0.113***</v>
      </c>
      <c r="BB8" t="s">
        <v>1814</v>
      </c>
      <c r="BC8" t="s">
        <v>1813</v>
      </c>
      <c r="BD8" t="str">
        <f>"0.102***"</f>
        <v>0.102***</v>
      </c>
      <c r="BE8" t="s">
        <v>1812</v>
      </c>
      <c r="BF8" t="s">
        <v>1811</v>
      </c>
      <c r="BG8" t="str">
        <f>"0.0986***"</f>
        <v>0.0986***</v>
      </c>
      <c r="BH8" t="s">
        <v>1810</v>
      </c>
      <c r="BI8" t="s">
        <v>1809</v>
      </c>
      <c r="BJ8" t="str">
        <f>"0.0994***"</f>
        <v>0.0994***</v>
      </c>
      <c r="BK8" t="s">
        <v>1808</v>
      </c>
      <c r="BL8" t="s">
        <v>1807</v>
      </c>
      <c r="BM8" t="str">
        <f>"0.104***"</f>
        <v>0.104***</v>
      </c>
      <c r="BN8" t="s">
        <v>1806</v>
      </c>
      <c r="BO8" t="s">
        <v>1805</v>
      </c>
      <c r="BP8" t="str">
        <f>"0.116***"</f>
        <v>0.116***</v>
      </c>
      <c r="BQ8" t="s">
        <v>1804</v>
      </c>
      <c r="BR8" t="s">
        <v>1803</v>
      </c>
      <c r="BS8" t="str">
        <f>"0.111***"</f>
        <v>0.111***</v>
      </c>
      <c r="BT8" t="s">
        <v>1802</v>
      </c>
      <c r="BU8" t="s">
        <v>1801</v>
      </c>
      <c r="BV8" t="str">
        <f>"0.0966***"</f>
        <v>0.0966***</v>
      </c>
      <c r="BW8" t="s">
        <v>1800</v>
      </c>
      <c r="BX8" t="s">
        <v>1799</v>
      </c>
      <c r="BY8" t="str">
        <f>"0.0873***"</f>
        <v>0.0873***</v>
      </c>
      <c r="BZ8" t="s">
        <v>1798</v>
      </c>
      <c r="CA8" t="s">
        <v>1797</v>
      </c>
      <c r="CB8" t="str">
        <f>"0.0770***"</f>
        <v>0.0770***</v>
      </c>
      <c r="CC8" t="s">
        <v>1796</v>
      </c>
      <c r="CD8" t="s">
        <v>1795</v>
      </c>
      <c r="CE8" t="str">
        <f>"0.0660***"</f>
        <v>0.0660***</v>
      </c>
      <c r="CF8" t="s">
        <v>1794</v>
      </c>
      <c r="CG8" t="s">
        <v>1792</v>
      </c>
      <c r="CH8" t="str">
        <f>"0.0659***"</f>
        <v>0.0659***</v>
      </c>
      <c r="CI8" t="s">
        <v>1793</v>
      </c>
      <c r="CJ8" t="s">
        <v>1792</v>
      </c>
      <c r="CK8" t="str">
        <f>"0.0709***"</f>
        <v>0.0709***</v>
      </c>
      <c r="CL8" t="s">
        <v>1791</v>
      </c>
      <c r="CM8" t="s">
        <v>1790</v>
      </c>
      <c r="CN8" t="str">
        <f>"0.0682***"</f>
        <v>0.0682***</v>
      </c>
      <c r="CO8" t="s">
        <v>1759</v>
      </c>
      <c r="CP8" t="s">
        <v>1789</v>
      </c>
      <c r="CQ8" t="str">
        <f>"0.0730***"</f>
        <v>0.0730***</v>
      </c>
      <c r="CR8" t="s">
        <v>1788</v>
      </c>
      <c r="CS8" t="s">
        <v>1787</v>
      </c>
      <c r="CT8" t="str">
        <f>"0.0883***"</f>
        <v>0.0883***</v>
      </c>
      <c r="CU8" t="s">
        <v>1786</v>
      </c>
      <c r="CV8" t="s">
        <v>1785</v>
      </c>
      <c r="CW8" t="str">
        <f>"0.0856***"</f>
        <v>0.0856***</v>
      </c>
      <c r="CX8" t="s">
        <v>1784</v>
      </c>
      <c r="CY8" t="s">
        <v>1783</v>
      </c>
      <c r="CZ8" t="str">
        <f>"0.0830***"</f>
        <v>0.0830***</v>
      </c>
      <c r="DA8" t="s">
        <v>1782</v>
      </c>
      <c r="DB8" t="s">
        <v>1781</v>
      </c>
      <c r="DC8" t="str">
        <f>"0.0836***"</f>
        <v>0.0836***</v>
      </c>
      <c r="DD8" t="s">
        <v>1780</v>
      </c>
      <c r="DE8" t="s">
        <v>1574</v>
      </c>
      <c r="DF8" t="str">
        <f>"0.0745***"</f>
        <v>0.0745***</v>
      </c>
      <c r="DG8" t="s">
        <v>1779</v>
      </c>
      <c r="DH8" t="s">
        <v>1209</v>
      </c>
      <c r="DI8" t="str">
        <f>"0.0718***"</f>
        <v>0.0718***</v>
      </c>
      <c r="DJ8" t="s">
        <v>1778</v>
      </c>
      <c r="DK8" t="s">
        <v>757</v>
      </c>
      <c r="DL8" t="str">
        <f>"0.0847***"</f>
        <v>0.0847***</v>
      </c>
      <c r="DM8" t="s">
        <v>1777</v>
      </c>
      <c r="DN8" t="s">
        <v>1776</v>
      </c>
      <c r="DO8" t="str">
        <f>"0.104***"</f>
        <v>0.104***</v>
      </c>
      <c r="DP8" t="s">
        <v>1775</v>
      </c>
      <c r="DQ8" t="s">
        <v>1774</v>
      </c>
      <c r="DR8" t="str">
        <f>"0.0918***"</f>
        <v>0.0918***</v>
      </c>
      <c r="DS8" t="s">
        <v>1773</v>
      </c>
      <c r="DT8" t="s">
        <v>1772</v>
      </c>
      <c r="DU8" t="str">
        <f>"0.0815***"</f>
        <v>0.0815***</v>
      </c>
      <c r="DV8" t="s">
        <v>1771</v>
      </c>
      <c r="DW8" t="s">
        <v>1207</v>
      </c>
      <c r="DX8" t="str">
        <f>"0.0691***"</f>
        <v>0.0691***</v>
      </c>
      <c r="DY8" t="s">
        <v>1770</v>
      </c>
      <c r="DZ8" t="s">
        <v>1769</v>
      </c>
      <c r="EA8" t="str">
        <f>"0.0665***"</f>
        <v>0.0665***</v>
      </c>
      <c r="EB8" t="s">
        <v>1768</v>
      </c>
      <c r="EC8" t="s">
        <v>1767</v>
      </c>
      <c r="ED8" t="str">
        <f>"0.0401***"</f>
        <v>0.0401***</v>
      </c>
      <c r="EE8" t="s">
        <v>1766</v>
      </c>
      <c r="EF8" t="s">
        <v>1765</v>
      </c>
      <c r="EG8" t="str">
        <f>"0.0497***"</f>
        <v>0.0497***</v>
      </c>
      <c r="EH8" t="s">
        <v>1764</v>
      </c>
      <c r="EI8" t="s">
        <v>1763</v>
      </c>
      <c r="EJ8" t="str">
        <f>"0.0566***"</f>
        <v>0.0566***</v>
      </c>
      <c r="EK8" t="s">
        <v>1762</v>
      </c>
      <c r="EL8" t="s">
        <v>767</v>
      </c>
      <c r="EM8" t="str">
        <f>"0.0666***"</f>
        <v>0.0666***</v>
      </c>
      <c r="EN8" t="s">
        <v>1761</v>
      </c>
      <c r="EO8" t="s">
        <v>1760</v>
      </c>
      <c r="EP8" t="str">
        <f>"0.0697***"</f>
        <v>0.0697***</v>
      </c>
      <c r="EQ8" t="s">
        <v>1759</v>
      </c>
      <c r="ER8" t="s">
        <v>1758</v>
      </c>
      <c r="ES8" t="str">
        <f>"0.0653***"</f>
        <v>0.0653***</v>
      </c>
      <c r="ET8" t="s">
        <v>1757</v>
      </c>
      <c r="EU8" t="s">
        <v>272</v>
      </c>
      <c r="EV8" t="str">
        <f>"0.0872***"</f>
        <v>0.0872***</v>
      </c>
      <c r="EW8" t="s">
        <v>1756</v>
      </c>
      <c r="EX8" t="s">
        <v>456</v>
      </c>
      <c r="EY8" t="str">
        <f>"0.0867***"</f>
        <v>0.0867***</v>
      </c>
      <c r="EZ8" t="s">
        <v>1755</v>
      </c>
      <c r="FA8" t="s">
        <v>1754</v>
      </c>
      <c r="FB8" t="str">
        <f>"0.0641***"</f>
        <v>0.0641***</v>
      </c>
      <c r="FC8" t="s">
        <v>1753</v>
      </c>
      <c r="FD8" t="s">
        <v>1752</v>
      </c>
      <c r="FE8" t="str">
        <f>"0.0629***"</f>
        <v>0.0629***</v>
      </c>
      <c r="FF8" t="s">
        <v>1751</v>
      </c>
      <c r="FG8" t="s">
        <v>474</v>
      </c>
      <c r="FH8" t="str">
        <f>"0.0473***"</f>
        <v>0.0473***</v>
      </c>
      <c r="FI8" t="s">
        <v>267</v>
      </c>
      <c r="FJ8" t="s">
        <v>1750</v>
      </c>
      <c r="FK8" t="str">
        <f>"0.0538***"</f>
        <v>0.0538***</v>
      </c>
      <c r="FL8" t="s">
        <v>1749</v>
      </c>
      <c r="FM8" t="s">
        <v>1748</v>
      </c>
      <c r="FN8" t="str">
        <f>"0.0400***"</f>
        <v>0.0400***</v>
      </c>
      <c r="FO8" t="s">
        <v>1631</v>
      </c>
      <c r="FP8" t="s">
        <v>1747</v>
      </c>
      <c r="FQ8" t="str">
        <f>"0.0422***"</f>
        <v>0.0422***</v>
      </c>
      <c r="FR8" t="s">
        <v>1624</v>
      </c>
      <c r="FS8" t="s">
        <v>765</v>
      </c>
      <c r="FT8" t="str">
        <f>"0.0373***"</f>
        <v>0.0373***</v>
      </c>
      <c r="FU8" t="s">
        <v>1746</v>
      </c>
      <c r="FV8" t="s">
        <v>1745</v>
      </c>
      <c r="FW8" t="str">
        <f>"0.0575***"</f>
        <v>0.0575***</v>
      </c>
      <c r="FX8" t="s">
        <v>1604</v>
      </c>
      <c r="FY8" t="s">
        <v>1744</v>
      </c>
      <c r="FZ8" t="str">
        <f>"0.0549***"</f>
        <v>0.0549***</v>
      </c>
      <c r="GA8" t="s">
        <v>1743</v>
      </c>
      <c r="GB8" t="s">
        <v>1742</v>
      </c>
      <c r="GC8" t="str">
        <f>"0.0537***"</f>
        <v>0.0537***</v>
      </c>
      <c r="GD8" t="s">
        <v>376</v>
      </c>
      <c r="GE8" t="s">
        <v>1741</v>
      </c>
      <c r="GF8" t="str">
        <f>"0.0482***"</f>
        <v>0.0482***</v>
      </c>
      <c r="GG8" t="s">
        <v>1613</v>
      </c>
      <c r="GH8" t="s">
        <v>1740</v>
      </c>
      <c r="GI8" t="str">
        <f>"0.0588***"</f>
        <v>0.0588***</v>
      </c>
      <c r="GJ8" t="s">
        <v>1739</v>
      </c>
      <c r="GK8" t="s">
        <v>1588</v>
      </c>
      <c r="GL8" t="str">
        <f>"0.0474***"</f>
        <v>0.0474***</v>
      </c>
      <c r="GM8" t="s">
        <v>1738</v>
      </c>
      <c r="GN8" t="s">
        <v>1737</v>
      </c>
      <c r="GO8" t="str">
        <f>"0.0304***"</f>
        <v>0.0304***</v>
      </c>
      <c r="GP8" t="s">
        <v>1736</v>
      </c>
      <c r="GQ8" t="s">
        <v>1735</v>
      </c>
      <c r="GR8" t="str">
        <f>"0.00736*"</f>
        <v>0.00736*</v>
      </c>
      <c r="GS8" t="s">
        <v>719</v>
      </c>
      <c r="GT8" t="s">
        <v>642</v>
      </c>
      <c r="GU8" t="str">
        <f>"0.0190***"</f>
        <v>0.0190***</v>
      </c>
      <c r="GV8" t="s">
        <v>1124</v>
      </c>
      <c r="GW8" t="s">
        <v>276</v>
      </c>
      <c r="GX8" t="str">
        <f>"0.0349***"</f>
        <v>0.0349***</v>
      </c>
      <c r="GY8" t="s">
        <v>1734</v>
      </c>
      <c r="GZ8" t="s">
        <v>774</v>
      </c>
      <c r="HA8" t="str">
        <f>"0.0286***"</f>
        <v>0.0286***</v>
      </c>
      <c r="HB8" t="s">
        <v>1733</v>
      </c>
      <c r="HC8" t="s">
        <v>1732</v>
      </c>
      <c r="HD8" t="str">
        <f>"0.0146***"</f>
        <v>0.0146***</v>
      </c>
      <c r="HE8" t="s">
        <v>982</v>
      </c>
      <c r="HF8" t="s">
        <v>1030</v>
      </c>
      <c r="HG8" t="str">
        <f>"0.0139**"</f>
        <v>0.0139**</v>
      </c>
      <c r="HH8" t="s">
        <v>772</v>
      </c>
      <c r="HI8" t="s">
        <v>1731</v>
      </c>
      <c r="HJ8" t="str">
        <f>"0.0225***"</f>
        <v>0.0225***</v>
      </c>
      <c r="HK8" t="s">
        <v>1062</v>
      </c>
      <c r="HL8" t="s">
        <v>1730</v>
      </c>
      <c r="HM8" t="str">
        <f>"0.00458"</f>
        <v>0.00458</v>
      </c>
      <c r="HN8" t="s">
        <v>670</v>
      </c>
      <c r="HO8" t="s">
        <v>1019</v>
      </c>
      <c r="HP8" t="str">
        <f>"0.0171***"</f>
        <v>0.0171***</v>
      </c>
      <c r="HQ8" t="s">
        <v>1729</v>
      </c>
      <c r="HR8" t="s">
        <v>635</v>
      </c>
      <c r="HS8" t="str">
        <f>"0.0161***"</f>
        <v>0.0161***</v>
      </c>
      <c r="HT8" t="s">
        <v>1728</v>
      </c>
      <c r="HU8" t="s">
        <v>1126</v>
      </c>
      <c r="HV8" t="str">
        <f>"0.0206***"</f>
        <v>0.0206***</v>
      </c>
      <c r="HW8" t="s">
        <v>1727</v>
      </c>
      <c r="HX8" t="s">
        <v>1726</v>
      </c>
      <c r="HY8" t="str">
        <f>"-0.00716"</f>
        <v>-0.00716</v>
      </c>
      <c r="HZ8" t="s">
        <v>1725</v>
      </c>
      <c r="IA8" t="s">
        <v>918</v>
      </c>
      <c r="IB8" t="str">
        <f>"-0.0369***"</f>
        <v>-0.0369***</v>
      </c>
      <c r="IC8" t="s">
        <v>1724</v>
      </c>
      <c r="ID8" t="s">
        <v>1723</v>
      </c>
      <c r="IE8" t="str">
        <f>"-0.0157**"</f>
        <v>-0.0157**</v>
      </c>
      <c r="IF8" t="s">
        <v>545</v>
      </c>
      <c r="IG8" t="s">
        <v>822</v>
      </c>
      <c r="IH8" t="str">
        <f>"-0.0307***"</f>
        <v>-0.0307***</v>
      </c>
      <c r="II8" t="s">
        <v>1722</v>
      </c>
      <c r="IJ8" t="s">
        <v>1721</v>
      </c>
      <c r="IK8" t="str">
        <f>"-0.00673"</f>
        <v>-0.00673</v>
      </c>
      <c r="IL8" t="s">
        <v>803</v>
      </c>
      <c r="IM8" t="s">
        <v>1087</v>
      </c>
      <c r="IN8" t="str">
        <f>"-0.0303***"</f>
        <v>-0.0303***</v>
      </c>
      <c r="IO8" t="s">
        <v>1720</v>
      </c>
      <c r="IP8" t="s">
        <v>1719</v>
      </c>
      <c r="IQ8" t="str">
        <f>"-0.00569"</f>
        <v>-0.00569</v>
      </c>
      <c r="IR8" t="s">
        <v>1718</v>
      </c>
      <c r="IS8" t="s">
        <v>1467</v>
      </c>
      <c r="IT8" t="str">
        <f>"0.00311"</f>
        <v>0.00311</v>
      </c>
      <c r="IU8" t="s">
        <v>1717</v>
      </c>
      <c r="IV8" t="s">
        <v>1675</v>
      </c>
      <c r="IW8" t="str">
        <f>"-0.0115"</f>
        <v>-0.0115</v>
      </c>
      <c r="IX8" t="s">
        <v>1716</v>
      </c>
      <c r="IY8" t="s">
        <v>1083</v>
      </c>
      <c r="IZ8" t="str">
        <f>"-0.0456***"</f>
        <v>-0.0456***</v>
      </c>
      <c r="JA8" t="s">
        <v>1715</v>
      </c>
      <c r="JB8" t="s">
        <v>1182</v>
      </c>
      <c r="JC8" t="str">
        <f>"-0.0590***"</f>
        <v>-0.0590***</v>
      </c>
      <c r="JD8" t="s">
        <v>1714</v>
      </c>
      <c r="JE8" t="s">
        <v>1713</v>
      </c>
      <c r="JF8" t="str">
        <f>"-0.0351***"</f>
        <v>-0.0351***</v>
      </c>
      <c r="JG8" t="s">
        <v>1712</v>
      </c>
      <c r="JH8" t="s">
        <v>1711</v>
      </c>
      <c r="JI8" t="str">
        <f>"-0.0499***"</f>
        <v>-0.0499***</v>
      </c>
      <c r="JJ8" t="s">
        <v>1710</v>
      </c>
      <c r="JK8" t="s">
        <v>1709</v>
      </c>
      <c r="JL8" t="str">
        <f>"0.00585"</f>
        <v>0.00585</v>
      </c>
      <c r="JM8" t="s">
        <v>1708</v>
      </c>
      <c r="JN8" t="s">
        <v>999</v>
      </c>
      <c r="JO8" t="str">
        <f>"-0.0666***"</f>
        <v>-0.0666***</v>
      </c>
      <c r="JP8" t="s">
        <v>1707</v>
      </c>
      <c r="JQ8" t="s">
        <v>1706</v>
      </c>
      <c r="JR8" t="str">
        <f>"-0.0552***"</f>
        <v>-0.0552***</v>
      </c>
      <c r="JS8" t="s">
        <v>1705</v>
      </c>
      <c r="JT8" t="s">
        <v>1704</v>
      </c>
      <c r="JU8" t="str">
        <f>"-0.0718***"</f>
        <v>-0.0718***</v>
      </c>
      <c r="JV8" t="s">
        <v>1703</v>
      </c>
      <c r="JW8" t="s">
        <v>1702</v>
      </c>
      <c r="JX8" t="str">
        <f>"-0.0936***"</f>
        <v>-0.0936***</v>
      </c>
      <c r="JY8" t="s">
        <v>1701</v>
      </c>
      <c r="JZ8" t="s">
        <v>1700</v>
      </c>
      <c r="KA8" t="str">
        <f>"-0.0396***"</f>
        <v>-0.0396***</v>
      </c>
      <c r="KB8" t="s">
        <v>1699</v>
      </c>
      <c r="KC8" t="s">
        <v>1698</v>
      </c>
      <c r="KD8" t="str">
        <f>"-0.0508***"</f>
        <v>-0.0508***</v>
      </c>
      <c r="KE8" t="s">
        <v>881</v>
      </c>
      <c r="KF8" t="s">
        <v>1697</v>
      </c>
      <c r="KG8" t="str">
        <f>"-0.0783***"</f>
        <v>-0.0783***</v>
      </c>
      <c r="KH8" t="s">
        <v>1696</v>
      </c>
      <c r="KI8" t="s">
        <v>1695</v>
      </c>
      <c r="KJ8" t="str">
        <f>"-0.0525*"</f>
        <v>-0.0525*</v>
      </c>
      <c r="KK8" t="s">
        <v>1407</v>
      </c>
      <c r="KL8" t="s">
        <v>893</v>
      </c>
    </row>
    <row r="9" spans="1:298" x14ac:dyDescent="0.2">
      <c r="A9" t="str">
        <f>"explained"</f>
        <v>explained</v>
      </c>
      <c r="B9" t="str">
        <f>""</f>
        <v/>
      </c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t="str">
        <f>""</f>
        <v/>
      </c>
      <c r="Y9" t="str">
        <f>""</f>
        <v/>
      </c>
      <c r="Z9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AE9" t="str">
        <f>""</f>
        <v/>
      </c>
      <c r="AF9" t="str">
        <f>""</f>
        <v/>
      </c>
      <c r="AG9" t="str">
        <f>""</f>
        <v/>
      </c>
      <c r="AH9" t="str">
        <f>""</f>
        <v/>
      </c>
      <c r="AI9" t="str">
        <f>""</f>
        <v/>
      </c>
      <c r="AJ9" t="str">
        <f>""</f>
        <v/>
      </c>
      <c r="AK9" t="str">
        <f>""</f>
        <v/>
      </c>
      <c r="AL9" t="str">
        <f>""</f>
        <v/>
      </c>
      <c r="AM9" t="str">
        <f>""</f>
        <v/>
      </c>
      <c r="AN9" t="str">
        <f>""</f>
        <v/>
      </c>
      <c r="AO9" t="str">
        <f>""</f>
        <v/>
      </c>
      <c r="AP9" t="str">
        <f>""</f>
        <v/>
      </c>
      <c r="AQ9" t="str">
        <f>""</f>
        <v/>
      </c>
      <c r="AR9" t="str">
        <f>""</f>
        <v/>
      </c>
      <c r="AS9" t="str">
        <f>""</f>
        <v/>
      </c>
      <c r="AT9" t="str">
        <f>""</f>
        <v/>
      </c>
      <c r="AU9" t="str">
        <f>""</f>
        <v/>
      </c>
      <c r="AV9" t="str">
        <f>""</f>
        <v/>
      </c>
      <c r="AW9" t="str">
        <f>""</f>
        <v/>
      </c>
      <c r="AX9" t="str">
        <f>""</f>
        <v/>
      </c>
      <c r="AY9" t="str">
        <f>""</f>
        <v/>
      </c>
      <c r="AZ9" t="str">
        <f>""</f>
        <v/>
      </c>
      <c r="BA9" t="str">
        <f>""</f>
        <v/>
      </c>
      <c r="BB9" t="str">
        <f>""</f>
        <v/>
      </c>
      <c r="BC9" t="str">
        <f>""</f>
        <v/>
      </c>
      <c r="BD9" t="str">
        <f>""</f>
        <v/>
      </c>
      <c r="BE9" t="str">
        <f>""</f>
        <v/>
      </c>
      <c r="BF9" t="str">
        <f>""</f>
        <v/>
      </c>
      <c r="BG9" t="str">
        <f>""</f>
        <v/>
      </c>
      <c r="BH9" t="str">
        <f>""</f>
        <v/>
      </c>
      <c r="BI9" t="str">
        <f>""</f>
        <v/>
      </c>
      <c r="BJ9" t="str">
        <f>""</f>
        <v/>
      </c>
      <c r="BK9" t="str">
        <f>""</f>
        <v/>
      </c>
      <c r="BL9" t="str">
        <f>""</f>
        <v/>
      </c>
      <c r="BM9" t="str">
        <f>""</f>
        <v/>
      </c>
      <c r="BN9" t="str">
        <f>""</f>
        <v/>
      </c>
      <c r="BO9" t="str">
        <f>""</f>
        <v/>
      </c>
      <c r="BP9" t="str">
        <f>""</f>
        <v/>
      </c>
      <c r="BQ9" t="str">
        <f>""</f>
        <v/>
      </c>
      <c r="BR9" t="str">
        <f>""</f>
        <v/>
      </c>
      <c r="BS9" t="str">
        <f>""</f>
        <v/>
      </c>
      <c r="BT9" t="str">
        <f>""</f>
        <v/>
      </c>
      <c r="BU9" t="str">
        <f>""</f>
        <v/>
      </c>
      <c r="BV9" t="str">
        <f>""</f>
        <v/>
      </c>
      <c r="BW9" t="str">
        <f>""</f>
        <v/>
      </c>
      <c r="BX9" t="str">
        <f>""</f>
        <v/>
      </c>
      <c r="BY9" t="str">
        <f>""</f>
        <v/>
      </c>
      <c r="BZ9" t="str">
        <f>""</f>
        <v/>
      </c>
      <c r="CA9" t="str">
        <f>""</f>
        <v/>
      </c>
      <c r="CB9" t="str">
        <f>""</f>
        <v/>
      </c>
      <c r="CC9" t="str">
        <f>""</f>
        <v/>
      </c>
      <c r="CD9" t="str">
        <f>""</f>
        <v/>
      </c>
      <c r="CE9" t="str">
        <f>""</f>
        <v/>
      </c>
      <c r="CF9" t="str">
        <f>""</f>
        <v/>
      </c>
      <c r="CG9" t="str">
        <f>""</f>
        <v/>
      </c>
      <c r="CH9" t="str">
        <f>""</f>
        <v/>
      </c>
      <c r="CI9" t="str">
        <f>""</f>
        <v/>
      </c>
      <c r="CJ9" t="str">
        <f>""</f>
        <v/>
      </c>
      <c r="CK9" t="str">
        <f>""</f>
        <v/>
      </c>
      <c r="CL9" t="str">
        <f>""</f>
        <v/>
      </c>
      <c r="CM9" t="str">
        <f>""</f>
        <v/>
      </c>
      <c r="CN9" t="str">
        <f>""</f>
        <v/>
      </c>
      <c r="CO9" t="str">
        <f>""</f>
        <v/>
      </c>
      <c r="CP9" t="str">
        <f>""</f>
        <v/>
      </c>
      <c r="CQ9" t="str">
        <f>""</f>
        <v/>
      </c>
      <c r="CR9" t="str">
        <f>""</f>
        <v/>
      </c>
      <c r="CS9" t="str">
        <f>""</f>
        <v/>
      </c>
      <c r="CT9" t="str">
        <f>""</f>
        <v/>
      </c>
      <c r="CU9" t="str">
        <f>""</f>
        <v/>
      </c>
      <c r="CV9" t="str">
        <f>""</f>
        <v/>
      </c>
      <c r="CW9" t="str">
        <f>""</f>
        <v/>
      </c>
      <c r="CX9" t="str">
        <f>""</f>
        <v/>
      </c>
      <c r="CY9" t="str">
        <f>""</f>
        <v/>
      </c>
      <c r="CZ9" t="str">
        <f>""</f>
        <v/>
      </c>
      <c r="DA9" t="str">
        <f>""</f>
        <v/>
      </c>
      <c r="DB9" t="str">
        <f>""</f>
        <v/>
      </c>
      <c r="DC9" t="str">
        <f>""</f>
        <v/>
      </c>
      <c r="DD9" t="str">
        <f>""</f>
        <v/>
      </c>
      <c r="DE9" t="str">
        <f>""</f>
        <v/>
      </c>
      <c r="DF9" t="str">
        <f>""</f>
        <v/>
      </c>
      <c r="DG9" t="str">
        <f>""</f>
        <v/>
      </c>
      <c r="DH9" t="str">
        <f>""</f>
        <v/>
      </c>
      <c r="DI9" t="str">
        <f>""</f>
        <v/>
      </c>
      <c r="DJ9" t="str">
        <f>""</f>
        <v/>
      </c>
      <c r="DK9" t="str">
        <f>""</f>
        <v/>
      </c>
      <c r="DL9" t="str">
        <f>""</f>
        <v/>
      </c>
      <c r="DM9" t="str">
        <f>""</f>
        <v/>
      </c>
      <c r="DN9" t="str">
        <f>""</f>
        <v/>
      </c>
      <c r="DO9" t="str">
        <f>""</f>
        <v/>
      </c>
      <c r="DP9" t="str">
        <f>""</f>
        <v/>
      </c>
      <c r="DQ9" t="str">
        <f>""</f>
        <v/>
      </c>
      <c r="DR9" t="str">
        <f>""</f>
        <v/>
      </c>
      <c r="DS9" t="str">
        <f>""</f>
        <v/>
      </c>
      <c r="DT9" t="str">
        <f>""</f>
        <v/>
      </c>
      <c r="DU9" t="str">
        <f>""</f>
        <v/>
      </c>
      <c r="DV9" t="str">
        <f>""</f>
        <v/>
      </c>
      <c r="DW9" t="str">
        <f>""</f>
        <v/>
      </c>
      <c r="DX9" t="str">
        <f>""</f>
        <v/>
      </c>
      <c r="DY9" t="str">
        <f>""</f>
        <v/>
      </c>
      <c r="DZ9" t="str">
        <f>""</f>
        <v/>
      </c>
      <c r="EA9" t="str">
        <f>""</f>
        <v/>
      </c>
      <c r="EB9" t="str">
        <f>""</f>
        <v/>
      </c>
      <c r="EC9" t="str">
        <f>""</f>
        <v/>
      </c>
      <c r="ED9" t="str">
        <f>""</f>
        <v/>
      </c>
      <c r="EE9" t="str">
        <f>""</f>
        <v/>
      </c>
      <c r="EF9" t="str">
        <f>""</f>
        <v/>
      </c>
      <c r="EG9" t="str">
        <f>""</f>
        <v/>
      </c>
      <c r="EH9" t="str">
        <f>""</f>
        <v/>
      </c>
      <c r="EI9" t="str">
        <f>""</f>
        <v/>
      </c>
      <c r="EJ9" t="str">
        <f>""</f>
        <v/>
      </c>
      <c r="EK9" t="str">
        <f>""</f>
        <v/>
      </c>
      <c r="EL9" t="str">
        <f>""</f>
        <v/>
      </c>
      <c r="EM9" t="str">
        <f>""</f>
        <v/>
      </c>
      <c r="EN9" t="str">
        <f>""</f>
        <v/>
      </c>
      <c r="EO9" t="str">
        <f>""</f>
        <v/>
      </c>
      <c r="EP9" t="str">
        <f>""</f>
        <v/>
      </c>
      <c r="EQ9" t="str">
        <f>""</f>
        <v/>
      </c>
      <c r="ER9" t="str">
        <f>""</f>
        <v/>
      </c>
      <c r="ES9" t="str">
        <f>""</f>
        <v/>
      </c>
      <c r="ET9" t="str">
        <f>""</f>
        <v/>
      </c>
      <c r="EU9" t="str">
        <f>""</f>
        <v/>
      </c>
      <c r="EV9" t="str">
        <f>""</f>
        <v/>
      </c>
      <c r="EW9" t="str">
        <f>""</f>
        <v/>
      </c>
      <c r="EX9" t="str">
        <f>""</f>
        <v/>
      </c>
      <c r="EY9" t="str">
        <f>""</f>
        <v/>
      </c>
      <c r="EZ9" t="str">
        <f>""</f>
        <v/>
      </c>
      <c r="FA9" t="str">
        <f>""</f>
        <v/>
      </c>
      <c r="FB9" t="str">
        <f>""</f>
        <v/>
      </c>
      <c r="FC9" t="str">
        <f>""</f>
        <v/>
      </c>
      <c r="FD9" t="str">
        <f>""</f>
        <v/>
      </c>
      <c r="FE9" t="str">
        <f>""</f>
        <v/>
      </c>
      <c r="FF9" t="str">
        <f>""</f>
        <v/>
      </c>
      <c r="FG9" t="str">
        <f>""</f>
        <v/>
      </c>
      <c r="FH9" t="str">
        <f>""</f>
        <v/>
      </c>
      <c r="FI9" t="str">
        <f>""</f>
        <v/>
      </c>
      <c r="FJ9" t="str">
        <f>""</f>
        <v/>
      </c>
      <c r="FK9" t="str">
        <f>""</f>
        <v/>
      </c>
      <c r="FL9" t="str">
        <f>""</f>
        <v/>
      </c>
      <c r="FM9" t="str">
        <f>""</f>
        <v/>
      </c>
      <c r="FN9" t="str">
        <f>""</f>
        <v/>
      </c>
      <c r="FO9" t="str">
        <f>""</f>
        <v/>
      </c>
      <c r="FP9" t="str">
        <f>""</f>
        <v/>
      </c>
      <c r="FQ9" t="str">
        <f>""</f>
        <v/>
      </c>
      <c r="FR9" t="str">
        <f>""</f>
        <v/>
      </c>
      <c r="FS9" t="str">
        <f>""</f>
        <v/>
      </c>
      <c r="FT9" t="str">
        <f>""</f>
        <v/>
      </c>
      <c r="FU9" t="str">
        <f>""</f>
        <v/>
      </c>
      <c r="FV9" t="str">
        <f>""</f>
        <v/>
      </c>
      <c r="FW9" t="str">
        <f>""</f>
        <v/>
      </c>
      <c r="FX9" t="str">
        <f>""</f>
        <v/>
      </c>
      <c r="FY9" t="str">
        <f>""</f>
        <v/>
      </c>
      <c r="FZ9" t="str">
        <f>""</f>
        <v/>
      </c>
      <c r="GA9" t="str">
        <f>""</f>
        <v/>
      </c>
      <c r="GB9" t="str">
        <f>""</f>
        <v/>
      </c>
      <c r="GC9" t="str">
        <f>""</f>
        <v/>
      </c>
      <c r="GD9" t="str">
        <f>""</f>
        <v/>
      </c>
      <c r="GE9" t="str">
        <f>""</f>
        <v/>
      </c>
      <c r="GF9" t="str">
        <f>""</f>
        <v/>
      </c>
      <c r="GG9" t="str">
        <f>""</f>
        <v/>
      </c>
      <c r="GH9" t="str">
        <f>""</f>
        <v/>
      </c>
      <c r="GI9" t="str">
        <f>""</f>
        <v/>
      </c>
      <c r="GJ9" t="str">
        <f>""</f>
        <v/>
      </c>
      <c r="GK9" t="str">
        <f>""</f>
        <v/>
      </c>
      <c r="GL9" t="str">
        <f>""</f>
        <v/>
      </c>
      <c r="GM9" t="str">
        <f>""</f>
        <v/>
      </c>
      <c r="GN9" t="str">
        <f>""</f>
        <v/>
      </c>
      <c r="GO9" t="str">
        <f>""</f>
        <v/>
      </c>
      <c r="GP9" t="str">
        <f>""</f>
        <v/>
      </c>
      <c r="GQ9" t="str">
        <f>""</f>
        <v/>
      </c>
    </row>
    <row r="10" spans="1:298" x14ac:dyDescent="0.2">
      <c r="A10" t="str">
        <f>"Educa√ß√£o"</f>
        <v>Educa√ß√£o</v>
      </c>
      <c r="B10" t="str">
        <f>"0.0232***"</f>
        <v>0.0232***</v>
      </c>
      <c r="C10" t="s">
        <v>1694</v>
      </c>
      <c r="D10" t="s">
        <v>611</v>
      </c>
      <c r="E10" t="str">
        <f>"0.0321***"</f>
        <v>0.0321***</v>
      </c>
      <c r="F10" t="s">
        <v>1693</v>
      </c>
      <c r="G10" t="s">
        <v>1692</v>
      </c>
      <c r="H10" t="str">
        <f>"0.0307***"</f>
        <v>0.0307***</v>
      </c>
      <c r="I10" t="s">
        <v>1691</v>
      </c>
      <c r="J10" t="s">
        <v>1690</v>
      </c>
      <c r="K10" t="str">
        <f>"0.0294***"</f>
        <v>0.0294***</v>
      </c>
      <c r="L10" t="s">
        <v>1686</v>
      </c>
      <c r="M10" t="s">
        <v>1689</v>
      </c>
      <c r="N10" t="str">
        <f>"0.0275***"</f>
        <v>0.0275***</v>
      </c>
      <c r="O10" t="s">
        <v>1684</v>
      </c>
      <c r="P10" t="s">
        <v>1688</v>
      </c>
      <c r="Q10" t="str">
        <f>"0.0297***"</f>
        <v>0.0297***</v>
      </c>
      <c r="R10" t="s">
        <v>1687</v>
      </c>
      <c r="S10" t="s">
        <v>556</v>
      </c>
      <c r="T10" t="str">
        <f>"0.0290***"</f>
        <v>0.0290***</v>
      </c>
      <c r="U10" t="s">
        <v>1686</v>
      </c>
      <c r="V10" t="s">
        <v>1685</v>
      </c>
      <c r="W10" t="str">
        <f>"0.0272***"</f>
        <v>0.0272***</v>
      </c>
      <c r="X10" t="s">
        <v>1684</v>
      </c>
      <c r="Y10" t="s">
        <v>1683</v>
      </c>
      <c r="Z10" t="str">
        <f>"0.0281***"</f>
        <v>0.0281***</v>
      </c>
      <c r="AA10" t="s">
        <v>1682</v>
      </c>
      <c r="AB10" t="s">
        <v>1388</v>
      </c>
      <c r="AC10" t="str">
        <f>"0.0225***"</f>
        <v>0.0225***</v>
      </c>
      <c r="AD10" t="s">
        <v>1681</v>
      </c>
      <c r="AE10" t="s">
        <v>746</v>
      </c>
      <c r="AF10" t="str">
        <f>"0.0221***"</f>
        <v>0.0221***</v>
      </c>
      <c r="AG10" t="s">
        <v>1680</v>
      </c>
      <c r="AH10" t="s">
        <v>1679</v>
      </c>
      <c r="AI10" t="str">
        <f>"0.0210***"</f>
        <v>0.0210***</v>
      </c>
      <c r="AJ10" t="s">
        <v>1221</v>
      </c>
      <c r="AK10" t="s">
        <v>1678</v>
      </c>
      <c r="AL10" t="str">
        <f>"0.0194***"</f>
        <v>0.0194***</v>
      </c>
      <c r="AM10" t="s">
        <v>1677</v>
      </c>
      <c r="AN10" t="s">
        <v>956</v>
      </c>
      <c r="AO10" t="str">
        <f>"0.0180***"</f>
        <v>0.0180***</v>
      </c>
      <c r="AP10" t="s">
        <v>1229</v>
      </c>
      <c r="AQ10" t="s">
        <v>978</v>
      </c>
      <c r="AR10" t="str">
        <f>"0.0154***"</f>
        <v>0.0154***</v>
      </c>
      <c r="AS10" t="s">
        <v>1667</v>
      </c>
      <c r="AT10" t="s">
        <v>1540</v>
      </c>
      <c r="AU10" t="str">
        <f>"0.0142***"</f>
        <v>0.0142***</v>
      </c>
      <c r="AV10" t="s">
        <v>1672</v>
      </c>
      <c r="AW10" t="s">
        <v>983</v>
      </c>
      <c r="AX10" t="str">
        <f>"0.0138***"</f>
        <v>0.0138***</v>
      </c>
      <c r="AY10" t="s">
        <v>1534</v>
      </c>
      <c r="AZ10" t="s">
        <v>1676</v>
      </c>
      <c r="BA10" t="str">
        <f>"0.0138***"</f>
        <v>0.0138***</v>
      </c>
      <c r="BB10" t="s">
        <v>1534</v>
      </c>
      <c r="BC10" t="s">
        <v>1676</v>
      </c>
      <c r="BD10" t="str">
        <f>"0.0136***"</f>
        <v>0.0136***</v>
      </c>
      <c r="BE10" t="s">
        <v>1533</v>
      </c>
      <c r="BF10" t="s">
        <v>1675</v>
      </c>
      <c r="BG10" t="str">
        <f>"0.0136***"</f>
        <v>0.0136***</v>
      </c>
      <c r="BH10" t="s">
        <v>1542</v>
      </c>
      <c r="BI10" t="s">
        <v>971</v>
      </c>
      <c r="BJ10" t="str">
        <f>"0.0137***"</f>
        <v>0.0137***</v>
      </c>
      <c r="BK10" t="s">
        <v>1542</v>
      </c>
      <c r="BL10" t="s">
        <v>1674</v>
      </c>
      <c r="BM10" t="str">
        <f>"0.0140***"</f>
        <v>0.0140***</v>
      </c>
      <c r="BN10" t="s">
        <v>1673</v>
      </c>
      <c r="BO10" t="s">
        <v>972</v>
      </c>
      <c r="BP10" t="str">
        <f>"0.0142***"</f>
        <v>0.0142***</v>
      </c>
      <c r="BQ10" t="s">
        <v>1672</v>
      </c>
      <c r="BR10" t="s">
        <v>983</v>
      </c>
      <c r="BS10" t="str">
        <f>"0.0146***"</f>
        <v>0.0146***</v>
      </c>
      <c r="BT10" t="s">
        <v>1026</v>
      </c>
      <c r="BU10" t="s">
        <v>1671</v>
      </c>
      <c r="BV10" t="str">
        <f>"0.0147***"</f>
        <v>0.0147***</v>
      </c>
      <c r="BW10" t="s">
        <v>1071</v>
      </c>
      <c r="BX10" t="s">
        <v>1670</v>
      </c>
      <c r="BY10" t="str">
        <f>"0.0148***"</f>
        <v>0.0148***</v>
      </c>
      <c r="BZ10" t="s">
        <v>1071</v>
      </c>
      <c r="CA10" t="s">
        <v>1669</v>
      </c>
      <c r="CB10" t="str">
        <f>"0.0149***"</f>
        <v>0.0149***</v>
      </c>
      <c r="CC10" t="s">
        <v>1536</v>
      </c>
      <c r="CD10" t="s">
        <v>1669</v>
      </c>
      <c r="CE10" t="str">
        <f>"0.0151***"</f>
        <v>0.0151***</v>
      </c>
      <c r="CF10" t="s">
        <v>1062</v>
      </c>
      <c r="CG10" t="s">
        <v>1668</v>
      </c>
      <c r="CH10" t="str">
        <f>"0.0155***"</f>
        <v>0.0155***</v>
      </c>
      <c r="CI10" t="s">
        <v>1667</v>
      </c>
      <c r="CJ10" t="s">
        <v>1540</v>
      </c>
      <c r="CK10" t="str">
        <f>"0.0161***"</f>
        <v>0.0161***</v>
      </c>
      <c r="CL10" t="s">
        <v>760</v>
      </c>
      <c r="CM10" t="s">
        <v>609</v>
      </c>
      <c r="CN10" t="str">
        <f>"0.0168***"</f>
        <v>0.0168***</v>
      </c>
      <c r="CO10" t="s">
        <v>1666</v>
      </c>
      <c r="CP10" t="s">
        <v>1475</v>
      </c>
      <c r="CQ10" t="str">
        <f>"0.0175***"</f>
        <v>0.0175***</v>
      </c>
      <c r="CR10" t="s">
        <v>756</v>
      </c>
      <c r="CS10" t="s">
        <v>1665</v>
      </c>
      <c r="CT10" t="str">
        <f>"0.0182***"</f>
        <v>0.0182***</v>
      </c>
      <c r="CU10" t="s">
        <v>368</v>
      </c>
      <c r="CV10" t="s">
        <v>1520</v>
      </c>
      <c r="CW10" t="str">
        <f>"0.0191***"</f>
        <v>0.0191***</v>
      </c>
      <c r="CX10" t="s">
        <v>1664</v>
      </c>
      <c r="CY10" t="s">
        <v>995</v>
      </c>
      <c r="CZ10" t="str">
        <f>"0.0200***"</f>
        <v>0.0200***</v>
      </c>
      <c r="DA10" t="s">
        <v>1663</v>
      </c>
      <c r="DB10" t="s">
        <v>1529</v>
      </c>
      <c r="DC10" t="str">
        <f>"0.0207***"</f>
        <v>0.0207***</v>
      </c>
      <c r="DD10" t="s">
        <v>1662</v>
      </c>
      <c r="DE10" t="s">
        <v>1030</v>
      </c>
      <c r="DF10" t="str">
        <f>"0.0215***"</f>
        <v>0.0215***</v>
      </c>
      <c r="DG10" t="s">
        <v>1661</v>
      </c>
      <c r="DH10" t="s">
        <v>1660</v>
      </c>
      <c r="DI10" t="str">
        <f>"0.0228***"</f>
        <v>0.0228***</v>
      </c>
      <c r="DJ10" t="s">
        <v>1659</v>
      </c>
      <c r="DK10" t="s">
        <v>1658</v>
      </c>
      <c r="DL10" t="str">
        <f>"0.0237***"</f>
        <v>0.0237***</v>
      </c>
      <c r="DM10" t="s">
        <v>1657</v>
      </c>
      <c r="DN10" t="s">
        <v>563</v>
      </c>
      <c r="DO10" t="str">
        <f>"0.0246***"</f>
        <v>0.0246***</v>
      </c>
      <c r="DP10" t="s">
        <v>1656</v>
      </c>
      <c r="DQ10" t="s">
        <v>1032</v>
      </c>
      <c r="DR10" t="str">
        <f>"0.0254***"</f>
        <v>0.0254***</v>
      </c>
      <c r="DS10" t="s">
        <v>1655</v>
      </c>
      <c r="DT10" t="s">
        <v>1175</v>
      </c>
      <c r="DU10" t="str">
        <f>"0.0263***"</f>
        <v>0.0263***</v>
      </c>
      <c r="DV10" t="s">
        <v>1654</v>
      </c>
      <c r="DW10" t="s">
        <v>1653</v>
      </c>
      <c r="DX10" t="str">
        <f>"0.0269***"</f>
        <v>0.0269***</v>
      </c>
      <c r="DY10" t="s">
        <v>764</v>
      </c>
      <c r="DZ10" t="s">
        <v>548</v>
      </c>
      <c r="EA10" t="str">
        <f>"0.0271***"</f>
        <v>0.0271***</v>
      </c>
      <c r="EB10" t="s">
        <v>1652</v>
      </c>
      <c r="EC10" t="s">
        <v>1651</v>
      </c>
      <c r="ED10" t="str">
        <f>"0.0273***"</f>
        <v>0.0273***</v>
      </c>
      <c r="EE10" t="s">
        <v>1650</v>
      </c>
      <c r="EF10" t="s">
        <v>1649</v>
      </c>
      <c r="EG10" t="str">
        <f>"0.0274***"</f>
        <v>0.0274***</v>
      </c>
      <c r="EH10" t="s">
        <v>1650</v>
      </c>
      <c r="EI10" t="s">
        <v>1649</v>
      </c>
      <c r="EJ10" t="str">
        <f>"0.0276***"</f>
        <v>0.0276***</v>
      </c>
      <c r="EK10" t="s">
        <v>1648</v>
      </c>
      <c r="EL10" t="s">
        <v>1647</v>
      </c>
      <c r="EM10" t="str">
        <f>"0.0284***"</f>
        <v>0.0284***</v>
      </c>
      <c r="EN10" t="s">
        <v>1646</v>
      </c>
      <c r="EO10" t="s">
        <v>1645</v>
      </c>
      <c r="EP10" t="str">
        <f>"0.0289***"</f>
        <v>0.0289***</v>
      </c>
      <c r="EQ10" t="s">
        <v>1644</v>
      </c>
      <c r="ER10" t="s">
        <v>968</v>
      </c>
      <c r="ES10" t="str">
        <f>"0.0300***"</f>
        <v>0.0300***</v>
      </c>
      <c r="ET10" t="s">
        <v>1643</v>
      </c>
      <c r="EU10" t="s">
        <v>1642</v>
      </c>
      <c r="EV10" t="str">
        <f>"0.0309***"</f>
        <v>0.0309***</v>
      </c>
      <c r="EW10" t="s">
        <v>1641</v>
      </c>
      <c r="EX10" t="s">
        <v>1640</v>
      </c>
      <c r="EY10" t="str">
        <f>"0.0329***"</f>
        <v>0.0329***</v>
      </c>
      <c r="EZ10" t="s">
        <v>1639</v>
      </c>
      <c r="FA10" t="s">
        <v>1044</v>
      </c>
      <c r="FB10" t="str">
        <f>"0.0350***"</f>
        <v>0.0350***</v>
      </c>
      <c r="FC10" t="s">
        <v>1638</v>
      </c>
      <c r="FD10" t="s">
        <v>1637</v>
      </c>
      <c r="FE10" t="str">
        <f>"0.0365***"</f>
        <v>0.0365***</v>
      </c>
      <c r="FF10" t="s">
        <v>1636</v>
      </c>
      <c r="FG10" t="s">
        <v>1635</v>
      </c>
      <c r="FH10" t="str">
        <f>"0.0375***"</f>
        <v>0.0375***</v>
      </c>
      <c r="FI10" t="s">
        <v>1629</v>
      </c>
      <c r="FJ10" t="s">
        <v>1630</v>
      </c>
      <c r="FK10" t="str">
        <f>"0.0380***"</f>
        <v>0.0380***</v>
      </c>
      <c r="FL10" t="s">
        <v>1634</v>
      </c>
      <c r="FM10" t="s">
        <v>1625</v>
      </c>
      <c r="FN10" t="str">
        <f>"0.0378***"</f>
        <v>0.0378***</v>
      </c>
      <c r="FO10" t="s">
        <v>1633</v>
      </c>
      <c r="FP10" t="s">
        <v>1632</v>
      </c>
      <c r="FQ10" t="str">
        <f>"0.0374***"</f>
        <v>0.0374***</v>
      </c>
      <c r="FR10" t="s">
        <v>1631</v>
      </c>
      <c r="FS10" t="s">
        <v>1630</v>
      </c>
      <c r="FT10" t="str">
        <f>"0.0375***"</f>
        <v>0.0375***</v>
      </c>
      <c r="FU10" t="s">
        <v>1629</v>
      </c>
      <c r="FV10" t="s">
        <v>773</v>
      </c>
      <c r="FW10" t="str">
        <f>"0.0376***"</f>
        <v>0.0376***</v>
      </c>
      <c r="FX10" t="s">
        <v>1628</v>
      </c>
      <c r="FY10" t="s">
        <v>1627</v>
      </c>
      <c r="FZ10" t="str">
        <f>"0.0380***"</f>
        <v>0.0380***</v>
      </c>
      <c r="GA10" t="s">
        <v>1626</v>
      </c>
      <c r="GB10" t="s">
        <v>1625</v>
      </c>
      <c r="GC10" t="str">
        <f>"0.0397***"</f>
        <v>0.0397***</v>
      </c>
      <c r="GD10" t="s">
        <v>1624</v>
      </c>
      <c r="GE10" t="s">
        <v>1623</v>
      </c>
      <c r="GF10" t="str">
        <f>"0.0418***"</f>
        <v>0.0418***</v>
      </c>
      <c r="GG10" t="s">
        <v>325</v>
      </c>
      <c r="GH10" t="s">
        <v>1622</v>
      </c>
      <c r="GI10" t="str">
        <f>"0.0435***"</f>
        <v>0.0435***</v>
      </c>
      <c r="GJ10" t="s">
        <v>1621</v>
      </c>
      <c r="GK10" t="s">
        <v>1620</v>
      </c>
      <c r="GL10" t="str">
        <f>"0.0449***"</f>
        <v>0.0449***</v>
      </c>
      <c r="GM10" t="s">
        <v>1619</v>
      </c>
      <c r="GN10" t="s">
        <v>1618</v>
      </c>
      <c r="GO10" t="str">
        <f>"0.0459***"</f>
        <v>0.0459***</v>
      </c>
      <c r="GP10" t="s">
        <v>1613</v>
      </c>
      <c r="GQ10" t="s">
        <v>509</v>
      </c>
      <c r="GR10" t="str">
        <f>"0.0458***"</f>
        <v>0.0458***</v>
      </c>
      <c r="GS10" t="s">
        <v>1617</v>
      </c>
      <c r="GT10" t="s">
        <v>1616</v>
      </c>
      <c r="GU10" t="str">
        <f>"0.0458***"</f>
        <v>0.0458***</v>
      </c>
      <c r="GV10" t="s">
        <v>1615</v>
      </c>
      <c r="GW10" t="s">
        <v>1614</v>
      </c>
      <c r="GX10" t="str">
        <f>"0.0460***"</f>
        <v>0.0460***</v>
      </c>
      <c r="GY10" t="s">
        <v>1613</v>
      </c>
      <c r="GZ10" t="s">
        <v>1612</v>
      </c>
      <c r="HA10" t="str">
        <f>"0.0474***"</f>
        <v>0.0474***</v>
      </c>
      <c r="HB10" t="s">
        <v>1611</v>
      </c>
      <c r="HC10" t="s">
        <v>1610</v>
      </c>
      <c r="HD10" t="str">
        <f>"0.0507***"</f>
        <v>0.0507***</v>
      </c>
      <c r="HE10" t="s">
        <v>905</v>
      </c>
      <c r="HF10" t="s">
        <v>496</v>
      </c>
      <c r="HG10" t="str">
        <f>"0.0535***"</f>
        <v>0.0535***</v>
      </c>
      <c r="HH10" t="s">
        <v>1609</v>
      </c>
      <c r="HI10" t="s">
        <v>1608</v>
      </c>
      <c r="HJ10" t="str">
        <f>"0.0553***"</f>
        <v>0.0553***</v>
      </c>
      <c r="HK10" t="s">
        <v>1607</v>
      </c>
      <c r="HL10" t="s">
        <v>1606</v>
      </c>
      <c r="HM10" t="str">
        <f>"0.0571***"</f>
        <v>0.0571***</v>
      </c>
      <c r="HN10" t="s">
        <v>341</v>
      </c>
      <c r="HO10" t="s">
        <v>1605</v>
      </c>
      <c r="HP10" t="str">
        <f>"0.0569***"</f>
        <v>0.0569***</v>
      </c>
      <c r="HQ10" t="s">
        <v>1604</v>
      </c>
      <c r="HR10" t="s">
        <v>1603</v>
      </c>
      <c r="HS10" t="str">
        <f>"0.0565***"</f>
        <v>0.0565***</v>
      </c>
      <c r="HT10" t="s">
        <v>1602</v>
      </c>
      <c r="HU10" t="s">
        <v>1220</v>
      </c>
      <c r="HV10" t="str">
        <f>"0.0558***"</f>
        <v>0.0558***</v>
      </c>
      <c r="HW10" t="s">
        <v>1601</v>
      </c>
      <c r="HX10" t="s">
        <v>1600</v>
      </c>
      <c r="HY10" t="str">
        <f>"0.0590***"</f>
        <v>0.0590***</v>
      </c>
      <c r="HZ10" t="s">
        <v>1599</v>
      </c>
      <c r="IA10" t="s">
        <v>1158</v>
      </c>
      <c r="IB10" t="str">
        <f>"0.0627***"</f>
        <v>0.0627***</v>
      </c>
      <c r="IC10" t="s">
        <v>1587</v>
      </c>
      <c r="ID10" t="s">
        <v>1598</v>
      </c>
      <c r="IE10" t="str">
        <f>"0.0660***"</f>
        <v>0.0660***</v>
      </c>
      <c r="IF10" t="s">
        <v>1597</v>
      </c>
      <c r="IG10" t="s">
        <v>1596</v>
      </c>
      <c r="IH10" t="str">
        <f>"0.0688***"</f>
        <v>0.0688***</v>
      </c>
      <c r="II10" t="s">
        <v>1595</v>
      </c>
      <c r="IJ10" t="s">
        <v>1594</v>
      </c>
      <c r="IK10" t="str">
        <f>"0.0657***"</f>
        <v>0.0657***</v>
      </c>
      <c r="IL10" t="s">
        <v>1593</v>
      </c>
      <c r="IM10" t="s">
        <v>1592</v>
      </c>
      <c r="IN10" t="str">
        <f>"0.0608***"</f>
        <v>0.0608***</v>
      </c>
      <c r="IO10" t="s">
        <v>1591</v>
      </c>
      <c r="IP10" t="s">
        <v>1590</v>
      </c>
      <c r="IQ10" t="str">
        <f>"0.0593***"</f>
        <v>0.0593***</v>
      </c>
      <c r="IR10" t="s">
        <v>1589</v>
      </c>
      <c r="IS10" t="s">
        <v>1588</v>
      </c>
      <c r="IT10" t="str">
        <f>"0.0629***"</f>
        <v>0.0629***</v>
      </c>
      <c r="IU10" t="s">
        <v>1587</v>
      </c>
      <c r="IV10" t="s">
        <v>1222</v>
      </c>
      <c r="IW10" t="str">
        <f>"0.0789***"</f>
        <v>0.0789***</v>
      </c>
      <c r="IX10" t="s">
        <v>1586</v>
      </c>
      <c r="IY10" t="s">
        <v>1585</v>
      </c>
      <c r="IZ10" t="str">
        <f>"0.0765***"</f>
        <v>0.0765***</v>
      </c>
      <c r="JA10" t="s">
        <v>1584</v>
      </c>
      <c r="JB10" t="s">
        <v>1583</v>
      </c>
      <c r="JC10" t="str">
        <f>"0.0726***"</f>
        <v>0.0726***</v>
      </c>
      <c r="JD10" t="s">
        <v>1582</v>
      </c>
      <c r="JE10" t="s">
        <v>1581</v>
      </c>
      <c r="JF10" t="str">
        <f>"0.0757***"</f>
        <v>0.0757***</v>
      </c>
      <c r="JG10" t="s">
        <v>1580</v>
      </c>
      <c r="JH10" t="s">
        <v>1563</v>
      </c>
      <c r="JI10" t="str">
        <f>"0.0749***"</f>
        <v>0.0749***</v>
      </c>
      <c r="JJ10" t="s">
        <v>1579</v>
      </c>
      <c r="JK10" t="s">
        <v>1578</v>
      </c>
      <c r="JL10" t="str">
        <f>"0.0691***"</f>
        <v>0.0691***</v>
      </c>
      <c r="JM10" t="s">
        <v>1577</v>
      </c>
      <c r="JN10" t="s">
        <v>1576</v>
      </c>
      <c r="JO10" t="str">
        <f>"0.0795***"</f>
        <v>0.0795***</v>
      </c>
      <c r="JP10" t="s">
        <v>1575</v>
      </c>
      <c r="JQ10" t="s">
        <v>1574</v>
      </c>
      <c r="JR10" t="str">
        <f>"0.0879***"</f>
        <v>0.0879***</v>
      </c>
      <c r="JS10" t="s">
        <v>1573</v>
      </c>
      <c r="JT10" t="s">
        <v>1572</v>
      </c>
      <c r="JU10" t="str">
        <f>"0.0753***"</f>
        <v>0.0753***</v>
      </c>
      <c r="JV10" t="s">
        <v>1571</v>
      </c>
      <c r="JW10" t="s">
        <v>1570</v>
      </c>
      <c r="JX10" t="str">
        <f>"0.0871***"</f>
        <v>0.0871***</v>
      </c>
      <c r="JY10" t="s">
        <v>1569</v>
      </c>
      <c r="JZ10" t="s">
        <v>1137</v>
      </c>
      <c r="KA10" t="str">
        <f>"0.0671***"</f>
        <v>0.0671***</v>
      </c>
      <c r="KB10" t="s">
        <v>1568</v>
      </c>
      <c r="KC10" t="s">
        <v>1567</v>
      </c>
      <c r="KD10" t="str">
        <f>"0.0778***"</f>
        <v>0.0778***</v>
      </c>
      <c r="KE10" t="s">
        <v>1566</v>
      </c>
      <c r="KF10" t="s">
        <v>1565</v>
      </c>
      <c r="KG10" t="str">
        <f>"0.0748***"</f>
        <v>0.0748***</v>
      </c>
      <c r="KH10" t="s">
        <v>1564</v>
      </c>
      <c r="KI10" t="s">
        <v>1563</v>
      </c>
      <c r="KJ10" t="str">
        <f>"0.0665***"</f>
        <v>0.0665***</v>
      </c>
      <c r="KK10" t="s">
        <v>1562</v>
      </c>
      <c r="KL10" t="s">
        <v>1561</v>
      </c>
    </row>
    <row r="11" spans="1:298" x14ac:dyDescent="0.2">
      <c r="A11" t="str">
        <f>"Experi√™ncia"</f>
        <v>Experi√™ncia</v>
      </c>
      <c r="B11" t="str">
        <f>"0.00319***"</f>
        <v>0.00319***</v>
      </c>
      <c r="C11" t="s">
        <v>679</v>
      </c>
      <c r="D11" t="s">
        <v>925</v>
      </c>
      <c r="E11" t="str">
        <f>"0.00620***"</f>
        <v>0.00620***</v>
      </c>
      <c r="F11" t="s">
        <v>1017</v>
      </c>
      <c r="G11" t="s">
        <v>733</v>
      </c>
      <c r="H11" t="str">
        <f>"0.00753***"</f>
        <v>0.00753***</v>
      </c>
      <c r="I11" t="s">
        <v>1489</v>
      </c>
      <c r="J11" t="s">
        <v>694</v>
      </c>
      <c r="K11" t="str">
        <f>"0.00783***"</f>
        <v>0.00783***</v>
      </c>
      <c r="L11" t="s">
        <v>1559</v>
      </c>
      <c r="M11" t="s">
        <v>1009</v>
      </c>
      <c r="N11" t="str">
        <f>"0.00772***"</f>
        <v>0.00772***</v>
      </c>
      <c r="O11" t="s">
        <v>1058</v>
      </c>
      <c r="P11" t="s">
        <v>694</v>
      </c>
      <c r="Q11" t="str">
        <f>"0.00872***"</f>
        <v>0.00872***</v>
      </c>
      <c r="R11" t="s">
        <v>942</v>
      </c>
      <c r="S11" t="s">
        <v>678</v>
      </c>
      <c r="T11" t="str">
        <f>"0.00845***"</f>
        <v>0.00845***</v>
      </c>
      <c r="U11" t="s">
        <v>443</v>
      </c>
      <c r="V11" t="s">
        <v>1005</v>
      </c>
      <c r="W11" t="str">
        <f>"0.00802***"</f>
        <v>0.00802***</v>
      </c>
      <c r="X11" t="s">
        <v>1022</v>
      </c>
      <c r="Y11" t="s">
        <v>1009</v>
      </c>
      <c r="Z11" t="str">
        <f>"0.00826***"</f>
        <v>0.00826***</v>
      </c>
      <c r="AA11" t="s">
        <v>982</v>
      </c>
      <c r="AB11" t="s">
        <v>735</v>
      </c>
      <c r="AC11" t="str">
        <f>"0.00679***"</f>
        <v>0.00679***</v>
      </c>
      <c r="AD11" t="s">
        <v>1000</v>
      </c>
      <c r="AE11" t="s">
        <v>733</v>
      </c>
      <c r="AF11" t="str">
        <f>"0.00667***"</f>
        <v>0.00667***</v>
      </c>
      <c r="AG11" t="s">
        <v>1000</v>
      </c>
      <c r="AH11" t="s">
        <v>577</v>
      </c>
      <c r="AI11" t="str">
        <f>"0.00637***"</f>
        <v>0.00637***</v>
      </c>
      <c r="AJ11" t="s">
        <v>1053</v>
      </c>
      <c r="AK11" t="s">
        <v>1004</v>
      </c>
      <c r="AL11" t="str">
        <f>"0.00597***"</f>
        <v>0.00597***</v>
      </c>
      <c r="AM11" t="s">
        <v>370</v>
      </c>
      <c r="AN11" t="s">
        <v>599</v>
      </c>
      <c r="AO11" t="str">
        <f>"0.00558***"</f>
        <v>0.00558***</v>
      </c>
      <c r="AP11" t="s">
        <v>646</v>
      </c>
      <c r="AQ11" t="s">
        <v>723</v>
      </c>
      <c r="AR11" t="str">
        <f>"0.00482***"</f>
        <v>0.00482***</v>
      </c>
      <c r="AS11" t="s">
        <v>997</v>
      </c>
      <c r="AT11" t="s">
        <v>669</v>
      </c>
      <c r="AU11" t="str">
        <f>"0.00455***"</f>
        <v>0.00455***</v>
      </c>
      <c r="AV11" t="s">
        <v>724</v>
      </c>
      <c r="AW11" t="s">
        <v>721</v>
      </c>
      <c r="AX11" t="str">
        <f>"0.00447***"</f>
        <v>0.00447***</v>
      </c>
      <c r="AY11" t="s">
        <v>724</v>
      </c>
      <c r="AZ11" t="s">
        <v>702</v>
      </c>
      <c r="BA11" t="str">
        <f>"0.00445***"</f>
        <v>0.00445***</v>
      </c>
      <c r="BB11" t="s">
        <v>724</v>
      </c>
      <c r="BC11" t="s">
        <v>789</v>
      </c>
      <c r="BD11" t="str">
        <f>"0.00440***"</f>
        <v>0.00440***</v>
      </c>
      <c r="BE11" t="s">
        <v>1468</v>
      </c>
      <c r="BF11" t="s">
        <v>789</v>
      </c>
      <c r="BG11" t="str">
        <f>"0.00442***"</f>
        <v>0.00442***</v>
      </c>
      <c r="BH11" t="s">
        <v>1468</v>
      </c>
      <c r="BI11" t="s">
        <v>789</v>
      </c>
      <c r="BJ11" t="str">
        <f>"0.00439***"</f>
        <v>0.00439***</v>
      </c>
      <c r="BK11" t="s">
        <v>1468</v>
      </c>
      <c r="BL11" t="s">
        <v>789</v>
      </c>
      <c r="BM11" t="str">
        <f>"0.00450***"</f>
        <v>0.00450***</v>
      </c>
      <c r="BN11" t="s">
        <v>724</v>
      </c>
      <c r="BO11" t="s">
        <v>702</v>
      </c>
      <c r="BP11" t="str">
        <f>"0.00456***"</f>
        <v>0.00456***</v>
      </c>
      <c r="BQ11" t="s">
        <v>1469</v>
      </c>
      <c r="BR11" t="s">
        <v>721</v>
      </c>
      <c r="BS11" t="str">
        <f>"0.00466***"</f>
        <v>0.00466***</v>
      </c>
      <c r="BT11" t="s">
        <v>1469</v>
      </c>
      <c r="BU11" t="s">
        <v>710</v>
      </c>
      <c r="BV11" t="str">
        <f>"0.00478***"</f>
        <v>0.00478***</v>
      </c>
      <c r="BW11" t="s">
        <v>997</v>
      </c>
      <c r="BX11" t="s">
        <v>655</v>
      </c>
      <c r="BY11" t="str">
        <f>"0.00480***"</f>
        <v>0.00480***</v>
      </c>
      <c r="BZ11" t="s">
        <v>997</v>
      </c>
      <c r="CA11" t="s">
        <v>655</v>
      </c>
      <c r="CB11" t="str">
        <f>"0.00488***"</f>
        <v>0.00488***</v>
      </c>
      <c r="CC11" t="s">
        <v>997</v>
      </c>
      <c r="CD11" t="s">
        <v>669</v>
      </c>
      <c r="CE11" t="str">
        <f>"0.00496***"</f>
        <v>0.00496***</v>
      </c>
      <c r="CF11" t="s">
        <v>998</v>
      </c>
      <c r="CG11" t="s">
        <v>1560</v>
      </c>
      <c r="CH11" t="str">
        <f>"0.00505***"</f>
        <v>0.00505***</v>
      </c>
      <c r="CI11" t="s">
        <v>1018</v>
      </c>
      <c r="CJ11" t="s">
        <v>592</v>
      </c>
      <c r="CK11" t="str">
        <f>"0.00522***"</f>
        <v>0.00522***</v>
      </c>
      <c r="CL11" t="s">
        <v>745</v>
      </c>
      <c r="CM11" t="s">
        <v>662</v>
      </c>
      <c r="CN11" t="str">
        <f>"0.00537***"</f>
        <v>0.00537***</v>
      </c>
      <c r="CO11" t="s">
        <v>940</v>
      </c>
      <c r="CP11" t="s">
        <v>665</v>
      </c>
      <c r="CQ11" t="str">
        <f>"0.00555***"</f>
        <v>0.00555***</v>
      </c>
      <c r="CR11" t="s">
        <v>646</v>
      </c>
      <c r="CS11" t="s">
        <v>643</v>
      </c>
      <c r="CT11" t="str">
        <f>"0.00572***"</f>
        <v>0.00572***</v>
      </c>
      <c r="CU11" t="s">
        <v>993</v>
      </c>
      <c r="CV11" t="s">
        <v>567</v>
      </c>
      <c r="CW11" t="str">
        <f>"0.00605***"</f>
        <v>0.00605***</v>
      </c>
      <c r="CX11" t="s">
        <v>991</v>
      </c>
      <c r="CY11" t="s">
        <v>1234</v>
      </c>
      <c r="CZ11" t="str">
        <f>"0.00629***"</f>
        <v>0.00629***</v>
      </c>
      <c r="DA11" t="s">
        <v>1053</v>
      </c>
      <c r="DB11" t="s">
        <v>594</v>
      </c>
      <c r="DC11" t="str">
        <f>"0.00647***"</f>
        <v>0.00647***</v>
      </c>
      <c r="DD11" t="s">
        <v>772</v>
      </c>
      <c r="DE11" t="s">
        <v>1004</v>
      </c>
      <c r="DF11" t="str">
        <f>"0.00672***"</f>
        <v>0.00672***</v>
      </c>
      <c r="DG11" t="s">
        <v>1470</v>
      </c>
      <c r="DH11" t="s">
        <v>579</v>
      </c>
      <c r="DI11" t="str">
        <f>"0.00705***"</f>
        <v>0.00705***</v>
      </c>
      <c r="DJ11" t="s">
        <v>732</v>
      </c>
      <c r="DK11" t="s">
        <v>575</v>
      </c>
      <c r="DL11" t="str">
        <f>"0.00733***"</f>
        <v>0.00733***</v>
      </c>
      <c r="DM11" t="s">
        <v>1559</v>
      </c>
      <c r="DN11" t="s">
        <v>725</v>
      </c>
      <c r="DO11" t="str">
        <f>"0.00767***"</f>
        <v>0.00767***</v>
      </c>
      <c r="DP11" t="s">
        <v>980</v>
      </c>
      <c r="DQ11" t="s">
        <v>1558</v>
      </c>
      <c r="DR11" t="str">
        <f>"0.00788***"</f>
        <v>0.00788***</v>
      </c>
      <c r="DS11" t="s">
        <v>1557</v>
      </c>
      <c r="DT11" t="s">
        <v>682</v>
      </c>
      <c r="DU11" t="str">
        <f>"0.00819***"</f>
        <v>0.00819***</v>
      </c>
      <c r="DV11" t="s">
        <v>443</v>
      </c>
      <c r="DW11" t="s">
        <v>1009</v>
      </c>
      <c r="DX11" t="str">
        <f>"0.00836***"</f>
        <v>0.00836***</v>
      </c>
      <c r="DY11" t="s">
        <v>1556</v>
      </c>
      <c r="DZ11" t="s">
        <v>573</v>
      </c>
      <c r="EA11" t="str">
        <f>"0.00844***"</f>
        <v>0.00844***</v>
      </c>
      <c r="EB11" t="s">
        <v>942</v>
      </c>
      <c r="EC11" t="s">
        <v>735</v>
      </c>
      <c r="ED11" t="str">
        <f>"0.00843***"</f>
        <v>0.00843***</v>
      </c>
      <c r="EE11" t="s">
        <v>942</v>
      </c>
      <c r="EF11" t="s">
        <v>735</v>
      </c>
      <c r="EG11" t="str">
        <f>"0.00844***"</f>
        <v>0.00844***</v>
      </c>
      <c r="EH11" t="s">
        <v>942</v>
      </c>
      <c r="EI11" t="s">
        <v>735</v>
      </c>
      <c r="EJ11" t="str">
        <f>"0.00849***"</f>
        <v>0.00849***</v>
      </c>
      <c r="EK11" t="s">
        <v>942</v>
      </c>
      <c r="EL11" t="s">
        <v>735</v>
      </c>
      <c r="EM11" t="str">
        <f>"0.00873***"</f>
        <v>0.00873***</v>
      </c>
      <c r="EN11" t="s">
        <v>1555</v>
      </c>
      <c r="EO11" t="s">
        <v>958</v>
      </c>
      <c r="EP11" t="str">
        <f>"0.00882***"</f>
        <v>0.00882***</v>
      </c>
      <c r="EQ11" t="s">
        <v>1491</v>
      </c>
      <c r="ER11" t="s">
        <v>726</v>
      </c>
      <c r="ES11" t="str">
        <f>"0.00913***"</f>
        <v>0.00913***</v>
      </c>
      <c r="ET11" t="s">
        <v>1554</v>
      </c>
      <c r="EU11" t="s">
        <v>1011</v>
      </c>
      <c r="EV11" t="str">
        <f>"0.00934***"</f>
        <v>0.00934***</v>
      </c>
      <c r="EW11" t="s">
        <v>297</v>
      </c>
      <c r="EX11" t="s">
        <v>1553</v>
      </c>
      <c r="EY11" t="str">
        <f>"0.00988***"</f>
        <v>0.00988***</v>
      </c>
      <c r="EZ11" t="s">
        <v>1552</v>
      </c>
      <c r="FA11" t="s">
        <v>946</v>
      </c>
      <c r="FB11" t="str">
        <f>"0.0104***"</f>
        <v>0.0104***</v>
      </c>
      <c r="FC11" t="s">
        <v>660</v>
      </c>
      <c r="FD11" t="s">
        <v>1551</v>
      </c>
      <c r="FE11" t="str">
        <f>"0.0108***"</f>
        <v>0.0108***</v>
      </c>
      <c r="FF11" t="s">
        <v>1472</v>
      </c>
      <c r="FG11" t="s">
        <v>1054</v>
      </c>
      <c r="FH11" t="str">
        <f>"0.0111***"</f>
        <v>0.0111***</v>
      </c>
      <c r="FI11" t="s">
        <v>1550</v>
      </c>
      <c r="FJ11" t="s">
        <v>522</v>
      </c>
      <c r="FK11" t="str">
        <f>"0.0112***"</f>
        <v>0.0112***</v>
      </c>
      <c r="FL11" t="s">
        <v>1549</v>
      </c>
      <c r="FM11" t="s">
        <v>1548</v>
      </c>
      <c r="FN11" t="str">
        <f>"0.0111***"</f>
        <v>0.0111***</v>
      </c>
      <c r="FO11" t="s">
        <v>1550</v>
      </c>
      <c r="FP11" t="s">
        <v>522</v>
      </c>
      <c r="FQ11" t="str">
        <f>"0.0109***"</f>
        <v>0.0109***</v>
      </c>
      <c r="FR11" t="s">
        <v>1472</v>
      </c>
      <c r="FS11" t="s">
        <v>1007</v>
      </c>
      <c r="FT11" t="str">
        <f>"0.0109***"</f>
        <v>0.0109***</v>
      </c>
      <c r="FU11" t="s">
        <v>1472</v>
      </c>
      <c r="FV11" t="s">
        <v>1007</v>
      </c>
      <c r="FW11" t="str">
        <f>"0.0109***"</f>
        <v>0.0109***</v>
      </c>
      <c r="FX11" t="s">
        <v>1472</v>
      </c>
      <c r="FY11" t="s">
        <v>1007</v>
      </c>
      <c r="FZ11" t="str">
        <f>"0.0109***"</f>
        <v>0.0109***</v>
      </c>
      <c r="GA11" t="s">
        <v>1472</v>
      </c>
      <c r="GB11" t="s">
        <v>1007</v>
      </c>
      <c r="GC11" t="str">
        <f>"0.0112***"</f>
        <v>0.0112***</v>
      </c>
      <c r="GD11" t="s">
        <v>1549</v>
      </c>
      <c r="GE11" t="s">
        <v>1548</v>
      </c>
      <c r="GF11" t="str">
        <f>"0.0117***"</f>
        <v>0.0117***</v>
      </c>
      <c r="GG11" t="s">
        <v>1122</v>
      </c>
      <c r="GH11" t="s">
        <v>1547</v>
      </c>
      <c r="GI11" t="str">
        <f>"0.0122***"</f>
        <v>0.0122***</v>
      </c>
      <c r="GJ11" t="s">
        <v>1496</v>
      </c>
      <c r="GK11" t="s">
        <v>1546</v>
      </c>
      <c r="GL11" t="str">
        <f>"0.0124***"</f>
        <v>0.0124***</v>
      </c>
      <c r="GM11" t="s">
        <v>1474</v>
      </c>
      <c r="GN11" t="s">
        <v>642</v>
      </c>
      <c r="GO11" t="str">
        <f>"0.0126***"</f>
        <v>0.0126***</v>
      </c>
      <c r="GP11" t="s">
        <v>1545</v>
      </c>
      <c r="GQ11" t="s">
        <v>1473</v>
      </c>
      <c r="GR11" t="str">
        <f>"0.0124***"</f>
        <v>0.0124***</v>
      </c>
      <c r="GS11" t="s">
        <v>1474</v>
      </c>
      <c r="GT11" t="s">
        <v>747</v>
      </c>
      <c r="GU11" t="str">
        <f>"0.0124***"</f>
        <v>0.0124***</v>
      </c>
      <c r="GV11" t="s">
        <v>1474</v>
      </c>
      <c r="GW11" t="s">
        <v>747</v>
      </c>
      <c r="GX11" t="str">
        <f>"0.0125***"</f>
        <v>0.0125***</v>
      </c>
      <c r="GY11" t="s">
        <v>1474</v>
      </c>
      <c r="GZ11" t="s">
        <v>642</v>
      </c>
      <c r="HA11" t="str">
        <f>"0.0126***"</f>
        <v>0.0126***</v>
      </c>
      <c r="HB11" t="s">
        <v>1024</v>
      </c>
      <c r="HC11" t="s">
        <v>524</v>
      </c>
      <c r="HD11" t="str">
        <f>"0.0134***"</f>
        <v>0.0134***</v>
      </c>
      <c r="HE11" t="s">
        <v>1544</v>
      </c>
      <c r="HF11" t="s">
        <v>1543</v>
      </c>
      <c r="HG11" t="str">
        <f>"0.0141***"</f>
        <v>0.0141***</v>
      </c>
      <c r="HH11" t="s">
        <v>1124</v>
      </c>
      <c r="HI11" t="s">
        <v>742</v>
      </c>
      <c r="HJ11" t="str">
        <f>"0.0144***"</f>
        <v>0.0144***</v>
      </c>
      <c r="HK11" t="s">
        <v>766</v>
      </c>
      <c r="HL11" t="s">
        <v>1023</v>
      </c>
      <c r="HM11" t="str">
        <f>"0.0148***"</f>
        <v>0.0148***</v>
      </c>
      <c r="HN11" t="s">
        <v>1542</v>
      </c>
      <c r="HO11" t="s">
        <v>987</v>
      </c>
      <c r="HP11" t="str">
        <f>"0.0146***"</f>
        <v>0.0146***</v>
      </c>
      <c r="HQ11" t="s">
        <v>1541</v>
      </c>
      <c r="HR11" t="s">
        <v>1540</v>
      </c>
      <c r="HS11" t="str">
        <f>"0.0144***"</f>
        <v>0.0144***</v>
      </c>
      <c r="HT11" t="s">
        <v>766</v>
      </c>
      <c r="HU11" t="s">
        <v>1494</v>
      </c>
      <c r="HV11" t="str">
        <f>"0.0142***"</f>
        <v>0.0142***</v>
      </c>
      <c r="HW11" t="s">
        <v>1539</v>
      </c>
      <c r="HX11" t="s">
        <v>532</v>
      </c>
      <c r="HY11" t="str">
        <f>"0.0148***"</f>
        <v>0.0148***</v>
      </c>
      <c r="HZ11" t="s">
        <v>1534</v>
      </c>
      <c r="IA11" t="s">
        <v>987</v>
      </c>
      <c r="IB11" t="str">
        <f>"0.0157***"</f>
        <v>0.0157***</v>
      </c>
      <c r="IC11" t="s">
        <v>1026</v>
      </c>
      <c r="ID11" t="s">
        <v>988</v>
      </c>
      <c r="IE11" t="str">
        <f>"0.0162***"</f>
        <v>0.0162***</v>
      </c>
      <c r="IF11" t="s">
        <v>1538</v>
      </c>
      <c r="IG11" t="s">
        <v>1537</v>
      </c>
      <c r="IH11" t="str">
        <f>"0.0169***"</f>
        <v>0.0169***</v>
      </c>
      <c r="II11" t="s">
        <v>1060</v>
      </c>
      <c r="IJ11" t="s">
        <v>1232</v>
      </c>
      <c r="IK11" t="str">
        <f>"0.0161***"</f>
        <v>0.0161***</v>
      </c>
      <c r="IL11" t="s">
        <v>1536</v>
      </c>
      <c r="IM11" t="s">
        <v>1535</v>
      </c>
      <c r="IN11" t="str">
        <f>"0.0149***"</f>
        <v>0.0149***</v>
      </c>
      <c r="IO11" t="s">
        <v>1534</v>
      </c>
      <c r="IP11" t="s">
        <v>534</v>
      </c>
      <c r="IQ11" t="str">
        <f>"0.0147***"</f>
        <v>0.0147***</v>
      </c>
      <c r="IR11" t="s">
        <v>1533</v>
      </c>
      <c r="IS11" t="s">
        <v>1532</v>
      </c>
      <c r="IT11" t="str">
        <f>"0.0155***"</f>
        <v>0.0155***</v>
      </c>
      <c r="IU11" t="s">
        <v>1531</v>
      </c>
      <c r="IV11" t="s">
        <v>536</v>
      </c>
      <c r="IW11" t="str">
        <f>"0.0194***"</f>
        <v>0.0194***</v>
      </c>
      <c r="IX11" t="s">
        <v>1530</v>
      </c>
      <c r="IY11" t="s">
        <v>785</v>
      </c>
      <c r="IZ11" t="str">
        <f>"0.0188***"</f>
        <v>0.0188***</v>
      </c>
      <c r="JA11" t="s">
        <v>756</v>
      </c>
      <c r="JB11" t="s">
        <v>1529</v>
      </c>
      <c r="JC11" t="str">
        <f>"0.0178***"</f>
        <v>0.0178***</v>
      </c>
      <c r="JD11" t="s">
        <v>1528</v>
      </c>
      <c r="JE11" t="s">
        <v>1479</v>
      </c>
      <c r="JF11" t="str">
        <f>"0.0186***"</f>
        <v>0.0186***</v>
      </c>
      <c r="JG11" t="s">
        <v>1527</v>
      </c>
      <c r="JH11" t="s">
        <v>992</v>
      </c>
      <c r="JI11" t="str">
        <f>"0.0182***"</f>
        <v>0.0182***</v>
      </c>
      <c r="JJ11" t="s">
        <v>1478</v>
      </c>
      <c r="JK11" t="s">
        <v>956</v>
      </c>
      <c r="JL11" t="str">
        <f>"0.0172***"</f>
        <v>0.0172***</v>
      </c>
      <c r="JM11" t="s">
        <v>1526</v>
      </c>
      <c r="JN11" t="s">
        <v>1520</v>
      </c>
      <c r="JO11" t="str">
        <f>"0.0199***"</f>
        <v>0.0199***</v>
      </c>
      <c r="JP11" t="s">
        <v>1525</v>
      </c>
      <c r="JQ11" t="s">
        <v>1481</v>
      </c>
      <c r="JR11" t="str">
        <f>"0.0220***"</f>
        <v>0.0220***</v>
      </c>
      <c r="JS11" t="s">
        <v>1524</v>
      </c>
      <c r="JT11" t="s">
        <v>1523</v>
      </c>
      <c r="JU11" t="str">
        <f>"0.0188***"</f>
        <v>0.0188***</v>
      </c>
      <c r="JV11" t="s">
        <v>1522</v>
      </c>
      <c r="JW11" t="s">
        <v>990</v>
      </c>
      <c r="JX11" t="str">
        <f>"0.0222***"</f>
        <v>0.0222***</v>
      </c>
      <c r="JY11" t="s">
        <v>1521</v>
      </c>
      <c r="JZ11" t="s">
        <v>563</v>
      </c>
      <c r="KA11" t="str">
        <f>"0.0171***"</f>
        <v>0.0171***</v>
      </c>
      <c r="KB11" t="s">
        <v>754</v>
      </c>
      <c r="KC11" t="s">
        <v>1520</v>
      </c>
      <c r="KD11" t="str">
        <f>"0.0206***"</f>
        <v>0.0206***</v>
      </c>
      <c r="KE11" t="s">
        <v>1519</v>
      </c>
      <c r="KF11" t="s">
        <v>558</v>
      </c>
      <c r="KG11" t="str">
        <f>"0.0209***"</f>
        <v>0.0209***</v>
      </c>
      <c r="KH11" t="s">
        <v>1518</v>
      </c>
      <c r="KI11" t="s">
        <v>1214</v>
      </c>
      <c r="KJ11" t="str">
        <f>"0.0196***"</f>
        <v>0.0196***</v>
      </c>
      <c r="KK11" t="s">
        <v>1517</v>
      </c>
      <c r="KL11" t="s">
        <v>1516</v>
      </c>
    </row>
    <row r="12" spans="1:298" x14ac:dyDescent="0.2">
      <c r="A12" t="str">
        <f>"feminino"</f>
        <v>feminino</v>
      </c>
      <c r="B12" t="str">
        <f>"-0.00246***"</f>
        <v>-0.00246***</v>
      </c>
      <c r="C12" t="s">
        <v>1088</v>
      </c>
      <c r="D12" t="s">
        <v>1513</v>
      </c>
      <c r="E12" t="str">
        <f>"-0.00296***"</f>
        <v>-0.00296***</v>
      </c>
      <c r="F12" t="s">
        <v>693</v>
      </c>
      <c r="G12" t="s">
        <v>812</v>
      </c>
      <c r="H12" t="str">
        <f>"-0.00273***"</f>
        <v>-0.00273***</v>
      </c>
      <c r="I12" t="s">
        <v>670</v>
      </c>
      <c r="J12" t="s">
        <v>1512</v>
      </c>
      <c r="K12" t="str">
        <f>"-0.00241***"</f>
        <v>-0.00241***</v>
      </c>
      <c r="L12" t="s">
        <v>697</v>
      </c>
      <c r="M12" t="s">
        <v>1513</v>
      </c>
      <c r="N12" t="str">
        <f>"-0.00216***"</f>
        <v>-0.00216***</v>
      </c>
      <c r="O12" t="s">
        <v>345</v>
      </c>
      <c r="P12" t="s">
        <v>1086</v>
      </c>
      <c r="Q12" t="str">
        <f>"-0.00219***"</f>
        <v>-0.00219***</v>
      </c>
      <c r="R12" t="s">
        <v>345</v>
      </c>
      <c r="S12" t="s">
        <v>1086</v>
      </c>
      <c r="T12" t="str">
        <f>"-0.00192***"</f>
        <v>-0.00192***</v>
      </c>
      <c r="U12" t="s">
        <v>922</v>
      </c>
      <c r="V12" t="s">
        <v>1084</v>
      </c>
      <c r="W12" t="str">
        <f>"-0.00170***"</f>
        <v>-0.00170***</v>
      </c>
      <c r="X12" t="s">
        <v>911</v>
      </c>
      <c r="Y12" t="s">
        <v>810</v>
      </c>
      <c r="Z12" t="str">
        <f>"-0.00163***"</f>
        <v>-0.00163***</v>
      </c>
      <c r="AA12" t="s">
        <v>945</v>
      </c>
      <c r="AB12" t="s">
        <v>704</v>
      </c>
      <c r="AC12" t="str">
        <f>"-0.00123***"</f>
        <v>-0.00123***</v>
      </c>
      <c r="AD12" t="s">
        <v>652</v>
      </c>
      <c r="AE12" t="s">
        <v>1119</v>
      </c>
      <c r="AF12" t="str">
        <f>"-0.00113***"</f>
        <v>-0.00113***</v>
      </c>
      <c r="AG12" t="s">
        <v>681</v>
      </c>
      <c r="AH12" t="s">
        <v>1454</v>
      </c>
      <c r="AI12" t="str">
        <f>"-0.00100***"</f>
        <v>-0.00100***</v>
      </c>
      <c r="AJ12" t="s">
        <v>916</v>
      </c>
      <c r="AK12" t="s">
        <v>1454</v>
      </c>
      <c r="AL12" t="str">
        <f>"-0.000885***"</f>
        <v>-0.000885***</v>
      </c>
      <c r="AM12" t="s">
        <v>674</v>
      </c>
      <c r="AN12" t="s">
        <v>815</v>
      </c>
      <c r="AO12" t="str">
        <f>"-0.000769***"</f>
        <v>-0.000769***</v>
      </c>
      <c r="AP12" t="s">
        <v>935</v>
      </c>
      <c r="AQ12" t="s">
        <v>970</v>
      </c>
      <c r="AR12" t="str">
        <f>"-0.000636***"</f>
        <v>-0.000636***</v>
      </c>
      <c r="AS12" t="s">
        <v>647</v>
      </c>
      <c r="AT12" t="s">
        <v>970</v>
      </c>
      <c r="AU12" t="str">
        <f>"-0.000587***"</f>
        <v>-0.000587***</v>
      </c>
      <c r="AV12" t="s">
        <v>931</v>
      </c>
      <c r="AW12" t="s">
        <v>970</v>
      </c>
      <c r="AX12" t="str">
        <f>"-0.000574***"</f>
        <v>-0.000574***</v>
      </c>
      <c r="AY12" t="s">
        <v>931</v>
      </c>
      <c r="AZ12" t="s">
        <v>970</v>
      </c>
      <c r="BA12" t="str">
        <f>"-0.000562***"</f>
        <v>-0.000562***</v>
      </c>
      <c r="BB12" t="s">
        <v>931</v>
      </c>
      <c r="BC12" t="s">
        <v>970</v>
      </c>
      <c r="BD12" t="str">
        <f>"-0.000566***"</f>
        <v>-0.000566***</v>
      </c>
      <c r="BE12" t="s">
        <v>931</v>
      </c>
      <c r="BF12" t="s">
        <v>970</v>
      </c>
      <c r="BG12" t="str">
        <f>"-0.000568***"</f>
        <v>-0.000568***</v>
      </c>
      <c r="BH12" t="s">
        <v>931</v>
      </c>
      <c r="BI12" t="s">
        <v>970</v>
      </c>
      <c r="BJ12" t="str">
        <f>"-0.000605***"</f>
        <v>-0.000605***</v>
      </c>
      <c r="BK12" t="s">
        <v>931</v>
      </c>
      <c r="BL12" t="s">
        <v>970</v>
      </c>
      <c r="BM12" t="str">
        <f>"-0.000636***"</f>
        <v>-0.000636***</v>
      </c>
      <c r="BN12" t="s">
        <v>647</v>
      </c>
      <c r="BO12" t="s">
        <v>970</v>
      </c>
      <c r="BP12" t="str">
        <f>"-0.000655***"</f>
        <v>-0.000655***</v>
      </c>
      <c r="BQ12" t="s">
        <v>647</v>
      </c>
      <c r="BR12" t="s">
        <v>970</v>
      </c>
      <c r="BS12" t="str">
        <f>"-0.000685***"</f>
        <v>-0.000685***</v>
      </c>
      <c r="BT12" t="s">
        <v>435</v>
      </c>
      <c r="BU12" t="s">
        <v>970</v>
      </c>
      <c r="BV12" t="str">
        <f>"-0.000696***"</f>
        <v>-0.000696***</v>
      </c>
      <c r="BW12" t="s">
        <v>435</v>
      </c>
      <c r="BX12" t="s">
        <v>970</v>
      </c>
      <c r="BY12" t="str">
        <f>"-0.000716***"</f>
        <v>-0.000716***</v>
      </c>
      <c r="BZ12" t="s">
        <v>435</v>
      </c>
      <c r="CA12" t="s">
        <v>970</v>
      </c>
      <c r="CB12" t="str">
        <f>"-0.000741***"</f>
        <v>-0.000741***</v>
      </c>
      <c r="CC12" t="s">
        <v>435</v>
      </c>
      <c r="CD12" t="s">
        <v>970</v>
      </c>
      <c r="CE12" t="str">
        <f>"-0.000777***"</f>
        <v>-0.000777***</v>
      </c>
      <c r="CF12" t="s">
        <v>935</v>
      </c>
      <c r="CG12" t="s">
        <v>815</v>
      </c>
      <c r="CH12" t="str">
        <f>"-0.000806***"</f>
        <v>-0.000806***</v>
      </c>
      <c r="CI12" t="s">
        <v>935</v>
      </c>
      <c r="CJ12" t="s">
        <v>815</v>
      </c>
      <c r="CK12" t="str">
        <f>"-0.000850***"</f>
        <v>-0.000850***</v>
      </c>
      <c r="CL12" t="s">
        <v>636</v>
      </c>
      <c r="CM12" t="s">
        <v>815</v>
      </c>
      <c r="CN12" t="str">
        <f>"-0.000911***"</f>
        <v>-0.000911***</v>
      </c>
      <c r="CO12" t="s">
        <v>674</v>
      </c>
      <c r="CP12" t="s">
        <v>815</v>
      </c>
      <c r="CQ12" t="str">
        <f>"-0.000954***"</f>
        <v>-0.000954***</v>
      </c>
      <c r="CR12" t="s">
        <v>932</v>
      </c>
      <c r="CS12" t="s">
        <v>815</v>
      </c>
      <c r="CT12" t="str">
        <f>"-0.000991***"</f>
        <v>-0.000991***</v>
      </c>
      <c r="CU12" t="s">
        <v>932</v>
      </c>
      <c r="CV12" t="s">
        <v>1454</v>
      </c>
      <c r="CW12" t="str">
        <f>"-0.00105***"</f>
        <v>-0.00105***</v>
      </c>
      <c r="CX12" t="s">
        <v>916</v>
      </c>
      <c r="CY12" t="s">
        <v>1454</v>
      </c>
      <c r="CZ12" t="str">
        <f>"-0.00111***"</f>
        <v>-0.00111***</v>
      </c>
      <c r="DA12" t="s">
        <v>720</v>
      </c>
      <c r="DB12" t="s">
        <v>1454</v>
      </c>
      <c r="DC12" t="str">
        <f>"-0.00116***"</f>
        <v>-0.00116***</v>
      </c>
      <c r="DD12" t="s">
        <v>681</v>
      </c>
      <c r="DE12" t="s">
        <v>1454</v>
      </c>
      <c r="DF12" t="str">
        <f>"-0.00120***"</f>
        <v>-0.00120***</v>
      </c>
      <c r="DG12" t="s">
        <v>652</v>
      </c>
      <c r="DH12" t="s">
        <v>1454</v>
      </c>
      <c r="DI12" t="str">
        <f>"-0.00128***"</f>
        <v>-0.00128***</v>
      </c>
      <c r="DJ12" t="s">
        <v>1014</v>
      </c>
      <c r="DK12" t="s">
        <v>1119</v>
      </c>
      <c r="DL12" t="str">
        <f>"-0.00134***"</f>
        <v>-0.00134***</v>
      </c>
      <c r="DM12" t="s">
        <v>933</v>
      </c>
      <c r="DN12" t="s">
        <v>1119</v>
      </c>
      <c r="DO12" t="str">
        <f>"-0.00143***"</f>
        <v>-0.00143***</v>
      </c>
      <c r="DP12" t="s">
        <v>717</v>
      </c>
      <c r="DQ12" t="s">
        <v>704</v>
      </c>
      <c r="DR12" t="str">
        <f>"-0.00148***"</f>
        <v>-0.00148***</v>
      </c>
      <c r="DS12" t="s">
        <v>639</v>
      </c>
      <c r="DT12" t="s">
        <v>704</v>
      </c>
      <c r="DU12" t="str">
        <f>"-0.00152***"</f>
        <v>-0.00152***</v>
      </c>
      <c r="DV12" t="s">
        <v>639</v>
      </c>
      <c r="DW12" t="s">
        <v>704</v>
      </c>
      <c r="DX12" t="str">
        <f>"-0.00154***"</f>
        <v>-0.00154***</v>
      </c>
      <c r="DY12" t="s">
        <v>1012</v>
      </c>
      <c r="DZ12" t="s">
        <v>704</v>
      </c>
      <c r="EA12" t="str">
        <f>"-0.00155***"</f>
        <v>-0.00155***</v>
      </c>
      <c r="EB12" t="s">
        <v>1012</v>
      </c>
      <c r="EC12" t="s">
        <v>704</v>
      </c>
      <c r="ED12" t="str">
        <f>"-0.00154***"</f>
        <v>-0.00154***</v>
      </c>
      <c r="EE12" t="s">
        <v>1012</v>
      </c>
      <c r="EF12" t="s">
        <v>704</v>
      </c>
      <c r="EG12" t="str">
        <f>"-0.00155***"</f>
        <v>-0.00155***</v>
      </c>
      <c r="EH12" t="s">
        <v>1012</v>
      </c>
      <c r="EI12" t="s">
        <v>704</v>
      </c>
      <c r="EJ12" t="str">
        <f>"-0.00155***"</f>
        <v>-0.00155***</v>
      </c>
      <c r="EK12" t="s">
        <v>1012</v>
      </c>
      <c r="EL12" t="s">
        <v>704</v>
      </c>
      <c r="EM12" t="str">
        <f>"-0.00160***"</f>
        <v>-0.00160***</v>
      </c>
      <c r="EN12" t="s">
        <v>945</v>
      </c>
      <c r="EO12" t="s">
        <v>704</v>
      </c>
      <c r="EP12" t="str">
        <f>"-0.00162***"</f>
        <v>-0.00162***</v>
      </c>
      <c r="EQ12" t="s">
        <v>945</v>
      </c>
      <c r="ER12" t="s">
        <v>704</v>
      </c>
      <c r="ES12" t="str">
        <f>"-0.00169***"</f>
        <v>-0.00169***</v>
      </c>
      <c r="ET12" t="s">
        <v>911</v>
      </c>
      <c r="EU12" t="s">
        <v>810</v>
      </c>
      <c r="EV12" t="str">
        <f>"-0.00172***"</f>
        <v>-0.00172***</v>
      </c>
      <c r="EW12" t="s">
        <v>783</v>
      </c>
      <c r="EX12" t="s">
        <v>810</v>
      </c>
      <c r="EY12" t="str">
        <f>"-0.00182***"</f>
        <v>-0.00182***</v>
      </c>
      <c r="EZ12" t="s">
        <v>711</v>
      </c>
      <c r="FA12" t="s">
        <v>810</v>
      </c>
      <c r="FB12" t="str">
        <f>"-0.00192***"</f>
        <v>-0.00192***</v>
      </c>
      <c r="FC12" t="s">
        <v>922</v>
      </c>
      <c r="FD12" t="s">
        <v>1084</v>
      </c>
      <c r="FE12" t="str">
        <f>"-0.00196***"</f>
        <v>-0.00196***</v>
      </c>
      <c r="FF12" t="s">
        <v>922</v>
      </c>
      <c r="FG12" t="s">
        <v>1084</v>
      </c>
      <c r="FH12" t="str">
        <f>"-0.00198***"</f>
        <v>-0.00198***</v>
      </c>
      <c r="FI12" t="s">
        <v>677</v>
      </c>
      <c r="FJ12" t="s">
        <v>1084</v>
      </c>
      <c r="FK12" t="str">
        <f>"-0.00199***"</f>
        <v>-0.00199***</v>
      </c>
      <c r="FL12" t="s">
        <v>677</v>
      </c>
      <c r="FM12" t="s">
        <v>1084</v>
      </c>
      <c r="FN12" t="str">
        <f>"-0.00197***"</f>
        <v>-0.00197***</v>
      </c>
      <c r="FO12" t="s">
        <v>922</v>
      </c>
      <c r="FP12" t="s">
        <v>1084</v>
      </c>
      <c r="FQ12" t="str">
        <f>"-0.00192***"</f>
        <v>-0.00192***</v>
      </c>
      <c r="FR12" t="s">
        <v>922</v>
      </c>
      <c r="FS12" t="s">
        <v>1084</v>
      </c>
      <c r="FT12" t="str">
        <f>"-0.00191***"</f>
        <v>-0.00191***</v>
      </c>
      <c r="FU12" t="s">
        <v>920</v>
      </c>
      <c r="FV12" t="s">
        <v>1084</v>
      </c>
      <c r="FW12" t="str">
        <f>"-0.00190***"</f>
        <v>-0.00190***</v>
      </c>
      <c r="FX12" t="s">
        <v>920</v>
      </c>
      <c r="FY12" t="s">
        <v>1084</v>
      </c>
      <c r="FZ12" t="str">
        <f>"-0.00190***"</f>
        <v>-0.00190***</v>
      </c>
      <c r="GA12" t="s">
        <v>920</v>
      </c>
      <c r="GB12" t="s">
        <v>1084</v>
      </c>
      <c r="GC12" t="str">
        <f>"-0.00195***"</f>
        <v>-0.00195***</v>
      </c>
      <c r="GD12" t="s">
        <v>922</v>
      </c>
      <c r="GE12" t="s">
        <v>1084</v>
      </c>
      <c r="GF12" t="str">
        <f>"-0.00205***"</f>
        <v>-0.00205***</v>
      </c>
      <c r="GG12" t="s">
        <v>640</v>
      </c>
      <c r="GH12" t="s">
        <v>1084</v>
      </c>
      <c r="GI12" t="str">
        <f>"-0.00206***"</f>
        <v>-0.00206***</v>
      </c>
      <c r="GJ12" t="s">
        <v>640</v>
      </c>
      <c r="GK12" t="s">
        <v>1084</v>
      </c>
      <c r="GL12" t="str">
        <f>"-0.00211***"</f>
        <v>-0.00211***</v>
      </c>
      <c r="GM12" t="s">
        <v>703</v>
      </c>
      <c r="GN12" t="s">
        <v>1086</v>
      </c>
      <c r="GO12" t="str">
        <f>"-0.00211***"</f>
        <v>-0.00211***</v>
      </c>
      <c r="GP12" t="s">
        <v>703</v>
      </c>
      <c r="GQ12" t="s">
        <v>1086</v>
      </c>
      <c r="GR12" t="str">
        <f>"-0.00208***"</f>
        <v>-0.00208***</v>
      </c>
      <c r="GS12" t="s">
        <v>640</v>
      </c>
      <c r="GT12" t="s">
        <v>1084</v>
      </c>
      <c r="GU12" t="str">
        <f>"-0.00207***"</f>
        <v>-0.00207***</v>
      </c>
      <c r="GV12" t="s">
        <v>640</v>
      </c>
      <c r="GW12" t="s">
        <v>1084</v>
      </c>
      <c r="GX12" t="str">
        <f>"-0.00205***"</f>
        <v>-0.00205***</v>
      </c>
      <c r="GY12" t="s">
        <v>640</v>
      </c>
      <c r="GZ12" t="s">
        <v>1084</v>
      </c>
      <c r="HA12" t="str">
        <f>"-0.00206***"</f>
        <v>-0.00206***</v>
      </c>
      <c r="HB12" t="s">
        <v>640</v>
      </c>
      <c r="HC12" t="s">
        <v>1084</v>
      </c>
      <c r="HD12" t="str">
        <f>"-0.00219***"</f>
        <v>-0.00219***</v>
      </c>
      <c r="HE12" t="s">
        <v>345</v>
      </c>
      <c r="HF12" t="s">
        <v>1086</v>
      </c>
      <c r="HG12" t="str">
        <f>"-0.00228***"</f>
        <v>-0.00228***</v>
      </c>
      <c r="HH12" t="s">
        <v>700</v>
      </c>
      <c r="HI12" t="s">
        <v>1086</v>
      </c>
      <c r="HJ12" t="str">
        <f>"-0.00231***"</f>
        <v>-0.00231***</v>
      </c>
      <c r="HK12" t="s">
        <v>919</v>
      </c>
      <c r="HL12" t="s">
        <v>1513</v>
      </c>
      <c r="HM12" t="str">
        <f>"-0.00238***"</f>
        <v>-0.00238***</v>
      </c>
      <c r="HN12" t="s">
        <v>697</v>
      </c>
      <c r="HO12" t="s">
        <v>1513</v>
      </c>
      <c r="HP12" t="str">
        <f>"-0.00235***"</f>
        <v>-0.00235***</v>
      </c>
      <c r="HQ12" t="s">
        <v>919</v>
      </c>
      <c r="HR12" t="s">
        <v>1513</v>
      </c>
      <c r="HS12" t="str">
        <f>"-0.00232***"</f>
        <v>-0.00232***</v>
      </c>
      <c r="HT12" t="s">
        <v>919</v>
      </c>
      <c r="HU12" t="s">
        <v>1513</v>
      </c>
      <c r="HV12" t="str">
        <f>"-0.00223***"</f>
        <v>-0.00223***</v>
      </c>
      <c r="HW12" t="s">
        <v>345</v>
      </c>
      <c r="HX12" t="s">
        <v>1086</v>
      </c>
      <c r="HY12" t="str">
        <f>"-0.00236***"</f>
        <v>-0.00236***</v>
      </c>
      <c r="HZ12" t="s">
        <v>919</v>
      </c>
      <c r="IA12" t="s">
        <v>1513</v>
      </c>
      <c r="IB12" t="str">
        <f>"-0.00249***"</f>
        <v>-0.00249***</v>
      </c>
      <c r="IC12" t="s">
        <v>1088</v>
      </c>
      <c r="ID12" t="s">
        <v>1513</v>
      </c>
      <c r="IE12" t="str">
        <f>"-0.00251***"</f>
        <v>-0.00251***</v>
      </c>
      <c r="IF12" t="s">
        <v>650</v>
      </c>
      <c r="IG12" t="s">
        <v>1513</v>
      </c>
      <c r="IH12" t="str">
        <f>"-0.00261***"</f>
        <v>-0.00261***</v>
      </c>
      <c r="II12" t="s">
        <v>1515</v>
      </c>
      <c r="IJ12" t="s">
        <v>1512</v>
      </c>
      <c r="IK12" t="str">
        <f>"-0.00248***"</f>
        <v>-0.00248***</v>
      </c>
      <c r="IL12" t="s">
        <v>1088</v>
      </c>
      <c r="IM12" t="s">
        <v>1513</v>
      </c>
      <c r="IN12" t="str">
        <f>"-0.00232***"</f>
        <v>-0.00232***</v>
      </c>
      <c r="IO12" t="s">
        <v>919</v>
      </c>
      <c r="IP12" t="s">
        <v>1513</v>
      </c>
      <c r="IQ12" t="str">
        <f>"-0.00225***"</f>
        <v>-0.00225***</v>
      </c>
      <c r="IR12" t="s">
        <v>700</v>
      </c>
      <c r="IS12" t="s">
        <v>1086</v>
      </c>
      <c r="IT12" t="str">
        <f>"-0.00239***"</f>
        <v>-0.00239***</v>
      </c>
      <c r="IU12" t="s">
        <v>697</v>
      </c>
      <c r="IV12" t="s">
        <v>1513</v>
      </c>
      <c r="IW12" t="str">
        <f>"-0.00290***"</f>
        <v>-0.00290***</v>
      </c>
      <c r="IX12" t="s">
        <v>666</v>
      </c>
      <c r="IY12" t="s">
        <v>812</v>
      </c>
      <c r="IZ12" t="str">
        <f>"-0.00282***"</f>
        <v>-0.00282***</v>
      </c>
      <c r="JA12" t="s">
        <v>914</v>
      </c>
      <c r="JB12" t="s">
        <v>812</v>
      </c>
      <c r="JC12" t="str">
        <f>"-0.00276***"</f>
        <v>-0.00276***</v>
      </c>
      <c r="JD12" t="s">
        <v>663</v>
      </c>
      <c r="JE12" t="s">
        <v>812</v>
      </c>
      <c r="JF12" t="str">
        <f>"-0.00287***"</f>
        <v>-0.00287***</v>
      </c>
      <c r="JG12" t="s">
        <v>914</v>
      </c>
      <c r="JH12" t="s">
        <v>812</v>
      </c>
      <c r="JI12" t="str">
        <f>"-0.00286***"</f>
        <v>-0.00286***</v>
      </c>
      <c r="JJ12" t="s">
        <v>914</v>
      </c>
      <c r="JK12" t="s">
        <v>812</v>
      </c>
      <c r="JL12" t="str">
        <f>"-0.00275***"</f>
        <v>-0.00275***</v>
      </c>
      <c r="JM12" t="s">
        <v>663</v>
      </c>
      <c r="JN12" t="s">
        <v>1512</v>
      </c>
      <c r="JO12" t="str">
        <f>"-0.00325***"</f>
        <v>-0.00325***</v>
      </c>
      <c r="JP12" t="s">
        <v>1451</v>
      </c>
      <c r="JQ12" t="s">
        <v>1453</v>
      </c>
      <c r="JR12" t="str">
        <f>"-0.00357***"</f>
        <v>-0.00357***</v>
      </c>
      <c r="JS12" t="s">
        <v>741</v>
      </c>
      <c r="JT12" t="s">
        <v>1511</v>
      </c>
      <c r="JU12" t="str">
        <f>"-0.00307***"</f>
        <v>-0.00307***</v>
      </c>
      <c r="JV12" t="s">
        <v>910</v>
      </c>
      <c r="JW12" t="s">
        <v>1089</v>
      </c>
      <c r="JX12" t="str">
        <f>"-0.00385***"</f>
        <v>-0.00385***</v>
      </c>
      <c r="JY12" t="s">
        <v>654</v>
      </c>
      <c r="JZ12" t="s">
        <v>1510</v>
      </c>
      <c r="KA12" t="str">
        <f>"-0.00304***"</f>
        <v>-0.00304***</v>
      </c>
      <c r="KB12" t="s">
        <v>1505</v>
      </c>
      <c r="KC12" t="s">
        <v>1089</v>
      </c>
      <c r="KD12" t="str">
        <f>"-0.00348***"</f>
        <v>-0.00348***</v>
      </c>
      <c r="KE12" t="s">
        <v>1002</v>
      </c>
      <c r="KF12" t="s">
        <v>1511</v>
      </c>
      <c r="KG12" t="str">
        <f>"-0.00363***"</f>
        <v>-0.00363***</v>
      </c>
      <c r="KH12" t="s">
        <v>1514</v>
      </c>
      <c r="KI12" t="s">
        <v>1511</v>
      </c>
      <c r="KJ12" t="str">
        <f>"-0.00352***"</f>
        <v>-0.00352***</v>
      </c>
      <c r="KK12" t="s">
        <v>741</v>
      </c>
      <c r="KL12" t="s">
        <v>1453</v>
      </c>
    </row>
    <row r="13" spans="1:298" x14ac:dyDescent="0.2">
      <c r="A13" t="str">
        <f>"ppi"</f>
        <v>ppi</v>
      </c>
      <c r="B13" t="str">
        <f>"-0.00215***"</f>
        <v>-0.00215***</v>
      </c>
      <c r="C13" t="s">
        <v>922</v>
      </c>
      <c r="D13" t="s">
        <v>812</v>
      </c>
      <c r="E13" t="str">
        <f>"-0.00247***"</f>
        <v>-0.00247***</v>
      </c>
      <c r="F13" t="s">
        <v>345</v>
      </c>
      <c r="G13" t="s">
        <v>1511</v>
      </c>
      <c r="H13" t="str">
        <f>"-0.00231***"</f>
        <v>-0.00231***</v>
      </c>
      <c r="I13" t="s">
        <v>677</v>
      </c>
      <c r="J13" t="s">
        <v>1453</v>
      </c>
      <c r="K13" t="str">
        <f>"-0.00215***"</f>
        <v>-0.00215***</v>
      </c>
      <c r="L13" t="s">
        <v>711</v>
      </c>
      <c r="M13" t="s">
        <v>1453</v>
      </c>
      <c r="N13" t="str">
        <f>"-0.00192***"</f>
        <v>-0.00192***</v>
      </c>
      <c r="O13" t="s">
        <v>945</v>
      </c>
      <c r="P13" t="s">
        <v>812</v>
      </c>
      <c r="Q13" t="str">
        <f>"-0.00194***"</f>
        <v>-0.00194***</v>
      </c>
      <c r="R13" t="s">
        <v>945</v>
      </c>
      <c r="S13" t="s">
        <v>812</v>
      </c>
      <c r="T13" t="str">
        <f>"-0.00185***"</f>
        <v>-0.00185***</v>
      </c>
      <c r="U13" t="s">
        <v>1012</v>
      </c>
      <c r="V13" t="s">
        <v>812</v>
      </c>
      <c r="W13" t="str">
        <f>"-0.00189***"</f>
        <v>-0.00189***</v>
      </c>
      <c r="X13" t="s">
        <v>1012</v>
      </c>
      <c r="Y13" t="s">
        <v>812</v>
      </c>
      <c r="Z13" t="str">
        <f>"-0.00176***"</f>
        <v>-0.00176***</v>
      </c>
      <c r="AA13" t="s">
        <v>639</v>
      </c>
      <c r="AB13" t="s">
        <v>1512</v>
      </c>
      <c r="AC13" t="str">
        <f>"-0.00148***"</f>
        <v>-0.00148***</v>
      </c>
      <c r="AD13" t="s">
        <v>652</v>
      </c>
      <c r="AE13" t="s">
        <v>1513</v>
      </c>
      <c r="AF13" t="str">
        <f>"-0.00152***"</f>
        <v>-0.00152***</v>
      </c>
      <c r="AG13" t="s">
        <v>652</v>
      </c>
      <c r="AH13" t="s">
        <v>1513</v>
      </c>
      <c r="AI13" t="str">
        <f>"-0.00150***"</f>
        <v>-0.00150***</v>
      </c>
      <c r="AJ13" t="s">
        <v>652</v>
      </c>
      <c r="AK13" t="s">
        <v>1513</v>
      </c>
      <c r="AL13" t="str">
        <f>"-0.00142***"</f>
        <v>-0.00142***</v>
      </c>
      <c r="AM13" t="s">
        <v>681</v>
      </c>
      <c r="AN13" t="s">
        <v>1513</v>
      </c>
      <c r="AO13" t="str">
        <f>"-0.00137***"</f>
        <v>-0.00137***</v>
      </c>
      <c r="AP13" t="s">
        <v>720</v>
      </c>
      <c r="AQ13" t="s">
        <v>1086</v>
      </c>
      <c r="AR13" t="str">
        <f>"-0.00115***"</f>
        <v>-0.00115***</v>
      </c>
      <c r="AS13" t="s">
        <v>674</v>
      </c>
      <c r="AT13" t="s">
        <v>1084</v>
      </c>
      <c r="AU13" t="str">
        <f>"-0.00112***"</f>
        <v>-0.00112***</v>
      </c>
      <c r="AV13" t="s">
        <v>674</v>
      </c>
      <c r="AW13" t="s">
        <v>1084</v>
      </c>
      <c r="AX13" t="str">
        <f>"-0.00103***"</f>
        <v>-0.00103***</v>
      </c>
      <c r="AY13" t="s">
        <v>636</v>
      </c>
      <c r="AZ13" t="s">
        <v>810</v>
      </c>
      <c r="BA13" t="str">
        <f>"-0.00108***"</f>
        <v>-0.00108***</v>
      </c>
      <c r="BB13" t="s">
        <v>636</v>
      </c>
      <c r="BC13" t="s">
        <v>810</v>
      </c>
      <c r="BD13" t="str">
        <f>"-0.00105***"</f>
        <v>-0.00105***</v>
      </c>
      <c r="BE13" t="s">
        <v>636</v>
      </c>
      <c r="BF13" t="s">
        <v>810</v>
      </c>
      <c r="BG13" t="str">
        <f>"-0.00104***"</f>
        <v>-0.00104***</v>
      </c>
      <c r="BH13" t="s">
        <v>636</v>
      </c>
      <c r="BI13" t="s">
        <v>810</v>
      </c>
      <c r="BJ13" t="str">
        <f>"-0.00105***"</f>
        <v>-0.00105***</v>
      </c>
      <c r="BK13" t="s">
        <v>636</v>
      </c>
      <c r="BL13" t="s">
        <v>810</v>
      </c>
      <c r="BM13" t="str">
        <f>"-0.00110***"</f>
        <v>-0.00110***</v>
      </c>
      <c r="BN13" t="s">
        <v>636</v>
      </c>
      <c r="BO13" t="s">
        <v>1084</v>
      </c>
      <c r="BP13" t="str">
        <f>"-0.00109***"</f>
        <v>-0.00109***</v>
      </c>
      <c r="BQ13" t="s">
        <v>636</v>
      </c>
      <c r="BR13" t="s">
        <v>810</v>
      </c>
      <c r="BS13" t="str">
        <f>"-0.00113***"</f>
        <v>-0.00113***</v>
      </c>
      <c r="BT13" t="s">
        <v>674</v>
      </c>
      <c r="BU13" t="s">
        <v>1084</v>
      </c>
      <c r="BV13" t="str">
        <f>"-0.00110***"</f>
        <v>-0.00110***</v>
      </c>
      <c r="BW13" t="s">
        <v>636</v>
      </c>
      <c r="BX13" t="s">
        <v>1084</v>
      </c>
      <c r="BY13" t="str">
        <f>"-0.00110***"</f>
        <v>-0.00110***</v>
      </c>
      <c r="BZ13" t="s">
        <v>636</v>
      </c>
      <c r="CA13" t="s">
        <v>1084</v>
      </c>
      <c r="CB13" t="str">
        <f>"-0.00114***"</f>
        <v>-0.00114***</v>
      </c>
      <c r="CC13" t="s">
        <v>674</v>
      </c>
      <c r="CD13" t="s">
        <v>1084</v>
      </c>
      <c r="CE13" t="str">
        <f>"-0.00113***"</f>
        <v>-0.00113***</v>
      </c>
      <c r="CF13" t="s">
        <v>674</v>
      </c>
      <c r="CG13" t="s">
        <v>1084</v>
      </c>
      <c r="CH13" t="str">
        <f>"-0.00116***"</f>
        <v>-0.00116***</v>
      </c>
      <c r="CI13" t="s">
        <v>674</v>
      </c>
      <c r="CJ13" t="s">
        <v>1084</v>
      </c>
      <c r="CK13" t="str">
        <f>"-0.00130***"</f>
        <v>-0.00130***</v>
      </c>
      <c r="CL13" t="s">
        <v>916</v>
      </c>
      <c r="CM13" t="s">
        <v>1086</v>
      </c>
      <c r="CN13" t="str">
        <f>"-0.00132***"</f>
        <v>-0.00132***</v>
      </c>
      <c r="CO13" t="s">
        <v>916</v>
      </c>
      <c r="CP13" t="s">
        <v>1086</v>
      </c>
      <c r="CQ13" t="str">
        <f>"-0.00137***"</f>
        <v>-0.00137***</v>
      </c>
      <c r="CR13" t="s">
        <v>720</v>
      </c>
      <c r="CS13" t="s">
        <v>1513</v>
      </c>
      <c r="CT13" t="str">
        <f>"-0.00144***"</f>
        <v>-0.00144***</v>
      </c>
      <c r="CU13" t="s">
        <v>720</v>
      </c>
      <c r="CV13" t="s">
        <v>1513</v>
      </c>
      <c r="CW13" t="str">
        <f>"-0.00149***"</f>
        <v>-0.00149***</v>
      </c>
      <c r="CX13" t="s">
        <v>681</v>
      </c>
      <c r="CY13" t="s">
        <v>1512</v>
      </c>
      <c r="CZ13" t="str">
        <f>"-0.00156***"</f>
        <v>-0.00156***</v>
      </c>
      <c r="DA13" t="s">
        <v>652</v>
      </c>
      <c r="DB13" t="s">
        <v>1512</v>
      </c>
      <c r="DC13" t="str">
        <f>"-0.00160***"</f>
        <v>-0.00160***</v>
      </c>
      <c r="DD13" t="s">
        <v>652</v>
      </c>
      <c r="DE13" t="s">
        <v>812</v>
      </c>
      <c r="DF13" t="str">
        <f>"-0.00161***"</f>
        <v>-0.00161***</v>
      </c>
      <c r="DG13" t="s">
        <v>1014</v>
      </c>
      <c r="DH13" t="s">
        <v>812</v>
      </c>
      <c r="DI13" t="str">
        <f>"-0.00176***"</f>
        <v>-0.00176***</v>
      </c>
      <c r="DJ13" t="s">
        <v>933</v>
      </c>
      <c r="DK13" t="s">
        <v>1089</v>
      </c>
      <c r="DL13" t="str">
        <f>"-0.00183***"</f>
        <v>-0.00183***</v>
      </c>
      <c r="DM13" t="s">
        <v>717</v>
      </c>
      <c r="DN13" t="s">
        <v>1453</v>
      </c>
      <c r="DO13" t="str">
        <f>"-0.00185***"</f>
        <v>-0.00185***</v>
      </c>
      <c r="DP13" t="s">
        <v>717</v>
      </c>
      <c r="DQ13" t="s">
        <v>1453</v>
      </c>
      <c r="DR13" t="str">
        <f>"-0.00193***"</f>
        <v>-0.00193***</v>
      </c>
      <c r="DS13" t="s">
        <v>639</v>
      </c>
      <c r="DT13" t="s">
        <v>1453</v>
      </c>
      <c r="DU13" t="str">
        <f>"-0.00196***"</f>
        <v>-0.00196***</v>
      </c>
      <c r="DV13" t="s">
        <v>1012</v>
      </c>
      <c r="DW13" t="s">
        <v>1453</v>
      </c>
      <c r="DX13" t="str">
        <f>"-0.00198***"</f>
        <v>-0.00198***</v>
      </c>
      <c r="DY13" t="s">
        <v>1012</v>
      </c>
      <c r="DZ13" t="s">
        <v>1511</v>
      </c>
      <c r="EA13" t="str">
        <f>"-0.00198***"</f>
        <v>-0.00198***</v>
      </c>
      <c r="EB13" t="s">
        <v>1012</v>
      </c>
      <c r="EC13" t="s">
        <v>1511</v>
      </c>
      <c r="ED13" t="str">
        <f>"-0.00196***"</f>
        <v>-0.00196***</v>
      </c>
      <c r="EE13" t="s">
        <v>1012</v>
      </c>
      <c r="EF13" t="s">
        <v>1511</v>
      </c>
      <c r="EG13" t="str">
        <f>"-0.00201***"</f>
        <v>-0.00201***</v>
      </c>
      <c r="EH13" t="s">
        <v>1012</v>
      </c>
      <c r="EI13" t="s">
        <v>1511</v>
      </c>
      <c r="EJ13" t="str">
        <f>"-0.00205***"</f>
        <v>-0.00205***</v>
      </c>
      <c r="EK13" t="s">
        <v>945</v>
      </c>
      <c r="EL13" t="s">
        <v>1511</v>
      </c>
      <c r="EM13" t="str">
        <f>"-0.00202***"</f>
        <v>-0.00202***</v>
      </c>
      <c r="EN13" t="s">
        <v>1012</v>
      </c>
      <c r="EO13" t="s">
        <v>1511</v>
      </c>
      <c r="EP13" t="str">
        <f>"-0.00209***"</f>
        <v>-0.00209***</v>
      </c>
      <c r="EQ13" t="s">
        <v>945</v>
      </c>
      <c r="ER13" t="s">
        <v>1510</v>
      </c>
      <c r="ES13" t="str">
        <f>"-0.00214***"</f>
        <v>-0.00214***</v>
      </c>
      <c r="ET13" t="s">
        <v>911</v>
      </c>
      <c r="EU13" t="s">
        <v>1510</v>
      </c>
      <c r="EV13" t="str">
        <f>"-0.00217***"</f>
        <v>-0.00217***</v>
      </c>
      <c r="EW13" t="s">
        <v>911</v>
      </c>
      <c r="EX13" t="s">
        <v>1510</v>
      </c>
      <c r="EY13" t="str">
        <f>"-0.00227***"</f>
        <v>-0.00227***</v>
      </c>
      <c r="EZ13" t="s">
        <v>783</v>
      </c>
      <c r="FA13" t="s">
        <v>1509</v>
      </c>
      <c r="FB13" t="str">
        <f>"-0.00241***"</f>
        <v>-0.00241***</v>
      </c>
      <c r="FC13" t="s">
        <v>920</v>
      </c>
      <c r="FD13" t="s">
        <v>962</v>
      </c>
      <c r="FE13" t="str">
        <f>"-0.00256***"</f>
        <v>-0.00256***</v>
      </c>
      <c r="FF13" t="s">
        <v>677</v>
      </c>
      <c r="FG13" t="s">
        <v>1452</v>
      </c>
      <c r="FH13" t="str">
        <f>"-0.00257***"</f>
        <v>-0.00257***</v>
      </c>
      <c r="FI13" t="s">
        <v>677</v>
      </c>
      <c r="FJ13" t="s">
        <v>1452</v>
      </c>
      <c r="FK13" t="str">
        <f>"-0.00260***"</f>
        <v>-0.00260***</v>
      </c>
      <c r="FL13" t="s">
        <v>677</v>
      </c>
      <c r="FM13" t="s">
        <v>1508</v>
      </c>
      <c r="FN13" t="str">
        <f>"-0.00260***"</f>
        <v>-0.00260***</v>
      </c>
      <c r="FO13" t="s">
        <v>677</v>
      </c>
      <c r="FP13" t="s">
        <v>1508</v>
      </c>
      <c r="FQ13" t="str">
        <f>"-0.00261***"</f>
        <v>-0.00261***</v>
      </c>
      <c r="FR13" t="s">
        <v>677</v>
      </c>
      <c r="FS13" t="s">
        <v>1508</v>
      </c>
      <c r="FT13" t="str">
        <f>"-0.00268***"</f>
        <v>-0.00268***</v>
      </c>
      <c r="FU13" t="s">
        <v>640</v>
      </c>
      <c r="FV13" t="s">
        <v>1508</v>
      </c>
      <c r="FW13" t="str">
        <f>"-0.00260***"</f>
        <v>-0.00260***</v>
      </c>
      <c r="FX13" t="s">
        <v>677</v>
      </c>
      <c r="FY13" t="s">
        <v>1508</v>
      </c>
      <c r="FZ13" t="str">
        <f>"-0.00257***"</f>
        <v>-0.00257***</v>
      </c>
      <c r="GA13" t="s">
        <v>677</v>
      </c>
      <c r="GB13" t="s">
        <v>1452</v>
      </c>
      <c r="GC13" t="str">
        <f>"-0.00273***"</f>
        <v>-0.00273***</v>
      </c>
      <c r="GD13" t="s">
        <v>703</v>
      </c>
      <c r="GE13" t="s">
        <v>1507</v>
      </c>
      <c r="GF13" t="str">
        <f>"-0.00291***"</f>
        <v>-0.00291***</v>
      </c>
      <c r="GG13" t="s">
        <v>700</v>
      </c>
      <c r="GH13" t="s">
        <v>1506</v>
      </c>
      <c r="GI13" t="str">
        <f>"-0.00302***"</f>
        <v>-0.00302***</v>
      </c>
      <c r="GJ13" t="s">
        <v>919</v>
      </c>
      <c r="GK13" t="s">
        <v>1115</v>
      </c>
      <c r="GL13" t="str">
        <f>"-0.00310***"</f>
        <v>-0.00310***</v>
      </c>
      <c r="GM13" t="s">
        <v>697</v>
      </c>
      <c r="GN13" t="s">
        <v>705</v>
      </c>
      <c r="GO13" t="str">
        <f>"-0.00313***"</f>
        <v>-0.00313***</v>
      </c>
      <c r="GP13" t="s">
        <v>1088</v>
      </c>
      <c r="GQ13" t="s">
        <v>705</v>
      </c>
      <c r="GR13" t="str">
        <f>"-0.00324***"</f>
        <v>-0.00324***</v>
      </c>
      <c r="GS13" t="s">
        <v>650</v>
      </c>
      <c r="GT13" t="s">
        <v>1201</v>
      </c>
      <c r="GU13" t="str">
        <f>"-0.00324***"</f>
        <v>-0.00324***</v>
      </c>
      <c r="GV13" t="s">
        <v>650</v>
      </c>
      <c r="GW13" t="s">
        <v>1201</v>
      </c>
      <c r="GX13" t="str">
        <f>"-0.00317***"</f>
        <v>-0.00317***</v>
      </c>
      <c r="GY13" t="s">
        <v>1088</v>
      </c>
      <c r="GZ13" t="s">
        <v>705</v>
      </c>
      <c r="HA13" t="str">
        <f>"-0.00321***"</f>
        <v>-0.00321***</v>
      </c>
      <c r="HB13" t="s">
        <v>650</v>
      </c>
      <c r="HC13" t="s">
        <v>1201</v>
      </c>
      <c r="HD13" t="str">
        <f>"-0.00349***"</f>
        <v>-0.00349***</v>
      </c>
      <c r="HE13" t="s">
        <v>670</v>
      </c>
      <c r="HF13" t="s">
        <v>1503</v>
      </c>
      <c r="HG13" t="str">
        <f>"-0.00366***"</f>
        <v>-0.00366***</v>
      </c>
      <c r="HH13" t="s">
        <v>914</v>
      </c>
      <c r="HI13" t="s">
        <v>1063</v>
      </c>
      <c r="HJ13" t="str">
        <f>"-0.00371***"</f>
        <v>-0.00371***</v>
      </c>
      <c r="HK13" t="s">
        <v>666</v>
      </c>
      <c r="HL13" t="s">
        <v>1502</v>
      </c>
      <c r="HM13" t="str">
        <f>"-0.00377***"</f>
        <v>-0.00377***</v>
      </c>
      <c r="HN13" t="s">
        <v>666</v>
      </c>
      <c r="HO13" t="s">
        <v>1502</v>
      </c>
      <c r="HP13" t="str">
        <f>"-0.00376***"</f>
        <v>-0.00376***</v>
      </c>
      <c r="HQ13" t="s">
        <v>666</v>
      </c>
      <c r="HR13" t="s">
        <v>1502</v>
      </c>
      <c r="HS13" t="str">
        <f>"-0.00383***"</f>
        <v>-0.00383***</v>
      </c>
      <c r="HT13" t="s">
        <v>693</v>
      </c>
      <c r="HU13" t="s">
        <v>1504</v>
      </c>
      <c r="HV13" t="str">
        <f>"-0.00362***"</f>
        <v>-0.00362***</v>
      </c>
      <c r="HW13" t="s">
        <v>914</v>
      </c>
      <c r="HX13" t="s">
        <v>1063</v>
      </c>
      <c r="HY13" t="str">
        <f>"-0.00381***"</f>
        <v>-0.00381***</v>
      </c>
      <c r="HZ13" t="s">
        <v>693</v>
      </c>
      <c r="IA13" t="s">
        <v>1502</v>
      </c>
      <c r="IB13" t="str">
        <f>"-0.00396***"</f>
        <v>-0.00396***</v>
      </c>
      <c r="IC13" t="s">
        <v>910</v>
      </c>
      <c r="ID13" t="s">
        <v>1500</v>
      </c>
      <c r="IE13" t="str">
        <f>"-0.00412***"</f>
        <v>-0.00412***</v>
      </c>
      <c r="IF13" t="s">
        <v>1451</v>
      </c>
      <c r="IG13" t="s">
        <v>847</v>
      </c>
      <c r="IH13" t="str">
        <f>"-0.00428***"</f>
        <v>-0.00428***</v>
      </c>
      <c r="II13" t="s">
        <v>672</v>
      </c>
      <c r="IJ13" t="s">
        <v>1111</v>
      </c>
      <c r="IK13" t="str">
        <f>"-0.00411***"</f>
        <v>-0.00411***</v>
      </c>
      <c r="IL13" t="s">
        <v>1451</v>
      </c>
      <c r="IM13" t="s">
        <v>847</v>
      </c>
      <c r="IN13" t="str">
        <f>"-0.00390***"</f>
        <v>-0.00390***</v>
      </c>
      <c r="IO13" t="s">
        <v>1505</v>
      </c>
      <c r="IP13" t="s">
        <v>1504</v>
      </c>
      <c r="IQ13" t="str">
        <f>"-0.00359***"</f>
        <v>-0.00359***</v>
      </c>
      <c r="IR13" t="s">
        <v>663</v>
      </c>
      <c r="IS13" t="s">
        <v>1503</v>
      </c>
      <c r="IT13" t="str">
        <f>"-0.00379***"</f>
        <v>-0.00379***</v>
      </c>
      <c r="IU13" t="s">
        <v>693</v>
      </c>
      <c r="IV13" t="s">
        <v>1502</v>
      </c>
      <c r="IW13" t="str">
        <f>"-0.00474***"</f>
        <v>-0.00474***</v>
      </c>
      <c r="IX13" t="s">
        <v>1159</v>
      </c>
      <c r="IY13" t="s">
        <v>1448</v>
      </c>
      <c r="IZ13" t="str">
        <f>"-0.00457***"</f>
        <v>-0.00457***</v>
      </c>
      <c r="JA13" t="s">
        <v>741</v>
      </c>
      <c r="JB13" t="s">
        <v>960</v>
      </c>
      <c r="JC13" t="str">
        <f>"-0.00448***"</f>
        <v>-0.00448***</v>
      </c>
      <c r="JD13" t="s">
        <v>1002</v>
      </c>
      <c r="JE13" t="s">
        <v>825</v>
      </c>
      <c r="JF13" t="str">
        <f>"-0.00458***"</f>
        <v>-0.00458***</v>
      </c>
      <c r="JG13" t="s">
        <v>741</v>
      </c>
      <c r="JH13" t="s">
        <v>960</v>
      </c>
      <c r="JI13" t="str">
        <f>"-0.00440***"</f>
        <v>-0.00440***</v>
      </c>
      <c r="JJ13" t="s">
        <v>1118</v>
      </c>
      <c r="JK13" t="s">
        <v>825</v>
      </c>
      <c r="JL13" t="str">
        <f>"-0.00419***"</f>
        <v>-0.00419***</v>
      </c>
      <c r="JM13" t="s">
        <v>909</v>
      </c>
      <c r="JN13" t="s">
        <v>847</v>
      </c>
      <c r="JO13" t="str">
        <f>"-0.00490***"</f>
        <v>-0.00490***</v>
      </c>
      <c r="JP13" t="s">
        <v>1120</v>
      </c>
      <c r="JQ13" t="s">
        <v>826</v>
      </c>
      <c r="JR13" t="str">
        <f>"-0.00560***"</f>
        <v>-0.00560***</v>
      </c>
      <c r="JS13" t="s">
        <v>967</v>
      </c>
      <c r="JT13" t="s">
        <v>819</v>
      </c>
      <c r="JU13" t="str">
        <f>"-0.00496***"</f>
        <v>-0.00496***</v>
      </c>
      <c r="JV13" t="s">
        <v>654</v>
      </c>
      <c r="JW13" t="s">
        <v>826</v>
      </c>
      <c r="JX13" t="str">
        <f>"-0.00566***"</f>
        <v>-0.00566***</v>
      </c>
      <c r="JY13" t="s">
        <v>781</v>
      </c>
      <c r="JZ13" t="s">
        <v>819</v>
      </c>
      <c r="KA13" t="str">
        <f>"-0.00452***"</f>
        <v>-0.00452***</v>
      </c>
      <c r="KB13" t="s">
        <v>741</v>
      </c>
      <c r="KC13" t="s">
        <v>825</v>
      </c>
      <c r="KD13" t="str">
        <f>"-0.00561***"</f>
        <v>-0.00561***</v>
      </c>
      <c r="KE13" t="s">
        <v>781</v>
      </c>
      <c r="KF13" t="s">
        <v>808</v>
      </c>
      <c r="KG13" t="str">
        <f>"-0.00531***"</f>
        <v>-0.00531***</v>
      </c>
      <c r="KH13" t="s">
        <v>897</v>
      </c>
      <c r="KI13" t="s">
        <v>1501</v>
      </c>
      <c r="KJ13" t="str">
        <f>"-0.00454***"</f>
        <v>-0.00454***</v>
      </c>
      <c r="KK13" t="s">
        <v>1120</v>
      </c>
      <c r="KL13" t="s">
        <v>1500</v>
      </c>
    </row>
    <row r="14" spans="1:298" x14ac:dyDescent="0.2">
      <c r="A14" t="str">
        <f>"rural"</f>
        <v>rural</v>
      </c>
      <c r="B14" t="str">
        <f>"0.00204**"</f>
        <v>0.00204**</v>
      </c>
      <c r="C14" t="s">
        <v>926</v>
      </c>
      <c r="D14" t="s">
        <v>907</v>
      </c>
      <c r="E14" t="str">
        <f>"0.00242***"</f>
        <v>0.00242***</v>
      </c>
      <c r="F14" t="s">
        <v>924</v>
      </c>
      <c r="G14" t="s">
        <v>590</v>
      </c>
      <c r="H14" t="str">
        <f>"0.00221***"</f>
        <v>0.00221***</v>
      </c>
      <c r="I14" t="s">
        <v>927</v>
      </c>
      <c r="J14" t="s">
        <v>601</v>
      </c>
      <c r="K14" t="str">
        <f>"0.00196***"</f>
        <v>0.00196***</v>
      </c>
      <c r="L14" t="s">
        <v>926</v>
      </c>
      <c r="M14" t="s">
        <v>915</v>
      </c>
      <c r="N14" t="str">
        <f>"0.00174***"</f>
        <v>0.00174***</v>
      </c>
      <c r="O14" t="s">
        <v>730</v>
      </c>
      <c r="P14" t="s">
        <v>701</v>
      </c>
      <c r="Q14" t="str">
        <f>"0.00167***"</f>
        <v>0.00167***</v>
      </c>
      <c r="R14" t="s">
        <v>730</v>
      </c>
      <c r="S14" t="s">
        <v>797</v>
      </c>
      <c r="T14" t="str">
        <f>"0.00157***"</f>
        <v>0.00157***</v>
      </c>
      <c r="U14" t="s">
        <v>730</v>
      </c>
      <c r="V14" t="s">
        <v>906</v>
      </c>
      <c r="W14" t="str">
        <f>"0.00146***"</f>
        <v>0.00146***</v>
      </c>
      <c r="X14" t="s">
        <v>923</v>
      </c>
      <c r="Y14" t="s">
        <v>799</v>
      </c>
      <c r="Z14" t="str">
        <f>"0.00138***"</f>
        <v>0.00138***</v>
      </c>
      <c r="AA14" t="s">
        <v>923</v>
      </c>
      <c r="AB14" t="s">
        <v>685</v>
      </c>
      <c r="AC14" t="str">
        <f>"0.00108***"</f>
        <v>0.00108***</v>
      </c>
      <c r="AD14" t="s">
        <v>719</v>
      </c>
      <c r="AE14" t="s">
        <v>588</v>
      </c>
      <c r="AF14" t="str">
        <f>"0.000986***"</f>
        <v>0.000986***</v>
      </c>
      <c r="AG14" t="s">
        <v>683</v>
      </c>
      <c r="AH14" t="s">
        <v>918</v>
      </c>
      <c r="AI14" t="str">
        <f>"0.000868***"</f>
        <v>0.000868***</v>
      </c>
      <c r="AJ14" t="s">
        <v>683</v>
      </c>
      <c r="AK14" t="s">
        <v>1067</v>
      </c>
      <c r="AL14" t="str">
        <f>"0.000778***"</f>
        <v>0.000778***</v>
      </c>
      <c r="AM14" t="s">
        <v>708</v>
      </c>
      <c r="AN14" t="s">
        <v>936</v>
      </c>
      <c r="AO14" t="str">
        <f>"0.000661***"</f>
        <v>0.000661***</v>
      </c>
      <c r="AP14" t="s">
        <v>708</v>
      </c>
      <c r="AQ14" t="s">
        <v>937</v>
      </c>
      <c r="AR14" t="str">
        <f>"0.000524***"</f>
        <v>0.000524***</v>
      </c>
      <c r="AS14" t="s">
        <v>722</v>
      </c>
      <c r="AT14" t="s">
        <v>1457</v>
      </c>
      <c r="AU14" t="str">
        <f>"0.000469***"</f>
        <v>0.000469***</v>
      </c>
      <c r="AV14" t="s">
        <v>722</v>
      </c>
      <c r="AW14" t="s">
        <v>1196</v>
      </c>
      <c r="AX14" t="str">
        <f>"0.000428***"</f>
        <v>0.000428***</v>
      </c>
      <c r="AY14" t="s">
        <v>722</v>
      </c>
      <c r="AZ14" t="s">
        <v>1196</v>
      </c>
      <c r="BA14" t="str">
        <f>"0.000407***"</f>
        <v>0.000407***</v>
      </c>
      <c r="BB14" t="s">
        <v>722</v>
      </c>
      <c r="BC14" t="s">
        <v>817</v>
      </c>
      <c r="BD14" t="str">
        <f>"0.000375***"</f>
        <v>0.000375***</v>
      </c>
      <c r="BE14" t="s">
        <v>722</v>
      </c>
      <c r="BF14" t="s">
        <v>817</v>
      </c>
      <c r="BG14" t="str">
        <f>"0.000355***"</f>
        <v>0.000355***</v>
      </c>
      <c r="BH14" t="s">
        <v>736</v>
      </c>
      <c r="BI14" t="s">
        <v>817</v>
      </c>
      <c r="BJ14" t="str">
        <f>"0.000345***"</f>
        <v>0.000345***</v>
      </c>
      <c r="BK14" t="s">
        <v>736</v>
      </c>
      <c r="BL14" t="s">
        <v>709</v>
      </c>
      <c r="BM14" t="str">
        <f>"0.000330***"</f>
        <v>0.000330***</v>
      </c>
      <c r="BN14" t="s">
        <v>736</v>
      </c>
      <c r="BO14" t="s">
        <v>709</v>
      </c>
      <c r="BP14" t="str">
        <f>"0.000321***"</f>
        <v>0.000321***</v>
      </c>
      <c r="BQ14" t="s">
        <v>736</v>
      </c>
      <c r="BR14" t="s">
        <v>709</v>
      </c>
      <c r="BS14" t="str">
        <f>"0.000316***"</f>
        <v>0.000316***</v>
      </c>
      <c r="BT14" t="s">
        <v>736</v>
      </c>
      <c r="BU14" t="s">
        <v>709</v>
      </c>
      <c r="BV14" t="str">
        <f>"0.000302***"</f>
        <v>0.000302***</v>
      </c>
      <c r="BW14" t="s">
        <v>736</v>
      </c>
      <c r="BX14" t="s">
        <v>709</v>
      </c>
      <c r="BY14" t="str">
        <f>"0.000300***"</f>
        <v>0.000300***</v>
      </c>
      <c r="BZ14" t="s">
        <v>736</v>
      </c>
      <c r="CA14" t="s">
        <v>709</v>
      </c>
      <c r="CB14" t="str">
        <f>"0.000288***"</f>
        <v>0.000288***</v>
      </c>
      <c r="CC14" t="s">
        <v>736</v>
      </c>
      <c r="CD14" t="s">
        <v>709</v>
      </c>
      <c r="CE14" t="str">
        <f>"0.000276***"</f>
        <v>0.000276***</v>
      </c>
      <c r="CF14" t="s">
        <v>736</v>
      </c>
      <c r="CG14" t="s">
        <v>802</v>
      </c>
      <c r="CH14" t="str">
        <f>"0.000278***"</f>
        <v>0.000278***</v>
      </c>
      <c r="CI14" t="s">
        <v>736</v>
      </c>
      <c r="CJ14" t="s">
        <v>802</v>
      </c>
      <c r="CK14" t="str">
        <f>"0.000269***"</f>
        <v>0.000269***</v>
      </c>
      <c r="CL14" t="s">
        <v>736</v>
      </c>
      <c r="CM14" t="s">
        <v>802</v>
      </c>
      <c r="CN14" t="str">
        <f>"0.000267***"</f>
        <v>0.000267***</v>
      </c>
      <c r="CO14" t="s">
        <v>736</v>
      </c>
      <c r="CP14" t="s">
        <v>802</v>
      </c>
      <c r="CQ14" t="str">
        <f>"0.000264***"</f>
        <v>0.000264***</v>
      </c>
      <c r="CR14" t="s">
        <v>736</v>
      </c>
      <c r="CS14" t="s">
        <v>802</v>
      </c>
      <c r="CT14" t="str">
        <f>"0.000271***"</f>
        <v>0.000271***</v>
      </c>
      <c r="CU14" t="s">
        <v>736</v>
      </c>
      <c r="CV14" t="s">
        <v>802</v>
      </c>
      <c r="CW14" t="str">
        <f>"0.000275***"</f>
        <v>0.000275***</v>
      </c>
      <c r="CX14" t="s">
        <v>736</v>
      </c>
      <c r="CY14" t="s">
        <v>802</v>
      </c>
      <c r="CZ14" t="str">
        <f>"0.000287***"</f>
        <v>0.000287***</v>
      </c>
      <c r="DA14" t="s">
        <v>736</v>
      </c>
      <c r="DB14" t="s">
        <v>709</v>
      </c>
      <c r="DC14" t="str">
        <f>"0.000285***"</f>
        <v>0.000285***</v>
      </c>
      <c r="DD14" t="s">
        <v>736</v>
      </c>
      <c r="DE14" t="s">
        <v>709</v>
      </c>
      <c r="DF14" t="str">
        <f>"0.000284***"</f>
        <v>0.000284***</v>
      </c>
      <c r="DG14" t="s">
        <v>736</v>
      </c>
      <c r="DH14" t="s">
        <v>709</v>
      </c>
      <c r="DI14" t="str">
        <f>"0.000291***"</f>
        <v>0.000291***</v>
      </c>
      <c r="DJ14" t="s">
        <v>736</v>
      </c>
      <c r="DK14" t="s">
        <v>709</v>
      </c>
      <c r="DL14" t="str">
        <f>"0.000289***"</f>
        <v>0.000289***</v>
      </c>
      <c r="DM14" t="s">
        <v>736</v>
      </c>
      <c r="DN14" t="s">
        <v>709</v>
      </c>
      <c r="DO14" t="str">
        <f>"0.000290***"</f>
        <v>0.000290***</v>
      </c>
      <c r="DP14" t="s">
        <v>736</v>
      </c>
      <c r="DQ14" t="s">
        <v>709</v>
      </c>
      <c r="DR14" t="str">
        <f>"0.000292***"</f>
        <v>0.000292***</v>
      </c>
      <c r="DS14" t="s">
        <v>736</v>
      </c>
      <c r="DT14" t="s">
        <v>709</v>
      </c>
      <c r="DU14" t="str">
        <f>"0.000294***"</f>
        <v>0.000294***</v>
      </c>
      <c r="DV14" t="s">
        <v>736</v>
      </c>
      <c r="DW14" t="s">
        <v>709</v>
      </c>
      <c r="DX14" t="str">
        <f>"0.000290***"</f>
        <v>0.000290***</v>
      </c>
      <c r="DY14" t="s">
        <v>736</v>
      </c>
      <c r="DZ14" t="s">
        <v>709</v>
      </c>
      <c r="EA14" t="str">
        <f>"0.000285***"</f>
        <v>0.000285***</v>
      </c>
      <c r="EB14" t="s">
        <v>736</v>
      </c>
      <c r="EC14" t="s">
        <v>709</v>
      </c>
      <c r="ED14" t="str">
        <f>"0.000276***"</f>
        <v>0.000276***</v>
      </c>
      <c r="EE14" t="s">
        <v>736</v>
      </c>
      <c r="EF14" t="s">
        <v>802</v>
      </c>
      <c r="EG14" t="str">
        <f>"0.000279***"</f>
        <v>0.000279***</v>
      </c>
      <c r="EH14" t="s">
        <v>736</v>
      </c>
      <c r="EI14" t="s">
        <v>802</v>
      </c>
      <c r="EJ14" t="str">
        <f>"0.000274***"</f>
        <v>0.000274***</v>
      </c>
      <c r="EK14" t="s">
        <v>736</v>
      </c>
      <c r="EL14" t="s">
        <v>802</v>
      </c>
      <c r="EM14" t="str">
        <f>"0.000261***"</f>
        <v>0.000261***</v>
      </c>
      <c r="EN14" t="s">
        <v>736</v>
      </c>
      <c r="EO14" t="s">
        <v>802</v>
      </c>
      <c r="EP14" t="str">
        <f>"0.000257***"</f>
        <v>0.000257***</v>
      </c>
      <c r="EQ14" t="s">
        <v>736</v>
      </c>
      <c r="ER14" t="s">
        <v>802</v>
      </c>
      <c r="ES14" t="str">
        <f>"0.000252***"</f>
        <v>0.000252***</v>
      </c>
      <c r="ET14" t="s">
        <v>736</v>
      </c>
      <c r="EU14" t="s">
        <v>802</v>
      </c>
      <c r="EV14" t="str">
        <f>"0.000252***"</f>
        <v>0.000252***</v>
      </c>
      <c r="EW14" t="s">
        <v>736</v>
      </c>
      <c r="EX14" t="s">
        <v>802</v>
      </c>
      <c r="EY14" t="str">
        <f>"0.000264***"</f>
        <v>0.000264***</v>
      </c>
      <c r="EZ14" t="s">
        <v>736</v>
      </c>
      <c r="FA14" t="s">
        <v>802</v>
      </c>
      <c r="FB14" t="str">
        <f>"0.000274***"</f>
        <v>0.000274***</v>
      </c>
      <c r="FC14" t="s">
        <v>736</v>
      </c>
      <c r="FD14" t="s">
        <v>802</v>
      </c>
      <c r="FE14" t="str">
        <f>"0.000276***"</f>
        <v>0.000276***</v>
      </c>
      <c r="FF14" t="s">
        <v>736</v>
      </c>
      <c r="FG14" t="s">
        <v>802</v>
      </c>
      <c r="FH14" t="str">
        <f>"0.000276***"</f>
        <v>0.000276***</v>
      </c>
      <c r="FI14" t="s">
        <v>736</v>
      </c>
      <c r="FJ14" t="s">
        <v>802</v>
      </c>
      <c r="FK14" t="str">
        <f>"0.000270***"</f>
        <v>0.000270***</v>
      </c>
      <c r="FL14" t="s">
        <v>736</v>
      </c>
      <c r="FM14" t="s">
        <v>802</v>
      </c>
      <c r="FN14" t="str">
        <f>"0.000255***"</f>
        <v>0.000255***</v>
      </c>
      <c r="FO14" t="s">
        <v>736</v>
      </c>
      <c r="FP14" t="s">
        <v>802</v>
      </c>
      <c r="FQ14" t="str">
        <f>"0.000251***"</f>
        <v>0.000251***</v>
      </c>
      <c r="FR14" t="s">
        <v>736</v>
      </c>
      <c r="FS14" t="s">
        <v>802</v>
      </c>
      <c r="FT14" t="str">
        <f>"0.000257***"</f>
        <v>0.000257***</v>
      </c>
      <c r="FU14" t="s">
        <v>736</v>
      </c>
      <c r="FV14" t="s">
        <v>802</v>
      </c>
      <c r="FW14" t="str">
        <f>"0.000246***"</f>
        <v>0.000246***</v>
      </c>
      <c r="FX14" t="s">
        <v>736</v>
      </c>
      <c r="FY14" t="s">
        <v>802</v>
      </c>
      <c r="FZ14" t="str">
        <f>"0.000244***"</f>
        <v>0.000244***</v>
      </c>
      <c r="GA14" t="s">
        <v>736</v>
      </c>
      <c r="GB14" t="s">
        <v>802</v>
      </c>
      <c r="GC14" t="str">
        <f>"0.000246***"</f>
        <v>0.000246***</v>
      </c>
      <c r="GD14" t="s">
        <v>736</v>
      </c>
      <c r="GE14" t="s">
        <v>802</v>
      </c>
      <c r="GF14" t="str">
        <f>"0.000248***"</f>
        <v>0.000248***</v>
      </c>
      <c r="GG14" t="s">
        <v>736</v>
      </c>
      <c r="GH14" t="s">
        <v>802</v>
      </c>
      <c r="GI14" t="str">
        <f>"0.000246**"</f>
        <v>0.000246**</v>
      </c>
      <c r="GJ14" t="s">
        <v>736</v>
      </c>
      <c r="GK14" t="s">
        <v>802</v>
      </c>
      <c r="GL14" t="str">
        <f>"0.000256***"</f>
        <v>0.000256***</v>
      </c>
      <c r="GM14" t="s">
        <v>736</v>
      </c>
      <c r="GN14" t="s">
        <v>802</v>
      </c>
      <c r="GO14" t="str">
        <f>"0.000263***"</f>
        <v>0.000263***</v>
      </c>
      <c r="GP14" t="s">
        <v>736</v>
      </c>
      <c r="GQ14" t="s">
        <v>802</v>
      </c>
      <c r="GR14" t="str">
        <f>"0.000252***"</f>
        <v>0.000252***</v>
      </c>
      <c r="GS14" t="s">
        <v>736</v>
      </c>
      <c r="GT14" t="s">
        <v>802</v>
      </c>
      <c r="GU14" t="str">
        <f>"0.000245**"</f>
        <v>0.000245**</v>
      </c>
      <c r="GV14" t="s">
        <v>736</v>
      </c>
      <c r="GW14" t="s">
        <v>802</v>
      </c>
      <c r="GX14" t="str">
        <f>"0.000248***"</f>
        <v>0.000248***</v>
      </c>
      <c r="GY14" t="s">
        <v>736</v>
      </c>
      <c r="GZ14" t="s">
        <v>802</v>
      </c>
      <c r="HA14" t="str">
        <f>"0.000257***"</f>
        <v>0.000257***</v>
      </c>
      <c r="HB14" t="s">
        <v>736</v>
      </c>
      <c r="HC14" t="s">
        <v>802</v>
      </c>
      <c r="HD14" t="str">
        <f>"0.000284***"</f>
        <v>0.000284***</v>
      </c>
      <c r="HE14" t="s">
        <v>736</v>
      </c>
      <c r="HF14" t="s">
        <v>709</v>
      </c>
      <c r="HG14" t="str">
        <f>"0.000300***"</f>
        <v>0.000300***</v>
      </c>
      <c r="HH14" t="s">
        <v>736</v>
      </c>
      <c r="HI14" t="s">
        <v>709</v>
      </c>
      <c r="HJ14" t="str">
        <f>"0.000284***"</f>
        <v>0.000284***</v>
      </c>
      <c r="HK14" t="s">
        <v>736</v>
      </c>
      <c r="HL14" t="s">
        <v>709</v>
      </c>
      <c r="HM14" t="str">
        <f>"0.000293***"</f>
        <v>0.000293***</v>
      </c>
      <c r="HN14" t="s">
        <v>736</v>
      </c>
      <c r="HO14" t="s">
        <v>709</v>
      </c>
      <c r="HP14" t="str">
        <f>"0.000291***"</f>
        <v>0.000291***</v>
      </c>
      <c r="HQ14" t="s">
        <v>736</v>
      </c>
      <c r="HR14" t="s">
        <v>709</v>
      </c>
      <c r="HS14" t="str">
        <f>"0.000288***"</f>
        <v>0.000288***</v>
      </c>
      <c r="HT14" t="s">
        <v>736</v>
      </c>
      <c r="HU14" t="s">
        <v>709</v>
      </c>
      <c r="HV14" t="str">
        <f>"0.000272**"</f>
        <v>0.000272**</v>
      </c>
      <c r="HW14" t="s">
        <v>736</v>
      </c>
      <c r="HX14" t="s">
        <v>802</v>
      </c>
      <c r="HY14" t="str">
        <f>"0.000281**"</f>
        <v>0.000281**</v>
      </c>
      <c r="HZ14" t="s">
        <v>736</v>
      </c>
      <c r="IA14" t="s">
        <v>802</v>
      </c>
      <c r="IB14" t="str">
        <f>"0.000267**"</f>
        <v>0.000267**</v>
      </c>
      <c r="IC14" t="s">
        <v>736</v>
      </c>
      <c r="ID14" t="s">
        <v>802</v>
      </c>
      <c r="IE14" t="str">
        <f>"0.000261**"</f>
        <v>0.000261**</v>
      </c>
      <c r="IF14" t="s">
        <v>736</v>
      </c>
      <c r="IG14" t="s">
        <v>802</v>
      </c>
      <c r="IH14" t="str">
        <f>"0.000254**"</f>
        <v>0.000254**</v>
      </c>
      <c r="II14" t="s">
        <v>736</v>
      </c>
      <c r="IJ14" t="s">
        <v>802</v>
      </c>
      <c r="IK14" t="str">
        <f>"0.000240**"</f>
        <v>0.000240**</v>
      </c>
      <c r="IL14" t="s">
        <v>736</v>
      </c>
      <c r="IM14" t="s">
        <v>802</v>
      </c>
      <c r="IN14" t="str">
        <f>"0.000215**"</f>
        <v>0.000215**</v>
      </c>
      <c r="IO14" t="s">
        <v>736</v>
      </c>
      <c r="IP14" t="s">
        <v>661</v>
      </c>
      <c r="IQ14" t="str">
        <f>"0.000200**"</f>
        <v>0.000200**</v>
      </c>
      <c r="IR14" t="s">
        <v>736</v>
      </c>
      <c r="IS14" t="s">
        <v>661</v>
      </c>
      <c r="IT14" t="str">
        <f>"0.000175**"</f>
        <v>0.000175**</v>
      </c>
      <c r="IU14" t="s">
        <v>736</v>
      </c>
      <c r="IV14" t="s">
        <v>661</v>
      </c>
      <c r="IW14" t="str">
        <f>"0.000213**"</f>
        <v>0.000213**</v>
      </c>
      <c r="IX14" t="s">
        <v>736</v>
      </c>
      <c r="IY14" t="s">
        <v>661</v>
      </c>
      <c r="IZ14" t="str">
        <f>"0.000212**"</f>
        <v>0.000212**</v>
      </c>
      <c r="JA14" t="s">
        <v>736</v>
      </c>
      <c r="JB14" t="s">
        <v>661</v>
      </c>
      <c r="JC14" t="str">
        <f>"0.000198**"</f>
        <v>0.000198**</v>
      </c>
      <c r="JD14" t="s">
        <v>736</v>
      </c>
      <c r="JE14" t="s">
        <v>661</v>
      </c>
      <c r="JF14" t="str">
        <f>"0.000206**"</f>
        <v>0.000206**</v>
      </c>
      <c r="JG14" t="s">
        <v>736</v>
      </c>
      <c r="JH14" t="s">
        <v>661</v>
      </c>
      <c r="JI14" t="str">
        <f>"0.000187**"</f>
        <v>0.000187**</v>
      </c>
      <c r="JJ14" t="s">
        <v>736</v>
      </c>
      <c r="JK14" t="s">
        <v>661</v>
      </c>
      <c r="JL14" t="str">
        <f>"0.000175**"</f>
        <v>0.000175**</v>
      </c>
      <c r="JM14" t="s">
        <v>736</v>
      </c>
      <c r="JN14" t="s">
        <v>661</v>
      </c>
      <c r="JO14" t="str">
        <f>"0.000186**"</f>
        <v>0.000186**</v>
      </c>
      <c r="JP14" t="s">
        <v>736</v>
      </c>
      <c r="JQ14" t="s">
        <v>661</v>
      </c>
      <c r="JR14" t="str">
        <f>"0.000200**"</f>
        <v>0.000200**</v>
      </c>
      <c r="JS14" t="s">
        <v>736</v>
      </c>
      <c r="JT14" t="s">
        <v>661</v>
      </c>
      <c r="JU14" t="str">
        <f>"0.000164**"</f>
        <v>0.000164**</v>
      </c>
      <c r="JV14" t="s">
        <v>979</v>
      </c>
      <c r="JW14" t="s">
        <v>661</v>
      </c>
      <c r="JX14" t="str">
        <f>"0.000171**"</f>
        <v>0.000171**</v>
      </c>
      <c r="JY14" t="s">
        <v>979</v>
      </c>
      <c r="JZ14" t="s">
        <v>661</v>
      </c>
      <c r="KA14" t="str">
        <f>"0.000125*"</f>
        <v>0.000125*</v>
      </c>
      <c r="KB14" t="s">
        <v>979</v>
      </c>
      <c r="KC14" t="s">
        <v>1456</v>
      </c>
      <c r="KD14" t="str">
        <f>"0.000167*"</f>
        <v>0.000167*</v>
      </c>
      <c r="KE14" t="s">
        <v>979</v>
      </c>
      <c r="KF14" t="s">
        <v>661</v>
      </c>
      <c r="KG14" t="str">
        <f>"0.000116"</f>
        <v>0.000116</v>
      </c>
      <c r="KH14" t="s">
        <v>930</v>
      </c>
      <c r="KI14" t="s">
        <v>1456</v>
      </c>
      <c r="KJ14" t="str">
        <f>"0.000157"</f>
        <v>0.000157</v>
      </c>
      <c r="KK14" t="s">
        <v>930</v>
      </c>
      <c r="KL14" t="s">
        <v>661</v>
      </c>
    </row>
    <row r="15" spans="1:298" x14ac:dyDescent="0.2">
      <c r="A15" t="str">
        <f>"formal"</f>
        <v>formal</v>
      </c>
      <c r="B15" t="str">
        <f>"0.00793***"</f>
        <v>0.00793***</v>
      </c>
      <c r="C15" t="s">
        <v>1489</v>
      </c>
      <c r="D15" t="s">
        <v>1005</v>
      </c>
      <c r="E15" t="str">
        <f>"0.0114***"</f>
        <v>0.0114***</v>
      </c>
      <c r="F15" t="s">
        <v>1499</v>
      </c>
      <c r="G15" t="s">
        <v>642</v>
      </c>
      <c r="H15" t="str">
        <f>"0.0122***"</f>
        <v>0.0122***</v>
      </c>
      <c r="I15" t="s">
        <v>1498</v>
      </c>
      <c r="J15" t="s">
        <v>740</v>
      </c>
      <c r="K15" t="str">
        <f>"0.0125***"</f>
        <v>0.0125***</v>
      </c>
      <c r="L15" t="s">
        <v>1497</v>
      </c>
      <c r="M15" t="s">
        <v>947</v>
      </c>
      <c r="N15" t="str">
        <f>"0.0124***"</f>
        <v>0.0124***</v>
      </c>
      <c r="O15" t="s">
        <v>1497</v>
      </c>
      <c r="P15" t="s">
        <v>1190</v>
      </c>
      <c r="Q15" t="str">
        <f>"0.0137***"</f>
        <v>0.0137***</v>
      </c>
      <c r="R15" t="s">
        <v>1496</v>
      </c>
      <c r="S15" t="s">
        <v>534</v>
      </c>
      <c r="T15" t="str">
        <f>"0.0137***"</f>
        <v>0.0137***</v>
      </c>
      <c r="U15" t="s">
        <v>1495</v>
      </c>
      <c r="V15" t="s">
        <v>534</v>
      </c>
      <c r="W15" t="str">
        <f>"0.0132***"</f>
        <v>0.0132***</v>
      </c>
      <c r="X15" t="s">
        <v>1122</v>
      </c>
      <c r="Y15" t="s">
        <v>1494</v>
      </c>
      <c r="Z15" t="str">
        <f>"0.0135***"</f>
        <v>0.0135***</v>
      </c>
      <c r="AA15" t="s">
        <v>1493</v>
      </c>
      <c r="AB15" t="s">
        <v>1080</v>
      </c>
      <c r="AC15" t="str">
        <f>"0.0109***"</f>
        <v>0.0109***</v>
      </c>
      <c r="AD15" t="s">
        <v>1048</v>
      </c>
      <c r="AE15" t="s">
        <v>1016</v>
      </c>
      <c r="AF15" t="str">
        <f>"0.0106***"</f>
        <v>0.0106***</v>
      </c>
      <c r="AG15" t="s">
        <v>297</v>
      </c>
      <c r="AH15" t="s">
        <v>1492</v>
      </c>
      <c r="AI15" t="str">
        <f>"0.00994***"</f>
        <v>0.00994***</v>
      </c>
      <c r="AJ15" t="s">
        <v>1491</v>
      </c>
      <c r="AK15" t="s">
        <v>1054</v>
      </c>
      <c r="AL15" t="str">
        <f>"0.00897***"</f>
        <v>0.00897***</v>
      </c>
      <c r="AM15" t="s">
        <v>982</v>
      </c>
      <c r="AN15" t="s">
        <v>1490</v>
      </c>
      <c r="AO15" t="str">
        <f>"0.00779***"</f>
        <v>0.00779***</v>
      </c>
      <c r="AP15" t="s">
        <v>1489</v>
      </c>
      <c r="AQ15" t="s">
        <v>735</v>
      </c>
      <c r="AR15" t="str">
        <f>"0.00626***"</f>
        <v>0.00626***</v>
      </c>
      <c r="AS15" t="s">
        <v>646</v>
      </c>
      <c r="AT15" t="s">
        <v>577</v>
      </c>
      <c r="AU15" t="str">
        <f>"0.00555***"</f>
        <v>0.00555***</v>
      </c>
      <c r="AV15" t="s">
        <v>998</v>
      </c>
      <c r="AW15" t="s">
        <v>599</v>
      </c>
      <c r="AX15" t="str">
        <f>"0.00519***"</f>
        <v>0.00519***</v>
      </c>
      <c r="AY15" t="s">
        <v>1469</v>
      </c>
      <c r="AZ15" t="s">
        <v>723</v>
      </c>
      <c r="BA15" t="str">
        <f>"0.00500***"</f>
        <v>0.00500***</v>
      </c>
      <c r="BB15" t="s">
        <v>724</v>
      </c>
      <c r="BC15" t="s">
        <v>665</v>
      </c>
      <c r="BD15" t="str">
        <f>"0.00438***"</f>
        <v>0.00438***</v>
      </c>
      <c r="BE15" t="s">
        <v>1037</v>
      </c>
      <c r="BF15" t="s">
        <v>655</v>
      </c>
      <c r="BG15" t="str">
        <f>"0.00404***"</f>
        <v>0.00404***</v>
      </c>
      <c r="BH15" t="s">
        <v>343</v>
      </c>
      <c r="BI15" t="s">
        <v>1467</v>
      </c>
      <c r="BJ15" t="str">
        <f>"0.00384***"</f>
        <v>0.00384***</v>
      </c>
      <c r="BK15" t="s">
        <v>441</v>
      </c>
      <c r="BL15" t="s">
        <v>925</v>
      </c>
      <c r="BM15" t="str">
        <f>"0.00367***"</f>
        <v>0.00367***</v>
      </c>
      <c r="BN15" t="s">
        <v>1465</v>
      </c>
      <c r="BO15" t="s">
        <v>605</v>
      </c>
      <c r="BP15" t="str">
        <f>"0.00345***"</f>
        <v>0.00345***</v>
      </c>
      <c r="BQ15" t="s">
        <v>729</v>
      </c>
      <c r="BR15" t="s">
        <v>698</v>
      </c>
      <c r="BS15" t="str">
        <f>"0.00319***"</f>
        <v>0.00319***</v>
      </c>
      <c r="BT15" t="s">
        <v>779</v>
      </c>
      <c r="BU15" t="s">
        <v>696</v>
      </c>
      <c r="BV15" t="str">
        <f>"0.00295***"</f>
        <v>0.00295***</v>
      </c>
      <c r="BW15" t="s">
        <v>1462</v>
      </c>
      <c r="BX15" t="s">
        <v>829</v>
      </c>
      <c r="BY15" t="str">
        <f>"0.00274***"</f>
        <v>0.00274***</v>
      </c>
      <c r="BZ15" t="s">
        <v>1461</v>
      </c>
      <c r="CA15" t="s">
        <v>690</v>
      </c>
      <c r="CB15" t="str">
        <f>"0.00260***"</f>
        <v>0.00260***</v>
      </c>
      <c r="CC15" t="s">
        <v>1460</v>
      </c>
      <c r="CD15" t="s">
        <v>692</v>
      </c>
      <c r="CE15" t="str">
        <f>"0.00252***"</f>
        <v>0.00252***</v>
      </c>
      <c r="CF15" t="s">
        <v>638</v>
      </c>
      <c r="CG15" t="s">
        <v>915</v>
      </c>
      <c r="CH15" t="str">
        <f>"0.00242***"</f>
        <v>0.00242***</v>
      </c>
      <c r="CI15" t="s">
        <v>449</v>
      </c>
      <c r="CJ15" t="s">
        <v>917</v>
      </c>
      <c r="CK15" t="str">
        <f>"0.00238***"</f>
        <v>0.00238***</v>
      </c>
      <c r="CL15" t="s">
        <v>449</v>
      </c>
      <c r="CM15" t="s">
        <v>917</v>
      </c>
      <c r="CN15" t="str">
        <f>"0.00228***"</f>
        <v>0.00228***</v>
      </c>
      <c r="CO15" t="s">
        <v>1020</v>
      </c>
      <c r="CP15" t="s">
        <v>701</v>
      </c>
      <c r="CQ15" t="str">
        <f>"0.00214***"</f>
        <v>0.00214***</v>
      </c>
      <c r="CR15" t="s">
        <v>679</v>
      </c>
      <c r="CS15" t="s">
        <v>797</v>
      </c>
      <c r="CT15" t="str">
        <f>"0.00205***"</f>
        <v>0.00205***</v>
      </c>
      <c r="CU15" t="s">
        <v>986</v>
      </c>
      <c r="CV15" t="s">
        <v>667</v>
      </c>
      <c r="CW15" t="str">
        <f>"0.00197***"</f>
        <v>0.00197***</v>
      </c>
      <c r="CX15" t="s">
        <v>986</v>
      </c>
      <c r="CY15" t="s">
        <v>906</v>
      </c>
      <c r="CZ15" t="str">
        <f>"0.00192***"</f>
        <v>0.00192***</v>
      </c>
      <c r="DA15" t="s">
        <v>695</v>
      </c>
      <c r="DB15" t="s">
        <v>921</v>
      </c>
      <c r="DC15" t="str">
        <f>"0.00188***"</f>
        <v>0.00188***</v>
      </c>
      <c r="DD15" t="s">
        <v>695</v>
      </c>
      <c r="DE15" t="s">
        <v>921</v>
      </c>
      <c r="DF15" t="str">
        <f>"0.00188***"</f>
        <v>0.00188***</v>
      </c>
      <c r="DG15" t="s">
        <v>695</v>
      </c>
      <c r="DH15" t="s">
        <v>921</v>
      </c>
      <c r="DI15" t="str">
        <f>"0.00184***"</f>
        <v>0.00184***</v>
      </c>
      <c r="DJ15" t="s">
        <v>695</v>
      </c>
      <c r="DK15" t="s">
        <v>799</v>
      </c>
      <c r="DL15" t="str">
        <f>"0.00176***"</f>
        <v>0.00176***</v>
      </c>
      <c r="DM15" t="s">
        <v>1459</v>
      </c>
      <c r="DN15" t="s">
        <v>685</v>
      </c>
      <c r="DO15" t="str">
        <f>"0.00164***"</f>
        <v>0.00164***</v>
      </c>
      <c r="DP15" t="s">
        <v>1488</v>
      </c>
      <c r="DQ15" t="s">
        <v>800</v>
      </c>
      <c r="DR15" t="str">
        <f>"0.00157***"</f>
        <v>0.00157***</v>
      </c>
      <c r="DS15" t="s">
        <v>1488</v>
      </c>
      <c r="DT15" t="s">
        <v>912</v>
      </c>
      <c r="DU15" t="str">
        <f>"0.00143***"</f>
        <v>0.00143***</v>
      </c>
      <c r="DV15" t="s">
        <v>718</v>
      </c>
      <c r="DW15" t="s">
        <v>691</v>
      </c>
      <c r="DX15" t="str">
        <f>"0.00127***"</f>
        <v>0.00127***</v>
      </c>
      <c r="DY15" t="s">
        <v>927</v>
      </c>
      <c r="DZ15" t="s">
        <v>918</v>
      </c>
      <c r="EA15" t="str">
        <f>"0.00112***"</f>
        <v>0.00112***</v>
      </c>
      <c r="EB15" t="s">
        <v>926</v>
      </c>
      <c r="EC15" t="s">
        <v>1067</v>
      </c>
      <c r="ED15" t="str">
        <f>"0.000950***"</f>
        <v>0.000950***</v>
      </c>
      <c r="EE15" t="s">
        <v>730</v>
      </c>
      <c r="EF15" t="s">
        <v>936</v>
      </c>
      <c r="EG15" t="str">
        <f>"0.000895***"</f>
        <v>0.000895***</v>
      </c>
      <c r="EH15" t="s">
        <v>923</v>
      </c>
      <c r="EI15" t="s">
        <v>934</v>
      </c>
      <c r="EJ15" t="str">
        <f>"0.000885***"</f>
        <v>0.000885***</v>
      </c>
      <c r="EK15" t="s">
        <v>923</v>
      </c>
      <c r="EL15" t="s">
        <v>934</v>
      </c>
      <c r="EM15" t="str">
        <f>"0.000848***"</f>
        <v>0.000848***</v>
      </c>
      <c r="EN15" t="s">
        <v>923</v>
      </c>
      <c r="EO15" t="s">
        <v>934</v>
      </c>
      <c r="EP15" t="str">
        <f>"0.000851***"</f>
        <v>0.000851***</v>
      </c>
      <c r="EQ15" t="s">
        <v>923</v>
      </c>
      <c r="ER15" t="s">
        <v>934</v>
      </c>
      <c r="ES15" t="str">
        <f>"0.000743***"</f>
        <v>0.000743***</v>
      </c>
      <c r="ET15" t="s">
        <v>719</v>
      </c>
      <c r="EU15" t="s">
        <v>937</v>
      </c>
      <c r="EV15" t="str">
        <f>"0.000701***"</f>
        <v>0.000701***</v>
      </c>
      <c r="EW15" t="s">
        <v>719</v>
      </c>
      <c r="EX15" t="s">
        <v>938</v>
      </c>
      <c r="EY15" t="str">
        <f>"0.000618***"</f>
        <v>0.000618***</v>
      </c>
      <c r="EZ15" t="s">
        <v>683</v>
      </c>
      <c r="FA15" t="s">
        <v>1457</v>
      </c>
      <c r="FB15" t="str">
        <f>"0.000566***"</f>
        <v>0.000566***</v>
      </c>
      <c r="FC15" t="s">
        <v>683</v>
      </c>
      <c r="FD15" t="s">
        <v>1457</v>
      </c>
      <c r="FE15" t="str">
        <f>"0.000488***"</f>
        <v>0.000488***</v>
      </c>
      <c r="FF15" t="s">
        <v>708</v>
      </c>
      <c r="FG15" t="s">
        <v>1196</v>
      </c>
      <c r="FH15" t="str">
        <f>"0.000321***"</f>
        <v>0.000321***</v>
      </c>
      <c r="FI15" t="s">
        <v>736</v>
      </c>
      <c r="FJ15" t="s">
        <v>709</v>
      </c>
      <c r="FK15" t="str">
        <f>"0.000181*"</f>
        <v>0.000181*</v>
      </c>
      <c r="FL15" t="s">
        <v>979</v>
      </c>
      <c r="FM15" t="s">
        <v>661</v>
      </c>
      <c r="FN15" t="str">
        <f>"0.000112"</f>
        <v>0.000112</v>
      </c>
      <c r="FO15" t="s">
        <v>930</v>
      </c>
      <c r="FP15" t="s">
        <v>661</v>
      </c>
      <c r="FQ15" t="str">
        <f>"0.0000820"</f>
        <v>0.0000820</v>
      </c>
      <c r="FR15" t="s">
        <v>738</v>
      </c>
      <c r="FS15" t="s">
        <v>1456</v>
      </c>
      <c r="FT15" t="str">
        <f>"0.000113"</f>
        <v>0.000113</v>
      </c>
      <c r="FU15" t="s">
        <v>930</v>
      </c>
      <c r="FV15" t="s">
        <v>661</v>
      </c>
      <c r="FW15" t="str">
        <f>"0.0000648"</f>
        <v>0.0000648</v>
      </c>
      <c r="FX15" t="s">
        <v>738</v>
      </c>
      <c r="FY15" t="s">
        <v>1456</v>
      </c>
      <c r="FZ15" t="str">
        <f>"0.0000689"</f>
        <v>0.0000689</v>
      </c>
      <c r="GA15" t="s">
        <v>738</v>
      </c>
      <c r="GB15" t="s">
        <v>1456</v>
      </c>
      <c r="GC15" t="str">
        <f>"0.0000790"</f>
        <v>0.0000790</v>
      </c>
      <c r="GD15" t="s">
        <v>738</v>
      </c>
      <c r="GE15" t="s">
        <v>1456</v>
      </c>
      <c r="GF15" t="str">
        <f>"0.0000680"</f>
        <v>0.0000680</v>
      </c>
      <c r="GG15" t="s">
        <v>738</v>
      </c>
      <c r="GH15" t="s">
        <v>1456</v>
      </c>
      <c r="GI15" t="str">
        <f>"-0.000000599"</f>
        <v>-0.000000599</v>
      </c>
      <c r="GJ15" t="s">
        <v>1458</v>
      </c>
      <c r="GK15" t="s">
        <v>1456</v>
      </c>
      <c r="GL15" t="str">
        <f>"-0.000144"</f>
        <v>-0.000144</v>
      </c>
      <c r="GM15" t="s">
        <v>786</v>
      </c>
      <c r="GN15" t="s">
        <v>1487</v>
      </c>
      <c r="GO15" t="str">
        <f>"-0.000203*"</f>
        <v>-0.000203*</v>
      </c>
      <c r="GP15" t="s">
        <v>929</v>
      </c>
      <c r="GQ15" t="s">
        <v>1486</v>
      </c>
      <c r="GR15" t="str">
        <f>"-0.000227*"</f>
        <v>-0.000227*</v>
      </c>
      <c r="GS15" t="s">
        <v>929</v>
      </c>
      <c r="GT15" t="s">
        <v>1486</v>
      </c>
      <c r="GU15" t="str">
        <f>"-0.000257**"</f>
        <v>-0.000257**</v>
      </c>
      <c r="GV15" t="s">
        <v>929</v>
      </c>
      <c r="GW15" t="s">
        <v>1455</v>
      </c>
      <c r="GX15" t="str">
        <f>"-0.000352***"</f>
        <v>-0.000352***</v>
      </c>
      <c r="GY15" t="s">
        <v>684</v>
      </c>
      <c r="GZ15" t="s">
        <v>1116</v>
      </c>
      <c r="HA15" t="str">
        <f>"-0.000409***"</f>
        <v>-0.000409***</v>
      </c>
      <c r="HB15" t="s">
        <v>684</v>
      </c>
      <c r="HC15" t="s">
        <v>1116</v>
      </c>
      <c r="HD15" t="str">
        <f>"-0.000465***"</f>
        <v>-0.000465***</v>
      </c>
      <c r="HE15" t="s">
        <v>734</v>
      </c>
      <c r="HF15" t="s">
        <v>1116</v>
      </c>
      <c r="HG15" t="str">
        <f>"-0.000562***"</f>
        <v>-0.000562***</v>
      </c>
      <c r="HH15" t="s">
        <v>707</v>
      </c>
      <c r="HI15" t="s">
        <v>970</v>
      </c>
      <c r="HJ15" t="str">
        <f>"-0.000449***"</f>
        <v>-0.000449***</v>
      </c>
      <c r="HK15" t="s">
        <v>734</v>
      </c>
      <c r="HL15" t="s">
        <v>1116</v>
      </c>
      <c r="HM15" t="str">
        <f>"-0.000580***"</f>
        <v>-0.000580***</v>
      </c>
      <c r="HN15" t="s">
        <v>707</v>
      </c>
      <c r="HO15" t="s">
        <v>970</v>
      </c>
      <c r="HP15" t="str">
        <f>"-0.000587***"</f>
        <v>-0.000587***</v>
      </c>
      <c r="HQ15" t="s">
        <v>707</v>
      </c>
      <c r="HR15" t="s">
        <v>970</v>
      </c>
      <c r="HS15" t="str">
        <f>"-0.000591***"</f>
        <v>-0.000591***</v>
      </c>
      <c r="HT15" t="s">
        <v>931</v>
      </c>
      <c r="HU15" t="s">
        <v>970</v>
      </c>
      <c r="HV15" t="str">
        <f>"-0.000688***"</f>
        <v>-0.000688***</v>
      </c>
      <c r="HW15" t="s">
        <v>647</v>
      </c>
      <c r="HX15" t="s">
        <v>815</v>
      </c>
      <c r="HY15" t="str">
        <f>"-0.000698***"</f>
        <v>-0.000698***</v>
      </c>
      <c r="HZ15" t="s">
        <v>647</v>
      </c>
      <c r="IA15" t="s">
        <v>815</v>
      </c>
      <c r="IB15" t="str">
        <f>"-0.000659***"</f>
        <v>-0.000659***</v>
      </c>
      <c r="IC15" t="s">
        <v>647</v>
      </c>
      <c r="ID15" t="s">
        <v>815</v>
      </c>
      <c r="IE15" t="str">
        <f>"-0.000622***"</f>
        <v>-0.000622***</v>
      </c>
      <c r="IF15" t="s">
        <v>931</v>
      </c>
      <c r="IG15" t="s">
        <v>970</v>
      </c>
      <c r="IH15" t="str">
        <f>"-0.000615***"</f>
        <v>-0.000615***</v>
      </c>
      <c r="II15" t="s">
        <v>931</v>
      </c>
      <c r="IJ15" t="s">
        <v>970</v>
      </c>
      <c r="IK15" t="str">
        <f>"-0.000759***"</f>
        <v>-0.000759***</v>
      </c>
      <c r="IL15" t="s">
        <v>435</v>
      </c>
      <c r="IM15" t="s">
        <v>815</v>
      </c>
      <c r="IN15" t="str">
        <f>"-0.000702***"</f>
        <v>-0.000702***</v>
      </c>
      <c r="IO15" t="s">
        <v>647</v>
      </c>
      <c r="IP15" t="s">
        <v>815</v>
      </c>
      <c r="IQ15" t="str">
        <f>"-0.000570***"</f>
        <v>-0.000570***</v>
      </c>
      <c r="IR15" t="s">
        <v>707</v>
      </c>
      <c r="IS15" t="s">
        <v>970</v>
      </c>
      <c r="IT15" t="str">
        <f>"-0.000493***"</f>
        <v>-0.000493***</v>
      </c>
      <c r="IU15" t="s">
        <v>707</v>
      </c>
      <c r="IV15" t="s">
        <v>1116</v>
      </c>
      <c r="IW15" t="str">
        <f>"-0.000642***"</f>
        <v>-0.000642***</v>
      </c>
      <c r="IX15" t="s">
        <v>647</v>
      </c>
      <c r="IY15" t="s">
        <v>970</v>
      </c>
      <c r="IZ15" t="str">
        <f>"-0.000569**"</f>
        <v>-0.000569**</v>
      </c>
      <c r="JA15" t="s">
        <v>931</v>
      </c>
      <c r="JB15" t="s">
        <v>1116</v>
      </c>
      <c r="JC15" t="str">
        <f>"-0.000476**"</f>
        <v>-0.000476**</v>
      </c>
      <c r="JD15" t="s">
        <v>707</v>
      </c>
      <c r="JE15" t="s">
        <v>1455</v>
      </c>
      <c r="JF15" t="str">
        <f>"-0.000703***"</f>
        <v>-0.000703***</v>
      </c>
      <c r="JG15" t="s">
        <v>435</v>
      </c>
      <c r="JH15" t="s">
        <v>970</v>
      </c>
      <c r="JI15" t="str">
        <f>"-0.000665***"</f>
        <v>-0.000665***</v>
      </c>
      <c r="JJ15" t="s">
        <v>435</v>
      </c>
      <c r="JK15" t="s">
        <v>970</v>
      </c>
      <c r="JL15" t="str">
        <f>"-0.000501**"</f>
        <v>-0.000501**</v>
      </c>
      <c r="JM15" t="s">
        <v>931</v>
      </c>
      <c r="JN15" t="s">
        <v>1455</v>
      </c>
      <c r="JO15" t="str">
        <f>"-0.000659**"</f>
        <v>-0.000659**</v>
      </c>
      <c r="JP15" t="s">
        <v>435</v>
      </c>
      <c r="JQ15" t="s">
        <v>1116</v>
      </c>
      <c r="JR15" t="str">
        <f>"-0.000770**"</f>
        <v>-0.000770**</v>
      </c>
      <c r="JS15" t="s">
        <v>636</v>
      </c>
      <c r="JT15" t="s">
        <v>970</v>
      </c>
      <c r="JU15" t="str">
        <f>"-0.000574*"</f>
        <v>-0.000574*</v>
      </c>
      <c r="JV15" t="s">
        <v>647</v>
      </c>
      <c r="JW15" t="s">
        <v>1455</v>
      </c>
      <c r="JX15" t="str">
        <f>"-0.000468"</f>
        <v>-0.000468</v>
      </c>
      <c r="JY15" t="s">
        <v>647</v>
      </c>
      <c r="JZ15" t="s">
        <v>1485</v>
      </c>
      <c r="KA15" t="str">
        <f>"-0.000224"</f>
        <v>-0.000224</v>
      </c>
      <c r="KB15" t="s">
        <v>734</v>
      </c>
      <c r="KC15" t="s">
        <v>661</v>
      </c>
      <c r="KD15" t="str">
        <f>"-0.000319"</f>
        <v>-0.000319</v>
      </c>
      <c r="KE15" t="s">
        <v>647</v>
      </c>
      <c r="KF15" t="s">
        <v>661</v>
      </c>
      <c r="KG15" t="str">
        <f>"-0.000576"</f>
        <v>-0.000576</v>
      </c>
      <c r="KH15" t="s">
        <v>674</v>
      </c>
      <c r="KI15" t="s">
        <v>1456</v>
      </c>
      <c r="KJ15" t="str">
        <f>"-0.000586"</f>
        <v>-0.000586</v>
      </c>
      <c r="KK15" t="s">
        <v>916</v>
      </c>
      <c r="KL15" t="s">
        <v>802</v>
      </c>
    </row>
    <row r="16" spans="1:298" x14ac:dyDescent="0.2">
      <c r="A16" t="str">
        <f>"Regi√£o"</f>
        <v>Regi√£o</v>
      </c>
      <c r="B16" t="str">
        <f>"0.000539"</f>
        <v>0.000539</v>
      </c>
      <c r="C16" t="s">
        <v>1014</v>
      </c>
      <c r="D16" t="s">
        <v>917</v>
      </c>
      <c r="E16" t="str">
        <f>"0.000411"</f>
        <v>0.000411</v>
      </c>
      <c r="F16" t="s">
        <v>911</v>
      </c>
      <c r="G16" t="s">
        <v>690</v>
      </c>
      <c r="H16" t="str">
        <f>"0.000329"</f>
        <v>0.000329</v>
      </c>
      <c r="I16" t="s">
        <v>783</v>
      </c>
      <c r="J16" t="s">
        <v>907</v>
      </c>
      <c r="K16" t="str">
        <f>"0.000263"</f>
        <v>0.000263</v>
      </c>
      <c r="L16" t="s">
        <v>911</v>
      </c>
      <c r="M16" t="s">
        <v>692</v>
      </c>
      <c r="N16" t="str">
        <f>"0.000209"</f>
        <v>0.000209</v>
      </c>
      <c r="O16" t="s">
        <v>1012</v>
      </c>
      <c r="P16" t="s">
        <v>701</v>
      </c>
      <c r="Q16" t="str">
        <f>"0.000124"</f>
        <v>0.000124</v>
      </c>
      <c r="R16" t="s">
        <v>783</v>
      </c>
      <c r="S16" t="s">
        <v>716</v>
      </c>
      <c r="T16" t="str">
        <f>"0.0000322"</f>
        <v>0.0000322</v>
      </c>
      <c r="U16" t="s">
        <v>911</v>
      </c>
      <c r="V16" t="s">
        <v>797</v>
      </c>
      <c r="W16" t="str">
        <f>"-0.0000350"</f>
        <v>-0.0000350</v>
      </c>
      <c r="X16" t="s">
        <v>1012</v>
      </c>
      <c r="Y16" t="s">
        <v>921</v>
      </c>
      <c r="Z16" t="str">
        <f>"0.0000104"</f>
        <v>0.0000104</v>
      </c>
      <c r="AA16" t="s">
        <v>945</v>
      </c>
      <c r="AB16" t="s">
        <v>906</v>
      </c>
      <c r="AC16" t="str">
        <f>"-0.0000270"</f>
        <v>-0.0000270</v>
      </c>
      <c r="AD16" t="s">
        <v>1014</v>
      </c>
      <c r="AE16" t="s">
        <v>913</v>
      </c>
      <c r="AF16" t="str">
        <f>"-0.0000418"</f>
        <v>-0.0000418</v>
      </c>
      <c r="AG16" t="s">
        <v>652</v>
      </c>
      <c r="AH16" t="s">
        <v>691</v>
      </c>
      <c r="AI16" t="str">
        <f>"-0.0000311"</f>
        <v>-0.0000311</v>
      </c>
      <c r="AJ16" t="s">
        <v>681</v>
      </c>
      <c r="AK16" t="s">
        <v>588</v>
      </c>
      <c r="AL16" t="str">
        <f>"1.84e-08"</f>
        <v>1.84e-08</v>
      </c>
      <c r="AM16" t="s">
        <v>916</v>
      </c>
      <c r="AN16" t="s">
        <v>918</v>
      </c>
      <c r="AO16" t="str">
        <f>"-0.0000608"</f>
        <v>-0.0000608</v>
      </c>
      <c r="AP16" t="s">
        <v>932</v>
      </c>
      <c r="AQ16" t="s">
        <v>675</v>
      </c>
      <c r="AR16" t="str">
        <f>"-0.0000389"</f>
        <v>-0.0000389</v>
      </c>
      <c r="AS16" t="s">
        <v>935</v>
      </c>
      <c r="AT16" t="s">
        <v>934</v>
      </c>
      <c r="AU16" t="str">
        <f>"0.00000181"</f>
        <v>0.00000181</v>
      </c>
      <c r="AV16" t="s">
        <v>647</v>
      </c>
      <c r="AW16" t="s">
        <v>937</v>
      </c>
      <c r="AX16" t="str">
        <f>"-0.0000756"</f>
        <v>-0.0000756</v>
      </c>
      <c r="AY16" t="s">
        <v>647</v>
      </c>
      <c r="AZ16" t="s">
        <v>938</v>
      </c>
      <c r="BA16" t="str">
        <f>"-0.0000366"</f>
        <v>-0.0000366</v>
      </c>
      <c r="BB16" t="s">
        <v>647</v>
      </c>
      <c r="BC16" t="s">
        <v>938</v>
      </c>
      <c r="BD16" t="str">
        <f>"-0.0000464"</f>
        <v>-0.0000464</v>
      </c>
      <c r="BE16" t="s">
        <v>931</v>
      </c>
      <c r="BF16" t="s">
        <v>1457</v>
      </c>
      <c r="BG16" t="str">
        <f>"-0.0000554"</f>
        <v>-0.0000554</v>
      </c>
      <c r="BH16" t="s">
        <v>647</v>
      </c>
      <c r="BI16" t="s">
        <v>938</v>
      </c>
      <c r="BJ16" t="str">
        <f>"-0.0000360"</f>
        <v>-0.0000360</v>
      </c>
      <c r="BK16" t="s">
        <v>931</v>
      </c>
      <c r="BL16" t="s">
        <v>1457</v>
      </c>
      <c r="BM16" t="str">
        <f>"-0.0000558"</f>
        <v>-0.0000558</v>
      </c>
      <c r="BN16" t="s">
        <v>931</v>
      </c>
      <c r="BO16" t="s">
        <v>1457</v>
      </c>
      <c r="BP16" t="str">
        <f>"-0.0000413"</f>
        <v>-0.0000413</v>
      </c>
      <c r="BQ16" t="s">
        <v>931</v>
      </c>
      <c r="BR16" t="s">
        <v>1457</v>
      </c>
      <c r="BS16" t="str">
        <f>"-0.0000536"</f>
        <v>-0.0000536</v>
      </c>
      <c r="BT16" t="s">
        <v>931</v>
      </c>
      <c r="BU16" t="s">
        <v>1457</v>
      </c>
      <c r="BV16" t="str">
        <f>"-0.0000558"</f>
        <v>-0.0000558</v>
      </c>
      <c r="BW16" t="s">
        <v>931</v>
      </c>
      <c r="BX16" t="s">
        <v>1457</v>
      </c>
      <c r="BY16" t="str">
        <f>"-0.0000822"</f>
        <v>-0.0000822</v>
      </c>
      <c r="BZ16" t="s">
        <v>931</v>
      </c>
      <c r="CA16" t="s">
        <v>1457</v>
      </c>
      <c r="CB16" t="str">
        <f>"-0.0000493"</f>
        <v>-0.0000493</v>
      </c>
      <c r="CC16" t="s">
        <v>931</v>
      </c>
      <c r="CD16" t="s">
        <v>1457</v>
      </c>
      <c r="CE16" t="str">
        <f>"-0.0000651"</f>
        <v>-0.0000651</v>
      </c>
      <c r="CF16" t="s">
        <v>931</v>
      </c>
      <c r="CG16" t="s">
        <v>1196</v>
      </c>
      <c r="CH16" t="str">
        <f>"-0.0000685"</f>
        <v>-0.0000685</v>
      </c>
      <c r="CI16" t="s">
        <v>931</v>
      </c>
      <c r="CJ16" t="s">
        <v>1457</v>
      </c>
      <c r="CK16" t="str">
        <f>"0.00000364"</f>
        <v>0.00000364</v>
      </c>
      <c r="CL16" t="s">
        <v>707</v>
      </c>
      <c r="CM16" t="s">
        <v>1457</v>
      </c>
      <c r="CN16" t="str">
        <f>"-0.0000224"</f>
        <v>-0.0000224</v>
      </c>
      <c r="CO16" t="s">
        <v>707</v>
      </c>
      <c r="CP16" t="s">
        <v>1196</v>
      </c>
      <c r="CQ16" t="str">
        <f>"-0.0000498"</f>
        <v>-0.0000498</v>
      </c>
      <c r="CR16" t="s">
        <v>931</v>
      </c>
      <c r="CS16" t="s">
        <v>1457</v>
      </c>
      <c r="CT16" t="str">
        <f>"-0.0000416"</f>
        <v>-0.0000416</v>
      </c>
      <c r="CU16" t="s">
        <v>931</v>
      </c>
      <c r="CV16" t="s">
        <v>1457</v>
      </c>
      <c r="CW16" t="str">
        <f>"-0.0000785"</f>
        <v>-0.0000785</v>
      </c>
      <c r="CX16" t="s">
        <v>931</v>
      </c>
      <c r="CY16" t="s">
        <v>1457</v>
      </c>
      <c r="CZ16" t="str">
        <f>"-0.0000476"</f>
        <v>-0.0000476</v>
      </c>
      <c r="DA16" t="s">
        <v>931</v>
      </c>
      <c r="DB16" t="s">
        <v>1457</v>
      </c>
      <c r="DC16" t="str">
        <f>"-0.0000310"</f>
        <v>-0.0000310</v>
      </c>
      <c r="DD16" t="s">
        <v>931</v>
      </c>
      <c r="DE16" t="s">
        <v>1457</v>
      </c>
      <c r="DF16" t="str">
        <f>"-0.0000679"</f>
        <v>-0.0000679</v>
      </c>
      <c r="DG16" t="s">
        <v>647</v>
      </c>
      <c r="DH16" t="s">
        <v>1457</v>
      </c>
      <c r="DI16" t="str">
        <f>"-0.0000365"</f>
        <v>-0.0000365</v>
      </c>
      <c r="DJ16" t="s">
        <v>931</v>
      </c>
      <c r="DK16" t="s">
        <v>1457</v>
      </c>
      <c r="DL16" t="str">
        <f>"-0.0000584"</f>
        <v>-0.0000584</v>
      </c>
      <c r="DM16" t="s">
        <v>931</v>
      </c>
      <c r="DN16" t="s">
        <v>1457</v>
      </c>
      <c r="DO16" t="str">
        <f>"-0.0000393"</f>
        <v>-0.0000393</v>
      </c>
      <c r="DP16" t="s">
        <v>931</v>
      </c>
      <c r="DQ16" t="s">
        <v>1457</v>
      </c>
      <c r="DR16" t="str">
        <f>"-0.0000161"</f>
        <v>-0.0000161</v>
      </c>
      <c r="DS16" t="s">
        <v>931</v>
      </c>
      <c r="DT16" t="s">
        <v>938</v>
      </c>
      <c r="DU16" t="str">
        <f>"-0.0000530"</f>
        <v>-0.0000530</v>
      </c>
      <c r="DV16" t="s">
        <v>931</v>
      </c>
      <c r="DW16" t="s">
        <v>1457</v>
      </c>
      <c r="DX16" t="str">
        <f>"-0.0000511"</f>
        <v>-0.0000511</v>
      </c>
      <c r="DY16" t="s">
        <v>931</v>
      </c>
      <c r="DZ16" t="s">
        <v>1457</v>
      </c>
      <c r="EA16" t="str">
        <f>"-0.0000490"</f>
        <v>-0.0000490</v>
      </c>
      <c r="EB16" t="s">
        <v>931</v>
      </c>
      <c r="EC16" t="s">
        <v>1457</v>
      </c>
      <c r="ED16" t="str">
        <f>"-0.0000517"</f>
        <v>-0.0000517</v>
      </c>
      <c r="EE16" t="s">
        <v>931</v>
      </c>
      <c r="EF16" t="s">
        <v>1457</v>
      </c>
      <c r="EG16" t="str">
        <f>"-0.0000139"</f>
        <v>-0.0000139</v>
      </c>
      <c r="EH16" t="s">
        <v>707</v>
      </c>
      <c r="EI16" t="s">
        <v>1457</v>
      </c>
      <c r="EJ16" t="str">
        <f>"-0.0000662"</f>
        <v>-0.0000662</v>
      </c>
      <c r="EK16" t="s">
        <v>707</v>
      </c>
      <c r="EL16" t="s">
        <v>1196</v>
      </c>
      <c r="EM16" t="str">
        <f>"-0.0000256"</f>
        <v>-0.0000256</v>
      </c>
      <c r="EN16" t="s">
        <v>707</v>
      </c>
      <c r="EO16" t="s">
        <v>1196</v>
      </c>
      <c r="EP16" t="str">
        <f>"0.0000184"</f>
        <v>0.0000184</v>
      </c>
      <c r="EQ16" t="s">
        <v>734</v>
      </c>
      <c r="ER16" t="s">
        <v>1196</v>
      </c>
      <c r="ES16" t="str">
        <f>"-0.0000132"</f>
        <v>-0.0000132</v>
      </c>
      <c r="ET16" t="s">
        <v>734</v>
      </c>
      <c r="EU16" t="s">
        <v>1196</v>
      </c>
      <c r="EV16" t="str">
        <f>"-0.00000813"</f>
        <v>-0.00000813</v>
      </c>
      <c r="EW16" t="s">
        <v>734</v>
      </c>
      <c r="EX16" t="s">
        <v>1196</v>
      </c>
      <c r="EY16" t="str">
        <f>"-0.00000531"</f>
        <v>-0.00000531</v>
      </c>
      <c r="EZ16" t="s">
        <v>707</v>
      </c>
      <c r="FA16" t="s">
        <v>1457</v>
      </c>
      <c r="FB16" t="str">
        <f>"-0.00000341"</f>
        <v>-0.00000341</v>
      </c>
      <c r="FC16" t="s">
        <v>707</v>
      </c>
      <c r="FD16" t="s">
        <v>1457</v>
      </c>
      <c r="FE16" t="str">
        <f>"0.00000273"</f>
        <v>0.00000273</v>
      </c>
      <c r="FF16" t="s">
        <v>707</v>
      </c>
      <c r="FG16" t="s">
        <v>1457</v>
      </c>
      <c r="FH16" t="str">
        <f>"0.0000243"</f>
        <v>0.0000243</v>
      </c>
      <c r="FI16" t="s">
        <v>734</v>
      </c>
      <c r="FJ16" t="s">
        <v>1457</v>
      </c>
      <c r="FK16" t="str">
        <f>"0.0000147"</f>
        <v>0.0000147</v>
      </c>
      <c r="FL16" t="s">
        <v>734</v>
      </c>
      <c r="FM16" t="s">
        <v>1457</v>
      </c>
      <c r="FN16" t="str">
        <f>"0.00000781"</f>
        <v>0.00000781</v>
      </c>
      <c r="FO16" t="s">
        <v>734</v>
      </c>
      <c r="FP16" t="s">
        <v>1196</v>
      </c>
      <c r="FQ16" t="str">
        <f>"0.0000155"</f>
        <v>0.0000155</v>
      </c>
      <c r="FR16" t="s">
        <v>734</v>
      </c>
      <c r="FS16" t="s">
        <v>1196</v>
      </c>
      <c r="FT16" t="str">
        <f>"-0.0000396"</f>
        <v>-0.0000396</v>
      </c>
      <c r="FU16" t="s">
        <v>734</v>
      </c>
      <c r="FV16" t="s">
        <v>817</v>
      </c>
      <c r="FW16" t="str">
        <f>"0.000101"</f>
        <v>0.000101</v>
      </c>
      <c r="FX16" t="s">
        <v>347</v>
      </c>
      <c r="FY16" t="s">
        <v>1196</v>
      </c>
      <c r="FZ16" t="str">
        <f>"0.0000213"</f>
        <v>0.0000213</v>
      </c>
      <c r="GA16" t="s">
        <v>684</v>
      </c>
      <c r="GB16" t="s">
        <v>817</v>
      </c>
      <c r="GC16" t="str">
        <f>"0.0000682"</f>
        <v>0.0000682</v>
      </c>
      <c r="GD16" t="s">
        <v>347</v>
      </c>
      <c r="GE16" t="s">
        <v>1196</v>
      </c>
      <c r="GF16" t="str">
        <f>"0.0000894"</f>
        <v>0.0000894</v>
      </c>
      <c r="GG16" t="s">
        <v>347</v>
      </c>
      <c r="GH16" t="s">
        <v>1196</v>
      </c>
      <c r="GI16" t="str">
        <f>"0.0000965"</f>
        <v>0.0000965</v>
      </c>
      <c r="GJ16" t="s">
        <v>347</v>
      </c>
      <c r="GK16" t="s">
        <v>1196</v>
      </c>
      <c r="GL16" t="str">
        <f>"0.0000816"</f>
        <v>0.0000816</v>
      </c>
      <c r="GM16" t="s">
        <v>347</v>
      </c>
      <c r="GN16" t="s">
        <v>1196</v>
      </c>
      <c r="GO16" t="str">
        <f>"0.0000710"</f>
        <v>0.0000710</v>
      </c>
      <c r="GP16" t="s">
        <v>347</v>
      </c>
      <c r="GQ16" t="s">
        <v>1196</v>
      </c>
      <c r="GR16" t="str">
        <f>"0.000105"</f>
        <v>0.000105</v>
      </c>
      <c r="GS16" t="s">
        <v>347</v>
      </c>
      <c r="GT16" t="s">
        <v>1196</v>
      </c>
      <c r="GU16" t="str">
        <f>"0.0000518"</f>
        <v>0.0000518</v>
      </c>
      <c r="GV16" t="s">
        <v>347</v>
      </c>
      <c r="GW16" t="s">
        <v>817</v>
      </c>
      <c r="GX16" t="str">
        <f>"0.000114"</f>
        <v>0.000114</v>
      </c>
      <c r="GY16" t="s">
        <v>929</v>
      </c>
      <c r="GZ16" t="s">
        <v>817</v>
      </c>
      <c r="HA16" t="str">
        <f>"0.000115"</f>
        <v>0.000115</v>
      </c>
      <c r="HB16" t="s">
        <v>929</v>
      </c>
      <c r="HC16" t="s">
        <v>817</v>
      </c>
      <c r="HD16" t="str">
        <f>"0.0000785"</f>
        <v>0.0000785</v>
      </c>
      <c r="HE16" t="s">
        <v>347</v>
      </c>
      <c r="HF16" t="s">
        <v>817</v>
      </c>
      <c r="HG16" t="str">
        <f>"0.0000920"</f>
        <v>0.0000920</v>
      </c>
      <c r="HH16" t="s">
        <v>347</v>
      </c>
      <c r="HI16" t="s">
        <v>817</v>
      </c>
      <c r="HJ16" t="str">
        <f>"0.000147"</f>
        <v>0.000147</v>
      </c>
      <c r="HK16" t="s">
        <v>929</v>
      </c>
      <c r="HL16" t="s">
        <v>1196</v>
      </c>
      <c r="HM16" t="str">
        <f>"0.000123"</f>
        <v>0.000123</v>
      </c>
      <c r="HN16" t="s">
        <v>929</v>
      </c>
      <c r="HO16" t="s">
        <v>817</v>
      </c>
      <c r="HP16" t="str">
        <f>"0.000106"</f>
        <v>0.000106</v>
      </c>
      <c r="HQ16" t="s">
        <v>929</v>
      </c>
      <c r="HR16" t="s">
        <v>817</v>
      </c>
      <c r="HS16" t="str">
        <f>"0.0000771"</f>
        <v>0.0000771</v>
      </c>
      <c r="HT16" t="s">
        <v>929</v>
      </c>
      <c r="HU16" t="s">
        <v>709</v>
      </c>
      <c r="HV16" t="str">
        <f>"0.000166"</f>
        <v>0.000166</v>
      </c>
      <c r="HW16" t="s">
        <v>786</v>
      </c>
      <c r="HX16" t="s">
        <v>817</v>
      </c>
      <c r="HY16" t="str">
        <f>"0.000148"</f>
        <v>0.000148</v>
      </c>
      <c r="HZ16" t="s">
        <v>786</v>
      </c>
      <c r="IA16" t="s">
        <v>817</v>
      </c>
      <c r="IB16" t="str">
        <f>"0.000195"</f>
        <v>0.000195</v>
      </c>
      <c r="IC16" t="s">
        <v>786</v>
      </c>
      <c r="ID16" t="s">
        <v>817</v>
      </c>
      <c r="IE16" t="str">
        <f>"0.000200"</f>
        <v>0.000200</v>
      </c>
      <c r="IF16" t="s">
        <v>1458</v>
      </c>
      <c r="IG16" t="s">
        <v>817</v>
      </c>
      <c r="IH16" t="str">
        <f>"0.000208"</f>
        <v>0.000208</v>
      </c>
      <c r="II16" t="s">
        <v>1458</v>
      </c>
      <c r="IJ16" t="s">
        <v>817</v>
      </c>
      <c r="IK16" t="str">
        <f>"0.000210"</f>
        <v>0.000210</v>
      </c>
      <c r="IL16" t="s">
        <v>1458</v>
      </c>
      <c r="IM16" t="s">
        <v>817</v>
      </c>
      <c r="IN16" t="str">
        <f>"0.000193"</f>
        <v>0.000193</v>
      </c>
      <c r="IO16" t="s">
        <v>1458</v>
      </c>
      <c r="IP16" t="s">
        <v>817</v>
      </c>
      <c r="IQ16" t="str">
        <f>"0.000258"</f>
        <v>0.000258</v>
      </c>
      <c r="IR16" t="s">
        <v>930</v>
      </c>
      <c r="IS16" t="s">
        <v>817</v>
      </c>
      <c r="IT16" t="str">
        <f>"0.000229"</f>
        <v>0.000229</v>
      </c>
      <c r="IU16" t="s">
        <v>738</v>
      </c>
      <c r="IV16" t="s">
        <v>817</v>
      </c>
      <c r="IW16" t="str">
        <f>"0.000319"</f>
        <v>0.000319</v>
      </c>
      <c r="IX16" t="s">
        <v>738</v>
      </c>
      <c r="IY16" t="s">
        <v>1457</v>
      </c>
      <c r="IZ16" t="str">
        <f>"0.000298"</f>
        <v>0.000298</v>
      </c>
      <c r="JA16" t="s">
        <v>738</v>
      </c>
      <c r="JB16" t="s">
        <v>1196</v>
      </c>
      <c r="JC16" t="str">
        <f>"0.000238"</f>
        <v>0.000238</v>
      </c>
      <c r="JD16" t="s">
        <v>738</v>
      </c>
      <c r="JE16" t="s">
        <v>817</v>
      </c>
      <c r="JF16" t="str">
        <f>"0.000315"</f>
        <v>0.000315</v>
      </c>
      <c r="JG16" t="s">
        <v>738</v>
      </c>
      <c r="JH16" t="s">
        <v>1196</v>
      </c>
      <c r="JI16" t="str">
        <f>"0.000319"</f>
        <v>0.000319</v>
      </c>
      <c r="JJ16" t="s">
        <v>738</v>
      </c>
      <c r="JK16" t="s">
        <v>1196</v>
      </c>
      <c r="JL16" t="str">
        <f>"0.000358*"</f>
        <v>0.000358*</v>
      </c>
      <c r="JM16" t="s">
        <v>979</v>
      </c>
      <c r="JN16" t="s">
        <v>1196</v>
      </c>
      <c r="JO16" t="str">
        <f>"0.000426"</f>
        <v>0.000426</v>
      </c>
      <c r="JP16" t="s">
        <v>930</v>
      </c>
      <c r="JQ16" t="s">
        <v>938</v>
      </c>
      <c r="JR16" t="str">
        <f>"0.000475"</f>
        <v>0.000475</v>
      </c>
      <c r="JS16" t="s">
        <v>930</v>
      </c>
      <c r="JT16" t="s">
        <v>937</v>
      </c>
      <c r="JU16" t="str">
        <f>"0.000297"</f>
        <v>0.000297</v>
      </c>
      <c r="JV16" t="s">
        <v>738</v>
      </c>
      <c r="JW16" t="s">
        <v>1196</v>
      </c>
      <c r="JX16" t="str">
        <f>"0.000503"</f>
        <v>0.000503</v>
      </c>
      <c r="JY16" t="s">
        <v>930</v>
      </c>
      <c r="JZ16" t="s">
        <v>937</v>
      </c>
      <c r="KA16" t="str">
        <f>"0.000339"</f>
        <v>0.000339</v>
      </c>
      <c r="KB16" t="s">
        <v>738</v>
      </c>
      <c r="KC16" t="s">
        <v>1457</v>
      </c>
      <c r="KD16" t="str">
        <f>"0.000347"</f>
        <v>0.000347</v>
      </c>
      <c r="KE16" t="s">
        <v>738</v>
      </c>
      <c r="KF16" t="s">
        <v>1457</v>
      </c>
      <c r="KG16" t="str">
        <f>"0.000234"</f>
        <v>0.000234</v>
      </c>
      <c r="KH16" t="s">
        <v>1458</v>
      </c>
      <c r="KI16" t="s">
        <v>1196</v>
      </c>
      <c r="KJ16" t="str">
        <f>"0.000216"</f>
        <v>0.000216</v>
      </c>
      <c r="KK16" t="s">
        <v>929</v>
      </c>
      <c r="KL16" t="s">
        <v>1457</v>
      </c>
    </row>
    <row r="17" spans="1:298" x14ac:dyDescent="0.2">
      <c r="A17" t="str">
        <f>"Setor"</f>
        <v>Setor</v>
      </c>
      <c r="B17" t="str">
        <f>"0.0161***"</f>
        <v>0.0161***</v>
      </c>
      <c r="C17" t="s">
        <v>1484</v>
      </c>
      <c r="D17" t="s">
        <v>964</v>
      </c>
      <c r="E17" t="str">
        <f>"0.0205***"</f>
        <v>0.0205***</v>
      </c>
      <c r="F17" t="s">
        <v>1483</v>
      </c>
      <c r="G17" t="s">
        <v>744</v>
      </c>
      <c r="H17" t="str">
        <f>"0.0197***"</f>
        <v>0.0197***</v>
      </c>
      <c r="I17" t="s">
        <v>368</v>
      </c>
      <c r="J17" t="s">
        <v>780</v>
      </c>
      <c r="K17" t="str">
        <f>"0.0200***"</f>
        <v>0.0200***</v>
      </c>
      <c r="L17" t="s">
        <v>1482</v>
      </c>
      <c r="M17" t="s">
        <v>1481</v>
      </c>
      <c r="N17" t="str">
        <f>"0.0179***"</f>
        <v>0.0179***</v>
      </c>
      <c r="O17" t="s">
        <v>1480</v>
      </c>
      <c r="P17" t="s">
        <v>1479</v>
      </c>
      <c r="Q17" t="str">
        <f>"0.0183***"</f>
        <v>0.0183***</v>
      </c>
      <c r="R17" t="s">
        <v>1478</v>
      </c>
      <c r="S17" t="s">
        <v>956</v>
      </c>
      <c r="T17" t="str">
        <f>"0.0174***"</f>
        <v>0.0174***</v>
      </c>
      <c r="U17" t="s">
        <v>1477</v>
      </c>
      <c r="V17" t="s">
        <v>645</v>
      </c>
      <c r="W17" t="str">
        <f>"0.0159***"</f>
        <v>0.0159***</v>
      </c>
      <c r="X17" t="s">
        <v>1476</v>
      </c>
      <c r="Y17" t="s">
        <v>1475</v>
      </c>
      <c r="Z17" t="str">
        <f>"0.0159***"</f>
        <v>0.0159***</v>
      </c>
      <c r="AA17" t="s">
        <v>1476</v>
      </c>
      <c r="AB17" t="s">
        <v>1475</v>
      </c>
      <c r="AC17" t="str">
        <f>"0.0125***"</f>
        <v>0.0125***</v>
      </c>
      <c r="AD17" t="s">
        <v>1474</v>
      </c>
      <c r="AE17" t="s">
        <v>1473</v>
      </c>
      <c r="AF17" t="str">
        <f>"0.0118***"</f>
        <v>0.0118***</v>
      </c>
      <c r="AG17" t="s">
        <v>1122</v>
      </c>
      <c r="AH17" t="s">
        <v>1016</v>
      </c>
      <c r="AI17" t="str">
        <f>"0.0110***"</f>
        <v>0.0110***</v>
      </c>
      <c r="AJ17" t="s">
        <v>1472</v>
      </c>
      <c r="AK17" t="s">
        <v>522</v>
      </c>
      <c r="AL17" t="str">
        <f>"0.00989***"</f>
        <v>0.00989***</v>
      </c>
      <c r="AM17" t="s">
        <v>1471</v>
      </c>
      <c r="AN17" t="s">
        <v>1006</v>
      </c>
      <c r="AO17" t="str">
        <f>"0.00870***"</f>
        <v>0.00870***</v>
      </c>
      <c r="AP17" t="s">
        <v>944</v>
      </c>
      <c r="AQ17" t="s">
        <v>726</v>
      </c>
      <c r="AR17" t="str">
        <f>"0.00693***"</f>
        <v>0.00693***</v>
      </c>
      <c r="AS17" t="s">
        <v>1470</v>
      </c>
      <c r="AT17" t="s">
        <v>575</v>
      </c>
      <c r="AU17" t="str">
        <f>"0.00626***"</f>
        <v>0.00626***</v>
      </c>
      <c r="AV17" t="s">
        <v>1028</v>
      </c>
      <c r="AW17" t="s">
        <v>1004</v>
      </c>
      <c r="AX17" t="str">
        <f>"0.00572***"</f>
        <v>0.00572***</v>
      </c>
      <c r="AY17" t="s">
        <v>646</v>
      </c>
      <c r="AZ17" t="s">
        <v>568</v>
      </c>
      <c r="BA17" t="str">
        <f>"0.00550***"</f>
        <v>0.00550***</v>
      </c>
      <c r="BB17" t="s">
        <v>1017</v>
      </c>
      <c r="BC17" t="s">
        <v>723</v>
      </c>
      <c r="BD17" t="str">
        <f>"0.00510***"</f>
        <v>0.00510***</v>
      </c>
      <c r="BE17" t="s">
        <v>997</v>
      </c>
      <c r="BF17" t="s">
        <v>791</v>
      </c>
      <c r="BG17" t="str">
        <f>"0.00487***"</f>
        <v>0.00487***</v>
      </c>
      <c r="BH17" t="s">
        <v>1469</v>
      </c>
      <c r="BI17" t="s">
        <v>613</v>
      </c>
      <c r="BJ17" t="str">
        <f>"0.00467***"</f>
        <v>0.00467***</v>
      </c>
      <c r="BK17" t="s">
        <v>1468</v>
      </c>
      <c r="BL17" t="s">
        <v>669</v>
      </c>
      <c r="BM17" t="str">
        <f>"0.00456***"</f>
        <v>0.00456***</v>
      </c>
      <c r="BN17" t="s">
        <v>1081</v>
      </c>
      <c r="BO17" t="s">
        <v>655</v>
      </c>
      <c r="BP17" t="str">
        <f>"0.00446***"</f>
        <v>0.00446***</v>
      </c>
      <c r="BQ17" t="s">
        <v>1081</v>
      </c>
      <c r="BR17" t="s">
        <v>710</v>
      </c>
      <c r="BS17" t="str">
        <f>"0.00435***"</f>
        <v>0.00435***</v>
      </c>
      <c r="BT17" t="s">
        <v>1121</v>
      </c>
      <c r="BU17" t="s">
        <v>702</v>
      </c>
      <c r="BV17" t="str">
        <f>"0.00426***"</f>
        <v>0.00426***</v>
      </c>
      <c r="BW17" t="s">
        <v>728</v>
      </c>
      <c r="BX17" t="s">
        <v>702</v>
      </c>
      <c r="BY17" t="str">
        <f>"0.00411***"</f>
        <v>0.00411***</v>
      </c>
      <c r="BZ17" t="s">
        <v>712</v>
      </c>
      <c r="CA17" t="s">
        <v>1467</v>
      </c>
      <c r="CB17" t="str">
        <f>"0.00397***"</f>
        <v>0.00397***</v>
      </c>
      <c r="CC17" t="s">
        <v>343</v>
      </c>
      <c r="CD17" t="s">
        <v>925</v>
      </c>
      <c r="CE17" t="str">
        <f>"0.00386***"</f>
        <v>0.00386***</v>
      </c>
      <c r="CF17" t="s">
        <v>1466</v>
      </c>
      <c r="CG17" t="s">
        <v>951</v>
      </c>
      <c r="CH17" t="str">
        <f>"0.00379***"</f>
        <v>0.00379***</v>
      </c>
      <c r="CI17" t="s">
        <v>1466</v>
      </c>
      <c r="CJ17" t="s">
        <v>605</v>
      </c>
      <c r="CK17" t="str">
        <f>"0.00379***"</f>
        <v>0.00379***</v>
      </c>
      <c r="CL17" t="s">
        <v>1466</v>
      </c>
      <c r="CM17" t="s">
        <v>605</v>
      </c>
      <c r="CN17" t="str">
        <f>"0.00377***"</f>
        <v>0.00377***</v>
      </c>
      <c r="CO17" t="s">
        <v>1466</v>
      </c>
      <c r="CP17" t="s">
        <v>605</v>
      </c>
      <c r="CQ17" t="str">
        <f>"0.00371***"</f>
        <v>0.00371***</v>
      </c>
      <c r="CR17" t="s">
        <v>441</v>
      </c>
      <c r="CS17" t="s">
        <v>928</v>
      </c>
      <c r="CT17" t="str">
        <f>"0.00365***"</f>
        <v>0.00365***</v>
      </c>
      <c r="CU17" t="s">
        <v>441</v>
      </c>
      <c r="CV17" t="s">
        <v>1087</v>
      </c>
      <c r="CW17" t="str">
        <f>"0.00368***"</f>
        <v>0.00368***</v>
      </c>
      <c r="CX17" t="s">
        <v>441</v>
      </c>
      <c r="CY17" t="s">
        <v>928</v>
      </c>
      <c r="CZ17" t="str">
        <f>"0.00365***"</f>
        <v>0.00365***</v>
      </c>
      <c r="DA17" t="s">
        <v>441</v>
      </c>
      <c r="DB17" t="s">
        <v>1087</v>
      </c>
      <c r="DC17" t="str">
        <f>"0.00360***"</f>
        <v>0.00360***</v>
      </c>
      <c r="DD17" t="s">
        <v>1465</v>
      </c>
      <c r="DE17" t="s">
        <v>1087</v>
      </c>
      <c r="DF17" t="str">
        <f>"0.00360***"</f>
        <v>0.00360***</v>
      </c>
      <c r="DG17" t="s">
        <v>1465</v>
      </c>
      <c r="DH17" t="s">
        <v>1087</v>
      </c>
      <c r="DI17" t="str">
        <f>"0.00356***"</f>
        <v>0.00356***</v>
      </c>
      <c r="DJ17" t="s">
        <v>1050</v>
      </c>
      <c r="DK17" t="s">
        <v>1087</v>
      </c>
      <c r="DL17" t="str">
        <f>"0.00358***"</f>
        <v>0.00358***</v>
      </c>
      <c r="DM17" t="s">
        <v>1050</v>
      </c>
      <c r="DN17" t="s">
        <v>1087</v>
      </c>
      <c r="DO17" t="str">
        <f>"0.00356***"</f>
        <v>0.00356***</v>
      </c>
      <c r="DP17" t="s">
        <v>1050</v>
      </c>
      <c r="DQ17" t="s">
        <v>1087</v>
      </c>
      <c r="DR17" t="str">
        <f>"0.00355***"</f>
        <v>0.00355***</v>
      </c>
      <c r="DS17" t="s">
        <v>1050</v>
      </c>
      <c r="DT17" t="s">
        <v>1087</v>
      </c>
      <c r="DU17" t="str">
        <f>"0.00350***"</f>
        <v>0.00350***</v>
      </c>
      <c r="DV17" t="s">
        <v>729</v>
      </c>
      <c r="DW17" t="s">
        <v>1087</v>
      </c>
      <c r="DX17" t="str">
        <f>"0.00347***"</f>
        <v>0.00347***</v>
      </c>
      <c r="DY17" t="s">
        <v>729</v>
      </c>
      <c r="DZ17" t="s">
        <v>1087</v>
      </c>
      <c r="EA17" t="str">
        <f>"0.00339***"</f>
        <v>0.00339***</v>
      </c>
      <c r="EB17" t="s">
        <v>1464</v>
      </c>
      <c r="EC17" t="s">
        <v>698</v>
      </c>
      <c r="ED17" t="str">
        <f>"0.00323***"</f>
        <v>0.00323***</v>
      </c>
      <c r="EE17" t="s">
        <v>779</v>
      </c>
      <c r="EF17" t="s">
        <v>671</v>
      </c>
      <c r="EG17" t="str">
        <f>"0.00311***"</f>
        <v>0.00311***</v>
      </c>
      <c r="EH17" t="s">
        <v>1463</v>
      </c>
      <c r="EI17" t="s">
        <v>696</v>
      </c>
      <c r="EJ17" t="str">
        <f>"0.00310***"</f>
        <v>0.00310***</v>
      </c>
      <c r="EK17" t="s">
        <v>1463</v>
      </c>
      <c r="EL17" t="s">
        <v>699</v>
      </c>
      <c r="EM17" t="str">
        <f>"0.00305***"</f>
        <v>0.00305***</v>
      </c>
      <c r="EN17" t="s">
        <v>1462</v>
      </c>
      <c r="EO17" t="s">
        <v>699</v>
      </c>
      <c r="EP17" t="str">
        <f>"0.00288***"</f>
        <v>0.00288***</v>
      </c>
      <c r="EQ17" t="s">
        <v>1461</v>
      </c>
      <c r="ER17" t="s">
        <v>829</v>
      </c>
      <c r="ES17" t="str">
        <f>"0.00291***"</f>
        <v>0.00291***</v>
      </c>
      <c r="ET17" t="s">
        <v>1461</v>
      </c>
      <c r="EU17" t="s">
        <v>829</v>
      </c>
      <c r="EV17" t="str">
        <f>"0.00285***"</f>
        <v>0.00285***</v>
      </c>
      <c r="EW17" t="s">
        <v>1460</v>
      </c>
      <c r="EX17" t="s">
        <v>829</v>
      </c>
      <c r="EY17" t="str">
        <f>"0.00293***"</f>
        <v>0.00293***</v>
      </c>
      <c r="EZ17" t="s">
        <v>1461</v>
      </c>
      <c r="FA17" t="s">
        <v>590</v>
      </c>
      <c r="FB17" t="str">
        <f>"0.00300***"</f>
        <v>0.00300***</v>
      </c>
      <c r="FC17" t="s">
        <v>1461</v>
      </c>
      <c r="FD17" t="s">
        <v>699</v>
      </c>
      <c r="FE17" t="str">
        <f>"0.00295***"</f>
        <v>0.00295***</v>
      </c>
      <c r="FF17" t="s">
        <v>1461</v>
      </c>
      <c r="FG17" t="s">
        <v>590</v>
      </c>
      <c r="FH17" t="str">
        <f>"0.00294***"</f>
        <v>0.00294***</v>
      </c>
      <c r="FI17" t="s">
        <v>1461</v>
      </c>
      <c r="FJ17" t="s">
        <v>590</v>
      </c>
      <c r="FK17" t="str">
        <f>"0.00286***"</f>
        <v>0.00286***</v>
      </c>
      <c r="FL17" t="s">
        <v>1460</v>
      </c>
      <c r="FM17" t="s">
        <v>829</v>
      </c>
      <c r="FN17" t="str">
        <f>"0.00272***"</f>
        <v>0.00272***</v>
      </c>
      <c r="FO17" t="s">
        <v>638</v>
      </c>
      <c r="FP17" t="s">
        <v>603</v>
      </c>
      <c r="FQ17" t="str">
        <f>"0.00254***"</f>
        <v>0.00254***</v>
      </c>
      <c r="FR17" t="s">
        <v>1020</v>
      </c>
      <c r="FS17" t="s">
        <v>690</v>
      </c>
      <c r="FT17" t="str">
        <f>"0.00241***"</f>
        <v>0.00241***</v>
      </c>
      <c r="FU17" t="s">
        <v>679</v>
      </c>
      <c r="FV17" t="s">
        <v>692</v>
      </c>
      <c r="FW17" t="str">
        <f>"0.00237***"</f>
        <v>0.00237***</v>
      </c>
      <c r="FX17" t="s">
        <v>679</v>
      </c>
      <c r="FY17" t="s">
        <v>692</v>
      </c>
      <c r="FZ17" t="str">
        <f>"0.00222***"</f>
        <v>0.00222***</v>
      </c>
      <c r="GA17" t="s">
        <v>695</v>
      </c>
      <c r="GB17" t="s">
        <v>917</v>
      </c>
      <c r="GC17" t="str">
        <f>"0.00212***"</f>
        <v>0.00212***</v>
      </c>
      <c r="GD17" t="s">
        <v>1459</v>
      </c>
      <c r="GE17" t="s">
        <v>716</v>
      </c>
      <c r="GF17" t="str">
        <f>"0.00218***"</f>
        <v>0.00218***</v>
      </c>
      <c r="GG17" t="s">
        <v>695</v>
      </c>
      <c r="GH17" t="s">
        <v>917</v>
      </c>
      <c r="GI17" t="str">
        <f>"0.00211***"</f>
        <v>0.00211***</v>
      </c>
      <c r="GJ17" t="s">
        <v>1459</v>
      </c>
      <c r="GK17" t="s">
        <v>917</v>
      </c>
      <c r="GL17" t="str">
        <f>"0.00198***"</f>
        <v>0.00198***</v>
      </c>
      <c r="GM17" t="s">
        <v>718</v>
      </c>
      <c r="GN17" t="s">
        <v>701</v>
      </c>
      <c r="GO17" t="str">
        <f>"0.00184***"</f>
        <v>0.00184***</v>
      </c>
      <c r="GP17" t="s">
        <v>924</v>
      </c>
      <c r="GQ17" t="s">
        <v>797</v>
      </c>
      <c r="GR17" t="str">
        <f>"0.00177***"</f>
        <v>0.00177***</v>
      </c>
      <c r="GS17" t="s">
        <v>927</v>
      </c>
      <c r="GT17" t="s">
        <v>667</v>
      </c>
      <c r="GU17" t="str">
        <f>"0.00169***"</f>
        <v>0.00169***</v>
      </c>
      <c r="GV17" t="s">
        <v>927</v>
      </c>
      <c r="GW17" t="s">
        <v>906</v>
      </c>
      <c r="GX17" t="str">
        <f>"0.00140***"</f>
        <v>0.00140***</v>
      </c>
      <c r="GY17" t="s">
        <v>923</v>
      </c>
      <c r="GZ17" t="s">
        <v>685</v>
      </c>
      <c r="HA17" t="str">
        <f>"0.00121**"</f>
        <v>0.00121**</v>
      </c>
      <c r="HB17" t="s">
        <v>683</v>
      </c>
      <c r="HC17" t="s">
        <v>912</v>
      </c>
      <c r="HD17" t="str">
        <f>"0.00103*"</f>
        <v>0.00103*</v>
      </c>
      <c r="HE17" t="s">
        <v>722</v>
      </c>
      <c r="HF17" t="s">
        <v>691</v>
      </c>
      <c r="HG17" t="str">
        <f>"0.000879*"</f>
        <v>0.000879*</v>
      </c>
      <c r="HH17" t="s">
        <v>979</v>
      </c>
      <c r="HI17" t="s">
        <v>588</v>
      </c>
      <c r="HJ17" t="str">
        <f>"0.000767"</f>
        <v>0.000767</v>
      </c>
      <c r="HK17" t="s">
        <v>738</v>
      </c>
      <c r="HL17" t="s">
        <v>918</v>
      </c>
      <c r="HM17" t="str">
        <f>"0.000673"</f>
        <v>0.000673</v>
      </c>
      <c r="HN17" t="s">
        <v>1458</v>
      </c>
      <c r="HO17" t="s">
        <v>918</v>
      </c>
      <c r="HP17" t="str">
        <f>"0.000413"</f>
        <v>0.000413</v>
      </c>
      <c r="HQ17" t="s">
        <v>347</v>
      </c>
      <c r="HR17" t="s">
        <v>675</v>
      </c>
      <c r="HS17" t="str">
        <f>"0.000315"</f>
        <v>0.000315</v>
      </c>
      <c r="HT17" t="s">
        <v>684</v>
      </c>
      <c r="HU17" t="s">
        <v>936</v>
      </c>
      <c r="HV17" t="str">
        <f>"0.000130"</f>
        <v>0.000130</v>
      </c>
      <c r="HW17" t="s">
        <v>734</v>
      </c>
      <c r="HX17" t="s">
        <v>937</v>
      </c>
      <c r="HY17" t="str">
        <f>"-0.000119"</f>
        <v>-0.000119</v>
      </c>
      <c r="HZ17" t="s">
        <v>647</v>
      </c>
      <c r="IA17" t="s">
        <v>1457</v>
      </c>
      <c r="IB17" t="str">
        <f>"-0.000394"</f>
        <v>-0.000394</v>
      </c>
      <c r="IC17" t="s">
        <v>636</v>
      </c>
      <c r="ID17" t="s">
        <v>709</v>
      </c>
      <c r="IE17" t="str">
        <f>"-0.000813"</f>
        <v>-0.000813</v>
      </c>
      <c r="IF17" t="s">
        <v>681</v>
      </c>
      <c r="IG17" t="s">
        <v>1456</v>
      </c>
      <c r="IH17" t="str">
        <f>"-0.00107*"</f>
        <v>-0.00107*</v>
      </c>
      <c r="II17" t="s">
        <v>933</v>
      </c>
      <c r="IJ17" t="s">
        <v>1455</v>
      </c>
      <c r="IK17" t="str">
        <f>"-0.00121*"</f>
        <v>-0.00121*</v>
      </c>
      <c r="IL17" t="s">
        <v>717</v>
      </c>
      <c r="IM17" t="s">
        <v>1116</v>
      </c>
      <c r="IN17" t="str">
        <f>"-0.00125**"</f>
        <v>-0.00125**</v>
      </c>
      <c r="IO17" t="s">
        <v>717</v>
      </c>
      <c r="IP17" t="s">
        <v>970</v>
      </c>
      <c r="IQ17" t="str">
        <f>"-0.00143**"</f>
        <v>-0.00143**</v>
      </c>
      <c r="IR17" t="s">
        <v>639</v>
      </c>
      <c r="IS17" t="s">
        <v>1454</v>
      </c>
      <c r="IT17" t="str">
        <f>"-0.00176***"</f>
        <v>-0.00176***</v>
      </c>
      <c r="IU17" t="s">
        <v>783</v>
      </c>
      <c r="IV17" t="s">
        <v>810</v>
      </c>
      <c r="IW17" t="str">
        <f>"-0.00268***"</f>
        <v>-0.00268***</v>
      </c>
      <c r="IX17" t="s">
        <v>650</v>
      </c>
      <c r="IY17" t="s">
        <v>1453</v>
      </c>
      <c r="IZ17" t="str">
        <f>"-0.00308***"</f>
        <v>-0.00308***</v>
      </c>
      <c r="JA17" t="s">
        <v>663</v>
      </c>
      <c r="JB17" t="s">
        <v>962</v>
      </c>
      <c r="JC17" t="str">
        <f>"-0.00316***"</f>
        <v>-0.00316***</v>
      </c>
      <c r="JD17" t="s">
        <v>663</v>
      </c>
      <c r="JE17" t="s">
        <v>1452</v>
      </c>
      <c r="JF17" t="str">
        <f>"-0.00379***"</f>
        <v>-0.00379***</v>
      </c>
      <c r="JG17" t="s">
        <v>1451</v>
      </c>
      <c r="JH17" t="s">
        <v>705</v>
      </c>
      <c r="JI17" t="str">
        <f>"-0.00392***"</f>
        <v>-0.00392***</v>
      </c>
      <c r="JJ17" t="s">
        <v>672</v>
      </c>
      <c r="JK17" t="s">
        <v>1201</v>
      </c>
      <c r="JL17" t="str">
        <f>"-0.00390***"</f>
        <v>-0.00390***</v>
      </c>
      <c r="JM17" t="s">
        <v>909</v>
      </c>
      <c r="JN17" t="s">
        <v>949</v>
      </c>
      <c r="JO17" t="str">
        <f>"-0.00480***"</f>
        <v>-0.00480***</v>
      </c>
      <c r="JP17" t="s">
        <v>664</v>
      </c>
      <c r="JQ17" t="s">
        <v>1111</v>
      </c>
      <c r="JR17" t="str">
        <f>"-0.00542***"</f>
        <v>-0.00542***</v>
      </c>
      <c r="JS17" t="s">
        <v>1450</v>
      </c>
      <c r="JT17" t="s">
        <v>1449</v>
      </c>
      <c r="JU17" t="str">
        <f>"-0.00440***"</f>
        <v>-0.00440***</v>
      </c>
      <c r="JV17" t="s">
        <v>1120</v>
      </c>
      <c r="JW17" t="s">
        <v>1063</v>
      </c>
      <c r="JX17" t="str">
        <f>"-0.00559***"</f>
        <v>-0.00559***</v>
      </c>
      <c r="JY17" t="s">
        <v>648</v>
      </c>
      <c r="JZ17" t="s">
        <v>1448</v>
      </c>
      <c r="KA17" t="str">
        <f>"-0.00495***"</f>
        <v>-0.00495***</v>
      </c>
      <c r="KB17" t="s">
        <v>974</v>
      </c>
      <c r="KC17" t="s">
        <v>825</v>
      </c>
      <c r="KD17" t="str">
        <f>"-0.00631***"</f>
        <v>-0.00631***</v>
      </c>
      <c r="KE17" t="s">
        <v>1447</v>
      </c>
      <c r="KF17" t="s">
        <v>819</v>
      </c>
      <c r="KG17" t="str">
        <f>"-0.00695***"</f>
        <v>-0.00695***</v>
      </c>
      <c r="KH17" t="s">
        <v>706</v>
      </c>
      <c r="KI17" t="s">
        <v>821</v>
      </c>
      <c r="KJ17" t="str">
        <f>"-0.00796***"</f>
        <v>-0.00796***</v>
      </c>
      <c r="KK17" t="s">
        <v>628</v>
      </c>
      <c r="KL17" t="s">
        <v>1446</v>
      </c>
    </row>
    <row r="18" spans="1:298" x14ac:dyDescent="0.2">
      <c r="A18" t="str">
        <f>"unexplained"</f>
        <v>unexplained</v>
      </c>
      <c r="B18" t="str">
        <f>""</f>
        <v/>
      </c>
      <c r="C18" t="str">
        <f>""</f>
        <v/>
      </c>
      <c r="D18" t="str">
        <f>""</f>
        <v/>
      </c>
      <c r="E18" t="str">
        <f>""</f>
        <v/>
      </c>
      <c r="F18" t="str">
        <f>""</f>
        <v/>
      </c>
      <c r="G18" t="str">
        <f>""</f>
        <v/>
      </c>
      <c r="H18" t="str">
        <f>""</f>
        <v/>
      </c>
      <c r="I18" t="str">
        <f>""</f>
        <v/>
      </c>
      <c r="J18" t="str">
        <f>""</f>
        <v/>
      </c>
      <c r="K18" t="str">
        <f>""</f>
        <v/>
      </c>
      <c r="L18" t="str">
        <f>""</f>
        <v/>
      </c>
      <c r="M18" t="str">
        <f>""</f>
        <v/>
      </c>
      <c r="N18" t="str">
        <f>""</f>
        <v/>
      </c>
      <c r="O18" t="str">
        <f>""</f>
        <v/>
      </c>
      <c r="P18" t="str">
        <f>""</f>
        <v/>
      </c>
      <c r="Q18" t="str">
        <f>""</f>
        <v/>
      </c>
      <c r="R18" t="str">
        <f>""</f>
        <v/>
      </c>
      <c r="S18" t="str">
        <f>""</f>
        <v/>
      </c>
      <c r="T18" t="str">
        <f>""</f>
        <v/>
      </c>
      <c r="U18" t="str">
        <f>""</f>
        <v/>
      </c>
      <c r="V18" t="str">
        <f>""</f>
        <v/>
      </c>
      <c r="W18" t="str">
        <f>""</f>
        <v/>
      </c>
      <c r="X18" t="str">
        <f>""</f>
        <v/>
      </c>
      <c r="Y18" t="str">
        <f>""</f>
        <v/>
      </c>
      <c r="Z18" t="str">
        <f>""</f>
        <v/>
      </c>
      <c r="AA18" t="str">
        <f>""</f>
        <v/>
      </c>
      <c r="AB18" t="str">
        <f>""</f>
        <v/>
      </c>
      <c r="AC18" t="str">
        <f>""</f>
        <v/>
      </c>
      <c r="AD18" t="str">
        <f>""</f>
        <v/>
      </c>
      <c r="AE18" t="str">
        <f>""</f>
        <v/>
      </c>
      <c r="AF18" t="str">
        <f>""</f>
        <v/>
      </c>
      <c r="AG18" t="str">
        <f>""</f>
        <v/>
      </c>
      <c r="AH18" t="str">
        <f>""</f>
        <v/>
      </c>
      <c r="AI18" t="str">
        <f>""</f>
        <v/>
      </c>
      <c r="AJ18" t="str">
        <f>""</f>
        <v/>
      </c>
      <c r="AK18" t="str">
        <f>""</f>
        <v/>
      </c>
      <c r="AL18" t="str">
        <f>""</f>
        <v/>
      </c>
      <c r="AM18" t="str">
        <f>""</f>
        <v/>
      </c>
      <c r="AN18" t="str">
        <f>""</f>
        <v/>
      </c>
      <c r="AO18" t="str">
        <f>""</f>
        <v/>
      </c>
      <c r="AP18" t="str">
        <f>""</f>
        <v/>
      </c>
      <c r="AQ18" t="str">
        <f>""</f>
        <v/>
      </c>
      <c r="AR18" t="str">
        <f>""</f>
        <v/>
      </c>
      <c r="AS18" t="str">
        <f>""</f>
        <v/>
      </c>
      <c r="AT18" t="str">
        <f>""</f>
        <v/>
      </c>
      <c r="AU18" t="str">
        <f>""</f>
        <v/>
      </c>
      <c r="AV18" t="str">
        <f>""</f>
        <v/>
      </c>
      <c r="AW18" t="str">
        <f>""</f>
        <v/>
      </c>
      <c r="AX18" t="str">
        <f>""</f>
        <v/>
      </c>
      <c r="AY18" t="str">
        <f>""</f>
        <v/>
      </c>
      <c r="AZ18" t="str">
        <f>""</f>
        <v/>
      </c>
      <c r="BA18" t="str">
        <f>""</f>
        <v/>
      </c>
      <c r="BB18" t="str">
        <f>""</f>
        <v/>
      </c>
      <c r="BC18" t="str">
        <f>""</f>
        <v/>
      </c>
      <c r="BD18" t="str">
        <f>""</f>
        <v/>
      </c>
      <c r="BE18" t="str">
        <f>""</f>
        <v/>
      </c>
      <c r="BF18" t="str">
        <f>""</f>
        <v/>
      </c>
      <c r="BG18" t="str">
        <f>""</f>
        <v/>
      </c>
      <c r="BH18" t="str">
        <f>""</f>
        <v/>
      </c>
      <c r="BI18" t="str">
        <f>""</f>
        <v/>
      </c>
      <c r="BJ18" t="str">
        <f>""</f>
        <v/>
      </c>
      <c r="BK18" t="str">
        <f>""</f>
        <v/>
      </c>
      <c r="BL18" t="str">
        <f>""</f>
        <v/>
      </c>
      <c r="BM18" t="str">
        <f>""</f>
        <v/>
      </c>
      <c r="BN18" t="str">
        <f>""</f>
        <v/>
      </c>
      <c r="BO18" t="str">
        <f>""</f>
        <v/>
      </c>
      <c r="BP18" t="str">
        <f>""</f>
        <v/>
      </c>
      <c r="BQ18" t="str">
        <f>""</f>
        <v/>
      </c>
      <c r="BR18" t="str">
        <f>""</f>
        <v/>
      </c>
      <c r="BS18" t="str">
        <f>""</f>
        <v/>
      </c>
      <c r="BT18" t="str">
        <f>""</f>
        <v/>
      </c>
      <c r="BU18" t="str">
        <f>""</f>
        <v/>
      </c>
      <c r="BV18" t="str">
        <f>""</f>
        <v/>
      </c>
      <c r="BW18" t="str">
        <f>""</f>
        <v/>
      </c>
      <c r="BX18" t="str">
        <f>""</f>
        <v/>
      </c>
      <c r="BY18" t="str">
        <f>""</f>
        <v/>
      </c>
      <c r="BZ18" t="str">
        <f>""</f>
        <v/>
      </c>
      <c r="CA18" t="str">
        <f>""</f>
        <v/>
      </c>
      <c r="CB18" t="str">
        <f>""</f>
        <v/>
      </c>
      <c r="CC18" t="str">
        <f>""</f>
        <v/>
      </c>
      <c r="CD18" t="str">
        <f>""</f>
        <v/>
      </c>
      <c r="CE18" t="str">
        <f>""</f>
        <v/>
      </c>
      <c r="CF18" t="str">
        <f>""</f>
        <v/>
      </c>
      <c r="CG18" t="str">
        <f>""</f>
        <v/>
      </c>
      <c r="CH18" t="str">
        <f>""</f>
        <v/>
      </c>
      <c r="CI18" t="str">
        <f>""</f>
        <v/>
      </c>
      <c r="CJ18" t="str">
        <f>""</f>
        <v/>
      </c>
      <c r="CK18" t="str">
        <f>""</f>
        <v/>
      </c>
      <c r="CL18" t="str">
        <f>""</f>
        <v/>
      </c>
      <c r="CM18" t="str">
        <f>""</f>
        <v/>
      </c>
      <c r="CN18" t="str">
        <f>""</f>
        <v/>
      </c>
      <c r="CO18" t="str">
        <f>""</f>
        <v/>
      </c>
      <c r="CP18" t="str">
        <f>""</f>
        <v/>
      </c>
      <c r="CQ18" t="str">
        <f>""</f>
        <v/>
      </c>
      <c r="CR18" t="str">
        <f>""</f>
        <v/>
      </c>
      <c r="CS18" t="str">
        <f>""</f>
        <v/>
      </c>
      <c r="CT18" t="str">
        <f>""</f>
        <v/>
      </c>
      <c r="CU18" t="str">
        <f>""</f>
        <v/>
      </c>
      <c r="CV18" t="str">
        <f>""</f>
        <v/>
      </c>
      <c r="CW18" t="str">
        <f>""</f>
        <v/>
      </c>
      <c r="CX18" t="str">
        <f>""</f>
        <v/>
      </c>
      <c r="CY18" t="str">
        <f>""</f>
        <v/>
      </c>
      <c r="CZ18" t="str">
        <f>""</f>
        <v/>
      </c>
      <c r="DA18" t="str">
        <f>""</f>
        <v/>
      </c>
      <c r="DB18" t="str">
        <f>""</f>
        <v/>
      </c>
      <c r="DC18" t="str">
        <f>""</f>
        <v/>
      </c>
      <c r="DD18" t="str">
        <f>""</f>
        <v/>
      </c>
      <c r="DE18" t="str">
        <f>""</f>
        <v/>
      </c>
      <c r="DF18" t="str">
        <f>""</f>
        <v/>
      </c>
      <c r="DG18" t="str">
        <f>""</f>
        <v/>
      </c>
      <c r="DH18" t="str">
        <f>""</f>
        <v/>
      </c>
      <c r="DI18" t="str">
        <f>""</f>
        <v/>
      </c>
      <c r="DJ18" t="str">
        <f>""</f>
        <v/>
      </c>
      <c r="DK18" t="str">
        <f>""</f>
        <v/>
      </c>
      <c r="DL18" t="str">
        <f>""</f>
        <v/>
      </c>
      <c r="DM18" t="str">
        <f>""</f>
        <v/>
      </c>
      <c r="DN18" t="str">
        <f>""</f>
        <v/>
      </c>
      <c r="DO18" t="str">
        <f>""</f>
        <v/>
      </c>
      <c r="DP18" t="str">
        <f>""</f>
        <v/>
      </c>
      <c r="DQ18" t="str">
        <f>""</f>
        <v/>
      </c>
      <c r="DR18" t="str">
        <f>""</f>
        <v/>
      </c>
      <c r="DS18" t="str">
        <f>""</f>
        <v/>
      </c>
      <c r="DT18" t="str">
        <f>""</f>
        <v/>
      </c>
      <c r="DU18" t="str">
        <f>""</f>
        <v/>
      </c>
      <c r="DV18" t="str">
        <f>""</f>
        <v/>
      </c>
      <c r="DW18" t="str">
        <f>""</f>
        <v/>
      </c>
      <c r="DX18" t="str">
        <f>""</f>
        <v/>
      </c>
      <c r="DY18" t="str">
        <f>""</f>
        <v/>
      </c>
      <c r="DZ18" t="str">
        <f>""</f>
        <v/>
      </c>
      <c r="EA18" t="str">
        <f>""</f>
        <v/>
      </c>
      <c r="EB18" t="str">
        <f>""</f>
        <v/>
      </c>
      <c r="EC18" t="str">
        <f>""</f>
        <v/>
      </c>
      <c r="ED18" t="str">
        <f>""</f>
        <v/>
      </c>
      <c r="EE18" t="str">
        <f>""</f>
        <v/>
      </c>
      <c r="EF18" t="str">
        <f>""</f>
        <v/>
      </c>
      <c r="EG18" t="str">
        <f>""</f>
        <v/>
      </c>
      <c r="EH18" t="str">
        <f>""</f>
        <v/>
      </c>
      <c r="EI18" t="str">
        <f>""</f>
        <v/>
      </c>
      <c r="EJ18" t="str">
        <f>""</f>
        <v/>
      </c>
      <c r="EK18" t="str">
        <f>""</f>
        <v/>
      </c>
      <c r="EL18" t="str">
        <f>""</f>
        <v/>
      </c>
      <c r="EM18" t="str">
        <f>""</f>
        <v/>
      </c>
      <c r="EN18" t="str">
        <f>""</f>
        <v/>
      </c>
      <c r="EO18" t="str">
        <f>""</f>
        <v/>
      </c>
      <c r="EP18" t="str">
        <f>""</f>
        <v/>
      </c>
      <c r="EQ18" t="str">
        <f>""</f>
        <v/>
      </c>
      <c r="ER18" t="str">
        <f>""</f>
        <v/>
      </c>
      <c r="ES18" t="str">
        <f>""</f>
        <v/>
      </c>
      <c r="ET18" t="str">
        <f>""</f>
        <v/>
      </c>
      <c r="EU18" t="str">
        <f>""</f>
        <v/>
      </c>
      <c r="EV18" t="str">
        <f>""</f>
        <v/>
      </c>
      <c r="EW18" t="str">
        <f>""</f>
        <v/>
      </c>
      <c r="EX18" t="str">
        <f>""</f>
        <v/>
      </c>
      <c r="EY18" t="str">
        <f>""</f>
        <v/>
      </c>
      <c r="EZ18" t="str">
        <f>""</f>
        <v/>
      </c>
      <c r="FA18" t="str">
        <f>""</f>
        <v/>
      </c>
      <c r="FB18" t="str">
        <f>""</f>
        <v/>
      </c>
      <c r="FC18" t="str">
        <f>""</f>
        <v/>
      </c>
      <c r="FD18" t="str">
        <f>""</f>
        <v/>
      </c>
      <c r="FE18" t="str">
        <f>""</f>
        <v/>
      </c>
      <c r="FF18" t="str">
        <f>""</f>
        <v/>
      </c>
      <c r="FG18" t="str">
        <f>""</f>
        <v/>
      </c>
      <c r="FH18" t="str">
        <f>""</f>
        <v/>
      </c>
      <c r="FI18" t="str">
        <f>""</f>
        <v/>
      </c>
      <c r="FJ18" t="str">
        <f>""</f>
        <v/>
      </c>
      <c r="FK18" t="str">
        <f>""</f>
        <v/>
      </c>
      <c r="FL18" t="str">
        <f>""</f>
        <v/>
      </c>
      <c r="FM18" t="str">
        <f>""</f>
        <v/>
      </c>
      <c r="FN18" t="str">
        <f>""</f>
        <v/>
      </c>
      <c r="FO18" t="str">
        <f>""</f>
        <v/>
      </c>
      <c r="FP18" t="str">
        <f>""</f>
        <v/>
      </c>
      <c r="FQ18" t="str">
        <f>""</f>
        <v/>
      </c>
      <c r="FR18" t="str">
        <f>""</f>
        <v/>
      </c>
      <c r="FS18" t="str">
        <f>""</f>
        <v/>
      </c>
      <c r="FT18" t="str">
        <f>""</f>
        <v/>
      </c>
      <c r="FU18" t="str">
        <f>""</f>
        <v/>
      </c>
      <c r="FV18" t="str">
        <f>""</f>
        <v/>
      </c>
      <c r="FW18" t="str">
        <f>""</f>
        <v/>
      </c>
      <c r="FX18" t="str">
        <f>""</f>
        <v/>
      </c>
      <c r="FY18" t="str">
        <f>""</f>
        <v/>
      </c>
      <c r="FZ18" t="str">
        <f>""</f>
        <v/>
      </c>
      <c r="GA18" t="str">
        <f>""</f>
        <v/>
      </c>
      <c r="GB18" t="str">
        <f>""</f>
        <v/>
      </c>
      <c r="GC18" t="str">
        <f>""</f>
        <v/>
      </c>
      <c r="GD18" t="str">
        <f>""</f>
        <v/>
      </c>
      <c r="GE18" t="str">
        <f>""</f>
        <v/>
      </c>
      <c r="GF18" t="str">
        <f>""</f>
        <v/>
      </c>
      <c r="GG18" t="str">
        <f>""</f>
        <v/>
      </c>
      <c r="GH18" t="str">
        <f>""</f>
        <v/>
      </c>
      <c r="GI18" t="str">
        <f>""</f>
        <v/>
      </c>
      <c r="GJ18" t="str">
        <f>""</f>
        <v/>
      </c>
      <c r="GK18" t="str">
        <f>""</f>
        <v/>
      </c>
      <c r="GL18" t="str">
        <f>""</f>
        <v/>
      </c>
      <c r="GM18" t="str">
        <f>""</f>
        <v/>
      </c>
      <c r="GN18" t="str">
        <f>""</f>
        <v/>
      </c>
      <c r="GO18" t="str">
        <f>""</f>
        <v/>
      </c>
      <c r="GP18" t="str">
        <f>""</f>
        <v/>
      </c>
      <c r="GQ18" t="str">
        <f>""</f>
        <v/>
      </c>
    </row>
    <row r="19" spans="1:298" x14ac:dyDescent="0.2">
      <c r="A19" t="str">
        <f>"Educa√ß√£o"</f>
        <v>Educa√ß√£o</v>
      </c>
      <c r="B19" t="str">
        <f>"0.437**"</f>
        <v>0.437**</v>
      </c>
      <c r="C19" t="s">
        <v>1445</v>
      </c>
      <c r="D19" t="s">
        <v>1444</v>
      </c>
      <c r="E19" t="str">
        <f>"0.208"</f>
        <v>0.208</v>
      </c>
      <c r="F19" t="s">
        <v>1443</v>
      </c>
      <c r="G19" t="s">
        <v>1442</v>
      </c>
      <c r="H19" t="str">
        <f>"-0.0394"</f>
        <v>-0.0394</v>
      </c>
      <c r="I19" t="s">
        <v>1441</v>
      </c>
      <c r="J19" t="s">
        <v>1440</v>
      </c>
      <c r="K19" t="str">
        <f>"-0.0409"</f>
        <v>-0.0409</v>
      </c>
      <c r="L19" t="s">
        <v>1439</v>
      </c>
      <c r="M19" t="s">
        <v>1438</v>
      </c>
      <c r="N19" t="str">
        <f>"-0.168*"</f>
        <v>-0.168*</v>
      </c>
      <c r="O19" t="s">
        <v>1437</v>
      </c>
      <c r="P19" t="s">
        <v>1436</v>
      </c>
      <c r="Q19" t="str">
        <f>"-0.0924"</f>
        <v>-0.0924</v>
      </c>
      <c r="R19" t="s">
        <v>1275</v>
      </c>
      <c r="S19" t="s">
        <v>1435</v>
      </c>
      <c r="T19" t="str">
        <f>"-0.190***"</f>
        <v>-0.190***</v>
      </c>
      <c r="U19" t="s">
        <v>1434</v>
      </c>
      <c r="V19" t="s">
        <v>1433</v>
      </c>
      <c r="W19" t="str">
        <f>"-0.162**"</f>
        <v>-0.162**</v>
      </c>
      <c r="X19" t="s">
        <v>1432</v>
      </c>
      <c r="Y19" t="s">
        <v>1431</v>
      </c>
      <c r="Z19" t="str">
        <f>"-0.177***"</f>
        <v>-0.177***</v>
      </c>
      <c r="AA19" t="s">
        <v>1430</v>
      </c>
      <c r="AB19" t="s">
        <v>1429</v>
      </c>
      <c r="AC19" t="str">
        <f>"-0.134***"</f>
        <v>-0.134***</v>
      </c>
      <c r="AD19" t="s">
        <v>1428</v>
      </c>
      <c r="AE19" t="s">
        <v>1427</v>
      </c>
      <c r="AF19" t="str">
        <f>"-0.200***"</f>
        <v>-0.200***</v>
      </c>
      <c r="AG19" t="s">
        <v>1426</v>
      </c>
      <c r="AH19" t="s">
        <v>1425</v>
      </c>
      <c r="AI19" t="str">
        <f>"-0.280***"</f>
        <v>-0.280***</v>
      </c>
      <c r="AJ19" t="s">
        <v>1424</v>
      </c>
      <c r="AK19" t="s">
        <v>1423</v>
      </c>
      <c r="AL19" t="str">
        <f>"-0.264***"</f>
        <v>-0.264***</v>
      </c>
      <c r="AM19" t="s">
        <v>1422</v>
      </c>
      <c r="AN19" t="s">
        <v>1421</v>
      </c>
      <c r="AO19" t="str">
        <f>"-0.212***"</f>
        <v>-0.212***</v>
      </c>
      <c r="AP19" t="s">
        <v>1420</v>
      </c>
      <c r="AQ19" t="s">
        <v>1419</v>
      </c>
      <c r="AR19" t="str">
        <f>"-0.123***"</f>
        <v>-0.123***</v>
      </c>
      <c r="AS19" t="s">
        <v>1418</v>
      </c>
      <c r="AT19" t="s">
        <v>1359</v>
      </c>
      <c r="AU19" t="str">
        <f>"-0.0934***"</f>
        <v>-0.0934***</v>
      </c>
      <c r="AV19" t="s">
        <v>1417</v>
      </c>
      <c r="AW19" t="s">
        <v>1416</v>
      </c>
      <c r="AX19" t="str">
        <f>"-0.0912***"</f>
        <v>-0.0912***</v>
      </c>
      <c r="AY19" t="s">
        <v>1415</v>
      </c>
      <c r="AZ19" t="s">
        <v>1414</v>
      </c>
      <c r="BA19" t="str">
        <f>"-0.0911***"</f>
        <v>-0.0911***</v>
      </c>
      <c r="BB19" t="s">
        <v>1413</v>
      </c>
      <c r="BC19" t="s">
        <v>1412</v>
      </c>
      <c r="BD19" t="str">
        <f>"-0.0666***"</f>
        <v>-0.0666***</v>
      </c>
      <c r="BE19" t="s">
        <v>1379</v>
      </c>
      <c r="BF19" t="s">
        <v>1411</v>
      </c>
      <c r="BG19" t="str">
        <f>"-0.0617***"</f>
        <v>-0.0617***</v>
      </c>
      <c r="BH19" t="s">
        <v>1410</v>
      </c>
      <c r="BI19" t="s">
        <v>1409</v>
      </c>
      <c r="BJ19" t="str">
        <f>"-0.0637***"</f>
        <v>-0.0637***</v>
      </c>
      <c r="BK19" t="s">
        <v>281</v>
      </c>
      <c r="BL19" t="s">
        <v>1408</v>
      </c>
      <c r="BM19" t="str">
        <f>"-0.0737***"</f>
        <v>-0.0737***</v>
      </c>
      <c r="BN19" t="s">
        <v>1407</v>
      </c>
      <c r="BO19" t="s">
        <v>1406</v>
      </c>
      <c r="BP19" t="str">
        <f>"-0.0794***"</f>
        <v>-0.0794***</v>
      </c>
      <c r="BQ19" t="s">
        <v>1405</v>
      </c>
      <c r="BR19" t="s">
        <v>1404</v>
      </c>
      <c r="BS19" t="str">
        <f>"-0.0804***"</f>
        <v>-0.0804***</v>
      </c>
      <c r="BT19" t="s">
        <v>1373</v>
      </c>
      <c r="BU19" t="s">
        <v>1403</v>
      </c>
      <c r="BV19" t="str">
        <f>"-0.0675***"</f>
        <v>-0.0675***</v>
      </c>
      <c r="BW19" t="s">
        <v>1402</v>
      </c>
      <c r="BX19" t="s">
        <v>1401</v>
      </c>
      <c r="BY19" t="str">
        <f>"-0.0528***"</f>
        <v>-0.0528***</v>
      </c>
      <c r="BZ19" t="s">
        <v>1350</v>
      </c>
      <c r="CA19" t="s">
        <v>1400</v>
      </c>
      <c r="CB19" t="str">
        <f>"-0.0428***"</f>
        <v>-0.0428***</v>
      </c>
      <c r="CC19" t="s">
        <v>1399</v>
      </c>
      <c r="CD19" t="s">
        <v>1398</v>
      </c>
      <c r="CE19" t="str">
        <f>"-0.0394***"</f>
        <v>-0.0394***</v>
      </c>
      <c r="CF19" t="s">
        <v>879</v>
      </c>
      <c r="CG19" t="s">
        <v>1397</v>
      </c>
      <c r="CH19" t="str">
        <f>"-0.0333**"</f>
        <v>-0.0333**</v>
      </c>
      <c r="CI19" t="s">
        <v>1396</v>
      </c>
      <c r="CJ19" t="s">
        <v>1395</v>
      </c>
      <c r="CK19" t="str">
        <f>"-0.0294*"</f>
        <v>-0.0294*</v>
      </c>
      <c r="CL19" t="s">
        <v>1394</v>
      </c>
      <c r="CM19" t="s">
        <v>845</v>
      </c>
      <c r="CN19" t="str">
        <f>"-0.0284*"</f>
        <v>-0.0284*</v>
      </c>
      <c r="CO19" t="s">
        <v>1393</v>
      </c>
      <c r="CP19" t="s">
        <v>1392</v>
      </c>
      <c r="CQ19" t="str">
        <f>"-0.0210"</f>
        <v>-0.0210</v>
      </c>
      <c r="CR19" t="s">
        <v>1391</v>
      </c>
      <c r="CS19" t="s">
        <v>921</v>
      </c>
      <c r="CT19" t="str">
        <f>"-0.00281"</f>
        <v>-0.00281</v>
      </c>
      <c r="CU19" t="s">
        <v>1390</v>
      </c>
      <c r="CV19" t="s">
        <v>990</v>
      </c>
      <c r="CW19" t="str">
        <f>"0.00485"</f>
        <v>0.00485</v>
      </c>
      <c r="CX19" t="s">
        <v>1389</v>
      </c>
      <c r="CY19" t="s">
        <v>1388</v>
      </c>
      <c r="CZ19" t="str">
        <f>"0.0138"</f>
        <v>0.0138</v>
      </c>
      <c r="DA19" t="s">
        <v>1387</v>
      </c>
      <c r="DB19" t="s">
        <v>1386</v>
      </c>
      <c r="DC19" t="str">
        <f>"0.0109"</f>
        <v>0.0109</v>
      </c>
      <c r="DD19" t="s">
        <v>1385</v>
      </c>
      <c r="DE19" t="s">
        <v>1384</v>
      </c>
      <c r="DF19" t="str">
        <f>"0.00644"</f>
        <v>0.00644</v>
      </c>
      <c r="DG19" t="s">
        <v>504</v>
      </c>
      <c r="DH19" t="s">
        <v>1033</v>
      </c>
      <c r="DI19" t="str">
        <f>"-0.00659"</f>
        <v>-0.00659</v>
      </c>
      <c r="DJ19" t="s">
        <v>1383</v>
      </c>
      <c r="DK19" t="s">
        <v>985</v>
      </c>
      <c r="DL19" t="str">
        <f>"-0.0320*"</f>
        <v>-0.0320*</v>
      </c>
      <c r="DM19" t="s">
        <v>1382</v>
      </c>
      <c r="DN19" t="s">
        <v>804</v>
      </c>
      <c r="DO19" t="str">
        <f>"-0.0582***"</f>
        <v>-0.0582***</v>
      </c>
      <c r="DP19" t="s">
        <v>1381</v>
      </c>
      <c r="DQ19" t="s">
        <v>1380</v>
      </c>
      <c r="DR19" t="str">
        <f>"-0.0672***"</f>
        <v>-0.0672***</v>
      </c>
      <c r="DS19" t="s">
        <v>1379</v>
      </c>
      <c r="DT19" t="s">
        <v>1378</v>
      </c>
      <c r="DU19" t="str">
        <f>"-0.0770***"</f>
        <v>-0.0770***</v>
      </c>
      <c r="DV19" t="s">
        <v>1377</v>
      </c>
      <c r="DW19" t="s">
        <v>1376</v>
      </c>
      <c r="DX19" t="str">
        <f>"-0.0778***"</f>
        <v>-0.0778***</v>
      </c>
      <c r="DY19" t="s">
        <v>1375</v>
      </c>
      <c r="DZ19" t="s">
        <v>1374</v>
      </c>
      <c r="EA19" t="str">
        <f>"-0.0772***"</f>
        <v>-0.0772***</v>
      </c>
      <c r="EB19" t="s">
        <v>1373</v>
      </c>
      <c r="EC19" t="s">
        <v>1372</v>
      </c>
      <c r="ED19" t="str">
        <f>"-0.0649***"</f>
        <v>-0.0649***</v>
      </c>
      <c r="EE19" t="s">
        <v>1371</v>
      </c>
      <c r="EF19" t="s">
        <v>871</v>
      </c>
      <c r="EG19" t="str">
        <f>"-0.0364**"</f>
        <v>-0.0364**</v>
      </c>
      <c r="EH19" t="s">
        <v>875</v>
      </c>
      <c r="EI19" t="s">
        <v>1370</v>
      </c>
      <c r="EJ19" t="str">
        <f>"-0.0188"</f>
        <v>-0.0188</v>
      </c>
      <c r="EK19" t="s">
        <v>475</v>
      </c>
      <c r="EL19" t="s">
        <v>725</v>
      </c>
      <c r="EM19" t="str">
        <f>"-0.0153"</f>
        <v>-0.0153</v>
      </c>
      <c r="EN19" t="s">
        <v>1369</v>
      </c>
      <c r="EO19" t="s">
        <v>739</v>
      </c>
      <c r="EP19" t="str">
        <f>"-0.00711"</f>
        <v>-0.00711</v>
      </c>
      <c r="EQ19" t="s">
        <v>1368</v>
      </c>
      <c r="ER19" t="s">
        <v>1367</v>
      </c>
      <c r="ES19" t="str">
        <f>"-0.00799"</f>
        <v>-0.00799</v>
      </c>
      <c r="ET19" t="s">
        <v>1366</v>
      </c>
      <c r="EU19" t="s">
        <v>1125</v>
      </c>
      <c r="EV19" t="str">
        <f>"-0.0225"</f>
        <v>-0.0225</v>
      </c>
      <c r="EW19" t="s">
        <v>872</v>
      </c>
      <c r="EX19" t="s">
        <v>669</v>
      </c>
      <c r="EY19" t="str">
        <f>"-0.0632***"</f>
        <v>-0.0632***</v>
      </c>
      <c r="EZ19" t="s">
        <v>1365</v>
      </c>
      <c r="FA19" t="s">
        <v>1364</v>
      </c>
      <c r="FB19" t="str">
        <f>"-0.0915***"</f>
        <v>-0.0915***</v>
      </c>
      <c r="FC19" t="s">
        <v>1174</v>
      </c>
      <c r="FD19" t="s">
        <v>1363</v>
      </c>
      <c r="FE19" t="str">
        <f>"-0.111***"</f>
        <v>-0.111***</v>
      </c>
      <c r="FF19" t="s">
        <v>1362</v>
      </c>
      <c r="FG19" t="s">
        <v>1361</v>
      </c>
      <c r="FH19" t="str">
        <f>"-0.117***"</f>
        <v>-0.117***</v>
      </c>
      <c r="FI19" t="s">
        <v>1360</v>
      </c>
      <c r="FJ19" t="s">
        <v>1359</v>
      </c>
      <c r="FK19" t="str">
        <f>"-0.126***"</f>
        <v>-0.126***</v>
      </c>
      <c r="FL19" t="s">
        <v>1358</v>
      </c>
      <c r="FM19" t="s">
        <v>1357</v>
      </c>
      <c r="FN19" t="str">
        <f>"-0.114***"</f>
        <v>-0.114***</v>
      </c>
      <c r="FO19" t="s">
        <v>1356</v>
      </c>
      <c r="FP19" t="s">
        <v>1355</v>
      </c>
      <c r="FQ19" t="str">
        <f>"-0.0838***"</f>
        <v>-0.0838***</v>
      </c>
      <c r="FR19" t="s">
        <v>1354</v>
      </c>
      <c r="FS19" t="s">
        <v>1353</v>
      </c>
      <c r="FT19" t="str">
        <f>"-0.0651***"</f>
        <v>-0.0651***</v>
      </c>
      <c r="FU19" t="s">
        <v>1352</v>
      </c>
      <c r="FV19" t="s">
        <v>1351</v>
      </c>
      <c r="FW19" t="str">
        <f>"-0.0468**"</f>
        <v>-0.0468**</v>
      </c>
      <c r="FX19" t="s">
        <v>1350</v>
      </c>
      <c r="FY19" t="s">
        <v>1349</v>
      </c>
      <c r="FZ19" t="str">
        <f>"-0.0435**"</f>
        <v>-0.0435**</v>
      </c>
      <c r="GA19" t="s">
        <v>1348</v>
      </c>
      <c r="GB19" t="s">
        <v>1347</v>
      </c>
      <c r="GC19" t="str">
        <f>"-0.0556***"</f>
        <v>-0.0556***</v>
      </c>
      <c r="GD19" t="s">
        <v>1346</v>
      </c>
      <c r="GE19" t="s">
        <v>1345</v>
      </c>
      <c r="GF19" t="str">
        <f>"-0.0736***"</f>
        <v>-0.0736***</v>
      </c>
      <c r="GG19" t="s">
        <v>1344</v>
      </c>
      <c r="GH19" t="s">
        <v>1343</v>
      </c>
      <c r="GI19" t="str">
        <f>"-0.101***"</f>
        <v>-0.101***</v>
      </c>
      <c r="GJ19" t="s">
        <v>1342</v>
      </c>
      <c r="GK19" t="s">
        <v>1341</v>
      </c>
      <c r="GL19" t="str">
        <f>"-0.124***"</f>
        <v>-0.124***</v>
      </c>
      <c r="GM19" t="s">
        <v>1340</v>
      </c>
      <c r="GN19" t="s">
        <v>1339</v>
      </c>
      <c r="GO19" t="str">
        <f>"-0.127***"</f>
        <v>-0.127***</v>
      </c>
      <c r="GP19" t="s">
        <v>1338</v>
      </c>
      <c r="GQ19" t="s">
        <v>1337</v>
      </c>
      <c r="GR19" t="str">
        <f>"-0.123***"</f>
        <v>-0.123***</v>
      </c>
      <c r="GS19" t="s">
        <v>1336</v>
      </c>
      <c r="GT19" t="s">
        <v>1335</v>
      </c>
      <c r="GU19" t="str">
        <f>"-0.0983***"</f>
        <v>-0.0983***</v>
      </c>
      <c r="GV19" t="s">
        <v>1334</v>
      </c>
      <c r="GW19" t="s">
        <v>1333</v>
      </c>
      <c r="GX19" t="str">
        <f>"-0.0757***"</f>
        <v>-0.0757***</v>
      </c>
      <c r="GY19" t="s">
        <v>1332</v>
      </c>
      <c r="GZ19" t="s">
        <v>1331</v>
      </c>
      <c r="HA19" t="str">
        <f>"-0.0494**"</f>
        <v>-0.0494**</v>
      </c>
      <c r="HB19" t="s">
        <v>1330</v>
      </c>
      <c r="HC19" t="s">
        <v>1329</v>
      </c>
      <c r="HD19" t="str">
        <f>"-0.0605***"</f>
        <v>-0.0605***</v>
      </c>
      <c r="HE19" t="s">
        <v>1328</v>
      </c>
      <c r="HF19" t="s">
        <v>1327</v>
      </c>
      <c r="HG19" t="str">
        <f>"-0.0520**"</f>
        <v>-0.0520**</v>
      </c>
      <c r="HH19" t="s">
        <v>1326</v>
      </c>
      <c r="HI19" t="s">
        <v>1325</v>
      </c>
      <c r="HJ19" t="str">
        <f>"-0.0609***"</f>
        <v>-0.0609***</v>
      </c>
      <c r="HK19" t="s">
        <v>1324</v>
      </c>
      <c r="HL19" t="s">
        <v>1323</v>
      </c>
      <c r="HM19" t="str">
        <f>"-0.0919***"</f>
        <v>-0.0919***</v>
      </c>
      <c r="HN19" t="s">
        <v>1322</v>
      </c>
      <c r="HO19" t="s">
        <v>1321</v>
      </c>
      <c r="HP19" t="str">
        <f>"-0.144***"</f>
        <v>-0.144***</v>
      </c>
      <c r="HQ19" t="s">
        <v>1320</v>
      </c>
      <c r="HR19" t="s">
        <v>1319</v>
      </c>
      <c r="HS19" t="str">
        <f>"-0.164***"</f>
        <v>-0.164***</v>
      </c>
      <c r="HT19" t="s">
        <v>1318</v>
      </c>
      <c r="HU19" t="s">
        <v>1317</v>
      </c>
      <c r="HV19" t="str">
        <f>"-0.158***"</f>
        <v>-0.158***</v>
      </c>
      <c r="HW19" t="s">
        <v>1316</v>
      </c>
      <c r="HX19" t="s">
        <v>1315</v>
      </c>
      <c r="HY19" t="str">
        <f>"-0.188***"</f>
        <v>-0.188***</v>
      </c>
      <c r="HZ19" t="s">
        <v>1314</v>
      </c>
      <c r="IA19" t="s">
        <v>1313</v>
      </c>
      <c r="IB19" t="str">
        <f>"-0.202***"</f>
        <v>-0.202***</v>
      </c>
      <c r="IC19" t="s">
        <v>1312</v>
      </c>
      <c r="ID19" t="s">
        <v>1311</v>
      </c>
      <c r="IE19" t="str">
        <f>"-0.0813***"</f>
        <v>-0.0813***</v>
      </c>
      <c r="IF19" t="s">
        <v>1310</v>
      </c>
      <c r="IG19" t="s">
        <v>1309</v>
      </c>
      <c r="IH19" t="str">
        <f>"-0.0532**"</f>
        <v>-0.0532**</v>
      </c>
      <c r="II19" t="s">
        <v>1308</v>
      </c>
      <c r="IJ19" t="s">
        <v>1307</v>
      </c>
      <c r="IK19" t="str">
        <f>"-0.0480*"</f>
        <v>-0.0480*</v>
      </c>
      <c r="IL19" t="s">
        <v>1306</v>
      </c>
      <c r="IM19" t="s">
        <v>849</v>
      </c>
      <c r="IN19" t="str">
        <f>"-0.0285"</f>
        <v>-0.0285</v>
      </c>
      <c r="IO19" t="s">
        <v>1305</v>
      </c>
      <c r="IP19" t="s">
        <v>1004</v>
      </c>
      <c r="IQ19" t="str">
        <f>"-0.0172"</f>
        <v>-0.0172</v>
      </c>
      <c r="IR19" t="s">
        <v>1304</v>
      </c>
      <c r="IS19" t="s">
        <v>1130</v>
      </c>
      <c r="IT19" t="str">
        <f>"-0.0297"</f>
        <v>-0.0297</v>
      </c>
      <c r="IU19" t="s">
        <v>1303</v>
      </c>
      <c r="IV19" t="s">
        <v>657</v>
      </c>
      <c r="IW19" t="str">
        <f>"-0.231***"</f>
        <v>-0.231***</v>
      </c>
      <c r="IX19" t="s">
        <v>1302</v>
      </c>
      <c r="IY19" t="s">
        <v>1301</v>
      </c>
      <c r="IZ19" t="str">
        <f>"-0.212***"</f>
        <v>-0.212***</v>
      </c>
      <c r="JA19" t="s">
        <v>1300</v>
      </c>
      <c r="JB19" t="s">
        <v>1299</v>
      </c>
      <c r="JC19" t="str">
        <f>"-0.141***"</f>
        <v>-0.141***</v>
      </c>
      <c r="JD19" t="s">
        <v>1298</v>
      </c>
      <c r="JE19" t="s">
        <v>1297</v>
      </c>
      <c r="JF19" t="str">
        <f>"-0.0581*"</f>
        <v>-0.0581*</v>
      </c>
      <c r="JG19" t="s">
        <v>1132</v>
      </c>
      <c r="JH19" t="s">
        <v>1093</v>
      </c>
      <c r="JI19" t="str">
        <f>"-0.0472*"</f>
        <v>-0.0472*</v>
      </c>
      <c r="JJ19" t="s">
        <v>1296</v>
      </c>
      <c r="JK19" t="s">
        <v>1086</v>
      </c>
      <c r="JL19" t="str">
        <f>"-0.122***"</f>
        <v>-0.122***</v>
      </c>
      <c r="JM19" t="s">
        <v>1295</v>
      </c>
      <c r="JN19" t="s">
        <v>1294</v>
      </c>
      <c r="JO19" t="str">
        <f>"-0.255***"</f>
        <v>-0.255***</v>
      </c>
      <c r="JP19" t="s">
        <v>1293</v>
      </c>
      <c r="JQ19" t="s">
        <v>1292</v>
      </c>
      <c r="JR19" t="str">
        <f>"-0.159***"</f>
        <v>-0.159***</v>
      </c>
      <c r="JS19" t="s">
        <v>1291</v>
      </c>
      <c r="JT19" t="s">
        <v>1290</v>
      </c>
      <c r="JU19" t="str">
        <f>"-0.175***"</f>
        <v>-0.175***</v>
      </c>
      <c r="JV19" t="s">
        <v>1289</v>
      </c>
      <c r="JW19" t="s">
        <v>1288</v>
      </c>
      <c r="JX19" t="str">
        <f>"-0.148***"</f>
        <v>-0.148***</v>
      </c>
      <c r="JY19" t="s">
        <v>1287</v>
      </c>
      <c r="JZ19" t="s">
        <v>1286</v>
      </c>
      <c r="KA19" t="str">
        <f>"0.0340"</f>
        <v>0.0340</v>
      </c>
      <c r="KB19" t="s">
        <v>550</v>
      </c>
      <c r="KC19" t="s">
        <v>1285</v>
      </c>
      <c r="KD19" t="str">
        <f>"-0.105**"</f>
        <v>-0.105**</v>
      </c>
      <c r="KE19" t="s">
        <v>1284</v>
      </c>
      <c r="KF19" t="s">
        <v>1283</v>
      </c>
      <c r="KG19" t="str">
        <f>"-0.0426"</f>
        <v>-0.0426</v>
      </c>
      <c r="KH19" t="s">
        <v>1282</v>
      </c>
      <c r="KI19" t="s">
        <v>1047</v>
      </c>
      <c r="KJ19" t="str">
        <f>"-0.0286"</f>
        <v>-0.0286</v>
      </c>
      <c r="KK19" t="s">
        <v>1281</v>
      </c>
      <c r="KL19" t="s">
        <v>1280</v>
      </c>
    </row>
    <row r="20" spans="1:298" x14ac:dyDescent="0.2">
      <c r="A20" t="str">
        <f>"Experi√™ncia"</f>
        <v>Experi√™ncia</v>
      </c>
      <c r="B20" t="str">
        <f>"-0.00861"</f>
        <v>-0.00861</v>
      </c>
      <c r="C20" t="s">
        <v>1279</v>
      </c>
      <c r="D20" t="s">
        <v>1278</v>
      </c>
      <c r="E20" t="str">
        <f>"0.0491"</f>
        <v>0.0491</v>
      </c>
      <c r="F20" t="s">
        <v>1277</v>
      </c>
      <c r="G20" t="s">
        <v>1276</v>
      </c>
      <c r="H20" t="str">
        <f>"-0.115*"</f>
        <v>-0.115*</v>
      </c>
      <c r="I20" t="s">
        <v>1275</v>
      </c>
      <c r="J20" t="s">
        <v>1245</v>
      </c>
      <c r="K20" t="str">
        <f>"-0.0980*"</f>
        <v>-0.0980*</v>
      </c>
      <c r="L20" t="s">
        <v>1274</v>
      </c>
      <c r="M20" t="s">
        <v>1273</v>
      </c>
      <c r="N20" t="str">
        <f>"-0.127***"</f>
        <v>-0.127***</v>
      </c>
      <c r="O20" t="s">
        <v>1272</v>
      </c>
      <c r="P20" t="s">
        <v>1271</v>
      </c>
      <c r="Q20" t="str">
        <f>"-0.105**"</f>
        <v>-0.105**</v>
      </c>
      <c r="R20" t="s">
        <v>1270</v>
      </c>
      <c r="S20" t="s">
        <v>1269</v>
      </c>
      <c r="T20" t="str">
        <f>"-0.133***"</f>
        <v>-0.133***</v>
      </c>
      <c r="U20" t="s">
        <v>1268</v>
      </c>
      <c r="V20" t="s">
        <v>1267</v>
      </c>
      <c r="W20" t="str">
        <f>"-0.128***"</f>
        <v>-0.128***</v>
      </c>
      <c r="X20" t="s">
        <v>1266</v>
      </c>
      <c r="Y20" t="s">
        <v>1265</v>
      </c>
      <c r="Z20" t="str">
        <f>"-0.118***"</f>
        <v>-0.118***</v>
      </c>
      <c r="AA20" t="s">
        <v>1264</v>
      </c>
      <c r="AB20" t="s">
        <v>1263</v>
      </c>
      <c r="AC20" t="str">
        <f>"-0.103***"</f>
        <v>-0.103***</v>
      </c>
      <c r="AD20" t="s">
        <v>887</v>
      </c>
      <c r="AE20" t="s">
        <v>1262</v>
      </c>
      <c r="AF20" t="str">
        <f>"-0.123***"</f>
        <v>-0.123***</v>
      </c>
      <c r="AG20" t="s">
        <v>1261</v>
      </c>
      <c r="AH20" t="s">
        <v>1260</v>
      </c>
      <c r="AI20" t="str">
        <f>"-0.159***"</f>
        <v>-0.159***</v>
      </c>
      <c r="AJ20" t="s">
        <v>1259</v>
      </c>
      <c r="AK20" t="s">
        <v>1258</v>
      </c>
      <c r="AL20" t="str">
        <f>"-0.147***"</f>
        <v>-0.147***</v>
      </c>
      <c r="AM20" t="s">
        <v>1257</v>
      </c>
      <c r="AN20" t="s">
        <v>1256</v>
      </c>
      <c r="AO20" t="str">
        <f>"-0.116***"</f>
        <v>-0.116***</v>
      </c>
      <c r="AP20" t="s">
        <v>1255</v>
      </c>
      <c r="AQ20" t="s">
        <v>1254</v>
      </c>
      <c r="AR20" t="str">
        <f>"-0.0636***"</f>
        <v>-0.0636***</v>
      </c>
      <c r="AS20" t="s">
        <v>1253</v>
      </c>
      <c r="AT20" t="s">
        <v>1252</v>
      </c>
      <c r="AU20" t="str">
        <f>"-0.0447***"</f>
        <v>-0.0447***</v>
      </c>
      <c r="AV20" t="s">
        <v>1251</v>
      </c>
      <c r="AW20" t="s">
        <v>1238</v>
      </c>
      <c r="AX20" t="str">
        <f>"-0.0461***"</f>
        <v>-0.0461***</v>
      </c>
      <c r="AY20" t="s">
        <v>1250</v>
      </c>
      <c r="AZ20" t="s">
        <v>1249</v>
      </c>
      <c r="BA20" t="str">
        <f>"-0.0391***"</f>
        <v>-0.0391***</v>
      </c>
      <c r="BB20" t="s">
        <v>1248</v>
      </c>
      <c r="BC20" t="s">
        <v>1247</v>
      </c>
      <c r="BD20" t="str">
        <f>"-0.0270**"</f>
        <v>-0.0270**</v>
      </c>
      <c r="BE20" t="s">
        <v>1246</v>
      </c>
      <c r="BF20" t="s">
        <v>1245</v>
      </c>
      <c r="BG20" t="str">
        <f>"-0.0173"</f>
        <v>-0.0173</v>
      </c>
      <c r="BH20" t="s">
        <v>1244</v>
      </c>
      <c r="BI20" t="s">
        <v>588</v>
      </c>
      <c r="BJ20" t="str">
        <f>"-0.0192*"</f>
        <v>-0.0192*</v>
      </c>
      <c r="BK20" t="s">
        <v>1243</v>
      </c>
      <c r="BL20" t="s">
        <v>1084</v>
      </c>
      <c r="BM20" t="str">
        <f>"-0.0305***"</f>
        <v>-0.0305***</v>
      </c>
      <c r="BN20" t="s">
        <v>525</v>
      </c>
      <c r="BO20" t="s">
        <v>1242</v>
      </c>
      <c r="BP20" t="str">
        <f>"-0.0361***"</f>
        <v>-0.0361***</v>
      </c>
      <c r="BQ20" t="s">
        <v>1241</v>
      </c>
      <c r="BR20" t="s">
        <v>1240</v>
      </c>
      <c r="BS20" t="str">
        <f>"-0.0401***"</f>
        <v>-0.0401***</v>
      </c>
      <c r="BT20" t="s">
        <v>1239</v>
      </c>
      <c r="BU20" t="s">
        <v>1238</v>
      </c>
      <c r="BV20" t="str">
        <f>"-0.0300***"</f>
        <v>-0.0300***</v>
      </c>
      <c r="BW20" t="s">
        <v>527</v>
      </c>
      <c r="BX20" t="s">
        <v>1237</v>
      </c>
      <c r="BY20" t="str">
        <f>"-0.0175*"</f>
        <v>-0.0175*</v>
      </c>
      <c r="BZ20" t="s">
        <v>249</v>
      </c>
      <c r="CA20" t="s">
        <v>815</v>
      </c>
      <c r="CB20" t="str">
        <f>"-0.0142"</f>
        <v>-0.0142</v>
      </c>
      <c r="CC20" t="s">
        <v>1236</v>
      </c>
      <c r="CD20" t="s">
        <v>716</v>
      </c>
      <c r="CE20" t="str">
        <f>"-0.0102"</f>
        <v>-0.0102</v>
      </c>
      <c r="CF20" t="s">
        <v>1235</v>
      </c>
      <c r="CG20" t="s">
        <v>1234</v>
      </c>
      <c r="CH20" t="str">
        <f>"0.00206"</f>
        <v>0.00206</v>
      </c>
      <c r="CI20" t="s">
        <v>1233</v>
      </c>
      <c r="CJ20" t="s">
        <v>1232</v>
      </c>
      <c r="CK20" t="str">
        <f>"0.0106"</f>
        <v>0.0106</v>
      </c>
      <c r="CL20" t="s">
        <v>1192</v>
      </c>
      <c r="CM20" t="s">
        <v>1231</v>
      </c>
      <c r="CN20" t="str">
        <f>"0.00724"</f>
        <v>0.00724</v>
      </c>
      <c r="CO20" t="s">
        <v>1077</v>
      </c>
      <c r="CP20" t="s">
        <v>637</v>
      </c>
      <c r="CQ20" t="str">
        <f>"0.0157"</f>
        <v>0.0157</v>
      </c>
      <c r="CR20" t="s">
        <v>783</v>
      </c>
      <c r="CS20" t="s">
        <v>1230</v>
      </c>
      <c r="CT20" t="str">
        <f>"0.0360***"</f>
        <v>0.0360***</v>
      </c>
      <c r="CU20" t="s">
        <v>1229</v>
      </c>
      <c r="CV20" t="s">
        <v>1228</v>
      </c>
      <c r="CW20" t="str">
        <f>"0.0426***"</f>
        <v>0.0426***</v>
      </c>
      <c r="CX20" t="s">
        <v>1227</v>
      </c>
      <c r="CY20" t="s">
        <v>900</v>
      </c>
      <c r="CZ20" t="str">
        <f>"0.0451***"</f>
        <v>0.0451***</v>
      </c>
      <c r="DA20" t="s">
        <v>1226</v>
      </c>
      <c r="DB20" t="s">
        <v>1225</v>
      </c>
      <c r="DC20" t="str">
        <f>"0.0504***"</f>
        <v>0.0504***</v>
      </c>
      <c r="DD20" t="s">
        <v>1224</v>
      </c>
      <c r="DE20" t="s">
        <v>1223</v>
      </c>
      <c r="DF20" t="str">
        <f>"0.0483***"</f>
        <v>0.0483***</v>
      </c>
      <c r="DG20" t="s">
        <v>319</v>
      </c>
      <c r="DH20" t="s">
        <v>1222</v>
      </c>
      <c r="DI20" t="str">
        <f>"0.0408***"</f>
        <v>0.0408***</v>
      </c>
      <c r="DJ20" t="s">
        <v>1221</v>
      </c>
      <c r="DK20" t="s">
        <v>1220</v>
      </c>
      <c r="DL20" t="str">
        <f>"0.0183"</f>
        <v>0.0183</v>
      </c>
      <c r="DM20" t="s">
        <v>922</v>
      </c>
      <c r="DN20" t="s">
        <v>1219</v>
      </c>
      <c r="DO20" t="str">
        <f>"-0.000410"</f>
        <v>-0.000410</v>
      </c>
      <c r="DP20" t="s">
        <v>1218</v>
      </c>
      <c r="DQ20" t="s">
        <v>995</v>
      </c>
      <c r="DR20" t="str">
        <f>"-0.00402"</f>
        <v>-0.00402</v>
      </c>
      <c r="DS20" t="s">
        <v>1217</v>
      </c>
      <c r="DT20" t="s">
        <v>955</v>
      </c>
      <c r="DU20" t="str">
        <f>"-0.0184"</f>
        <v>-0.0184</v>
      </c>
      <c r="DV20" t="s">
        <v>1216</v>
      </c>
      <c r="DW20" t="s">
        <v>716</v>
      </c>
      <c r="DX20" t="str">
        <f>"-0.0137"</f>
        <v>-0.0137</v>
      </c>
      <c r="DY20" t="s">
        <v>539</v>
      </c>
      <c r="DZ20" t="s">
        <v>673</v>
      </c>
      <c r="EA20" t="str">
        <f>"-0.0159"</f>
        <v>-0.0159</v>
      </c>
      <c r="EB20" t="s">
        <v>479</v>
      </c>
      <c r="EC20" t="s">
        <v>710</v>
      </c>
      <c r="ED20" t="str">
        <f>"0.00300"</f>
        <v>0.00300</v>
      </c>
      <c r="EE20" t="s">
        <v>1215</v>
      </c>
      <c r="EF20" t="s">
        <v>1214</v>
      </c>
      <c r="EG20" t="str">
        <f>"0.0269*"</f>
        <v>0.0269*</v>
      </c>
      <c r="EH20" t="s">
        <v>715</v>
      </c>
      <c r="EI20" t="s">
        <v>1213</v>
      </c>
      <c r="EJ20" t="str">
        <f>"0.0583***"</f>
        <v>0.0583***</v>
      </c>
      <c r="EK20" t="s">
        <v>1212</v>
      </c>
      <c r="EL20" t="s">
        <v>1211</v>
      </c>
      <c r="EM20" t="str">
        <f>"0.0571***"</f>
        <v>0.0571***</v>
      </c>
      <c r="EN20" t="s">
        <v>1210</v>
      </c>
      <c r="EO20" t="s">
        <v>1209</v>
      </c>
      <c r="EP20" t="str">
        <f>"0.0642***"</f>
        <v>0.0642***</v>
      </c>
      <c r="EQ20" t="s">
        <v>1208</v>
      </c>
      <c r="ER20" t="s">
        <v>1207</v>
      </c>
      <c r="ES20" t="str">
        <f>"0.0628***"</f>
        <v>0.0628***</v>
      </c>
      <c r="ET20" t="s">
        <v>1206</v>
      </c>
      <c r="EU20" t="s">
        <v>1205</v>
      </c>
      <c r="EV20" t="str">
        <f>"0.0489***"</f>
        <v>0.0489***</v>
      </c>
      <c r="EW20" t="s">
        <v>1204</v>
      </c>
      <c r="EX20" t="s">
        <v>1203</v>
      </c>
      <c r="EY20" t="str">
        <f>"0.0138"</f>
        <v>0.0138</v>
      </c>
      <c r="EZ20" t="s">
        <v>965</v>
      </c>
      <c r="FA20" t="s">
        <v>1034</v>
      </c>
      <c r="FB20" t="str">
        <f>"-0.0167"</f>
        <v>-0.0167</v>
      </c>
      <c r="FC20" t="s">
        <v>1202</v>
      </c>
      <c r="FD20" t="s">
        <v>680</v>
      </c>
      <c r="FE20" t="str">
        <f>"-0.0264*"</f>
        <v>-0.0264*</v>
      </c>
      <c r="FF20" t="s">
        <v>465</v>
      </c>
      <c r="FG20" t="s">
        <v>1201</v>
      </c>
      <c r="FH20" t="str">
        <f>"-0.0286*"</f>
        <v>-0.0286*</v>
      </c>
      <c r="FI20" t="s">
        <v>1200</v>
      </c>
      <c r="FJ20" t="s">
        <v>822</v>
      </c>
      <c r="FK20" t="str">
        <f>"-0.0317**"</f>
        <v>-0.0317**</v>
      </c>
      <c r="FL20" t="s">
        <v>1199</v>
      </c>
      <c r="FM20" t="s">
        <v>1198</v>
      </c>
      <c r="FN20" t="str">
        <f>"-0.0227"</f>
        <v>-0.0227</v>
      </c>
      <c r="FO20" t="s">
        <v>1197</v>
      </c>
      <c r="FP20" t="s">
        <v>1196</v>
      </c>
      <c r="FQ20" t="str">
        <f>"0.00389"</f>
        <v>0.00389</v>
      </c>
      <c r="FR20" t="s">
        <v>506</v>
      </c>
      <c r="FS20" t="s">
        <v>551</v>
      </c>
      <c r="FT20" t="str">
        <f>"0.0150"</f>
        <v>0.0150</v>
      </c>
      <c r="FU20" t="s">
        <v>1195</v>
      </c>
      <c r="FV20" t="s">
        <v>1194</v>
      </c>
      <c r="FW20" t="str">
        <f>"0.0182"</f>
        <v>0.0182</v>
      </c>
      <c r="FX20" t="s">
        <v>1118</v>
      </c>
      <c r="FY20" t="s">
        <v>1193</v>
      </c>
      <c r="FZ20" t="str">
        <f>"0.0236"</f>
        <v>0.0236</v>
      </c>
      <c r="GA20" t="s">
        <v>930</v>
      </c>
      <c r="GB20" t="s">
        <v>507</v>
      </c>
      <c r="GC20" t="str">
        <f>"0.0172"</f>
        <v>0.0172</v>
      </c>
      <c r="GD20" t="s">
        <v>1192</v>
      </c>
      <c r="GE20" t="s">
        <v>1191</v>
      </c>
      <c r="GF20" t="str">
        <f>"-0.00899"</f>
        <v>-0.00899</v>
      </c>
      <c r="GG20" t="s">
        <v>569</v>
      </c>
      <c r="GH20" t="s">
        <v>1190</v>
      </c>
      <c r="GI20" t="str">
        <f>"-0.0335**"</f>
        <v>-0.0335**</v>
      </c>
      <c r="GJ20" t="s">
        <v>1189</v>
      </c>
      <c r="GK20" t="s">
        <v>1188</v>
      </c>
      <c r="GL20" t="str">
        <f>"-0.0573***"</f>
        <v>-0.0573***</v>
      </c>
      <c r="GM20" t="s">
        <v>1187</v>
      </c>
      <c r="GN20" t="s">
        <v>1186</v>
      </c>
      <c r="GO20" t="str">
        <f>"-0.0628***"</f>
        <v>-0.0628***</v>
      </c>
      <c r="GP20" t="s">
        <v>1185</v>
      </c>
      <c r="GQ20" t="s">
        <v>1184</v>
      </c>
      <c r="GR20" t="str">
        <f>"-0.0576***"</f>
        <v>-0.0576***</v>
      </c>
      <c r="GS20" t="s">
        <v>1183</v>
      </c>
      <c r="GT20" t="s">
        <v>1182</v>
      </c>
      <c r="GU20" t="str">
        <f>"-0.0336**"</f>
        <v>-0.0336**</v>
      </c>
      <c r="GV20" t="s">
        <v>1181</v>
      </c>
      <c r="GW20" t="s">
        <v>1180</v>
      </c>
      <c r="GX20" t="str">
        <f>"-0.0139"</f>
        <v>-0.0139</v>
      </c>
      <c r="GY20" t="s">
        <v>1179</v>
      </c>
      <c r="GZ20" t="s">
        <v>633</v>
      </c>
      <c r="HA20" t="str">
        <f>"0.0135"</f>
        <v>0.0135</v>
      </c>
      <c r="HB20" t="s">
        <v>1178</v>
      </c>
      <c r="HC20" t="s">
        <v>1061</v>
      </c>
      <c r="HD20" t="str">
        <f>"-0.00282"</f>
        <v>-0.00282</v>
      </c>
      <c r="HE20" t="s">
        <v>1177</v>
      </c>
      <c r="HF20" t="s">
        <v>1128</v>
      </c>
      <c r="HG20" t="str">
        <f>"0.00267"</f>
        <v>0.00267</v>
      </c>
      <c r="HH20" t="s">
        <v>1176</v>
      </c>
      <c r="HI20" t="s">
        <v>556</v>
      </c>
      <c r="HJ20" t="str">
        <f>"-0.00283"</f>
        <v>-0.00283</v>
      </c>
      <c r="HK20" t="s">
        <v>1043</v>
      </c>
      <c r="HL20" t="s">
        <v>1175</v>
      </c>
      <c r="HM20" t="str">
        <f>"-0.0324*"</f>
        <v>-0.0324*</v>
      </c>
      <c r="HN20" t="s">
        <v>875</v>
      </c>
      <c r="HO20" t="s">
        <v>962</v>
      </c>
      <c r="HP20" t="str">
        <f>"-0.0910***"</f>
        <v>-0.0910***</v>
      </c>
      <c r="HQ20" t="s">
        <v>1174</v>
      </c>
      <c r="HR20" t="s">
        <v>1173</v>
      </c>
      <c r="HS20" t="str">
        <f>"-0.107***"</f>
        <v>-0.107***</v>
      </c>
      <c r="HT20" t="s">
        <v>1172</v>
      </c>
      <c r="HU20" t="s">
        <v>1171</v>
      </c>
      <c r="HV20" t="str">
        <f>"-0.102***"</f>
        <v>-0.102***</v>
      </c>
      <c r="HW20" t="s">
        <v>1170</v>
      </c>
      <c r="HX20" t="s">
        <v>1169</v>
      </c>
      <c r="HY20" t="str">
        <f>"-0.128***"</f>
        <v>-0.128***</v>
      </c>
      <c r="HZ20" t="s">
        <v>1168</v>
      </c>
      <c r="IA20" t="s">
        <v>1167</v>
      </c>
      <c r="IB20" t="str">
        <f>"-0.134***"</f>
        <v>-0.134***</v>
      </c>
      <c r="IC20" t="s">
        <v>618</v>
      </c>
      <c r="ID20" t="s">
        <v>1166</v>
      </c>
      <c r="IE20" t="str">
        <f>"0.000915"</f>
        <v>0.000915</v>
      </c>
      <c r="IF20" t="s">
        <v>1165</v>
      </c>
      <c r="IG20" t="s">
        <v>1164</v>
      </c>
      <c r="IH20" t="str">
        <f>"0.0156"</f>
        <v>0.0156</v>
      </c>
      <c r="II20" t="s">
        <v>497</v>
      </c>
      <c r="IJ20" t="s">
        <v>1163</v>
      </c>
      <c r="IK20" t="str">
        <f>"0.0123"</f>
        <v>0.0123</v>
      </c>
      <c r="IL20" t="s">
        <v>1162</v>
      </c>
      <c r="IM20" t="s">
        <v>1161</v>
      </c>
      <c r="IN20" t="str">
        <f>"0.0364*"</f>
        <v>0.0364*</v>
      </c>
      <c r="IO20" t="s">
        <v>927</v>
      </c>
      <c r="IP20" t="s">
        <v>1160</v>
      </c>
      <c r="IQ20" t="str">
        <f>"0.0296"</f>
        <v>0.0296</v>
      </c>
      <c r="IR20" t="s">
        <v>1159</v>
      </c>
      <c r="IS20" t="s">
        <v>1158</v>
      </c>
      <c r="IT20" t="str">
        <f>"0.0252"</f>
        <v>0.0252</v>
      </c>
      <c r="IU20" t="s">
        <v>689</v>
      </c>
      <c r="IV20" t="s">
        <v>1157</v>
      </c>
      <c r="IW20" t="str">
        <f>"-0.182***"</f>
        <v>-0.182***</v>
      </c>
      <c r="IX20" t="s">
        <v>1156</v>
      </c>
      <c r="IY20" t="s">
        <v>1155</v>
      </c>
      <c r="IZ20" t="str">
        <f>"-0.169***"</f>
        <v>-0.169***</v>
      </c>
      <c r="JA20" t="s">
        <v>1154</v>
      </c>
      <c r="JB20" t="s">
        <v>1153</v>
      </c>
      <c r="JC20" t="str">
        <f>"-0.113***"</f>
        <v>-0.113***</v>
      </c>
      <c r="JD20" t="s">
        <v>1152</v>
      </c>
      <c r="JE20" t="s">
        <v>1151</v>
      </c>
      <c r="JF20" t="str">
        <f>"-0.0278"</f>
        <v>-0.0278</v>
      </c>
      <c r="JG20" t="s">
        <v>1150</v>
      </c>
      <c r="JH20" t="s">
        <v>978</v>
      </c>
      <c r="JI20" t="str">
        <f>"-0.00352"</f>
        <v>-0.00352</v>
      </c>
      <c r="JJ20" t="s">
        <v>864</v>
      </c>
      <c r="JK20" t="s">
        <v>1149</v>
      </c>
      <c r="JL20" t="str">
        <f>"-0.0829***"</f>
        <v>-0.0829***</v>
      </c>
      <c r="JM20" t="s">
        <v>1148</v>
      </c>
      <c r="JN20" t="s">
        <v>1147</v>
      </c>
      <c r="JO20" t="str">
        <f>"-0.224***"</f>
        <v>-0.224***</v>
      </c>
      <c r="JP20" t="s">
        <v>1146</v>
      </c>
      <c r="JQ20" t="s">
        <v>1145</v>
      </c>
      <c r="JR20" t="str">
        <f>"-0.146***"</f>
        <v>-0.146***</v>
      </c>
      <c r="JS20" t="s">
        <v>1144</v>
      </c>
      <c r="JT20" t="s">
        <v>1143</v>
      </c>
      <c r="JU20" t="str">
        <f>"-0.160***"</f>
        <v>-0.160***</v>
      </c>
      <c r="JV20" t="s">
        <v>1142</v>
      </c>
      <c r="JW20" t="s">
        <v>1141</v>
      </c>
      <c r="JX20" t="str">
        <f>"-0.155***"</f>
        <v>-0.155***</v>
      </c>
      <c r="JY20" t="s">
        <v>1140</v>
      </c>
      <c r="JZ20" t="s">
        <v>1139</v>
      </c>
      <c r="KA20" t="str">
        <f>"0.0372"</f>
        <v>0.0372</v>
      </c>
      <c r="KB20" t="s">
        <v>1138</v>
      </c>
      <c r="KC20" t="s">
        <v>1137</v>
      </c>
      <c r="KD20" t="str">
        <f>"-0.146***"</f>
        <v>-0.146***</v>
      </c>
      <c r="KE20" t="s">
        <v>1136</v>
      </c>
      <c r="KF20" t="s">
        <v>1135</v>
      </c>
      <c r="KG20" t="str">
        <f>"-0.0926*"</f>
        <v>-0.0926*</v>
      </c>
      <c r="KH20" t="s">
        <v>1134</v>
      </c>
      <c r="KI20" t="s">
        <v>1133</v>
      </c>
      <c r="KJ20" t="str">
        <f>"-0.0132"</f>
        <v>-0.0132</v>
      </c>
      <c r="KK20" t="s">
        <v>1132</v>
      </c>
      <c r="KL20" t="s">
        <v>757</v>
      </c>
    </row>
    <row r="21" spans="1:298" x14ac:dyDescent="0.2">
      <c r="A21" t="str">
        <f>"feminino"</f>
        <v>feminino</v>
      </c>
      <c r="B21" t="str">
        <f>"-0.00970"</f>
        <v>-0.00970</v>
      </c>
      <c r="C21" t="s">
        <v>1131</v>
      </c>
      <c r="D21" t="s">
        <v>1130</v>
      </c>
      <c r="E21" t="str">
        <f>"-0.0194"</f>
        <v>-0.0194</v>
      </c>
      <c r="F21" t="s">
        <v>1045</v>
      </c>
      <c r="G21" t="s">
        <v>680</v>
      </c>
      <c r="H21" t="str">
        <f>"0.00869"</f>
        <v>0.00869</v>
      </c>
      <c r="I21" t="s">
        <v>973</v>
      </c>
      <c r="J21" t="s">
        <v>546</v>
      </c>
      <c r="K21" t="str">
        <f>"0.00125"</f>
        <v>0.00125</v>
      </c>
      <c r="L21" t="s">
        <v>818</v>
      </c>
      <c r="M21" t="s">
        <v>1130</v>
      </c>
      <c r="N21" t="str">
        <f>"0.0219**"</f>
        <v>0.0219**</v>
      </c>
      <c r="O21" t="s">
        <v>1129</v>
      </c>
      <c r="P21" t="s">
        <v>1044</v>
      </c>
      <c r="Q21" t="str">
        <f>"0.0110"</f>
        <v>0.0110</v>
      </c>
      <c r="R21" t="s">
        <v>640</v>
      </c>
      <c r="S21" t="s">
        <v>1128</v>
      </c>
      <c r="T21" t="str">
        <f>"0.0157*"</f>
        <v>0.0157*</v>
      </c>
      <c r="U21" t="s">
        <v>343</v>
      </c>
      <c r="V21" t="s">
        <v>1127</v>
      </c>
      <c r="W21" t="str">
        <f>"0.0131*"</f>
        <v>0.0131*</v>
      </c>
      <c r="X21" t="s">
        <v>1020</v>
      </c>
      <c r="Y21" t="s">
        <v>1126</v>
      </c>
      <c r="Z21" t="str">
        <f>"0.00970"</f>
        <v>0.00970</v>
      </c>
      <c r="AA21" t="s">
        <v>932</v>
      </c>
      <c r="AB21" t="s">
        <v>956</v>
      </c>
      <c r="AC21" t="str">
        <f>"0.00530"</f>
        <v>0.00530</v>
      </c>
      <c r="AD21" t="s">
        <v>919</v>
      </c>
      <c r="AE21" t="s">
        <v>747</v>
      </c>
      <c r="AF21" t="str">
        <f>"0.0123**"</f>
        <v>0.0123**</v>
      </c>
      <c r="AG21" t="s">
        <v>745</v>
      </c>
      <c r="AH21" t="s">
        <v>1125</v>
      </c>
      <c r="AI21" t="str">
        <f>"0.0187***"</f>
        <v>0.0187***</v>
      </c>
      <c r="AJ21" t="s">
        <v>1124</v>
      </c>
      <c r="AK21" t="s">
        <v>1123</v>
      </c>
      <c r="AL21" t="str">
        <f>"0.0161***"</f>
        <v>0.0161***</v>
      </c>
      <c r="AM21" t="s">
        <v>1122</v>
      </c>
      <c r="AN21" t="s">
        <v>785</v>
      </c>
      <c r="AO21" t="str">
        <f>"0.00911**"</f>
        <v>0.00911**</v>
      </c>
      <c r="AP21" t="s">
        <v>1121</v>
      </c>
      <c r="AQ21" t="s">
        <v>971</v>
      </c>
      <c r="AR21" t="str">
        <f>"0.00162"</f>
        <v>0.00162</v>
      </c>
      <c r="AS21" t="s">
        <v>703</v>
      </c>
      <c r="AT21" t="s">
        <v>723</v>
      </c>
      <c r="AU21" t="str">
        <f>"-0.00173"</f>
        <v>-0.00173</v>
      </c>
      <c r="AV21" t="s">
        <v>1010</v>
      </c>
      <c r="AW21" t="s">
        <v>701</v>
      </c>
      <c r="AX21" t="str">
        <f>"-0.00160"</f>
        <v>-0.00160</v>
      </c>
      <c r="AY21" t="s">
        <v>1120</v>
      </c>
      <c r="AZ21" t="s">
        <v>797</v>
      </c>
      <c r="BA21" t="str">
        <f>"-0.00246"</f>
        <v>-0.00246</v>
      </c>
      <c r="BB21" t="s">
        <v>908</v>
      </c>
      <c r="BC21" t="s">
        <v>588</v>
      </c>
      <c r="BD21" t="str">
        <f>"-0.00468*"</f>
        <v>-0.00468*</v>
      </c>
      <c r="BE21" t="s">
        <v>793</v>
      </c>
      <c r="BF21" t="s">
        <v>1119</v>
      </c>
      <c r="BG21" t="str">
        <f>"-0.00431*"</f>
        <v>-0.00431*</v>
      </c>
      <c r="BH21" t="s">
        <v>632</v>
      </c>
      <c r="BI21" t="s">
        <v>970</v>
      </c>
      <c r="BJ21" t="str">
        <f>"-0.00138"</f>
        <v>-0.00138</v>
      </c>
      <c r="BK21" t="s">
        <v>1118</v>
      </c>
      <c r="BL21" t="s">
        <v>906</v>
      </c>
      <c r="BM21" t="str">
        <f>"0.0000552"</f>
        <v>0.0000552</v>
      </c>
      <c r="BN21" t="s">
        <v>1088</v>
      </c>
      <c r="BO21" t="s">
        <v>699</v>
      </c>
      <c r="BP21" t="str">
        <f>"0.00116"</f>
        <v>0.00116</v>
      </c>
      <c r="BQ21" t="s">
        <v>911</v>
      </c>
      <c r="BR21" t="s">
        <v>713</v>
      </c>
      <c r="BS21" t="str">
        <f>"0.00166"</f>
        <v>0.00166</v>
      </c>
      <c r="BT21" t="s">
        <v>933</v>
      </c>
      <c r="BU21" t="s">
        <v>710</v>
      </c>
      <c r="BV21" t="str">
        <f>"-0.00135"</f>
        <v>-0.00135</v>
      </c>
      <c r="BW21" t="s">
        <v>909</v>
      </c>
      <c r="BX21" t="s">
        <v>921</v>
      </c>
      <c r="BY21" t="str">
        <f>"-0.00284"</f>
        <v>-0.00284</v>
      </c>
      <c r="BZ21" t="s">
        <v>897</v>
      </c>
      <c r="CA21" t="s">
        <v>938</v>
      </c>
      <c r="CB21" t="str">
        <f>"-0.00348"</f>
        <v>-0.00348</v>
      </c>
      <c r="CC21" t="s">
        <v>1117</v>
      </c>
      <c r="CD21" t="s">
        <v>661</v>
      </c>
      <c r="CE21" t="str">
        <f>"-0.00393*"</f>
        <v>-0.00393*</v>
      </c>
      <c r="CF21" t="s">
        <v>303</v>
      </c>
      <c r="CG21" t="s">
        <v>1116</v>
      </c>
      <c r="CH21" t="str">
        <f>"-0.00619**"</f>
        <v>-0.00619**</v>
      </c>
      <c r="CI21" t="s">
        <v>301</v>
      </c>
      <c r="CJ21" t="s">
        <v>1115</v>
      </c>
      <c r="CK21" t="str">
        <f>"-0.00642**"</f>
        <v>-0.00642**</v>
      </c>
      <c r="CL21" t="s">
        <v>1114</v>
      </c>
      <c r="CM21" t="s">
        <v>705</v>
      </c>
      <c r="CN21" t="str">
        <f>"-0.00542**"</f>
        <v>-0.00542**</v>
      </c>
      <c r="CO21" t="s">
        <v>1113</v>
      </c>
      <c r="CP21" t="s">
        <v>1089</v>
      </c>
      <c r="CQ21" t="str">
        <f>"-0.00756***"</f>
        <v>-0.00756***</v>
      </c>
      <c r="CR21" t="s">
        <v>1112</v>
      </c>
      <c r="CS21" t="s">
        <v>1111</v>
      </c>
      <c r="CT21" t="str">
        <f>"-0.0130***"</f>
        <v>-0.0130***</v>
      </c>
      <c r="CU21" t="s">
        <v>1110</v>
      </c>
      <c r="CV21" t="s">
        <v>1109</v>
      </c>
      <c r="CW21" t="str">
        <f>"-0.0144***"</f>
        <v>-0.0144***</v>
      </c>
      <c r="CX21" t="s">
        <v>555</v>
      </c>
      <c r="CY21" t="s">
        <v>1108</v>
      </c>
      <c r="CZ21" t="str">
        <f>"-0.0163***"</f>
        <v>-0.0163***</v>
      </c>
      <c r="DA21" t="s">
        <v>1066</v>
      </c>
      <c r="DB21" t="s">
        <v>1107</v>
      </c>
      <c r="DC21" t="str">
        <f>"-0.0161***"</f>
        <v>-0.0161***</v>
      </c>
      <c r="DD21" t="s">
        <v>820</v>
      </c>
      <c r="DE21" t="s">
        <v>1106</v>
      </c>
      <c r="DF21" t="str">
        <f>"-0.0169***"</f>
        <v>-0.0169***</v>
      </c>
      <c r="DG21" t="s">
        <v>1105</v>
      </c>
      <c r="DH21" t="s">
        <v>1104</v>
      </c>
      <c r="DI21" t="str">
        <f>"-0.0159***"</f>
        <v>-0.0159***</v>
      </c>
      <c r="DJ21" t="s">
        <v>820</v>
      </c>
      <c r="DK21" t="s">
        <v>1103</v>
      </c>
      <c r="DL21" t="str">
        <f>"-0.0108***"</f>
        <v>-0.0108***</v>
      </c>
      <c r="DM21" t="s">
        <v>1102</v>
      </c>
      <c r="DN21" t="s">
        <v>1101</v>
      </c>
      <c r="DO21" t="str">
        <f>"-0.00382"</f>
        <v>-0.00382</v>
      </c>
      <c r="DP21" t="s">
        <v>793</v>
      </c>
      <c r="DQ21" t="s">
        <v>934</v>
      </c>
      <c r="DR21" t="str">
        <f>"-0.000854"</f>
        <v>-0.000854</v>
      </c>
      <c r="DS21" t="s">
        <v>686</v>
      </c>
      <c r="DT21" t="s">
        <v>671</v>
      </c>
      <c r="DU21" t="str">
        <f>"0.00121"</f>
        <v>0.00121</v>
      </c>
      <c r="DV21" t="s">
        <v>1088</v>
      </c>
      <c r="DW21" t="s">
        <v>665</v>
      </c>
      <c r="DX21" t="str">
        <f>"0.00159"</f>
        <v>0.00159</v>
      </c>
      <c r="DY21" t="s">
        <v>345</v>
      </c>
      <c r="DZ21" t="s">
        <v>567</v>
      </c>
      <c r="EA21" t="str">
        <f>"0.00215"</f>
        <v>0.00215</v>
      </c>
      <c r="EB21" t="s">
        <v>920</v>
      </c>
      <c r="EC21" t="s">
        <v>594</v>
      </c>
      <c r="ED21" t="str">
        <f>"-0.00297"</f>
        <v>-0.00297</v>
      </c>
      <c r="EE21" t="s">
        <v>1100</v>
      </c>
      <c r="EF21" t="s">
        <v>800</v>
      </c>
      <c r="EG21" t="str">
        <f>"-0.00983***"</f>
        <v>-0.00983***</v>
      </c>
      <c r="EH21" t="s">
        <v>1099</v>
      </c>
      <c r="EI21" t="s">
        <v>1098</v>
      </c>
      <c r="EJ21" t="str">
        <f>"-0.0166***"</f>
        <v>-0.0166***</v>
      </c>
      <c r="EK21" t="s">
        <v>1097</v>
      </c>
      <c r="EL21" t="s">
        <v>1096</v>
      </c>
      <c r="EM21" t="str">
        <f>"-0.0174***"</f>
        <v>-0.0174***</v>
      </c>
      <c r="EN21" t="s">
        <v>1095</v>
      </c>
      <c r="EO21" t="s">
        <v>835</v>
      </c>
      <c r="EP21" t="str">
        <f>"-0.0185***"</f>
        <v>-0.0185***</v>
      </c>
      <c r="EQ21" t="s">
        <v>1094</v>
      </c>
      <c r="ER21" t="s">
        <v>1093</v>
      </c>
      <c r="ES21" t="str">
        <f>"-0.0178***"</f>
        <v>-0.0178***</v>
      </c>
      <c r="ET21" t="s">
        <v>1092</v>
      </c>
      <c r="EU21" t="s">
        <v>1091</v>
      </c>
      <c r="EV21" t="str">
        <f>"-0.0162***"</f>
        <v>-0.0162***</v>
      </c>
      <c r="EW21" t="s">
        <v>809</v>
      </c>
      <c r="EX21" t="s">
        <v>1090</v>
      </c>
      <c r="EY21" t="str">
        <f>"-0.00703*"</f>
        <v>-0.00703*</v>
      </c>
      <c r="EZ21" t="s">
        <v>514</v>
      </c>
      <c r="FA21" t="s">
        <v>1089</v>
      </c>
      <c r="FB21" t="str">
        <f>"-0.000604"</f>
        <v>-0.000604</v>
      </c>
      <c r="FC21" t="s">
        <v>974</v>
      </c>
      <c r="FD21" t="s">
        <v>702</v>
      </c>
      <c r="FE21" t="str">
        <f>"0.00206"</f>
        <v>0.00206</v>
      </c>
      <c r="FF21" t="s">
        <v>1088</v>
      </c>
      <c r="FG21" t="s">
        <v>733</v>
      </c>
      <c r="FH21" t="str">
        <f>"0.00218"</f>
        <v>0.00218</v>
      </c>
      <c r="FI21" t="s">
        <v>697</v>
      </c>
      <c r="FJ21" t="s">
        <v>575</v>
      </c>
      <c r="FK21" t="str">
        <f>"0.00381"</f>
        <v>0.00381</v>
      </c>
      <c r="FL21" t="s">
        <v>933</v>
      </c>
      <c r="FM21" t="s">
        <v>735</v>
      </c>
      <c r="FN21" t="str">
        <f>"0.00391"</f>
        <v>0.00391</v>
      </c>
      <c r="FO21" t="s">
        <v>1014</v>
      </c>
      <c r="FP21" t="s">
        <v>939</v>
      </c>
      <c r="FQ21" t="str">
        <f>"-0.00156"</f>
        <v>-0.00156</v>
      </c>
      <c r="FR21" t="s">
        <v>656</v>
      </c>
      <c r="FS21" t="s">
        <v>1087</v>
      </c>
      <c r="FT21" t="str">
        <f>"-0.00363"</f>
        <v>-0.00363</v>
      </c>
      <c r="FU21" t="s">
        <v>349</v>
      </c>
      <c r="FV21" t="s">
        <v>921</v>
      </c>
      <c r="FW21" t="str">
        <f>"-0.00704*"</f>
        <v>-0.00704*</v>
      </c>
      <c r="FX21" t="s">
        <v>1085</v>
      </c>
      <c r="FY21" t="s">
        <v>1086</v>
      </c>
      <c r="FZ21" t="str">
        <f>"-0.00703*"</f>
        <v>-0.00703*</v>
      </c>
      <c r="GA21" t="s">
        <v>1085</v>
      </c>
      <c r="GB21" t="s">
        <v>1084</v>
      </c>
      <c r="GC21" t="str">
        <f>"-0.00476"</f>
        <v>-0.00476</v>
      </c>
      <c r="GD21" t="s">
        <v>973</v>
      </c>
      <c r="GE21" t="s">
        <v>1083</v>
      </c>
      <c r="GF21" t="str">
        <f>"0.00273"</f>
        <v>0.00273</v>
      </c>
      <c r="GG21" t="s">
        <v>697</v>
      </c>
      <c r="GH21" t="s">
        <v>1082</v>
      </c>
      <c r="GI21" t="str">
        <f>"0.00583"</f>
        <v>0.00583</v>
      </c>
      <c r="GJ21" t="s">
        <v>734</v>
      </c>
      <c r="GK21" t="s">
        <v>731</v>
      </c>
      <c r="GL21" t="str">
        <f>"0.01000**"</f>
        <v>0.01000**</v>
      </c>
      <c r="GM21" t="s">
        <v>728</v>
      </c>
      <c r="GN21" t="s">
        <v>1023</v>
      </c>
      <c r="GO21" t="str">
        <f>"0.0103**"</f>
        <v>0.0103**</v>
      </c>
      <c r="GP21" t="s">
        <v>1081</v>
      </c>
      <c r="GQ21" t="s">
        <v>987</v>
      </c>
      <c r="GR21" t="str">
        <f>"0.0103**"</f>
        <v>0.0103**</v>
      </c>
      <c r="GS21" t="s">
        <v>1081</v>
      </c>
      <c r="GT21" t="s">
        <v>1080</v>
      </c>
      <c r="GU21" t="str">
        <f>"0.00385"</f>
        <v>0.00385</v>
      </c>
      <c r="GV21" t="s">
        <v>920</v>
      </c>
      <c r="GW21" t="s">
        <v>714</v>
      </c>
      <c r="GX21" t="str">
        <f>"-0.00242"</f>
        <v>-0.00242</v>
      </c>
      <c r="GY21" t="s">
        <v>1079</v>
      </c>
      <c r="GZ21" t="s">
        <v>928</v>
      </c>
      <c r="HA21" t="str">
        <f>"-0.00800*"</f>
        <v>-0.00800*</v>
      </c>
      <c r="HB21" t="s">
        <v>1078</v>
      </c>
      <c r="HC21" t="s">
        <v>810</v>
      </c>
      <c r="HD21" t="str">
        <f>"-0.00314"</f>
        <v>-0.00314</v>
      </c>
      <c r="HE21" t="s">
        <v>1077</v>
      </c>
      <c r="HF21" t="s">
        <v>928</v>
      </c>
      <c r="HG21" t="str">
        <f>"-0.00579"</f>
        <v>-0.00579</v>
      </c>
      <c r="HH21" t="s">
        <v>1076</v>
      </c>
      <c r="HI21" t="s">
        <v>921</v>
      </c>
      <c r="HJ21" t="str">
        <f>"-0.00552"</f>
        <v>-0.00552</v>
      </c>
      <c r="HK21" t="s">
        <v>1076</v>
      </c>
      <c r="HL21" t="s">
        <v>716</v>
      </c>
      <c r="HM21" t="str">
        <f>"0.00306"</f>
        <v>0.00306</v>
      </c>
      <c r="HN21" t="s">
        <v>1002</v>
      </c>
      <c r="HO21" t="s">
        <v>1075</v>
      </c>
      <c r="HP21" t="str">
        <f>"0.0167***"</f>
        <v>0.0167***</v>
      </c>
      <c r="HQ21" t="s">
        <v>447</v>
      </c>
      <c r="HR21" t="s">
        <v>782</v>
      </c>
      <c r="HS21" t="str">
        <f>"0.0190***"</f>
        <v>0.0190***</v>
      </c>
      <c r="HT21" t="s">
        <v>1074</v>
      </c>
      <c r="HU21" t="s">
        <v>959</v>
      </c>
      <c r="HV21" t="str">
        <f>"0.0143***"</f>
        <v>0.0143***</v>
      </c>
      <c r="HW21" t="s">
        <v>1073</v>
      </c>
      <c r="HX21" t="s">
        <v>1072</v>
      </c>
      <c r="HY21" t="str">
        <f>"0.0221***"</f>
        <v>0.0221***</v>
      </c>
      <c r="HZ21" t="s">
        <v>1071</v>
      </c>
      <c r="IA21" t="s">
        <v>1070</v>
      </c>
      <c r="IB21" t="str">
        <f>"0.0247***"</f>
        <v>0.0247***</v>
      </c>
      <c r="IC21" t="s">
        <v>1069</v>
      </c>
      <c r="ID21" t="s">
        <v>1068</v>
      </c>
      <c r="IE21" t="str">
        <f>"-0.00710"</f>
        <v>-0.00710</v>
      </c>
      <c r="IF21" t="s">
        <v>846</v>
      </c>
      <c r="IG21" t="s">
        <v>690</v>
      </c>
      <c r="IH21" t="str">
        <f>"-0.00983"</f>
        <v>-0.00983</v>
      </c>
      <c r="II21" t="s">
        <v>749</v>
      </c>
      <c r="IJ21" t="s">
        <v>1067</v>
      </c>
      <c r="IK21" t="str">
        <f>"-0.00988"</f>
        <v>-0.00988</v>
      </c>
      <c r="IL21" t="s">
        <v>1066</v>
      </c>
      <c r="IM21" t="s">
        <v>934</v>
      </c>
      <c r="IN21" t="str">
        <f>"-0.00979"</f>
        <v>-0.00979</v>
      </c>
      <c r="IO21" t="s">
        <v>1065</v>
      </c>
      <c r="IP21" t="s">
        <v>938</v>
      </c>
      <c r="IQ21" t="str">
        <f>"-0.0154**"</f>
        <v>-0.0154**</v>
      </c>
      <c r="IR21" t="s">
        <v>1064</v>
      </c>
      <c r="IS21" t="s">
        <v>688</v>
      </c>
      <c r="IT21" t="str">
        <f>"-0.0145*"</f>
        <v>-0.0145*</v>
      </c>
      <c r="IU21" t="s">
        <v>1064</v>
      </c>
      <c r="IV21" t="s">
        <v>1063</v>
      </c>
      <c r="IW21" t="str">
        <f>"0.0269***"</f>
        <v>0.0269***</v>
      </c>
      <c r="IX21" t="s">
        <v>1062</v>
      </c>
      <c r="IY21" t="s">
        <v>1061</v>
      </c>
      <c r="IZ21" t="str">
        <f>"0.0275***"</f>
        <v>0.0275***</v>
      </c>
      <c r="JA21" t="s">
        <v>1060</v>
      </c>
      <c r="JB21" t="s">
        <v>1059</v>
      </c>
      <c r="JC21" t="str">
        <f>"0.0196**"</f>
        <v>0.0196**</v>
      </c>
      <c r="JD21" t="s">
        <v>1058</v>
      </c>
      <c r="JE21" t="s">
        <v>1057</v>
      </c>
      <c r="JF21" t="str">
        <f>"-0.00147"</f>
        <v>-0.00147</v>
      </c>
      <c r="JG21" t="s">
        <v>790</v>
      </c>
      <c r="JH21" t="s">
        <v>1056</v>
      </c>
      <c r="JI21" t="str">
        <f>"-0.00380"</f>
        <v>-0.00380</v>
      </c>
      <c r="JJ21" t="s">
        <v>1055</v>
      </c>
      <c r="JK21" t="s">
        <v>1054</v>
      </c>
      <c r="JL21" t="str">
        <f>"0.0202**"</f>
        <v>0.0202**</v>
      </c>
      <c r="JM21" t="s">
        <v>1053</v>
      </c>
      <c r="JN21" t="s">
        <v>975</v>
      </c>
      <c r="JO21" t="str">
        <f>"0.0520***"</f>
        <v>0.0520***</v>
      </c>
      <c r="JP21" t="s">
        <v>1052</v>
      </c>
      <c r="JQ21" t="s">
        <v>1051</v>
      </c>
      <c r="JR21" t="str">
        <f>"0.0238*"</f>
        <v>0.0238*</v>
      </c>
      <c r="JS21" t="s">
        <v>1050</v>
      </c>
      <c r="JT21" t="s">
        <v>1049</v>
      </c>
      <c r="JU21" t="str">
        <f>"0.0271**"</f>
        <v>0.0271**</v>
      </c>
      <c r="JV21" t="s">
        <v>1048</v>
      </c>
      <c r="JW21" t="s">
        <v>1047</v>
      </c>
      <c r="JX21" t="str">
        <f>"0.0322*"</f>
        <v>0.0322*</v>
      </c>
      <c r="JY21" t="s">
        <v>659</v>
      </c>
      <c r="JZ21" t="s">
        <v>1046</v>
      </c>
      <c r="KA21" t="str">
        <f>"-0.0210"</f>
        <v>-0.0210</v>
      </c>
      <c r="KB21" t="s">
        <v>1045</v>
      </c>
      <c r="KC21" t="s">
        <v>829</v>
      </c>
      <c r="KD21" t="str">
        <f>"0.00608"</f>
        <v>0.00608</v>
      </c>
      <c r="KE21" t="s">
        <v>495</v>
      </c>
      <c r="KF21" t="s">
        <v>1044</v>
      </c>
      <c r="KG21" t="str">
        <f>"0.0101"</f>
        <v>0.0101</v>
      </c>
      <c r="KH21" t="s">
        <v>518</v>
      </c>
      <c r="KI21" t="s">
        <v>617</v>
      </c>
      <c r="KJ21" t="str">
        <f>"0.0155"</f>
        <v>0.0155</v>
      </c>
      <c r="KK21" t="s">
        <v>1043</v>
      </c>
      <c r="KL21" t="s">
        <v>1042</v>
      </c>
    </row>
    <row r="22" spans="1:298" x14ac:dyDescent="0.2">
      <c r="A22" t="str">
        <f>"ppi"</f>
        <v>ppi</v>
      </c>
      <c r="B22" t="str">
        <f>"0.0165"</f>
        <v>0.0165</v>
      </c>
      <c r="C22" t="s">
        <v>1041</v>
      </c>
      <c r="D22" t="s">
        <v>1040</v>
      </c>
      <c r="E22" t="str">
        <f>"0.0112"</f>
        <v>0.0112</v>
      </c>
      <c r="F22" t="s">
        <v>1039</v>
      </c>
      <c r="G22" t="s">
        <v>1038</v>
      </c>
      <c r="H22" t="str">
        <f>"0.0255*"</f>
        <v>0.0255*</v>
      </c>
      <c r="I22" t="s">
        <v>1037</v>
      </c>
      <c r="J22" t="s">
        <v>1036</v>
      </c>
      <c r="K22" t="str">
        <f>"0.0179"</f>
        <v>0.0179</v>
      </c>
      <c r="L22" t="s">
        <v>681</v>
      </c>
      <c r="M22" t="s">
        <v>1035</v>
      </c>
      <c r="N22" t="str">
        <f>"0.0206*"</f>
        <v>0.0206*</v>
      </c>
      <c r="O22" t="s">
        <v>745</v>
      </c>
      <c r="P22" t="s">
        <v>1034</v>
      </c>
      <c r="Q22" t="str">
        <f>"0.0162"</f>
        <v>0.0162</v>
      </c>
      <c r="R22" t="s">
        <v>684</v>
      </c>
      <c r="S22" t="s">
        <v>1033</v>
      </c>
      <c r="T22" t="str">
        <f>"0.0117"</f>
        <v>0.0117</v>
      </c>
      <c r="U22" t="s">
        <v>703</v>
      </c>
      <c r="V22" t="s">
        <v>1032</v>
      </c>
      <c r="W22" t="str">
        <f>"0.0143*"</f>
        <v>0.0143*</v>
      </c>
      <c r="X22" t="s">
        <v>923</v>
      </c>
      <c r="Y22" t="s">
        <v>1031</v>
      </c>
      <c r="Z22" t="str">
        <f>"0.00905"</f>
        <v>0.00905</v>
      </c>
      <c r="AA22" t="s">
        <v>914</v>
      </c>
      <c r="AB22" t="s">
        <v>1030</v>
      </c>
      <c r="AC22" t="str">
        <f>"0.00814"</f>
        <v>0.00814</v>
      </c>
      <c r="AD22" t="s">
        <v>911</v>
      </c>
      <c r="AE22" t="s">
        <v>1029</v>
      </c>
      <c r="AF22" t="str">
        <f>"0.0146**"</f>
        <v>0.0146**</v>
      </c>
      <c r="AG22" t="s">
        <v>1028</v>
      </c>
      <c r="AH22" t="s">
        <v>1027</v>
      </c>
      <c r="AI22" t="str">
        <f>"0.0215***"</f>
        <v>0.0215***</v>
      </c>
      <c r="AJ22" t="s">
        <v>1026</v>
      </c>
      <c r="AK22" t="s">
        <v>1025</v>
      </c>
      <c r="AL22" t="str">
        <f>"0.0182***"</f>
        <v>0.0182***</v>
      </c>
      <c r="AM22" t="s">
        <v>1024</v>
      </c>
      <c r="AN22" t="s">
        <v>635</v>
      </c>
      <c r="AO22" t="str">
        <f>"0.0146***"</f>
        <v>0.0146***</v>
      </c>
      <c r="AP22" t="s">
        <v>372</v>
      </c>
      <c r="AQ22" t="s">
        <v>992</v>
      </c>
      <c r="AR22" t="str">
        <f>"0.0107***"</f>
        <v>0.0107***</v>
      </c>
      <c r="AS22" t="s">
        <v>727</v>
      </c>
      <c r="AT22" t="s">
        <v>1023</v>
      </c>
      <c r="AU22" t="str">
        <f>"0.0121***"</f>
        <v>0.0121***</v>
      </c>
      <c r="AV22" t="s">
        <v>1022</v>
      </c>
      <c r="AW22" t="s">
        <v>1021</v>
      </c>
      <c r="AX22" t="str">
        <f>"0.00831**"</f>
        <v>0.00831**</v>
      </c>
      <c r="AY22" t="s">
        <v>343</v>
      </c>
      <c r="AZ22" t="s">
        <v>625</v>
      </c>
      <c r="BA22" t="str">
        <f>"0.00940***"</f>
        <v>0.00940***</v>
      </c>
      <c r="BB22" t="s">
        <v>1018</v>
      </c>
      <c r="BC22" t="s">
        <v>524</v>
      </c>
      <c r="BD22" t="str">
        <f>"0.00681**"</f>
        <v>0.00681**</v>
      </c>
      <c r="BE22" t="s">
        <v>638</v>
      </c>
      <c r="BF22" t="s">
        <v>794</v>
      </c>
      <c r="BG22" t="str">
        <f>"0.00649**"</f>
        <v>0.00649**</v>
      </c>
      <c r="BH22" t="s">
        <v>1020</v>
      </c>
      <c r="BI22" t="s">
        <v>946</v>
      </c>
      <c r="BJ22" t="str">
        <f>"0.00865***"</f>
        <v>0.00865***</v>
      </c>
      <c r="BK22" t="s">
        <v>1015</v>
      </c>
      <c r="BL22" t="s">
        <v>1019</v>
      </c>
      <c r="BM22" t="str">
        <f>"0.00896***"</f>
        <v>0.00896***</v>
      </c>
      <c r="BN22" t="s">
        <v>1018</v>
      </c>
      <c r="BO22" t="s">
        <v>1016</v>
      </c>
      <c r="BP22" t="str">
        <f>"0.00904***"</f>
        <v>0.00904***</v>
      </c>
      <c r="BQ22" t="s">
        <v>1017</v>
      </c>
      <c r="BR22" t="s">
        <v>1016</v>
      </c>
      <c r="BS22" t="str">
        <f>"0.00848***"</f>
        <v>0.00848***</v>
      </c>
      <c r="BT22" t="s">
        <v>1015</v>
      </c>
      <c r="BU22" t="s">
        <v>941</v>
      </c>
      <c r="BV22" t="str">
        <f>"0.00319"</f>
        <v>0.00319</v>
      </c>
      <c r="BW22" t="s">
        <v>674</v>
      </c>
      <c r="BX22" t="s">
        <v>579</v>
      </c>
      <c r="BY22" t="str">
        <f>"0.00140"</f>
        <v>0.00140</v>
      </c>
      <c r="BZ22" t="s">
        <v>677</v>
      </c>
      <c r="CA22" t="s">
        <v>613</v>
      </c>
      <c r="CB22" t="str">
        <f>"0.00253"</f>
        <v>0.00253</v>
      </c>
      <c r="CC22" t="s">
        <v>1014</v>
      </c>
      <c r="CD22" t="s">
        <v>1013</v>
      </c>
      <c r="CE22" t="str">
        <f>"0.00219"</f>
        <v>0.00219</v>
      </c>
      <c r="CF22" t="s">
        <v>1012</v>
      </c>
      <c r="CG22" t="s">
        <v>568</v>
      </c>
      <c r="CH22" t="str">
        <f>"0.00402"</f>
        <v>0.00402</v>
      </c>
      <c r="CI22" t="s">
        <v>684</v>
      </c>
      <c r="CJ22" t="s">
        <v>572</v>
      </c>
      <c r="CK22" t="str">
        <f>"0.00575*"</f>
        <v>0.00575*</v>
      </c>
      <c r="CL22" t="s">
        <v>718</v>
      </c>
      <c r="CM22" t="s">
        <v>1011</v>
      </c>
      <c r="CN22" t="str">
        <f>"0.00407"</f>
        <v>0.00407</v>
      </c>
      <c r="CO22" t="s">
        <v>707</v>
      </c>
      <c r="CP22" t="s">
        <v>649</v>
      </c>
      <c r="CQ22" t="str">
        <f>"0.00307"</f>
        <v>0.00307</v>
      </c>
      <c r="CR22" t="s">
        <v>652</v>
      </c>
      <c r="CS22" t="s">
        <v>575</v>
      </c>
      <c r="CT22" t="str">
        <f>"0.00131"</f>
        <v>0.00131</v>
      </c>
      <c r="CU22" t="s">
        <v>650</v>
      </c>
      <c r="CV22" t="s">
        <v>567</v>
      </c>
      <c r="CW22" t="str">
        <f>"-0.000802"</f>
        <v>-0.000802</v>
      </c>
      <c r="CX22" t="s">
        <v>1010</v>
      </c>
      <c r="CY22" t="s">
        <v>951</v>
      </c>
      <c r="CZ22" t="str">
        <f>"-0.00179"</f>
        <v>-0.00179</v>
      </c>
      <c r="DA22" t="s">
        <v>656</v>
      </c>
      <c r="DB22" t="s">
        <v>699</v>
      </c>
      <c r="DC22" t="str">
        <f>"-0.00285"</f>
        <v>-0.00285</v>
      </c>
      <c r="DD22" t="s">
        <v>793</v>
      </c>
      <c r="DE22" t="s">
        <v>917</v>
      </c>
      <c r="DF22" t="str">
        <f>"-0.00278"</f>
        <v>-0.00278</v>
      </c>
      <c r="DG22" t="s">
        <v>793</v>
      </c>
      <c r="DH22" t="s">
        <v>692</v>
      </c>
      <c r="DI22" t="str">
        <f>"0.00333"</f>
        <v>0.00333</v>
      </c>
      <c r="DJ22" t="s">
        <v>783</v>
      </c>
      <c r="DK22" t="s">
        <v>1009</v>
      </c>
      <c r="DL22" t="str">
        <f>"0.00531"</f>
        <v>0.00531</v>
      </c>
      <c r="DM22" t="s">
        <v>734</v>
      </c>
      <c r="DN22" t="s">
        <v>946</v>
      </c>
      <c r="DO22" t="str">
        <f>"0.00634*"</f>
        <v>0.00634*</v>
      </c>
      <c r="DP22" t="s">
        <v>708</v>
      </c>
      <c r="DQ22" t="s">
        <v>731</v>
      </c>
      <c r="DR22" t="str">
        <f>"0.00478"</f>
        <v>0.00478</v>
      </c>
      <c r="DS22" t="s">
        <v>636</v>
      </c>
      <c r="DT22" t="s">
        <v>651</v>
      </c>
      <c r="DU22" t="str">
        <f>"0.00334"</f>
        <v>0.00334</v>
      </c>
      <c r="DV22" t="s">
        <v>711</v>
      </c>
      <c r="DW22" t="s">
        <v>1008</v>
      </c>
      <c r="DX22" t="str">
        <f>"0.00370"</f>
        <v>0.00370</v>
      </c>
      <c r="DY22" t="s">
        <v>945</v>
      </c>
      <c r="DZ22" t="s">
        <v>1005</v>
      </c>
      <c r="EA22" t="str">
        <f>"0.00365"</f>
        <v>0.00365</v>
      </c>
      <c r="EB22" t="s">
        <v>945</v>
      </c>
      <c r="EC22" t="s">
        <v>939</v>
      </c>
      <c r="ED22" t="str">
        <f>"0.00629*"</f>
        <v>0.00629*</v>
      </c>
      <c r="EE22" t="s">
        <v>736</v>
      </c>
      <c r="EF22" t="s">
        <v>1007</v>
      </c>
      <c r="EG22" t="str">
        <f>"0.00514"</f>
        <v>0.00514</v>
      </c>
      <c r="EH22" t="s">
        <v>935</v>
      </c>
      <c r="EI22" t="s">
        <v>1006</v>
      </c>
      <c r="EJ22" t="str">
        <f>"0.00341"</f>
        <v>0.00341</v>
      </c>
      <c r="EK22" t="s">
        <v>677</v>
      </c>
      <c r="EL22" t="s">
        <v>1005</v>
      </c>
      <c r="EM22" t="str">
        <f>"-0.000163"</f>
        <v>-0.000163</v>
      </c>
      <c r="EN22" t="s">
        <v>967</v>
      </c>
      <c r="EO22" t="s">
        <v>723</v>
      </c>
      <c r="EP22" t="str">
        <f>"0.000706"</f>
        <v>0.000706</v>
      </c>
      <c r="EQ22" t="s">
        <v>654</v>
      </c>
      <c r="ER22" t="s">
        <v>1004</v>
      </c>
      <c r="ES22" t="str">
        <f>"0.00203"</f>
        <v>0.00203</v>
      </c>
      <c r="ET22" t="s">
        <v>1003</v>
      </c>
      <c r="EU22" t="s">
        <v>649</v>
      </c>
      <c r="EV22" t="str">
        <f>"0.00156"</f>
        <v>0.00156</v>
      </c>
      <c r="EW22" t="s">
        <v>1002</v>
      </c>
      <c r="EX22" t="s">
        <v>570</v>
      </c>
      <c r="EY22" t="str">
        <f>"0.00381"</f>
        <v>0.00381</v>
      </c>
      <c r="EZ22" t="s">
        <v>640</v>
      </c>
      <c r="FA22" t="s">
        <v>651</v>
      </c>
      <c r="FB22" t="str">
        <f>"0.00417"</f>
        <v>0.00417</v>
      </c>
      <c r="FC22" t="s">
        <v>677</v>
      </c>
      <c r="FD22" t="s">
        <v>1001</v>
      </c>
      <c r="FE22" t="str">
        <f>"0.00841*"</f>
        <v>0.00841*</v>
      </c>
      <c r="FF22" t="s">
        <v>718</v>
      </c>
      <c r="FG22" t="s">
        <v>607</v>
      </c>
      <c r="FH22" t="str">
        <f>"0.0129***"</f>
        <v>0.0129***</v>
      </c>
      <c r="FI22" t="s">
        <v>1000</v>
      </c>
      <c r="FJ22" t="s">
        <v>999</v>
      </c>
      <c r="FK22" t="str">
        <f>"0.0116**"</f>
        <v>0.0116**</v>
      </c>
      <c r="FL22" t="s">
        <v>998</v>
      </c>
      <c r="FM22" t="s">
        <v>629</v>
      </c>
      <c r="FN22" t="str">
        <f>"0.0115**"</f>
        <v>0.0115**</v>
      </c>
      <c r="FO22" t="s">
        <v>997</v>
      </c>
      <c r="FP22" t="s">
        <v>964</v>
      </c>
      <c r="FQ22" t="str">
        <f>"0.00819*"</f>
        <v>0.00819*</v>
      </c>
      <c r="FR22" t="s">
        <v>730</v>
      </c>
      <c r="FS22" t="s">
        <v>947</v>
      </c>
      <c r="FT22" t="str">
        <f>"0.00826*"</f>
        <v>0.00826*</v>
      </c>
      <c r="FU22" t="s">
        <v>730</v>
      </c>
      <c r="FV22" t="s">
        <v>607</v>
      </c>
      <c r="FW22" t="str">
        <f>"0.00475"</f>
        <v>0.00475</v>
      </c>
      <c r="FX22" t="s">
        <v>711</v>
      </c>
      <c r="FY22" t="s">
        <v>731</v>
      </c>
      <c r="FZ22" t="str">
        <f>"0.00458"</f>
        <v>0.00458</v>
      </c>
      <c r="GA22" t="s">
        <v>677</v>
      </c>
      <c r="GB22" t="s">
        <v>996</v>
      </c>
      <c r="GC22" t="str">
        <f>"0.00687"</f>
        <v>0.00687</v>
      </c>
      <c r="GD22" t="s">
        <v>647</v>
      </c>
      <c r="GE22" t="s">
        <v>971</v>
      </c>
      <c r="GF22" t="str">
        <f>"0.0127**"</f>
        <v>0.0127**</v>
      </c>
      <c r="GG22" t="s">
        <v>646</v>
      </c>
      <c r="GH22" t="s">
        <v>995</v>
      </c>
      <c r="GI22" t="str">
        <f>"0.0154***"</f>
        <v>0.0154***</v>
      </c>
      <c r="GJ22" t="s">
        <v>944</v>
      </c>
      <c r="GK22" t="s">
        <v>994</v>
      </c>
      <c r="GL22" t="str">
        <f>"0.0131**"</f>
        <v>0.0131**</v>
      </c>
      <c r="GM22" t="s">
        <v>993</v>
      </c>
      <c r="GN22" t="s">
        <v>992</v>
      </c>
      <c r="GO22" t="str">
        <f>"0.0134**"</f>
        <v>0.0134**</v>
      </c>
      <c r="GP22" t="s">
        <v>991</v>
      </c>
      <c r="GQ22" t="s">
        <v>990</v>
      </c>
      <c r="GR22" t="str">
        <f>"0.0206***"</f>
        <v>0.0206***</v>
      </c>
      <c r="GS22" t="s">
        <v>766</v>
      </c>
      <c r="GT22" t="s">
        <v>989</v>
      </c>
      <c r="GU22" t="str">
        <f>"0.0156***"</f>
        <v>0.0156***</v>
      </c>
      <c r="GV22" t="s">
        <v>942</v>
      </c>
      <c r="GW22" t="s">
        <v>538</v>
      </c>
      <c r="GX22" t="str">
        <f>"0.00950*"</f>
        <v>0.00950*</v>
      </c>
      <c r="GY22" t="s">
        <v>924</v>
      </c>
      <c r="GZ22" t="s">
        <v>988</v>
      </c>
      <c r="HA22" t="str">
        <f>"0.00817"</f>
        <v>0.00817</v>
      </c>
      <c r="HB22" t="s">
        <v>734</v>
      </c>
      <c r="HC22" t="s">
        <v>987</v>
      </c>
      <c r="HD22" t="str">
        <f>"0.0109*"</f>
        <v>0.0109*</v>
      </c>
      <c r="HE22" t="s">
        <v>986</v>
      </c>
      <c r="HF22" t="s">
        <v>985</v>
      </c>
      <c r="HG22" t="str">
        <f>"0.00857"</f>
        <v>0.00857</v>
      </c>
      <c r="HH22" t="s">
        <v>674</v>
      </c>
      <c r="HI22" t="s">
        <v>984</v>
      </c>
      <c r="HJ22" t="str">
        <f>"0.00506"</f>
        <v>0.00506</v>
      </c>
      <c r="HK22" t="s">
        <v>672</v>
      </c>
      <c r="HL22" t="s">
        <v>983</v>
      </c>
      <c r="HM22" t="str">
        <f>"0.00727"</f>
        <v>0.00727</v>
      </c>
      <c r="HN22" t="s">
        <v>922</v>
      </c>
      <c r="HO22" t="s">
        <v>743</v>
      </c>
      <c r="HP22" t="str">
        <f>"0.0167***"</f>
        <v>0.0167***</v>
      </c>
      <c r="HQ22" t="s">
        <v>982</v>
      </c>
      <c r="HR22" t="s">
        <v>981</v>
      </c>
      <c r="HS22" t="str">
        <f>"0.0163**"</f>
        <v>0.0163**</v>
      </c>
      <c r="HT22" t="s">
        <v>980</v>
      </c>
      <c r="HU22" t="s">
        <v>276</v>
      </c>
      <c r="HV22" t="str">
        <f>"0.00974*"</f>
        <v>0.00974*</v>
      </c>
      <c r="HW22" t="s">
        <v>979</v>
      </c>
      <c r="HX22" t="s">
        <v>978</v>
      </c>
      <c r="HY22" t="str">
        <f>"0.0146**"</f>
        <v>0.0146**</v>
      </c>
      <c r="HZ22" t="s">
        <v>940</v>
      </c>
      <c r="IA22" t="s">
        <v>977</v>
      </c>
      <c r="IB22" t="str">
        <f>"0.0246***"</f>
        <v>0.0246***</v>
      </c>
      <c r="IC22" t="s">
        <v>976</v>
      </c>
      <c r="ID22" t="s">
        <v>975</v>
      </c>
      <c r="IE22" t="str">
        <f>"0.00583"</f>
        <v>0.00583</v>
      </c>
      <c r="IF22" t="s">
        <v>974</v>
      </c>
      <c r="IG22" t="s">
        <v>658</v>
      </c>
      <c r="IH22" t="str">
        <f>"0.00203"</f>
        <v>0.00203</v>
      </c>
      <c r="II22" t="s">
        <v>973</v>
      </c>
      <c r="IJ22" t="s">
        <v>972</v>
      </c>
      <c r="IK22" t="str">
        <f>"0.00214"</f>
        <v>0.00214</v>
      </c>
      <c r="IL22" t="s">
        <v>831</v>
      </c>
      <c r="IM22" t="s">
        <v>971</v>
      </c>
      <c r="IN22" t="str">
        <f>"-0.00484"</f>
        <v>-0.00484</v>
      </c>
      <c r="IO22" t="s">
        <v>790</v>
      </c>
      <c r="IP22" t="s">
        <v>594</v>
      </c>
      <c r="IQ22" t="str">
        <f>"-0.0122*"</f>
        <v>-0.0122*</v>
      </c>
      <c r="IR22" t="s">
        <v>562</v>
      </c>
      <c r="IS22" t="s">
        <v>970</v>
      </c>
      <c r="IT22" t="str">
        <f>"-0.0119"</f>
        <v>-0.0119</v>
      </c>
      <c r="IU22" t="s">
        <v>969</v>
      </c>
      <c r="IV22" t="s">
        <v>938</v>
      </c>
      <c r="IW22" t="str">
        <f>"0.0173*"</f>
        <v>0.0173*</v>
      </c>
      <c r="IX22" t="s">
        <v>712</v>
      </c>
      <c r="IY22" t="s">
        <v>968</v>
      </c>
      <c r="IZ22" t="str">
        <f>"0.00717"</f>
        <v>0.00717</v>
      </c>
      <c r="JA22" t="s">
        <v>967</v>
      </c>
      <c r="JB22" t="s">
        <v>966</v>
      </c>
      <c r="JC22" t="str">
        <f>"0.00484"</f>
        <v>0.00484</v>
      </c>
      <c r="JD22" t="s">
        <v>965</v>
      </c>
      <c r="JE22" t="s">
        <v>964</v>
      </c>
      <c r="JF22" t="str">
        <f>"-0.0180*"</f>
        <v>-0.0180*</v>
      </c>
      <c r="JG22" t="s">
        <v>963</v>
      </c>
      <c r="JH22" t="s">
        <v>962</v>
      </c>
      <c r="JI22" t="str">
        <f>"-0.0277***"</f>
        <v>-0.0277***</v>
      </c>
      <c r="JJ22" t="s">
        <v>529</v>
      </c>
      <c r="JK22" t="s">
        <v>961</v>
      </c>
      <c r="JL22" t="str">
        <f>"-0.0184*"</f>
        <v>-0.0184*</v>
      </c>
      <c r="JM22" t="s">
        <v>521</v>
      </c>
      <c r="JN22" t="s">
        <v>960</v>
      </c>
      <c r="JO22" t="str">
        <f>"0.0109"</f>
        <v>0.0109</v>
      </c>
      <c r="JP22" t="s">
        <v>672</v>
      </c>
      <c r="JQ22" t="s">
        <v>959</v>
      </c>
      <c r="JR22" t="str">
        <f>"-0.0103"</f>
        <v>-0.0103</v>
      </c>
      <c r="JS22" t="s">
        <v>571</v>
      </c>
      <c r="JT22" t="s">
        <v>958</v>
      </c>
      <c r="JU22" t="str">
        <f>"0.00311"</f>
        <v>0.00311</v>
      </c>
      <c r="JV22" t="s">
        <v>957</v>
      </c>
      <c r="JW22" t="s">
        <v>956</v>
      </c>
      <c r="JX22" t="str">
        <f>"-0.00546"</f>
        <v>-0.00546</v>
      </c>
      <c r="JY22" t="s">
        <v>852</v>
      </c>
      <c r="JZ22" t="s">
        <v>955</v>
      </c>
      <c r="KA22" t="str">
        <f>"-0.0466***"</f>
        <v>-0.0466***</v>
      </c>
      <c r="KB22" t="s">
        <v>954</v>
      </c>
      <c r="KC22" t="s">
        <v>953</v>
      </c>
      <c r="KD22" t="str">
        <f>"-0.0210"</f>
        <v>-0.0210</v>
      </c>
      <c r="KE22" t="s">
        <v>952</v>
      </c>
      <c r="KF22" t="s">
        <v>951</v>
      </c>
      <c r="KG22" t="str">
        <f>"-0.0327*"</f>
        <v>-0.0327*</v>
      </c>
      <c r="KH22" t="s">
        <v>950</v>
      </c>
      <c r="KI22" t="s">
        <v>949</v>
      </c>
      <c r="KJ22" t="str">
        <f>"-0.0498*"</f>
        <v>-0.0498*</v>
      </c>
      <c r="KK22" t="s">
        <v>281</v>
      </c>
      <c r="KL22" t="s">
        <v>898</v>
      </c>
    </row>
    <row r="23" spans="1:298" x14ac:dyDescent="0.2">
      <c r="A23" t="str">
        <f>"rural"</f>
        <v>rural</v>
      </c>
      <c r="B23" t="str">
        <f>"-0.00390"</f>
        <v>-0.00390</v>
      </c>
      <c r="C23" t="s">
        <v>820</v>
      </c>
      <c r="D23" t="s">
        <v>941</v>
      </c>
      <c r="E23" t="str">
        <f>"-0.00700"</f>
        <v>-0.00700</v>
      </c>
      <c r="F23" t="s">
        <v>497</v>
      </c>
      <c r="G23" t="s">
        <v>649</v>
      </c>
      <c r="H23" t="str">
        <f>"0.00374"</f>
        <v>0.00374</v>
      </c>
      <c r="I23" t="s">
        <v>948</v>
      </c>
      <c r="J23" t="s">
        <v>947</v>
      </c>
      <c r="K23" t="str">
        <f>"-0.00300"</f>
        <v>-0.00300</v>
      </c>
      <c r="L23" t="s">
        <v>832</v>
      </c>
      <c r="M23" t="s">
        <v>594</v>
      </c>
      <c r="N23" t="str">
        <f>"0.00497"</f>
        <v>0.00497</v>
      </c>
      <c r="O23" t="s">
        <v>677</v>
      </c>
      <c r="P23" t="s">
        <v>941</v>
      </c>
      <c r="Q23" t="str">
        <f>"0.000118"</f>
        <v>0.000118</v>
      </c>
      <c r="R23" t="s">
        <v>668</v>
      </c>
      <c r="S23" t="s">
        <v>575</v>
      </c>
      <c r="T23" t="str">
        <f>"0.00430"</f>
        <v>0.00430</v>
      </c>
      <c r="U23" t="s">
        <v>783</v>
      </c>
      <c r="V23" t="s">
        <v>946</v>
      </c>
      <c r="W23" t="str">
        <f>"0.00479"</f>
        <v>0.00479</v>
      </c>
      <c r="X23" t="s">
        <v>636</v>
      </c>
      <c r="Y23" t="s">
        <v>651</v>
      </c>
      <c r="Z23" t="str">
        <f>"0.00339"</f>
        <v>0.00339</v>
      </c>
      <c r="AA23" t="s">
        <v>945</v>
      </c>
      <c r="AB23" t="s">
        <v>694</v>
      </c>
      <c r="AC23" t="str">
        <f>"0.00311"</f>
        <v>0.00311</v>
      </c>
      <c r="AD23" t="s">
        <v>674</v>
      </c>
      <c r="AE23" t="s">
        <v>673</v>
      </c>
      <c r="AF23" t="str">
        <f>"0.00725***"</f>
        <v>0.00725***</v>
      </c>
      <c r="AG23" t="s">
        <v>728</v>
      </c>
      <c r="AH23" t="s">
        <v>687</v>
      </c>
      <c r="AI23" t="str">
        <f>"0.0105***"</f>
        <v>0.0105***</v>
      </c>
      <c r="AJ23" t="s">
        <v>944</v>
      </c>
      <c r="AK23" t="s">
        <v>943</v>
      </c>
      <c r="AL23" t="str">
        <f>"0.0101***"</f>
        <v>0.0101***</v>
      </c>
      <c r="AM23" t="s">
        <v>942</v>
      </c>
      <c r="AN23" t="s">
        <v>941</v>
      </c>
      <c r="AO23" t="str">
        <f>"0.00719***"</f>
        <v>0.00719***</v>
      </c>
      <c r="AP23" t="s">
        <v>940</v>
      </c>
      <c r="AQ23" t="s">
        <v>939</v>
      </c>
      <c r="AR23" t="str">
        <f>"0.00305**"</f>
        <v>0.00305**</v>
      </c>
      <c r="AS23" t="s">
        <v>926</v>
      </c>
      <c r="AT23" t="s">
        <v>721</v>
      </c>
      <c r="AU23" t="str">
        <f>"0.00250*"</f>
        <v>0.00250*</v>
      </c>
      <c r="AV23" t="s">
        <v>719</v>
      </c>
      <c r="AW23" t="s">
        <v>928</v>
      </c>
      <c r="AX23" t="str">
        <f>"0.00247**"</f>
        <v>0.00247**</v>
      </c>
      <c r="AY23" t="s">
        <v>923</v>
      </c>
      <c r="AZ23" t="s">
        <v>698</v>
      </c>
      <c r="BA23" t="str">
        <f>"0.00284**"</f>
        <v>0.00284**</v>
      </c>
      <c r="BB23" t="s">
        <v>718</v>
      </c>
      <c r="BC23" t="s">
        <v>605</v>
      </c>
      <c r="BD23" t="str">
        <f>"0.00187*"</f>
        <v>0.00187*</v>
      </c>
      <c r="BE23" t="s">
        <v>722</v>
      </c>
      <c r="BF23" t="s">
        <v>603</v>
      </c>
      <c r="BG23" t="str">
        <f>"0.00157"</f>
        <v>0.00157</v>
      </c>
      <c r="BH23" t="s">
        <v>738</v>
      </c>
      <c r="BI23" t="s">
        <v>692</v>
      </c>
      <c r="BJ23" t="str">
        <f>"0.00180*"</f>
        <v>0.00180*</v>
      </c>
      <c r="BK23" t="s">
        <v>722</v>
      </c>
      <c r="BL23" t="s">
        <v>690</v>
      </c>
      <c r="BM23" t="str">
        <f>"0.00178*"</f>
        <v>0.00178*</v>
      </c>
      <c r="BN23" t="s">
        <v>722</v>
      </c>
      <c r="BO23" t="s">
        <v>907</v>
      </c>
      <c r="BP23" t="str">
        <f>"0.00198**"</f>
        <v>0.00198**</v>
      </c>
      <c r="BQ23" t="s">
        <v>719</v>
      </c>
      <c r="BR23" t="s">
        <v>601</v>
      </c>
      <c r="BS23" t="str">
        <f>"0.00173*"</f>
        <v>0.00173*</v>
      </c>
      <c r="BT23" t="s">
        <v>708</v>
      </c>
      <c r="BU23" t="s">
        <v>692</v>
      </c>
      <c r="BV23" t="str">
        <f>"0.00101"</f>
        <v>0.00101</v>
      </c>
      <c r="BW23" t="s">
        <v>929</v>
      </c>
      <c r="BX23" t="s">
        <v>906</v>
      </c>
      <c r="BY23" t="str">
        <f>"0.000949"</f>
        <v>0.000949</v>
      </c>
      <c r="BZ23" t="s">
        <v>347</v>
      </c>
      <c r="CA23" t="s">
        <v>921</v>
      </c>
      <c r="CB23" t="str">
        <f>"0.000595"</f>
        <v>0.000595</v>
      </c>
      <c r="CC23" t="s">
        <v>707</v>
      </c>
      <c r="CD23" t="s">
        <v>912</v>
      </c>
      <c r="CE23" t="str">
        <f>"0.000178"</f>
        <v>0.000178</v>
      </c>
      <c r="CF23" t="s">
        <v>935</v>
      </c>
      <c r="CG23" t="s">
        <v>918</v>
      </c>
      <c r="CH23" t="str">
        <f>"0.000386"</f>
        <v>0.000386</v>
      </c>
      <c r="CI23" t="s">
        <v>647</v>
      </c>
      <c r="CJ23" t="s">
        <v>691</v>
      </c>
      <c r="CK23" t="str">
        <f>"0.000146"</f>
        <v>0.000146</v>
      </c>
      <c r="CL23" t="s">
        <v>636</v>
      </c>
      <c r="CM23" t="s">
        <v>918</v>
      </c>
      <c r="CN23" t="str">
        <f>"-0.000156"</f>
        <v>-0.000156</v>
      </c>
      <c r="CO23" t="s">
        <v>916</v>
      </c>
      <c r="CP23" t="s">
        <v>675</v>
      </c>
      <c r="CQ23" t="str">
        <f>"-0.000495"</f>
        <v>-0.000495</v>
      </c>
      <c r="CR23" t="s">
        <v>652</v>
      </c>
      <c r="CS23" t="s">
        <v>937</v>
      </c>
      <c r="CT23" t="str">
        <f>"-0.00117"</f>
        <v>-0.00117</v>
      </c>
      <c r="CU23" t="s">
        <v>783</v>
      </c>
      <c r="CV23" t="s">
        <v>661</v>
      </c>
      <c r="CW23" t="str">
        <f>"-0.00120"</f>
        <v>-0.00120</v>
      </c>
      <c r="CX23" t="s">
        <v>711</v>
      </c>
      <c r="CY23" t="s">
        <v>802</v>
      </c>
      <c r="CZ23" t="str">
        <f>"-0.000683"</f>
        <v>-0.000683</v>
      </c>
      <c r="DA23" t="s">
        <v>639</v>
      </c>
      <c r="DB23" t="s">
        <v>938</v>
      </c>
      <c r="DC23" t="str">
        <f>"-0.000573"</f>
        <v>-0.000573</v>
      </c>
      <c r="DD23" t="s">
        <v>717</v>
      </c>
      <c r="DE23" t="s">
        <v>937</v>
      </c>
      <c r="DF23" t="str">
        <f>"-0.000452"</f>
        <v>-0.000452</v>
      </c>
      <c r="DG23" t="s">
        <v>933</v>
      </c>
      <c r="DH23" t="s">
        <v>936</v>
      </c>
      <c r="DI23" t="str">
        <f>"-0.0000633"</f>
        <v>-0.0000633</v>
      </c>
      <c r="DJ23" t="s">
        <v>720</v>
      </c>
      <c r="DK23" t="s">
        <v>918</v>
      </c>
      <c r="DL23" t="str">
        <f>"0.000359"</f>
        <v>0.000359</v>
      </c>
      <c r="DM23" t="s">
        <v>636</v>
      </c>
      <c r="DN23" t="s">
        <v>912</v>
      </c>
      <c r="DO23" t="str">
        <f>"0.000288"</f>
        <v>0.000288</v>
      </c>
      <c r="DP23" t="s">
        <v>636</v>
      </c>
      <c r="DQ23" t="s">
        <v>913</v>
      </c>
      <c r="DR23" t="str">
        <f>"0.000467"</f>
        <v>0.000467</v>
      </c>
      <c r="DS23" t="s">
        <v>935</v>
      </c>
      <c r="DT23" t="s">
        <v>800</v>
      </c>
      <c r="DU23" t="str">
        <f>"0.000799"</f>
        <v>0.000799</v>
      </c>
      <c r="DV23" t="s">
        <v>707</v>
      </c>
      <c r="DW23" t="s">
        <v>921</v>
      </c>
      <c r="DX23" t="str">
        <f>"0.000722"</f>
        <v>0.000722</v>
      </c>
      <c r="DY23" t="s">
        <v>931</v>
      </c>
      <c r="DZ23" t="s">
        <v>799</v>
      </c>
      <c r="EA23" t="str">
        <f>"0.000506"</f>
        <v>0.000506</v>
      </c>
      <c r="EB23" t="s">
        <v>435</v>
      </c>
      <c r="EC23" t="s">
        <v>800</v>
      </c>
      <c r="ED23" t="str">
        <f>"0.000932"</f>
        <v>0.000932</v>
      </c>
      <c r="EE23" t="s">
        <v>734</v>
      </c>
      <c r="EF23" t="s">
        <v>906</v>
      </c>
      <c r="EG23" t="str">
        <f>"0.000618"</f>
        <v>0.000618</v>
      </c>
      <c r="EH23" t="s">
        <v>647</v>
      </c>
      <c r="EI23" t="s">
        <v>685</v>
      </c>
      <c r="EJ23" t="str">
        <f>"0.000123"</f>
        <v>0.000123</v>
      </c>
      <c r="EK23" t="s">
        <v>932</v>
      </c>
      <c r="EL23" t="s">
        <v>691</v>
      </c>
      <c r="EM23" t="str">
        <f>"-0.000398"</f>
        <v>-0.000398</v>
      </c>
      <c r="EN23" t="s">
        <v>933</v>
      </c>
      <c r="EO23" t="s">
        <v>675</v>
      </c>
      <c r="EP23" t="str">
        <f>"-0.000581"</f>
        <v>-0.000581</v>
      </c>
      <c r="EQ23" t="s">
        <v>639</v>
      </c>
      <c r="ER23" t="s">
        <v>934</v>
      </c>
      <c r="ES23" t="str">
        <f>"-0.00108"</f>
        <v>-0.00108</v>
      </c>
      <c r="ET23" t="s">
        <v>711</v>
      </c>
      <c r="EU23" t="s">
        <v>817</v>
      </c>
      <c r="EV23" t="str">
        <f>"-0.00114"</f>
        <v>-0.00114</v>
      </c>
      <c r="EW23" t="s">
        <v>920</v>
      </c>
      <c r="EX23" t="s">
        <v>817</v>
      </c>
      <c r="EY23" t="str">
        <f>"-0.000400"</f>
        <v>-0.000400</v>
      </c>
      <c r="EZ23" t="s">
        <v>933</v>
      </c>
      <c r="FA23" t="s">
        <v>675</v>
      </c>
      <c r="FB23" t="str">
        <f>"0.000258"</f>
        <v>0.000258</v>
      </c>
      <c r="FC23" t="s">
        <v>932</v>
      </c>
      <c r="FD23" t="s">
        <v>912</v>
      </c>
      <c r="FE23" t="str">
        <f>"0.000502"</f>
        <v>0.000502</v>
      </c>
      <c r="FF23" t="s">
        <v>636</v>
      </c>
      <c r="FG23" t="s">
        <v>799</v>
      </c>
      <c r="FH23" t="str">
        <f>"0.00108"</f>
        <v>0.00108</v>
      </c>
      <c r="FI23" t="s">
        <v>734</v>
      </c>
      <c r="FJ23" t="s">
        <v>716</v>
      </c>
      <c r="FK23" t="str">
        <f>"0.000841"</f>
        <v>0.000841</v>
      </c>
      <c r="FL23" t="s">
        <v>931</v>
      </c>
      <c r="FM23" t="s">
        <v>667</v>
      </c>
      <c r="FN23" t="str">
        <f>"0.000455"</f>
        <v>0.000455</v>
      </c>
      <c r="FO23" t="s">
        <v>636</v>
      </c>
      <c r="FP23" t="s">
        <v>685</v>
      </c>
      <c r="FQ23" t="str">
        <f>"0.000183"</f>
        <v>0.000183</v>
      </c>
      <c r="FR23" t="s">
        <v>916</v>
      </c>
      <c r="FS23" t="s">
        <v>913</v>
      </c>
      <c r="FT23" t="str">
        <f>"0.000439"</f>
        <v>0.000439</v>
      </c>
      <c r="FU23" t="s">
        <v>636</v>
      </c>
      <c r="FV23" t="s">
        <v>685</v>
      </c>
      <c r="FW23" t="str">
        <f>"-0.000131"</f>
        <v>-0.000131</v>
      </c>
      <c r="FX23" t="s">
        <v>652</v>
      </c>
      <c r="FY23" t="s">
        <v>918</v>
      </c>
      <c r="FZ23" t="str">
        <f>"0.000143"</f>
        <v>0.000143</v>
      </c>
      <c r="GA23" t="s">
        <v>916</v>
      </c>
      <c r="GB23" t="s">
        <v>913</v>
      </c>
      <c r="GC23" t="str">
        <f>"0.000237"</f>
        <v>0.000237</v>
      </c>
      <c r="GD23" t="s">
        <v>916</v>
      </c>
      <c r="GE23" t="s">
        <v>912</v>
      </c>
      <c r="GF23" t="str">
        <f>"0.000569"</f>
        <v>0.000569</v>
      </c>
      <c r="GG23" t="s">
        <v>636</v>
      </c>
      <c r="GH23" t="s">
        <v>921</v>
      </c>
      <c r="GI23" t="str">
        <f>"0.000547"</f>
        <v>0.000547</v>
      </c>
      <c r="GJ23" t="s">
        <v>636</v>
      </c>
      <c r="GK23" t="s">
        <v>921</v>
      </c>
      <c r="GL23" t="str">
        <f>"0.00127"</f>
        <v>0.00127</v>
      </c>
      <c r="GM23" t="s">
        <v>684</v>
      </c>
      <c r="GN23" t="s">
        <v>915</v>
      </c>
      <c r="GO23" t="str">
        <f>"0.00180"</f>
        <v>0.00180</v>
      </c>
      <c r="GP23" t="s">
        <v>930</v>
      </c>
      <c r="GQ23" t="s">
        <v>603</v>
      </c>
      <c r="GR23" t="str">
        <f>"0.00201*"</f>
        <v>0.00201*</v>
      </c>
      <c r="GS23" t="s">
        <v>722</v>
      </c>
      <c r="GT23" t="s">
        <v>590</v>
      </c>
      <c r="GU23" t="str">
        <f>"0.00123"</f>
        <v>0.00123</v>
      </c>
      <c r="GV23" t="s">
        <v>684</v>
      </c>
      <c r="GW23" t="s">
        <v>915</v>
      </c>
      <c r="GX23" t="str">
        <f>"0.000817"</f>
        <v>0.000817</v>
      </c>
      <c r="GY23" t="s">
        <v>647</v>
      </c>
      <c r="GZ23" t="s">
        <v>797</v>
      </c>
      <c r="HA23" t="str">
        <f>"0.000902"</f>
        <v>0.000902</v>
      </c>
      <c r="HB23" t="s">
        <v>647</v>
      </c>
      <c r="HC23" t="s">
        <v>701</v>
      </c>
      <c r="HD23" t="str">
        <f>"0.00194"</f>
        <v>0.00194</v>
      </c>
      <c r="HE23" t="s">
        <v>738</v>
      </c>
      <c r="HF23" t="s">
        <v>696</v>
      </c>
      <c r="HG23" t="str">
        <f>"0.00169"</f>
        <v>0.00169</v>
      </c>
      <c r="HH23" t="s">
        <v>929</v>
      </c>
      <c r="HI23" t="s">
        <v>590</v>
      </c>
      <c r="HJ23" t="str">
        <f>"0.000872"</f>
        <v>0.000872</v>
      </c>
      <c r="HK23" t="s">
        <v>636</v>
      </c>
      <c r="HL23" t="s">
        <v>917</v>
      </c>
      <c r="HM23" t="str">
        <f>"0.00187"</f>
        <v>0.00187</v>
      </c>
      <c r="HN23" t="s">
        <v>786</v>
      </c>
      <c r="HO23" t="s">
        <v>696</v>
      </c>
      <c r="HP23" t="str">
        <f>"0.00240*"</f>
        <v>0.00240*</v>
      </c>
      <c r="HQ23" t="s">
        <v>708</v>
      </c>
      <c r="HR23" t="s">
        <v>928</v>
      </c>
      <c r="HS23" t="str">
        <f>"0.00289**"</f>
        <v>0.00289**</v>
      </c>
      <c r="HT23" t="s">
        <v>927</v>
      </c>
      <c r="HU23" t="s">
        <v>713</v>
      </c>
      <c r="HV23" t="str">
        <f>"0.00279**"</f>
        <v>0.00279**</v>
      </c>
      <c r="HW23" t="s">
        <v>926</v>
      </c>
      <c r="HX23" t="s">
        <v>925</v>
      </c>
      <c r="HY23" t="str">
        <f>"0.00309**"</f>
        <v>0.00309**</v>
      </c>
      <c r="HZ23" t="s">
        <v>924</v>
      </c>
      <c r="IA23" t="s">
        <v>789</v>
      </c>
      <c r="IB23" t="str">
        <f>"0.00273*"</f>
        <v>0.00273*</v>
      </c>
      <c r="IC23" t="s">
        <v>923</v>
      </c>
      <c r="ID23" t="s">
        <v>713</v>
      </c>
      <c r="IE23" t="str">
        <f>"0.000349"</f>
        <v>0.000349</v>
      </c>
      <c r="IF23" t="s">
        <v>717</v>
      </c>
      <c r="IG23" t="s">
        <v>716</v>
      </c>
      <c r="IH23" t="str">
        <f>"-0.000305"</f>
        <v>-0.000305</v>
      </c>
      <c r="II23" t="s">
        <v>922</v>
      </c>
      <c r="IJ23" t="s">
        <v>921</v>
      </c>
      <c r="IK23" t="str">
        <f>"-0.000303"</f>
        <v>-0.000303</v>
      </c>
      <c r="IL23" t="s">
        <v>920</v>
      </c>
      <c r="IM23" t="s">
        <v>799</v>
      </c>
      <c r="IN23" t="str">
        <f>"-0.000389"</f>
        <v>-0.000389</v>
      </c>
      <c r="IO23" t="s">
        <v>711</v>
      </c>
      <c r="IP23" t="s">
        <v>912</v>
      </c>
      <c r="IQ23" t="str">
        <f>"-0.000698"</f>
        <v>-0.000698</v>
      </c>
      <c r="IR23" t="s">
        <v>677</v>
      </c>
      <c r="IS23" t="s">
        <v>588</v>
      </c>
      <c r="IT23" t="str">
        <f>"-0.000996"</f>
        <v>-0.000996</v>
      </c>
      <c r="IU23" t="s">
        <v>919</v>
      </c>
      <c r="IV23" t="s">
        <v>918</v>
      </c>
      <c r="IW23" t="str">
        <f>"0.000198"</f>
        <v>0.000198</v>
      </c>
      <c r="IX23" t="s">
        <v>911</v>
      </c>
      <c r="IY23" t="s">
        <v>917</v>
      </c>
      <c r="IZ23" t="str">
        <f>"0.00114"</f>
        <v>0.00114</v>
      </c>
      <c r="JA23" t="s">
        <v>916</v>
      </c>
      <c r="JB23" t="s">
        <v>699</v>
      </c>
      <c r="JC23" t="str">
        <f>"0.000430"</f>
        <v>0.000430</v>
      </c>
      <c r="JD23" t="s">
        <v>639</v>
      </c>
      <c r="JE23" t="s">
        <v>692</v>
      </c>
      <c r="JF23" t="str">
        <f>"-0.0000196"</f>
        <v>-0.0000196</v>
      </c>
      <c r="JG23" t="s">
        <v>677</v>
      </c>
      <c r="JH23" t="s">
        <v>915</v>
      </c>
      <c r="JI23" t="str">
        <f>"-0.00123"</f>
        <v>-0.00123</v>
      </c>
      <c r="JJ23" t="s">
        <v>914</v>
      </c>
      <c r="JK23" t="s">
        <v>913</v>
      </c>
      <c r="JL23" t="str">
        <f>"-0.000851"</f>
        <v>-0.000851</v>
      </c>
      <c r="JM23" t="s">
        <v>697</v>
      </c>
      <c r="JN23" t="s">
        <v>912</v>
      </c>
      <c r="JO23" t="str">
        <f>"0.000490"</f>
        <v>0.000490</v>
      </c>
      <c r="JP23" t="s">
        <v>911</v>
      </c>
      <c r="JQ23" t="s">
        <v>603</v>
      </c>
      <c r="JR23" t="str">
        <f>"-0.000973"</f>
        <v>-0.000973</v>
      </c>
      <c r="JS23" t="s">
        <v>910</v>
      </c>
      <c r="JT23" t="s">
        <v>716</v>
      </c>
      <c r="JU23" t="str">
        <f>"-0.0000412"</f>
        <v>-0.0000412</v>
      </c>
      <c r="JV23" t="s">
        <v>345</v>
      </c>
      <c r="JW23" t="s">
        <v>907</v>
      </c>
      <c r="JX23" t="str">
        <f>"-0.000804"</f>
        <v>-0.000804</v>
      </c>
      <c r="JY23" t="s">
        <v>909</v>
      </c>
      <c r="JZ23" t="s">
        <v>601</v>
      </c>
      <c r="KA23" t="str">
        <f>"-0.00152"</f>
        <v>-0.00152</v>
      </c>
      <c r="KB23" t="s">
        <v>686</v>
      </c>
      <c r="KC23" t="s">
        <v>701</v>
      </c>
      <c r="KD23" t="str">
        <f>"-0.00168"</f>
        <v>-0.00168</v>
      </c>
      <c r="KE23" t="s">
        <v>908</v>
      </c>
      <c r="KF23" t="s">
        <v>907</v>
      </c>
      <c r="KG23" t="str">
        <f>"-0.00379"</f>
        <v>-0.00379</v>
      </c>
      <c r="KH23" t="s">
        <v>641</v>
      </c>
      <c r="KI23" t="s">
        <v>800</v>
      </c>
      <c r="KJ23" t="str">
        <f>"-0.00499"</f>
        <v>-0.00499</v>
      </c>
      <c r="KK23" t="s">
        <v>689</v>
      </c>
      <c r="KL23" t="s">
        <v>906</v>
      </c>
    </row>
    <row r="24" spans="1:298" x14ac:dyDescent="0.2">
      <c r="A24" t="str">
        <f>"formal"</f>
        <v>formal</v>
      </c>
      <c r="B24" t="str">
        <f>"0.0765***"</f>
        <v>0.0765***</v>
      </c>
      <c r="C24" t="s">
        <v>905</v>
      </c>
      <c r="D24" t="s">
        <v>904</v>
      </c>
      <c r="E24" t="str">
        <f>"0.111***"</f>
        <v>0.111***</v>
      </c>
      <c r="F24" t="s">
        <v>903</v>
      </c>
      <c r="G24" t="s">
        <v>902</v>
      </c>
      <c r="H24" t="str">
        <f>"0.0256*"</f>
        <v>0.0256*</v>
      </c>
      <c r="I24" t="s">
        <v>679</v>
      </c>
      <c r="J24" t="s">
        <v>901</v>
      </c>
      <c r="K24" t="str">
        <f>"0.0409***"</f>
        <v>0.0409***</v>
      </c>
      <c r="L24" t="s">
        <v>758</v>
      </c>
      <c r="M24" t="s">
        <v>900</v>
      </c>
      <c r="N24" t="str">
        <f>"-0.0290**"</f>
        <v>-0.0290**</v>
      </c>
      <c r="O24" t="s">
        <v>899</v>
      </c>
      <c r="P24" t="s">
        <v>898</v>
      </c>
      <c r="Q24" t="str">
        <f>"0.0125"</f>
        <v>0.0125</v>
      </c>
      <c r="R24" t="s">
        <v>897</v>
      </c>
      <c r="S24" t="s">
        <v>896</v>
      </c>
      <c r="T24" t="str">
        <f>"-0.0278**"</f>
        <v>-0.0278**</v>
      </c>
      <c r="U24" t="s">
        <v>895</v>
      </c>
      <c r="V24" t="s">
        <v>849</v>
      </c>
      <c r="W24" t="str">
        <f>"-0.0232**"</f>
        <v>-0.0232**</v>
      </c>
      <c r="X24" t="s">
        <v>894</v>
      </c>
      <c r="Y24" t="s">
        <v>893</v>
      </c>
      <c r="Z24" t="str">
        <f>"-0.0260**"</f>
        <v>-0.0260**</v>
      </c>
      <c r="AA24" t="s">
        <v>892</v>
      </c>
      <c r="AB24" t="s">
        <v>891</v>
      </c>
      <c r="AC24" t="str">
        <f>"-0.0232***"</f>
        <v>-0.0232***</v>
      </c>
      <c r="AD24" t="s">
        <v>890</v>
      </c>
      <c r="AE24" t="s">
        <v>849</v>
      </c>
      <c r="AF24" t="str">
        <f>"-0.0801***"</f>
        <v>-0.0801***</v>
      </c>
      <c r="AG24" t="s">
        <v>889</v>
      </c>
      <c r="AH24" t="s">
        <v>888</v>
      </c>
      <c r="AI24" t="str">
        <f>"-0.138***"</f>
        <v>-0.138***</v>
      </c>
      <c r="AJ24" t="s">
        <v>887</v>
      </c>
      <c r="AK24" t="s">
        <v>886</v>
      </c>
      <c r="AL24" t="str">
        <f>"-0.140***"</f>
        <v>-0.140***</v>
      </c>
      <c r="AM24" t="s">
        <v>885</v>
      </c>
      <c r="AN24" t="s">
        <v>884</v>
      </c>
      <c r="AO24" t="str">
        <f>"-0.114***"</f>
        <v>-0.114***</v>
      </c>
      <c r="AP24" t="s">
        <v>883</v>
      </c>
      <c r="AQ24" t="s">
        <v>882</v>
      </c>
      <c r="AR24" t="str">
        <f>"-0.0720***"</f>
        <v>-0.0720***</v>
      </c>
      <c r="AS24" t="s">
        <v>881</v>
      </c>
      <c r="AT24" t="s">
        <v>880</v>
      </c>
      <c r="AU24" t="str">
        <f>"-0.0548***"</f>
        <v>-0.0548***</v>
      </c>
      <c r="AV24" t="s">
        <v>879</v>
      </c>
      <c r="AW24" t="s">
        <v>878</v>
      </c>
      <c r="AX24" t="str">
        <f>"-0.0555***"</f>
        <v>-0.0555***</v>
      </c>
      <c r="AY24" t="s">
        <v>877</v>
      </c>
      <c r="AZ24" t="s">
        <v>876</v>
      </c>
      <c r="BA24" t="str">
        <f>"-0.0567***"</f>
        <v>-0.0567***</v>
      </c>
      <c r="BB24" t="s">
        <v>875</v>
      </c>
      <c r="BC24" t="s">
        <v>874</v>
      </c>
      <c r="BD24" t="str">
        <f>"-0.0473***"</f>
        <v>-0.0473***</v>
      </c>
      <c r="BE24" t="s">
        <v>471</v>
      </c>
      <c r="BF24" t="s">
        <v>873</v>
      </c>
      <c r="BG24" t="str">
        <f>"-0.0448***"</f>
        <v>-0.0448***</v>
      </c>
      <c r="BH24" t="s">
        <v>872</v>
      </c>
      <c r="BI24" t="s">
        <v>871</v>
      </c>
      <c r="BJ24" t="str">
        <f>"-0.0488***"</f>
        <v>-0.0488***</v>
      </c>
      <c r="BK24" t="s">
        <v>870</v>
      </c>
      <c r="BL24" t="s">
        <v>869</v>
      </c>
      <c r="BM24" t="str">
        <f>"-0.0512***"</f>
        <v>-0.0512***</v>
      </c>
      <c r="BN24" t="s">
        <v>868</v>
      </c>
      <c r="BO24" t="s">
        <v>867</v>
      </c>
      <c r="BP24" t="str">
        <f>"-0.0508***"</f>
        <v>-0.0508***</v>
      </c>
      <c r="BQ24" t="s">
        <v>866</v>
      </c>
      <c r="BR24" t="s">
        <v>865</v>
      </c>
      <c r="BS24" t="str">
        <f>"-0.0463***"</f>
        <v>-0.0463***</v>
      </c>
      <c r="BT24" t="s">
        <v>864</v>
      </c>
      <c r="BU24" t="s">
        <v>863</v>
      </c>
      <c r="BV24" t="str">
        <f>"-0.0414***"</f>
        <v>-0.0414***</v>
      </c>
      <c r="BW24" t="s">
        <v>531</v>
      </c>
      <c r="BX24" t="s">
        <v>862</v>
      </c>
      <c r="BY24" t="str">
        <f>"-0.0334***"</f>
        <v>-0.0334***</v>
      </c>
      <c r="BZ24" t="s">
        <v>861</v>
      </c>
      <c r="CA24" t="s">
        <v>860</v>
      </c>
      <c r="CB24" t="str">
        <f>"-0.0267***"</f>
        <v>-0.0267***</v>
      </c>
      <c r="CC24" t="s">
        <v>842</v>
      </c>
      <c r="CD24" t="s">
        <v>859</v>
      </c>
      <c r="CE24" t="str">
        <f>"-0.0296***"</f>
        <v>-0.0296***</v>
      </c>
      <c r="CF24" t="s">
        <v>858</v>
      </c>
      <c r="CG24" t="s">
        <v>857</v>
      </c>
      <c r="CH24" t="str">
        <f>"-0.0241***"</f>
        <v>-0.0241***</v>
      </c>
      <c r="CI24" t="s">
        <v>856</v>
      </c>
      <c r="CJ24" t="s">
        <v>855</v>
      </c>
      <c r="CK24" t="str">
        <f>"-0.0234***"</f>
        <v>-0.0234***</v>
      </c>
      <c r="CL24" t="s">
        <v>854</v>
      </c>
      <c r="CM24" t="s">
        <v>853</v>
      </c>
      <c r="CN24" t="str">
        <f>"-0.0225***"</f>
        <v>-0.0225***</v>
      </c>
      <c r="CO24" t="s">
        <v>852</v>
      </c>
      <c r="CP24" t="s">
        <v>851</v>
      </c>
      <c r="CQ24" t="str">
        <f>"-0.0163***"</f>
        <v>-0.0163***</v>
      </c>
      <c r="CR24" t="s">
        <v>850</v>
      </c>
      <c r="CS24" t="s">
        <v>849</v>
      </c>
      <c r="CT24" t="str">
        <f>"-0.0130***"</f>
        <v>-0.0130***</v>
      </c>
      <c r="CU24" t="s">
        <v>848</v>
      </c>
      <c r="CV24" t="s">
        <v>845</v>
      </c>
      <c r="CW24" t="str">
        <f>"-0.00968**"</f>
        <v>-0.00968**</v>
      </c>
      <c r="CX24" t="s">
        <v>798</v>
      </c>
      <c r="CY24" t="s">
        <v>847</v>
      </c>
      <c r="CZ24" t="str">
        <f>"-0.0111***"</f>
        <v>-0.0111***</v>
      </c>
      <c r="DA24" t="s">
        <v>846</v>
      </c>
      <c r="DB24" t="s">
        <v>688</v>
      </c>
      <c r="DC24" t="str">
        <f>"-0.0136***"</f>
        <v>-0.0136***</v>
      </c>
      <c r="DD24" t="s">
        <v>504</v>
      </c>
      <c r="DE24" t="s">
        <v>845</v>
      </c>
      <c r="DF24" t="str">
        <f>"-0.0203***"</f>
        <v>-0.0203***</v>
      </c>
      <c r="DG24" t="s">
        <v>844</v>
      </c>
      <c r="DH24" t="s">
        <v>843</v>
      </c>
      <c r="DI24" t="str">
        <f>"-0.0252***"</f>
        <v>-0.0252***</v>
      </c>
      <c r="DJ24" t="s">
        <v>842</v>
      </c>
      <c r="DK24" t="s">
        <v>841</v>
      </c>
      <c r="DL24" t="str">
        <f>"-0.0272***"</f>
        <v>-0.0272***</v>
      </c>
      <c r="DM24" t="s">
        <v>487</v>
      </c>
      <c r="DN24" t="s">
        <v>840</v>
      </c>
      <c r="DO24" t="str">
        <f>"-0.0265***"</f>
        <v>-0.0265***</v>
      </c>
      <c r="DP24" t="s">
        <v>521</v>
      </c>
      <c r="DQ24" t="s">
        <v>839</v>
      </c>
      <c r="DR24" t="str">
        <f>"-0.0243***"</f>
        <v>-0.0243***</v>
      </c>
      <c r="DS24" t="s">
        <v>838</v>
      </c>
      <c r="DT24" t="s">
        <v>837</v>
      </c>
      <c r="DU24" t="str">
        <f>"-0.0189***"</f>
        <v>-0.0189***</v>
      </c>
      <c r="DV24" t="s">
        <v>836</v>
      </c>
      <c r="DW24" t="s">
        <v>835</v>
      </c>
      <c r="DX24" t="str">
        <f>"-0.0160***"</f>
        <v>-0.0160***</v>
      </c>
      <c r="DY24" t="s">
        <v>834</v>
      </c>
      <c r="DZ24" t="s">
        <v>833</v>
      </c>
      <c r="EA24" t="str">
        <f>"-0.0104**"</f>
        <v>-0.0104**</v>
      </c>
      <c r="EB24" t="s">
        <v>630</v>
      </c>
      <c r="EC24" t="s">
        <v>825</v>
      </c>
      <c r="ED24" t="str">
        <f>"-0.00629"</f>
        <v>-0.00629</v>
      </c>
      <c r="EE24" t="s">
        <v>832</v>
      </c>
      <c r="EF24" t="s">
        <v>817</v>
      </c>
      <c r="EG24" t="str">
        <f>"-0.00334"</f>
        <v>-0.00334</v>
      </c>
      <c r="EH24" t="s">
        <v>831</v>
      </c>
      <c r="EI24" t="s">
        <v>829</v>
      </c>
      <c r="EJ24" t="str">
        <f>"-0.00178"</f>
        <v>-0.00178</v>
      </c>
      <c r="EK24" t="s">
        <v>644</v>
      </c>
      <c r="EL24" t="s">
        <v>655</v>
      </c>
      <c r="EM24" t="str">
        <f>"-0.00369"</f>
        <v>-0.00369</v>
      </c>
      <c r="EN24" t="s">
        <v>830</v>
      </c>
      <c r="EO24" t="s">
        <v>829</v>
      </c>
      <c r="EP24" t="str">
        <f>"-0.0100**"</f>
        <v>-0.0100**</v>
      </c>
      <c r="EQ24" t="s">
        <v>828</v>
      </c>
      <c r="ER24" t="s">
        <v>705</v>
      </c>
      <c r="ES24" t="str">
        <f>"-0.0116**"</f>
        <v>-0.0116**</v>
      </c>
      <c r="ET24" t="s">
        <v>827</v>
      </c>
      <c r="EU24" t="s">
        <v>826</v>
      </c>
      <c r="EV24" t="str">
        <f>"-0.0113**"</f>
        <v>-0.0113**</v>
      </c>
      <c r="EW24" t="s">
        <v>555</v>
      </c>
      <c r="EX24" t="s">
        <v>825</v>
      </c>
      <c r="EY24" t="str">
        <f>"-0.0135***"</f>
        <v>-0.0135***</v>
      </c>
      <c r="EZ24" t="s">
        <v>824</v>
      </c>
      <c r="FA24" t="s">
        <v>823</v>
      </c>
      <c r="FB24" t="str">
        <f>"-0.0130**"</f>
        <v>-0.0130**</v>
      </c>
      <c r="FC24" t="s">
        <v>749</v>
      </c>
      <c r="FD24" t="s">
        <v>822</v>
      </c>
      <c r="FE24" t="str">
        <f>"-0.0129**"</f>
        <v>-0.0129**</v>
      </c>
      <c r="FF24" t="s">
        <v>749</v>
      </c>
      <c r="FG24" t="s">
        <v>821</v>
      </c>
      <c r="FH24" t="str">
        <f>"-0.0126**"</f>
        <v>-0.0126**</v>
      </c>
      <c r="FI24" t="s">
        <v>820</v>
      </c>
      <c r="FJ24" t="s">
        <v>819</v>
      </c>
      <c r="FK24" t="str">
        <f>"-0.00761"</f>
        <v>-0.00761</v>
      </c>
      <c r="FL24" t="s">
        <v>818</v>
      </c>
      <c r="FM24" t="s">
        <v>817</v>
      </c>
      <c r="FN24" t="str">
        <f>"-0.00590"</f>
        <v>-0.00590</v>
      </c>
      <c r="FO24" t="s">
        <v>816</v>
      </c>
      <c r="FP24" t="s">
        <v>799</v>
      </c>
      <c r="FQ24" t="str">
        <f>"-0.00868*"</f>
        <v>-0.00868*</v>
      </c>
      <c r="FR24" t="s">
        <v>790</v>
      </c>
      <c r="FS24" t="s">
        <v>815</v>
      </c>
      <c r="FT24" t="str">
        <f>"-0.0128**"</f>
        <v>-0.0128**</v>
      </c>
      <c r="FU24" t="s">
        <v>749</v>
      </c>
      <c r="FV24" t="s">
        <v>814</v>
      </c>
      <c r="FW24" t="str">
        <f>"-0.00964*"</f>
        <v>-0.00964*</v>
      </c>
      <c r="FX24" t="s">
        <v>813</v>
      </c>
      <c r="FY24" t="s">
        <v>812</v>
      </c>
      <c r="FZ24" t="str">
        <f>"-0.00927*"</f>
        <v>-0.00927*</v>
      </c>
      <c r="GA24" t="s">
        <v>811</v>
      </c>
      <c r="GB24" t="s">
        <v>810</v>
      </c>
      <c r="GC24" t="str">
        <f>"-0.0130**"</f>
        <v>-0.0130**</v>
      </c>
      <c r="GD24" t="s">
        <v>809</v>
      </c>
      <c r="GE24" t="s">
        <v>808</v>
      </c>
      <c r="GF24" t="str">
        <f>"-0.0151***"</f>
        <v>-0.0151***</v>
      </c>
      <c r="GG24" t="s">
        <v>807</v>
      </c>
      <c r="GH24" t="s">
        <v>806</v>
      </c>
      <c r="GI24" t="str">
        <f>"-0.0145**"</f>
        <v>-0.0145**</v>
      </c>
      <c r="GJ24" t="s">
        <v>805</v>
      </c>
      <c r="GK24" t="s">
        <v>804</v>
      </c>
      <c r="GL24" t="str">
        <f>"-0.00867"</f>
        <v>-0.00867</v>
      </c>
      <c r="GM24" t="s">
        <v>803</v>
      </c>
      <c r="GN24" t="s">
        <v>802</v>
      </c>
      <c r="GO24" t="str">
        <f>"-0.00710"</f>
        <v>-0.00710</v>
      </c>
      <c r="GP24" t="s">
        <v>801</v>
      </c>
      <c r="GQ24" t="s">
        <v>800</v>
      </c>
      <c r="GR24" t="str">
        <f>"-0.00683"</f>
        <v>-0.00683</v>
      </c>
      <c r="GS24" t="s">
        <v>798</v>
      </c>
      <c r="GT24" t="s">
        <v>799</v>
      </c>
      <c r="GU24" t="str">
        <f>"-0.00667"</f>
        <v>-0.00667</v>
      </c>
      <c r="GV24" t="s">
        <v>798</v>
      </c>
      <c r="GW24" t="s">
        <v>797</v>
      </c>
      <c r="GX24" t="str">
        <f>"-0.00101"</f>
        <v>-0.00101</v>
      </c>
      <c r="GY24" t="s">
        <v>796</v>
      </c>
      <c r="GZ24" t="s">
        <v>570</v>
      </c>
      <c r="HA24" t="str">
        <f>"-0.00156"</f>
        <v>-0.00156</v>
      </c>
      <c r="HB24" t="s">
        <v>795</v>
      </c>
      <c r="HC24" t="s">
        <v>581</v>
      </c>
      <c r="HD24" t="str">
        <f>"0.00132"</f>
        <v>0.00132</v>
      </c>
      <c r="HE24" t="s">
        <v>644</v>
      </c>
      <c r="HF24" t="s">
        <v>794</v>
      </c>
      <c r="HG24" t="str">
        <f>"0.00241"</f>
        <v>0.00241</v>
      </c>
      <c r="HH24" t="s">
        <v>793</v>
      </c>
      <c r="HI24" t="s">
        <v>625</v>
      </c>
      <c r="HJ24" t="str">
        <f>"-0.00364"</f>
        <v>-0.00364</v>
      </c>
      <c r="HK24" t="s">
        <v>792</v>
      </c>
      <c r="HL24" t="s">
        <v>579</v>
      </c>
      <c r="HM24" t="str">
        <f>"-0.00541"</f>
        <v>-0.00541</v>
      </c>
      <c r="HN24" t="s">
        <v>790</v>
      </c>
      <c r="HO24" t="s">
        <v>791</v>
      </c>
      <c r="HP24" t="str">
        <f>"-0.00587"</f>
        <v>-0.00587</v>
      </c>
      <c r="HQ24" t="s">
        <v>790</v>
      </c>
      <c r="HR24" t="s">
        <v>789</v>
      </c>
      <c r="HS24" t="str">
        <f>"-0.000639"</f>
        <v>-0.000639</v>
      </c>
      <c r="HT24" t="s">
        <v>788</v>
      </c>
      <c r="HU24" t="s">
        <v>678</v>
      </c>
      <c r="HV24" t="str">
        <f>"0.0106"</f>
        <v>0.0106</v>
      </c>
      <c r="HW24" t="s">
        <v>786</v>
      </c>
      <c r="HX24" t="s">
        <v>787</v>
      </c>
      <c r="HY24" t="str">
        <f>"0.0110"</f>
        <v>0.0110</v>
      </c>
      <c r="HZ24" t="s">
        <v>786</v>
      </c>
      <c r="IA24" t="s">
        <v>785</v>
      </c>
      <c r="IB24" t="str">
        <f>"0.0151*"</f>
        <v>0.0151*</v>
      </c>
      <c r="IC24" t="s">
        <v>343</v>
      </c>
      <c r="ID24" t="s">
        <v>784</v>
      </c>
      <c r="IE24" t="str">
        <f>"0.0111"</f>
        <v>0.0111</v>
      </c>
      <c r="IF24" t="s">
        <v>783</v>
      </c>
      <c r="IG24" t="s">
        <v>782</v>
      </c>
      <c r="IH24" t="str">
        <f>"0.00784"</f>
        <v>0.00784</v>
      </c>
      <c r="II24" t="s">
        <v>781</v>
      </c>
      <c r="IJ24" t="s">
        <v>780</v>
      </c>
      <c r="IK24" t="str">
        <f>"0.0167*"</f>
        <v>0.0167*</v>
      </c>
      <c r="IL24" t="s">
        <v>779</v>
      </c>
      <c r="IM24" t="s">
        <v>778</v>
      </c>
      <c r="IN24" t="str">
        <f>"0.0181**"</f>
        <v>0.0181**</v>
      </c>
      <c r="IO24" t="s">
        <v>745</v>
      </c>
      <c r="IP24" t="s">
        <v>777</v>
      </c>
      <c r="IQ24" t="str">
        <f>"0.0153*"</f>
        <v>0.0153*</v>
      </c>
      <c r="IR24" t="s">
        <v>679</v>
      </c>
      <c r="IS24" t="s">
        <v>548</v>
      </c>
      <c r="IT24" t="str">
        <f>"0.0196**"</f>
        <v>0.0196**</v>
      </c>
      <c r="IU24" t="s">
        <v>727</v>
      </c>
      <c r="IV24" t="s">
        <v>776</v>
      </c>
      <c r="IW24" t="str">
        <f>"0.0255**"</f>
        <v>0.0255**</v>
      </c>
      <c r="IX24" t="s">
        <v>775</v>
      </c>
      <c r="IY24" t="s">
        <v>774</v>
      </c>
      <c r="IZ24" t="str">
        <f>"0.0245**"</f>
        <v>0.0245**</v>
      </c>
      <c r="JA24" t="s">
        <v>297</v>
      </c>
      <c r="JB24" t="s">
        <v>773</v>
      </c>
      <c r="JC24" t="str">
        <f>"0.0221**"</f>
        <v>0.0221**</v>
      </c>
      <c r="JD24" t="s">
        <v>772</v>
      </c>
      <c r="JE24" t="s">
        <v>771</v>
      </c>
      <c r="JF24" t="str">
        <f>"0.0368***"</f>
        <v>0.0368***</v>
      </c>
      <c r="JG24" t="s">
        <v>770</v>
      </c>
      <c r="JH24" t="s">
        <v>769</v>
      </c>
      <c r="JI24" t="str">
        <f>"0.0421***"</f>
        <v>0.0421***</v>
      </c>
      <c r="JJ24" t="s">
        <v>768</v>
      </c>
      <c r="JK24" t="s">
        <v>767</v>
      </c>
      <c r="JL24" t="str">
        <f>"0.0304***"</f>
        <v>0.0304***</v>
      </c>
      <c r="JM24" t="s">
        <v>766</v>
      </c>
      <c r="JN24" t="s">
        <v>765</v>
      </c>
      <c r="JO24" t="str">
        <f>"0.0445***"</f>
        <v>0.0445***</v>
      </c>
      <c r="JP24" t="s">
        <v>764</v>
      </c>
      <c r="JQ24" t="s">
        <v>763</v>
      </c>
      <c r="JR24" t="str">
        <f>"0.0530***"</f>
        <v>0.0530***</v>
      </c>
      <c r="JS24" t="s">
        <v>762</v>
      </c>
      <c r="JT24" t="s">
        <v>761</v>
      </c>
      <c r="JU24" t="str">
        <f>"0.0372**"</f>
        <v>0.0372**</v>
      </c>
      <c r="JV24" t="s">
        <v>760</v>
      </c>
      <c r="JW24" t="s">
        <v>759</v>
      </c>
      <c r="JX24" t="str">
        <f>"0.0480**"</f>
        <v>0.0480**</v>
      </c>
      <c r="JY24" t="s">
        <v>758</v>
      </c>
      <c r="JZ24" t="s">
        <v>757</v>
      </c>
      <c r="KA24" t="str">
        <f>"0.0444**"</f>
        <v>0.0444**</v>
      </c>
      <c r="KB24" t="s">
        <v>756</v>
      </c>
      <c r="KC24" t="s">
        <v>755</v>
      </c>
      <c r="KD24" t="str">
        <f>"0.0485**"</f>
        <v>0.0485**</v>
      </c>
      <c r="KE24" t="s">
        <v>754</v>
      </c>
      <c r="KF24" t="s">
        <v>753</v>
      </c>
      <c r="KG24" t="str">
        <f>"0.0540*"</f>
        <v>0.0540*</v>
      </c>
      <c r="KH24" t="s">
        <v>752</v>
      </c>
      <c r="KI24" t="s">
        <v>751</v>
      </c>
      <c r="KJ24" t="str">
        <f>"0.0555*"</f>
        <v>0.0555*</v>
      </c>
      <c r="KK24" t="s">
        <v>719</v>
      </c>
      <c r="KL24" t="s">
        <v>750</v>
      </c>
    </row>
    <row r="25" spans="1:298" x14ac:dyDescent="0.2">
      <c r="A25" t="str">
        <f>"Regi√£o"</f>
        <v>Regi√£o</v>
      </c>
      <c r="B25" t="str">
        <f>"-0.00538"</f>
        <v>-0.00538</v>
      </c>
      <c r="C25" t="s">
        <v>749</v>
      </c>
      <c r="D25" t="s">
        <v>678</v>
      </c>
      <c r="E25" t="str">
        <f>"-0.00260"</f>
        <v>-0.00260</v>
      </c>
      <c r="F25" t="s">
        <v>748</v>
      </c>
      <c r="G25" t="s">
        <v>747</v>
      </c>
      <c r="H25" t="str">
        <f>"0.0113"</f>
        <v>0.0113</v>
      </c>
      <c r="I25" t="s">
        <v>681</v>
      </c>
      <c r="J25" t="s">
        <v>746</v>
      </c>
      <c r="K25" t="str">
        <f>"0.0149*"</f>
        <v>0.0149*</v>
      </c>
      <c r="L25" t="s">
        <v>343</v>
      </c>
      <c r="M25" t="s">
        <v>611</v>
      </c>
      <c r="N25" t="str">
        <f>"0.0140**"</f>
        <v>0.0140**</v>
      </c>
      <c r="O25" t="s">
        <v>745</v>
      </c>
      <c r="P25" t="s">
        <v>744</v>
      </c>
      <c r="Q25" t="str">
        <f>"0.00763"</f>
        <v>0.00763</v>
      </c>
      <c r="R25" t="s">
        <v>639</v>
      </c>
      <c r="S25" t="s">
        <v>743</v>
      </c>
      <c r="T25" t="str">
        <f>"0.00713"</f>
        <v>0.00713</v>
      </c>
      <c r="U25" t="s">
        <v>681</v>
      </c>
      <c r="V25" t="s">
        <v>742</v>
      </c>
      <c r="W25" t="str">
        <f>"0.00267"</f>
        <v>0.00267</v>
      </c>
      <c r="X25" t="s">
        <v>741</v>
      </c>
      <c r="Y25" t="s">
        <v>651</v>
      </c>
      <c r="Z25" t="str">
        <f>"0.00721"</f>
        <v>0.00721</v>
      </c>
      <c r="AA25" t="s">
        <v>734</v>
      </c>
      <c r="AB25" t="s">
        <v>740</v>
      </c>
      <c r="AC25" t="str">
        <f>"0.00575"</f>
        <v>0.00575</v>
      </c>
      <c r="AD25" t="s">
        <v>684</v>
      </c>
      <c r="AE25" t="s">
        <v>739</v>
      </c>
      <c r="AF25" t="str">
        <f>"0.00545"</f>
        <v>0.00545</v>
      </c>
      <c r="AG25" t="s">
        <v>738</v>
      </c>
      <c r="AH25" t="s">
        <v>737</v>
      </c>
      <c r="AI25" t="str">
        <f>"0.00486*"</f>
        <v>0.00486*</v>
      </c>
      <c r="AJ25" t="s">
        <v>736</v>
      </c>
      <c r="AK25" t="s">
        <v>735</v>
      </c>
      <c r="AL25" t="str">
        <f>"0.00357"</f>
        <v>0.00357</v>
      </c>
      <c r="AM25" t="s">
        <v>734</v>
      </c>
      <c r="AN25" t="s">
        <v>733</v>
      </c>
      <c r="AO25" t="str">
        <f>"0.00319"</f>
        <v>0.00319</v>
      </c>
      <c r="AP25" t="s">
        <v>707</v>
      </c>
      <c r="AQ25" t="s">
        <v>594</v>
      </c>
      <c r="AR25" t="str">
        <f>"0.00831***"</f>
        <v>0.00831***</v>
      </c>
      <c r="AS25" t="s">
        <v>727</v>
      </c>
      <c r="AT25" t="s">
        <v>633</v>
      </c>
      <c r="AU25" t="str">
        <f>"0.00913***"</f>
        <v>0.00913***</v>
      </c>
      <c r="AV25" t="s">
        <v>732</v>
      </c>
      <c r="AW25" t="s">
        <v>731</v>
      </c>
      <c r="AX25" t="str">
        <f>"0.00157"</f>
        <v>0.00157</v>
      </c>
      <c r="AY25" t="s">
        <v>674</v>
      </c>
      <c r="AZ25" t="s">
        <v>605</v>
      </c>
      <c r="BA25" t="str">
        <f>"0.00359*"</f>
        <v>0.00359*</v>
      </c>
      <c r="BB25" t="s">
        <v>730</v>
      </c>
      <c r="BC25" t="s">
        <v>723</v>
      </c>
      <c r="BD25" t="str">
        <f>"0.00542***"</f>
        <v>0.00542***</v>
      </c>
      <c r="BE25" t="s">
        <v>729</v>
      </c>
      <c r="BF25" t="s">
        <v>581</v>
      </c>
      <c r="BG25" t="str">
        <f>"0.00620***"</f>
        <v>0.00620***</v>
      </c>
      <c r="BH25" t="s">
        <v>728</v>
      </c>
      <c r="BI25" t="s">
        <v>682</v>
      </c>
      <c r="BJ25" t="str">
        <f>"0.00745***"</f>
        <v>0.00745***</v>
      </c>
      <c r="BK25" t="s">
        <v>727</v>
      </c>
      <c r="BL25" t="s">
        <v>726</v>
      </c>
      <c r="BM25" t="str">
        <f>"0.00578***"</f>
        <v>0.00578***</v>
      </c>
      <c r="BN25" t="s">
        <v>712</v>
      </c>
      <c r="BO25" t="s">
        <v>725</v>
      </c>
      <c r="BP25" t="str">
        <f>"0.00632***"</f>
        <v>0.00632***</v>
      </c>
      <c r="BQ25" t="s">
        <v>724</v>
      </c>
      <c r="BR25" t="s">
        <v>649</v>
      </c>
      <c r="BS25" t="str">
        <f>"0.00396**"</f>
        <v>0.00396**</v>
      </c>
      <c r="BT25" t="s">
        <v>695</v>
      </c>
      <c r="BU25" t="s">
        <v>723</v>
      </c>
      <c r="BV25" t="str">
        <f>"0.00271*"</f>
        <v>0.00271*</v>
      </c>
      <c r="BW25" t="s">
        <v>722</v>
      </c>
      <c r="BX25" t="s">
        <v>721</v>
      </c>
      <c r="BY25" t="str">
        <f>"0.000847"</f>
        <v>0.000847</v>
      </c>
      <c r="BZ25" t="s">
        <v>720</v>
      </c>
      <c r="CA25" t="s">
        <v>690</v>
      </c>
      <c r="CB25" t="str">
        <f>"0.00307*"</f>
        <v>0.00307*</v>
      </c>
      <c r="CC25" t="s">
        <v>719</v>
      </c>
      <c r="CD25" t="s">
        <v>669</v>
      </c>
      <c r="CE25" t="str">
        <f>"0.00368**"</f>
        <v>0.00368**</v>
      </c>
      <c r="CF25" t="s">
        <v>718</v>
      </c>
      <c r="CG25" t="s">
        <v>665</v>
      </c>
      <c r="CH25" t="str">
        <f>"0.000381"</f>
        <v>0.000381</v>
      </c>
      <c r="CI25" t="s">
        <v>717</v>
      </c>
      <c r="CJ25" t="s">
        <v>716</v>
      </c>
      <c r="CK25" t="str">
        <f>"0.00801***"</f>
        <v>0.00801***</v>
      </c>
      <c r="CL25" t="s">
        <v>715</v>
      </c>
      <c r="CM25" t="s">
        <v>714</v>
      </c>
      <c r="CN25" t="str">
        <f>"0.00558***"</f>
        <v>0.00558***</v>
      </c>
      <c r="CO25" t="s">
        <v>441</v>
      </c>
      <c r="CP25" t="s">
        <v>581</v>
      </c>
      <c r="CQ25" t="str">
        <f>"0.00143"</f>
        <v>0.00143</v>
      </c>
      <c r="CR25" t="s">
        <v>636</v>
      </c>
      <c r="CS25" t="s">
        <v>584</v>
      </c>
      <c r="CT25" t="str">
        <f>"0.00328*"</f>
        <v>0.00328*</v>
      </c>
      <c r="CU25" t="s">
        <v>683</v>
      </c>
      <c r="CV25" t="s">
        <v>665</v>
      </c>
      <c r="CW25" t="str">
        <f>"-0.000457"</f>
        <v>-0.000457</v>
      </c>
      <c r="CX25" t="s">
        <v>700</v>
      </c>
      <c r="CY25" t="s">
        <v>667</v>
      </c>
      <c r="CZ25" t="str">
        <f>"0.00178"</f>
        <v>0.00178</v>
      </c>
      <c r="DA25" t="s">
        <v>636</v>
      </c>
      <c r="DB25" t="s">
        <v>713</v>
      </c>
      <c r="DC25" t="str">
        <f>"0.00639***"</f>
        <v>0.00639***</v>
      </c>
      <c r="DD25" t="s">
        <v>712</v>
      </c>
      <c r="DE25" t="s">
        <v>573</v>
      </c>
      <c r="DF25" t="str">
        <f>"0.000379"</f>
        <v>0.000379</v>
      </c>
      <c r="DG25" t="s">
        <v>711</v>
      </c>
      <c r="DH25" t="s">
        <v>603</v>
      </c>
      <c r="DI25" t="str">
        <f>"0.00220"</f>
        <v>0.00220</v>
      </c>
      <c r="DJ25" t="s">
        <v>435</v>
      </c>
      <c r="DK25" t="s">
        <v>655</v>
      </c>
      <c r="DL25" t="str">
        <f>"0.000171"</f>
        <v>0.000171</v>
      </c>
      <c r="DM25" t="s">
        <v>677</v>
      </c>
      <c r="DN25" t="s">
        <v>690</v>
      </c>
      <c r="DO25" t="str">
        <f>"0.00215"</f>
        <v>0.00215</v>
      </c>
      <c r="DP25" t="s">
        <v>435</v>
      </c>
      <c r="DQ25" t="s">
        <v>710</v>
      </c>
      <c r="DR25" t="str">
        <f>"-0.00273"</f>
        <v>-0.00273</v>
      </c>
      <c r="DS25" t="s">
        <v>654</v>
      </c>
      <c r="DT25" t="s">
        <v>709</v>
      </c>
      <c r="DU25" t="str">
        <f>"0.00356*"</f>
        <v>0.00356*</v>
      </c>
      <c r="DV25" t="s">
        <v>708</v>
      </c>
      <c r="DW25" t="s">
        <v>599</v>
      </c>
      <c r="DX25" t="str">
        <f>"0.00271"</f>
        <v>0.00271</v>
      </c>
      <c r="DY25" t="s">
        <v>684</v>
      </c>
      <c r="DZ25" t="s">
        <v>662</v>
      </c>
      <c r="EA25" t="str">
        <f>"0.00255"</f>
        <v>0.00255</v>
      </c>
      <c r="EB25" t="s">
        <v>707</v>
      </c>
      <c r="EC25" t="s">
        <v>613</v>
      </c>
      <c r="ED25" t="str">
        <f>"-0.00582***"</f>
        <v>-0.00582***</v>
      </c>
      <c r="EE25" t="s">
        <v>706</v>
      </c>
      <c r="EF25" t="s">
        <v>705</v>
      </c>
      <c r="EG25" t="str">
        <f>"-0.000177"</f>
        <v>-0.000177</v>
      </c>
      <c r="EH25" t="s">
        <v>700</v>
      </c>
      <c r="EI25" t="s">
        <v>692</v>
      </c>
      <c r="EJ25" t="str">
        <f>"-0.00413*"</f>
        <v>-0.00413*</v>
      </c>
      <c r="EK25" t="s">
        <v>676</v>
      </c>
      <c r="EL25" t="s">
        <v>704</v>
      </c>
      <c r="EM25" t="str">
        <f>"0.000245"</f>
        <v>0.000245</v>
      </c>
      <c r="EN25" t="s">
        <v>703</v>
      </c>
      <c r="EO25" t="s">
        <v>590</v>
      </c>
      <c r="EP25" t="str">
        <f>"0.00165"</f>
        <v>0.00165</v>
      </c>
      <c r="EQ25" t="s">
        <v>652</v>
      </c>
      <c r="ER25" t="s">
        <v>702</v>
      </c>
      <c r="ES25" t="str">
        <f>"-0.000804"</f>
        <v>-0.000804</v>
      </c>
      <c r="ET25" t="s">
        <v>666</v>
      </c>
      <c r="EU25" t="s">
        <v>701</v>
      </c>
      <c r="EV25" t="str">
        <f>"0.000212"</f>
        <v>0.000212</v>
      </c>
      <c r="EW25" t="s">
        <v>700</v>
      </c>
      <c r="EX25" t="s">
        <v>699</v>
      </c>
      <c r="EY25" t="str">
        <f>"0.000530"</f>
        <v>0.000530</v>
      </c>
      <c r="EZ25" t="s">
        <v>640</v>
      </c>
      <c r="FA25" t="s">
        <v>698</v>
      </c>
      <c r="FB25" t="str">
        <f>"0.000148"</f>
        <v>0.000148</v>
      </c>
      <c r="FC25" t="s">
        <v>697</v>
      </c>
      <c r="FD25" t="s">
        <v>696</v>
      </c>
      <c r="FE25" t="str">
        <f>"0.00533**"</f>
        <v>0.00533**</v>
      </c>
      <c r="FF25" t="s">
        <v>695</v>
      </c>
      <c r="FG25" t="s">
        <v>694</v>
      </c>
      <c r="FH25" t="str">
        <f>"-0.000690"</f>
        <v>-0.000690</v>
      </c>
      <c r="FI25" t="s">
        <v>693</v>
      </c>
      <c r="FJ25" t="s">
        <v>692</v>
      </c>
      <c r="FK25" t="str">
        <f>"0.00167"</f>
        <v>0.00167</v>
      </c>
      <c r="FL25" t="s">
        <v>639</v>
      </c>
      <c r="FM25" t="s">
        <v>669</v>
      </c>
      <c r="FN25" t="str">
        <f>"-0.00213"</f>
        <v>-0.00213</v>
      </c>
      <c r="FO25" t="s">
        <v>654</v>
      </c>
      <c r="FP25" t="s">
        <v>691</v>
      </c>
      <c r="FQ25" t="str">
        <f>"-0.000581"</f>
        <v>-0.000581</v>
      </c>
      <c r="FR25" t="s">
        <v>666</v>
      </c>
      <c r="FS25" t="s">
        <v>690</v>
      </c>
      <c r="FT25" t="str">
        <f>"-0.00852***"</f>
        <v>-0.00852***</v>
      </c>
      <c r="FU25" t="s">
        <v>689</v>
      </c>
      <c r="FV25" t="s">
        <v>688</v>
      </c>
      <c r="FW25" t="str">
        <f>"0.00711***"</f>
        <v>0.00711***</v>
      </c>
      <c r="FX25" t="s">
        <v>343</v>
      </c>
      <c r="FY25" t="s">
        <v>687</v>
      </c>
      <c r="FZ25" t="str">
        <f>"-0.00183"</f>
        <v>-0.00183</v>
      </c>
      <c r="GA25" t="s">
        <v>686</v>
      </c>
      <c r="GB25" t="s">
        <v>685</v>
      </c>
      <c r="GC25" t="str">
        <f>"0.00277"</f>
        <v>0.00277</v>
      </c>
      <c r="GD25" t="s">
        <v>636</v>
      </c>
      <c r="GE25" t="s">
        <v>599</v>
      </c>
      <c r="GF25" t="str">
        <f>"0.00360"</f>
        <v>0.00360</v>
      </c>
      <c r="GG25" t="s">
        <v>684</v>
      </c>
      <c r="GH25" t="s">
        <v>577</v>
      </c>
      <c r="GI25" t="str">
        <f>"0.00470*"</f>
        <v>0.00470*</v>
      </c>
      <c r="GJ25" t="s">
        <v>683</v>
      </c>
      <c r="GK25" t="s">
        <v>682</v>
      </c>
      <c r="GL25" t="str">
        <f>"0.00250"</f>
        <v>0.00250</v>
      </c>
      <c r="GM25" t="s">
        <v>681</v>
      </c>
      <c r="GN25" t="s">
        <v>680</v>
      </c>
      <c r="GO25" t="str">
        <f>"0.00595**"</f>
        <v>0.00595**</v>
      </c>
      <c r="GP25" t="s">
        <v>679</v>
      </c>
      <c r="GQ25" t="s">
        <v>678</v>
      </c>
      <c r="GR25" t="str">
        <f>"0.00126"</f>
        <v>0.00126</v>
      </c>
      <c r="GS25" t="s">
        <v>677</v>
      </c>
      <c r="GT25" t="s">
        <v>669</v>
      </c>
      <c r="GU25" t="str">
        <f>"-0.00316"</f>
        <v>-0.00316</v>
      </c>
      <c r="GV25" t="s">
        <v>676</v>
      </c>
      <c r="GW25" t="s">
        <v>675</v>
      </c>
      <c r="GX25" t="str">
        <f>"0.00310"</f>
        <v>0.00310</v>
      </c>
      <c r="GY25" t="s">
        <v>674</v>
      </c>
      <c r="GZ25" t="s">
        <v>673</v>
      </c>
      <c r="HA25" t="str">
        <f>"-0.000557"</f>
        <v>-0.000557</v>
      </c>
      <c r="HB25" t="s">
        <v>672</v>
      </c>
      <c r="HC25" t="s">
        <v>671</v>
      </c>
      <c r="HD25" t="str">
        <f>"0.000719"</f>
        <v>0.000719</v>
      </c>
      <c r="HE25" t="s">
        <v>670</v>
      </c>
      <c r="HF25" t="s">
        <v>669</v>
      </c>
      <c r="HG25" t="str">
        <f>"-0.00266"</f>
        <v>-0.00266</v>
      </c>
      <c r="HH25" t="s">
        <v>668</v>
      </c>
      <c r="HI25" t="s">
        <v>667</v>
      </c>
      <c r="HJ25" t="str">
        <f>"0.000819"</f>
        <v>0.000819</v>
      </c>
      <c r="HK25" t="s">
        <v>666</v>
      </c>
      <c r="HL25" t="s">
        <v>665</v>
      </c>
      <c r="HM25" t="str">
        <f>"-0.000798"</f>
        <v>-0.000798</v>
      </c>
      <c r="HN25" t="s">
        <v>664</v>
      </c>
      <c r="HO25" t="s">
        <v>605</v>
      </c>
      <c r="HP25" t="str">
        <f>"0.000838"</f>
        <v>0.000838</v>
      </c>
      <c r="HQ25" t="s">
        <v>663</v>
      </c>
      <c r="HR25" t="s">
        <v>662</v>
      </c>
      <c r="HS25" t="str">
        <f>"-0.00486"</f>
        <v>-0.00486</v>
      </c>
      <c r="HT25" t="s">
        <v>301</v>
      </c>
      <c r="HU25" t="s">
        <v>661</v>
      </c>
      <c r="HV25" t="str">
        <f>"0.0140***"</f>
        <v>0.0140***</v>
      </c>
      <c r="HW25" t="s">
        <v>660</v>
      </c>
      <c r="HX25" t="s">
        <v>629</v>
      </c>
      <c r="HY25" t="str">
        <f>"0.0129***"</f>
        <v>0.0129***</v>
      </c>
      <c r="HZ25" t="s">
        <v>659</v>
      </c>
      <c r="IA25" t="s">
        <v>658</v>
      </c>
      <c r="IB25" t="str">
        <f>"0.00242"</f>
        <v>0.00242</v>
      </c>
      <c r="IC25" t="s">
        <v>640</v>
      </c>
      <c r="ID25" t="s">
        <v>657</v>
      </c>
      <c r="IE25" t="str">
        <f>"-0.000981"</f>
        <v>-0.000981</v>
      </c>
      <c r="IF25" t="s">
        <v>656</v>
      </c>
      <c r="IG25" t="s">
        <v>655</v>
      </c>
      <c r="IH25" t="str">
        <f>"-0.000519"</f>
        <v>-0.000519</v>
      </c>
      <c r="II25" t="s">
        <v>648</v>
      </c>
      <c r="IJ25" t="s">
        <v>643</v>
      </c>
      <c r="IK25" t="str">
        <f>"0.000640"</f>
        <v>0.000640</v>
      </c>
      <c r="IL25" t="s">
        <v>654</v>
      </c>
      <c r="IM25" t="s">
        <v>653</v>
      </c>
      <c r="IN25" t="str">
        <f>"0.00446"</f>
        <v>0.00446</v>
      </c>
      <c r="IO25" t="s">
        <v>652</v>
      </c>
      <c r="IP25" t="s">
        <v>651</v>
      </c>
      <c r="IQ25" t="str">
        <f>"0.00251"</f>
        <v>0.00251</v>
      </c>
      <c r="IR25" t="s">
        <v>650</v>
      </c>
      <c r="IS25" t="s">
        <v>649</v>
      </c>
      <c r="IT25" t="str">
        <f>"-0.000517"</f>
        <v>-0.000517</v>
      </c>
      <c r="IU25" t="s">
        <v>648</v>
      </c>
      <c r="IV25" t="s">
        <v>586</v>
      </c>
      <c r="IW25" t="str">
        <f>"0.00668"</f>
        <v>0.00668</v>
      </c>
      <c r="IX25" t="s">
        <v>647</v>
      </c>
      <c r="IY25" t="s">
        <v>642</v>
      </c>
      <c r="IZ25" t="str">
        <f>"0.0123**"</f>
        <v>0.0123**</v>
      </c>
      <c r="JA25" t="s">
        <v>646</v>
      </c>
      <c r="JB25" t="s">
        <v>645</v>
      </c>
      <c r="JC25" t="str">
        <f>"-0.00128"</f>
        <v>-0.00128</v>
      </c>
      <c r="JD25" t="s">
        <v>644</v>
      </c>
      <c r="JE25" t="s">
        <v>643</v>
      </c>
      <c r="JF25" t="str">
        <f>"0.00542"</f>
        <v>0.00542</v>
      </c>
      <c r="JG25" t="s">
        <v>345</v>
      </c>
      <c r="JH25" t="s">
        <v>642</v>
      </c>
      <c r="JI25" t="str">
        <f>"-0.000581"</f>
        <v>-0.000581</v>
      </c>
      <c r="JJ25" t="s">
        <v>641</v>
      </c>
      <c r="JK25" t="s">
        <v>572</v>
      </c>
      <c r="JL25" t="str">
        <f>"0.00512"</f>
        <v>0.00512</v>
      </c>
      <c r="JM25" t="s">
        <v>640</v>
      </c>
      <c r="JN25" t="s">
        <v>625</v>
      </c>
      <c r="JO25" t="str">
        <f>"0.00694"</f>
        <v>0.00694</v>
      </c>
      <c r="JP25" t="s">
        <v>639</v>
      </c>
      <c r="JQ25" t="s">
        <v>532</v>
      </c>
      <c r="JR25" t="str">
        <f>"0.0135*"</f>
        <v>0.0135*</v>
      </c>
      <c r="JS25" t="s">
        <v>638</v>
      </c>
      <c r="JT25" t="s">
        <v>637</v>
      </c>
      <c r="JU25" t="str">
        <f>"0.00889"</f>
        <v>0.00889</v>
      </c>
      <c r="JV25" t="s">
        <v>636</v>
      </c>
      <c r="JW25" t="s">
        <v>629</v>
      </c>
      <c r="JX25" t="str">
        <f>"0.0122"</f>
        <v>0.0122</v>
      </c>
      <c r="JY25" t="s">
        <v>435</v>
      </c>
      <c r="JZ25" t="s">
        <v>635</v>
      </c>
      <c r="KA25" t="str">
        <f>"-0.00130"</f>
        <v>-0.00130</v>
      </c>
      <c r="KB25" t="s">
        <v>634</v>
      </c>
      <c r="KC25" t="s">
        <v>633</v>
      </c>
      <c r="KD25" t="str">
        <f>"0.00727"</f>
        <v>0.00727</v>
      </c>
      <c r="KE25" t="s">
        <v>632</v>
      </c>
      <c r="KF25" t="s">
        <v>631</v>
      </c>
      <c r="KG25" t="str">
        <f>"0.000840"</f>
        <v>0.000840</v>
      </c>
      <c r="KH25" t="s">
        <v>630</v>
      </c>
      <c r="KI25" t="s">
        <v>629</v>
      </c>
      <c r="KJ25" t="str">
        <f>"0.0136"</f>
        <v>0.0136</v>
      </c>
      <c r="KK25" t="s">
        <v>628</v>
      </c>
      <c r="KL25" t="s">
        <v>627</v>
      </c>
    </row>
    <row r="26" spans="1:298" x14ac:dyDescent="0.2">
      <c r="A26" t="str">
        <f>"Setor"</f>
        <v>Setor</v>
      </c>
      <c r="B26" t="str">
        <f>"-0.0317"</f>
        <v>-0.0317</v>
      </c>
      <c r="C26" t="s">
        <v>626</v>
      </c>
      <c r="D26" t="s">
        <v>625</v>
      </c>
      <c r="E26" t="str">
        <f>"0.0545"</f>
        <v>0.0545</v>
      </c>
      <c r="F26" t="s">
        <v>624</v>
      </c>
      <c r="G26" t="s">
        <v>623</v>
      </c>
      <c r="H26" t="str">
        <f>"0.0109"</f>
        <v>0.0109</v>
      </c>
      <c r="I26" t="s">
        <v>622</v>
      </c>
      <c r="J26" t="s">
        <v>621</v>
      </c>
      <c r="K26" t="str">
        <f>"-0.0627"</f>
        <v>-0.0627</v>
      </c>
      <c r="L26" t="s">
        <v>620</v>
      </c>
      <c r="M26" t="s">
        <v>619</v>
      </c>
      <c r="N26" t="str">
        <f>"-0.0593"</f>
        <v>-0.0593</v>
      </c>
      <c r="O26" t="s">
        <v>618</v>
      </c>
      <c r="P26" t="s">
        <v>617</v>
      </c>
      <c r="Q26" t="str">
        <f>"-0.0683"</f>
        <v>-0.0683</v>
      </c>
      <c r="R26" t="s">
        <v>616</v>
      </c>
      <c r="S26" t="s">
        <v>615</v>
      </c>
      <c r="T26" t="str">
        <f>"-0.0898"</f>
        <v>-0.0898</v>
      </c>
      <c r="U26" t="s">
        <v>614</v>
      </c>
      <c r="V26" t="s">
        <v>613</v>
      </c>
      <c r="W26" t="str">
        <f>"-0.0594"</f>
        <v>-0.0594</v>
      </c>
      <c r="X26" t="s">
        <v>612</v>
      </c>
      <c r="Y26" t="s">
        <v>611</v>
      </c>
      <c r="Z26" t="str">
        <f>"-0.0629"</f>
        <v>-0.0629</v>
      </c>
      <c r="AA26" t="s">
        <v>610</v>
      </c>
      <c r="AB26" t="s">
        <v>609</v>
      </c>
      <c r="AC26" t="str">
        <f>"-0.0449"</f>
        <v>-0.0449</v>
      </c>
      <c r="AD26" t="s">
        <v>608</v>
      </c>
      <c r="AE26" t="s">
        <v>607</v>
      </c>
      <c r="AF26" t="str">
        <f>"-0.0462"</f>
        <v>-0.0462</v>
      </c>
      <c r="AG26" t="s">
        <v>606</v>
      </c>
      <c r="AH26" t="s">
        <v>605</v>
      </c>
      <c r="AI26" t="str">
        <f>"-0.0382"</f>
        <v>-0.0382</v>
      </c>
      <c r="AJ26" t="s">
        <v>604</v>
      </c>
      <c r="AK26" t="s">
        <v>603</v>
      </c>
      <c r="AL26" t="str">
        <f>"-0.0328"</f>
        <v>-0.0328</v>
      </c>
      <c r="AM26" t="s">
        <v>602</v>
      </c>
      <c r="AN26" t="s">
        <v>601</v>
      </c>
      <c r="AO26" t="str">
        <f>"-0.0256"</f>
        <v>-0.0256</v>
      </c>
      <c r="AP26" t="s">
        <v>600</v>
      </c>
      <c r="AQ26" t="s">
        <v>599</v>
      </c>
      <c r="AR26" t="str">
        <f>"-0.0197"</f>
        <v>-0.0197</v>
      </c>
      <c r="AS26" t="s">
        <v>598</v>
      </c>
      <c r="AT26" t="s">
        <v>597</v>
      </c>
      <c r="AU26" t="str">
        <f>"-0.0186"</f>
        <v>-0.0186</v>
      </c>
      <c r="AV26" t="s">
        <v>596</v>
      </c>
      <c r="AW26" t="s">
        <v>567</v>
      </c>
      <c r="AX26" t="str">
        <f>"-0.0161"</f>
        <v>-0.0161</v>
      </c>
      <c r="AY26" t="s">
        <v>595</v>
      </c>
      <c r="AZ26" t="s">
        <v>594</v>
      </c>
      <c r="BA26" t="str">
        <f>"-0.0167"</f>
        <v>-0.0167</v>
      </c>
      <c r="BB26" t="s">
        <v>593</v>
      </c>
      <c r="BC26" t="s">
        <v>592</v>
      </c>
      <c r="BD26" t="str">
        <f>"-0.0175"</f>
        <v>-0.0175</v>
      </c>
      <c r="BE26" t="s">
        <v>591</v>
      </c>
      <c r="BF26" t="s">
        <v>590</v>
      </c>
      <c r="BG26" t="str">
        <f>"-0.0190"</f>
        <v>-0.0190</v>
      </c>
      <c r="BH26" t="s">
        <v>589</v>
      </c>
      <c r="BI26" t="s">
        <v>588</v>
      </c>
      <c r="BJ26" t="str">
        <f>"-0.0143"</f>
        <v>-0.0143</v>
      </c>
      <c r="BK26" t="s">
        <v>587</v>
      </c>
      <c r="BL26" t="s">
        <v>586</v>
      </c>
      <c r="BM26" t="str">
        <f>"-0.0156"</f>
        <v>-0.0156</v>
      </c>
      <c r="BN26" t="s">
        <v>585</v>
      </c>
      <c r="BO26" t="s">
        <v>584</v>
      </c>
      <c r="BP26" t="str">
        <f>"-0.0110"</f>
        <v>-0.0110</v>
      </c>
      <c r="BQ26" t="s">
        <v>583</v>
      </c>
      <c r="BR26" t="s">
        <v>582</v>
      </c>
      <c r="BS26" t="str">
        <f>"-0.0114"</f>
        <v>-0.0114</v>
      </c>
      <c r="BT26" t="s">
        <v>580</v>
      </c>
      <c r="BU26" t="s">
        <v>581</v>
      </c>
      <c r="BV26" t="str">
        <f>"-0.0116"</f>
        <v>-0.0116</v>
      </c>
      <c r="BW26" t="s">
        <v>580</v>
      </c>
      <c r="BX26" t="s">
        <v>579</v>
      </c>
      <c r="BY26" t="str">
        <f>"-0.0114"</f>
        <v>-0.0114</v>
      </c>
      <c r="BZ26" t="s">
        <v>578</v>
      </c>
      <c r="CA26" t="s">
        <v>577</v>
      </c>
      <c r="CB26" t="str">
        <f>"-0.0108"</f>
        <v>-0.0108</v>
      </c>
      <c r="CC26" t="s">
        <v>576</v>
      </c>
      <c r="CD26" t="s">
        <v>575</v>
      </c>
      <c r="CE26" t="str">
        <f>"-0.00950"</f>
        <v>-0.00950</v>
      </c>
      <c r="CF26" t="s">
        <v>574</v>
      </c>
      <c r="CG26" t="s">
        <v>573</v>
      </c>
      <c r="CH26" t="str">
        <f>"-0.0107"</f>
        <v>-0.0107</v>
      </c>
      <c r="CI26" t="s">
        <v>543</v>
      </c>
      <c r="CJ26" t="s">
        <v>572</v>
      </c>
      <c r="CK26" t="str">
        <f>"-0.0110"</f>
        <v>-0.0110</v>
      </c>
      <c r="CL26" t="s">
        <v>571</v>
      </c>
      <c r="CM26" t="s">
        <v>570</v>
      </c>
      <c r="CN26" t="str">
        <f>"-0.0134"</f>
        <v>-0.0134</v>
      </c>
      <c r="CO26" t="s">
        <v>569</v>
      </c>
      <c r="CP26" t="s">
        <v>568</v>
      </c>
      <c r="CQ26" t="str">
        <f>"-0.0142"</f>
        <v>-0.0142</v>
      </c>
      <c r="CR26" t="s">
        <v>539</v>
      </c>
      <c r="CS26" t="s">
        <v>567</v>
      </c>
      <c r="CT26" t="str">
        <f>"-0.00991"</f>
        <v>-0.00991</v>
      </c>
      <c r="CU26" t="s">
        <v>566</v>
      </c>
      <c r="CV26" t="s">
        <v>565</v>
      </c>
      <c r="CW26" t="str">
        <f>"0.00417"</f>
        <v>0.00417</v>
      </c>
      <c r="CX26" t="s">
        <v>557</v>
      </c>
      <c r="CY26" t="s">
        <v>564</v>
      </c>
      <c r="CZ26" t="str">
        <f>"0.00135"</f>
        <v>0.00135</v>
      </c>
      <c r="DA26" t="s">
        <v>497</v>
      </c>
      <c r="DB26" t="s">
        <v>563</v>
      </c>
      <c r="DC26" t="str">
        <f>"0.000382"</f>
        <v>0.000382</v>
      </c>
      <c r="DD26" t="s">
        <v>562</v>
      </c>
      <c r="DE26" t="s">
        <v>561</v>
      </c>
      <c r="DF26" t="str">
        <f>"-0.000956"</f>
        <v>-0.000956</v>
      </c>
      <c r="DG26" t="s">
        <v>560</v>
      </c>
      <c r="DH26" t="s">
        <v>559</v>
      </c>
      <c r="DI26" t="str">
        <f>"-0.00118"</f>
        <v>-0.00118</v>
      </c>
      <c r="DJ26" t="s">
        <v>518</v>
      </c>
      <c r="DK26" t="s">
        <v>558</v>
      </c>
      <c r="DL26" t="str">
        <f>"0.00645"</f>
        <v>0.00645</v>
      </c>
      <c r="DM26" t="s">
        <v>557</v>
      </c>
      <c r="DN26" t="s">
        <v>556</v>
      </c>
      <c r="DO26" t="str">
        <f>"0.00645"</f>
        <v>0.00645</v>
      </c>
      <c r="DP26" t="s">
        <v>555</v>
      </c>
      <c r="DQ26" t="s">
        <v>554</v>
      </c>
      <c r="DR26" t="str">
        <f>"0.00733"</f>
        <v>0.00733</v>
      </c>
      <c r="DS26" t="s">
        <v>501</v>
      </c>
      <c r="DT26" t="s">
        <v>553</v>
      </c>
      <c r="DU26" t="str">
        <f>"0.000980"</f>
        <v>0.000980</v>
      </c>
      <c r="DV26" t="s">
        <v>552</v>
      </c>
      <c r="DW26" t="s">
        <v>551</v>
      </c>
      <c r="DX26" t="str">
        <f>"0.00147"</f>
        <v>0.00147</v>
      </c>
      <c r="DY26" t="s">
        <v>550</v>
      </c>
      <c r="DZ26" t="s">
        <v>549</v>
      </c>
      <c r="EA26" t="str">
        <f>"0.00262"</f>
        <v>0.00262</v>
      </c>
      <c r="EB26" t="s">
        <v>299</v>
      </c>
      <c r="EC26" t="s">
        <v>548</v>
      </c>
      <c r="ED26" t="str">
        <f>"0.00167"</f>
        <v>0.00167</v>
      </c>
      <c r="EE26" t="s">
        <v>547</v>
      </c>
      <c r="EF26" t="s">
        <v>546</v>
      </c>
      <c r="EG26" t="str">
        <f>"0.00120"</f>
        <v>0.00120</v>
      </c>
      <c r="EH26" t="s">
        <v>545</v>
      </c>
      <c r="EI26" t="s">
        <v>544</v>
      </c>
      <c r="EJ26" t="str">
        <f>"-0.00138"</f>
        <v>-0.00138</v>
      </c>
      <c r="EK26" t="s">
        <v>543</v>
      </c>
      <c r="EL26" t="s">
        <v>542</v>
      </c>
      <c r="EM26" t="str">
        <f>"-0.00107"</f>
        <v>-0.00107</v>
      </c>
      <c r="EN26" t="s">
        <v>541</v>
      </c>
      <c r="EO26" t="s">
        <v>540</v>
      </c>
      <c r="EP26" t="str">
        <f>"-0.00551"</f>
        <v>-0.00551</v>
      </c>
      <c r="EQ26" t="s">
        <v>539</v>
      </c>
      <c r="ER26" t="s">
        <v>538</v>
      </c>
      <c r="ES26" t="str">
        <f>"-0.0121"</f>
        <v>-0.0121</v>
      </c>
      <c r="ET26" t="s">
        <v>537</v>
      </c>
      <c r="EU26" t="s">
        <v>536</v>
      </c>
      <c r="EV26" t="str">
        <f>"-0.0129"</f>
        <v>-0.0129</v>
      </c>
      <c r="EW26" t="s">
        <v>535</v>
      </c>
      <c r="EX26" t="s">
        <v>534</v>
      </c>
      <c r="EY26" t="str">
        <f>"-0.0138"</f>
        <v>-0.0138</v>
      </c>
      <c r="EZ26" t="s">
        <v>533</v>
      </c>
      <c r="FA26" t="s">
        <v>532</v>
      </c>
      <c r="FB26" t="str">
        <f>"-0.0163"</f>
        <v>-0.0163</v>
      </c>
      <c r="FC26" t="s">
        <v>531</v>
      </c>
      <c r="FD26" t="s">
        <v>530</v>
      </c>
      <c r="FE26" t="str">
        <f>"-0.0134"</f>
        <v>-0.0134</v>
      </c>
      <c r="FF26" t="s">
        <v>529</v>
      </c>
      <c r="FG26" t="s">
        <v>528</v>
      </c>
      <c r="FH26" t="str">
        <f>"-0.0161"</f>
        <v>-0.0161</v>
      </c>
      <c r="FI26" t="s">
        <v>527</v>
      </c>
      <c r="FJ26" t="s">
        <v>526</v>
      </c>
      <c r="FK26" t="str">
        <f>"-0.0170"</f>
        <v>-0.0170</v>
      </c>
      <c r="FL26" t="s">
        <v>525</v>
      </c>
      <c r="FM26" t="s">
        <v>524</v>
      </c>
      <c r="FN26" t="str">
        <f>"-0.0194"</f>
        <v>-0.0194</v>
      </c>
      <c r="FO26" t="s">
        <v>523</v>
      </c>
      <c r="FP26" t="s">
        <v>522</v>
      </c>
      <c r="FQ26" t="str">
        <f>"0.00602"</f>
        <v>0.00602</v>
      </c>
      <c r="FR26" t="s">
        <v>521</v>
      </c>
      <c r="FS26" t="s">
        <v>520</v>
      </c>
      <c r="FT26" t="str">
        <f>"0.0110"</f>
        <v>0.0110</v>
      </c>
      <c r="FU26" t="s">
        <v>519</v>
      </c>
      <c r="FV26" t="s">
        <v>484</v>
      </c>
      <c r="FW26" t="str">
        <f>"0.0123"</f>
        <v>0.0123</v>
      </c>
      <c r="FX26" t="s">
        <v>518</v>
      </c>
      <c r="FY26" t="s">
        <v>517</v>
      </c>
      <c r="FZ26" t="str">
        <f>"0.0106"</f>
        <v>0.0106</v>
      </c>
      <c r="GA26" t="s">
        <v>516</v>
      </c>
      <c r="GB26" t="s">
        <v>515</v>
      </c>
      <c r="GC26" t="str">
        <f>"0.0206"</f>
        <v>0.0206</v>
      </c>
      <c r="GD26" t="s">
        <v>514</v>
      </c>
      <c r="GE26" t="s">
        <v>513</v>
      </c>
      <c r="GF26" t="str">
        <f>"0.0211"</f>
        <v>0.0211</v>
      </c>
      <c r="GG26" t="s">
        <v>512</v>
      </c>
      <c r="GH26" t="s">
        <v>511</v>
      </c>
      <c r="GI26" t="str">
        <f>"0.0168"</f>
        <v>0.0168</v>
      </c>
      <c r="GJ26" t="s">
        <v>510</v>
      </c>
      <c r="GK26" t="s">
        <v>509</v>
      </c>
      <c r="GL26" t="str">
        <f>"0.0137"</f>
        <v>0.0137</v>
      </c>
      <c r="GM26" t="s">
        <v>508</v>
      </c>
      <c r="GN26" t="s">
        <v>507</v>
      </c>
      <c r="GO26" t="str">
        <f>"0.0142"</f>
        <v>0.0142</v>
      </c>
      <c r="GP26" t="s">
        <v>506</v>
      </c>
      <c r="GQ26" t="s">
        <v>505</v>
      </c>
      <c r="GR26" t="str">
        <f>"0.0134"</f>
        <v>0.0134</v>
      </c>
      <c r="GS26" t="s">
        <v>504</v>
      </c>
      <c r="GT26" t="s">
        <v>503</v>
      </c>
      <c r="GU26" t="str">
        <f>"0.0111"</f>
        <v>0.0111</v>
      </c>
      <c r="GV26" t="s">
        <v>299</v>
      </c>
      <c r="GW26" t="s">
        <v>502</v>
      </c>
      <c r="GX26" t="str">
        <f>"0.0172"</f>
        <v>0.0172</v>
      </c>
      <c r="GY26" t="s">
        <v>501</v>
      </c>
      <c r="GZ26" t="s">
        <v>500</v>
      </c>
      <c r="HA26" t="str">
        <f>"0.0163"</f>
        <v>0.0163</v>
      </c>
      <c r="HB26" t="s">
        <v>499</v>
      </c>
      <c r="HC26" t="s">
        <v>498</v>
      </c>
      <c r="HD26" t="str">
        <f>"0.0163"</f>
        <v>0.0163</v>
      </c>
      <c r="HE26" t="s">
        <v>497</v>
      </c>
      <c r="HF26" t="s">
        <v>496</v>
      </c>
      <c r="HG26" t="str">
        <f>"0.0187"</f>
        <v>0.0187</v>
      </c>
      <c r="HH26" t="s">
        <v>495</v>
      </c>
      <c r="HI26" t="s">
        <v>494</v>
      </c>
      <c r="HJ26" t="str">
        <f>"0.0147"</f>
        <v>0.0147</v>
      </c>
      <c r="HK26" t="s">
        <v>493</v>
      </c>
      <c r="HL26" t="s">
        <v>492</v>
      </c>
      <c r="HM26" t="str">
        <f>"0.0127"</f>
        <v>0.0127</v>
      </c>
      <c r="HN26" t="s">
        <v>491</v>
      </c>
      <c r="HO26" t="s">
        <v>490</v>
      </c>
      <c r="HP26" t="str">
        <f>"0.00910"</f>
        <v>0.00910</v>
      </c>
      <c r="HQ26" t="s">
        <v>489</v>
      </c>
      <c r="HR26" t="s">
        <v>488</v>
      </c>
      <c r="HS26" t="str">
        <f>"0.00747"</f>
        <v>0.00747</v>
      </c>
      <c r="HT26" t="s">
        <v>487</v>
      </c>
      <c r="HU26" t="s">
        <v>486</v>
      </c>
      <c r="HV26" t="str">
        <f>"0.00628"</f>
        <v>0.00628</v>
      </c>
      <c r="HW26" t="s">
        <v>485</v>
      </c>
      <c r="HX26" t="s">
        <v>484</v>
      </c>
      <c r="HY26" t="str">
        <f>"0.00868"</f>
        <v>0.00868</v>
      </c>
      <c r="HZ26" t="s">
        <v>483</v>
      </c>
      <c r="IA26" t="s">
        <v>482</v>
      </c>
      <c r="IB26" t="str">
        <f>"0.0157"</f>
        <v>0.0157</v>
      </c>
      <c r="IC26" t="s">
        <v>481</v>
      </c>
      <c r="ID26" t="s">
        <v>480</v>
      </c>
      <c r="IE26" t="str">
        <f>"0.0157"</f>
        <v>0.0157</v>
      </c>
      <c r="IF26" t="s">
        <v>479</v>
      </c>
      <c r="IG26" t="s">
        <v>478</v>
      </c>
      <c r="IH26" t="str">
        <f>"0.0133"</f>
        <v>0.0133</v>
      </c>
      <c r="II26" t="s">
        <v>477</v>
      </c>
      <c r="IJ26" t="s">
        <v>476</v>
      </c>
      <c r="IK26" t="str">
        <f>"0.0115"</f>
        <v>0.0115</v>
      </c>
      <c r="IL26" t="s">
        <v>475</v>
      </c>
      <c r="IM26" t="s">
        <v>474</v>
      </c>
      <c r="IN26" t="str">
        <f>"0.00730"</f>
        <v>0.00730</v>
      </c>
      <c r="IO26" t="s">
        <v>473</v>
      </c>
      <c r="IP26" t="s">
        <v>472</v>
      </c>
      <c r="IQ26" t="str">
        <f>"0.00644"</f>
        <v>0.00644</v>
      </c>
      <c r="IR26" t="s">
        <v>471</v>
      </c>
      <c r="IS26" t="s">
        <v>470</v>
      </c>
      <c r="IT26" t="str">
        <f>"0.0305"</f>
        <v>0.0305</v>
      </c>
      <c r="IU26" t="s">
        <v>469</v>
      </c>
      <c r="IV26" t="s">
        <v>468</v>
      </c>
      <c r="IW26" t="str">
        <f>"0.0306"</f>
        <v>0.0306</v>
      </c>
      <c r="IX26" t="s">
        <v>467</v>
      </c>
      <c r="IY26" t="s">
        <v>466</v>
      </c>
      <c r="IZ26" t="str">
        <f>"0.0207"</f>
        <v>0.0207</v>
      </c>
      <c r="JA26" t="s">
        <v>465</v>
      </c>
      <c r="JB26" t="s">
        <v>464</v>
      </c>
      <c r="JC26" t="str">
        <f>"0.00948"</f>
        <v>0.00948</v>
      </c>
      <c r="JD26" t="s">
        <v>463</v>
      </c>
      <c r="JE26" t="s">
        <v>462</v>
      </c>
      <c r="JF26" t="str">
        <f>"0.00587"</f>
        <v>0.00587</v>
      </c>
      <c r="JG26" t="s">
        <v>461</v>
      </c>
      <c r="JH26" t="s">
        <v>460</v>
      </c>
      <c r="JI26" t="str">
        <f>"-0.00768"</f>
        <v>-0.00768</v>
      </c>
      <c r="JJ26" t="s">
        <v>459</v>
      </c>
      <c r="JK26" t="s">
        <v>458</v>
      </c>
      <c r="JL26" t="str">
        <f>"-0.00658"</f>
        <v>-0.00658</v>
      </c>
      <c r="JM26" t="s">
        <v>457</v>
      </c>
      <c r="JN26" t="s">
        <v>456</v>
      </c>
      <c r="JO26" t="str">
        <f>"-0.00675"</f>
        <v>-0.00675</v>
      </c>
      <c r="JP26" t="s">
        <v>455</v>
      </c>
      <c r="JQ26" t="s">
        <v>454</v>
      </c>
      <c r="JR26" t="str">
        <f>"-0.0285"</f>
        <v>-0.0285</v>
      </c>
      <c r="JS26" t="s">
        <v>453</v>
      </c>
      <c r="JT26" t="s">
        <v>452</v>
      </c>
      <c r="JU26" t="str">
        <f>"-0.0253"</f>
        <v>-0.0253</v>
      </c>
      <c r="JV26" t="s">
        <v>451</v>
      </c>
      <c r="JW26" t="s">
        <v>450</v>
      </c>
      <c r="JX26" t="str">
        <f>"0.0678*"</f>
        <v>0.0678*</v>
      </c>
      <c r="JY26" t="s">
        <v>449</v>
      </c>
      <c r="JZ26" t="s">
        <v>448</v>
      </c>
      <c r="KA26" t="str">
        <f>"0.0754*"</f>
        <v>0.0754*</v>
      </c>
      <c r="KB26" t="s">
        <v>447</v>
      </c>
      <c r="KC26" t="s">
        <v>446</v>
      </c>
      <c r="KD26" t="str">
        <f>"0.0716*"</f>
        <v>0.0716*</v>
      </c>
      <c r="KE26" t="s">
        <v>445</v>
      </c>
      <c r="KF26" t="s">
        <v>444</v>
      </c>
      <c r="KG26" t="str">
        <f>"0.0725*"</f>
        <v>0.0725*</v>
      </c>
      <c r="KH26" t="s">
        <v>443</v>
      </c>
      <c r="KI26" t="s">
        <v>442</v>
      </c>
      <c r="KJ26" t="str">
        <f>"0.0694*"</f>
        <v>0.0694*</v>
      </c>
      <c r="KK26" t="s">
        <v>441</v>
      </c>
      <c r="KL26" t="s">
        <v>440</v>
      </c>
    </row>
    <row r="27" spans="1:298" x14ac:dyDescent="0.2">
      <c r="A27" t="str">
        <f>"_cons"</f>
        <v>_cons</v>
      </c>
      <c r="B27" t="str">
        <f>"-0.242"</f>
        <v>-0.242</v>
      </c>
      <c r="C27" t="s">
        <v>439</v>
      </c>
      <c r="D27" t="s">
        <v>438</v>
      </c>
      <c r="E27" t="str">
        <f>"-0.229"</f>
        <v>-0.229</v>
      </c>
      <c r="F27" t="s">
        <v>437</v>
      </c>
      <c r="G27" t="s">
        <v>436</v>
      </c>
      <c r="H27" t="str">
        <f>"0.269"</f>
        <v>0.269</v>
      </c>
      <c r="I27" t="s">
        <v>435</v>
      </c>
      <c r="J27" t="s">
        <v>434</v>
      </c>
      <c r="K27" t="str">
        <f>"0.332**"</f>
        <v>0.332**</v>
      </c>
      <c r="L27" t="s">
        <v>433</v>
      </c>
      <c r="M27" t="s">
        <v>432</v>
      </c>
      <c r="N27" t="str">
        <f>"0.533***"</f>
        <v>0.533***</v>
      </c>
      <c r="O27" t="s">
        <v>431</v>
      </c>
      <c r="P27" t="s">
        <v>430</v>
      </c>
      <c r="Q27" t="str">
        <f>"0.375***"</f>
        <v>0.375***</v>
      </c>
      <c r="R27" t="s">
        <v>429</v>
      </c>
      <c r="S27" t="s">
        <v>428</v>
      </c>
      <c r="T27" t="str">
        <f>"0.598***"</f>
        <v>0.598***</v>
      </c>
      <c r="U27" t="s">
        <v>427</v>
      </c>
      <c r="V27" t="s">
        <v>426</v>
      </c>
      <c r="W27" t="str">
        <f>"0.494***"</f>
        <v>0.494***</v>
      </c>
      <c r="X27" t="s">
        <v>425</v>
      </c>
      <c r="Y27" t="s">
        <v>424</v>
      </c>
      <c r="Z27" t="str">
        <f>"0.508***"</f>
        <v>0.508***</v>
      </c>
      <c r="AA27" t="s">
        <v>423</v>
      </c>
      <c r="AB27" t="s">
        <v>422</v>
      </c>
      <c r="AC27" t="str">
        <f>"0.430***"</f>
        <v>0.430***</v>
      </c>
      <c r="AD27" t="s">
        <v>421</v>
      </c>
      <c r="AE27" t="s">
        <v>420</v>
      </c>
      <c r="AF27" t="str">
        <f>"0.567***"</f>
        <v>0.567***</v>
      </c>
      <c r="AG27" t="s">
        <v>419</v>
      </c>
      <c r="AH27" t="s">
        <v>418</v>
      </c>
      <c r="AI27" t="str">
        <f>"0.718***"</f>
        <v>0.718***</v>
      </c>
      <c r="AJ27" t="s">
        <v>417</v>
      </c>
      <c r="AK27" t="s">
        <v>416</v>
      </c>
      <c r="AL27" t="str">
        <f>"0.679***"</f>
        <v>0.679***</v>
      </c>
      <c r="AM27" t="s">
        <v>415</v>
      </c>
      <c r="AN27" t="s">
        <v>414</v>
      </c>
      <c r="AO27" t="str">
        <f>"0.566***"</f>
        <v>0.566***</v>
      </c>
      <c r="AP27" t="s">
        <v>413</v>
      </c>
      <c r="AQ27" t="s">
        <v>412</v>
      </c>
      <c r="AR27" t="str">
        <f>"0.360***"</f>
        <v>0.360***</v>
      </c>
      <c r="AS27" t="s">
        <v>411</v>
      </c>
      <c r="AT27" t="s">
        <v>410</v>
      </c>
      <c r="AU27" t="str">
        <f>"0.293***"</f>
        <v>0.293***</v>
      </c>
      <c r="AV27" t="s">
        <v>409</v>
      </c>
      <c r="AW27" t="s">
        <v>408</v>
      </c>
      <c r="AX27" t="str">
        <f>"0.310***"</f>
        <v>0.310***</v>
      </c>
      <c r="AY27" t="s">
        <v>407</v>
      </c>
      <c r="AZ27" t="s">
        <v>406</v>
      </c>
      <c r="BA27" t="str">
        <f>"0.304***"</f>
        <v>0.304***</v>
      </c>
      <c r="BB27" t="s">
        <v>405</v>
      </c>
      <c r="BC27" t="s">
        <v>404</v>
      </c>
      <c r="BD27" t="str">
        <f>"0.252***"</f>
        <v>0.252***</v>
      </c>
      <c r="BE27" t="s">
        <v>403</v>
      </c>
      <c r="BF27" t="s">
        <v>402</v>
      </c>
      <c r="BG27" t="str">
        <f>"0.231***"</f>
        <v>0.231***</v>
      </c>
      <c r="BH27" t="s">
        <v>401</v>
      </c>
      <c r="BI27" t="s">
        <v>400</v>
      </c>
      <c r="BJ27" t="str">
        <f>"0.229***"</f>
        <v>0.229***</v>
      </c>
      <c r="BK27" t="s">
        <v>399</v>
      </c>
      <c r="BL27" t="s">
        <v>398</v>
      </c>
      <c r="BM27" t="str">
        <f>"0.258***"</f>
        <v>0.258***</v>
      </c>
      <c r="BN27" t="s">
        <v>397</v>
      </c>
      <c r="BO27" t="s">
        <v>396</v>
      </c>
      <c r="BP27" t="str">
        <f>"0.275***"</f>
        <v>0.275***</v>
      </c>
      <c r="BQ27" t="s">
        <v>395</v>
      </c>
      <c r="BR27" t="s">
        <v>394</v>
      </c>
      <c r="BS27" t="str">
        <f>"0.273***"</f>
        <v>0.273***</v>
      </c>
      <c r="BT27" t="s">
        <v>393</v>
      </c>
      <c r="BU27" t="s">
        <v>392</v>
      </c>
      <c r="BV27" t="str">
        <f>"0.242***"</f>
        <v>0.242***</v>
      </c>
      <c r="BW27" t="s">
        <v>391</v>
      </c>
      <c r="BX27" t="s">
        <v>390</v>
      </c>
      <c r="BY27" t="str">
        <f>"0.202***"</f>
        <v>0.202***</v>
      </c>
      <c r="BZ27" t="s">
        <v>389</v>
      </c>
      <c r="CA27" t="s">
        <v>388</v>
      </c>
      <c r="CB27" t="str">
        <f>"0.169***"</f>
        <v>0.169***</v>
      </c>
      <c r="CC27" t="s">
        <v>387</v>
      </c>
      <c r="CD27" t="s">
        <v>386</v>
      </c>
      <c r="CE27" t="str">
        <f>"0.153***"</f>
        <v>0.153***</v>
      </c>
      <c r="CF27" t="s">
        <v>385</v>
      </c>
      <c r="CG27" t="s">
        <v>384</v>
      </c>
      <c r="CH27" t="str">
        <f>"0.134***"</f>
        <v>0.134***</v>
      </c>
      <c r="CI27" t="s">
        <v>383</v>
      </c>
      <c r="CJ27" t="s">
        <v>382</v>
      </c>
      <c r="CK27" t="str">
        <f>"0.117***"</f>
        <v>0.117***</v>
      </c>
      <c r="CL27" t="s">
        <v>381</v>
      </c>
      <c r="CM27" t="s">
        <v>351</v>
      </c>
      <c r="CN27" t="str">
        <f>"0.121***"</f>
        <v>0.121***</v>
      </c>
      <c r="CO27" t="s">
        <v>380</v>
      </c>
      <c r="CP27" t="s">
        <v>379</v>
      </c>
      <c r="CQ27" t="str">
        <f>"0.112***"</f>
        <v>0.112***</v>
      </c>
      <c r="CR27" t="s">
        <v>378</v>
      </c>
      <c r="CS27" t="s">
        <v>377</v>
      </c>
      <c r="CT27" t="str">
        <f>"0.0876***"</f>
        <v>0.0876***</v>
      </c>
      <c r="CU27" t="s">
        <v>376</v>
      </c>
      <c r="CV27" t="s">
        <v>375</v>
      </c>
      <c r="CW27" t="str">
        <f>"0.0605**"</f>
        <v>0.0605**</v>
      </c>
      <c r="CX27" t="s">
        <v>374</v>
      </c>
      <c r="CY27" t="s">
        <v>373</v>
      </c>
      <c r="CZ27" t="str">
        <f>"0.0509*"</f>
        <v>0.0509*</v>
      </c>
      <c r="DA27" t="s">
        <v>372</v>
      </c>
      <c r="DB27" t="s">
        <v>371</v>
      </c>
      <c r="DC27" t="str">
        <f>"0.0486*"</f>
        <v>0.0486*</v>
      </c>
      <c r="DD27" t="s">
        <v>370</v>
      </c>
      <c r="DE27" t="s">
        <v>369</v>
      </c>
      <c r="DF27" t="str">
        <f>"0.0607**"</f>
        <v>0.0607**</v>
      </c>
      <c r="DG27" t="s">
        <v>368</v>
      </c>
      <c r="DH27" t="s">
        <v>367</v>
      </c>
      <c r="DI27" t="str">
        <f>"0.0744**"</f>
        <v>0.0744**</v>
      </c>
      <c r="DJ27" t="s">
        <v>366</v>
      </c>
      <c r="DK27" t="s">
        <v>365</v>
      </c>
      <c r="DL27" t="str">
        <f>"0.124***"</f>
        <v>0.124***</v>
      </c>
      <c r="DM27" t="s">
        <v>364</v>
      </c>
      <c r="DN27" t="s">
        <v>363</v>
      </c>
      <c r="DO27" t="str">
        <f>"0.177***"</f>
        <v>0.177***</v>
      </c>
      <c r="DP27" t="s">
        <v>362</v>
      </c>
      <c r="DQ27" t="s">
        <v>361</v>
      </c>
      <c r="DR27" t="str">
        <f>"0.178***"</f>
        <v>0.178***</v>
      </c>
      <c r="DS27" t="s">
        <v>360</v>
      </c>
      <c r="DT27" t="s">
        <v>359</v>
      </c>
      <c r="DU27" t="str">
        <f>"0.186***"</f>
        <v>0.186***</v>
      </c>
      <c r="DV27" t="s">
        <v>358</v>
      </c>
      <c r="DW27" t="s">
        <v>357</v>
      </c>
      <c r="DX27" t="str">
        <f>"0.167***"</f>
        <v>0.167***</v>
      </c>
      <c r="DY27" t="s">
        <v>356</v>
      </c>
      <c r="DZ27" t="s">
        <v>355</v>
      </c>
      <c r="EA27" t="str">
        <f>"0.159***"</f>
        <v>0.159***</v>
      </c>
      <c r="EB27" t="s">
        <v>354</v>
      </c>
      <c r="EC27" t="s">
        <v>353</v>
      </c>
      <c r="ED27" t="str">
        <f>"0.108***"</f>
        <v>0.108***</v>
      </c>
      <c r="EE27" t="s">
        <v>352</v>
      </c>
      <c r="EF27" t="s">
        <v>351</v>
      </c>
      <c r="EG27" t="str">
        <f>"0.0657**"</f>
        <v>0.0657**</v>
      </c>
      <c r="EH27" t="s">
        <v>257</v>
      </c>
      <c r="EI27" t="s">
        <v>350</v>
      </c>
      <c r="EJ27" t="str">
        <f>"0.0374"</f>
        <v>0.0374</v>
      </c>
      <c r="EK27" t="s">
        <v>349</v>
      </c>
      <c r="EL27" t="s">
        <v>348</v>
      </c>
      <c r="EM27" t="str">
        <f>"0.0472"</f>
        <v>0.0472</v>
      </c>
      <c r="EN27" t="s">
        <v>347</v>
      </c>
      <c r="EO27" t="s">
        <v>346</v>
      </c>
      <c r="EP27" t="str">
        <f>"0.0449"</f>
        <v>0.0449</v>
      </c>
      <c r="EQ27" t="s">
        <v>345</v>
      </c>
      <c r="ER27" t="s">
        <v>344</v>
      </c>
      <c r="ES27" t="str">
        <f>"0.0519*"</f>
        <v>0.0519*</v>
      </c>
      <c r="ET27" t="s">
        <v>343</v>
      </c>
      <c r="EU27" t="s">
        <v>342</v>
      </c>
      <c r="EV27" t="str">
        <f>"0.101***"</f>
        <v>0.101***</v>
      </c>
      <c r="EW27" t="s">
        <v>341</v>
      </c>
      <c r="EX27" t="s">
        <v>340</v>
      </c>
      <c r="EY27" t="str">
        <f>"0.166***"</f>
        <v>0.166***</v>
      </c>
      <c r="EZ27" t="s">
        <v>339</v>
      </c>
      <c r="FA27" t="s">
        <v>338</v>
      </c>
      <c r="FB27" t="str">
        <f>"0.198***"</f>
        <v>0.198***</v>
      </c>
      <c r="FC27" t="s">
        <v>337</v>
      </c>
      <c r="FD27" t="s">
        <v>336</v>
      </c>
      <c r="FE27" t="str">
        <f>"0.211***"</f>
        <v>0.211***</v>
      </c>
      <c r="FF27" t="s">
        <v>335</v>
      </c>
      <c r="FG27" t="s">
        <v>334</v>
      </c>
      <c r="FH27" t="str">
        <f>"0.206***"</f>
        <v>0.206***</v>
      </c>
      <c r="FI27" t="s">
        <v>333</v>
      </c>
      <c r="FJ27" t="s">
        <v>332</v>
      </c>
      <c r="FK27" t="str">
        <f>"0.218***"</f>
        <v>0.218***</v>
      </c>
      <c r="FL27" t="s">
        <v>331</v>
      </c>
      <c r="FM27" t="s">
        <v>330</v>
      </c>
      <c r="FN27" t="str">
        <f>"0.188***"</f>
        <v>0.188***</v>
      </c>
      <c r="FO27" t="s">
        <v>329</v>
      </c>
      <c r="FP27" t="s">
        <v>328</v>
      </c>
      <c r="FQ27" t="str">
        <f>"0.119***"</f>
        <v>0.119***</v>
      </c>
      <c r="FR27" t="s">
        <v>327</v>
      </c>
      <c r="FS27" t="s">
        <v>326</v>
      </c>
      <c r="FT27" t="str">
        <f>"0.0926***"</f>
        <v>0.0926***</v>
      </c>
      <c r="FU27" t="s">
        <v>325</v>
      </c>
      <c r="FV27" t="s">
        <v>324</v>
      </c>
      <c r="FW27" t="str">
        <f>"0.0788**"</f>
        <v>0.0788**</v>
      </c>
      <c r="FX27" t="s">
        <v>323</v>
      </c>
      <c r="FY27" t="s">
        <v>322</v>
      </c>
      <c r="FZ27" t="str">
        <f>"0.0776**"</f>
        <v>0.0776**</v>
      </c>
      <c r="GA27" t="s">
        <v>321</v>
      </c>
      <c r="GB27" t="s">
        <v>320</v>
      </c>
      <c r="GC27" t="str">
        <f>"0.0795**"</f>
        <v>0.0795**</v>
      </c>
      <c r="GD27" t="s">
        <v>319</v>
      </c>
      <c r="GE27" t="s">
        <v>318</v>
      </c>
      <c r="GF27" t="str">
        <f>"0.105***"</f>
        <v>0.105***</v>
      </c>
      <c r="GG27" t="s">
        <v>317</v>
      </c>
      <c r="GH27" t="s">
        <v>316</v>
      </c>
      <c r="GI27" t="str">
        <f>"0.164***"</f>
        <v>0.164***</v>
      </c>
      <c r="GJ27" t="s">
        <v>315</v>
      </c>
      <c r="GK27" t="s">
        <v>314</v>
      </c>
      <c r="GL27" t="str">
        <f>"0.197***"</f>
        <v>0.197***</v>
      </c>
      <c r="GM27" t="s">
        <v>313</v>
      </c>
      <c r="GN27" t="s">
        <v>312</v>
      </c>
      <c r="GO27" t="str">
        <f>"0.182***"</f>
        <v>0.182***</v>
      </c>
      <c r="GP27" t="s">
        <v>311</v>
      </c>
      <c r="GQ27" t="s">
        <v>310</v>
      </c>
      <c r="GR27" t="str">
        <f>"0.147***"</f>
        <v>0.147***</v>
      </c>
      <c r="GS27" t="s">
        <v>309</v>
      </c>
      <c r="GT27" t="s">
        <v>308</v>
      </c>
      <c r="GU27" t="str">
        <f>"0.129***"</f>
        <v>0.129***</v>
      </c>
      <c r="GV27" t="s">
        <v>307</v>
      </c>
      <c r="GW27" t="s">
        <v>306</v>
      </c>
      <c r="GX27" t="str">
        <f>"0.0973***"</f>
        <v>0.0973***</v>
      </c>
      <c r="GY27" t="s">
        <v>305</v>
      </c>
      <c r="GZ27" t="s">
        <v>304</v>
      </c>
      <c r="HA27" t="str">
        <f>"0.0493"</f>
        <v>0.0493</v>
      </c>
      <c r="HB27" t="s">
        <v>303</v>
      </c>
      <c r="HC27" t="s">
        <v>302</v>
      </c>
      <c r="HD27" t="str">
        <f>"0.0499"</f>
        <v>0.0499</v>
      </c>
      <c r="HE27" t="s">
        <v>301</v>
      </c>
      <c r="HF27" t="s">
        <v>300</v>
      </c>
      <c r="HG27" t="str">
        <f>"0.0403"</f>
        <v>0.0403</v>
      </c>
      <c r="HH27" t="s">
        <v>299</v>
      </c>
      <c r="HI27" t="s">
        <v>298</v>
      </c>
      <c r="HJ27" t="str">
        <f>"0.0739*"</f>
        <v>0.0739*</v>
      </c>
      <c r="HK27" t="s">
        <v>297</v>
      </c>
      <c r="HL27" t="s">
        <v>296</v>
      </c>
      <c r="HM27" t="str">
        <f>"0.110**"</f>
        <v>0.110**</v>
      </c>
      <c r="HN27" t="s">
        <v>295</v>
      </c>
      <c r="HO27" t="s">
        <v>294</v>
      </c>
      <c r="HP27" t="str">
        <f>"0.213***"</f>
        <v>0.213***</v>
      </c>
      <c r="HQ27" t="s">
        <v>293</v>
      </c>
      <c r="HR27" t="s">
        <v>292</v>
      </c>
      <c r="HS27" t="str">
        <f>"0.247***"</f>
        <v>0.247***</v>
      </c>
      <c r="HT27" t="s">
        <v>291</v>
      </c>
      <c r="HU27" t="s">
        <v>290</v>
      </c>
      <c r="HV27" t="str">
        <f>"0.222***"</f>
        <v>0.222***</v>
      </c>
      <c r="HW27" t="s">
        <v>289</v>
      </c>
      <c r="HX27" t="s">
        <v>288</v>
      </c>
      <c r="HY27" t="str">
        <f>"0.237***"</f>
        <v>0.237***</v>
      </c>
      <c r="HZ27" t="s">
        <v>287</v>
      </c>
      <c r="IA27" t="s">
        <v>286</v>
      </c>
      <c r="IB27" t="str">
        <f>"0.213***"</f>
        <v>0.213***</v>
      </c>
      <c r="IC27" t="s">
        <v>285</v>
      </c>
      <c r="ID27" t="s">
        <v>284</v>
      </c>
      <c r="IE27" t="str">
        <f>"0.0398"</f>
        <v>0.0398</v>
      </c>
      <c r="IF27" t="s">
        <v>283</v>
      </c>
      <c r="IG27" t="s">
        <v>282</v>
      </c>
      <c r="IH27" t="str">
        <f>"-0.00553"</f>
        <v>-0.00553</v>
      </c>
      <c r="II27" t="s">
        <v>281</v>
      </c>
      <c r="IJ27" t="s">
        <v>280</v>
      </c>
      <c r="IK27" t="str">
        <f>"0.00812"</f>
        <v>0.00812</v>
      </c>
      <c r="IL27" t="s">
        <v>279</v>
      </c>
      <c r="IM27" t="s">
        <v>278</v>
      </c>
      <c r="IN27" t="str">
        <f>"-0.0531"</f>
        <v>-0.0531</v>
      </c>
      <c r="IO27" t="s">
        <v>277</v>
      </c>
      <c r="IP27" t="s">
        <v>276</v>
      </c>
      <c r="IQ27" t="str">
        <f>"-0.0142"</f>
        <v>-0.0142</v>
      </c>
      <c r="IR27" t="s">
        <v>275</v>
      </c>
      <c r="IS27" t="s">
        <v>274</v>
      </c>
      <c r="IT27" t="str">
        <f>"-0.0145"</f>
        <v>-0.0145</v>
      </c>
      <c r="IU27" t="s">
        <v>273</v>
      </c>
      <c r="IV27" t="s">
        <v>272</v>
      </c>
      <c r="IW27" t="str">
        <f>"0.295***"</f>
        <v>0.295***</v>
      </c>
      <c r="IX27" t="s">
        <v>271</v>
      </c>
      <c r="IY27" t="s">
        <v>270</v>
      </c>
      <c r="IZ27" t="str">
        <f>"0.242***"</f>
        <v>0.242***</v>
      </c>
      <c r="JA27" t="s">
        <v>269</v>
      </c>
      <c r="JB27" t="s">
        <v>268</v>
      </c>
      <c r="JC27" t="str">
        <f>"0.140**"</f>
        <v>0.140**</v>
      </c>
      <c r="JD27" t="s">
        <v>267</v>
      </c>
      <c r="JE27" t="s">
        <v>266</v>
      </c>
      <c r="JF27" t="str">
        <f>"0.0222"</f>
        <v>0.0222</v>
      </c>
      <c r="JG27" t="s">
        <v>265</v>
      </c>
      <c r="JH27" t="s">
        <v>264</v>
      </c>
      <c r="JI27" t="str">
        <f>"-0.000331"</f>
        <v>-0.000331</v>
      </c>
      <c r="JJ27" t="s">
        <v>263</v>
      </c>
      <c r="JK27" t="s">
        <v>262</v>
      </c>
      <c r="JL27" t="str">
        <f>"0.181**"</f>
        <v>0.181**</v>
      </c>
      <c r="JM27" t="s">
        <v>261</v>
      </c>
      <c r="JN27" t="s">
        <v>260</v>
      </c>
      <c r="JO27" t="str">
        <f>"0.303***"</f>
        <v>0.303***</v>
      </c>
      <c r="JP27" t="s">
        <v>259</v>
      </c>
      <c r="JQ27" t="s">
        <v>258</v>
      </c>
      <c r="JR27" t="str">
        <f>"0.200*"</f>
        <v>0.200*</v>
      </c>
      <c r="JS27" t="s">
        <v>257</v>
      </c>
      <c r="JT27" t="s">
        <v>256</v>
      </c>
      <c r="JU27" t="str">
        <f>"0.213**"</f>
        <v>0.213**</v>
      </c>
      <c r="JV27" t="s">
        <v>255</v>
      </c>
      <c r="JW27" t="s">
        <v>254</v>
      </c>
      <c r="JX27" t="str">
        <f>"0.0556"</f>
        <v>0.0556</v>
      </c>
      <c r="JY27" t="s">
        <v>253</v>
      </c>
      <c r="JZ27" t="s">
        <v>252</v>
      </c>
      <c r="KA27" t="str">
        <f>"-0.160**"</f>
        <v>-0.160**</v>
      </c>
      <c r="KB27" t="s">
        <v>251</v>
      </c>
      <c r="KC27" t="s">
        <v>250</v>
      </c>
      <c r="KD27" t="str">
        <f>"0.0896"</f>
        <v>0.0896</v>
      </c>
      <c r="KE27" t="s">
        <v>249</v>
      </c>
      <c r="KF27" t="s">
        <v>248</v>
      </c>
      <c r="KG27" t="str">
        <f>"-0.0441"</f>
        <v>-0.0441</v>
      </c>
      <c r="KH27" t="s">
        <v>247</v>
      </c>
      <c r="KI27" t="s">
        <v>246</v>
      </c>
      <c r="KJ27" t="str">
        <f>"-0.110"</f>
        <v>-0.110</v>
      </c>
      <c r="KK27" t="s">
        <v>245</v>
      </c>
      <c r="KL27" t="s">
        <v>244</v>
      </c>
    </row>
    <row r="28" spans="1:298" x14ac:dyDescent="0.2">
      <c r="A28" t="str">
        <f>"N"</f>
        <v>N</v>
      </c>
      <c r="B28" t="str">
        <f>""</f>
        <v/>
      </c>
      <c r="C28" t="str">
        <f>""</f>
        <v/>
      </c>
      <c r="D28" t="str">
        <f>""</f>
        <v/>
      </c>
      <c r="E28" t="str">
        <f>""</f>
        <v/>
      </c>
      <c r="F28" t="str">
        <f>""</f>
        <v/>
      </c>
      <c r="G28" t="str">
        <f>""</f>
        <v/>
      </c>
      <c r="H28" t="str">
        <f>""</f>
        <v/>
      </c>
      <c r="I28" t="str">
        <f>""</f>
        <v/>
      </c>
      <c r="J28" t="str">
        <f>""</f>
        <v/>
      </c>
      <c r="K28" t="str">
        <f>""</f>
        <v/>
      </c>
      <c r="L28" t="str">
        <f>""</f>
        <v/>
      </c>
      <c r="M28" t="str">
        <f>""</f>
        <v/>
      </c>
      <c r="N28" t="str">
        <f>""</f>
        <v/>
      </c>
      <c r="O28" t="str">
        <f>""</f>
        <v/>
      </c>
      <c r="P28" t="str">
        <f>""</f>
        <v/>
      </c>
      <c r="Q28" t="str">
        <f>""</f>
        <v/>
      </c>
      <c r="R28" t="str">
        <f>""</f>
        <v/>
      </c>
      <c r="S28" t="str">
        <f>""</f>
        <v/>
      </c>
      <c r="T28" t="str">
        <f>""</f>
        <v/>
      </c>
      <c r="U28" t="str">
        <f>""</f>
        <v/>
      </c>
      <c r="V28" t="str">
        <f>""</f>
        <v/>
      </c>
      <c r="W28" t="str">
        <f>""</f>
        <v/>
      </c>
      <c r="X28" t="str">
        <f>""</f>
        <v/>
      </c>
      <c r="Y28" t="str">
        <f>""</f>
        <v/>
      </c>
      <c r="Z28" t="str">
        <f>""</f>
        <v/>
      </c>
      <c r="AA28" t="str">
        <f>""</f>
        <v/>
      </c>
      <c r="AB28" t="str">
        <f>""</f>
        <v/>
      </c>
      <c r="AC28" t="str">
        <f>""</f>
        <v/>
      </c>
      <c r="AD28" t="str">
        <f>""</f>
        <v/>
      </c>
      <c r="AE28" t="str">
        <f>""</f>
        <v/>
      </c>
      <c r="AF28" t="str">
        <f>""</f>
        <v/>
      </c>
      <c r="AG28" t="str">
        <f>""</f>
        <v/>
      </c>
      <c r="AH28" t="str">
        <f>""</f>
        <v/>
      </c>
      <c r="AI28" t="str">
        <f>""</f>
        <v/>
      </c>
      <c r="AJ28" t="str">
        <f>""</f>
        <v/>
      </c>
      <c r="AK28" t="str">
        <f>""</f>
        <v/>
      </c>
      <c r="AL28" t="str">
        <f>""</f>
        <v/>
      </c>
      <c r="AM28" t="str">
        <f>""</f>
        <v/>
      </c>
      <c r="AN28" t="str">
        <f>""</f>
        <v/>
      </c>
      <c r="AO28" t="str">
        <f>""</f>
        <v/>
      </c>
      <c r="AP28" t="str">
        <f>""</f>
        <v/>
      </c>
      <c r="AQ28" t="str">
        <f>""</f>
        <v/>
      </c>
      <c r="AR28" t="str">
        <f>""</f>
        <v/>
      </c>
      <c r="AS28" t="str">
        <f>""</f>
        <v/>
      </c>
      <c r="AT28" t="str">
        <f>""</f>
        <v/>
      </c>
      <c r="AU28" t="str">
        <f>""</f>
        <v/>
      </c>
      <c r="AV28" t="str">
        <f>""</f>
        <v/>
      </c>
      <c r="AW28" t="str">
        <f>""</f>
        <v/>
      </c>
      <c r="AX28" t="str">
        <f>""</f>
        <v/>
      </c>
      <c r="AY28" t="str">
        <f>""</f>
        <v/>
      </c>
      <c r="AZ28" t="str">
        <f>""</f>
        <v/>
      </c>
      <c r="BA28" t="str">
        <f>""</f>
        <v/>
      </c>
      <c r="BB28" t="str">
        <f>""</f>
        <v/>
      </c>
      <c r="BC28" t="str">
        <f>""</f>
        <v/>
      </c>
      <c r="BD28" t="str">
        <f>""</f>
        <v/>
      </c>
      <c r="BE28" t="str">
        <f>""</f>
        <v/>
      </c>
      <c r="BF28" t="str">
        <f>""</f>
        <v/>
      </c>
      <c r="BG28" t="str">
        <f>""</f>
        <v/>
      </c>
      <c r="BH28" t="str">
        <f>""</f>
        <v/>
      </c>
      <c r="BI28" t="str">
        <f>""</f>
        <v/>
      </c>
      <c r="BJ28" t="str">
        <f>""</f>
        <v/>
      </c>
      <c r="BK28" t="str">
        <f>""</f>
        <v/>
      </c>
      <c r="BL28" t="str">
        <f>""</f>
        <v/>
      </c>
      <c r="BM28" t="str">
        <f>""</f>
        <v/>
      </c>
      <c r="BN28" t="str">
        <f>""</f>
        <v/>
      </c>
      <c r="BO28" t="str">
        <f>""</f>
        <v/>
      </c>
      <c r="BP28" t="str">
        <f>""</f>
        <v/>
      </c>
      <c r="BQ28" t="str">
        <f>""</f>
        <v/>
      </c>
      <c r="BR28" t="str">
        <f>""</f>
        <v/>
      </c>
      <c r="BS28" t="str">
        <f>""</f>
        <v/>
      </c>
      <c r="BT28" t="str">
        <f>""</f>
        <v/>
      </c>
      <c r="BU28" t="str">
        <f>""</f>
        <v/>
      </c>
      <c r="BV28" t="str">
        <f>""</f>
        <v/>
      </c>
      <c r="BW28" t="str">
        <f>""</f>
        <v/>
      </c>
      <c r="BX28" t="str">
        <f>""</f>
        <v/>
      </c>
      <c r="BY28" t="str">
        <f>""</f>
        <v/>
      </c>
      <c r="BZ28" t="str">
        <f>""</f>
        <v/>
      </c>
      <c r="CA28" t="str">
        <f>""</f>
        <v/>
      </c>
      <c r="CB28" t="str">
        <f>""</f>
        <v/>
      </c>
      <c r="CC28" t="str">
        <f>""</f>
        <v/>
      </c>
      <c r="CD28" t="str">
        <f>""</f>
        <v/>
      </c>
      <c r="CE28" t="str">
        <f>""</f>
        <v/>
      </c>
      <c r="CF28" t="str">
        <f>""</f>
        <v/>
      </c>
      <c r="CG28" t="str">
        <f>""</f>
        <v/>
      </c>
      <c r="CH28" t="str">
        <f>""</f>
        <v/>
      </c>
      <c r="CI28" t="str">
        <f>""</f>
        <v/>
      </c>
      <c r="CJ28" t="str">
        <f>""</f>
        <v/>
      </c>
      <c r="CK28" t="str">
        <f>""</f>
        <v/>
      </c>
      <c r="CL28" t="str">
        <f>""</f>
        <v/>
      </c>
      <c r="CM28" t="str">
        <f>""</f>
        <v/>
      </c>
      <c r="CN28" t="str">
        <f>""</f>
        <v/>
      </c>
      <c r="CO28" t="str">
        <f>""</f>
        <v/>
      </c>
      <c r="CP28" t="str">
        <f>""</f>
        <v/>
      </c>
      <c r="CQ28" t="str">
        <f>""</f>
        <v/>
      </c>
      <c r="CR28" t="str">
        <f>""</f>
        <v/>
      </c>
      <c r="CS28" t="str">
        <f>""</f>
        <v/>
      </c>
      <c r="CT28" t="str">
        <f>""</f>
        <v/>
      </c>
      <c r="CU28" t="str">
        <f>""</f>
        <v/>
      </c>
      <c r="CV28" t="str">
        <f>""</f>
        <v/>
      </c>
      <c r="CW28" t="str">
        <f>""</f>
        <v/>
      </c>
      <c r="CX28" t="str">
        <f>""</f>
        <v/>
      </c>
      <c r="CY28" t="str">
        <f>""</f>
        <v/>
      </c>
      <c r="CZ28" t="str">
        <f>""</f>
        <v/>
      </c>
      <c r="DA28" t="str">
        <f>""</f>
        <v/>
      </c>
      <c r="DB28" t="str">
        <f>""</f>
        <v/>
      </c>
      <c r="DC28" t="str">
        <f>""</f>
        <v/>
      </c>
      <c r="DD28" t="str">
        <f>""</f>
        <v/>
      </c>
      <c r="DE28" t="str">
        <f>""</f>
        <v/>
      </c>
      <c r="DF28" t="str">
        <f>""</f>
        <v/>
      </c>
      <c r="DG28" t="str">
        <f>""</f>
        <v/>
      </c>
      <c r="DH28" t="str">
        <f>""</f>
        <v/>
      </c>
      <c r="DI28" t="str">
        <f>""</f>
        <v/>
      </c>
      <c r="DJ28" t="str">
        <f>""</f>
        <v/>
      </c>
      <c r="DK28" t="str">
        <f>""</f>
        <v/>
      </c>
      <c r="DL28" t="str">
        <f>""</f>
        <v/>
      </c>
      <c r="DM28" t="str">
        <f>""</f>
        <v/>
      </c>
      <c r="DN28" t="str">
        <f>""</f>
        <v/>
      </c>
      <c r="DO28" t="str">
        <f>""</f>
        <v/>
      </c>
      <c r="DP28" t="str">
        <f>""</f>
        <v/>
      </c>
      <c r="DQ28" t="str">
        <f>""</f>
        <v/>
      </c>
      <c r="DR28" t="str">
        <f>""</f>
        <v/>
      </c>
      <c r="DS28" t="str">
        <f>""</f>
        <v/>
      </c>
      <c r="DT28" t="str">
        <f>""</f>
        <v/>
      </c>
      <c r="DU28" t="str">
        <f>""</f>
        <v/>
      </c>
      <c r="DV28" t="str">
        <f>""</f>
        <v/>
      </c>
      <c r="DW28" t="str">
        <f>""</f>
        <v/>
      </c>
      <c r="DX28" t="str">
        <f>""</f>
        <v/>
      </c>
      <c r="DY28" t="str">
        <f>""</f>
        <v/>
      </c>
      <c r="DZ28" t="str">
        <f>""</f>
        <v/>
      </c>
      <c r="EA28" t="str">
        <f>""</f>
        <v/>
      </c>
      <c r="EB28" t="str">
        <f>""</f>
        <v/>
      </c>
      <c r="EC28" t="str">
        <f>""</f>
        <v/>
      </c>
      <c r="ED28" t="str">
        <f>""</f>
        <v/>
      </c>
      <c r="EE28" t="str">
        <f>""</f>
        <v/>
      </c>
      <c r="EF28" t="str">
        <f>""</f>
        <v/>
      </c>
      <c r="EG28" t="str">
        <f>""</f>
        <v/>
      </c>
      <c r="EH28" t="str">
        <f>""</f>
        <v/>
      </c>
      <c r="EI28" t="str">
        <f>""</f>
        <v/>
      </c>
      <c r="EJ28" t="str">
        <f>""</f>
        <v/>
      </c>
      <c r="EK28" t="str">
        <f>""</f>
        <v/>
      </c>
      <c r="EL28" t="str">
        <f>""</f>
        <v/>
      </c>
      <c r="EM28" t="str">
        <f>""</f>
        <v/>
      </c>
      <c r="EN28" t="str">
        <f>""</f>
        <v/>
      </c>
      <c r="EO28" t="str">
        <f>""</f>
        <v/>
      </c>
      <c r="EP28" t="str">
        <f>""</f>
        <v/>
      </c>
      <c r="EQ28" t="str">
        <f>""</f>
        <v/>
      </c>
      <c r="ER28" t="str">
        <f>""</f>
        <v/>
      </c>
      <c r="ES28" t="str">
        <f>""</f>
        <v/>
      </c>
      <c r="ET28" t="str">
        <f>""</f>
        <v/>
      </c>
      <c r="EU28" t="str">
        <f>""</f>
        <v/>
      </c>
      <c r="EV28" t="str">
        <f>""</f>
        <v/>
      </c>
      <c r="EW28" t="str">
        <f>""</f>
        <v/>
      </c>
      <c r="EX28" t="str">
        <f>""</f>
        <v/>
      </c>
      <c r="EY28" t="str">
        <f>""</f>
        <v/>
      </c>
      <c r="EZ28" t="str">
        <f>""</f>
        <v/>
      </c>
      <c r="FA28" t="str">
        <f>""</f>
        <v/>
      </c>
      <c r="FB28" t="str">
        <f>""</f>
        <v/>
      </c>
      <c r="FC28" t="str">
        <f>""</f>
        <v/>
      </c>
      <c r="FD28" t="str">
        <f>""</f>
        <v/>
      </c>
      <c r="FE28" t="str">
        <f>""</f>
        <v/>
      </c>
      <c r="FF28" t="str">
        <f>""</f>
        <v/>
      </c>
      <c r="FG28" t="str">
        <f>""</f>
        <v/>
      </c>
      <c r="FH28" t="str">
        <f>""</f>
        <v/>
      </c>
      <c r="FI28" t="str">
        <f>""</f>
        <v/>
      </c>
      <c r="FJ28" t="str">
        <f>""</f>
        <v/>
      </c>
      <c r="FK28" t="str">
        <f>""</f>
        <v/>
      </c>
      <c r="FL28" t="str">
        <f>""</f>
        <v/>
      </c>
      <c r="FM28" t="str">
        <f>""</f>
        <v/>
      </c>
      <c r="FN28" t="str">
        <f>""</f>
        <v/>
      </c>
      <c r="FO28" t="str">
        <f>""</f>
        <v/>
      </c>
      <c r="FP28" t="str">
        <f>""</f>
        <v/>
      </c>
      <c r="FQ28" t="str">
        <f>""</f>
        <v/>
      </c>
      <c r="FR28" t="str">
        <f>""</f>
        <v/>
      </c>
      <c r="FS28" t="str">
        <f>""</f>
        <v/>
      </c>
      <c r="FT28" t="str">
        <f>""</f>
        <v/>
      </c>
      <c r="FU28" t="str">
        <f>""</f>
        <v/>
      </c>
      <c r="FV28" t="str">
        <f>""</f>
        <v/>
      </c>
      <c r="FW28" t="str">
        <f>""</f>
        <v/>
      </c>
      <c r="FX28" t="str">
        <f>""</f>
        <v/>
      </c>
      <c r="FY28" t="str">
        <f>""</f>
        <v/>
      </c>
      <c r="FZ28" t="str">
        <f>""</f>
        <v/>
      </c>
      <c r="GA28" t="str">
        <f>""</f>
        <v/>
      </c>
      <c r="GB28" t="str">
        <f>""</f>
        <v/>
      </c>
      <c r="GC28" t="str">
        <f>""</f>
        <v/>
      </c>
      <c r="GD28" t="str">
        <f>""</f>
        <v/>
      </c>
      <c r="GE28" t="str">
        <f>""</f>
        <v/>
      </c>
      <c r="GF28" t="str">
        <f>""</f>
        <v/>
      </c>
      <c r="GG28" t="str">
        <f>""</f>
        <v/>
      </c>
      <c r="GH28" t="str">
        <f>""</f>
        <v/>
      </c>
      <c r="GI28" t="str">
        <f>""</f>
        <v/>
      </c>
      <c r="GJ28" t="str">
        <f>""</f>
        <v/>
      </c>
      <c r="GK28" t="str">
        <f>""</f>
        <v/>
      </c>
      <c r="GL28" t="str">
        <f>""</f>
        <v/>
      </c>
      <c r="GM28" t="str">
        <f>""</f>
        <v/>
      </c>
      <c r="GN28" t="str">
        <f>""</f>
        <v/>
      </c>
      <c r="GO28" t="str">
        <f>""</f>
        <v/>
      </c>
      <c r="GP28" t="str">
        <f>""</f>
        <v/>
      </c>
      <c r="GQ28" t="str">
        <f>""</f>
        <v/>
      </c>
    </row>
    <row r="29" spans="1:298" x14ac:dyDescent="0.2">
      <c r="A29" t="str">
        <f>"95% confidence intervals in brackets"</f>
        <v>95% confidence intervals in brackets</v>
      </c>
    </row>
    <row r="30" spans="1:298" x14ac:dyDescent="0.2">
      <c r="A30" t="s">
        <v>243</v>
      </c>
      <c r="B30" t="s">
        <v>242</v>
      </c>
      <c r="C30" t="s">
        <v>241</v>
      </c>
    </row>
    <row r="35" spans="1:100" x14ac:dyDescent="0.2">
      <c r="A35" t="s">
        <v>229</v>
      </c>
      <c r="B35">
        <v>0.2487</v>
      </c>
      <c r="C35">
        <v>0.2152</v>
      </c>
      <c r="D35">
        <v>0.2467</v>
      </c>
      <c r="E35">
        <v>0.25019999999999998</v>
      </c>
      <c r="F35">
        <v>0.2581</v>
      </c>
      <c r="G35">
        <v>0.20910000000000001</v>
      </c>
      <c r="H35">
        <v>0.2477</v>
      </c>
      <c r="I35">
        <v>0.2039</v>
      </c>
      <c r="J35">
        <v>0.20430000000000001</v>
      </c>
      <c r="K35">
        <v>0.18779999999999999</v>
      </c>
      <c r="L35">
        <v>0.19739999999999999</v>
      </c>
      <c r="M35">
        <v>0.19719999999999999</v>
      </c>
      <c r="N35">
        <v>0.17929999999999999</v>
      </c>
      <c r="O35">
        <v>0.1633</v>
      </c>
      <c r="P35">
        <v>0.1323</v>
      </c>
      <c r="Q35">
        <v>0.12740000000000001</v>
      </c>
      <c r="R35">
        <v>0.1348</v>
      </c>
      <c r="S35">
        <v>0.13589999999999999</v>
      </c>
      <c r="T35">
        <v>0.1239</v>
      </c>
      <c r="U35">
        <v>0.1195</v>
      </c>
      <c r="V35">
        <v>0.1201</v>
      </c>
      <c r="W35">
        <v>0.1245</v>
      </c>
      <c r="X35">
        <v>0.1368</v>
      </c>
      <c r="Y35">
        <v>0.1313</v>
      </c>
      <c r="Z35">
        <v>0.1174</v>
      </c>
      <c r="AA35">
        <v>0.10780000000000001</v>
      </c>
      <c r="AB35">
        <v>9.7299999999999998E-2</v>
      </c>
      <c r="AC35">
        <v>8.6400000000000005E-2</v>
      </c>
      <c r="AD35">
        <v>8.6499999999999994E-2</v>
      </c>
      <c r="AE35">
        <v>9.1999999999999998E-2</v>
      </c>
      <c r="AF35">
        <v>8.9800000000000005E-2</v>
      </c>
      <c r="AG35">
        <v>9.5100000000000004E-2</v>
      </c>
      <c r="AH35">
        <v>0.11070000000000001</v>
      </c>
      <c r="AI35">
        <v>0.10879999999999999</v>
      </c>
      <c r="AJ35">
        <v>0.107</v>
      </c>
      <c r="AK35">
        <v>0.10829999999999999</v>
      </c>
      <c r="AL35">
        <v>0.1</v>
      </c>
      <c r="AM35">
        <v>9.8500000000000004E-2</v>
      </c>
      <c r="AN35">
        <v>0.1124</v>
      </c>
      <c r="AO35">
        <v>0.1323</v>
      </c>
      <c r="AP35">
        <v>0.1212</v>
      </c>
      <c r="AQ35">
        <v>0.1118</v>
      </c>
      <c r="AR35">
        <v>9.9900000000000003E-2</v>
      </c>
      <c r="AS35">
        <v>9.74E-2</v>
      </c>
      <c r="AT35">
        <v>7.0800000000000002E-2</v>
      </c>
      <c r="AU35">
        <v>8.0199999999999994E-2</v>
      </c>
      <c r="AV35">
        <v>8.6999999999999994E-2</v>
      </c>
      <c r="AW35">
        <v>9.7900000000000001E-2</v>
      </c>
      <c r="AX35">
        <v>0.1012</v>
      </c>
      <c r="AY35">
        <v>9.7900000000000001E-2</v>
      </c>
      <c r="AZ35">
        <v>0.1206</v>
      </c>
      <c r="BA35">
        <v>0.12239999999999999</v>
      </c>
      <c r="BB35">
        <v>0.1022</v>
      </c>
      <c r="BC35">
        <v>0.1024</v>
      </c>
      <c r="BD35">
        <v>8.77E-2</v>
      </c>
      <c r="BE35">
        <v>9.4600000000000004E-2</v>
      </c>
      <c r="BF35">
        <v>8.0199999999999994E-2</v>
      </c>
      <c r="BG35">
        <v>8.1600000000000006E-2</v>
      </c>
      <c r="BH35">
        <v>7.6499999999999999E-2</v>
      </c>
      <c r="BI35">
        <v>9.69E-2</v>
      </c>
      <c r="BJ35">
        <v>9.4399999999999998E-2</v>
      </c>
      <c r="BK35">
        <v>9.4799999999999995E-2</v>
      </c>
      <c r="BL35">
        <v>9.1399999999999995E-2</v>
      </c>
      <c r="BM35">
        <v>0.1038</v>
      </c>
      <c r="BN35">
        <v>9.3600000000000003E-2</v>
      </c>
      <c r="BO35">
        <v>7.7399999999999997E-2</v>
      </c>
      <c r="BP35">
        <v>5.3900000000000003E-2</v>
      </c>
      <c r="BQ35">
        <v>6.5299999999999997E-2</v>
      </c>
      <c r="BR35">
        <v>8.1100000000000005E-2</v>
      </c>
      <c r="BS35">
        <v>7.5700000000000003E-2</v>
      </c>
      <c r="BT35">
        <v>6.4600000000000005E-2</v>
      </c>
      <c r="BU35">
        <v>6.6299999999999998E-2</v>
      </c>
      <c r="BV35">
        <v>7.6600000000000001E-2</v>
      </c>
      <c r="BW35">
        <v>6.0400000000000002E-2</v>
      </c>
      <c r="BX35">
        <v>7.2599999999999998E-2</v>
      </c>
      <c r="BY35">
        <v>7.1099999999999997E-2</v>
      </c>
      <c r="BZ35">
        <v>7.4700000000000003E-2</v>
      </c>
      <c r="CA35">
        <v>4.99E-2</v>
      </c>
      <c r="CB35">
        <v>2.3599999999999999E-2</v>
      </c>
      <c r="CC35">
        <v>4.6300000000000001E-2</v>
      </c>
      <c r="CD35">
        <v>3.3399999999999999E-2</v>
      </c>
      <c r="CE35">
        <v>5.3900000000000003E-2</v>
      </c>
      <c r="CF35">
        <v>2.52E-2</v>
      </c>
      <c r="CG35">
        <v>4.8500000000000001E-2</v>
      </c>
      <c r="CH35">
        <v>6.0199999999999997E-2</v>
      </c>
      <c r="CI35">
        <v>6.1499999999999999E-2</v>
      </c>
      <c r="CJ35">
        <v>2.46E-2</v>
      </c>
      <c r="CK35">
        <v>6.3E-3</v>
      </c>
      <c r="CL35">
        <v>3.09E-2</v>
      </c>
      <c r="CM35">
        <v>1.4500000000000001E-2</v>
      </c>
      <c r="CN35">
        <v>6.5600000000000006E-2</v>
      </c>
      <c r="CO35">
        <v>2.5999999999999999E-3</v>
      </c>
      <c r="CP35">
        <v>1.8499999999999999E-2</v>
      </c>
      <c r="CQ35">
        <v>-8.9999999999999993E-3</v>
      </c>
      <c r="CR35">
        <v>-2.3300000000000001E-2</v>
      </c>
      <c r="CS35">
        <v>8.6999999999999994E-3</v>
      </c>
      <c r="CT35">
        <v>4.4999999999999997E-3</v>
      </c>
      <c r="CU35">
        <v>-3.15E-2</v>
      </c>
      <c r="CV35">
        <v>-2.5600000000000001E-2</v>
      </c>
    </row>
    <row r="36" spans="1:100" x14ac:dyDescent="0.2">
      <c r="A36" t="s">
        <v>228</v>
      </c>
      <c r="B36">
        <v>0.30420000000000003</v>
      </c>
      <c r="C36">
        <v>0.27029999999999998</v>
      </c>
      <c r="D36">
        <v>0.28960000000000002</v>
      </c>
      <c r="E36">
        <v>0.28849999999999998</v>
      </c>
      <c r="F36">
        <v>0.28970000000000001</v>
      </c>
      <c r="G36">
        <v>0.24199999999999999</v>
      </c>
      <c r="H36">
        <v>0.27729999999999999</v>
      </c>
      <c r="I36">
        <v>0.23089999999999999</v>
      </c>
      <c r="J36">
        <v>0.23089999999999999</v>
      </c>
      <c r="K36">
        <v>0.2089</v>
      </c>
      <c r="L36">
        <v>0.216</v>
      </c>
      <c r="M36">
        <v>0.21329999999999999</v>
      </c>
      <c r="N36">
        <v>0.19389999999999999</v>
      </c>
      <c r="O36">
        <v>0.17649999999999999</v>
      </c>
      <c r="P36">
        <v>0.1439</v>
      </c>
      <c r="Q36">
        <v>0.1381</v>
      </c>
      <c r="R36">
        <v>0.1449</v>
      </c>
      <c r="S36">
        <v>0.14580000000000001</v>
      </c>
      <c r="T36">
        <v>0.13339999999999999</v>
      </c>
      <c r="U36">
        <v>0.12889999999999999</v>
      </c>
      <c r="V36">
        <v>0.12909999999999999</v>
      </c>
      <c r="W36">
        <v>0.13350000000000001</v>
      </c>
      <c r="X36">
        <v>0.14560000000000001</v>
      </c>
      <c r="Y36">
        <v>0.14000000000000001</v>
      </c>
      <c r="Z36">
        <v>0.12609999999999999</v>
      </c>
      <c r="AA36">
        <v>0.11650000000000001</v>
      </c>
      <c r="AB36">
        <v>0.106</v>
      </c>
      <c r="AC36">
        <v>9.5100000000000004E-2</v>
      </c>
      <c r="AD36">
        <v>9.5399999999999999E-2</v>
      </c>
      <c r="AE36">
        <v>0.10100000000000001</v>
      </c>
      <c r="AF36">
        <v>9.9000000000000005E-2</v>
      </c>
      <c r="AG36">
        <v>0.1047</v>
      </c>
      <c r="AH36">
        <v>0.1207</v>
      </c>
      <c r="AI36">
        <v>0.1193</v>
      </c>
      <c r="AJ36">
        <v>0.1178</v>
      </c>
      <c r="AK36">
        <v>0.1193</v>
      </c>
      <c r="AL36">
        <v>0.1113</v>
      </c>
      <c r="AM36">
        <v>0.11</v>
      </c>
      <c r="AN36">
        <v>0.12379999999999999</v>
      </c>
      <c r="AO36">
        <v>0.14380000000000001</v>
      </c>
      <c r="AP36">
        <v>0.1328</v>
      </c>
      <c r="AQ36">
        <v>0.1235</v>
      </c>
      <c r="AR36">
        <v>0.11169999999999999</v>
      </c>
      <c r="AS36">
        <v>0.1091</v>
      </c>
      <c r="AT36">
        <v>8.2699999999999996E-2</v>
      </c>
      <c r="AU36">
        <v>9.2299999999999993E-2</v>
      </c>
      <c r="AV36">
        <v>9.9500000000000005E-2</v>
      </c>
      <c r="AW36">
        <v>0.1106</v>
      </c>
      <c r="AX36">
        <v>0.11409999999999999</v>
      </c>
      <c r="AY36">
        <v>0.1111</v>
      </c>
      <c r="AZ36">
        <v>0.13400000000000001</v>
      </c>
      <c r="BA36">
        <v>0.13600000000000001</v>
      </c>
      <c r="BB36">
        <v>0.11609999999999999</v>
      </c>
      <c r="BC36">
        <v>0.1166</v>
      </c>
      <c r="BD36">
        <v>0.10199999999999999</v>
      </c>
      <c r="BE36">
        <v>0.109</v>
      </c>
      <c r="BF36">
        <v>9.4600000000000004E-2</v>
      </c>
      <c r="BG36">
        <v>9.6199999999999994E-2</v>
      </c>
      <c r="BH36">
        <v>9.1200000000000003E-2</v>
      </c>
      <c r="BI36">
        <v>0.11169999999999999</v>
      </c>
      <c r="BJ36">
        <v>0.1094</v>
      </c>
      <c r="BK36">
        <v>0.11020000000000001</v>
      </c>
      <c r="BL36">
        <v>0.1072</v>
      </c>
      <c r="BM36">
        <v>0.11990000000000001</v>
      </c>
      <c r="BN36">
        <v>0.1099</v>
      </c>
      <c r="BO36">
        <v>9.3899999999999997E-2</v>
      </c>
      <c r="BP36">
        <v>7.0300000000000001E-2</v>
      </c>
      <c r="BQ36">
        <v>8.2100000000000006E-2</v>
      </c>
      <c r="BR36">
        <v>9.8100000000000007E-2</v>
      </c>
      <c r="BS36">
        <v>9.3399999999999997E-2</v>
      </c>
      <c r="BT36">
        <v>8.3400000000000002E-2</v>
      </c>
      <c r="BU36">
        <v>8.6300000000000002E-2</v>
      </c>
      <c r="BV36">
        <v>9.7199999999999995E-2</v>
      </c>
      <c r="BW36">
        <v>8.1299999999999997E-2</v>
      </c>
      <c r="BX36">
        <v>9.2700000000000005E-2</v>
      </c>
      <c r="BY36">
        <v>9.0899999999999995E-2</v>
      </c>
      <c r="BZ36">
        <v>9.4500000000000001E-2</v>
      </c>
      <c r="CA36">
        <v>7.0300000000000001E-2</v>
      </c>
      <c r="CB36">
        <v>4.53E-2</v>
      </c>
      <c r="CC36">
        <v>7.1499999999999994E-2</v>
      </c>
      <c r="CD36">
        <v>6.0299999999999999E-2</v>
      </c>
      <c r="CE36">
        <v>7.9899999999999999E-2</v>
      </c>
      <c r="CF36">
        <v>5.0099999999999999E-2</v>
      </c>
      <c r="CG36">
        <v>7.3300000000000004E-2</v>
      </c>
      <c r="CH36">
        <v>8.6800000000000002E-2</v>
      </c>
      <c r="CI36">
        <v>9.11E-2</v>
      </c>
      <c r="CJ36">
        <v>5.3900000000000003E-2</v>
      </c>
      <c r="CK36">
        <v>3.5799999999999998E-2</v>
      </c>
      <c r="CL36">
        <v>6.4500000000000002E-2</v>
      </c>
      <c r="CM36">
        <v>4.9200000000000001E-2</v>
      </c>
      <c r="CN36">
        <v>9.7000000000000003E-2</v>
      </c>
      <c r="CO36">
        <v>3.6900000000000002E-2</v>
      </c>
      <c r="CP36">
        <v>6.1499999999999999E-2</v>
      </c>
      <c r="CQ36">
        <v>2.87E-2</v>
      </c>
      <c r="CR36">
        <v>2.4899999999999999E-2</v>
      </c>
      <c r="CS36">
        <v>5.6000000000000001E-2</v>
      </c>
      <c r="CT36">
        <v>6.0199999999999997E-2</v>
      </c>
      <c r="CU36">
        <v>3.4000000000000002E-2</v>
      </c>
      <c r="CV36">
        <v>6.0299999999999999E-2</v>
      </c>
    </row>
    <row r="37" spans="1:100" x14ac:dyDescent="0.2">
      <c r="A37" t="s">
        <v>231</v>
      </c>
      <c r="B37">
        <v>4.1399999999999999E-2</v>
      </c>
      <c r="C37">
        <v>5.9299999999999999E-2</v>
      </c>
      <c r="D37">
        <v>5.96E-2</v>
      </c>
      <c r="E37">
        <v>5.9700000000000003E-2</v>
      </c>
      <c r="F37">
        <v>5.6300000000000003E-2</v>
      </c>
      <c r="G37">
        <v>6.0600000000000001E-2</v>
      </c>
      <c r="H37">
        <v>5.91E-2</v>
      </c>
      <c r="I37">
        <v>5.5300000000000002E-2</v>
      </c>
      <c r="J37">
        <v>5.6800000000000003E-2</v>
      </c>
      <c r="K37">
        <v>4.5499999999999999E-2</v>
      </c>
      <c r="L37">
        <v>4.41E-2</v>
      </c>
      <c r="M37">
        <v>4.1599999999999998E-2</v>
      </c>
      <c r="N37">
        <v>3.8100000000000002E-2</v>
      </c>
      <c r="O37">
        <v>3.4500000000000003E-2</v>
      </c>
      <c r="P37">
        <v>2.8799999999999999E-2</v>
      </c>
      <c r="Q37">
        <v>2.6200000000000001E-2</v>
      </c>
      <c r="R37">
        <v>2.5100000000000001E-2</v>
      </c>
      <c r="S37">
        <v>2.46E-2</v>
      </c>
      <c r="T37">
        <v>2.35E-2</v>
      </c>
      <c r="U37">
        <v>2.3E-2</v>
      </c>
      <c r="V37">
        <v>2.2700000000000001E-2</v>
      </c>
      <c r="W37">
        <v>2.2700000000000001E-2</v>
      </c>
      <c r="X37">
        <v>2.2700000000000001E-2</v>
      </c>
      <c r="Y37">
        <v>2.2700000000000001E-2</v>
      </c>
      <c r="Z37">
        <v>2.2700000000000001E-2</v>
      </c>
      <c r="AA37">
        <v>2.24E-2</v>
      </c>
      <c r="AB37">
        <v>2.23E-2</v>
      </c>
      <c r="AC37">
        <v>2.23E-2</v>
      </c>
      <c r="AD37">
        <v>2.2599999999999999E-2</v>
      </c>
      <c r="AE37">
        <v>2.3199999999999998E-2</v>
      </c>
      <c r="AF37">
        <v>2.3800000000000002E-2</v>
      </c>
      <c r="AG37">
        <v>2.4299999999999999E-2</v>
      </c>
      <c r="AH37">
        <v>2.4899999999999999E-2</v>
      </c>
      <c r="AI37">
        <v>2.5899999999999999E-2</v>
      </c>
      <c r="AJ37">
        <v>2.6700000000000002E-2</v>
      </c>
      <c r="AK37">
        <v>2.7400000000000001E-2</v>
      </c>
      <c r="AL37">
        <v>2.8299999999999999E-2</v>
      </c>
      <c r="AM37">
        <v>2.9499999999999998E-2</v>
      </c>
      <c r="AN37">
        <v>3.04E-2</v>
      </c>
      <c r="AO37">
        <v>3.1399999999999997E-2</v>
      </c>
      <c r="AP37">
        <v>3.2000000000000001E-2</v>
      </c>
      <c r="AQ37">
        <v>3.2899999999999999E-2</v>
      </c>
      <c r="AR37">
        <v>3.3399999999999999E-2</v>
      </c>
      <c r="AS37">
        <v>3.3500000000000002E-2</v>
      </c>
      <c r="AT37">
        <v>3.3399999999999999E-2</v>
      </c>
      <c r="AU37">
        <v>3.3300000000000003E-2</v>
      </c>
      <c r="AV37">
        <v>3.3399999999999999E-2</v>
      </c>
      <c r="AW37">
        <v>3.4299999999999997E-2</v>
      </c>
      <c r="AX37">
        <v>3.4599999999999999E-2</v>
      </c>
      <c r="AY37">
        <v>3.5799999999999998E-2</v>
      </c>
      <c r="AZ37">
        <v>3.6600000000000001E-2</v>
      </c>
      <c r="BA37">
        <v>3.8699999999999998E-2</v>
      </c>
      <c r="BB37">
        <v>4.1000000000000002E-2</v>
      </c>
      <c r="BC37">
        <v>4.2500000000000003E-2</v>
      </c>
      <c r="BD37">
        <v>4.3400000000000001E-2</v>
      </c>
      <c r="BE37">
        <v>4.3799999999999999E-2</v>
      </c>
      <c r="BF37">
        <v>4.3200000000000002E-2</v>
      </c>
      <c r="BG37">
        <v>4.2500000000000003E-2</v>
      </c>
      <c r="BH37">
        <v>4.24E-2</v>
      </c>
      <c r="BI37">
        <v>4.2700000000000002E-2</v>
      </c>
      <c r="BJ37">
        <v>4.2900000000000001E-2</v>
      </c>
      <c r="BK37">
        <v>4.4400000000000002E-2</v>
      </c>
      <c r="BL37">
        <v>4.65E-2</v>
      </c>
      <c r="BM37">
        <v>4.8300000000000003E-2</v>
      </c>
      <c r="BN37">
        <v>4.9399999999999999E-2</v>
      </c>
      <c r="BO37">
        <v>5.0200000000000002E-2</v>
      </c>
      <c r="BP37">
        <v>4.9700000000000001E-2</v>
      </c>
      <c r="BQ37">
        <v>4.9599999999999998E-2</v>
      </c>
      <c r="BR37">
        <v>4.9599999999999998E-2</v>
      </c>
      <c r="BS37">
        <v>5.0799999999999998E-2</v>
      </c>
      <c r="BT37">
        <v>5.3800000000000001E-2</v>
      </c>
      <c r="BU37">
        <v>5.6500000000000002E-2</v>
      </c>
      <c r="BV37">
        <v>5.8400000000000001E-2</v>
      </c>
      <c r="BW37">
        <v>0.06</v>
      </c>
      <c r="BX37">
        <v>5.9200000000000003E-2</v>
      </c>
      <c r="BY37">
        <v>5.8599999999999999E-2</v>
      </c>
      <c r="BZ37">
        <v>5.7799999999999997E-2</v>
      </c>
      <c r="CA37">
        <v>6.0699999999999997E-2</v>
      </c>
      <c r="CB37">
        <v>6.4299999999999996E-2</v>
      </c>
      <c r="CC37">
        <v>6.7199999999999996E-2</v>
      </c>
      <c r="CD37">
        <v>6.9800000000000001E-2</v>
      </c>
      <c r="CE37">
        <v>6.6299999999999998E-2</v>
      </c>
      <c r="CF37">
        <v>6.1100000000000002E-2</v>
      </c>
      <c r="CG37">
        <v>5.9900000000000002E-2</v>
      </c>
      <c r="CH37">
        <v>6.3299999999999995E-2</v>
      </c>
      <c r="CI37">
        <v>7.8799999999999995E-2</v>
      </c>
      <c r="CJ37">
        <v>7.5999999999999998E-2</v>
      </c>
      <c r="CK37">
        <v>7.1599999999999997E-2</v>
      </c>
      <c r="CL37">
        <v>7.4099999999999999E-2</v>
      </c>
      <c r="CM37">
        <v>7.3099999999999998E-2</v>
      </c>
      <c r="CN37">
        <v>6.7400000000000002E-2</v>
      </c>
      <c r="CO37">
        <v>7.7100000000000002E-2</v>
      </c>
      <c r="CP37">
        <v>8.48E-2</v>
      </c>
      <c r="CQ37">
        <v>7.2599999999999998E-2</v>
      </c>
      <c r="CR37">
        <v>8.3900000000000002E-2</v>
      </c>
      <c r="CS37">
        <v>6.3700000000000007E-2</v>
      </c>
      <c r="CT37">
        <v>7.3300000000000004E-2</v>
      </c>
      <c r="CU37">
        <v>6.9699999999999998E-2</v>
      </c>
      <c r="CV37">
        <v>6.0199999999999997E-2</v>
      </c>
    </row>
    <row r="38" spans="1:100" x14ac:dyDescent="0.2">
      <c r="A38" t="s">
        <v>230</v>
      </c>
      <c r="B38">
        <v>5.5300000000000002E-2</v>
      </c>
      <c r="C38">
        <v>7.5899999999999995E-2</v>
      </c>
      <c r="D38">
        <v>7.5600000000000001E-2</v>
      </c>
      <c r="E38">
        <v>7.51E-2</v>
      </c>
      <c r="F38">
        <v>7.0499999999999993E-2</v>
      </c>
      <c r="G38">
        <v>7.5700000000000003E-2</v>
      </c>
      <c r="H38">
        <v>7.3700000000000002E-2</v>
      </c>
      <c r="I38">
        <v>6.9000000000000006E-2</v>
      </c>
      <c r="J38">
        <v>7.0699999999999999E-2</v>
      </c>
      <c r="K38">
        <v>5.67E-2</v>
      </c>
      <c r="L38">
        <v>5.4800000000000001E-2</v>
      </c>
      <c r="M38">
        <v>5.1700000000000003E-2</v>
      </c>
      <c r="N38">
        <v>4.7199999999999999E-2</v>
      </c>
      <c r="O38">
        <v>4.2700000000000002E-2</v>
      </c>
      <c r="P38">
        <v>3.56E-2</v>
      </c>
      <c r="Q38">
        <v>3.2399999999999998E-2</v>
      </c>
      <c r="R38">
        <v>3.0800000000000001E-2</v>
      </c>
      <c r="S38">
        <v>3.0300000000000001E-2</v>
      </c>
      <c r="T38">
        <v>2.8799999999999999E-2</v>
      </c>
      <c r="U38">
        <v>2.8299999999999999E-2</v>
      </c>
      <c r="V38">
        <v>2.7799999999999998E-2</v>
      </c>
      <c r="W38">
        <v>2.7799999999999998E-2</v>
      </c>
      <c r="X38">
        <v>2.7699999999999999E-2</v>
      </c>
      <c r="Y38">
        <v>2.7699999999999999E-2</v>
      </c>
      <c r="Z38">
        <v>2.76E-2</v>
      </c>
      <c r="AA38">
        <v>2.7300000000000001E-2</v>
      </c>
      <c r="AB38">
        <v>2.7099999999999999E-2</v>
      </c>
      <c r="AC38">
        <v>2.7099999999999999E-2</v>
      </c>
      <c r="AD38">
        <v>2.7400000000000001E-2</v>
      </c>
      <c r="AE38">
        <v>2.81E-2</v>
      </c>
      <c r="AF38">
        <v>2.87E-2</v>
      </c>
      <c r="AG38">
        <v>2.93E-2</v>
      </c>
      <c r="AH38">
        <v>2.9899999999999999E-2</v>
      </c>
      <c r="AI38">
        <v>3.1099999999999999E-2</v>
      </c>
      <c r="AJ38">
        <v>3.2099999999999997E-2</v>
      </c>
      <c r="AK38">
        <v>3.3000000000000002E-2</v>
      </c>
      <c r="AL38">
        <v>3.4000000000000002E-2</v>
      </c>
      <c r="AM38">
        <v>3.5400000000000001E-2</v>
      </c>
      <c r="AN38">
        <v>3.6400000000000002E-2</v>
      </c>
      <c r="AO38">
        <v>3.7600000000000001E-2</v>
      </c>
      <c r="AP38">
        <v>3.8399999999999997E-2</v>
      </c>
      <c r="AQ38">
        <v>3.9399999999999998E-2</v>
      </c>
      <c r="AR38">
        <v>0.04</v>
      </c>
      <c r="AS38">
        <v>4.0099999999999997E-2</v>
      </c>
      <c r="AT38">
        <v>3.9899999999999998E-2</v>
      </c>
      <c r="AU38">
        <v>3.9800000000000002E-2</v>
      </c>
      <c r="AV38">
        <v>3.9899999999999998E-2</v>
      </c>
      <c r="AW38">
        <v>4.0899999999999999E-2</v>
      </c>
      <c r="AX38">
        <v>4.1300000000000003E-2</v>
      </c>
      <c r="AY38">
        <v>4.2599999999999999E-2</v>
      </c>
      <c r="AZ38">
        <v>4.3700000000000003E-2</v>
      </c>
      <c r="BA38">
        <v>4.6199999999999998E-2</v>
      </c>
      <c r="BB38">
        <v>4.9000000000000002E-2</v>
      </c>
      <c r="BC38">
        <v>5.0700000000000002E-2</v>
      </c>
      <c r="BD38">
        <v>5.1799999999999999E-2</v>
      </c>
      <c r="BE38">
        <v>5.2200000000000003E-2</v>
      </c>
      <c r="BF38">
        <v>5.16E-2</v>
      </c>
      <c r="BG38">
        <v>5.0799999999999998E-2</v>
      </c>
      <c r="BH38">
        <v>5.0700000000000002E-2</v>
      </c>
      <c r="BI38">
        <v>5.0900000000000001E-2</v>
      </c>
      <c r="BJ38">
        <v>5.1200000000000002E-2</v>
      </c>
      <c r="BK38">
        <v>5.3199999999999997E-2</v>
      </c>
      <c r="BL38">
        <v>5.5800000000000002E-2</v>
      </c>
      <c r="BM38">
        <v>5.79E-2</v>
      </c>
      <c r="BN38">
        <v>5.9299999999999999E-2</v>
      </c>
      <c r="BO38">
        <v>6.0299999999999999E-2</v>
      </c>
      <c r="BP38">
        <v>5.9799999999999999E-2</v>
      </c>
      <c r="BQ38">
        <v>5.9700000000000003E-2</v>
      </c>
      <c r="BR38">
        <v>5.9700000000000003E-2</v>
      </c>
      <c r="BS38">
        <v>6.1199999999999997E-2</v>
      </c>
      <c r="BT38">
        <v>6.4899999999999999E-2</v>
      </c>
      <c r="BU38">
        <v>6.83E-2</v>
      </c>
      <c r="BV38">
        <v>7.0499999999999993E-2</v>
      </c>
      <c r="BW38">
        <v>7.2599999999999998E-2</v>
      </c>
      <c r="BX38">
        <v>7.1900000000000006E-2</v>
      </c>
      <c r="BY38">
        <v>7.1199999999999999E-2</v>
      </c>
      <c r="BZ38">
        <v>7.0199999999999999E-2</v>
      </c>
      <c r="CA38">
        <v>7.3800000000000004E-2</v>
      </c>
      <c r="CB38">
        <v>7.8299999999999995E-2</v>
      </c>
      <c r="CC38">
        <v>8.1900000000000001E-2</v>
      </c>
      <c r="CD38">
        <v>8.5300000000000001E-2</v>
      </c>
      <c r="CE38">
        <v>8.1000000000000003E-2</v>
      </c>
      <c r="CF38">
        <v>7.4800000000000005E-2</v>
      </c>
      <c r="CG38">
        <v>7.3300000000000004E-2</v>
      </c>
      <c r="CH38">
        <v>7.7499999999999999E-2</v>
      </c>
      <c r="CI38">
        <v>9.6799999999999997E-2</v>
      </c>
      <c r="CJ38">
        <v>9.3600000000000003E-2</v>
      </c>
      <c r="CK38">
        <v>8.8300000000000003E-2</v>
      </c>
      <c r="CL38">
        <v>9.1499999999999998E-2</v>
      </c>
      <c r="CM38">
        <v>9.0399999999999994E-2</v>
      </c>
      <c r="CN38">
        <v>8.3500000000000005E-2</v>
      </c>
      <c r="CO38">
        <v>9.5699999999999993E-2</v>
      </c>
      <c r="CP38">
        <v>0.1056</v>
      </c>
      <c r="CQ38">
        <v>9.0700000000000003E-2</v>
      </c>
      <c r="CR38">
        <v>0.105</v>
      </c>
      <c r="CS38">
        <v>8.0199999999999994E-2</v>
      </c>
      <c r="CT38">
        <v>9.2999999999999999E-2</v>
      </c>
      <c r="CU38">
        <v>8.9399999999999993E-2</v>
      </c>
      <c r="CV38">
        <v>7.9500000000000001E-2</v>
      </c>
    </row>
    <row r="39" spans="1:100" x14ac:dyDescent="0.2">
      <c r="A39" t="s">
        <v>233</v>
      </c>
      <c r="B39">
        <v>0.20200000000000001</v>
      </c>
      <c r="C39">
        <v>0.14979999999999999</v>
      </c>
      <c r="D39">
        <v>0.18129999999999999</v>
      </c>
      <c r="E39">
        <v>0.185</v>
      </c>
      <c r="F39">
        <v>0.19670000000000001</v>
      </c>
      <c r="G39">
        <v>0.1431</v>
      </c>
      <c r="H39">
        <v>0.18340000000000001</v>
      </c>
      <c r="I39">
        <v>0.14369999999999999</v>
      </c>
      <c r="J39">
        <v>0.1426</v>
      </c>
      <c r="K39">
        <v>0.1384</v>
      </c>
      <c r="L39">
        <v>0.14940000000000001</v>
      </c>
      <c r="M39">
        <v>0.15179999999999999</v>
      </c>
      <c r="N39">
        <v>0.13769999999999999</v>
      </c>
      <c r="O39">
        <v>0.12570000000000001</v>
      </c>
      <c r="P39">
        <v>0.10100000000000001</v>
      </c>
      <c r="Q39">
        <v>9.8900000000000002E-2</v>
      </c>
      <c r="R39">
        <v>0.1076</v>
      </c>
      <c r="S39">
        <v>0.10920000000000001</v>
      </c>
      <c r="T39">
        <v>9.8400000000000001E-2</v>
      </c>
      <c r="U39">
        <v>9.4600000000000004E-2</v>
      </c>
      <c r="V39">
        <v>9.5500000000000002E-2</v>
      </c>
      <c r="W39">
        <v>9.9900000000000003E-2</v>
      </c>
      <c r="X39">
        <v>0.11219999999999999</v>
      </c>
      <c r="Y39">
        <v>0.10680000000000001</v>
      </c>
      <c r="Z39">
        <v>9.2899999999999996E-2</v>
      </c>
      <c r="AA39">
        <v>8.3599999999999994E-2</v>
      </c>
      <c r="AB39">
        <v>7.3300000000000004E-2</v>
      </c>
      <c r="AC39">
        <v>6.2300000000000001E-2</v>
      </c>
      <c r="AD39">
        <v>6.2199999999999998E-2</v>
      </c>
      <c r="AE39">
        <v>6.7100000000000007E-2</v>
      </c>
      <c r="AF39">
        <v>6.4199999999999993E-2</v>
      </c>
      <c r="AG39">
        <v>6.9000000000000006E-2</v>
      </c>
      <c r="AH39">
        <v>8.4000000000000005E-2</v>
      </c>
      <c r="AI39">
        <v>8.1100000000000005E-2</v>
      </c>
      <c r="AJ39">
        <v>7.8399999999999997E-2</v>
      </c>
      <c r="AK39">
        <v>7.8899999999999998E-2</v>
      </c>
      <c r="AL39">
        <v>6.9699999999999998E-2</v>
      </c>
      <c r="AM39">
        <v>6.6900000000000001E-2</v>
      </c>
      <c r="AN39">
        <v>7.9799999999999996E-2</v>
      </c>
      <c r="AO39">
        <v>9.8699999999999996E-2</v>
      </c>
      <c r="AP39">
        <v>8.6900000000000005E-2</v>
      </c>
      <c r="AQ39">
        <v>7.6600000000000001E-2</v>
      </c>
      <c r="AR39">
        <v>6.4100000000000004E-2</v>
      </c>
      <c r="AS39">
        <v>6.1400000000000003E-2</v>
      </c>
      <c r="AT39">
        <v>3.5099999999999999E-2</v>
      </c>
      <c r="AU39">
        <v>4.4600000000000001E-2</v>
      </c>
      <c r="AV39">
        <v>5.1299999999999998E-2</v>
      </c>
      <c r="AW39">
        <v>6.1199999999999997E-2</v>
      </c>
      <c r="AX39">
        <v>6.4199999999999993E-2</v>
      </c>
      <c r="AY39">
        <v>5.9700000000000003E-2</v>
      </c>
      <c r="AZ39">
        <v>8.1500000000000003E-2</v>
      </c>
      <c r="BA39">
        <v>8.1000000000000003E-2</v>
      </c>
      <c r="BB39">
        <v>5.8200000000000002E-2</v>
      </c>
      <c r="BC39">
        <v>5.6899999999999999E-2</v>
      </c>
      <c r="BD39">
        <v>4.1200000000000001E-2</v>
      </c>
      <c r="BE39">
        <v>4.7699999999999999E-2</v>
      </c>
      <c r="BF39">
        <v>3.4000000000000002E-2</v>
      </c>
      <c r="BG39">
        <v>3.61E-2</v>
      </c>
      <c r="BH39">
        <v>3.1099999999999999E-2</v>
      </c>
      <c r="BI39">
        <v>5.1200000000000002E-2</v>
      </c>
      <c r="BJ39">
        <v>4.8599999999999997E-2</v>
      </c>
      <c r="BK39">
        <v>4.7300000000000002E-2</v>
      </c>
      <c r="BL39">
        <v>4.1599999999999998E-2</v>
      </c>
      <c r="BM39">
        <v>5.1999999999999998E-2</v>
      </c>
      <c r="BN39">
        <v>4.0599999999999997E-2</v>
      </c>
      <c r="BO39">
        <v>2.35E-2</v>
      </c>
      <c r="BP39">
        <v>5.0000000000000001E-4</v>
      </c>
      <c r="BQ39">
        <v>1.2E-2</v>
      </c>
      <c r="BR39">
        <v>2.7699999999999999E-2</v>
      </c>
      <c r="BS39">
        <v>2.12E-2</v>
      </c>
      <c r="BT39">
        <v>6.7999999999999996E-3</v>
      </c>
      <c r="BU39">
        <v>5.4999999999999997E-3</v>
      </c>
      <c r="BV39">
        <v>1.3899999999999999E-2</v>
      </c>
      <c r="BW39">
        <v>-4.1999999999999997E-3</v>
      </c>
      <c r="BX39">
        <v>8.6999999999999994E-3</v>
      </c>
      <c r="BY39">
        <v>7.7000000000000002E-3</v>
      </c>
      <c r="BZ39">
        <v>1.2200000000000001E-2</v>
      </c>
      <c r="CA39">
        <v>-1.5900000000000001E-2</v>
      </c>
      <c r="CB39">
        <v>-4.6199999999999998E-2</v>
      </c>
      <c r="CC39">
        <v>-2.63E-2</v>
      </c>
      <c r="CD39">
        <v>-4.2099999999999999E-2</v>
      </c>
      <c r="CE39">
        <v>-1.78E-2</v>
      </c>
      <c r="CF39">
        <v>-4.1000000000000002E-2</v>
      </c>
      <c r="CG39">
        <v>-1.6400000000000001E-2</v>
      </c>
      <c r="CH39">
        <v>-8.3999999999999995E-3</v>
      </c>
      <c r="CI39">
        <v>-2.46E-2</v>
      </c>
      <c r="CJ39">
        <v>-5.8599999999999999E-2</v>
      </c>
      <c r="CK39">
        <v>-7.2099999999999997E-2</v>
      </c>
      <c r="CL39">
        <v>-5.0299999999999997E-2</v>
      </c>
      <c r="CM39">
        <v>-6.5600000000000006E-2</v>
      </c>
      <c r="CN39">
        <v>-8.6E-3</v>
      </c>
      <c r="CO39">
        <v>-8.2900000000000001E-2</v>
      </c>
      <c r="CP39">
        <v>-7.5700000000000003E-2</v>
      </c>
      <c r="CQ39">
        <v>-9.01E-2</v>
      </c>
      <c r="CR39">
        <v>-0.1174</v>
      </c>
      <c r="CS39">
        <v>-6.2899999999999998E-2</v>
      </c>
      <c r="CT39">
        <v>-7.9200000000000007E-2</v>
      </c>
      <c r="CU39">
        <v>-0.1123</v>
      </c>
      <c r="CV39">
        <v>-9.7799999999999998E-2</v>
      </c>
    </row>
    <row r="40" spans="1:100" x14ac:dyDescent="0.2">
      <c r="A40" t="s">
        <v>232</v>
      </c>
      <c r="B40">
        <v>0.25419999999999998</v>
      </c>
      <c r="C40">
        <v>0.2006</v>
      </c>
      <c r="D40">
        <v>0.21990000000000001</v>
      </c>
      <c r="E40">
        <v>0.21890000000000001</v>
      </c>
      <c r="F40">
        <v>0.2243</v>
      </c>
      <c r="G40">
        <v>0.17169999999999999</v>
      </c>
      <c r="H40">
        <v>0.20880000000000001</v>
      </c>
      <c r="I40">
        <v>0.1668</v>
      </c>
      <c r="J40">
        <v>0.1651</v>
      </c>
      <c r="K40">
        <v>0.15629999999999999</v>
      </c>
      <c r="L40">
        <v>0.16520000000000001</v>
      </c>
      <c r="M40">
        <v>0.16550000000000001</v>
      </c>
      <c r="N40">
        <v>0.15010000000000001</v>
      </c>
      <c r="O40">
        <v>0.13700000000000001</v>
      </c>
      <c r="P40">
        <v>0.1109</v>
      </c>
      <c r="Q40">
        <v>0.108</v>
      </c>
      <c r="R40">
        <v>0.1162</v>
      </c>
      <c r="S40">
        <v>0.1176</v>
      </c>
      <c r="T40">
        <v>0.1066</v>
      </c>
      <c r="U40">
        <v>0.10249999999999999</v>
      </c>
      <c r="V40">
        <v>0.1032</v>
      </c>
      <c r="W40">
        <v>0.1076</v>
      </c>
      <c r="X40">
        <v>0.1197</v>
      </c>
      <c r="Y40">
        <v>0.1142</v>
      </c>
      <c r="Z40">
        <v>0.1003</v>
      </c>
      <c r="AA40">
        <v>9.0999999999999998E-2</v>
      </c>
      <c r="AB40">
        <v>8.0699999999999994E-2</v>
      </c>
      <c r="AC40">
        <v>6.9699999999999998E-2</v>
      </c>
      <c r="AD40">
        <v>6.9699999999999998E-2</v>
      </c>
      <c r="AE40">
        <v>7.4700000000000003E-2</v>
      </c>
      <c r="AF40">
        <v>7.2099999999999997E-2</v>
      </c>
      <c r="AG40">
        <v>7.7100000000000002E-2</v>
      </c>
      <c r="AH40">
        <v>9.2600000000000002E-2</v>
      </c>
      <c r="AI40">
        <v>9.01E-2</v>
      </c>
      <c r="AJ40">
        <v>8.7599999999999997E-2</v>
      </c>
      <c r="AK40">
        <v>8.8300000000000003E-2</v>
      </c>
      <c r="AL40">
        <v>7.9299999999999995E-2</v>
      </c>
      <c r="AM40">
        <v>7.6700000000000004E-2</v>
      </c>
      <c r="AN40">
        <v>8.9599999999999999E-2</v>
      </c>
      <c r="AO40">
        <v>0.1085</v>
      </c>
      <c r="AP40">
        <v>9.6699999999999994E-2</v>
      </c>
      <c r="AQ40">
        <v>8.6499999999999994E-2</v>
      </c>
      <c r="AR40">
        <v>7.4200000000000002E-2</v>
      </c>
      <c r="AS40">
        <v>7.1499999999999994E-2</v>
      </c>
      <c r="AT40">
        <v>4.5100000000000001E-2</v>
      </c>
      <c r="AU40">
        <v>5.4899999999999997E-2</v>
      </c>
      <c r="AV40">
        <v>6.1800000000000001E-2</v>
      </c>
      <c r="AW40">
        <v>7.1999999999999995E-2</v>
      </c>
      <c r="AX40">
        <v>7.51E-2</v>
      </c>
      <c r="AY40">
        <v>7.0900000000000005E-2</v>
      </c>
      <c r="AZ40">
        <v>9.2799999999999994E-2</v>
      </c>
      <c r="BA40">
        <v>9.2499999999999999E-2</v>
      </c>
      <c r="BB40">
        <v>7.0099999999999996E-2</v>
      </c>
      <c r="BC40">
        <v>6.8900000000000003E-2</v>
      </c>
      <c r="BD40">
        <v>5.33E-2</v>
      </c>
      <c r="BE40">
        <v>5.9900000000000002E-2</v>
      </c>
      <c r="BF40">
        <v>4.6100000000000002E-2</v>
      </c>
      <c r="BG40">
        <v>4.8399999999999999E-2</v>
      </c>
      <c r="BH40">
        <v>4.3499999999999997E-2</v>
      </c>
      <c r="BI40">
        <v>6.3700000000000007E-2</v>
      </c>
      <c r="BJ40">
        <v>6.1100000000000002E-2</v>
      </c>
      <c r="BK40">
        <v>6.0199999999999997E-2</v>
      </c>
      <c r="BL40">
        <v>5.4800000000000001E-2</v>
      </c>
      <c r="BM40">
        <v>6.5500000000000003E-2</v>
      </c>
      <c r="BN40">
        <v>5.4300000000000001E-2</v>
      </c>
      <c r="BO40">
        <v>3.73E-2</v>
      </c>
      <c r="BP40">
        <v>1.43E-2</v>
      </c>
      <c r="BQ40">
        <v>2.5999999999999999E-2</v>
      </c>
      <c r="BR40">
        <v>4.2000000000000003E-2</v>
      </c>
      <c r="BS40">
        <v>3.5999999999999997E-2</v>
      </c>
      <c r="BT40">
        <v>2.2499999999999999E-2</v>
      </c>
      <c r="BU40">
        <v>2.23E-2</v>
      </c>
      <c r="BV40">
        <v>3.1099999999999999E-2</v>
      </c>
      <c r="BW40">
        <v>1.3299999999999999E-2</v>
      </c>
      <c r="BX40">
        <v>2.5499999999999998E-2</v>
      </c>
      <c r="BY40">
        <v>2.4500000000000001E-2</v>
      </c>
      <c r="BZ40">
        <v>2.9000000000000001E-2</v>
      </c>
      <c r="CA40">
        <v>1.6000000000000001E-3</v>
      </c>
      <c r="CB40">
        <v>-2.76E-2</v>
      </c>
      <c r="CC40">
        <v>-5.0000000000000001E-3</v>
      </c>
      <c r="CD40">
        <v>-1.9199999999999998E-2</v>
      </c>
      <c r="CE40">
        <v>4.4000000000000003E-3</v>
      </c>
      <c r="CF40">
        <v>-1.9599999999999999E-2</v>
      </c>
      <c r="CG40">
        <v>5.0000000000000001E-3</v>
      </c>
      <c r="CH40">
        <v>1.46E-2</v>
      </c>
      <c r="CI40">
        <v>1.5E-3</v>
      </c>
      <c r="CJ40">
        <v>-3.2500000000000001E-2</v>
      </c>
      <c r="CK40">
        <v>-4.58E-2</v>
      </c>
      <c r="CL40">
        <v>-0.02</v>
      </c>
      <c r="CM40">
        <v>-3.4200000000000001E-2</v>
      </c>
      <c r="CN40">
        <v>2.0299999999999999E-2</v>
      </c>
      <c r="CO40">
        <v>-5.04E-2</v>
      </c>
      <c r="CP40">
        <v>-3.4799999999999998E-2</v>
      </c>
      <c r="CQ40">
        <v>-5.3499999999999999E-2</v>
      </c>
      <c r="CR40">
        <v>-6.9800000000000001E-2</v>
      </c>
      <c r="CS40">
        <v>-1.6199999999999999E-2</v>
      </c>
      <c r="CT40">
        <v>-2.2499999999999999E-2</v>
      </c>
      <c r="CU40">
        <v>-4.4299999999999999E-2</v>
      </c>
      <c r="CV40">
        <v>-7.3000000000000001E-3</v>
      </c>
    </row>
    <row r="43" spans="1:100" x14ac:dyDescent="0.2">
      <c r="A43" t="s">
        <v>5909</v>
      </c>
      <c r="B43">
        <v>1.9699999999999999E-2</v>
      </c>
      <c r="C43">
        <v>2.8400000000000002E-2</v>
      </c>
      <c r="D43">
        <v>2.76E-2</v>
      </c>
      <c r="E43">
        <v>2.6499999999999999E-2</v>
      </c>
      <c r="F43">
        <v>2.4899999999999999E-2</v>
      </c>
      <c r="G43">
        <v>2.7E-2</v>
      </c>
      <c r="H43">
        <v>2.6499999999999999E-2</v>
      </c>
      <c r="I43">
        <v>2.4899999999999999E-2</v>
      </c>
      <c r="J43">
        <v>2.5700000000000001E-2</v>
      </c>
      <c r="K43">
        <v>2.07E-2</v>
      </c>
      <c r="L43">
        <v>2.0299999999999999E-2</v>
      </c>
      <c r="M43">
        <v>1.9300000000000001E-2</v>
      </c>
      <c r="N43">
        <v>1.78E-2</v>
      </c>
      <c r="O43">
        <v>1.66E-2</v>
      </c>
      <c r="P43">
        <v>1.4200000000000001E-2</v>
      </c>
      <c r="Q43">
        <v>1.3100000000000001E-2</v>
      </c>
      <c r="R43">
        <v>1.2699999999999999E-2</v>
      </c>
      <c r="S43">
        <v>1.2699999999999999E-2</v>
      </c>
      <c r="T43">
        <v>1.2500000000000001E-2</v>
      </c>
      <c r="U43">
        <v>1.26E-2</v>
      </c>
      <c r="V43">
        <v>1.26E-2</v>
      </c>
      <c r="W43">
        <v>1.29E-2</v>
      </c>
      <c r="X43">
        <v>1.3100000000000001E-2</v>
      </c>
      <c r="Y43">
        <v>1.34E-2</v>
      </c>
      <c r="Z43">
        <v>1.3599999999999999E-2</v>
      </c>
      <c r="AA43">
        <v>1.3599999999999999E-2</v>
      </c>
      <c r="AB43">
        <v>1.37E-2</v>
      </c>
      <c r="AC43">
        <v>1.3899999999999999E-2</v>
      </c>
      <c r="AD43">
        <v>1.4200000000000001E-2</v>
      </c>
      <c r="AE43">
        <v>1.4800000000000001E-2</v>
      </c>
      <c r="AF43">
        <v>1.55E-2</v>
      </c>
      <c r="AG43">
        <v>1.61E-2</v>
      </c>
      <c r="AH43">
        <v>1.67E-2</v>
      </c>
      <c r="AI43">
        <v>1.7500000000000002E-2</v>
      </c>
      <c r="AJ43">
        <v>1.83E-2</v>
      </c>
      <c r="AK43">
        <v>1.9E-2</v>
      </c>
      <c r="AL43">
        <v>1.9800000000000002E-2</v>
      </c>
      <c r="AM43">
        <v>2.0899999999999998E-2</v>
      </c>
      <c r="AN43">
        <v>2.1700000000000001E-2</v>
      </c>
      <c r="AO43">
        <v>2.2599999999999999E-2</v>
      </c>
      <c r="AP43">
        <v>2.3199999999999998E-2</v>
      </c>
      <c r="AQ43">
        <v>2.4E-2</v>
      </c>
      <c r="AR43">
        <v>2.46E-2</v>
      </c>
      <c r="AS43">
        <v>2.4799999999999999E-2</v>
      </c>
      <c r="AT43">
        <v>2.5000000000000001E-2</v>
      </c>
      <c r="AU43">
        <v>2.5000000000000001E-2</v>
      </c>
      <c r="AV43">
        <v>2.52E-2</v>
      </c>
      <c r="AW43">
        <v>2.5899999999999999E-2</v>
      </c>
      <c r="AX43">
        <v>2.63E-2</v>
      </c>
      <c r="AY43">
        <v>2.7400000000000001E-2</v>
      </c>
      <c r="AZ43">
        <v>2.8199999999999999E-2</v>
      </c>
      <c r="BA43">
        <v>0.03</v>
      </c>
      <c r="BB43">
        <v>3.1899999999999998E-2</v>
      </c>
      <c r="BC43">
        <v>3.3300000000000003E-2</v>
      </c>
      <c r="BD43">
        <v>3.4099999999999998E-2</v>
      </c>
      <c r="BE43">
        <v>3.4599999999999999E-2</v>
      </c>
      <c r="BF43">
        <v>3.44E-2</v>
      </c>
      <c r="BG43">
        <v>3.4000000000000002E-2</v>
      </c>
      <c r="BH43">
        <v>3.4099999999999998E-2</v>
      </c>
      <c r="BI43">
        <v>3.4200000000000001E-2</v>
      </c>
      <c r="BJ43">
        <v>3.4500000000000003E-2</v>
      </c>
      <c r="BK43">
        <v>3.61E-2</v>
      </c>
      <c r="BL43">
        <v>3.7900000000000003E-2</v>
      </c>
      <c r="BM43">
        <v>3.95E-2</v>
      </c>
      <c r="BN43">
        <v>4.07E-2</v>
      </c>
      <c r="BO43">
        <v>4.1599999999999998E-2</v>
      </c>
      <c r="BP43">
        <v>4.1399999999999999E-2</v>
      </c>
      <c r="BQ43">
        <v>4.1500000000000002E-2</v>
      </c>
      <c r="BR43">
        <v>4.1599999999999998E-2</v>
      </c>
      <c r="BS43">
        <v>4.2900000000000001E-2</v>
      </c>
      <c r="BT43">
        <v>4.5699999999999998E-2</v>
      </c>
      <c r="BU43">
        <v>4.8300000000000003E-2</v>
      </c>
      <c r="BV43">
        <v>4.9799999999999997E-2</v>
      </c>
      <c r="BW43">
        <v>5.1499999999999997E-2</v>
      </c>
      <c r="BX43">
        <v>5.1200000000000002E-2</v>
      </c>
      <c r="BY43">
        <v>5.0900000000000001E-2</v>
      </c>
      <c r="BZ43">
        <v>5.0200000000000002E-2</v>
      </c>
      <c r="CA43">
        <v>5.2999999999999999E-2</v>
      </c>
      <c r="CB43">
        <v>5.6300000000000003E-2</v>
      </c>
      <c r="CC43">
        <v>5.9200000000000003E-2</v>
      </c>
      <c r="CD43">
        <v>6.1699999999999998E-2</v>
      </c>
      <c r="CE43">
        <v>5.8799999999999998E-2</v>
      </c>
      <c r="CF43">
        <v>5.45E-2</v>
      </c>
      <c r="CG43">
        <v>5.3100000000000001E-2</v>
      </c>
      <c r="CH43">
        <v>5.6300000000000003E-2</v>
      </c>
      <c r="CI43">
        <v>7.0499999999999993E-2</v>
      </c>
      <c r="CJ43">
        <v>6.83E-2</v>
      </c>
      <c r="CK43">
        <v>6.4799999999999996E-2</v>
      </c>
      <c r="CL43">
        <v>6.7400000000000002E-2</v>
      </c>
      <c r="CM43">
        <v>6.6699999999999995E-2</v>
      </c>
      <c r="CN43">
        <v>6.1499999999999999E-2</v>
      </c>
      <c r="CO43">
        <v>7.0699999999999999E-2</v>
      </c>
      <c r="CP43">
        <v>7.8100000000000003E-2</v>
      </c>
      <c r="CQ43">
        <v>6.6799999999999998E-2</v>
      </c>
      <c r="CR43">
        <v>7.7100000000000002E-2</v>
      </c>
      <c r="CS43">
        <v>5.9299999999999999E-2</v>
      </c>
      <c r="CT43">
        <v>6.8599999999999994E-2</v>
      </c>
      <c r="CU43">
        <v>6.5600000000000006E-2</v>
      </c>
      <c r="CV43">
        <v>5.7599999999999998E-2</v>
      </c>
    </row>
    <row r="44" spans="1:100" x14ac:dyDescent="0.2">
      <c r="A44" t="s">
        <v>5910</v>
      </c>
      <c r="B44">
        <v>2.6599999999999999E-2</v>
      </c>
      <c r="C44">
        <v>3.5700000000000003E-2</v>
      </c>
      <c r="D44">
        <v>3.39E-2</v>
      </c>
      <c r="E44">
        <v>3.2199999999999999E-2</v>
      </c>
      <c r="F44">
        <v>3.0099999999999998E-2</v>
      </c>
      <c r="G44">
        <v>3.2399999999999998E-2</v>
      </c>
      <c r="H44">
        <v>3.1600000000000003E-2</v>
      </c>
      <c r="I44">
        <v>2.9499999999999998E-2</v>
      </c>
      <c r="J44">
        <v>3.04E-2</v>
      </c>
      <c r="K44">
        <v>2.4400000000000002E-2</v>
      </c>
      <c r="L44">
        <v>2.3900000000000001E-2</v>
      </c>
      <c r="M44">
        <v>2.2700000000000001E-2</v>
      </c>
      <c r="N44">
        <v>2.0899999999999998E-2</v>
      </c>
      <c r="O44">
        <v>1.95E-2</v>
      </c>
      <c r="P44">
        <v>1.67E-2</v>
      </c>
      <c r="Q44">
        <v>1.5299999999999999E-2</v>
      </c>
      <c r="R44">
        <v>1.49E-2</v>
      </c>
      <c r="S44">
        <v>1.49E-2</v>
      </c>
      <c r="T44">
        <v>1.46E-2</v>
      </c>
      <c r="U44">
        <v>1.47E-2</v>
      </c>
      <c r="V44">
        <v>1.4800000000000001E-2</v>
      </c>
      <c r="W44">
        <v>1.5100000000000001E-2</v>
      </c>
      <c r="X44">
        <v>1.5299999999999999E-2</v>
      </c>
      <c r="Y44">
        <v>1.5699999999999999E-2</v>
      </c>
      <c r="Z44">
        <v>1.5900000000000001E-2</v>
      </c>
      <c r="AA44">
        <v>1.6E-2</v>
      </c>
      <c r="AB44">
        <v>1.6E-2</v>
      </c>
      <c r="AC44">
        <v>1.6299999999999999E-2</v>
      </c>
      <c r="AD44">
        <v>1.67E-2</v>
      </c>
      <c r="AE44">
        <v>1.7399999999999999E-2</v>
      </c>
      <c r="AF44">
        <v>1.8200000000000001E-2</v>
      </c>
      <c r="AG44">
        <v>1.9E-2</v>
      </c>
      <c r="AH44">
        <v>1.9699999999999999E-2</v>
      </c>
      <c r="AI44">
        <v>2.07E-2</v>
      </c>
      <c r="AJ44">
        <v>2.1600000000000001E-2</v>
      </c>
      <c r="AK44">
        <v>2.2499999999999999E-2</v>
      </c>
      <c r="AL44">
        <v>2.3300000000000001E-2</v>
      </c>
      <c r="AM44">
        <v>2.47E-2</v>
      </c>
      <c r="AN44">
        <v>2.5600000000000001E-2</v>
      </c>
      <c r="AO44">
        <v>2.6700000000000002E-2</v>
      </c>
      <c r="AP44">
        <v>2.75E-2</v>
      </c>
      <c r="AQ44">
        <v>2.8500000000000001E-2</v>
      </c>
      <c r="AR44">
        <v>2.9100000000000001E-2</v>
      </c>
      <c r="AS44">
        <v>2.9399999999999999E-2</v>
      </c>
      <c r="AT44">
        <v>2.9700000000000001E-2</v>
      </c>
      <c r="AU44">
        <v>2.9700000000000001E-2</v>
      </c>
      <c r="AV44">
        <v>0.03</v>
      </c>
      <c r="AW44">
        <v>3.09E-2</v>
      </c>
      <c r="AX44">
        <v>3.1399999999999997E-2</v>
      </c>
      <c r="AY44">
        <v>3.2599999999999997E-2</v>
      </c>
      <c r="AZ44">
        <v>3.3599999999999998E-2</v>
      </c>
      <c r="BA44">
        <v>3.5799999999999998E-2</v>
      </c>
      <c r="BB44">
        <v>3.8100000000000002E-2</v>
      </c>
      <c r="BC44">
        <v>3.9800000000000002E-2</v>
      </c>
      <c r="BD44">
        <v>4.0800000000000003E-2</v>
      </c>
      <c r="BE44">
        <v>4.1500000000000002E-2</v>
      </c>
      <c r="BF44">
        <v>4.1200000000000001E-2</v>
      </c>
      <c r="BG44">
        <v>4.0800000000000003E-2</v>
      </c>
      <c r="BH44">
        <v>4.0899999999999999E-2</v>
      </c>
      <c r="BI44">
        <v>4.1099999999999998E-2</v>
      </c>
      <c r="BJ44">
        <v>4.1500000000000002E-2</v>
      </c>
      <c r="BK44">
        <v>4.3400000000000001E-2</v>
      </c>
      <c r="BL44">
        <v>4.5699999999999998E-2</v>
      </c>
      <c r="BM44">
        <v>4.7600000000000003E-2</v>
      </c>
      <c r="BN44">
        <v>4.9099999999999998E-2</v>
      </c>
      <c r="BO44">
        <v>5.0299999999999997E-2</v>
      </c>
      <c r="BP44">
        <v>5.0099999999999999E-2</v>
      </c>
      <c r="BQ44">
        <v>5.0200000000000002E-2</v>
      </c>
      <c r="BR44">
        <v>5.04E-2</v>
      </c>
      <c r="BS44">
        <v>5.1999999999999998E-2</v>
      </c>
      <c r="BT44">
        <v>5.5599999999999997E-2</v>
      </c>
      <c r="BU44">
        <v>5.8799999999999998E-2</v>
      </c>
      <c r="BV44">
        <v>6.0699999999999997E-2</v>
      </c>
      <c r="BW44">
        <v>6.2799999999999995E-2</v>
      </c>
      <c r="BX44">
        <v>6.2600000000000003E-2</v>
      </c>
      <c r="BY44">
        <v>6.2199999999999998E-2</v>
      </c>
      <c r="BZ44">
        <v>6.1400000000000003E-2</v>
      </c>
      <c r="CA44">
        <v>6.4899999999999999E-2</v>
      </c>
      <c r="CB44">
        <v>6.9099999999999995E-2</v>
      </c>
      <c r="CC44">
        <v>7.2800000000000004E-2</v>
      </c>
      <c r="CD44">
        <v>7.5899999999999995E-2</v>
      </c>
      <c r="CE44">
        <v>7.2499999999999995E-2</v>
      </c>
      <c r="CF44">
        <v>6.7199999999999996E-2</v>
      </c>
      <c r="CG44">
        <v>6.5500000000000003E-2</v>
      </c>
      <c r="CH44">
        <v>6.9599999999999995E-2</v>
      </c>
      <c r="CI44">
        <v>8.7300000000000003E-2</v>
      </c>
      <c r="CJ44">
        <v>8.4699999999999998E-2</v>
      </c>
      <c r="CK44">
        <v>8.0399999999999999E-2</v>
      </c>
      <c r="CL44">
        <v>8.3900000000000002E-2</v>
      </c>
      <c r="CM44">
        <v>8.3000000000000004E-2</v>
      </c>
      <c r="CN44">
        <v>7.6600000000000001E-2</v>
      </c>
      <c r="CO44">
        <v>8.8300000000000003E-2</v>
      </c>
      <c r="CP44">
        <v>9.7699999999999995E-2</v>
      </c>
      <c r="CQ44">
        <v>8.3799999999999999E-2</v>
      </c>
      <c r="CR44">
        <v>9.7000000000000003E-2</v>
      </c>
      <c r="CS44">
        <v>7.4800000000000005E-2</v>
      </c>
      <c r="CT44">
        <v>8.6999999999999994E-2</v>
      </c>
      <c r="CU44">
        <v>8.3900000000000002E-2</v>
      </c>
      <c r="CV44">
        <v>7.5300000000000006E-2</v>
      </c>
    </row>
    <row r="45" spans="1:100" x14ac:dyDescent="0.2">
      <c r="A45" t="s">
        <v>5911</v>
      </c>
      <c r="B45">
        <v>1.6000000000000001E-3</v>
      </c>
      <c r="C45">
        <v>4.4999999999999997E-3</v>
      </c>
      <c r="D45">
        <v>5.8999999999999999E-3</v>
      </c>
      <c r="E45">
        <v>6.1999999999999998E-3</v>
      </c>
      <c r="F45">
        <v>6.3E-3</v>
      </c>
      <c r="G45">
        <v>7.1999999999999998E-3</v>
      </c>
      <c r="H45">
        <v>7.0000000000000001E-3</v>
      </c>
      <c r="I45">
        <v>6.6E-3</v>
      </c>
      <c r="J45">
        <v>6.7999999999999996E-3</v>
      </c>
      <c r="K45">
        <v>5.5999999999999999E-3</v>
      </c>
      <c r="L45">
        <v>5.5999999999999999E-3</v>
      </c>
      <c r="M45">
        <v>5.3E-3</v>
      </c>
      <c r="N45">
        <v>5.0000000000000001E-3</v>
      </c>
      <c r="O45">
        <v>4.7000000000000002E-3</v>
      </c>
      <c r="P45">
        <v>4.1000000000000003E-3</v>
      </c>
      <c r="Q45">
        <v>3.8E-3</v>
      </c>
      <c r="R45">
        <v>3.8E-3</v>
      </c>
      <c r="S45">
        <v>3.8E-3</v>
      </c>
      <c r="T45">
        <v>3.7000000000000002E-3</v>
      </c>
      <c r="U45">
        <v>3.7000000000000002E-3</v>
      </c>
      <c r="V45">
        <v>3.7000000000000002E-3</v>
      </c>
      <c r="W45">
        <v>3.8E-3</v>
      </c>
      <c r="X45">
        <v>3.8999999999999998E-3</v>
      </c>
      <c r="Y45">
        <v>3.8999999999999998E-3</v>
      </c>
      <c r="Z45">
        <v>4.1000000000000003E-3</v>
      </c>
      <c r="AA45">
        <v>4.1000000000000003E-3</v>
      </c>
      <c r="AB45">
        <v>4.1000000000000003E-3</v>
      </c>
      <c r="AC45">
        <v>4.1999999999999997E-3</v>
      </c>
      <c r="AD45">
        <v>4.3E-3</v>
      </c>
      <c r="AE45">
        <v>4.4000000000000003E-3</v>
      </c>
      <c r="AF45">
        <v>4.5999999999999999E-3</v>
      </c>
      <c r="AG45">
        <v>4.7000000000000002E-3</v>
      </c>
      <c r="AH45">
        <v>4.8999999999999998E-3</v>
      </c>
      <c r="AI45">
        <v>5.1000000000000004E-3</v>
      </c>
      <c r="AJ45">
        <v>5.3E-3</v>
      </c>
      <c r="AK45">
        <v>5.4999999999999997E-3</v>
      </c>
      <c r="AL45">
        <v>5.7000000000000002E-3</v>
      </c>
      <c r="AM45">
        <v>6.0000000000000001E-3</v>
      </c>
      <c r="AN45">
        <v>6.1999999999999998E-3</v>
      </c>
      <c r="AO45">
        <v>6.4999999999999997E-3</v>
      </c>
      <c r="AP45">
        <v>6.7000000000000002E-3</v>
      </c>
      <c r="AQ45">
        <v>7.0000000000000001E-3</v>
      </c>
      <c r="AR45">
        <v>7.1000000000000004E-3</v>
      </c>
      <c r="AS45">
        <v>7.1999999999999998E-3</v>
      </c>
      <c r="AT45">
        <v>7.1999999999999998E-3</v>
      </c>
      <c r="AU45">
        <v>7.1999999999999998E-3</v>
      </c>
      <c r="AV45">
        <v>7.1999999999999998E-3</v>
      </c>
      <c r="AW45">
        <v>7.4000000000000003E-3</v>
      </c>
      <c r="AX45">
        <v>7.4999999999999997E-3</v>
      </c>
      <c r="AY45">
        <v>7.7999999999999996E-3</v>
      </c>
      <c r="AZ45">
        <v>8.0000000000000002E-3</v>
      </c>
      <c r="BA45">
        <v>8.3999999999999995E-3</v>
      </c>
      <c r="BB45">
        <v>8.8999999999999999E-3</v>
      </c>
      <c r="BC45">
        <v>9.2999999999999992E-3</v>
      </c>
      <c r="BD45">
        <v>9.4999999999999998E-3</v>
      </c>
      <c r="BE45">
        <v>9.5999999999999992E-3</v>
      </c>
      <c r="BF45">
        <v>9.4999999999999998E-3</v>
      </c>
      <c r="BG45">
        <v>9.2999999999999992E-3</v>
      </c>
      <c r="BH45">
        <v>9.2999999999999992E-3</v>
      </c>
      <c r="BI45">
        <v>9.2999999999999992E-3</v>
      </c>
      <c r="BJ45">
        <v>9.2999999999999992E-3</v>
      </c>
      <c r="BK45">
        <v>9.5999999999999992E-3</v>
      </c>
      <c r="BL45">
        <v>0.01</v>
      </c>
      <c r="BM45">
        <v>1.04E-2</v>
      </c>
      <c r="BN45">
        <v>1.06E-2</v>
      </c>
      <c r="BO45">
        <v>1.0699999999999999E-2</v>
      </c>
      <c r="BP45">
        <v>1.06E-2</v>
      </c>
      <c r="BQ45">
        <v>1.06E-2</v>
      </c>
      <c r="BR45">
        <v>1.06E-2</v>
      </c>
      <c r="BS45">
        <v>1.0800000000000001E-2</v>
      </c>
      <c r="BT45">
        <v>1.15E-2</v>
      </c>
      <c r="BU45">
        <v>1.2E-2</v>
      </c>
      <c r="BV45">
        <v>1.23E-2</v>
      </c>
      <c r="BW45">
        <v>1.26E-2</v>
      </c>
      <c r="BX45">
        <v>1.24E-2</v>
      </c>
      <c r="BY45">
        <v>1.23E-2</v>
      </c>
      <c r="BZ45">
        <v>1.21E-2</v>
      </c>
      <c r="CA45">
        <v>1.2699999999999999E-2</v>
      </c>
      <c r="CB45">
        <v>1.34E-2</v>
      </c>
      <c r="CC45">
        <v>1.38E-2</v>
      </c>
      <c r="CD45">
        <v>1.44E-2</v>
      </c>
      <c r="CE45">
        <v>1.37E-2</v>
      </c>
      <c r="CF45">
        <v>1.2699999999999999E-2</v>
      </c>
      <c r="CG45">
        <v>1.2500000000000001E-2</v>
      </c>
      <c r="CH45">
        <v>1.32E-2</v>
      </c>
      <c r="CI45">
        <v>1.6500000000000001E-2</v>
      </c>
      <c r="CJ45">
        <v>1.61E-2</v>
      </c>
      <c r="CK45">
        <v>1.52E-2</v>
      </c>
      <c r="CL45">
        <v>1.5800000000000002E-2</v>
      </c>
      <c r="CM45">
        <v>1.5599999999999999E-2</v>
      </c>
      <c r="CN45">
        <v>1.46E-2</v>
      </c>
      <c r="CO45">
        <v>1.7000000000000001E-2</v>
      </c>
      <c r="CP45">
        <v>1.8800000000000001E-2</v>
      </c>
      <c r="CQ45">
        <v>1.6E-2</v>
      </c>
      <c r="CR45">
        <v>1.89E-2</v>
      </c>
      <c r="CS45">
        <v>1.4500000000000001E-2</v>
      </c>
      <c r="CT45">
        <v>1.7399999999999999E-2</v>
      </c>
      <c r="CU45">
        <v>1.7600000000000001E-2</v>
      </c>
      <c r="CV45">
        <v>1.6299999999999999E-2</v>
      </c>
    </row>
    <row r="46" spans="1:100" x14ac:dyDescent="0.2">
      <c r="A46" t="s">
        <v>5912</v>
      </c>
      <c r="B46">
        <v>4.7999999999999996E-3</v>
      </c>
      <c r="C46">
        <v>7.9000000000000008E-3</v>
      </c>
      <c r="D46">
        <v>9.1999999999999998E-3</v>
      </c>
      <c r="E46">
        <v>9.4000000000000004E-3</v>
      </c>
      <c r="F46">
        <v>9.1999999999999998E-3</v>
      </c>
      <c r="G46">
        <v>1.03E-2</v>
      </c>
      <c r="H46">
        <v>9.9000000000000008E-3</v>
      </c>
      <c r="I46">
        <v>9.4000000000000004E-3</v>
      </c>
      <c r="J46">
        <v>9.7000000000000003E-3</v>
      </c>
      <c r="K46">
        <v>7.9000000000000008E-3</v>
      </c>
      <c r="L46">
        <v>7.7999999999999996E-3</v>
      </c>
      <c r="M46">
        <v>7.4000000000000003E-3</v>
      </c>
      <c r="N46">
        <v>6.8999999999999999E-3</v>
      </c>
      <c r="O46">
        <v>6.4999999999999997E-3</v>
      </c>
      <c r="P46">
        <v>5.5999999999999999E-3</v>
      </c>
      <c r="Q46">
        <v>5.3E-3</v>
      </c>
      <c r="R46">
        <v>5.1999999999999998E-3</v>
      </c>
      <c r="S46">
        <v>5.1000000000000004E-3</v>
      </c>
      <c r="T46">
        <v>5.1000000000000004E-3</v>
      </c>
      <c r="U46">
        <v>5.1000000000000004E-3</v>
      </c>
      <c r="V46">
        <v>5.1000000000000004E-3</v>
      </c>
      <c r="W46">
        <v>5.1999999999999998E-3</v>
      </c>
      <c r="X46">
        <v>5.3E-3</v>
      </c>
      <c r="Y46">
        <v>5.4000000000000003E-3</v>
      </c>
      <c r="Z46">
        <v>5.4999999999999997E-3</v>
      </c>
      <c r="AA46">
        <v>5.4999999999999997E-3</v>
      </c>
      <c r="AB46">
        <v>5.5999999999999999E-3</v>
      </c>
      <c r="AC46">
        <v>5.7000000000000002E-3</v>
      </c>
      <c r="AD46">
        <v>5.7999999999999996E-3</v>
      </c>
      <c r="AE46">
        <v>6.0000000000000001E-3</v>
      </c>
      <c r="AF46">
        <v>6.1999999999999998E-3</v>
      </c>
      <c r="AG46">
        <v>6.4000000000000003E-3</v>
      </c>
      <c r="AH46">
        <v>6.6E-3</v>
      </c>
      <c r="AI46">
        <v>7.0000000000000001E-3</v>
      </c>
      <c r="AJ46">
        <v>7.1999999999999998E-3</v>
      </c>
      <c r="AK46">
        <v>7.4000000000000003E-3</v>
      </c>
      <c r="AL46">
        <v>7.7000000000000002E-3</v>
      </c>
      <c r="AM46">
        <v>8.0999999999999996E-3</v>
      </c>
      <c r="AN46">
        <v>8.3999999999999995E-3</v>
      </c>
      <c r="AO46">
        <v>8.8000000000000005E-3</v>
      </c>
      <c r="AP46">
        <v>8.9999999999999993E-3</v>
      </c>
      <c r="AQ46">
        <v>9.4000000000000004E-3</v>
      </c>
      <c r="AR46">
        <v>9.5999999999999992E-3</v>
      </c>
      <c r="AS46">
        <v>9.7000000000000003E-3</v>
      </c>
      <c r="AT46">
        <v>9.7000000000000003E-3</v>
      </c>
      <c r="AU46">
        <v>9.7000000000000003E-3</v>
      </c>
      <c r="AV46">
        <v>9.7000000000000003E-3</v>
      </c>
      <c r="AW46">
        <v>0.01</v>
      </c>
      <c r="AX46">
        <v>1.01E-2</v>
      </c>
      <c r="AY46">
        <v>1.0500000000000001E-2</v>
      </c>
      <c r="AZ46">
        <v>1.0699999999999999E-2</v>
      </c>
      <c r="BA46">
        <v>1.1299999999999999E-2</v>
      </c>
      <c r="BB46">
        <v>1.2E-2</v>
      </c>
      <c r="BC46">
        <v>1.24E-2</v>
      </c>
      <c r="BD46">
        <v>1.2699999999999999E-2</v>
      </c>
      <c r="BE46">
        <v>1.2800000000000001E-2</v>
      </c>
      <c r="BF46">
        <v>1.2699999999999999E-2</v>
      </c>
      <c r="BG46">
        <v>1.2500000000000001E-2</v>
      </c>
      <c r="BH46">
        <v>1.2500000000000001E-2</v>
      </c>
      <c r="BI46">
        <v>1.2500000000000001E-2</v>
      </c>
      <c r="BJ46">
        <v>1.2500000000000001E-2</v>
      </c>
      <c r="BK46">
        <v>1.2800000000000001E-2</v>
      </c>
      <c r="BL46">
        <v>1.34E-2</v>
      </c>
      <c r="BM46">
        <v>1.3899999999999999E-2</v>
      </c>
      <c r="BN46">
        <v>1.43E-2</v>
      </c>
      <c r="BO46">
        <v>1.44E-2</v>
      </c>
      <c r="BP46">
        <v>1.4200000000000001E-2</v>
      </c>
      <c r="BQ46">
        <v>1.4200000000000001E-2</v>
      </c>
      <c r="BR46">
        <v>1.43E-2</v>
      </c>
      <c r="BS46">
        <v>1.4500000000000001E-2</v>
      </c>
      <c r="BT46">
        <v>1.54E-2</v>
      </c>
      <c r="BU46">
        <v>1.61E-2</v>
      </c>
      <c r="BV46">
        <v>1.66E-2</v>
      </c>
      <c r="BW46">
        <v>1.7000000000000001E-2</v>
      </c>
      <c r="BX46">
        <v>1.67E-2</v>
      </c>
      <c r="BY46">
        <v>1.6500000000000001E-2</v>
      </c>
      <c r="BZ46">
        <v>1.6199999999999999E-2</v>
      </c>
      <c r="CA46">
        <v>1.7000000000000001E-2</v>
      </c>
      <c r="CB46">
        <v>1.7999999999999999E-2</v>
      </c>
      <c r="CC46">
        <v>1.8599999999999998E-2</v>
      </c>
      <c r="CD46">
        <v>1.9400000000000001E-2</v>
      </c>
      <c r="CE46">
        <v>1.84E-2</v>
      </c>
      <c r="CF46">
        <v>1.7100000000000001E-2</v>
      </c>
      <c r="CG46">
        <v>1.6799999999999999E-2</v>
      </c>
      <c r="CH46">
        <v>1.78E-2</v>
      </c>
      <c r="CI46">
        <v>2.2200000000000001E-2</v>
      </c>
      <c r="CJ46">
        <v>2.1600000000000001E-2</v>
      </c>
      <c r="CK46">
        <v>2.0400000000000001E-2</v>
      </c>
      <c r="CL46">
        <v>2.1299999999999999E-2</v>
      </c>
      <c r="CM46">
        <v>2.0899999999999998E-2</v>
      </c>
      <c r="CN46">
        <v>1.9699999999999999E-2</v>
      </c>
      <c r="CO46">
        <v>2.29E-2</v>
      </c>
      <c r="CP46">
        <v>2.53E-2</v>
      </c>
      <c r="CQ46">
        <v>2.1700000000000001E-2</v>
      </c>
      <c r="CR46">
        <v>2.5600000000000001E-2</v>
      </c>
      <c r="CS46">
        <v>1.9699999999999999E-2</v>
      </c>
      <c r="CT46">
        <v>2.3699999999999999E-2</v>
      </c>
      <c r="CU46">
        <v>2.4199999999999999E-2</v>
      </c>
      <c r="CV46">
        <v>2.3E-2</v>
      </c>
    </row>
    <row r="47" spans="1:100" x14ac:dyDescent="0.2">
      <c r="A47" t="s">
        <v>5913</v>
      </c>
      <c r="B47">
        <v>-3.8E-3</v>
      </c>
      <c r="C47">
        <v>-4.5999999999999999E-3</v>
      </c>
      <c r="D47">
        <v>-4.1999999999999997E-3</v>
      </c>
      <c r="E47">
        <v>-3.7000000000000002E-3</v>
      </c>
      <c r="F47">
        <v>-3.3999999999999998E-3</v>
      </c>
      <c r="G47">
        <v>-3.3999999999999998E-3</v>
      </c>
      <c r="H47">
        <v>-3.0000000000000001E-3</v>
      </c>
      <c r="I47">
        <v>-2.5999999999999999E-3</v>
      </c>
      <c r="J47">
        <v>-2.5000000000000001E-3</v>
      </c>
      <c r="K47">
        <v>-1.9E-3</v>
      </c>
      <c r="L47">
        <v>-1.8E-3</v>
      </c>
      <c r="M47">
        <v>-1.6000000000000001E-3</v>
      </c>
      <c r="N47">
        <v>-1.4E-3</v>
      </c>
      <c r="O47">
        <v>-1.1999999999999999E-3</v>
      </c>
      <c r="P47">
        <v>-1E-3</v>
      </c>
      <c r="Q47">
        <v>-8.9999999999999998E-4</v>
      </c>
      <c r="R47">
        <v>-8.9999999999999998E-4</v>
      </c>
      <c r="S47">
        <v>-8.9999999999999998E-4</v>
      </c>
      <c r="T47">
        <v>-8.9999999999999998E-4</v>
      </c>
      <c r="U47">
        <v>-8.9999999999999998E-4</v>
      </c>
      <c r="V47">
        <v>-8.9999999999999998E-4</v>
      </c>
      <c r="W47">
        <v>-1E-3</v>
      </c>
      <c r="X47">
        <v>-1E-3</v>
      </c>
      <c r="Y47">
        <v>-1.1000000000000001E-3</v>
      </c>
      <c r="Z47">
        <v>-1.1000000000000001E-3</v>
      </c>
      <c r="AA47">
        <v>-1.1000000000000001E-3</v>
      </c>
      <c r="AB47">
        <v>-1.1000000000000001E-3</v>
      </c>
      <c r="AC47">
        <v>-1.1999999999999999E-3</v>
      </c>
      <c r="AD47">
        <v>-1.1999999999999999E-3</v>
      </c>
      <c r="AE47">
        <v>-1.2999999999999999E-3</v>
      </c>
      <c r="AF47">
        <v>-1.4E-3</v>
      </c>
      <c r="AG47">
        <v>-1.5E-3</v>
      </c>
      <c r="AH47">
        <v>-1.5E-3</v>
      </c>
      <c r="AI47">
        <v>-1.6000000000000001E-3</v>
      </c>
      <c r="AJ47">
        <v>-1.6999999999999999E-3</v>
      </c>
      <c r="AK47">
        <v>-1.8E-3</v>
      </c>
      <c r="AL47">
        <v>-1.9E-3</v>
      </c>
      <c r="AM47">
        <v>-2E-3</v>
      </c>
      <c r="AN47">
        <v>-2.0999999999999999E-3</v>
      </c>
      <c r="AO47">
        <v>-2.2000000000000001E-3</v>
      </c>
      <c r="AP47">
        <v>-2.3E-3</v>
      </c>
      <c r="AQ47">
        <v>-2.3E-3</v>
      </c>
      <c r="AR47">
        <v>-2.3999999999999998E-3</v>
      </c>
      <c r="AS47">
        <v>-2.3999999999999998E-3</v>
      </c>
      <c r="AT47">
        <v>-2.3999999999999998E-3</v>
      </c>
      <c r="AU47">
        <v>-2.3999999999999998E-3</v>
      </c>
      <c r="AV47">
        <v>-2.3999999999999998E-3</v>
      </c>
      <c r="AW47">
        <v>-2.5000000000000001E-3</v>
      </c>
      <c r="AX47">
        <v>-2.5000000000000001E-3</v>
      </c>
      <c r="AY47">
        <v>-2.5999999999999999E-3</v>
      </c>
      <c r="AZ47">
        <v>-2.7000000000000001E-3</v>
      </c>
      <c r="BA47">
        <v>-2.8E-3</v>
      </c>
      <c r="BB47">
        <v>-3.0000000000000001E-3</v>
      </c>
      <c r="BC47">
        <v>-3.0000000000000001E-3</v>
      </c>
      <c r="BD47">
        <v>-3.0999999999999999E-3</v>
      </c>
      <c r="BE47">
        <v>-3.0999999999999999E-3</v>
      </c>
      <c r="BF47">
        <v>-3.0000000000000001E-3</v>
      </c>
      <c r="BG47">
        <v>-3.0000000000000001E-3</v>
      </c>
      <c r="BH47">
        <v>-2.8999999999999998E-3</v>
      </c>
      <c r="BI47">
        <v>-2.8999999999999998E-3</v>
      </c>
      <c r="BJ47">
        <v>-2.8999999999999998E-3</v>
      </c>
      <c r="BK47">
        <v>-3.0000000000000001E-3</v>
      </c>
      <c r="BL47">
        <v>-3.2000000000000002E-3</v>
      </c>
      <c r="BM47">
        <v>-3.2000000000000002E-3</v>
      </c>
      <c r="BN47">
        <v>-3.3E-3</v>
      </c>
      <c r="BO47">
        <v>-3.3E-3</v>
      </c>
      <c r="BP47">
        <v>-3.2000000000000002E-3</v>
      </c>
      <c r="BQ47">
        <v>-3.2000000000000002E-3</v>
      </c>
      <c r="BR47">
        <v>-3.2000000000000002E-3</v>
      </c>
      <c r="BS47">
        <v>-3.2000000000000002E-3</v>
      </c>
      <c r="BT47">
        <v>-3.3999999999999998E-3</v>
      </c>
      <c r="BU47">
        <v>-3.5000000000000001E-3</v>
      </c>
      <c r="BV47">
        <v>-3.5999999999999999E-3</v>
      </c>
      <c r="BW47">
        <v>-3.7000000000000002E-3</v>
      </c>
      <c r="BX47">
        <v>-3.5999999999999999E-3</v>
      </c>
      <c r="BY47">
        <v>-3.5999999999999999E-3</v>
      </c>
      <c r="BZ47">
        <v>-3.3999999999999998E-3</v>
      </c>
      <c r="CA47">
        <v>-3.5999999999999999E-3</v>
      </c>
      <c r="CB47">
        <v>-3.8E-3</v>
      </c>
      <c r="CC47">
        <v>-3.8999999999999998E-3</v>
      </c>
      <c r="CD47">
        <v>-4.0000000000000001E-3</v>
      </c>
      <c r="CE47">
        <v>-3.8E-3</v>
      </c>
      <c r="CF47">
        <v>-3.5999999999999999E-3</v>
      </c>
      <c r="CG47">
        <v>-3.5000000000000001E-3</v>
      </c>
      <c r="CH47">
        <v>-3.7000000000000002E-3</v>
      </c>
      <c r="CI47">
        <v>-4.4999999999999997E-3</v>
      </c>
      <c r="CJ47">
        <v>-4.4000000000000003E-3</v>
      </c>
      <c r="CK47">
        <v>-4.3E-3</v>
      </c>
      <c r="CL47">
        <v>-4.4000000000000003E-3</v>
      </c>
      <c r="CM47">
        <v>-4.4000000000000003E-3</v>
      </c>
      <c r="CN47">
        <v>-4.3E-3</v>
      </c>
      <c r="CO47">
        <v>-5.0000000000000001E-3</v>
      </c>
      <c r="CP47">
        <v>-5.4999999999999997E-3</v>
      </c>
      <c r="CQ47">
        <v>-4.7999999999999996E-3</v>
      </c>
      <c r="CR47">
        <v>-6.0000000000000001E-3</v>
      </c>
      <c r="CS47">
        <v>-4.7000000000000002E-3</v>
      </c>
      <c r="CT47">
        <v>-5.4000000000000003E-3</v>
      </c>
      <c r="CU47">
        <v>-5.5999999999999999E-3</v>
      </c>
      <c r="CV47">
        <v>-5.4999999999999997E-3</v>
      </c>
    </row>
    <row r="48" spans="1:100" x14ac:dyDescent="0.2">
      <c r="A48" t="s">
        <v>5914</v>
      </c>
      <c r="B48">
        <v>-1.1000000000000001E-3</v>
      </c>
      <c r="C48">
        <v>-1.2999999999999999E-3</v>
      </c>
      <c r="D48">
        <v>-1.1999999999999999E-3</v>
      </c>
      <c r="E48">
        <v>-1.1000000000000001E-3</v>
      </c>
      <c r="F48">
        <v>-1E-3</v>
      </c>
      <c r="G48">
        <v>-1E-3</v>
      </c>
      <c r="H48">
        <v>-8.9999999999999998E-4</v>
      </c>
      <c r="I48">
        <v>-8.0000000000000004E-4</v>
      </c>
      <c r="J48">
        <v>-6.9999999999999999E-4</v>
      </c>
      <c r="K48">
        <v>-5.9999999999999995E-4</v>
      </c>
      <c r="L48">
        <v>-5.0000000000000001E-4</v>
      </c>
      <c r="M48">
        <v>-5.0000000000000001E-4</v>
      </c>
      <c r="N48">
        <v>-4.0000000000000002E-4</v>
      </c>
      <c r="O48">
        <v>-2.9999999999999997E-4</v>
      </c>
      <c r="P48">
        <v>-2.9999999999999997E-4</v>
      </c>
      <c r="Q48">
        <v>-2.9999999999999997E-4</v>
      </c>
      <c r="R48">
        <v>-2.9999999999999997E-4</v>
      </c>
      <c r="S48">
        <v>-2.9999999999999997E-4</v>
      </c>
      <c r="T48">
        <v>-2.9999999999999997E-4</v>
      </c>
      <c r="U48">
        <v>-2.9999999999999997E-4</v>
      </c>
      <c r="V48">
        <v>-2.9999999999999997E-4</v>
      </c>
      <c r="W48">
        <v>-2.9999999999999997E-4</v>
      </c>
      <c r="X48">
        <v>-2.9999999999999997E-4</v>
      </c>
      <c r="Y48">
        <v>-2.9999999999999997E-4</v>
      </c>
      <c r="Z48">
        <v>-2.9999999999999997E-4</v>
      </c>
      <c r="AA48">
        <v>-2.9999999999999997E-4</v>
      </c>
      <c r="AB48">
        <v>-2.9999999999999997E-4</v>
      </c>
      <c r="AC48">
        <v>-4.0000000000000002E-4</v>
      </c>
      <c r="AD48">
        <v>-4.0000000000000002E-4</v>
      </c>
      <c r="AE48">
        <v>-4.0000000000000002E-4</v>
      </c>
      <c r="AF48">
        <v>-4.0000000000000002E-4</v>
      </c>
      <c r="AG48">
        <v>-4.0000000000000002E-4</v>
      </c>
      <c r="AH48">
        <v>-5.0000000000000001E-4</v>
      </c>
      <c r="AI48">
        <v>-5.0000000000000001E-4</v>
      </c>
      <c r="AJ48">
        <v>-5.0000000000000001E-4</v>
      </c>
      <c r="AK48">
        <v>-5.0000000000000001E-4</v>
      </c>
      <c r="AL48">
        <v>-5.0000000000000001E-4</v>
      </c>
      <c r="AM48">
        <v>-5.9999999999999995E-4</v>
      </c>
      <c r="AN48">
        <v>-5.9999999999999995E-4</v>
      </c>
      <c r="AO48">
        <v>-6.9999999999999999E-4</v>
      </c>
      <c r="AP48">
        <v>-6.9999999999999999E-4</v>
      </c>
      <c r="AQ48">
        <v>-6.9999999999999999E-4</v>
      </c>
      <c r="AR48">
        <v>-6.9999999999999999E-4</v>
      </c>
      <c r="AS48">
        <v>-6.9999999999999999E-4</v>
      </c>
      <c r="AT48">
        <v>-6.9999999999999999E-4</v>
      </c>
      <c r="AU48">
        <v>-6.9999999999999999E-4</v>
      </c>
      <c r="AV48">
        <v>-6.9999999999999999E-4</v>
      </c>
      <c r="AW48">
        <v>-6.9999999999999999E-4</v>
      </c>
      <c r="AX48">
        <v>-6.9999999999999999E-4</v>
      </c>
      <c r="AY48">
        <v>-8.0000000000000004E-4</v>
      </c>
      <c r="AZ48">
        <v>-8.0000000000000004E-4</v>
      </c>
      <c r="BA48">
        <v>-8.0000000000000004E-4</v>
      </c>
      <c r="BB48">
        <v>-8.9999999999999998E-4</v>
      </c>
      <c r="BC48">
        <v>-8.9999999999999998E-4</v>
      </c>
      <c r="BD48">
        <v>-8.9999999999999998E-4</v>
      </c>
      <c r="BE48">
        <v>-8.9999999999999998E-4</v>
      </c>
      <c r="BF48">
        <v>-8.9999999999999998E-4</v>
      </c>
      <c r="BG48">
        <v>-8.9999999999999998E-4</v>
      </c>
      <c r="BH48">
        <v>-8.9999999999999998E-4</v>
      </c>
      <c r="BI48">
        <v>-8.9999999999999998E-4</v>
      </c>
      <c r="BJ48">
        <v>-8.9999999999999998E-4</v>
      </c>
      <c r="BK48">
        <v>-8.9999999999999998E-4</v>
      </c>
      <c r="BL48">
        <v>-8.9999999999999998E-4</v>
      </c>
      <c r="BM48">
        <v>-8.9999999999999998E-4</v>
      </c>
      <c r="BN48">
        <v>-1E-3</v>
      </c>
      <c r="BO48">
        <v>-1E-3</v>
      </c>
      <c r="BP48">
        <v>-8.9999999999999998E-4</v>
      </c>
      <c r="BQ48">
        <v>-8.9999999999999998E-4</v>
      </c>
      <c r="BR48">
        <v>-8.9999999999999998E-4</v>
      </c>
      <c r="BS48">
        <v>-8.9999999999999998E-4</v>
      </c>
      <c r="BT48">
        <v>-1E-3</v>
      </c>
      <c r="BU48">
        <v>-1E-3</v>
      </c>
      <c r="BV48">
        <v>-1.1000000000000001E-3</v>
      </c>
      <c r="BW48">
        <v>-1.1000000000000001E-3</v>
      </c>
      <c r="BX48">
        <v>-1.1000000000000001E-3</v>
      </c>
      <c r="BY48">
        <v>-1.1000000000000001E-3</v>
      </c>
      <c r="BZ48">
        <v>-1E-3</v>
      </c>
      <c r="CA48">
        <v>-1.1000000000000001E-3</v>
      </c>
      <c r="CB48">
        <v>-1.1000000000000001E-3</v>
      </c>
      <c r="CC48">
        <v>-1.1000000000000001E-3</v>
      </c>
      <c r="CD48">
        <v>-1.1999999999999999E-3</v>
      </c>
      <c r="CE48">
        <v>-1.1000000000000001E-3</v>
      </c>
      <c r="CF48">
        <v>-1.1000000000000001E-3</v>
      </c>
      <c r="CG48">
        <v>-1E-3</v>
      </c>
      <c r="CH48">
        <v>-1.1000000000000001E-3</v>
      </c>
      <c r="CI48">
        <v>-1.2999999999999999E-3</v>
      </c>
      <c r="CJ48">
        <v>-1.2999999999999999E-3</v>
      </c>
      <c r="CK48">
        <v>-1.2999999999999999E-3</v>
      </c>
      <c r="CL48">
        <v>-1.2999999999999999E-3</v>
      </c>
      <c r="CM48">
        <v>-1.2999999999999999E-3</v>
      </c>
      <c r="CN48">
        <v>-1.1999999999999999E-3</v>
      </c>
      <c r="CO48">
        <v>-1.5E-3</v>
      </c>
      <c r="CP48">
        <v>-1.6000000000000001E-3</v>
      </c>
      <c r="CQ48">
        <v>-1.4E-3</v>
      </c>
      <c r="CR48">
        <v>-1.6999999999999999E-3</v>
      </c>
      <c r="CS48">
        <v>-1.4E-3</v>
      </c>
      <c r="CT48">
        <v>-1.6000000000000001E-3</v>
      </c>
      <c r="CU48">
        <v>-1.6000000000000001E-3</v>
      </c>
      <c r="CV48">
        <v>-1.5E-3</v>
      </c>
    </row>
    <row r="49" spans="1:100" x14ac:dyDescent="0.2">
      <c r="A49" t="s">
        <v>5915</v>
      </c>
      <c r="B49">
        <v>-3.0000000000000001E-3</v>
      </c>
      <c r="C49">
        <v>-3.3999999999999998E-3</v>
      </c>
      <c r="D49">
        <v>-3.0999999999999999E-3</v>
      </c>
      <c r="E49">
        <v>-2.8E-3</v>
      </c>
      <c r="F49">
        <v>-2.5000000000000001E-3</v>
      </c>
      <c r="G49">
        <v>-2.5000000000000001E-3</v>
      </c>
      <c r="H49">
        <v>-2.3999999999999998E-3</v>
      </c>
      <c r="I49">
        <v>-2.3999999999999998E-3</v>
      </c>
      <c r="J49">
        <v>-2.3E-3</v>
      </c>
      <c r="K49">
        <v>-1.9E-3</v>
      </c>
      <c r="L49">
        <v>-1.9E-3</v>
      </c>
      <c r="M49">
        <v>-1.9E-3</v>
      </c>
      <c r="N49">
        <v>-1.8E-3</v>
      </c>
      <c r="O49">
        <v>-1.6999999999999999E-3</v>
      </c>
      <c r="P49">
        <v>-1.4E-3</v>
      </c>
      <c r="Q49">
        <v>-1.4E-3</v>
      </c>
      <c r="R49">
        <v>-1.2999999999999999E-3</v>
      </c>
      <c r="S49">
        <v>-1.2999999999999999E-3</v>
      </c>
      <c r="T49">
        <v>-1.2999999999999999E-3</v>
      </c>
      <c r="U49">
        <v>-1.2999999999999999E-3</v>
      </c>
      <c r="V49">
        <v>-1.2999999999999999E-3</v>
      </c>
      <c r="W49">
        <v>-1.2999999999999999E-3</v>
      </c>
      <c r="X49">
        <v>-1.2999999999999999E-3</v>
      </c>
      <c r="Y49">
        <v>-1.4E-3</v>
      </c>
      <c r="Z49">
        <v>-1.2999999999999999E-3</v>
      </c>
      <c r="AA49">
        <v>-1.2999999999999999E-3</v>
      </c>
      <c r="AB49">
        <v>-1.4E-3</v>
      </c>
      <c r="AC49">
        <v>-1.4E-3</v>
      </c>
      <c r="AD49">
        <v>-1.4E-3</v>
      </c>
      <c r="AE49">
        <v>-1.6000000000000001E-3</v>
      </c>
      <c r="AF49">
        <v>-1.6000000000000001E-3</v>
      </c>
      <c r="AG49">
        <v>-1.6999999999999999E-3</v>
      </c>
      <c r="AH49">
        <v>-1.6999999999999999E-3</v>
      </c>
      <c r="AI49">
        <v>-1.8E-3</v>
      </c>
      <c r="AJ49">
        <v>-1.9E-3</v>
      </c>
      <c r="AK49">
        <v>-1.9E-3</v>
      </c>
      <c r="AL49">
        <v>-2E-3</v>
      </c>
      <c r="AM49">
        <v>-2.0999999999999999E-3</v>
      </c>
      <c r="AN49">
        <v>-2.2000000000000001E-3</v>
      </c>
      <c r="AO49">
        <v>-2.2000000000000001E-3</v>
      </c>
      <c r="AP49">
        <v>-2.3E-3</v>
      </c>
      <c r="AQ49">
        <v>-2.3999999999999998E-3</v>
      </c>
      <c r="AR49">
        <v>-2.3999999999999998E-3</v>
      </c>
      <c r="AS49">
        <v>-2.3999999999999998E-3</v>
      </c>
      <c r="AT49">
        <v>-2.3999999999999998E-3</v>
      </c>
      <c r="AU49">
        <v>-2.3999999999999998E-3</v>
      </c>
      <c r="AV49">
        <v>-2.5000000000000001E-3</v>
      </c>
      <c r="AW49">
        <v>-2.3999999999999998E-3</v>
      </c>
      <c r="AX49">
        <v>-2.5000000000000001E-3</v>
      </c>
      <c r="AY49">
        <v>-2.5999999999999999E-3</v>
      </c>
      <c r="AZ49">
        <v>-2.5999999999999999E-3</v>
      </c>
      <c r="BA49">
        <v>-2.7000000000000001E-3</v>
      </c>
      <c r="BB49">
        <v>-2.8999999999999998E-3</v>
      </c>
      <c r="BC49">
        <v>-3.0999999999999999E-3</v>
      </c>
      <c r="BD49">
        <v>-3.0999999999999999E-3</v>
      </c>
      <c r="BE49">
        <v>-3.0999999999999999E-3</v>
      </c>
      <c r="BF49">
        <v>-3.0999999999999999E-3</v>
      </c>
      <c r="BG49">
        <v>-3.0999999999999999E-3</v>
      </c>
      <c r="BH49">
        <v>-3.2000000000000002E-3</v>
      </c>
      <c r="BI49">
        <v>-3.0999999999999999E-3</v>
      </c>
      <c r="BJ49">
        <v>-3.0999999999999999E-3</v>
      </c>
      <c r="BK49">
        <v>-3.3E-3</v>
      </c>
      <c r="BL49">
        <v>-3.5000000000000001E-3</v>
      </c>
      <c r="BM49">
        <v>-3.5999999999999999E-3</v>
      </c>
      <c r="BN49">
        <v>-3.7000000000000002E-3</v>
      </c>
      <c r="BO49">
        <v>-3.8E-3</v>
      </c>
      <c r="BP49">
        <v>-3.8999999999999998E-3</v>
      </c>
      <c r="BQ49">
        <v>-3.8999999999999998E-3</v>
      </c>
      <c r="BR49">
        <v>-3.8E-3</v>
      </c>
      <c r="BS49">
        <v>-3.8999999999999998E-3</v>
      </c>
      <c r="BT49">
        <v>-4.1999999999999997E-3</v>
      </c>
      <c r="BU49">
        <v>-4.4000000000000003E-3</v>
      </c>
      <c r="BV49">
        <v>-4.4999999999999997E-3</v>
      </c>
      <c r="BW49">
        <v>-4.4999999999999997E-3</v>
      </c>
      <c r="BX49">
        <v>-4.4999999999999997E-3</v>
      </c>
      <c r="BY49">
        <v>-4.5999999999999999E-3</v>
      </c>
      <c r="BZ49">
        <v>-4.4000000000000003E-3</v>
      </c>
      <c r="CA49">
        <v>-4.5999999999999999E-3</v>
      </c>
      <c r="CB49">
        <v>-4.7999999999999996E-3</v>
      </c>
      <c r="CC49">
        <v>-5.0000000000000001E-3</v>
      </c>
      <c r="CD49">
        <v>-5.1999999999999998E-3</v>
      </c>
      <c r="CE49">
        <v>-5.0000000000000001E-3</v>
      </c>
      <c r="CF49">
        <v>-4.7000000000000002E-3</v>
      </c>
      <c r="CG49">
        <v>-4.3E-3</v>
      </c>
      <c r="CH49">
        <v>-4.5999999999999999E-3</v>
      </c>
      <c r="CI49">
        <v>-5.7000000000000002E-3</v>
      </c>
      <c r="CJ49">
        <v>-5.4999999999999997E-3</v>
      </c>
      <c r="CK49">
        <v>-5.4000000000000003E-3</v>
      </c>
      <c r="CL49">
        <v>-5.4999999999999997E-3</v>
      </c>
      <c r="CM49">
        <v>-5.3E-3</v>
      </c>
      <c r="CN49">
        <v>-5.1000000000000004E-3</v>
      </c>
      <c r="CO49">
        <v>-5.8999999999999999E-3</v>
      </c>
      <c r="CP49">
        <v>-6.7999999999999996E-3</v>
      </c>
      <c r="CQ49">
        <v>-6.0000000000000001E-3</v>
      </c>
      <c r="CR49">
        <v>-6.8999999999999999E-3</v>
      </c>
      <c r="CS49">
        <v>-5.4999999999999997E-3</v>
      </c>
      <c r="CT49">
        <v>-6.8999999999999999E-3</v>
      </c>
      <c r="CU49">
        <v>-6.6E-3</v>
      </c>
      <c r="CV49">
        <v>-5.8999999999999999E-3</v>
      </c>
    </row>
    <row r="50" spans="1:100" x14ac:dyDescent="0.2">
      <c r="A50" t="s">
        <v>5916</v>
      </c>
      <c r="B50">
        <v>-1.2999999999999999E-3</v>
      </c>
      <c r="C50">
        <v>-1.6000000000000001E-3</v>
      </c>
      <c r="D50">
        <v>-1.5E-3</v>
      </c>
      <c r="E50">
        <v>-1.5E-3</v>
      </c>
      <c r="F50">
        <v>-1.2999999999999999E-3</v>
      </c>
      <c r="G50">
        <v>-1.2999999999999999E-3</v>
      </c>
      <c r="H50">
        <v>-1.2999999999999999E-3</v>
      </c>
      <c r="I50">
        <v>-1.2999999999999999E-3</v>
      </c>
      <c r="J50">
        <v>-1.1999999999999999E-3</v>
      </c>
      <c r="K50">
        <v>-1.1000000000000001E-3</v>
      </c>
      <c r="L50">
        <v>-1.1000000000000001E-3</v>
      </c>
      <c r="M50">
        <v>-1.1000000000000001E-3</v>
      </c>
      <c r="N50">
        <v>-1.1000000000000001E-3</v>
      </c>
      <c r="O50">
        <v>-1E-3</v>
      </c>
      <c r="P50">
        <v>-8.9999999999999998E-4</v>
      </c>
      <c r="Q50">
        <v>-8.9999999999999998E-4</v>
      </c>
      <c r="R50">
        <v>-8.0000000000000004E-4</v>
      </c>
      <c r="S50">
        <v>-8.0000000000000004E-4</v>
      </c>
      <c r="T50">
        <v>-8.0000000000000004E-4</v>
      </c>
      <c r="U50">
        <v>-8.0000000000000004E-4</v>
      </c>
      <c r="V50">
        <v>-8.0000000000000004E-4</v>
      </c>
      <c r="W50">
        <v>-8.9999999999999998E-4</v>
      </c>
      <c r="X50">
        <v>-8.0000000000000004E-4</v>
      </c>
      <c r="Y50">
        <v>-8.9999999999999998E-4</v>
      </c>
      <c r="Z50">
        <v>-8.9999999999999998E-4</v>
      </c>
      <c r="AA50">
        <v>-8.9999999999999998E-4</v>
      </c>
      <c r="AB50">
        <v>-8.9999999999999998E-4</v>
      </c>
      <c r="AC50">
        <v>-8.9999999999999998E-4</v>
      </c>
      <c r="AD50">
        <v>-8.9999999999999998E-4</v>
      </c>
      <c r="AE50">
        <v>-1E-3</v>
      </c>
      <c r="AF50">
        <v>-1E-3</v>
      </c>
      <c r="AG50">
        <v>-1.1000000000000001E-3</v>
      </c>
      <c r="AH50">
        <v>-1.1000000000000001E-3</v>
      </c>
      <c r="AI50">
        <v>-1.1999999999999999E-3</v>
      </c>
      <c r="AJ50">
        <v>-1.1999999999999999E-3</v>
      </c>
      <c r="AK50">
        <v>-1.2999999999999999E-3</v>
      </c>
      <c r="AL50">
        <v>-1.2999999999999999E-3</v>
      </c>
      <c r="AM50">
        <v>-1.4E-3</v>
      </c>
      <c r="AN50">
        <v>-1.5E-3</v>
      </c>
      <c r="AO50">
        <v>-1.5E-3</v>
      </c>
      <c r="AP50">
        <v>-1.5E-3</v>
      </c>
      <c r="AQ50">
        <v>-1.5E-3</v>
      </c>
      <c r="AR50">
        <v>-1.6000000000000001E-3</v>
      </c>
      <c r="AS50">
        <v>-1.6000000000000001E-3</v>
      </c>
      <c r="AT50">
        <v>-1.6000000000000001E-3</v>
      </c>
      <c r="AU50">
        <v>-1.6000000000000001E-3</v>
      </c>
      <c r="AV50">
        <v>-1.6000000000000001E-3</v>
      </c>
      <c r="AW50">
        <v>-1.6000000000000001E-3</v>
      </c>
      <c r="AX50">
        <v>-1.6999999999999999E-3</v>
      </c>
      <c r="AY50">
        <v>-1.6999999999999999E-3</v>
      </c>
      <c r="AZ50">
        <v>-1.6999999999999999E-3</v>
      </c>
      <c r="BA50">
        <v>-1.8E-3</v>
      </c>
      <c r="BB50">
        <v>-1.9E-3</v>
      </c>
      <c r="BC50">
        <v>-2E-3</v>
      </c>
      <c r="BD50">
        <v>-2E-3</v>
      </c>
      <c r="BE50">
        <v>-2.0999999999999999E-3</v>
      </c>
      <c r="BF50">
        <v>-2.0999999999999999E-3</v>
      </c>
      <c r="BG50">
        <v>-2.0999999999999999E-3</v>
      </c>
      <c r="BH50">
        <v>-2.0999999999999999E-3</v>
      </c>
      <c r="BI50">
        <v>-2.0999999999999999E-3</v>
      </c>
      <c r="BJ50">
        <v>-2E-3</v>
      </c>
      <c r="BK50">
        <v>-2.2000000000000001E-3</v>
      </c>
      <c r="BL50">
        <v>-2.3E-3</v>
      </c>
      <c r="BM50">
        <v>-2.3999999999999998E-3</v>
      </c>
      <c r="BN50">
        <v>-2.5000000000000001E-3</v>
      </c>
      <c r="BO50">
        <v>-2.5000000000000001E-3</v>
      </c>
      <c r="BP50">
        <v>-2.5999999999999999E-3</v>
      </c>
      <c r="BQ50">
        <v>-2.5999999999999999E-3</v>
      </c>
      <c r="BR50">
        <v>-2.5000000000000001E-3</v>
      </c>
      <c r="BS50">
        <v>-2.5999999999999999E-3</v>
      </c>
      <c r="BT50">
        <v>-2.8E-3</v>
      </c>
      <c r="BU50">
        <v>-2.8999999999999998E-3</v>
      </c>
      <c r="BV50">
        <v>-3.0000000000000001E-3</v>
      </c>
      <c r="BW50">
        <v>-3.0000000000000001E-3</v>
      </c>
      <c r="BX50">
        <v>-3.0000000000000001E-3</v>
      </c>
      <c r="BY50">
        <v>-3.0999999999999999E-3</v>
      </c>
      <c r="BZ50">
        <v>-2.8999999999999998E-3</v>
      </c>
      <c r="CA50">
        <v>-3.0000000000000001E-3</v>
      </c>
      <c r="CB50">
        <v>-3.2000000000000002E-3</v>
      </c>
      <c r="CC50">
        <v>-3.3E-3</v>
      </c>
      <c r="CD50">
        <v>-3.3999999999999998E-3</v>
      </c>
      <c r="CE50">
        <v>-3.3E-3</v>
      </c>
      <c r="CF50">
        <v>-3.0999999999999999E-3</v>
      </c>
      <c r="CG50">
        <v>-2.8E-3</v>
      </c>
      <c r="CH50">
        <v>-3.0000000000000001E-3</v>
      </c>
      <c r="CI50">
        <v>-3.8E-3</v>
      </c>
      <c r="CJ50">
        <v>-3.5999999999999999E-3</v>
      </c>
      <c r="CK50">
        <v>-3.5000000000000001E-3</v>
      </c>
      <c r="CL50">
        <v>-3.5999999999999999E-3</v>
      </c>
      <c r="CM50">
        <v>-3.5000000000000001E-3</v>
      </c>
      <c r="CN50">
        <v>-3.3E-3</v>
      </c>
      <c r="CO50">
        <v>-3.8999999999999998E-3</v>
      </c>
      <c r="CP50">
        <v>-4.4000000000000003E-3</v>
      </c>
      <c r="CQ50">
        <v>-3.8999999999999998E-3</v>
      </c>
      <c r="CR50">
        <v>-4.4000000000000003E-3</v>
      </c>
      <c r="CS50">
        <v>-3.5000000000000001E-3</v>
      </c>
      <c r="CT50">
        <v>-4.3E-3</v>
      </c>
      <c r="CU50">
        <v>-4.0000000000000001E-3</v>
      </c>
      <c r="CV50">
        <v>-3.2000000000000002E-3</v>
      </c>
    </row>
    <row r="51" spans="1:100" x14ac:dyDescent="0.2">
      <c r="A51" t="s">
        <v>5917</v>
      </c>
      <c r="B51">
        <v>8.0000000000000004E-4</v>
      </c>
      <c r="C51">
        <v>1E-3</v>
      </c>
      <c r="D51">
        <v>8.9999999999999998E-4</v>
      </c>
      <c r="E51">
        <v>8.0000000000000004E-4</v>
      </c>
      <c r="F51">
        <v>6.9999999999999999E-4</v>
      </c>
      <c r="G51">
        <v>6.9999999999999999E-4</v>
      </c>
      <c r="H51">
        <v>6.9999999999999999E-4</v>
      </c>
      <c r="I51">
        <v>5.9999999999999995E-4</v>
      </c>
      <c r="J51">
        <v>5.9999999999999995E-4</v>
      </c>
      <c r="K51">
        <v>5.0000000000000001E-4</v>
      </c>
      <c r="L51">
        <v>4.0000000000000002E-4</v>
      </c>
      <c r="M51">
        <v>4.0000000000000002E-4</v>
      </c>
      <c r="N51">
        <v>2.9999999999999997E-4</v>
      </c>
      <c r="O51">
        <v>2.9999999999999997E-4</v>
      </c>
      <c r="P51">
        <v>2.0000000000000001E-4</v>
      </c>
      <c r="Q51">
        <v>2.0000000000000001E-4</v>
      </c>
      <c r="R51">
        <v>2.0000000000000001E-4</v>
      </c>
      <c r="S51">
        <v>2.0000000000000001E-4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1E-4</v>
      </c>
      <c r="BA51">
        <v>1E-4</v>
      </c>
      <c r="BB51">
        <v>1E-4</v>
      </c>
      <c r="BC51">
        <v>1E-4</v>
      </c>
      <c r="BD51">
        <v>1E-4</v>
      </c>
      <c r="BE51">
        <v>1E-4</v>
      </c>
      <c r="BF51">
        <v>1E-4</v>
      </c>
      <c r="BG51">
        <v>1E-4</v>
      </c>
      <c r="BH51">
        <v>1E-4</v>
      </c>
      <c r="BI51">
        <v>1E-4</v>
      </c>
      <c r="BJ51">
        <v>1E-4</v>
      </c>
      <c r="BK51">
        <v>1E-4</v>
      </c>
      <c r="BL51">
        <v>1E-4</v>
      </c>
      <c r="BM51">
        <v>1E-4</v>
      </c>
      <c r="BN51">
        <v>1E-4</v>
      </c>
      <c r="BO51">
        <v>1E-4</v>
      </c>
      <c r="BP51">
        <v>1E-4</v>
      </c>
      <c r="BQ51">
        <v>1E-4</v>
      </c>
      <c r="BR51">
        <v>1E-4</v>
      </c>
      <c r="BS51">
        <v>1E-4</v>
      </c>
      <c r="BT51">
        <v>1E-4</v>
      </c>
      <c r="BU51">
        <v>1E-4</v>
      </c>
      <c r="BV51">
        <v>1E-4</v>
      </c>
      <c r="BW51">
        <v>1E-4</v>
      </c>
      <c r="BX51">
        <v>1E-4</v>
      </c>
      <c r="BY51">
        <v>1E-4</v>
      </c>
      <c r="BZ51">
        <v>1E-4</v>
      </c>
      <c r="CA51">
        <v>1E-4</v>
      </c>
      <c r="CB51">
        <v>1E-4</v>
      </c>
      <c r="CC51">
        <v>1E-4</v>
      </c>
      <c r="CD51">
        <v>1E-4</v>
      </c>
      <c r="CE51">
        <v>1E-4</v>
      </c>
      <c r="CF51">
        <v>1E-4</v>
      </c>
      <c r="CG51">
        <v>1E-4</v>
      </c>
      <c r="CH51">
        <v>1E-4</v>
      </c>
      <c r="CI51">
        <v>1E-4</v>
      </c>
      <c r="CJ51">
        <v>1E-4</v>
      </c>
      <c r="CK51">
        <v>1E-4</v>
      </c>
      <c r="CL51">
        <v>1E-4</v>
      </c>
      <c r="CM51">
        <v>1E-4</v>
      </c>
      <c r="CN51">
        <v>1E-4</v>
      </c>
      <c r="CO51">
        <v>1E-4</v>
      </c>
      <c r="CP51">
        <v>1E-4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</row>
    <row r="52" spans="1:100" x14ac:dyDescent="0.2">
      <c r="A52" t="s">
        <v>5918</v>
      </c>
      <c r="B52">
        <v>3.3E-3</v>
      </c>
      <c r="C52">
        <v>3.8E-3</v>
      </c>
      <c r="D52">
        <v>3.5000000000000001E-3</v>
      </c>
      <c r="E52">
        <v>3.0999999999999999E-3</v>
      </c>
      <c r="F52">
        <v>2.8E-3</v>
      </c>
      <c r="G52">
        <v>2.7000000000000001E-3</v>
      </c>
      <c r="H52">
        <v>2.5000000000000001E-3</v>
      </c>
      <c r="I52">
        <v>2.3E-3</v>
      </c>
      <c r="J52">
        <v>2.2000000000000001E-3</v>
      </c>
      <c r="K52">
        <v>1.6999999999999999E-3</v>
      </c>
      <c r="L52">
        <v>1.6000000000000001E-3</v>
      </c>
      <c r="M52">
        <v>1.4E-3</v>
      </c>
      <c r="N52">
        <v>1.1999999999999999E-3</v>
      </c>
      <c r="O52">
        <v>1E-3</v>
      </c>
      <c r="P52">
        <v>8.0000000000000004E-4</v>
      </c>
      <c r="Q52">
        <v>6.9999999999999999E-4</v>
      </c>
      <c r="R52">
        <v>6.9999999999999999E-4</v>
      </c>
      <c r="S52">
        <v>5.9999999999999995E-4</v>
      </c>
      <c r="T52">
        <v>5.9999999999999995E-4</v>
      </c>
      <c r="U52">
        <v>5.9999999999999995E-4</v>
      </c>
      <c r="V52">
        <v>5.0000000000000001E-4</v>
      </c>
      <c r="W52">
        <v>5.0000000000000001E-4</v>
      </c>
      <c r="X52">
        <v>5.0000000000000001E-4</v>
      </c>
      <c r="Y52">
        <v>5.0000000000000001E-4</v>
      </c>
      <c r="Z52">
        <v>5.0000000000000001E-4</v>
      </c>
      <c r="AA52">
        <v>5.0000000000000001E-4</v>
      </c>
      <c r="AB52">
        <v>5.0000000000000001E-4</v>
      </c>
      <c r="AC52">
        <v>4.0000000000000002E-4</v>
      </c>
      <c r="AD52">
        <v>4.0000000000000002E-4</v>
      </c>
      <c r="AE52">
        <v>4.0000000000000002E-4</v>
      </c>
      <c r="AF52">
        <v>4.0000000000000002E-4</v>
      </c>
      <c r="AG52">
        <v>4.0000000000000002E-4</v>
      </c>
      <c r="AH52">
        <v>4.0000000000000002E-4</v>
      </c>
      <c r="AI52">
        <v>4.0000000000000002E-4</v>
      </c>
      <c r="AJ52">
        <v>5.0000000000000001E-4</v>
      </c>
      <c r="AK52">
        <v>5.0000000000000001E-4</v>
      </c>
      <c r="AL52">
        <v>5.0000000000000001E-4</v>
      </c>
      <c r="AM52">
        <v>5.0000000000000001E-4</v>
      </c>
      <c r="AN52">
        <v>5.0000000000000001E-4</v>
      </c>
      <c r="AO52">
        <v>5.0000000000000001E-4</v>
      </c>
      <c r="AP52">
        <v>5.0000000000000001E-4</v>
      </c>
      <c r="AQ52">
        <v>5.0000000000000001E-4</v>
      </c>
      <c r="AR52">
        <v>5.0000000000000001E-4</v>
      </c>
      <c r="AS52">
        <v>5.0000000000000001E-4</v>
      </c>
      <c r="AT52">
        <v>4.0000000000000002E-4</v>
      </c>
      <c r="AU52">
        <v>4.0000000000000002E-4</v>
      </c>
      <c r="AV52">
        <v>4.0000000000000002E-4</v>
      </c>
      <c r="AW52">
        <v>4.0000000000000002E-4</v>
      </c>
      <c r="AX52">
        <v>4.0000000000000002E-4</v>
      </c>
      <c r="AY52">
        <v>4.0000000000000002E-4</v>
      </c>
      <c r="AZ52">
        <v>4.0000000000000002E-4</v>
      </c>
      <c r="BA52">
        <v>4.0000000000000002E-4</v>
      </c>
      <c r="BB52">
        <v>4.0000000000000002E-4</v>
      </c>
      <c r="BC52">
        <v>4.0000000000000002E-4</v>
      </c>
      <c r="BD52">
        <v>4.0000000000000002E-4</v>
      </c>
      <c r="BE52">
        <v>4.0000000000000002E-4</v>
      </c>
      <c r="BF52">
        <v>4.0000000000000002E-4</v>
      </c>
      <c r="BG52">
        <v>4.0000000000000002E-4</v>
      </c>
      <c r="BH52">
        <v>4.0000000000000002E-4</v>
      </c>
      <c r="BI52">
        <v>4.0000000000000002E-4</v>
      </c>
      <c r="BJ52">
        <v>4.0000000000000002E-4</v>
      </c>
      <c r="BK52">
        <v>4.0000000000000002E-4</v>
      </c>
      <c r="BL52">
        <v>4.0000000000000002E-4</v>
      </c>
      <c r="BM52">
        <v>4.0000000000000002E-4</v>
      </c>
      <c r="BN52">
        <v>4.0000000000000002E-4</v>
      </c>
      <c r="BO52">
        <v>4.0000000000000002E-4</v>
      </c>
      <c r="BP52">
        <v>4.0000000000000002E-4</v>
      </c>
      <c r="BQ52">
        <v>4.0000000000000002E-4</v>
      </c>
      <c r="BR52">
        <v>4.0000000000000002E-4</v>
      </c>
      <c r="BS52">
        <v>4.0000000000000002E-4</v>
      </c>
      <c r="BT52">
        <v>5.0000000000000001E-4</v>
      </c>
      <c r="BU52">
        <v>5.0000000000000001E-4</v>
      </c>
      <c r="BV52">
        <v>5.0000000000000001E-4</v>
      </c>
      <c r="BW52">
        <v>5.0000000000000001E-4</v>
      </c>
      <c r="BX52">
        <v>5.0000000000000001E-4</v>
      </c>
      <c r="BY52">
        <v>5.0000000000000001E-4</v>
      </c>
      <c r="BZ52">
        <v>4.0000000000000002E-4</v>
      </c>
      <c r="CA52">
        <v>4.0000000000000002E-4</v>
      </c>
      <c r="CB52">
        <v>4.0000000000000002E-4</v>
      </c>
      <c r="CC52">
        <v>4.0000000000000002E-4</v>
      </c>
      <c r="CD52">
        <v>4.0000000000000002E-4</v>
      </c>
      <c r="CE52">
        <v>4.0000000000000002E-4</v>
      </c>
      <c r="CF52">
        <v>2.9999999999999997E-4</v>
      </c>
      <c r="CG52">
        <v>2.9999999999999997E-4</v>
      </c>
      <c r="CH52">
        <v>2.9999999999999997E-4</v>
      </c>
      <c r="CI52">
        <v>2.9999999999999997E-4</v>
      </c>
      <c r="CJ52">
        <v>2.9999999999999997E-4</v>
      </c>
      <c r="CK52">
        <v>2.9999999999999997E-4</v>
      </c>
      <c r="CL52">
        <v>2.9999999999999997E-4</v>
      </c>
      <c r="CM52">
        <v>2.9999999999999997E-4</v>
      </c>
      <c r="CN52">
        <v>2.9999999999999997E-4</v>
      </c>
      <c r="CO52">
        <v>2.9999999999999997E-4</v>
      </c>
      <c r="CP52">
        <v>2.9999999999999997E-4</v>
      </c>
      <c r="CQ52">
        <v>2.9999999999999997E-4</v>
      </c>
      <c r="CR52">
        <v>2.9999999999999997E-4</v>
      </c>
      <c r="CS52">
        <v>2.0000000000000001E-4</v>
      </c>
      <c r="CT52">
        <v>2.9999999999999997E-4</v>
      </c>
      <c r="CU52">
        <v>2.0000000000000001E-4</v>
      </c>
      <c r="CV52">
        <v>2.9999999999999997E-4</v>
      </c>
    </row>
    <row r="53" spans="1:100" x14ac:dyDescent="0.2">
      <c r="A53" t="s">
        <v>5919</v>
      </c>
      <c r="B53">
        <v>5.8999999999999999E-3</v>
      </c>
      <c r="C53">
        <v>8.6E-3</v>
      </c>
      <c r="D53">
        <v>9.1999999999999998E-3</v>
      </c>
      <c r="E53">
        <v>9.4000000000000004E-3</v>
      </c>
      <c r="F53">
        <v>9.4000000000000004E-3</v>
      </c>
      <c r="G53">
        <v>1.04E-2</v>
      </c>
      <c r="H53">
        <v>1.03E-2</v>
      </c>
      <c r="I53">
        <v>0.01</v>
      </c>
      <c r="J53">
        <v>1.0200000000000001E-2</v>
      </c>
      <c r="K53">
        <v>8.2000000000000007E-3</v>
      </c>
      <c r="L53">
        <v>8.0000000000000002E-3</v>
      </c>
      <c r="M53">
        <v>7.4999999999999997E-3</v>
      </c>
      <c r="N53">
        <v>6.7999999999999996E-3</v>
      </c>
      <c r="O53">
        <v>5.8999999999999999E-3</v>
      </c>
      <c r="P53">
        <v>4.7000000000000002E-3</v>
      </c>
      <c r="Q53">
        <v>4.1999999999999997E-3</v>
      </c>
      <c r="R53">
        <v>3.8999999999999998E-3</v>
      </c>
      <c r="S53">
        <v>3.8E-3</v>
      </c>
      <c r="T53">
        <v>3.3E-3</v>
      </c>
      <c r="U53">
        <v>3.0999999999999999E-3</v>
      </c>
      <c r="V53">
        <v>2.8999999999999998E-3</v>
      </c>
      <c r="W53">
        <v>2.8E-3</v>
      </c>
      <c r="X53">
        <v>2.5999999999999999E-3</v>
      </c>
      <c r="Y53">
        <v>2.3999999999999998E-3</v>
      </c>
      <c r="Z53">
        <v>2.2000000000000001E-3</v>
      </c>
      <c r="AA53">
        <v>2.0999999999999999E-3</v>
      </c>
      <c r="AB53">
        <v>2E-3</v>
      </c>
      <c r="AC53">
        <v>1.9E-3</v>
      </c>
      <c r="AD53">
        <v>1.8E-3</v>
      </c>
      <c r="AE53">
        <v>1.8E-3</v>
      </c>
      <c r="AF53">
        <v>1.6999999999999999E-3</v>
      </c>
      <c r="AG53">
        <v>1.6000000000000001E-3</v>
      </c>
      <c r="AH53">
        <v>1.5E-3</v>
      </c>
      <c r="AI53">
        <v>1.5E-3</v>
      </c>
      <c r="AJ53">
        <v>1.4E-3</v>
      </c>
      <c r="AK53">
        <v>1.4E-3</v>
      </c>
      <c r="AL53">
        <v>1.4E-3</v>
      </c>
      <c r="AM53">
        <v>1.4E-3</v>
      </c>
      <c r="AN53">
        <v>1.2999999999999999E-3</v>
      </c>
      <c r="AO53">
        <v>1.1999999999999999E-3</v>
      </c>
      <c r="AP53">
        <v>1.1999999999999999E-3</v>
      </c>
      <c r="AQ53">
        <v>1.1000000000000001E-3</v>
      </c>
      <c r="AR53">
        <v>8.9999999999999998E-4</v>
      </c>
      <c r="AS53">
        <v>8.0000000000000004E-4</v>
      </c>
      <c r="AT53">
        <v>6.9999999999999999E-4</v>
      </c>
      <c r="AU53">
        <v>5.9999999999999995E-4</v>
      </c>
      <c r="AV53">
        <v>5.9999999999999995E-4</v>
      </c>
      <c r="AW53">
        <v>5.9999999999999995E-4</v>
      </c>
      <c r="AX53">
        <v>5.9999999999999995E-4</v>
      </c>
      <c r="AY53">
        <v>5.0000000000000001E-4</v>
      </c>
      <c r="AZ53">
        <v>5.0000000000000001E-4</v>
      </c>
      <c r="BA53">
        <v>4.0000000000000002E-4</v>
      </c>
      <c r="BB53">
        <v>4.0000000000000002E-4</v>
      </c>
      <c r="BC53">
        <v>2.9999999999999997E-4</v>
      </c>
      <c r="BD53">
        <v>1E-4</v>
      </c>
      <c r="BE53">
        <v>0</v>
      </c>
      <c r="BF53">
        <v>0</v>
      </c>
      <c r="BG53">
        <v>-1E-4</v>
      </c>
      <c r="BH53">
        <v>0</v>
      </c>
      <c r="BI53">
        <v>-1E-4</v>
      </c>
      <c r="BJ53">
        <v>-1E-4</v>
      </c>
      <c r="BK53">
        <v>-1E-4</v>
      </c>
      <c r="BL53">
        <v>-1E-4</v>
      </c>
      <c r="BM53">
        <v>-2.0000000000000001E-4</v>
      </c>
      <c r="BN53">
        <v>-2.9999999999999997E-4</v>
      </c>
      <c r="BO53">
        <v>-4.0000000000000002E-4</v>
      </c>
      <c r="BP53">
        <v>-4.0000000000000002E-4</v>
      </c>
      <c r="BQ53">
        <v>-4.0000000000000002E-4</v>
      </c>
      <c r="BR53">
        <v>-5.9999999999999995E-4</v>
      </c>
      <c r="BS53">
        <v>-5.9999999999999995E-4</v>
      </c>
      <c r="BT53">
        <v>-6.9999999999999999E-4</v>
      </c>
      <c r="BU53">
        <v>-8.0000000000000004E-4</v>
      </c>
      <c r="BV53">
        <v>-6.9999999999999999E-4</v>
      </c>
      <c r="BW53">
        <v>-8.0000000000000004E-4</v>
      </c>
      <c r="BX53">
        <v>-8.0000000000000004E-4</v>
      </c>
      <c r="BY53">
        <v>-8.9999999999999998E-4</v>
      </c>
      <c r="BZ53">
        <v>-1E-3</v>
      </c>
      <c r="CA53">
        <v>-1E-3</v>
      </c>
      <c r="CB53">
        <v>-1E-3</v>
      </c>
      <c r="CC53">
        <v>-8.9999999999999998E-4</v>
      </c>
      <c r="CD53">
        <v>-8.9999999999999998E-4</v>
      </c>
      <c r="CE53">
        <v>-1.1000000000000001E-3</v>
      </c>
      <c r="CF53">
        <v>-1E-3</v>
      </c>
      <c r="CG53">
        <v>-8.0000000000000004E-4</v>
      </c>
      <c r="CH53">
        <v>-8.0000000000000004E-4</v>
      </c>
      <c r="CI53">
        <v>-1E-3</v>
      </c>
      <c r="CJ53">
        <v>-8.9999999999999998E-4</v>
      </c>
      <c r="CK53">
        <v>-8.0000000000000004E-4</v>
      </c>
      <c r="CL53">
        <v>-1.1000000000000001E-3</v>
      </c>
      <c r="CM53">
        <v>-1.1000000000000001E-3</v>
      </c>
      <c r="CN53">
        <v>-8.9999999999999998E-4</v>
      </c>
      <c r="CO53">
        <v>-1.1000000000000001E-3</v>
      </c>
      <c r="CP53">
        <v>-1.2999999999999999E-3</v>
      </c>
      <c r="CQ53">
        <v>-1E-3</v>
      </c>
      <c r="CR53">
        <v>-1E-3</v>
      </c>
      <c r="CS53">
        <v>-6.9999999999999999E-4</v>
      </c>
      <c r="CT53">
        <v>-1E-3</v>
      </c>
      <c r="CU53">
        <v>-1.4E-3</v>
      </c>
      <c r="CV53">
        <v>-1.6000000000000001E-3</v>
      </c>
    </row>
    <row r="54" spans="1:100" x14ac:dyDescent="0.2">
      <c r="A54" t="s">
        <v>5920</v>
      </c>
      <c r="B54">
        <v>9.9000000000000008E-3</v>
      </c>
      <c r="C54">
        <v>1.43E-2</v>
      </c>
      <c r="D54">
        <v>1.52E-2</v>
      </c>
      <c r="E54">
        <v>1.5599999999999999E-2</v>
      </c>
      <c r="F54">
        <v>1.55E-2</v>
      </c>
      <c r="G54">
        <v>1.7100000000000001E-2</v>
      </c>
      <c r="H54">
        <v>1.7100000000000001E-2</v>
      </c>
      <c r="I54">
        <v>1.6500000000000001E-2</v>
      </c>
      <c r="J54">
        <v>1.6899999999999998E-2</v>
      </c>
      <c r="K54">
        <v>1.3599999999999999E-2</v>
      </c>
      <c r="L54">
        <v>1.3100000000000001E-2</v>
      </c>
      <c r="M54">
        <v>1.24E-2</v>
      </c>
      <c r="N54">
        <v>1.12E-2</v>
      </c>
      <c r="O54">
        <v>9.7000000000000003E-3</v>
      </c>
      <c r="P54">
        <v>7.7999999999999996E-3</v>
      </c>
      <c r="Q54">
        <v>6.8999999999999999E-3</v>
      </c>
      <c r="R54">
        <v>6.4999999999999997E-3</v>
      </c>
      <c r="S54">
        <v>6.1999999999999998E-3</v>
      </c>
      <c r="T54">
        <v>5.4999999999999997E-3</v>
      </c>
      <c r="U54">
        <v>5.0000000000000001E-3</v>
      </c>
      <c r="V54">
        <v>4.7999999999999996E-3</v>
      </c>
      <c r="W54">
        <v>4.5999999999999999E-3</v>
      </c>
      <c r="X54">
        <v>4.3E-3</v>
      </c>
      <c r="Y54">
        <v>4.0000000000000001E-3</v>
      </c>
      <c r="Z54">
        <v>3.7000000000000002E-3</v>
      </c>
      <c r="AA54">
        <v>3.3999999999999998E-3</v>
      </c>
      <c r="AB54">
        <v>3.2000000000000002E-3</v>
      </c>
      <c r="AC54">
        <v>3.0999999999999999E-3</v>
      </c>
      <c r="AD54">
        <v>3.0000000000000001E-3</v>
      </c>
      <c r="AE54">
        <v>3.0000000000000001E-3</v>
      </c>
      <c r="AF54">
        <v>2.8E-3</v>
      </c>
      <c r="AG54">
        <v>2.7000000000000001E-3</v>
      </c>
      <c r="AH54">
        <v>2.5999999999999999E-3</v>
      </c>
      <c r="AI54">
        <v>2.5000000000000001E-3</v>
      </c>
      <c r="AJ54">
        <v>2.3999999999999998E-3</v>
      </c>
      <c r="AK54">
        <v>2.3999999999999998E-3</v>
      </c>
      <c r="AL54">
        <v>2.3999999999999998E-3</v>
      </c>
      <c r="AM54">
        <v>2.3E-3</v>
      </c>
      <c r="AN54">
        <v>2.2000000000000001E-3</v>
      </c>
      <c r="AO54">
        <v>2.0999999999999999E-3</v>
      </c>
      <c r="AP54">
        <v>2E-3</v>
      </c>
      <c r="AQ54">
        <v>1.8E-3</v>
      </c>
      <c r="AR54">
        <v>1.6000000000000001E-3</v>
      </c>
      <c r="AS54">
        <v>1.4E-3</v>
      </c>
      <c r="AT54">
        <v>1.1999999999999999E-3</v>
      </c>
      <c r="AU54">
        <v>1.1000000000000001E-3</v>
      </c>
      <c r="AV54">
        <v>1.1000000000000001E-3</v>
      </c>
      <c r="AW54">
        <v>1.1000000000000001E-3</v>
      </c>
      <c r="AX54">
        <v>1.1000000000000001E-3</v>
      </c>
      <c r="AY54">
        <v>1E-3</v>
      </c>
      <c r="AZ54">
        <v>8.9999999999999998E-4</v>
      </c>
      <c r="BA54">
        <v>8.0000000000000004E-4</v>
      </c>
      <c r="BB54">
        <v>8.0000000000000004E-4</v>
      </c>
      <c r="BC54">
        <v>6.9999999999999999E-4</v>
      </c>
      <c r="BD54">
        <v>5.0000000000000001E-4</v>
      </c>
      <c r="BE54">
        <v>2.9999999999999997E-4</v>
      </c>
      <c r="BF54">
        <v>2.9999999999999997E-4</v>
      </c>
      <c r="BG54">
        <v>2.0000000000000001E-4</v>
      </c>
      <c r="BH54">
        <v>2.9999999999999997E-4</v>
      </c>
      <c r="BI54">
        <v>2.0000000000000001E-4</v>
      </c>
      <c r="BJ54">
        <v>2.0000000000000001E-4</v>
      </c>
      <c r="BK54">
        <v>2.0000000000000001E-4</v>
      </c>
      <c r="BL54">
        <v>2.0000000000000001E-4</v>
      </c>
      <c r="BM54">
        <v>2.0000000000000001E-4</v>
      </c>
      <c r="BN54">
        <v>0</v>
      </c>
      <c r="BO54">
        <v>0</v>
      </c>
      <c r="BP54">
        <v>0</v>
      </c>
      <c r="BQ54">
        <v>-1E-4</v>
      </c>
      <c r="BR54">
        <v>-2.0000000000000001E-4</v>
      </c>
      <c r="BS54">
        <v>-2.0000000000000001E-4</v>
      </c>
      <c r="BT54">
        <v>-2.0000000000000001E-4</v>
      </c>
      <c r="BU54">
        <v>-2.9999999999999997E-4</v>
      </c>
      <c r="BV54">
        <v>-2.0000000000000001E-4</v>
      </c>
      <c r="BW54">
        <v>-2.9999999999999997E-4</v>
      </c>
      <c r="BX54">
        <v>-2.9999999999999997E-4</v>
      </c>
      <c r="BY54">
        <v>-2.9999999999999997E-4</v>
      </c>
      <c r="BZ54">
        <v>-4.0000000000000002E-4</v>
      </c>
      <c r="CA54">
        <v>-4.0000000000000002E-4</v>
      </c>
      <c r="CB54">
        <v>-4.0000000000000002E-4</v>
      </c>
      <c r="CC54">
        <v>-2.9999999999999997E-4</v>
      </c>
      <c r="CD54">
        <v>-2.9999999999999997E-4</v>
      </c>
      <c r="CE54">
        <v>-4.0000000000000002E-4</v>
      </c>
      <c r="CF54">
        <v>-4.0000000000000002E-4</v>
      </c>
      <c r="CG54">
        <v>-2.9999999999999997E-4</v>
      </c>
      <c r="CH54">
        <v>-2.0000000000000001E-4</v>
      </c>
      <c r="CI54">
        <v>-2.9999999999999997E-4</v>
      </c>
      <c r="CJ54">
        <v>-2.0000000000000001E-4</v>
      </c>
      <c r="CK54">
        <v>-1E-4</v>
      </c>
      <c r="CL54">
        <v>-2.9999999999999997E-4</v>
      </c>
      <c r="CM54">
        <v>-2.9999999999999997E-4</v>
      </c>
      <c r="CN54">
        <v>-1E-4</v>
      </c>
      <c r="CO54">
        <v>-2.0000000000000001E-4</v>
      </c>
      <c r="CP54">
        <v>-2.9999999999999997E-4</v>
      </c>
      <c r="CQ54">
        <v>-1E-4</v>
      </c>
      <c r="CR54">
        <v>1E-4</v>
      </c>
      <c r="CS54">
        <v>2.9999999999999997E-4</v>
      </c>
      <c r="CT54">
        <v>2.9999999999999997E-4</v>
      </c>
      <c r="CU54">
        <v>2.0000000000000001E-4</v>
      </c>
      <c r="CV54">
        <v>4.0000000000000002E-4</v>
      </c>
    </row>
    <row r="55" spans="1:100" x14ac:dyDescent="0.2">
      <c r="A55" t="s">
        <v>5921</v>
      </c>
      <c r="B55">
        <v>-2E-3</v>
      </c>
      <c r="C55">
        <v>-2.5999999999999999E-3</v>
      </c>
      <c r="D55">
        <v>-2.7000000000000001E-3</v>
      </c>
      <c r="E55">
        <v>-2.5999999999999999E-3</v>
      </c>
      <c r="F55">
        <v>-2.3999999999999998E-3</v>
      </c>
      <c r="G55">
        <v>-2.7000000000000001E-3</v>
      </c>
      <c r="H55">
        <v>-2.5999999999999999E-3</v>
      </c>
      <c r="I55">
        <v>-2.3999999999999998E-3</v>
      </c>
      <c r="J55">
        <v>-2.5000000000000001E-3</v>
      </c>
      <c r="K55">
        <v>-2E-3</v>
      </c>
      <c r="L55">
        <v>-1.9E-3</v>
      </c>
      <c r="M55">
        <v>-1.8E-3</v>
      </c>
      <c r="N55">
        <v>-1.6000000000000001E-3</v>
      </c>
      <c r="O55">
        <v>-1.5E-3</v>
      </c>
      <c r="P55">
        <v>-1.1999999999999999E-3</v>
      </c>
      <c r="Q55">
        <v>-1E-3</v>
      </c>
      <c r="R55">
        <v>-1E-3</v>
      </c>
      <c r="S55">
        <v>-1E-3</v>
      </c>
      <c r="T55">
        <v>-8.9999999999999998E-4</v>
      </c>
      <c r="U55">
        <v>-1E-3</v>
      </c>
      <c r="V55">
        <v>-8.9999999999999998E-4</v>
      </c>
      <c r="W55">
        <v>-8.9999999999999998E-4</v>
      </c>
      <c r="X55">
        <v>-8.9999999999999998E-4</v>
      </c>
      <c r="Y55">
        <v>-8.9999999999999998E-4</v>
      </c>
      <c r="Z55">
        <v>-8.9999999999999998E-4</v>
      </c>
      <c r="AA55">
        <v>-8.9999999999999998E-4</v>
      </c>
      <c r="AB55">
        <v>-8.9999999999999998E-4</v>
      </c>
      <c r="AC55">
        <v>-8.9999999999999998E-4</v>
      </c>
      <c r="AD55">
        <v>-8.9999999999999998E-4</v>
      </c>
      <c r="AE55">
        <v>-8.0000000000000004E-4</v>
      </c>
      <c r="AF55">
        <v>-8.0000000000000004E-4</v>
      </c>
      <c r="AG55">
        <v>-8.9999999999999998E-4</v>
      </c>
      <c r="AH55">
        <v>-8.9999999999999998E-4</v>
      </c>
      <c r="AI55">
        <v>-8.9999999999999998E-4</v>
      </c>
      <c r="AJ55">
        <v>-8.9999999999999998E-4</v>
      </c>
      <c r="AK55">
        <v>-8.9999999999999998E-4</v>
      </c>
      <c r="AL55">
        <v>-1E-3</v>
      </c>
      <c r="AM55">
        <v>-8.9999999999999998E-4</v>
      </c>
      <c r="AN55">
        <v>-8.9999999999999998E-4</v>
      </c>
      <c r="AO55">
        <v>-8.9999999999999998E-4</v>
      </c>
      <c r="AP55">
        <v>-8.9999999999999998E-4</v>
      </c>
      <c r="AQ55">
        <v>-8.9999999999999998E-4</v>
      </c>
      <c r="AR55">
        <v>-8.9999999999999998E-4</v>
      </c>
      <c r="AS55">
        <v>-8.9999999999999998E-4</v>
      </c>
      <c r="AT55">
        <v>-8.9999999999999998E-4</v>
      </c>
      <c r="AU55">
        <v>-8.0000000000000004E-4</v>
      </c>
      <c r="AV55">
        <v>-8.0000000000000004E-4</v>
      </c>
      <c r="AW55">
        <v>-8.0000000000000004E-4</v>
      </c>
      <c r="AX55">
        <v>-6.9999999999999999E-4</v>
      </c>
      <c r="AY55">
        <v>-6.9999999999999999E-4</v>
      </c>
      <c r="AZ55">
        <v>-6.9999999999999999E-4</v>
      </c>
      <c r="BA55">
        <v>-8.0000000000000004E-4</v>
      </c>
      <c r="BB55">
        <v>-8.0000000000000004E-4</v>
      </c>
      <c r="BC55">
        <v>-8.0000000000000004E-4</v>
      </c>
      <c r="BD55">
        <v>-6.9999999999999999E-4</v>
      </c>
      <c r="BE55">
        <v>-6.9999999999999999E-4</v>
      </c>
      <c r="BF55">
        <v>-6.9999999999999999E-4</v>
      </c>
      <c r="BG55">
        <v>-6.9999999999999999E-4</v>
      </c>
      <c r="BH55">
        <v>-6.9999999999999999E-4</v>
      </c>
      <c r="BI55">
        <v>-5.0000000000000001E-4</v>
      </c>
      <c r="BJ55">
        <v>-5.9999999999999995E-4</v>
      </c>
      <c r="BK55">
        <v>-5.0000000000000001E-4</v>
      </c>
      <c r="BL55">
        <v>-5.0000000000000001E-4</v>
      </c>
      <c r="BM55">
        <v>-5.0000000000000001E-4</v>
      </c>
      <c r="BN55">
        <v>-5.0000000000000001E-4</v>
      </c>
      <c r="BO55">
        <v>-5.0000000000000001E-4</v>
      </c>
      <c r="BP55">
        <v>-5.0000000000000001E-4</v>
      </c>
      <c r="BQ55">
        <v>-5.0000000000000001E-4</v>
      </c>
      <c r="BR55">
        <v>-4.0000000000000002E-4</v>
      </c>
      <c r="BS55">
        <v>-4.0000000000000002E-4</v>
      </c>
      <c r="BT55">
        <v>-5.0000000000000001E-4</v>
      </c>
      <c r="BU55">
        <v>-5.0000000000000001E-4</v>
      </c>
      <c r="BV55">
        <v>-4.0000000000000002E-4</v>
      </c>
      <c r="BW55">
        <v>-4.0000000000000002E-4</v>
      </c>
      <c r="BX55">
        <v>-4.0000000000000002E-4</v>
      </c>
      <c r="BY55">
        <v>-4.0000000000000002E-4</v>
      </c>
      <c r="BZ55">
        <v>-2.9999999999999997E-4</v>
      </c>
      <c r="CA55">
        <v>-2.9999999999999997E-4</v>
      </c>
      <c r="CB55">
        <v>-2.9999999999999997E-4</v>
      </c>
      <c r="CC55">
        <v>-2.0000000000000001E-4</v>
      </c>
      <c r="CD55">
        <v>-2.0000000000000001E-4</v>
      </c>
      <c r="CE55">
        <v>-2.0000000000000001E-4</v>
      </c>
      <c r="CF55">
        <v>-2.0000000000000001E-4</v>
      </c>
      <c r="CG55">
        <v>0</v>
      </c>
      <c r="CH55">
        <v>-1E-4</v>
      </c>
      <c r="CI55">
        <v>-1E-4</v>
      </c>
      <c r="CJ55">
        <v>-1E-4</v>
      </c>
      <c r="CK55">
        <v>-1E-4</v>
      </c>
      <c r="CL55">
        <v>-1E-4</v>
      </c>
      <c r="CM55">
        <v>-1E-4</v>
      </c>
      <c r="CN55">
        <v>0</v>
      </c>
      <c r="CO55">
        <v>0</v>
      </c>
      <c r="CP55">
        <v>0</v>
      </c>
      <c r="CQ55">
        <v>-1E-4</v>
      </c>
      <c r="CR55">
        <v>0</v>
      </c>
      <c r="CS55">
        <v>-1E-4</v>
      </c>
      <c r="CT55">
        <v>-1E-4</v>
      </c>
      <c r="CU55">
        <v>-2.0000000000000001E-4</v>
      </c>
      <c r="CV55">
        <v>-4.0000000000000002E-4</v>
      </c>
    </row>
    <row r="56" spans="1:100" x14ac:dyDescent="0.2">
      <c r="A56" t="s">
        <v>5922</v>
      </c>
      <c r="B56">
        <v>3.0000000000000001E-3</v>
      </c>
      <c r="C56">
        <v>3.3999999999999998E-3</v>
      </c>
      <c r="D56">
        <v>3.3E-3</v>
      </c>
      <c r="E56">
        <v>3.2000000000000002E-3</v>
      </c>
      <c r="F56">
        <v>2.8E-3</v>
      </c>
      <c r="G56">
        <v>2.8999999999999998E-3</v>
      </c>
      <c r="H56">
        <v>2.7000000000000001E-3</v>
      </c>
      <c r="I56">
        <v>2.3999999999999998E-3</v>
      </c>
      <c r="J56">
        <v>2.5000000000000001E-3</v>
      </c>
      <c r="K56">
        <v>1.9E-3</v>
      </c>
      <c r="L56">
        <v>1.8E-3</v>
      </c>
      <c r="M56">
        <v>1.6999999999999999E-3</v>
      </c>
      <c r="N56">
        <v>1.6000000000000001E-3</v>
      </c>
      <c r="O56">
        <v>1.2999999999999999E-3</v>
      </c>
      <c r="P56">
        <v>1.1000000000000001E-3</v>
      </c>
      <c r="Q56">
        <v>1E-3</v>
      </c>
      <c r="R56">
        <v>8.9999999999999998E-4</v>
      </c>
      <c r="S56">
        <v>8.9999999999999998E-4</v>
      </c>
      <c r="T56">
        <v>8.0000000000000004E-4</v>
      </c>
      <c r="U56">
        <v>8.9999999999999998E-4</v>
      </c>
      <c r="V56">
        <v>8.0000000000000004E-4</v>
      </c>
      <c r="W56">
        <v>8.0000000000000004E-4</v>
      </c>
      <c r="X56">
        <v>8.0000000000000004E-4</v>
      </c>
      <c r="Y56">
        <v>8.0000000000000004E-4</v>
      </c>
      <c r="Z56">
        <v>8.0000000000000004E-4</v>
      </c>
      <c r="AA56">
        <v>8.0000000000000004E-4</v>
      </c>
      <c r="AB56">
        <v>8.0000000000000004E-4</v>
      </c>
      <c r="AC56">
        <v>6.9999999999999999E-4</v>
      </c>
      <c r="AD56">
        <v>8.0000000000000004E-4</v>
      </c>
      <c r="AE56">
        <v>8.0000000000000004E-4</v>
      </c>
      <c r="AF56">
        <v>6.9999999999999999E-4</v>
      </c>
      <c r="AG56">
        <v>8.0000000000000004E-4</v>
      </c>
      <c r="AH56">
        <v>8.0000000000000004E-4</v>
      </c>
      <c r="AI56">
        <v>8.0000000000000004E-4</v>
      </c>
      <c r="AJ56">
        <v>8.0000000000000004E-4</v>
      </c>
      <c r="AK56">
        <v>8.0000000000000004E-4</v>
      </c>
      <c r="AL56">
        <v>8.0000000000000004E-4</v>
      </c>
      <c r="AM56">
        <v>8.0000000000000004E-4</v>
      </c>
      <c r="AN56">
        <v>8.0000000000000004E-4</v>
      </c>
      <c r="AO56">
        <v>8.0000000000000004E-4</v>
      </c>
      <c r="AP56">
        <v>8.9999999999999998E-4</v>
      </c>
      <c r="AQ56">
        <v>8.0000000000000004E-4</v>
      </c>
      <c r="AR56">
        <v>8.0000000000000004E-4</v>
      </c>
      <c r="AS56">
        <v>8.0000000000000004E-4</v>
      </c>
      <c r="AT56">
        <v>8.0000000000000004E-4</v>
      </c>
      <c r="AU56">
        <v>8.0000000000000004E-4</v>
      </c>
      <c r="AV56">
        <v>6.9999999999999999E-4</v>
      </c>
      <c r="AW56">
        <v>6.9999999999999999E-4</v>
      </c>
      <c r="AX56">
        <v>6.9999999999999999E-4</v>
      </c>
      <c r="AY56">
        <v>6.9999999999999999E-4</v>
      </c>
      <c r="AZ56">
        <v>6.9999999999999999E-4</v>
      </c>
      <c r="BA56">
        <v>8.0000000000000004E-4</v>
      </c>
      <c r="BB56">
        <v>8.0000000000000004E-4</v>
      </c>
      <c r="BC56">
        <v>8.0000000000000004E-4</v>
      </c>
      <c r="BD56">
        <v>8.0000000000000004E-4</v>
      </c>
      <c r="BE56">
        <v>8.0000000000000004E-4</v>
      </c>
      <c r="BF56">
        <v>6.9999999999999999E-4</v>
      </c>
      <c r="BG56">
        <v>6.9999999999999999E-4</v>
      </c>
      <c r="BH56">
        <v>5.9999999999999995E-4</v>
      </c>
      <c r="BI56">
        <v>6.9999999999999999E-4</v>
      </c>
      <c r="BJ56">
        <v>5.9999999999999995E-4</v>
      </c>
      <c r="BK56">
        <v>6.9999999999999999E-4</v>
      </c>
      <c r="BL56">
        <v>6.9999999999999999E-4</v>
      </c>
      <c r="BM56">
        <v>6.9999999999999999E-4</v>
      </c>
      <c r="BN56">
        <v>6.9999999999999999E-4</v>
      </c>
      <c r="BO56">
        <v>6.9999999999999999E-4</v>
      </c>
      <c r="BP56">
        <v>6.9999999999999999E-4</v>
      </c>
      <c r="BQ56">
        <v>5.9999999999999995E-4</v>
      </c>
      <c r="BR56">
        <v>5.9999999999999995E-4</v>
      </c>
      <c r="BS56">
        <v>5.9999999999999995E-4</v>
      </c>
      <c r="BT56">
        <v>5.9999999999999995E-4</v>
      </c>
      <c r="BU56">
        <v>5.9999999999999995E-4</v>
      </c>
      <c r="BV56">
        <v>6.9999999999999999E-4</v>
      </c>
      <c r="BW56">
        <v>5.9999999999999995E-4</v>
      </c>
      <c r="BX56">
        <v>5.9999999999999995E-4</v>
      </c>
      <c r="BY56">
        <v>5.0000000000000001E-4</v>
      </c>
      <c r="BZ56">
        <v>5.9999999999999995E-4</v>
      </c>
      <c r="CA56">
        <v>5.9999999999999995E-4</v>
      </c>
      <c r="CB56">
        <v>5.9999999999999995E-4</v>
      </c>
      <c r="CC56">
        <v>5.9999999999999995E-4</v>
      </c>
      <c r="CD56">
        <v>5.9999999999999995E-4</v>
      </c>
      <c r="CE56">
        <v>5.9999999999999995E-4</v>
      </c>
      <c r="CF56">
        <v>5.9999999999999995E-4</v>
      </c>
      <c r="CG56">
        <v>5.9999999999999995E-4</v>
      </c>
      <c r="CH56">
        <v>5.9999999999999995E-4</v>
      </c>
      <c r="CI56">
        <v>8.0000000000000004E-4</v>
      </c>
      <c r="CJ56">
        <v>6.9999999999999999E-4</v>
      </c>
      <c r="CK56">
        <v>5.9999999999999995E-4</v>
      </c>
      <c r="CL56">
        <v>6.9999999999999999E-4</v>
      </c>
      <c r="CM56">
        <v>6.9999999999999999E-4</v>
      </c>
      <c r="CN56">
        <v>6.9999999999999999E-4</v>
      </c>
      <c r="CO56">
        <v>8.9999999999999998E-4</v>
      </c>
      <c r="CP56">
        <v>1E-3</v>
      </c>
      <c r="CQ56">
        <v>6.9999999999999999E-4</v>
      </c>
      <c r="CR56">
        <v>1E-3</v>
      </c>
      <c r="CS56">
        <v>8.0000000000000004E-4</v>
      </c>
      <c r="CT56">
        <v>8.0000000000000004E-4</v>
      </c>
      <c r="CU56">
        <v>6.9999999999999999E-4</v>
      </c>
      <c r="CV56">
        <v>8.0000000000000004E-4</v>
      </c>
    </row>
    <row r="57" spans="1:100" x14ac:dyDescent="0.2">
      <c r="A57" t="s">
        <v>5923</v>
      </c>
      <c r="B57">
        <v>1.3299999999999999E-2</v>
      </c>
      <c r="C57">
        <v>1.7299999999999999E-2</v>
      </c>
      <c r="D57">
        <v>1.67E-2</v>
      </c>
      <c r="E57">
        <v>1.72E-2</v>
      </c>
      <c r="F57">
        <v>1.5299999999999999E-2</v>
      </c>
      <c r="G57">
        <v>1.5599999999999999E-2</v>
      </c>
      <c r="H57">
        <v>1.49E-2</v>
      </c>
      <c r="I57">
        <v>1.35E-2</v>
      </c>
      <c r="J57">
        <v>1.35E-2</v>
      </c>
      <c r="K57">
        <v>1.06E-2</v>
      </c>
      <c r="L57">
        <v>0.01</v>
      </c>
      <c r="M57">
        <v>9.2999999999999992E-3</v>
      </c>
      <c r="N57">
        <v>8.3000000000000001E-3</v>
      </c>
      <c r="O57">
        <v>7.3000000000000001E-3</v>
      </c>
      <c r="P57">
        <v>5.7000000000000002E-3</v>
      </c>
      <c r="Q57">
        <v>5.1999999999999998E-3</v>
      </c>
      <c r="R57">
        <v>4.7000000000000002E-3</v>
      </c>
      <c r="S57">
        <v>4.4999999999999997E-3</v>
      </c>
      <c r="T57">
        <v>4.1000000000000003E-3</v>
      </c>
      <c r="U57">
        <v>3.8999999999999998E-3</v>
      </c>
      <c r="V57">
        <v>3.7000000000000002E-3</v>
      </c>
      <c r="W57">
        <v>3.5999999999999999E-3</v>
      </c>
      <c r="X57">
        <v>3.5999999999999999E-3</v>
      </c>
      <c r="Y57">
        <v>3.5000000000000001E-3</v>
      </c>
      <c r="Z57">
        <v>3.3999999999999998E-3</v>
      </c>
      <c r="AA57">
        <v>3.2000000000000002E-3</v>
      </c>
      <c r="AB57">
        <v>3.0999999999999999E-3</v>
      </c>
      <c r="AC57">
        <v>3.0000000000000001E-3</v>
      </c>
      <c r="AD57">
        <v>3.0000000000000001E-3</v>
      </c>
      <c r="AE57">
        <v>3.0000000000000001E-3</v>
      </c>
      <c r="AF57">
        <v>3.0000000000000001E-3</v>
      </c>
      <c r="AG57">
        <v>2.8999999999999998E-3</v>
      </c>
      <c r="AH57">
        <v>2.8999999999999998E-3</v>
      </c>
      <c r="AI57">
        <v>2.8999999999999998E-3</v>
      </c>
      <c r="AJ57">
        <v>2.8999999999999998E-3</v>
      </c>
      <c r="AK57">
        <v>2.8E-3</v>
      </c>
      <c r="AL57">
        <v>2.8E-3</v>
      </c>
      <c r="AM57">
        <v>2.7000000000000001E-3</v>
      </c>
      <c r="AN57">
        <v>2.7000000000000001E-3</v>
      </c>
      <c r="AO57">
        <v>2.7000000000000001E-3</v>
      </c>
      <c r="AP57">
        <v>2.7000000000000001E-3</v>
      </c>
      <c r="AQ57">
        <v>2.5999999999999999E-3</v>
      </c>
      <c r="AR57">
        <v>2.5999999999999999E-3</v>
      </c>
      <c r="AS57">
        <v>2.5000000000000001E-3</v>
      </c>
      <c r="AT57">
        <v>2.3999999999999998E-3</v>
      </c>
      <c r="AU57">
        <v>2.3E-3</v>
      </c>
      <c r="AV57">
        <v>2.3E-3</v>
      </c>
      <c r="AW57">
        <v>2.2000000000000001E-3</v>
      </c>
      <c r="AX57">
        <v>2.0999999999999999E-3</v>
      </c>
      <c r="AY57">
        <v>2.0999999999999999E-3</v>
      </c>
      <c r="AZ57">
        <v>2E-3</v>
      </c>
      <c r="BA57">
        <v>2.0999999999999999E-3</v>
      </c>
      <c r="BB57">
        <v>2.0999999999999999E-3</v>
      </c>
      <c r="BC57">
        <v>2.0999999999999999E-3</v>
      </c>
      <c r="BD57">
        <v>2.0999999999999999E-3</v>
      </c>
      <c r="BE57">
        <v>2E-3</v>
      </c>
      <c r="BF57">
        <v>1.9E-3</v>
      </c>
      <c r="BG57">
        <v>1.6999999999999999E-3</v>
      </c>
      <c r="BH57">
        <v>1.6000000000000001E-3</v>
      </c>
      <c r="BI57">
        <v>1.6000000000000001E-3</v>
      </c>
      <c r="BJ57">
        <v>1.4E-3</v>
      </c>
      <c r="BK57">
        <v>1.2999999999999999E-3</v>
      </c>
      <c r="BL57">
        <v>1.4E-3</v>
      </c>
      <c r="BM57">
        <v>1.2999999999999999E-3</v>
      </c>
      <c r="BN57">
        <v>1.1000000000000001E-3</v>
      </c>
      <c r="BO57">
        <v>1E-3</v>
      </c>
      <c r="BP57">
        <v>8.9999999999999998E-4</v>
      </c>
      <c r="BQ57">
        <v>8.9999999999999998E-4</v>
      </c>
      <c r="BR57">
        <v>5.9999999999999995E-4</v>
      </c>
      <c r="BS57">
        <v>4.0000000000000002E-4</v>
      </c>
      <c r="BT57">
        <v>2.0000000000000001E-4</v>
      </c>
      <c r="BU57">
        <v>0</v>
      </c>
      <c r="BV57">
        <v>-1E-4</v>
      </c>
      <c r="BW57">
        <v>-2.0000000000000001E-4</v>
      </c>
      <c r="BX57">
        <v>-5.0000000000000001E-4</v>
      </c>
      <c r="BY57">
        <v>-5.9999999999999995E-4</v>
      </c>
      <c r="BZ57">
        <v>-6.9999999999999999E-4</v>
      </c>
      <c r="CA57">
        <v>-1E-3</v>
      </c>
      <c r="CB57">
        <v>-1.2999999999999999E-3</v>
      </c>
      <c r="CC57">
        <v>-1.8E-3</v>
      </c>
      <c r="CD57">
        <v>-2.0999999999999999E-3</v>
      </c>
      <c r="CE57">
        <v>-2.2000000000000001E-3</v>
      </c>
      <c r="CF57">
        <v>-2.2000000000000001E-3</v>
      </c>
      <c r="CG57">
        <v>-2.3E-3</v>
      </c>
      <c r="CH57">
        <v>-2.7000000000000001E-3</v>
      </c>
      <c r="CI57">
        <v>-3.8999999999999998E-3</v>
      </c>
      <c r="CJ57">
        <v>-4.3E-3</v>
      </c>
      <c r="CK57">
        <v>-4.3E-3</v>
      </c>
      <c r="CL57">
        <v>-5.0000000000000001E-3</v>
      </c>
      <c r="CM57">
        <v>-5.1999999999999998E-3</v>
      </c>
      <c r="CN57">
        <v>-5.1000000000000004E-3</v>
      </c>
      <c r="CO57">
        <v>-6.1999999999999998E-3</v>
      </c>
      <c r="CP57">
        <v>-7.1000000000000004E-3</v>
      </c>
      <c r="CQ57">
        <v>-5.8999999999999999E-3</v>
      </c>
      <c r="CR57">
        <v>-7.4000000000000003E-3</v>
      </c>
      <c r="CS57">
        <v>-6.4000000000000003E-3</v>
      </c>
      <c r="CT57">
        <v>-8.2000000000000007E-3</v>
      </c>
      <c r="CU57">
        <v>-9.1000000000000004E-3</v>
      </c>
      <c r="CV57">
        <v>-1.06E-2</v>
      </c>
    </row>
    <row r="58" spans="1:100" x14ac:dyDescent="0.2">
      <c r="A58" t="s">
        <v>5924</v>
      </c>
      <c r="B58">
        <v>1.89E-2</v>
      </c>
      <c r="C58">
        <v>2.3599999999999999E-2</v>
      </c>
      <c r="D58">
        <v>2.2599999999999999E-2</v>
      </c>
      <c r="E58">
        <v>2.29E-2</v>
      </c>
      <c r="F58">
        <v>2.0400000000000001E-2</v>
      </c>
      <c r="G58">
        <v>2.0899999999999998E-2</v>
      </c>
      <c r="H58">
        <v>1.9900000000000001E-2</v>
      </c>
      <c r="I58">
        <v>1.8200000000000001E-2</v>
      </c>
      <c r="J58">
        <v>1.8200000000000001E-2</v>
      </c>
      <c r="K58">
        <v>1.44E-2</v>
      </c>
      <c r="L58">
        <v>1.3599999999999999E-2</v>
      </c>
      <c r="M58">
        <v>1.2699999999999999E-2</v>
      </c>
      <c r="N58">
        <v>1.15E-2</v>
      </c>
      <c r="O58">
        <v>1.01E-2</v>
      </c>
      <c r="P58">
        <v>8.0999999999999996E-3</v>
      </c>
      <c r="Q58">
        <v>7.4000000000000003E-3</v>
      </c>
      <c r="R58">
        <v>6.7000000000000002E-3</v>
      </c>
      <c r="S58">
        <v>6.4999999999999997E-3</v>
      </c>
      <c r="T58">
        <v>6.1000000000000004E-3</v>
      </c>
      <c r="U58">
        <v>5.8999999999999999E-3</v>
      </c>
      <c r="V58">
        <v>5.5999999999999999E-3</v>
      </c>
      <c r="W58">
        <v>5.4999999999999997E-3</v>
      </c>
      <c r="X58">
        <v>5.4000000000000003E-3</v>
      </c>
      <c r="Y58">
        <v>5.1999999999999998E-3</v>
      </c>
      <c r="Z58">
        <v>5.1999999999999998E-3</v>
      </c>
      <c r="AA58">
        <v>5.0000000000000001E-3</v>
      </c>
      <c r="AB58">
        <v>4.7999999999999996E-3</v>
      </c>
      <c r="AC58">
        <v>4.7000000000000002E-3</v>
      </c>
      <c r="AD58">
        <v>4.5999999999999999E-3</v>
      </c>
      <c r="AE58">
        <v>4.5999999999999999E-3</v>
      </c>
      <c r="AF58">
        <v>4.5999999999999999E-3</v>
      </c>
      <c r="AG58">
        <v>4.4999999999999997E-3</v>
      </c>
      <c r="AH58">
        <v>4.4000000000000003E-3</v>
      </c>
      <c r="AI58">
        <v>4.4999999999999997E-3</v>
      </c>
      <c r="AJ58">
        <v>4.4000000000000003E-3</v>
      </c>
      <c r="AK58">
        <v>4.4000000000000003E-3</v>
      </c>
      <c r="AL58">
        <v>4.4000000000000003E-3</v>
      </c>
      <c r="AM58">
        <v>4.4000000000000003E-3</v>
      </c>
      <c r="AN58">
        <v>4.4000000000000003E-3</v>
      </c>
      <c r="AO58">
        <v>4.4000000000000003E-3</v>
      </c>
      <c r="AP58">
        <v>4.4000000000000003E-3</v>
      </c>
      <c r="AQ58">
        <v>4.4000000000000003E-3</v>
      </c>
      <c r="AR58">
        <v>4.4000000000000003E-3</v>
      </c>
      <c r="AS58">
        <v>4.3E-3</v>
      </c>
      <c r="AT58">
        <v>4.1000000000000003E-3</v>
      </c>
      <c r="AU58">
        <v>4.0000000000000001E-3</v>
      </c>
      <c r="AV58">
        <v>3.8999999999999998E-3</v>
      </c>
      <c r="AW58">
        <v>3.8999999999999998E-3</v>
      </c>
      <c r="AX58">
        <v>3.7000000000000002E-3</v>
      </c>
      <c r="AY58">
        <v>3.7000000000000002E-3</v>
      </c>
      <c r="AZ58">
        <v>3.7000000000000002E-3</v>
      </c>
      <c r="BA58">
        <v>3.8E-3</v>
      </c>
      <c r="BB58">
        <v>3.8999999999999998E-3</v>
      </c>
      <c r="BC58">
        <v>3.8E-3</v>
      </c>
      <c r="BD58">
        <v>3.8E-3</v>
      </c>
      <c r="BE58">
        <v>3.7000000000000002E-3</v>
      </c>
      <c r="BF58">
        <v>3.5999999999999999E-3</v>
      </c>
      <c r="BG58">
        <v>3.3999999999999998E-3</v>
      </c>
      <c r="BH58">
        <v>3.2000000000000002E-3</v>
      </c>
      <c r="BI58">
        <v>3.2000000000000002E-3</v>
      </c>
      <c r="BJ58">
        <v>3.0000000000000001E-3</v>
      </c>
      <c r="BK58">
        <v>2.8999999999999998E-3</v>
      </c>
      <c r="BL58">
        <v>3.0000000000000001E-3</v>
      </c>
      <c r="BM58">
        <v>3.0000000000000001E-3</v>
      </c>
      <c r="BN58">
        <v>2.8E-3</v>
      </c>
      <c r="BO58">
        <v>2.7000000000000001E-3</v>
      </c>
      <c r="BP58">
        <v>2.5999999999999999E-3</v>
      </c>
      <c r="BQ58">
        <v>2.5000000000000001E-3</v>
      </c>
      <c r="BR58">
        <v>2.2000000000000001E-3</v>
      </c>
      <c r="BS58">
        <v>2E-3</v>
      </c>
      <c r="BT58">
        <v>1.8E-3</v>
      </c>
      <c r="BU58">
        <v>1.6999999999999999E-3</v>
      </c>
      <c r="BV58">
        <v>1.6000000000000001E-3</v>
      </c>
      <c r="BW58">
        <v>1.6000000000000001E-3</v>
      </c>
      <c r="BX58">
        <v>1.2999999999999999E-3</v>
      </c>
      <c r="BY58">
        <v>1.1999999999999999E-3</v>
      </c>
      <c r="BZ58">
        <v>1E-3</v>
      </c>
      <c r="CA58">
        <v>8.0000000000000004E-4</v>
      </c>
      <c r="CB58">
        <v>5.0000000000000001E-4</v>
      </c>
      <c r="CC58">
        <v>2.0000000000000001E-4</v>
      </c>
      <c r="CD58">
        <v>-1E-4</v>
      </c>
      <c r="CE58">
        <v>-2.0000000000000001E-4</v>
      </c>
      <c r="CF58">
        <v>-2.9999999999999997E-4</v>
      </c>
      <c r="CG58">
        <v>-5.0000000000000001E-4</v>
      </c>
      <c r="CH58">
        <v>-8.0000000000000004E-4</v>
      </c>
      <c r="CI58">
        <v>-1.5E-3</v>
      </c>
      <c r="CJ58">
        <v>-1.9E-3</v>
      </c>
      <c r="CK58">
        <v>-2E-3</v>
      </c>
      <c r="CL58">
        <v>-2.5000000000000001E-3</v>
      </c>
      <c r="CM58">
        <v>-2.5999999999999999E-3</v>
      </c>
      <c r="CN58">
        <v>-2.7000000000000001E-3</v>
      </c>
      <c r="CO58">
        <v>-3.3999999999999998E-3</v>
      </c>
      <c r="CP58">
        <v>-3.7000000000000002E-3</v>
      </c>
      <c r="CQ58">
        <v>-2.8999999999999998E-3</v>
      </c>
      <c r="CR58">
        <v>-3.8E-3</v>
      </c>
      <c r="CS58">
        <v>-3.5000000000000001E-3</v>
      </c>
      <c r="CT58">
        <v>-4.4000000000000003E-3</v>
      </c>
      <c r="CU58">
        <v>-4.7999999999999996E-3</v>
      </c>
      <c r="CV58">
        <v>-5.3E-3</v>
      </c>
    </row>
    <row r="61" spans="1:100" x14ac:dyDescent="0.2">
      <c r="A61" t="s">
        <v>5909</v>
      </c>
      <c r="B61">
        <v>0.14410000000000001</v>
      </c>
      <c r="C61">
        <v>-6.1400000000000003E-2</v>
      </c>
      <c r="D61">
        <v>-0.23469999999999999</v>
      </c>
      <c r="E61">
        <v>-0.20610000000000001</v>
      </c>
      <c r="F61">
        <v>-0.29759999999999998</v>
      </c>
      <c r="G61">
        <v>-0.2223</v>
      </c>
      <c r="H61">
        <v>-0.30109999999999998</v>
      </c>
      <c r="I61">
        <v>-0.26029999999999998</v>
      </c>
      <c r="J61">
        <v>-0.26929999999999998</v>
      </c>
      <c r="K61">
        <v>-0.2051</v>
      </c>
      <c r="L61">
        <v>-0.26090000000000002</v>
      </c>
      <c r="M61">
        <v>-0.33079999999999998</v>
      </c>
      <c r="N61">
        <v>-0.30819999999999997</v>
      </c>
      <c r="O61">
        <v>-0.25219999999999998</v>
      </c>
      <c r="P61">
        <v>-0.15709999999999999</v>
      </c>
      <c r="Q61">
        <v>-0.1246</v>
      </c>
      <c r="R61">
        <v>-0.1201</v>
      </c>
      <c r="S61">
        <v>-0.1191</v>
      </c>
      <c r="T61">
        <v>-9.3399999999999997E-2</v>
      </c>
      <c r="U61">
        <v>-8.77E-2</v>
      </c>
      <c r="V61">
        <v>-8.8599999999999998E-2</v>
      </c>
      <c r="W61">
        <v>-9.7799999999999998E-2</v>
      </c>
      <c r="X61">
        <v>-0.10290000000000001</v>
      </c>
      <c r="Y61">
        <v>-0.10340000000000001</v>
      </c>
      <c r="Z61">
        <v>-9.0399999999999994E-2</v>
      </c>
      <c r="AA61">
        <v>-7.5300000000000006E-2</v>
      </c>
      <c r="AB61">
        <v>-6.5000000000000002E-2</v>
      </c>
      <c r="AC61">
        <v>-6.1499999999999999E-2</v>
      </c>
      <c r="AD61">
        <v>-5.5599999999999997E-2</v>
      </c>
      <c r="AE61">
        <v>-5.1900000000000002E-2</v>
      </c>
      <c r="AF61">
        <v>-5.1299999999999998E-2</v>
      </c>
      <c r="AG61">
        <v>-4.4499999999999998E-2</v>
      </c>
      <c r="AH61">
        <v>-2.7400000000000001E-2</v>
      </c>
      <c r="AI61">
        <v>-2.07E-2</v>
      </c>
      <c r="AJ61">
        <v>-1.2200000000000001E-2</v>
      </c>
      <c r="AK61">
        <v>-1.55E-2</v>
      </c>
      <c r="AL61">
        <v>-2.0199999999999999E-2</v>
      </c>
      <c r="AM61">
        <v>-3.3399999999999999E-2</v>
      </c>
      <c r="AN61">
        <v>-5.8500000000000003E-2</v>
      </c>
      <c r="AO61">
        <v>-8.4400000000000003E-2</v>
      </c>
      <c r="AP61">
        <v>-9.3399999999999997E-2</v>
      </c>
      <c r="AQ61">
        <v>-0.1033</v>
      </c>
      <c r="AR61">
        <v>-0.1041</v>
      </c>
      <c r="AS61">
        <v>-0.10340000000000001</v>
      </c>
      <c r="AT61">
        <v>-9.0899999999999995E-2</v>
      </c>
      <c r="AU61">
        <v>-6.2799999999999995E-2</v>
      </c>
      <c r="AV61">
        <v>-4.5999999999999999E-2</v>
      </c>
      <c r="AW61">
        <v>-4.2700000000000002E-2</v>
      </c>
      <c r="AX61">
        <v>-3.4799999999999998E-2</v>
      </c>
      <c r="AY61">
        <v>-3.61E-2</v>
      </c>
      <c r="AZ61">
        <v>-5.0599999999999999E-2</v>
      </c>
      <c r="BA61">
        <v>-9.1499999999999998E-2</v>
      </c>
      <c r="BB61">
        <v>-0.1202</v>
      </c>
      <c r="BC61">
        <v>-0.14000000000000001</v>
      </c>
      <c r="BD61">
        <v>-0.14549999999999999</v>
      </c>
      <c r="BE61">
        <v>-0.15459999999999999</v>
      </c>
      <c r="BF61">
        <v>-0.1426</v>
      </c>
      <c r="BG61">
        <v>-0.1124</v>
      </c>
      <c r="BH61">
        <v>-9.3600000000000003E-2</v>
      </c>
      <c r="BI61">
        <v>-7.5300000000000006E-2</v>
      </c>
      <c r="BJ61">
        <v>-7.1900000000000006E-2</v>
      </c>
      <c r="BK61">
        <v>-8.4500000000000006E-2</v>
      </c>
      <c r="BL61">
        <v>-0.10249999999999999</v>
      </c>
      <c r="BM61">
        <v>-0.13</v>
      </c>
      <c r="BN61">
        <v>-0.1532</v>
      </c>
      <c r="BO61">
        <v>-0.1565</v>
      </c>
      <c r="BP61">
        <v>-0.15160000000000001</v>
      </c>
      <c r="BQ61">
        <v>-0.12770000000000001</v>
      </c>
      <c r="BR61">
        <v>-0.1047</v>
      </c>
      <c r="BS61">
        <v>-7.9000000000000001E-2</v>
      </c>
      <c r="BT61">
        <v>-9.1600000000000001E-2</v>
      </c>
      <c r="BU61">
        <v>-8.4900000000000003E-2</v>
      </c>
      <c r="BV61">
        <v>-9.4500000000000001E-2</v>
      </c>
      <c r="BW61">
        <v>-0.12559999999999999</v>
      </c>
      <c r="BX61">
        <v>-0.17610000000000001</v>
      </c>
      <c r="BY61">
        <v>-0.19539999999999999</v>
      </c>
      <c r="BZ61">
        <v>-0.1883</v>
      </c>
      <c r="CA61">
        <v>-0.2195</v>
      </c>
      <c r="CB61">
        <v>-0.23380000000000001</v>
      </c>
      <c r="CC61">
        <v>-0.1182</v>
      </c>
      <c r="CD61">
        <v>-9.2399999999999996E-2</v>
      </c>
      <c r="CE61">
        <v>-8.5500000000000007E-2</v>
      </c>
      <c r="CF61">
        <v>-6.4399999999999999E-2</v>
      </c>
      <c r="CG61">
        <v>-5.2699999999999997E-2</v>
      </c>
      <c r="CH61">
        <v>-6.7400000000000002E-2</v>
      </c>
      <c r="CI61">
        <v>-0.27150000000000002</v>
      </c>
      <c r="CJ61">
        <v>-0.25190000000000001</v>
      </c>
      <c r="CK61">
        <v>-0.1807</v>
      </c>
      <c r="CL61">
        <v>-0.1031</v>
      </c>
      <c r="CM61">
        <v>-9.3299999999999994E-2</v>
      </c>
      <c r="CN61">
        <v>-0.1636</v>
      </c>
      <c r="CO61">
        <v>-0.29949999999999999</v>
      </c>
      <c r="CP61">
        <v>-0.21640000000000001</v>
      </c>
      <c r="CQ61">
        <v>-0.22509999999999999</v>
      </c>
      <c r="CR61">
        <v>-0.2099</v>
      </c>
      <c r="CS61">
        <v>-2.5000000000000001E-2</v>
      </c>
      <c r="CT61">
        <v>-0.1779</v>
      </c>
      <c r="CU61">
        <v>-0.13100000000000001</v>
      </c>
      <c r="CV61">
        <v>-0.14180000000000001</v>
      </c>
    </row>
    <row r="62" spans="1:100" x14ac:dyDescent="0.2">
      <c r="A62" t="s">
        <v>5910</v>
      </c>
      <c r="B62">
        <v>0.72950000000000004</v>
      </c>
      <c r="C62">
        <v>0.47670000000000001</v>
      </c>
      <c r="D62">
        <v>0.15590000000000001</v>
      </c>
      <c r="E62">
        <v>0.1244</v>
      </c>
      <c r="F62">
        <v>-3.85E-2</v>
      </c>
      <c r="G62">
        <v>3.7499999999999999E-2</v>
      </c>
      <c r="H62">
        <v>-7.8899999999999998E-2</v>
      </c>
      <c r="I62">
        <v>-6.4600000000000005E-2</v>
      </c>
      <c r="J62">
        <v>-8.3900000000000002E-2</v>
      </c>
      <c r="K62">
        <v>-6.3200000000000006E-2</v>
      </c>
      <c r="L62">
        <v>-0.13969999999999999</v>
      </c>
      <c r="M62">
        <v>-0.22989999999999999</v>
      </c>
      <c r="N62">
        <v>-0.21929999999999999</v>
      </c>
      <c r="O62">
        <v>-0.1724</v>
      </c>
      <c r="P62">
        <v>-8.7999999999999995E-2</v>
      </c>
      <c r="Q62">
        <v>-6.2300000000000001E-2</v>
      </c>
      <c r="R62">
        <v>-6.2199999999999998E-2</v>
      </c>
      <c r="S62">
        <v>-6.3100000000000003E-2</v>
      </c>
      <c r="T62">
        <v>-3.9699999999999999E-2</v>
      </c>
      <c r="U62">
        <v>-3.5700000000000003E-2</v>
      </c>
      <c r="V62">
        <v>-3.8800000000000001E-2</v>
      </c>
      <c r="W62">
        <v>-4.9500000000000002E-2</v>
      </c>
      <c r="X62">
        <v>-5.6000000000000001E-2</v>
      </c>
      <c r="Y62">
        <v>-5.74E-2</v>
      </c>
      <c r="Z62">
        <v>-4.4600000000000001E-2</v>
      </c>
      <c r="AA62">
        <v>-3.0300000000000001E-2</v>
      </c>
      <c r="AB62">
        <v>-2.0500000000000001E-2</v>
      </c>
      <c r="AC62">
        <v>-1.7299999999999999E-2</v>
      </c>
      <c r="AD62">
        <v>-1.11E-2</v>
      </c>
      <c r="AE62">
        <v>-6.8999999999999999E-3</v>
      </c>
      <c r="AF62">
        <v>-5.5999999999999999E-3</v>
      </c>
      <c r="AG62">
        <v>2.3999999999999998E-3</v>
      </c>
      <c r="AH62">
        <v>2.1700000000000001E-2</v>
      </c>
      <c r="AI62">
        <v>3.04E-2</v>
      </c>
      <c r="AJ62">
        <v>3.9699999999999999E-2</v>
      </c>
      <c r="AK62">
        <v>3.7199999999999997E-2</v>
      </c>
      <c r="AL62">
        <v>3.3099999999999997E-2</v>
      </c>
      <c r="AM62">
        <v>2.0199999999999999E-2</v>
      </c>
      <c r="AN62">
        <v>-5.4999999999999997E-3</v>
      </c>
      <c r="AO62">
        <v>-3.2099999999999997E-2</v>
      </c>
      <c r="AP62">
        <v>-4.1000000000000002E-2</v>
      </c>
      <c r="AQ62">
        <v>-5.0799999999999998E-2</v>
      </c>
      <c r="AR62">
        <v>-5.16E-2</v>
      </c>
      <c r="AS62">
        <v>-5.0999999999999997E-2</v>
      </c>
      <c r="AT62">
        <v>-3.8899999999999997E-2</v>
      </c>
      <c r="AU62">
        <v>-0.01</v>
      </c>
      <c r="AV62">
        <v>8.3999999999999995E-3</v>
      </c>
      <c r="AW62">
        <v>1.21E-2</v>
      </c>
      <c r="AX62">
        <v>2.06E-2</v>
      </c>
      <c r="AY62">
        <v>2.01E-2</v>
      </c>
      <c r="AZ62">
        <v>5.5999999999999999E-3</v>
      </c>
      <c r="BA62">
        <v>-3.49E-2</v>
      </c>
      <c r="BB62">
        <v>-6.2799999999999995E-2</v>
      </c>
      <c r="BC62">
        <v>-8.2199999999999995E-2</v>
      </c>
      <c r="BD62">
        <v>-8.7999999999999995E-2</v>
      </c>
      <c r="BE62">
        <v>-9.7000000000000003E-2</v>
      </c>
      <c r="BF62">
        <v>-8.5199999999999998E-2</v>
      </c>
      <c r="BG62">
        <v>-5.5100000000000003E-2</v>
      </c>
      <c r="BH62">
        <v>-3.6600000000000001E-2</v>
      </c>
      <c r="BI62">
        <v>-1.84E-2</v>
      </c>
      <c r="BJ62">
        <v>-1.5100000000000001E-2</v>
      </c>
      <c r="BK62">
        <v>-2.6700000000000002E-2</v>
      </c>
      <c r="BL62">
        <v>-4.4699999999999997E-2</v>
      </c>
      <c r="BM62">
        <v>-7.17E-2</v>
      </c>
      <c r="BN62">
        <v>-9.4799999999999995E-2</v>
      </c>
      <c r="BO62">
        <v>-9.8000000000000004E-2</v>
      </c>
      <c r="BP62">
        <v>-9.3799999999999994E-2</v>
      </c>
      <c r="BQ62">
        <v>-6.88E-2</v>
      </c>
      <c r="BR62">
        <v>-4.6800000000000001E-2</v>
      </c>
      <c r="BS62">
        <v>-1.9800000000000002E-2</v>
      </c>
      <c r="BT62">
        <v>-2.9399999999999999E-2</v>
      </c>
      <c r="BU62">
        <v>-1.9E-2</v>
      </c>
      <c r="BV62">
        <v>-2.7199999999999998E-2</v>
      </c>
      <c r="BW62">
        <v>-5.8200000000000002E-2</v>
      </c>
      <c r="BX62">
        <v>-0.11260000000000001</v>
      </c>
      <c r="BY62">
        <v>-0.13289999999999999</v>
      </c>
      <c r="BZ62">
        <v>-0.12690000000000001</v>
      </c>
      <c r="CA62">
        <v>-0.15679999999999999</v>
      </c>
      <c r="CB62">
        <v>-0.17</v>
      </c>
      <c r="CC62">
        <v>-4.4400000000000002E-2</v>
      </c>
      <c r="CD62">
        <v>-1.4E-2</v>
      </c>
      <c r="CE62">
        <v>-1.0500000000000001E-2</v>
      </c>
      <c r="CF62">
        <v>7.4000000000000003E-3</v>
      </c>
      <c r="CG62">
        <v>1.83E-2</v>
      </c>
      <c r="CH62">
        <v>8.0000000000000002E-3</v>
      </c>
      <c r="CI62">
        <v>-0.1908</v>
      </c>
      <c r="CJ62">
        <v>-0.17199999999999999</v>
      </c>
      <c r="CK62">
        <v>-0.1022</v>
      </c>
      <c r="CL62">
        <v>-1.3100000000000001E-2</v>
      </c>
      <c r="CM62">
        <v>-1E-3</v>
      </c>
      <c r="CN62">
        <v>-8.1000000000000003E-2</v>
      </c>
      <c r="CO62">
        <v>-0.2097</v>
      </c>
      <c r="CP62">
        <v>-0.10199999999999999</v>
      </c>
      <c r="CQ62">
        <v>-0.12509999999999999</v>
      </c>
      <c r="CR62">
        <v>-8.6199999999999999E-2</v>
      </c>
      <c r="CS62">
        <v>9.2999999999999999E-2</v>
      </c>
      <c r="CT62">
        <v>-3.2899999999999999E-2</v>
      </c>
      <c r="CU62">
        <v>4.5900000000000003E-2</v>
      </c>
      <c r="CV62">
        <v>8.4599999999999995E-2</v>
      </c>
    </row>
    <row r="63" spans="1:100" x14ac:dyDescent="0.2">
      <c r="A63" t="s">
        <v>5911</v>
      </c>
      <c r="B63">
        <v>-0.16850000000000001</v>
      </c>
      <c r="C63">
        <v>-9.5799999999999996E-2</v>
      </c>
      <c r="D63">
        <v>-0.2223</v>
      </c>
      <c r="E63">
        <v>-0.18909999999999999</v>
      </c>
      <c r="F63">
        <v>-0.19969999999999999</v>
      </c>
      <c r="G63">
        <v>-0.1787</v>
      </c>
      <c r="H63">
        <v>-0.19819999999999999</v>
      </c>
      <c r="I63">
        <v>-0.1867</v>
      </c>
      <c r="J63">
        <v>-0.1744</v>
      </c>
      <c r="K63">
        <v>-0.14729999999999999</v>
      </c>
      <c r="L63">
        <v>-0.16220000000000001</v>
      </c>
      <c r="M63">
        <v>-0.19209999999999999</v>
      </c>
      <c r="N63">
        <v>-0.1762</v>
      </c>
      <c r="O63">
        <v>-0.14349999999999999</v>
      </c>
      <c r="P63">
        <v>-8.7400000000000005E-2</v>
      </c>
      <c r="Q63">
        <v>-6.6600000000000006E-2</v>
      </c>
      <c r="R63">
        <v>-6.6799999999999998E-2</v>
      </c>
      <c r="S63">
        <v>-5.9200000000000003E-2</v>
      </c>
      <c r="T63">
        <v>-4.65E-2</v>
      </c>
      <c r="U63">
        <v>-3.6299999999999999E-2</v>
      </c>
      <c r="V63">
        <v>-3.7499999999999999E-2</v>
      </c>
      <c r="W63">
        <v>-4.8500000000000001E-2</v>
      </c>
      <c r="X63">
        <v>-5.3699999999999998E-2</v>
      </c>
      <c r="Y63">
        <v>-5.74E-2</v>
      </c>
      <c r="Z63">
        <v>-4.7300000000000002E-2</v>
      </c>
      <c r="AA63">
        <v>-3.4700000000000002E-2</v>
      </c>
      <c r="AB63">
        <v>-3.1300000000000001E-2</v>
      </c>
      <c r="AC63">
        <v>-2.7300000000000001E-2</v>
      </c>
      <c r="AD63">
        <v>-1.5299999999999999E-2</v>
      </c>
      <c r="AE63">
        <v>-7.0000000000000001E-3</v>
      </c>
      <c r="AF63">
        <v>-1.0699999999999999E-2</v>
      </c>
      <c r="AG63">
        <v>-2.7000000000000001E-3</v>
      </c>
      <c r="AH63">
        <v>1.66E-2</v>
      </c>
      <c r="AI63">
        <v>2.2499999999999999E-2</v>
      </c>
      <c r="AJ63">
        <v>2.4500000000000001E-2</v>
      </c>
      <c r="AK63">
        <v>2.9499999999999998E-2</v>
      </c>
      <c r="AL63">
        <v>2.7099999999999999E-2</v>
      </c>
      <c r="AM63">
        <v>1.9300000000000001E-2</v>
      </c>
      <c r="AN63">
        <v>-3.0000000000000001E-3</v>
      </c>
      <c r="AO63">
        <v>-2.1499999999999998E-2</v>
      </c>
      <c r="AP63">
        <v>-2.53E-2</v>
      </c>
      <c r="AQ63">
        <v>-3.9800000000000002E-2</v>
      </c>
      <c r="AR63">
        <v>-3.5099999999999999E-2</v>
      </c>
      <c r="AS63">
        <v>-3.7199999999999997E-2</v>
      </c>
      <c r="AT63">
        <v>-1.8200000000000001E-2</v>
      </c>
      <c r="AU63">
        <v>5.4000000000000003E-3</v>
      </c>
      <c r="AV63">
        <v>3.6400000000000002E-2</v>
      </c>
      <c r="AW63">
        <v>3.5000000000000003E-2</v>
      </c>
      <c r="AX63">
        <v>4.1799999999999997E-2</v>
      </c>
      <c r="AY63">
        <v>4.0099999999999997E-2</v>
      </c>
      <c r="AZ63">
        <v>2.6100000000000002E-2</v>
      </c>
      <c r="BA63">
        <v>-9.1999999999999998E-3</v>
      </c>
      <c r="BB63">
        <v>-4.0300000000000002E-2</v>
      </c>
      <c r="BC63">
        <v>-5.0200000000000002E-2</v>
      </c>
      <c r="BD63">
        <v>-5.2299999999999999E-2</v>
      </c>
      <c r="BE63">
        <v>-5.5399999999999998E-2</v>
      </c>
      <c r="BF63">
        <v>-4.6100000000000002E-2</v>
      </c>
      <c r="BG63">
        <v>-1.9599999999999999E-2</v>
      </c>
      <c r="BH63">
        <v>-8.5000000000000006E-3</v>
      </c>
      <c r="BI63">
        <v>-5.3E-3</v>
      </c>
      <c r="BJ63">
        <v>0</v>
      </c>
      <c r="BK63">
        <v>-7.0000000000000001E-3</v>
      </c>
      <c r="BL63">
        <v>-3.3500000000000002E-2</v>
      </c>
      <c r="BM63">
        <v>-5.8299999999999998E-2</v>
      </c>
      <c r="BN63">
        <v>-8.2299999999999998E-2</v>
      </c>
      <c r="BO63">
        <v>-8.7999999999999995E-2</v>
      </c>
      <c r="BP63">
        <v>-8.2600000000000007E-2</v>
      </c>
      <c r="BQ63">
        <v>-5.91E-2</v>
      </c>
      <c r="BR63">
        <v>-3.95E-2</v>
      </c>
      <c r="BS63">
        <v>-1.29E-2</v>
      </c>
      <c r="BT63">
        <v>-3.0700000000000002E-2</v>
      </c>
      <c r="BU63">
        <v>-2.7099999999999999E-2</v>
      </c>
      <c r="BV63">
        <v>-3.3099999999999997E-2</v>
      </c>
      <c r="BW63">
        <v>-6.2799999999999995E-2</v>
      </c>
      <c r="BX63">
        <v>-0.1202</v>
      </c>
      <c r="BY63">
        <v>-0.1361</v>
      </c>
      <c r="BZ63">
        <v>-0.1305</v>
      </c>
      <c r="CA63">
        <v>-0.15809999999999999</v>
      </c>
      <c r="CB63">
        <v>-0.16489999999999999</v>
      </c>
      <c r="CC63">
        <v>-3.5200000000000002E-2</v>
      </c>
      <c r="CD63">
        <v>-2.29E-2</v>
      </c>
      <c r="CE63">
        <v>-2.4799999999999999E-2</v>
      </c>
      <c r="CF63">
        <v>8.9999999999999998E-4</v>
      </c>
      <c r="CG63">
        <v>-5.7000000000000002E-3</v>
      </c>
      <c r="CH63">
        <v>-1.2500000000000001E-2</v>
      </c>
      <c r="CI63">
        <v>-0.22459999999999999</v>
      </c>
      <c r="CJ63">
        <v>-0.21079999999999999</v>
      </c>
      <c r="CK63">
        <v>-0.1545</v>
      </c>
      <c r="CL63">
        <v>-7.5200000000000003E-2</v>
      </c>
      <c r="CM63">
        <v>-5.1700000000000003E-2</v>
      </c>
      <c r="CN63">
        <v>-0.12590000000000001</v>
      </c>
      <c r="CO63">
        <v>-0.26960000000000001</v>
      </c>
      <c r="CP63">
        <v>-0.2036</v>
      </c>
      <c r="CQ63">
        <v>-0.21</v>
      </c>
      <c r="CR63">
        <v>-0.21729999999999999</v>
      </c>
      <c r="CS63">
        <v>-2.2499999999999999E-2</v>
      </c>
      <c r="CT63">
        <v>-0.21479999999999999</v>
      </c>
      <c r="CU63">
        <v>-0.16930000000000001</v>
      </c>
      <c r="CV63">
        <v>-0.1031</v>
      </c>
    </row>
    <row r="64" spans="1:100" x14ac:dyDescent="0.2">
      <c r="A64" t="s">
        <v>5912</v>
      </c>
      <c r="B64">
        <v>0.15129999999999999</v>
      </c>
      <c r="C64">
        <v>0.19400000000000001</v>
      </c>
      <c r="D64">
        <v>-7.4999999999999997E-3</v>
      </c>
      <c r="E64">
        <v>-6.7999999999999996E-3</v>
      </c>
      <c r="F64">
        <v>-5.5199999999999999E-2</v>
      </c>
      <c r="G64">
        <v>-3.0599999999999999E-2</v>
      </c>
      <c r="H64">
        <v>-6.8400000000000002E-2</v>
      </c>
      <c r="I64">
        <v>-6.9599999999999995E-2</v>
      </c>
      <c r="J64">
        <v>-6.1199999999999997E-2</v>
      </c>
      <c r="K64">
        <v>-5.8000000000000003E-2</v>
      </c>
      <c r="L64">
        <v>-8.4199999999999997E-2</v>
      </c>
      <c r="M64">
        <v>-0.12590000000000001</v>
      </c>
      <c r="N64">
        <v>-0.1168</v>
      </c>
      <c r="O64">
        <v>-8.9399999999999993E-2</v>
      </c>
      <c r="P64">
        <v>-3.9899999999999998E-2</v>
      </c>
      <c r="Q64">
        <v>-2.2800000000000001E-2</v>
      </c>
      <c r="R64">
        <v>-2.5399999999999999E-2</v>
      </c>
      <c r="S64">
        <v>-1.89E-2</v>
      </c>
      <c r="T64">
        <v>-7.4999999999999997E-3</v>
      </c>
      <c r="U64">
        <v>1.6999999999999999E-3</v>
      </c>
      <c r="V64">
        <v>-8.9999999999999998E-4</v>
      </c>
      <c r="W64">
        <v>-1.26E-2</v>
      </c>
      <c r="X64">
        <v>-1.8499999999999999E-2</v>
      </c>
      <c r="Y64">
        <v>-2.2800000000000001E-2</v>
      </c>
      <c r="Z64">
        <v>-1.2699999999999999E-2</v>
      </c>
      <c r="AA64">
        <v>-4.0000000000000002E-4</v>
      </c>
      <c r="AB64">
        <v>2.8999999999999998E-3</v>
      </c>
      <c r="AC64">
        <v>7.0000000000000001E-3</v>
      </c>
      <c r="AD64">
        <v>1.9400000000000001E-2</v>
      </c>
      <c r="AE64">
        <v>2.81E-2</v>
      </c>
      <c r="AF64">
        <v>2.52E-2</v>
      </c>
      <c r="AG64">
        <v>3.4099999999999998E-2</v>
      </c>
      <c r="AH64">
        <v>5.5300000000000002E-2</v>
      </c>
      <c r="AI64">
        <v>6.2700000000000006E-2</v>
      </c>
      <c r="AJ64">
        <v>6.5699999999999995E-2</v>
      </c>
      <c r="AK64">
        <v>7.1300000000000002E-2</v>
      </c>
      <c r="AL64">
        <v>6.9599999999999995E-2</v>
      </c>
      <c r="AM64">
        <v>6.2199999999999998E-2</v>
      </c>
      <c r="AN64">
        <v>3.9600000000000003E-2</v>
      </c>
      <c r="AO64">
        <v>2.07E-2</v>
      </c>
      <c r="AP64">
        <v>1.72E-2</v>
      </c>
      <c r="AQ64">
        <v>2.8999999999999998E-3</v>
      </c>
      <c r="AR64">
        <v>7.6E-3</v>
      </c>
      <c r="AS64">
        <v>5.4000000000000003E-3</v>
      </c>
      <c r="AT64">
        <v>2.4199999999999999E-2</v>
      </c>
      <c r="AU64">
        <v>4.8300000000000003E-2</v>
      </c>
      <c r="AV64">
        <v>8.0299999999999996E-2</v>
      </c>
      <c r="AW64">
        <v>7.9299999999999995E-2</v>
      </c>
      <c r="AX64">
        <v>8.6499999999999994E-2</v>
      </c>
      <c r="AY64">
        <v>8.5400000000000004E-2</v>
      </c>
      <c r="AZ64">
        <v>7.17E-2</v>
      </c>
      <c r="BA64">
        <v>3.6900000000000002E-2</v>
      </c>
      <c r="BB64">
        <v>6.7999999999999996E-3</v>
      </c>
      <c r="BC64">
        <v>-2.5999999999999999E-3</v>
      </c>
      <c r="BD64">
        <v>-5.0000000000000001E-3</v>
      </c>
      <c r="BE64">
        <v>-7.9000000000000008E-3</v>
      </c>
      <c r="BF64">
        <v>6.9999999999999999E-4</v>
      </c>
      <c r="BG64">
        <v>2.7400000000000001E-2</v>
      </c>
      <c r="BH64">
        <v>3.8600000000000002E-2</v>
      </c>
      <c r="BI64">
        <v>4.1700000000000001E-2</v>
      </c>
      <c r="BJ64">
        <v>4.7199999999999999E-2</v>
      </c>
      <c r="BK64">
        <v>4.1300000000000003E-2</v>
      </c>
      <c r="BL64">
        <v>1.55E-2</v>
      </c>
      <c r="BM64">
        <v>-8.8000000000000005E-3</v>
      </c>
      <c r="BN64">
        <v>-3.2399999999999998E-2</v>
      </c>
      <c r="BO64">
        <v>-3.7600000000000001E-2</v>
      </c>
      <c r="BP64">
        <v>-3.2500000000000001E-2</v>
      </c>
      <c r="BQ64">
        <v>-8.0999999999999996E-3</v>
      </c>
      <c r="BR64">
        <v>1.18E-2</v>
      </c>
      <c r="BS64">
        <v>0.04</v>
      </c>
      <c r="BT64">
        <v>2.5100000000000001E-2</v>
      </c>
      <c r="BU64">
        <v>3.2399999999999998E-2</v>
      </c>
      <c r="BV64">
        <v>2.75E-2</v>
      </c>
      <c r="BW64">
        <v>-1.9E-3</v>
      </c>
      <c r="BX64">
        <v>-6.1800000000000001E-2</v>
      </c>
      <c r="BY64">
        <v>-7.8399999999999997E-2</v>
      </c>
      <c r="BZ64">
        <v>-7.2900000000000006E-2</v>
      </c>
      <c r="CA64">
        <v>-9.8500000000000004E-2</v>
      </c>
      <c r="CB64">
        <v>-0.1024</v>
      </c>
      <c r="CC64">
        <v>3.6999999999999998E-2</v>
      </c>
      <c r="CD64">
        <v>5.3999999999999999E-2</v>
      </c>
      <c r="CE64">
        <v>4.9399999999999999E-2</v>
      </c>
      <c r="CF64">
        <v>7.1900000000000006E-2</v>
      </c>
      <c r="CG64">
        <v>6.4899999999999999E-2</v>
      </c>
      <c r="CH64">
        <v>6.2899999999999998E-2</v>
      </c>
      <c r="CI64">
        <v>-0.14019999999999999</v>
      </c>
      <c r="CJ64">
        <v>-0.12740000000000001</v>
      </c>
      <c r="CK64">
        <v>-7.0800000000000002E-2</v>
      </c>
      <c r="CL64">
        <v>1.95E-2</v>
      </c>
      <c r="CM64">
        <v>4.4699999999999997E-2</v>
      </c>
      <c r="CN64">
        <v>-3.9800000000000002E-2</v>
      </c>
      <c r="CO64">
        <v>-0.17749999999999999</v>
      </c>
      <c r="CP64">
        <v>-8.8800000000000004E-2</v>
      </c>
      <c r="CQ64">
        <v>-0.1105</v>
      </c>
      <c r="CR64">
        <v>-9.2799999999999994E-2</v>
      </c>
      <c r="CS64">
        <v>9.7000000000000003E-2</v>
      </c>
      <c r="CT64">
        <v>-7.6799999999999993E-2</v>
      </c>
      <c r="CU64">
        <v>-1.5800000000000002E-2</v>
      </c>
      <c r="CV64">
        <v>7.6700000000000004E-2</v>
      </c>
    </row>
    <row r="65" spans="1:100" x14ac:dyDescent="0.2">
      <c r="A65" t="s">
        <v>5913</v>
      </c>
      <c r="B65">
        <v>-3.7600000000000001E-2</v>
      </c>
      <c r="C65">
        <v>-4.5699999999999998E-2</v>
      </c>
      <c r="D65">
        <v>-1.0999999999999999E-2</v>
      </c>
      <c r="E65">
        <v>-1.5800000000000002E-2</v>
      </c>
      <c r="F65">
        <v>8.0999999999999996E-3</v>
      </c>
      <c r="G65">
        <v>-3.2000000000000002E-3</v>
      </c>
      <c r="H65">
        <v>3.0999999999999999E-3</v>
      </c>
      <c r="I65">
        <v>1.6999999999999999E-3</v>
      </c>
      <c r="J65">
        <v>-1.5E-3</v>
      </c>
      <c r="K65">
        <v>-3.5999999999999999E-3</v>
      </c>
      <c r="L65">
        <v>4.4000000000000003E-3</v>
      </c>
      <c r="M65">
        <v>1.2E-2</v>
      </c>
      <c r="N65">
        <v>0.01</v>
      </c>
      <c r="O65">
        <v>3.5000000000000001E-3</v>
      </c>
      <c r="P65">
        <v>-3.3E-3</v>
      </c>
      <c r="Q65">
        <v>-6.3E-3</v>
      </c>
      <c r="R65">
        <v>-5.8999999999999999E-3</v>
      </c>
      <c r="S65">
        <v>-6.7000000000000002E-3</v>
      </c>
      <c r="T65">
        <v>-8.6999999999999994E-3</v>
      </c>
      <c r="U65">
        <v>-8.3000000000000001E-3</v>
      </c>
      <c r="V65">
        <v>-5.3E-3</v>
      </c>
      <c r="W65">
        <v>-3.8E-3</v>
      </c>
      <c r="X65">
        <v>-2.5999999999999999E-3</v>
      </c>
      <c r="Y65">
        <v>-2.0999999999999999E-3</v>
      </c>
      <c r="Z65">
        <v>-5.1000000000000004E-3</v>
      </c>
      <c r="AA65">
        <v>-6.6E-3</v>
      </c>
      <c r="AB65">
        <v>-7.1999999999999998E-3</v>
      </c>
      <c r="AC65">
        <v>-7.7000000000000002E-3</v>
      </c>
      <c r="AD65">
        <v>-0.01</v>
      </c>
      <c r="AE65">
        <v>-1.03E-2</v>
      </c>
      <c r="AF65">
        <v>-9.4000000000000004E-3</v>
      </c>
      <c r="AG65">
        <v>-1.17E-2</v>
      </c>
      <c r="AH65">
        <v>-1.7299999999999999E-2</v>
      </c>
      <c r="AI65">
        <v>-1.9E-2</v>
      </c>
      <c r="AJ65">
        <v>-2.0899999999999998E-2</v>
      </c>
      <c r="AK65">
        <v>-2.0799999999999999E-2</v>
      </c>
      <c r="AL65">
        <v>-2.18E-2</v>
      </c>
      <c r="AM65">
        <v>-2.0799999999999999E-2</v>
      </c>
      <c r="AN65">
        <v>-1.5699999999999999E-2</v>
      </c>
      <c r="AO65">
        <v>-8.6999999999999994E-3</v>
      </c>
      <c r="AP65">
        <v>-5.7999999999999996E-3</v>
      </c>
      <c r="AQ65">
        <v>-3.8E-3</v>
      </c>
      <c r="AR65">
        <v>-3.3999999999999998E-3</v>
      </c>
      <c r="AS65">
        <v>-2.8999999999999998E-3</v>
      </c>
      <c r="AT65">
        <v>-8.0000000000000002E-3</v>
      </c>
      <c r="AU65">
        <v>-1.49E-2</v>
      </c>
      <c r="AV65">
        <v>-2.1899999999999999E-2</v>
      </c>
      <c r="AW65">
        <v>-2.2700000000000001E-2</v>
      </c>
      <c r="AX65">
        <v>-2.3900000000000001E-2</v>
      </c>
      <c r="AY65">
        <v>-2.3400000000000001E-2</v>
      </c>
      <c r="AZ65">
        <v>-2.1700000000000001E-2</v>
      </c>
      <c r="BA65">
        <v>-1.2699999999999999E-2</v>
      </c>
      <c r="BB65">
        <v>-6.4000000000000003E-3</v>
      </c>
      <c r="BC65">
        <v>-3.8E-3</v>
      </c>
      <c r="BD65">
        <v>-3.7000000000000002E-3</v>
      </c>
      <c r="BE65">
        <v>-2.0999999999999999E-3</v>
      </c>
      <c r="BF65">
        <v>-2E-3</v>
      </c>
      <c r="BG65">
        <v>-7.4999999999999997E-3</v>
      </c>
      <c r="BH65">
        <v>-9.5999999999999992E-3</v>
      </c>
      <c r="BI65">
        <v>-1.3100000000000001E-2</v>
      </c>
      <c r="BJ65">
        <v>-1.3100000000000001E-2</v>
      </c>
      <c r="BK65">
        <v>-1.0999999999999999E-2</v>
      </c>
      <c r="BL65">
        <v>-3.7000000000000002E-3</v>
      </c>
      <c r="BM65">
        <v>-6.9999999999999999E-4</v>
      </c>
      <c r="BN65">
        <v>3.3999999999999998E-3</v>
      </c>
      <c r="BO65">
        <v>3.5999999999999999E-3</v>
      </c>
      <c r="BP65">
        <v>3.5999999999999999E-3</v>
      </c>
      <c r="BQ65">
        <v>-2.8999999999999998E-3</v>
      </c>
      <c r="BR65">
        <v>-9.2999999999999992E-3</v>
      </c>
      <c r="BS65">
        <v>-1.52E-2</v>
      </c>
      <c r="BT65">
        <v>-1.0699999999999999E-2</v>
      </c>
      <c r="BU65">
        <v>-1.3899999999999999E-2</v>
      </c>
      <c r="BV65">
        <v>-1.3899999999999999E-2</v>
      </c>
      <c r="BW65">
        <v>-5.4000000000000003E-3</v>
      </c>
      <c r="BX65">
        <v>8.5000000000000006E-3</v>
      </c>
      <c r="BY65">
        <v>1.09E-2</v>
      </c>
      <c r="BZ65">
        <v>6.1000000000000004E-3</v>
      </c>
      <c r="CA65">
        <v>1.3599999999999999E-2</v>
      </c>
      <c r="CB65">
        <v>1.5699999999999999E-2</v>
      </c>
      <c r="CC65">
        <v>-1.7600000000000001E-2</v>
      </c>
      <c r="CD65">
        <v>-2.1100000000000001E-2</v>
      </c>
      <c r="CE65">
        <v>-2.0899999999999998E-2</v>
      </c>
      <c r="CF65">
        <v>-2.0400000000000001E-2</v>
      </c>
      <c r="CG65">
        <v>-2.6100000000000002E-2</v>
      </c>
      <c r="CH65">
        <v>-2.6100000000000002E-2</v>
      </c>
      <c r="CI65">
        <v>1.3899999999999999E-2</v>
      </c>
      <c r="CJ65">
        <v>1.44E-2</v>
      </c>
      <c r="CK65">
        <v>6.3E-3</v>
      </c>
      <c r="CL65">
        <v>-1.6899999999999998E-2</v>
      </c>
      <c r="CM65">
        <v>-0.02</v>
      </c>
      <c r="CN65">
        <v>5.3E-3</v>
      </c>
      <c r="CO65">
        <v>3.5499999999999997E-2</v>
      </c>
      <c r="CP65">
        <v>2.7000000000000001E-3</v>
      </c>
      <c r="CQ65">
        <v>8.2000000000000007E-3</v>
      </c>
      <c r="CR65">
        <v>7.6E-3</v>
      </c>
      <c r="CS65">
        <v>-4.5699999999999998E-2</v>
      </c>
      <c r="CT65">
        <v>-2.3699999999999999E-2</v>
      </c>
      <c r="CU65">
        <v>-2.5999999999999999E-2</v>
      </c>
      <c r="CV65">
        <v>-3.3099999999999997E-2</v>
      </c>
    </row>
    <row r="66" spans="1:100" x14ac:dyDescent="0.2">
      <c r="A66" t="s">
        <v>5914</v>
      </c>
      <c r="B66">
        <v>1.83E-2</v>
      </c>
      <c r="C66">
        <v>6.7999999999999996E-3</v>
      </c>
      <c r="D66">
        <v>2.8400000000000002E-2</v>
      </c>
      <c r="E66">
        <v>1.83E-2</v>
      </c>
      <c r="F66">
        <v>3.5799999999999998E-2</v>
      </c>
      <c r="G66">
        <v>2.5100000000000001E-2</v>
      </c>
      <c r="H66">
        <v>2.8299999999999999E-2</v>
      </c>
      <c r="I66">
        <v>2.4500000000000001E-2</v>
      </c>
      <c r="J66">
        <v>2.0899999999999998E-2</v>
      </c>
      <c r="K66">
        <v>1.4200000000000001E-2</v>
      </c>
      <c r="L66">
        <v>2.01E-2</v>
      </c>
      <c r="M66">
        <v>2.5399999999999999E-2</v>
      </c>
      <c r="N66">
        <v>2.2200000000000001E-2</v>
      </c>
      <c r="O66">
        <v>1.47E-2</v>
      </c>
      <c r="P66">
        <v>6.4999999999999997E-3</v>
      </c>
      <c r="Q66">
        <v>2.8E-3</v>
      </c>
      <c r="R66">
        <v>2.7000000000000001E-3</v>
      </c>
      <c r="S66">
        <v>1.6999999999999999E-3</v>
      </c>
      <c r="T66">
        <v>-5.9999999999999995E-4</v>
      </c>
      <c r="U66">
        <v>-2.9999999999999997E-4</v>
      </c>
      <c r="V66">
        <v>2.5000000000000001E-3</v>
      </c>
      <c r="W66">
        <v>3.8999999999999998E-3</v>
      </c>
      <c r="X66">
        <v>4.8999999999999998E-3</v>
      </c>
      <c r="Y66">
        <v>5.4000000000000003E-3</v>
      </c>
      <c r="Z66">
        <v>2.3999999999999998E-3</v>
      </c>
      <c r="AA66">
        <v>8.9999999999999998E-4</v>
      </c>
      <c r="AB66">
        <v>2.9999999999999997E-4</v>
      </c>
      <c r="AC66">
        <v>-2.0000000000000001E-4</v>
      </c>
      <c r="AD66">
        <v>-2.3999999999999998E-3</v>
      </c>
      <c r="AE66">
        <v>-2.5000000000000001E-3</v>
      </c>
      <c r="AF66">
        <v>-1.4E-3</v>
      </c>
      <c r="AG66">
        <v>-3.3999999999999998E-3</v>
      </c>
      <c r="AH66">
        <v>-8.6999999999999994E-3</v>
      </c>
      <c r="AI66">
        <v>-9.9000000000000008E-3</v>
      </c>
      <c r="AJ66">
        <v>-1.1599999999999999E-2</v>
      </c>
      <c r="AK66">
        <v>-1.1299999999999999E-2</v>
      </c>
      <c r="AL66">
        <v>-1.21E-2</v>
      </c>
      <c r="AM66">
        <v>-1.0999999999999999E-2</v>
      </c>
      <c r="AN66">
        <v>-5.8999999999999999E-3</v>
      </c>
      <c r="AO66">
        <v>1.1000000000000001E-3</v>
      </c>
      <c r="AP66">
        <v>4.1000000000000003E-3</v>
      </c>
      <c r="AQ66">
        <v>6.1999999999999998E-3</v>
      </c>
      <c r="AR66">
        <v>6.6E-3</v>
      </c>
      <c r="AS66">
        <v>7.1999999999999998E-3</v>
      </c>
      <c r="AT66">
        <v>2.0999999999999999E-3</v>
      </c>
      <c r="AU66">
        <v>-4.7000000000000002E-3</v>
      </c>
      <c r="AV66">
        <v>-1.14E-2</v>
      </c>
      <c r="AW66">
        <v>-1.2E-2</v>
      </c>
      <c r="AX66">
        <v>-1.3100000000000001E-2</v>
      </c>
      <c r="AY66">
        <v>-1.23E-2</v>
      </c>
      <c r="AZ66">
        <v>-1.06E-2</v>
      </c>
      <c r="BA66">
        <v>-1.4E-3</v>
      </c>
      <c r="BB66">
        <v>5.1999999999999998E-3</v>
      </c>
      <c r="BC66">
        <v>7.9000000000000008E-3</v>
      </c>
      <c r="BD66">
        <v>8.0999999999999996E-3</v>
      </c>
      <c r="BE66">
        <v>9.7000000000000003E-3</v>
      </c>
      <c r="BF66">
        <v>9.7999999999999997E-3</v>
      </c>
      <c r="BG66">
        <v>4.4000000000000003E-3</v>
      </c>
      <c r="BH66">
        <v>2.3999999999999998E-3</v>
      </c>
      <c r="BI66">
        <v>-1E-3</v>
      </c>
      <c r="BJ66">
        <v>-8.9999999999999998E-4</v>
      </c>
      <c r="BK66">
        <v>1.5E-3</v>
      </c>
      <c r="BL66">
        <v>9.1000000000000004E-3</v>
      </c>
      <c r="BM66">
        <v>1.23E-2</v>
      </c>
      <c r="BN66">
        <v>1.66E-2</v>
      </c>
      <c r="BO66">
        <v>1.7000000000000001E-2</v>
      </c>
      <c r="BP66">
        <v>1.6899999999999998E-2</v>
      </c>
      <c r="BQ66">
        <v>1.06E-2</v>
      </c>
      <c r="BR66">
        <v>4.4999999999999997E-3</v>
      </c>
      <c r="BS66">
        <v>-8.0000000000000004E-4</v>
      </c>
      <c r="BT66">
        <v>4.4999999999999997E-3</v>
      </c>
      <c r="BU66">
        <v>2.3999999999999998E-3</v>
      </c>
      <c r="BV66">
        <v>2.8999999999999998E-3</v>
      </c>
      <c r="BW66">
        <v>1.1599999999999999E-2</v>
      </c>
      <c r="BX66">
        <v>2.4899999999999999E-2</v>
      </c>
      <c r="BY66">
        <v>2.7099999999999999E-2</v>
      </c>
      <c r="BZ66">
        <v>2.24E-2</v>
      </c>
      <c r="CA66">
        <v>3.0499999999999999E-2</v>
      </c>
      <c r="CB66">
        <v>3.3799999999999997E-2</v>
      </c>
      <c r="CC66">
        <v>3.3999999999999998E-3</v>
      </c>
      <c r="CD66">
        <v>1.4E-3</v>
      </c>
      <c r="CE66">
        <v>1.1000000000000001E-3</v>
      </c>
      <c r="CF66">
        <v>8.9999999999999998E-4</v>
      </c>
      <c r="CG66">
        <v>-4.5999999999999999E-3</v>
      </c>
      <c r="CH66">
        <v>-2.8999999999999998E-3</v>
      </c>
      <c r="CI66">
        <v>0.04</v>
      </c>
      <c r="CJ66">
        <v>4.0599999999999997E-2</v>
      </c>
      <c r="CK66">
        <v>3.2899999999999999E-2</v>
      </c>
      <c r="CL66">
        <v>1.4E-2</v>
      </c>
      <c r="CM66">
        <v>1.24E-2</v>
      </c>
      <c r="CN66">
        <v>3.5099999999999999E-2</v>
      </c>
      <c r="CO66">
        <v>6.8500000000000005E-2</v>
      </c>
      <c r="CP66">
        <v>4.4999999999999998E-2</v>
      </c>
      <c r="CQ66">
        <v>4.5900000000000003E-2</v>
      </c>
      <c r="CR66">
        <v>5.67E-2</v>
      </c>
      <c r="CS66">
        <v>3.7000000000000002E-3</v>
      </c>
      <c r="CT66">
        <v>3.5799999999999998E-2</v>
      </c>
      <c r="CU66">
        <v>4.6300000000000001E-2</v>
      </c>
      <c r="CV66">
        <v>6.4100000000000004E-2</v>
      </c>
    </row>
    <row r="67" spans="1:100" x14ac:dyDescent="0.2">
      <c r="A67" t="s">
        <v>5915</v>
      </c>
      <c r="B67">
        <v>-1.23E-2</v>
      </c>
      <c r="C67">
        <v>-1.72E-2</v>
      </c>
      <c r="D67">
        <v>3.3E-3</v>
      </c>
      <c r="E67">
        <v>-1.8E-3</v>
      </c>
      <c r="F67">
        <v>4.4000000000000003E-3</v>
      </c>
      <c r="G67">
        <v>-5.9999999999999995E-4</v>
      </c>
      <c r="H67">
        <v>-3.3E-3</v>
      </c>
      <c r="I67">
        <v>5.9999999999999995E-4</v>
      </c>
      <c r="J67">
        <v>-4.4000000000000003E-3</v>
      </c>
      <c r="K67">
        <v>-2.5999999999999999E-3</v>
      </c>
      <c r="L67">
        <v>5.1999999999999998E-3</v>
      </c>
      <c r="M67">
        <v>1.34E-2</v>
      </c>
      <c r="N67">
        <v>1.0800000000000001E-2</v>
      </c>
      <c r="O67">
        <v>7.9000000000000008E-3</v>
      </c>
      <c r="P67">
        <v>4.7999999999999996E-3</v>
      </c>
      <c r="Q67">
        <v>6.6E-3</v>
      </c>
      <c r="R67">
        <v>3.0999999999999999E-3</v>
      </c>
      <c r="S67">
        <v>4.3E-3</v>
      </c>
      <c r="T67">
        <v>1.9E-3</v>
      </c>
      <c r="U67">
        <v>1.6999999999999999E-3</v>
      </c>
      <c r="V67">
        <v>4.0000000000000001E-3</v>
      </c>
      <c r="W67">
        <v>4.3E-3</v>
      </c>
      <c r="X67">
        <v>4.4999999999999997E-3</v>
      </c>
      <c r="Y67">
        <v>4.0000000000000001E-3</v>
      </c>
      <c r="Z67">
        <v>-1.4E-3</v>
      </c>
      <c r="AA67">
        <v>-3.0999999999999999E-3</v>
      </c>
      <c r="AB67">
        <v>-2E-3</v>
      </c>
      <c r="AC67">
        <v>-2.3999999999999998E-3</v>
      </c>
      <c r="AD67">
        <v>-5.9999999999999995E-4</v>
      </c>
      <c r="AE67">
        <v>1.1000000000000001E-3</v>
      </c>
      <c r="AF67">
        <v>-8.0000000000000004E-4</v>
      </c>
      <c r="AG67">
        <v>-1.9E-3</v>
      </c>
      <c r="AH67">
        <v>-3.8999999999999998E-3</v>
      </c>
      <c r="AI67">
        <v>-6.3E-3</v>
      </c>
      <c r="AJ67">
        <v>-7.4999999999999997E-3</v>
      </c>
      <c r="AK67">
        <v>-8.6999999999999994E-3</v>
      </c>
      <c r="AL67">
        <v>-8.6999999999999994E-3</v>
      </c>
      <c r="AM67">
        <v>-2.7000000000000001E-3</v>
      </c>
      <c r="AN67">
        <v>-6.9999999999999999E-4</v>
      </c>
      <c r="AO67">
        <v>2.9999999999999997E-4</v>
      </c>
      <c r="AP67">
        <v>-1.2999999999999999E-3</v>
      </c>
      <c r="AQ67">
        <v>-2.8E-3</v>
      </c>
      <c r="AR67">
        <v>-2.5000000000000001E-3</v>
      </c>
      <c r="AS67">
        <v>-2.5000000000000001E-3</v>
      </c>
      <c r="AT67">
        <v>1E-4</v>
      </c>
      <c r="AU67">
        <v>-1.1999999999999999E-3</v>
      </c>
      <c r="AV67">
        <v>-3.0999999999999999E-3</v>
      </c>
      <c r="AW67">
        <v>-6.7999999999999996E-3</v>
      </c>
      <c r="AX67">
        <v>-6.0000000000000001E-3</v>
      </c>
      <c r="AY67">
        <v>-4.8999999999999998E-3</v>
      </c>
      <c r="AZ67">
        <v>-5.4000000000000003E-3</v>
      </c>
      <c r="BA67">
        <v>-3.2000000000000002E-3</v>
      </c>
      <c r="BB67">
        <v>-3.0999999999999999E-3</v>
      </c>
      <c r="BC67">
        <v>1.1000000000000001E-3</v>
      </c>
      <c r="BD67">
        <v>5.5999999999999999E-3</v>
      </c>
      <c r="BE67">
        <v>4.1999999999999997E-3</v>
      </c>
      <c r="BF67">
        <v>4.1000000000000003E-3</v>
      </c>
      <c r="BG67">
        <v>6.9999999999999999E-4</v>
      </c>
      <c r="BH67">
        <v>6.9999999999999999E-4</v>
      </c>
      <c r="BI67">
        <v>-2.8E-3</v>
      </c>
      <c r="BJ67">
        <v>-3.0999999999999999E-3</v>
      </c>
      <c r="BK67">
        <v>-1E-3</v>
      </c>
      <c r="BL67">
        <v>4.7000000000000002E-3</v>
      </c>
      <c r="BM67">
        <v>7.3000000000000001E-3</v>
      </c>
      <c r="BN67">
        <v>4.8999999999999998E-3</v>
      </c>
      <c r="BO67">
        <v>5.1000000000000004E-3</v>
      </c>
      <c r="BP67">
        <v>1.23E-2</v>
      </c>
      <c r="BQ67">
        <v>7.1999999999999998E-3</v>
      </c>
      <c r="BR67">
        <v>1E-3</v>
      </c>
      <c r="BS67">
        <v>-6.9999999999999999E-4</v>
      </c>
      <c r="BT67">
        <v>1.5E-3</v>
      </c>
      <c r="BU67">
        <v>-1.4E-3</v>
      </c>
      <c r="BV67">
        <v>-5.1999999999999998E-3</v>
      </c>
      <c r="BW67">
        <v>-3.0000000000000001E-3</v>
      </c>
      <c r="BX67">
        <v>6.7999999999999996E-3</v>
      </c>
      <c r="BY67">
        <v>6.4999999999999997E-3</v>
      </c>
      <c r="BZ67">
        <v>0</v>
      </c>
      <c r="CA67">
        <v>4.5999999999999999E-3</v>
      </c>
      <c r="CB67">
        <v>1.4E-2</v>
      </c>
      <c r="CC67">
        <v>-6.4000000000000003E-3</v>
      </c>
      <c r="CD67">
        <v>-1.0999999999999999E-2</v>
      </c>
      <c r="CE67">
        <v>-1.04E-2</v>
      </c>
      <c r="CF67">
        <v>-1.6899999999999998E-2</v>
      </c>
      <c r="CG67">
        <v>-2.4199999999999999E-2</v>
      </c>
      <c r="CH67">
        <v>-2.47E-2</v>
      </c>
      <c r="CI67">
        <v>3.2000000000000002E-3</v>
      </c>
      <c r="CJ67">
        <v>-6.7999999999999996E-3</v>
      </c>
      <c r="CK67">
        <v>-9.1999999999999998E-3</v>
      </c>
      <c r="CL67">
        <v>-3.4099999999999998E-2</v>
      </c>
      <c r="CM67">
        <v>-4.41E-2</v>
      </c>
      <c r="CN67">
        <v>-3.3300000000000003E-2</v>
      </c>
      <c r="CO67">
        <v>-5.1999999999999998E-3</v>
      </c>
      <c r="CP67">
        <v>-3.0599999999999999E-2</v>
      </c>
      <c r="CQ67">
        <v>-1.47E-2</v>
      </c>
      <c r="CR67">
        <v>-2.81E-2</v>
      </c>
      <c r="CS67">
        <v>-6.8599999999999994E-2</v>
      </c>
      <c r="CT67">
        <v>-4.6699999999999998E-2</v>
      </c>
      <c r="CU67">
        <v>-6.2700000000000006E-2</v>
      </c>
      <c r="CV67">
        <v>-8.8599999999999998E-2</v>
      </c>
    </row>
    <row r="68" spans="1:100" x14ac:dyDescent="0.2">
      <c r="A68" t="s">
        <v>5916</v>
      </c>
      <c r="B68">
        <v>4.5199999999999997E-2</v>
      </c>
      <c r="C68">
        <v>3.95E-2</v>
      </c>
      <c r="D68">
        <v>4.7699999999999999E-2</v>
      </c>
      <c r="E68">
        <v>3.7600000000000001E-2</v>
      </c>
      <c r="F68">
        <v>3.6900000000000002E-2</v>
      </c>
      <c r="G68">
        <v>3.3099999999999997E-2</v>
      </c>
      <c r="H68">
        <v>2.6700000000000002E-2</v>
      </c>
      <c r="I68">
        <v>2.8000000000000001E-2</v>
      </c>
      <c r="J68">
        <v>2.2499999999999999E-2</v>
      </c>
      <c r="K68">
        <v>1.8800000000000001E-2</v>
      </c>
      <c r="L68">
        <v>2.41E-2</v>
      </c>
      <c r="M68">
        <v>2.9600000000000001E-2</v>
      </c>
      <c r="N68">
        <v>2.5499999999999998E-2</v>
      </c>
      <c r="O68">
        <v>2.1299999999999999E-2</v>
      </c>
      <c r="P68">
        <v>1.66E-2</v>
      </c>
      <c r="Q68">
        <v>1.7500000000000002E-2</v>
      </c>
      <c r="R68">
        <v>1.35E-2</v>
      </c>
      <c r="S68">
        <v>1.4500000000000001E-2</v>
      </c>
      <c r="T68">
        <v>1.17E-2</v>
      </c>
      <c r="U68">
        <v>1.1299999999999999E-2</v>
      </c>
      <c r="V68">
        <v>1.3299999999999999E-2</v>
      </c>
      <c r="W68">
        <v>1.3599999999999999E-2</v>
      </c>
      <c r="X68">
        <v>1.3599999999999999E-2</v>
      </c>
      <c r="Y68">
        <v>1.2999999999999999E-2</v>
      </c>
      <c r="Z68">
        <v>7.7000000000000002E-3</v>
      </c>
      <c r="AA68">
        <v>5.8999999999999999E-3</v>
      </c>
      <c r="AB68">
        <v>7.1000000000000004E-3</v>
      </c>
      <c r="AC68">
        <v>6.7000000000000002E-3</v>
      </c>
      <c r="AD68">
        <v>8.6E-3</v>
      </c>
      <c r="AE68">
        <v>1.0500000000000001E-2</v>
      </c>
      <c r="AF68">
        <v>8.8999999999999999E-3</v>
      </c>
      <c r="AG68">
        <v>8.0999999999999996E-3</v>
      </c>
      <c r="AH68">
        <v>6.6E-3</v>
      </c>
      <c r="AI68">
        <v>4.7000000000000002E-3</v>
      </c>
      <c r="AJ68">
        <v>3.8999999999999998E-3</v>
      </c>
      <c r="AK68">
        <v>3.0000000000000001E-3</v>
      </c>
      <c r="AL68">
        <v>3.2000000000000002E-3</v>
      </c>
      <c r="AM68">
        <v>9.4000000000000004E-3</v>
      </c>
      <c r="AN68">
        <v>1.1299999999999999E-2</v>
      </c>
      <c r="AO68">
        <v>1.23E-2</v>
      </c>
      <c r="AP68">
        <v>1.09E-2</v>
      </c>
      <c r="AQ68">
        <v>9.4999999999999998E-3</v>
      </c>
      <c r="AR68">
        <v>9.9000000000000008E-3</v>
      </c>
      <c r="AS68">
        <v>9.7999999999999997E-3</v>
      </c>
      <c r="AT68">
        <v>1.2500000000000001E-2</v>
      </c>
      <c r="AU68">
        <v>1.15E-2</v>
      </c>
      <c r="AV68">
        <v>9.9000000000000008E-3</v>
      </c>
      <c r="AW68">
        <v>6.4999999999999997E-3</v>
      </c>
      <c r="AX68">
        <v>7.4000000000000003E-3</v>
      </c>
      <c r="AY68">
        <v>8.8999999999999999E-3</v>
      </c>
      <c r="AZ68">
        <v>8.5000000000000006E-3</v>
      </c>
      <c r="BA68">
        <v>1.09E-2</v>
      </c>
      <c r="BB68">
        <v>1.14E-2</v>
      </c>
      <c r="BC68">
        <v>1.5800000000000002E-2</v>
      </c>
      <c r="BD68">
        <v>2.0299999999999999E-2</v>
      </c>
      <c r="BE68">
        <v>1.9099999999999999E-2</v>
      </c>
      <c r="BF68">
        <v>1.89E-2</v>
      </c>
      <c r="BG68">
        <v>1.5599999999999999E-2</v>
      </c>
      <c r="BH68">
        <v>1.5800000000000002E-2</v>
      </c>
      <c r="BI68">
        <v>1.23E-2</v>
      </c>
      <c r="BJ68">
        <v>1.2200000000000001E-2</v>
      </c>
      <c r="BK68">
        <v>1.47E-2</v>
      </c>
      <c r="BL68">
        <v>2.07E-2</v>
      </c>
      <c r="BM68">
        <v>2.35E-2</v>
      </c>
      <c r="BN68">
        <v>2.1299999999999999E-2</v>
      </c>
      <c r="BO68">
        <v>2.1700000000000001E-2</v>
      </c>
      <c r="BP68">
        <v>2.8799999999999999E-2</v>
      </c>
      <c r="BQ68">
        <v>2.4E-2</v>
      </c>
      <c r="BR68">
        <v>1.7999999999999999E-2</v>
      </c>
      <c r="BS68">
        <v>1.7000000000000001E-2</v>
      </c>
      <c r="BT68">
        <v>2.0199999999999999E-2</v>
      </c>
      <c r="BU68">
        <v>1.8499999999999999E-2</v>
      </c>
      <c r="BV68">
        <v>1.5299999999999999E-2</v>
      </c>
      <c r="BW68">
        <v>1.7600000000000001E-2</v>
      </c>
      <c r="BX68">
        <v>2.6499999999999999E-2</v>
      </c>
      <c r="BY68">
        <v>2.5999999999999999E-2</v>
      </c>
      <c r="BZ68">
        <v>1.95E-2</v>
      </c>
      <c r="CA68">
        <v>2.46E-2</v>
      </c>
      <c r="CB68">
        <v>3.5099999999999999E-2</v>
      </c>
      <c r="CC68">
        <v>1.8100000000000002E-2</v>
      </c>
      <c r="CD68">
        <v>1.5100000000000001E-2</v>
      </c>
      <c r="CE68">
        <v>1.47E-2</v>
      </c>
      <c r="CF68">
        <v>7.1999999999999998E-3</v>
      </c>
      <c r="CG68">
        <v>-2.9999999999999997E-4</v>
      </c>
      <c r="CH68">
        <v>8.9999999999999998E-4</v>
      </c>
      <c r="CI68">
        <v>3.1399999999999997E-2</v>
      </c>
      <c r="CJ68">
        <v>2.12E-2</v>
      </c>
      <c r="CK68">
        <v>1.89E-2</v>
      </c>
      <c r="CL68">
        <v>-1.9E-3</v>
      </c>
      <c r="CM68">
        <v>-1.12E-2</v>
      </c>
      <c r="CN68">
        <v>-3.5999999999999999E-3</v>
      </c>
      <c r="CO68">
        <v>2.7099999999999999E-2</v>
      </c>
      <c r="CP68">
        <v>0.01</v>
      </c>
      <c r="CQ68">
        <v>2.0899999999999998E-2</v>
      </c>
      <c r="CR68">
        <v>1.72E-2</v>
      </c>
      <c r="CS68">
        <v>-2.46E-2</v>
      </c>
      <c r="CT68">
        <v>4.7000000000000002E-3</v>
      </c>
      <c r="CU68">
        <v>-2.7000000000000001E-3</v>
      </c>
      <c r="CV68">
        <v>-1.09E-2</v>
      </c>
    </row>
    <row r="69" spans="1:100" x14ac:dyDescent="0.2">
      <c r="A69" t="s">
        <v>5917</v>
      </c>
      <c r="B69">
        <v>-2.0799999999999999E-2</v>
      </c>
      <c r="C69">
        <v>-2.29E-2</v>
      </c>
      <c r="D69">
        <v>-8.0999999999999996E-3</v>
      </c>
      <c r="E69">
        <v>-1.32E-2</v>
      </c>
      <c r="F69">
        <v>-3.0999999999999999E-3</v>
      </c>
      <c r="G69">
        <v>-7.9000000000000008E-3</v>
      </c>
      <c r="H69">
        <v>-2.7000000000000001E-3</v>
      </c>
      <c r="I69">
        <v>-1.2999999999999999E-3</v>
      </c>
      <c r="J69">
        <v>-2.5000000000000001E-3</v>
      </c>
      <c r="K69">
        <v>-1.4E-3</v>
      </c>
      <c r="L69">
        <v>3.3999999999999998E-3</v>
      </c>
      <c r="M69">
        <v>7.3000000000000001E-3</v>
      </c>
      <c r="N69">
        <v>7.1999999999999998E-3</v>
      </c>
      <c r="O69">
        <v>4.5999999999999999E-3</v>
      </c>
      <c r="P69">
        <v>8.0000000000000004E-4</v>
      </c>
      <c r="Q69">
        <v>5.0000000000000001E-4</v>
      </c>
      <c r="R69">
        <v>5.9999999999999995E-4</v>
      </c>
      <c r="S69">
        <v>1.1000000000000001E-3</v>
      </c>
      <c r="T69">
        <v>2.0000000000000001E-4</v>
      </c>
      <c r="U69">
        <v>-1E-4</v>
      </c>
      <c r="V69">
        <v>2.0000000000000001E-4</v>
      </c>
      <c r="W69">
        <v>2.0000000000000001E-4</v>
      </c>
      <c r="X69">
        <v>5.0000000000000001E-4</v>
      </c>
      <c r="Y69">
        <v>2.9999999999999997E-4</v>
      </c>
      <c r="Z69">
        <v>-4.0000000000000002E-4</v>
      </c>
      <c r="AA69">
        <v>-5.0000000000000001E-4</v>
      </c>
      <c r="AB69">
        <v>-8.0000000000000004E-4</v>
      </c>
      <c r="AC69">
        <v>-1.1999999999999999E-3</v>
      </c>
      <c r="AD69">
        <v>-1E-3</v>
      </c>
      <c r="AE69">
        <v>-1.2999999999999999E-3</v>
      </c>
      <c r="AF69">
        <v>-1.6000000000000001E-3</v>
      </c>
      <c r="AG69">
        <v>-1.9E-3</v>
      </c>
      <c r="AH69">
        <v>-2.7000000000000001E-3</v>
      </c>
      <c r="AI69">
        <v>-2.8E-3</v>
      </c>
      <c r="AJ69">
        <v>-2.3E-3</v>
      </c>
      <c r="AK69">
        <v>-2.2000000000000001E-3</v>
      </c>
      <c r="AL69">
        <v>-2.0999999999999999E-3</v>
      </c>
      <c r="AM69">
        <v>-1.6999999999999999E-3</v>
      </c>
      <c r="AN69">
        <v>-1.2999999999999999E-3</v>
      </c>
      <c r="AO69">
        <v>-1.2999999999999999E-3</v>
      </c>
      <c r="AP69">
        <v>-1.1999999999999999E-3</v>
      </c>
      <c r="AQ69">
        <v>-8.0000000000000004E-4</v>
      </c>
      <c r="AR69">
        <v>-8.9999999999999998E-4</v>
      </c>
      <c r="AS69">
        <v>-1.1000000000000001E-3</v>
      </c>
      <c r="AT69">
        <v>-6.9999999999999999E-4</v>
      </c>
      <c r="AU69">
        <v>-1E-3</v>
      </c>
      <c r="AV69">
        <v>-1.5E-3</v>
      </c>
      <c r="AW69">
        <v>-2.0999999999999999E-3</v>
      </c>
      <c r="AX69">
        <v>-2.3E-3</v>
      </c>
      <c r="AY69">
        <v>-2.8E-3</v>
      </c>
      <c r="AZ69">
        <v>-2.8999999999999998E-3</v>
      </c>
      <c r="BA69">
        <v>-2.0999999999999999E-3</v>
      </c>
      <c r="BB69">
        <v>-1.5E-3</v>
      </c>
      <c r="BC69">
        <v>-1.2999999999999999E-3</v>
      </c>
      <c r="BD69">
        <v>-6.9999999999999999E-4</v>
      </c>
      <c r="BE69">
        <v>-8.9999999999999998E-4</v>
      </c>
      <c r="BF69">
        <v>-1.2999999999999999E-3</v>
      </c>
      <c r="BG69">
        <v>-1.6000000000000001E-3</v>
      </c>
      <c r="BH69">
        <v>-1.2999999999999999E-3</v>
      </c>
      <c r="BI69">
        <v>-1.9E-3</v>
      </c>
      <c r="BJ69">
        <v>-1.6000000000000001E-3</v>
      </c>
      <c r="BK69">
        <v>-1.6000000000000001E-3</v>
      </c>
      <c r="BL69">
        <v>-1.2999999999999999E-3</v>
      </c>
      <c r="BM69">
        <v>-1.2999999999999999E-3</v>
      </c>
      <c r="BN69">
        <v>-5.9999999999999995E-4</v>
      </c>
      <c r="BO69">
        <v>0</v>
      </c>
      <c r="BP69">
        <v>2.0000000000000001E-4</v>
      </c>
      <c r="BQ69">
        <v>-5.9999999999999995E-4</v>
      </c>
      <c r="BR69">
        <v>-1E-3</v>
      </c>
      <c r="BS69">
        <v>-1E-3</v>
      </c>
      <c r="BT69">
        <v>-1E-4</v>
      </c>
      <c r="BU69">
        <v>-4.0000000000000002E-4</v>
      </c>
      <c r="BV69">
        <v>-1.2999999999999999E-3</v>
      </c>
      <c r="BW69">
        <v>-2.9999999999999997E-4</v>
      </c>
      <c r="BX69">
        <v>2.9999999999999997E-4</v>
      </c>
      <c r="BY69">
        <v>8.9999999999999998E-4</v>
      </c>
      <c r="BZ69">
        <v>8.0000000000000004E-4</v>
      </c>
      <c r="CA69">
        <v>1E-3</v>
      </c>
      <c r="CB69">
        <v>5.9999999999999995E-4</v>
      </c>
      <c r="CC69">
        <v>-2.2000000000000001E-3</v>
      </c>
      <c r="CD69">
        <v>-3.0000000000000001E-3</v>
      </c>
      <c r="CE69">
        <v>-2.8999999999999998E-3</v>
      </c>
      <c r="CF69">
        <v>-2.8E-3</v>
      </c>
      <c r="CG69">
        <v>-3.0999999999999999E-3</v>
      </c>
      <c r="CH69">
        <v>-3.5999999999999999E-3</v>
      </c>
      <c r="CI69">
        <v>-2.5999999999999999E-3</v>
      </c>
      <c r="CJ69">
        <v>-1.6000000000000001E-3</v>
      </c>
      <c r="CK69">
        <v>-2.3E-3</v>
      </c>
      <c r="CL69">
        <v>-3.0999999999999999E-3</v>
      </c>
      <c r="CM69">
        <v>-4.4000000000000003E-3</v>
      </c>
      <c r="CN69">
        <v>-3.7000000000000002E-3</v>
      </c>
      <c r="CO69">
        <v>-2.5999999999999999E-3</v>
      </c>
      <c r="CP69">
        <v>-4.7999999999999996E-3</v>
      </c>
      <c r="CQ69">
        <v>-3.3999999999999998E-3</v>
      </c>
      <c r="CR69">
        <v>-5.1000000000000004E-3</v>
      </c>
      <c r="CS69">
        <v>-5.7999999999999996E-3</v>
      </c>
      <c r="CT69">
        <v>-6.7000000000000002E-3</v>
      </c>
      <c r="CU69">
        <v>-9.7000000000000003E-3</v>
      </c>
      <c r="CV69">
        <v>-1.2500000000000001E-2</v>
      </c>
    </row>
    <row r="70" spans="1:100" x14ac:dyDescent="0.2">
      <c r="A70" t="s">
        <v>5918</v>
      </c>
      <c r="B70">
        <v>1.2999999999999999E-2</v>
      </c>
      <c r="C70">
        <v>8.8999999999999999E-3</v>
      </c>
      <c r="D70">
        <v>1.5599999999999999E-2</v>
      </c>
      <c r="E70">
        <v>7.1999999999999998E-3</v>
      </c>
      <c r="F70">
        <v>1.2999999999999999E-2</v>
      </c>
      <c r="G70">
        <v>8.0999999999999996E-3</v>
      </c>
      <c r="H70">
        <v>1.1299999999999999E-2</v>
      </c>
      <c r="I70">
        <v>1.09E-2</v>
      </c>
      <c r="J70">
        <v>9.1999999999999998E-3</v>
      </c>
      <c r="K70">
        <v>7.6E-3</v>
      </c>
      <c r="L70">
        <v>1.11E-2</v>
      </c>
      <c r="M70">
        <v>1.38E-2</v>
      </c>
      <c r="N70">
        <v>1.2999999999999999E-2</v>
      </c>
      <c r="O70">
        <v>9.7999999999999997E-3</v>
      </c>
      <c r="P70">
        <v>5.3E-3</v>
      </c>
      <c r="Q70">
        <v>4.4999999999999997E-3</v>
      </c>
      <c r="R70">
        <v>4.3E-3</v>
      </c>
      <c r="S70">
        <v>4.5999999999999999E-3</v>
      </c>
      <c r="T70">
        <v>3.5999999999999999E-3</v>
      </c>
      <c r="U70">
        <v>3.2000000000000002E-3</v>
      </c>
      <c r="V70">
        <v>3.3999999999999998E-3</v>
      </c>
      <c r="W70">
        <v>3.3E-3</v>
      </c>
      <c r="X70">
        <v>3.5000000000000001E-3</v>
      </c>
      <c r="Y70">
        <v>3.2000000000000002E-3</v>
      </c>
      <c r="Z70">
        <v>2.5000000000000001E-3</v>
      </c>
      <c r="AA70">
        <v>2.3999999999999998E-3</v>
      </c>
      <c r="AB70">
        <v>2E-3</v>
      </c>
      <c r="AC70">
        <v>1.6000000000000001E-3</v>
      </c>
      <c r="AD70">
        <v>1.8E-3</v>
      </c>
      <c r="AE70">
        <v>1.6000000000000001E-3</v>
      </c>
      <c r="AF70">
        <v>1.2999999999999999E-3</v>
      </c>
      <c r="AG70">
        <v>1E-3</v>
      </c>
      <c r="AH70">
        <v>2.9999999999999997E-4</v>
      </c>
      <c r="AI70">
        <v>4.0000000000000002E-4</v>
      </c>
      <c r="AJ70">
        <v>8.9999999999999998E-4</v>
      </c>
      <c r="AK70">
        <v>1E-3</v>
      </c>
      <c r="AL70">
        <v>1.1999999999999999E-3</v>
      </c>
      <c r="AM70">
        <v>1.6000000000000001E-3</v>
      </c>
      <c r="AN70">
        <v>2E-3</v>
      </c>
      <c r="AO70">
        <v>1.9E-3</v>
      </c>
      <c r="AP70">
        <v>2.0999999999999999E-3</v>
      </c>
      <c r="AQ70">
        <v>2.3999999999999998E-3</v>
      </c>
      <c r="AR70">
        <v>2.3E-3</v>
      </c>
      <c r="AS70">
        <v>2.0999999999999999E-3</v>
      </c>
      <c r="AT70">
        <v>2.5000000000000001E-3</v>
      </c>
      <c r="AU70">
        <v>2.2000000000000001E-3</v>
      </c>
      <c r="AV70">
        <v>1.8E-3</v>
      </c>
      <c r="AW70">
        <v>1.2999999999999999E-3</v>
      </c>
      <c r="AX70">
        <v>1.1000000000000001E-3</v>
      </c>
      <c r="AY70">
        <v>5.9999999999999995E-4</v>
      </c>
      <c r="AZ70">
        <v>5.9999999999999995E-4</v>
      </c>
      <c r="BA70">
        <v>1.2999999999999999E-3</v>
      </c>
      <c r="BB70">
        <v>2E-3</v>
      </c>
      <c r="BC70">
        <v>2.3E-3</v>
      </c>
      <c r="BD70">
        <v>2.8999999999999998E-3</v>
      </c>
      <c r="BE70">
        <v>2.5999999999999999E-3</v>
      </c>
      <c r="BF70">
        <v>2.2000000000000001E-3</v>
      </c>
      <c r="BG70">
        <v>1.9E-3</v>
      </c>
      <c r="BH70">
        <v>2.2000000000000001E-3</v>
      </c>
      <c r="BI70">
        <v>1.6000000000000001E-3</v>
      </c>
      <c r="BJ70">
        <v>1.9E-3</v>
      </c>
      <c r="BK70">
        <v>2E-3</v>
      </c>
      <c r="BL70">
        <v>2.3999999999999998E-3</v>
      </c>
      <c r="BM70">
        <v>2.3999999999999998E-3</v>
      </c>
      <c r="BN70">
        <v>3.0999999999999999E-3</v>
      </c>
      <c r="BO70">
        <v>3.5999999999999999E-3</v>
      </c>
      <c r="BP70">
        <v>3.8E-3</v>
      </c>
      <c r="BQ70">
        <v>3.0999999999999999E-3</v>
      </c>
      <c r="BR70">
        <v>2.7000000000000001E-3</v>
      </c>
      <c r="BS70">
        <v>2.8E-3</v>
      </c>
      <c r="BT70">
        <v>4.0000000000000001E-3</v>
      </c>
      <c r="BU70">
        <v>3.8E-3</v>
      </c>
      <c r="BV70">
        <v>3.0000000000000001E-3</v>
      </c>
      <c r="BW70">
        <v>4.0000000000000001E-3</v>
      </c>
      <c r="BX70">
        <v>4.4999999999999997E-3</v>
      </c>
      <c r="BY70">
        <v>4.8999999999999998E-3</v>
      </c>
      <c r="BZ70">
        <v>4.7999999999999996E-3</v>
      </c>
      <c r="CA70">
        <v>5.1000000000000004E-3</v>
      </c>
      <c r="CB70">
        <v>4.8999999999999998E-3</v>
      </c>
      <c r="CC70">
        <v>2.8999999999999998E-3</v>
      </c>
      <c r="CD70">
        <v>2.3999999999999998E-3</v>
      </c>
      <c r="CE70">
        <v>2.3E-3</v>
      </c>
      <c r="CF70">
        <v>2E-3</v>
      </c>
      <c r="CG70">
        <v>1.6999999999999999E-3</v>
      </c>
      <c r="CH70">
        <v>1.6000000000000001E-3</v>
      </c>
      <c r="CI70">
        <v>3.0000000000000001E-3</v>
      </c>
      <c r="CJ70">
        <v>3.8999999999999998E-3</v>
      </c>
      <c r="CK70">
        <v>3.2000000000000002E-3</v>
      </c>
      <c r="CL70">
        <v>3.0999999999999999E-3</v>
      </c>
      <c r="CM70">
        <v>1.9E-3</v>
      </c>
      <c r="CN70">
        <v>2E-3</v>
      </c>
      <c r="CO70">
        <v>3.5999999999999999E-3</v>
      </c>
      <c r="CP70">
        <v>2.8999999999999998E-3</v>
      </c>
      <c r="CQ70">
        <v>3.3E-3</v>
      </c>
      <c r="CR70">
        <v>3.5000000000000001E-3</v>
      </c>
      <c r="CS70">
        <v>2.8E-3</v>
      </c>
      <c r="CT70">
        <v>3.3E-3</v>
      </c>
      <c r="CU70">
        <v>2.0999999999999999E-3</v>
      </c>
      <c r="CV70">
        <v>2.5000000000000001E-3</v>
      </c>
    </row>
    <row r="71" spans="1:100" x14ac:dyDescent="0.2">
      <c r="A71" t="s">
        <v>5919</v>
      </c>
      <c r="B71">
        <v>4.5699999999999998E-2</v>
      </c>
      <c r="C71">
        <v>8.0500000000000002E-2</v>
      </c>
      <c r="D71">
        <v>1.6000000000000001E-3</v>
      </c>
      <c r="E71">
        <v>1.9199999999999998E-2</v>
      </c>
      <c r="F71">
        <v>-4.7199999999999999E-2</v>
      </c>
      <c r="G71">
        <v>-6.6E-3</v>
      </c>
      <c r="H71">
        <v>-4.5199999999999997E-2</v>
      </c>
      <c r="I71">
        <v>-3.9199999999999999E-2</v>
      </c>
      <c r="J71">
        <v>-4.1799999999999997E-2</v>
      </c>
      <c r="K71">
        <v>-3.5900000000000001E-2</v>
      </c>
      <c r="L71">
        <v>-9.1399999999999995E-2</v>
      </c>
      <c r="M71">
        <v>-0.14729999999999999</v>
      </c>
      <c r="N71">
        <v>-0.14910000000000001</v>
      </c>
      <c r="O71">
        <v>-0.12230000000000001</v>
      </c>
      <c r="P71">
        <v>-7.9200000000000007E-2</v>
      </c>
      <c r="Q71">
        <v>-6.1499999999999999E-2</v>
      </c>
      <c r="R71">
        <v>-6.1800000000000001E-2</v>
      </c>
      <c r="S71">
        <v>-6.2799999999999995E-2</v>
      </c>
      <c r="T71">
        <v>-5.33E-2</v>
      </c>
      <c r="U71">
        <v>-5.0599999999999999E-2</v>
      </c>
      <c r="V71">
        <v>-5.45E-2</v>
      </c>
      <c r="W71">
        <v>-5.6800000000000003E-2</v>
      </c>
      <c r="X71">
        <v>-5.6300000000000003E-2</v>
      </c>
      <c r="Y71">
        <v>-5.1700000000000003E-2</v>
      </c>
      <c r="Z71">
        <v>-4.6800000000000001E-2</v>
      </c>
      <c r="AA71">
        <v>-3.8800000000000001E-2</v>
      </c>
      <c r="AB71">
        <v>-3.2000000000000001E-2</v>
      </c>
      <c r="AC71">
        <v>-3.5000000000000003E-2</v>
      </c>
      <c r="AD71">
        <v>-2.9600000000000001E-2</v>
      </c>
      <c r="AE71">
        <v>-2.8899999999999999E-2</v>
      </c>
      <c r="AF71">
        <v>-2.81E-2</v>
      </c>
      <c r="AG71">
        <v>-2.2100000000000002E-2</v>
      </c>
      <c r="AH71">
        <v>-1.9099999999999999E-2</v>
      </c>
      <c r="AI71">
        <v>-1.6E-2</v>
      </c>
      <c r="AJ71">
        <v>-1.7600000000000001E-2</v>
      </c>
      <c r="AK71">
        <v>-2.0199999999999999E-2</v>
      </c>
      <c r="AL71">
        <v>-2.7E-2</v>
      </c>
      <c r="AM71">
        <v>-3.2000000000000001E-2</v>
      </c>
      <c r="AN71">
        <v>-3.4000000000000002E-2</v>
      </c>
      <c r="AO71">
        <v>-3.3300000000000003E-2</v>
      </c>
      <c r="AP71">
        <v>-3.1099999999999999E-2</v>
      </c>
      <c r="AQ71">
        <v>-2.58E-2</v>
      </c>
      <c r="AR71">
        <v>-2.3E-2</v>
      </c>
      <c r="AS71">
        <v>-1.7399999999999999E-2</v>
      </c>
      <c r="AT71">
        <v>-1.32E-2</v>
      </c>
      <c r="AU71">
        <v>-1.04E-2</v>
      </c>
      <c r="AV71">
        <v>-8.9999999999999993E-3</v>
      </c>
      <c r="AW71">
        <v>-1.11E-2</v>
      </c>
      <c r="AX71">
        <v>-1.7500000000000002E-2</v>
      </c>
      <c r="AY71">
        <v>-1.9199999999999998E-2</v>
      </c>
      <c r="AZ71">
        <v>-1.9E-2</v>
      </c>
      <c r="BA71">
        <v>-2.1299999999999999E-2</v>
      </c>
      <c r="BB71">
        <v>-2.1100000000000001E-2</v>
      </c>
      <c r="BC71">
        <v>-2.1100000000000001E-2</v>
      </c>
      <c r="BD71">
        <v>-2.0799999999999999E-2</v>
      </c>
      <c r="BE71">
        <v>-1.5800000000000002E-2</v>
      </c>
      <c r="BF71">
        <v>-1.41E-2</v>
      </c>
      <c r="BG71">
        <v>-1.6899999999999998E-2</v>
      </c>
      <c r="BH71">
        <v>-2.1100000000000001E-2</v>
      </c>
      <c r="BI71">
        <v>-1.7999999999999999E-2</v>
      </c>
      <c r="BJ71">
        <v>-1.77E-2</v>
      </c>
      <c r="BK71">
        <v>-2.1700000000000001E-2</v>
      </c>
      <c r="BL71">
        <v>-2.4E-2</v>
      </c>
      <c r="BM71">
        <v>-2.35E-2</v>
      </c>
      <c r="BN71">
        <v>-1.78E-2</v>
      </c>
      <c r="BO71">
        <v>-1.6299999999999999E-2</v>
      </c>
      <c r="BP71">
        <v>-1.6E-2</v>
      </c>
      <c r="BQ71">
        <v>-1.6E-2</v>
      </c>
      <c r="BR71">
        <v>-1.0500000000000001E-2</v>
      </c>
      <c r="BS71">
        <v>-1.14E-2</v>
      </c>
      <c r="BT71">
        <v>-8.9999999999999993E-3</v>
      </c>
      <c r="BU71">
        <v>-8.6999999999999994E-3</v>
      </c>
      <c r="BV71">
        <v>-1.4999999999999999E-2</v>
      </c>
      <c r="BW71">
        <v>-1.6899999999999998E-2</v>
      </c>
      <c r="BX71">
        <v>-1.6899999999999998E-2</v>
      </c>
      <c r="BY71">
        <v>-1.15E-2</v>
      </c>
      <c r="BZ71">
        <v>-2.9999999999999997E-4</v>
      </c>
      <c r="CA71">
        <v>-2.9999999999999997E-4</v>
      </c>
      <c r="CB71">
        <v>3.0999999999999999E-3</v>
      </c>
      <c r="CC71">
        <v>-2.7000000000000001E-3</v>
      </c>
      <c r="CD71">
        <v>-6.8999999999999999E-3</v>
      </c>
      <c r="CE71">
        <v>2.3999999999999998E-3</v>
      </c>
      <c r="CF71">
        <v>4.4000000000000003E-3</v>
      </c>
      <c r="CG71">
        <v>1.6000000000000001E-3</v>
      </c>
      <c r="CH71">
        <v>4.7999999999999996E-3</v>
      </c>
      <c r="CI71">
        <v>8.9999999999999993E-3</v>
      </c>
      <c r="CJ71">
        <v>8.0000000000000002E-3</v>
      </c>
      <c r="CK71">
        <v>5.4999999999999997E-3</v>
      </c>
      <c r="CL71">
        <v>1.77E-2</v>
      </c>
      <c r="CM71">
        <v>2.23E-2</v>
      </c>
      <c r="CN71">
        <v>1.23E-2</v>
      </c>
      <c r="CO71">
        <v>2.46E-2</v>
      </c>
      <c r="CP71">
        <v>2.7799999999999998E-2</v>
      </c>
      <c r="CQ71">
        <v>1.4800000000000001E-2</v>
      </c>
      <c r="CR71">
        <v>1.9199999999999998E-2</v>
      </c>
      <c r="CS71">
        <v>1.61E-2</v>
      </c>
      <c r="CT71">
        <v>1.4500000000000001E-2</v>
      </c>
      <c r="CU71">
        <v>1.2800000000000001E-2</v>
      </c>
      <c r="CV71">
        <v>5.0000000000000001E-4</v>
      </c>
    </row>
    <row r="72" spans="1:100" x14ac:dyDescent="0.2">
      <c r="A72" t="s">
        <v>5920</v>
      </c>
      <c r="B72">
        <v>0.10730000000000001</v>
      </c>
      <c r="C72">
        <v>0.14149999999999999</v>
      </c>
      <c r="D72">
        <v>4.9599999999999998E-2</v>
      </c>
      <c r="E72">
        <v>6.2700000000000006E-2</v>
      </c>
      <c r="F72">
        <v>-1.09E-2</v>
      </c>
      <c r="G72">
        <v>3.1699999999999999E-2</v>
      </c>
      <c r="H72">
        <v>-1.0500000000000001E-2</v>
      </c>
      <c r="I72">
        <v>-7.3000000000000001E-3</v>
      </c>
      <c r="J72">
        <v>-1.0200000000000001E-2</v>
      </c>
      <c r="K72">
        <v>-1.0500000000000001E-2</v>
      </c>
      <c r="L72">
        <v>-6.8699999999999997E-2</v>
      </c>
      <c r="M72">
        <v>-0.1278</v>
      </c>
      <c r="N72">
        <v>-0.13120000000000001</v>
      </c>
      <c r="O72">
        <v>-0.106</v>
      </c>
      <c r="P72">
        <v>-6.4799999999999996E-2</v>
      </c>
      <c r="Q72">
        <v>-4.82E-2</v>
      </c>
      <c r="R72">
        <v>-4.9200000000000001E-2</v>
      </c>
      <c r="S72">
        <v>-5.0500000000000003E-2</v>
      </c>
      <c r="T72">
        <v>-4.1399999999999999E-2</v>
      </c>
      <c r="U72">
        <v>-3.8899999999999997E-2</v>
      </c>
      <c r="V72">
        <v>-4.3099999999999999E-2</v>
      </c>
      <c r="W72">
        <v>-4.5600000000000002E-2</v>
      </c>
      <c r="X72">
        <v>-4.53E-2</v>
      </c>
      <c r="Y72">
        <v>-4.0899999999999999E-2</v>
      </c>
      <c r="Z72">
        <v>-3.5999999999999997E-2</v>
      </c>
      <c r="AA72">
        <v>-2.81E-2</v>
      </c>
      <c r="AB72">
        <v>-2.1299999999999999E-2</v>
      </c>
      <c r="AC72">
        <v>-2.4299999999999999E-2</v>
      </c>
      <c r="AD72">
        <v>-1.8700000000000001E-2</v>
      </c>
      <c r="AE72">
        <v>-1.78E-2</v>
      </c>
      <c r="AF72">
        <v>-1.6799999999999999E-2</v>
      </c>
      <c r="AG72">
        <v>-1.0500000000000001E-2</v>
      </c>
      <c r="AH72">
        <v>-6.8999999999999999E-3</v>
      </c>
      <c r="AI72">
        <v>-3.3E-3</v>
      </c>
      <c r="AJ72">
        <v>-4.5999999999999999E-3</v>
      </c>
      <c r="AK72">
        <v>-6.8999999999999999E-3</v>
      </c>
      <c r="AL72">
        <v>-1.35E-2</v>
      </c>
      <c r="AM72">
        <v>-1.83E-2</v>
      </c>
      <c r="AN72">
        <v>-2.0400000000000001E-2</v>
      </c>
      <c r="AO72">
        <v>-1.9699999999999999E-2</v>
      </c>
      <c r="AP72">
        <v>-1.7399999999999999E-2</v>
      </c>
      <c r="AQ72">
        <v>-1.2E-2</v>
      </c>
      <c r="AR72">
        <v>-9.1000000000000004E-3</v>
      </c>
      <c r="AS72">
        <v>-3.5000000000000001E-3</v>
      </c>
      <c r="AT72">
        <v>5.9999999999999995E-4</v>
      </c>
      <c r="AU72">
        <v>3.7000000000000002E-3</v>
      </c>
      <c r="AV72">
        <v>5.4999999999999997E-3</v>
      </c>
      <c r="AW72">
        <v>3.7000000000000002E-3</v>
      </c>
      <c r="AX72">
        <v>-2.5000000000000001E-3</v>
      </c>
      <c r="AY72">
        <v>-3.8999999999999998E-3</v>
      </c>
      <c r="AZ72">
        <v>-3.5000000000000001E-3</v>
      </c>
      <c r="BA72">
        <v>-5.7000000000000002E-3</v>
      </c>
      <c r="BB72">
        <v>-5.0000000000000001E-3</v>
      </c>
      <c r="BC72">
        <v>-4.7999999999999996E-3</v>
      </c>
      <c r="BD72">
        <v>-4.4000000000000003E-3</v>
      </c>
      <c r="BE72">
        <v>5.9999999999999995E-4</v>
      </c>
      <c r="BF72">
        <v>2.3E-3</v>
      </c>
      <c r="BG72">
        <v>-4.0000000000000002E-4</v>
      </c>
      <c r="BH72">
        <v>-4.4999999999999997E-3</v>
      </c>
      <c r="BI72">
        <v>-1.2999999999999999E-3</v>
      </c>
      <c r="BJ72">
        <v>-8.0000000000000004E-4</v>
      </c>
      <c r="BK72">
        <v>-4.3E-3</v>
      </c>
      <c r="BL72">
        <v>-6.1999999999999998E-3</v>
      </c>
      <c r="BM72">
        <v>-5.4999999999999997E-3</v>
      </c>
      <c r="BN72">
        <v>4.0000000000000002E-4</v>
      </c>
      <c r="BO72">
        <v>2.0999999999999999E-3</v>
      </c>
      <c r="BP72">
        <v>2.3E-3</v>
      </c>
      <c r="BQ72">
        <v>2.7000000000000001E-3</v>
      </c>
      <c r="BR72">
        <v>8.5000000000000006E-3</v>
      </c>
      <c r="BS72">
        <v>8.2000000000000007E-3</v>
      </c>
      <c r="BT72">
        <v>1.17E-2</v>
      </c>
      <c r="BU72">
        <v>1.35E-2</v>
      </c>
      <c r="BV72">
        <v>7.7000000000000002E-3</v>
      </c>
      <c r="BW72">
        <v>6.1000000000000004E-3</v>
      </c>
      <c r="BX72">
        <v>5.1000000000000004E-3</v>
      </c>
      <c r="BY72">
        <v>1.03E-2</v>
      </c>
      <c r="BZ72">
        <v>2.1499999999999998E-2</v>
      </c>
      <c r="CA72">
        <v>2.2200000000000001E-2</v>
      </c>
      <c r="CB72">
        <v>2.7E-2</v>
      </c>
      <c r="CC72">
        <v>2.4899999999999999E-2</v>
      </c>
      <c r="CD72">
        <v>2.2599999999999999E-2</v>
      </c>
      <c r="CE72">
        <v>3.1E-2</v>
      </c>
      <c r="CF72">
        <v>3.1899999999999998E-2</v>
      </c>
      <c r="CG72">
        <v>2.9100000000000001E-2</v>
      </c>
      <c r="CH72">
        <v>3.44E-2</v>
      </c>
      <c r="CI72">
        <v>4.2000000000000003E-2</v>
      </c>
      <c r="CJ72">
        <v>4.0899999999999999E-2</v>
      </c>
      <c r="CK72">
        <v>3.8800000000000001E-2</v>
      </c>
      <c r="CL72">
        <v>5.5899999999999998E-2</v>
      </c>
      <c r="CM72">
        <v>6.1800000000000001E-2</v>
      </c>
      <c r="CN72">
        <v>4.8399999999999999E-2</v>
      </c>
      <c r="CO72">
        <v>6.4299999999999996E-2</v>
      </c>
      <c r="CP72">
        <v>7.8100000000000003E-2</v>
      </c>
      <c r="CQ72">
        <v>5.9499999999999997E-2</v>
      </c>
      <c r="CR72">
        <v>7.6700000000000004E-2</v>
      </c>
      <c r="CS72">
        <v>7.2700000000000001E-2</v>
      </c>
      <c r="CT72">
        <v>8.2500000000000004E-2</v>
      </c>
      <c r="CU72">
        <v>9.5200000000000007E-2</v>
      </c>
      <c r="CV72">
        <v>0.1106</v>
      </c>
    </row>
    <row r="73" spans="1:100" x14ac:dyDescent="0.2">
      <c r="A73" t="s">
        <v>5921</v>
      </c>
      <c r="B73">
        <v>-2.1100000000000001E-2</v>
      </c>
      <c r="C73">
        <v>-1.9400000000000001E-2</v>
      </c>
      <c r="D73">
        <v>-1.8E-3</v>
      </c>
      <c r="E73">
        <v>3.0999999999999999E-3</v>
      </c>
      <c r="F73">
        <v>4.4000000000000003E-3</v>
      </c>
      <c r="G73">
        <v>-2.3E-3</v>
      </c>
      <c r="H73">
        <v>-1.8E-3</v>
      </c>
      <c r="I73">
        <v>-5.4999999999999997E-3</v>
      </c>
      <c r="J73">
        <v>-6.9999999999999999E-4</v>
      </c>
      <c r="K73">
        <v>-5.9999999999999995E-4</v>
      </c>
      <c r="L73">
        <v>-1E-4</v>
      </c>
      <c r="M73">
        <v>1E-4</v>
      </c>
      <c r="N73">
        <v>-6.9999999999999999E-4</v>
      </c>
      <c r="O73">
        <v>-8.0000000000000004E-4</v>
      </c>
      <c r="P73">
        <v>4.7999999999999996E-3</v>
      </c>
      <c r="Q73">
        <v>6.0000000000000001E-3</v>
      </c>
      <c r="R73">
        <v>-1.4E-3</v>
      </c>
      <c r="S73">
        <v>6.9999999999999999E-4</v>
      </c>
      <c r="T73">
        <v>2.5999999999999999E-3</v>
      </c>
      <c r="U73">
        <v>3.3999999999999998E-3</v>
      </c>
      <c r="V73">
        <v>4.7999999999999996E-3</v>
      </c>
      <c r="W73">
        <v>3.2000000000000002E-3</v>
      </c>
      <c r="X73">
        <v>3.8E-3</v>
      </c>
      <c r="Y73">
        <v>1.4E-3</v>
      </c>
      <c r="Z73">
        <v>2.0000000000000001E-4</v>
      </c>
      <c r="AA73">
        <v>-1.6999999999999999E-3</v>
      </c>
      <c r="AB73">
        <v>5.0000000000000001E-4</v>
      </c>
      <c r="AC73">
        <v>1.1000000000000001E-3</v>
      </c>
      <c r="AD73">
        <v>-2.2000000000000001E-3</v>
      </c>
      <c r="AE73">
        <v>5.4000000000000003E-3</v>
      </c>
      <c r="AF73">
        <v>2.8999999999999998E-3</v>
      </c>
      <c r="AG73">
        <v>-1.2999999999999999E-3</v>
      </c>
      <c r="AH73">
        <v>4.0000000000000002E-4</v>
      </c>
      <c r="AI73">
        <v>-3.5000000000000001E-3</v>
      </c>
      <c r="AJ73">
        <v>-1.2999999999999999E-3</v>
      </c>
      <c r="AK73">
        <v>3.2000000000000002E-3</v>
      </c>
      <c r="AL73">
        <v>-2.8E-3</v>
      </c>
      <c r="AM73">
        <v>-1.1000000000000001E-3</v>
      </c>
      <c r="AN73">
        <v>-3.0999999999999999E-3</v>
      </c>
      <c r="AO73">
        <v>-1.1000000000000001E-3</v>
      </c>
      <c r="AP73">
        <v>-6.0000000000000001E-3</v>
      </c>
      <c r="AQ73">
        <v>2.9999999999999997E-4</v>
      </c>
      <c r="AR73">
        <v>-5.9999999999999995E-4</v>
      </c>
      <c r="AS73">
        <v>-8.0000000000000004E-4</v>
      </c>
      <c r="AT73">
        <v>-9.1000000000000004E-3</v>
      </c>
      <c r="AU73">
        <v>-3.5000000000000001E-3</v>
      </c>
      <c r="AV73">
        <v>-7.6E-3</v>
      </c>
      <c r="AW73">
        <v>-3.3E-3</v>
      </c>
      <c r="AX73">
        <v>-1.9E-3</v>
      </c>
      <c r="AY73">
        <v>-4.4999999999999997E-3</v>
      </c>
      <c r="AZ73">
        <v>-3.5000000000000001E-3</v>
      </c>
      <c r="BA73">
        <v>-3.2000000000000002E-3</v>
      </c>
      <c r="BB73">
        <v>-3.7000000000000002E-3</v>
      </c>
      <c r="BC73">
        <v>1.4E-3</v>
      </c>
      <c r="BD73">
        <v>-4.5999999999999999E-3</v>
      </c>
      <c r="BE73">
        <v>-2.3E-3</v>
      </c>
      <c r="BF73">
        <v>-6.0000000000000001E-3</v>
      </c>
      <c r="BG73">
        <v>-4.4999999999999997E-3</v>
      </c>
      <c r="BH73">
        <v>-1.2500000000000001E-2</v>
      </c>
      <c r="BI73">
        <v>3.0999999999999999E-3</v>
      </c>
      <c r="BJ73">
        <v>-5.7999999999999996E-3</v>
      </c>
      <c r="BK73">
        <v>-1.2999999999999999E-3</v>
      </c>
      <c r="BL73">
        <v>-5.9999999999999995E-4</v>
      </c>
      <c r="BM73">
        <v>4.0000000000000002E-4</v>
      </c>
      <c r="BN73">
        <v>-1.8E-3</v>
      </c>
      <c r="BO73">
        <v>1.6000000000000001E-3</v>
      </c>
      <c r="BP73">
        <v>-3.0999999999999999E-3</v>
      </c>
      <c r="BQ73">
        <v>-7.6E-3</v>
      </c>
      <c r="BR73">
        <v>-1.4E-3</v>
      </c>
      <c r="BS73">
        <v>-5.1999999999999998E-3</v>
      </c>
      <c r="BT73">
        <v>-4.1999999999999997E-3</v>
      </c>
      <c r="BU73">
        <v>-7.9000000000000008E-3</v>
      </c>
      <c r="BV73">
        <v>-4.4999999999999997E-3</v>
      </c>
      <c r="BW73">
        <v>-6.1999999999999998E-3</v>
      </c>
      <c r="BX73">
        <v>-4.3E-3</v>
      </c>
      <c r="BY73">
        <v>-0.01</v>
      </c>
      <c r="BZ73">
        <v>8.8999999999999999E-3</v>
      </c>
      <c r="CA73">
        <v>7.6E-3</v>
      </c>
      <c r="CB73">
        <v>-3.2000000000000002E-3</v>
      </c>
      <c r="CC73">
        <v>-7.4999999999999997E-3</v>
      </c>
      <c r="CD73">
        <v>-7.4000000000000003E-3</v>
      </c>
      <c r="CE73">
        <v>-6.0000000000000001E-3</v>
      </c>
      <c r="CF73">
        <v>-1.9E-3</v>
      </c>
      <c r="CG73">
        <v>-3.8999999999999998E-3</v>
      </c>
      <c r="CH73">
        <v>-7.4000000000000003E-3</v>
      </c>
      <c r="CI73">
        <v>-1E-3</v>
      </c>
      <c r="CJ73">
        <v>4.7000000000000002E-3</v>
      </c>
      <c r="CK73">
        <v>-8.9999999999999993E-3</v>
      </c>
      <c r="CL73">
        <v>-3.3999999999999998E-3</v>
      </c>
      <c r="CM73">
        <v>-9.7000000000000003E-3</v>
      </c>
      <c r="CN73">
        <v>-3.2000000000000002E-3</v>
      </c>
      <c r="CO73">
        <v>-2.3E-3</v>
      </c>
      <c r="CP73">
        <v>1.9E-3</v>
      </c>
      <c r="CQ73">
        <v>-1.2999999999999999E-3</v>
      </c>
      <c r="CR73">
        <v>-1.1000000000000001E-3</v>
      </c>
      <c r="CS73">
        <v>-1.44E-2</v>
      </c>
      <c r="CT73">
        <v>-8.3000000000000001E-3</v>
      </c>
      <c r="CU73">
        <v>-1.7399999999999999E-2</v>
      </c>
      <c r="CV73">
        <v>-1.06E-2</v>
      </c>
    </row>
    <row r="74" spans="1:100" x14ac:dyDescent="0.2">
      <c r="A74" t="s">
        <v>5922</v>
      </c>
      <c r="B74">
        <v>1.03E-2</v>
      </c>
      <c r="C74">
        <v>1.4200000000000001E-2</v>
      </c>
      <c r="D74">
        <v>2.4400000000000002E-2</v>
      </c>
      <c r="E74">
        <v>2.6599999999999999E-2</v>
      </c>
      <c r="F74">
        <v>2.3599999999999999E-2</v>
      </c>
      <c r="G74">
        <v>1.7600000000000001E-2</v>
      </c>
      <c r="H74">
        <v>1.61E-2</v>
      </c>
      <c r="I74">
        <v>1.09E-2</v>
      </c>
      <c r="J74">
        <v>1.52E-2</v>
      </c>
      <c r="K74">
        <v>1.21E-2</v>
      </c>
      <c r="L74">
        <v>1.0999999999999999E-2</v>
      </c>
      <c r="M74">
        <v>9.7000000000000003E-3</v>
      </c>
      <c r="N74">
        <v>7.9000000000000008E-3</v>
      </c>
      <c r="O74">
        <v>7.1999999999999998E-3</v>
      </c>
      <c r="P74">
        <v>1.18E-2</v>
      </c>
      <c r="Q74">
        <v>1.23E-2</v>
      </c>
      <c r="R74">
        <v>4.5999999999999999E-3</v>
      </c>
      <c r="S74">
        <v>6.4999999999999997E-3</v>
      </c>
      <c r="T74">
        <v>8.2000000000000007E-3</v>
      </c>
      <c r="U74">
        <v>8.9999999999999993E-3</v>
      </c>
      <c r="V74">
        <v>1.01E-2</v>
      </c>
      <c r="W74">
        <v>8.3999999999999995E-3</v>
      </c>
      <c r="X74">
        <v>8.8999999999999999E-3</v>
      </c>
      <c r="Y74">
        <v>6.4999999999999997E-3</v>
      </c>
      <c r="Z74">
        <v>5.3E-3</v>
      </c>
      <c r="AA74">
        <v>3.3999999999999998E-3</v>
      </c>
      <c r="AB74">
        <v>5.5999999999999999E-3</v>
      </c>
      <c r="AC74">
        <v>6.1999999999999998E-3</v>
      </c>
      <c r="AD74">
        <v>2.8999999999999998E-3</v>
      </c>
      <c r="AE74">
        <v>1.06E-2</v>
      </c>
      <c r="AF74">
        <v>8.2000000000000007E-3</v>
      </c>
      <c r="AG74">
        <v>4.1999999999999997E-3</v>
      </c>
      <c r="AH74">
        <v>6.1999999999999998E-3</v>
      </c>
      <c r="AI74">
        <v>2.5999999999999999E-3</v>
      </c>
      <c r="AJ74">
        <v>4.8999999999999998E-3</v>
      </c>
      <c r="AK74">
        <v>9.5999999999999992E-3</v>
      </c>
      <c r="AL74">
        <v>3.5999999999999999E-3</v>
      </c>
      <c r="AM74">
        <v>5.4999999999999997E-3</v>
      </c>
      <c r="AN74">
        <v>3.3999999999999998E-3</v>
      </c>
      <c r="AO74">
        <v>5.4000000000000003E-3</v>
      </c>
      <c r="AP74">
        <v>5.0000000000000001E-4</v>
      </c>
      <c r="AQ74">
        <v>6.8999999999999999E-3</v>
      </c>
      <c r="AR74">
        <v>6.0000000000000001E-3</v>
      </c>
      <c r="AS74">
        <v>5.8999999999999999E-3</v>
      </c>
      <c r="AT74">
        <v>-2.5000000000000001E-3</v>
      </c>
      <c r="AU74">
        <v>3.2000000000000002E-3</v>
      </c>
      <c r="AV74">
        <v>-6.9999999999999999E-4</v>
      </c>
      <c r="AW74">
        <v>3.8E-3</v>
      </c>
      <c r="AX74">
        <v>5.1999999999999998E-3</v>
      </c>
      <c r="AY74">
        <v>2.8E-3</v>
      </c>
      <c r="AZ74">
        <v>3.8999999999999998E-3</v>
      </c>
      <c r="BA74">
        <v>4.3E-3</v>
      </c>
      <c r="BB74">
        <v>4.0000000000000001E-3</v>
      </c>
      <c r="BC74">
        <v>9.1999999999999998E-3</v>
      </c>
      <c r="BD74">
        <v>3.2000000000000002E-3</v>
      </c>
      <c r="BE74">
        <v>5.5999999999999999E-3</v>
      </c>
      <c r="BF74">
        <v>1.8E-3</v>
      </c>
      <c r="BG74">
        <v>3.3999999999999998E-3</v>
      </c>
      <c r="BH74">
        <v>-4.5999999999999999E-3</v>
      </c>
      <c r="BI74">
        <v>1.11E-2</v>
      </c>
      <c r="BJ74">
        <v>2.2000000000000001E-3</v>
      </c>
      <c r="BK74">
        <v>6.8999999999999999E-3</v>
      </c>
      <c r="BL74">
        <v>7.7999999999999996E-3</v>
      </c>
      <c r="BM74">
        <v>8.9999999999999993E-3</v>
      </c>
      <c r="BN74">
        <v>6.7999999999999996E-3</v>
      </c>
      <c r="BO74">
        <v>1.03E-2</v>
      </c>
      <c r="BP74">
        <v>5.5999999999999999E-3</v>
      </c>
      <c r="BQ74">
        <v>1.2999999999999999E-3</v>
      </c>
      <c r="BR74">
        <v>7.6E-3</v>
      </c>
      <c r="BS74">
        <v>4.1000000000000003E-3</v>
      </c>
      <c r="BT74">
        <v>5.5999999999999999E-3</v>
      </c>
      <c r="BU74">
        <v>2.5999999999999999E-3</v>
      </c>
      <c r="BV74">
        <v>6.1999999999999998E-3</v>
      </c>
      <c r="BW74">
        <v>4.5999999999999999E-3</v>
      </c>
      <c r="BX74">
        <v>6.0000000000000001E-3</v>
      </c>
      <c r="BY74">
        <v>2.9999999999999997E-4</v>
      </c>
      <c r="BZ74">
        <v>1.9099999999999999E-2</v>
      </c>
      <c r="CA74">
        <v>1.8100000000000002E-2</v>
      </c>
      <c r="CB74">
        <v>8.0000000000000002E-3</v>
      </c>
      <c r="CC74">
        <v>5.4999999999999997E-3</v>
      </c>
      <c r="CD74">
        <v>6.4000000000000003E-3</v>
      </c>
      <c r="CE74">
        <v>7.3000000000000001E-3</v>
      </c>
      <c r="CF74">
        <v>1.09E-2</v>
      </c>
      <c r="CG74">
        <v>8.8999999999999999E-3</v>
      </c>
      <c r="CH74">
        <v>6.3E-3</v>
      </c>
      <c r="CI74">
        <v>1.43E-2</v>
      </c>
      <c r="CJ74">
        <v>1.9900000000000001E-2</v>
      </c>
      <c r="CK74">
        <v>6.4000000000000003E-3</v>
      </c>
      <c r="CL74">
        <v>1.43E-2</v>
      </c>
      <c r="CM74">
        <v>8.6E-3</v>
      </c>
      <c r="CN74">
        <v>1.35E-2</v>
      </c>
      <c r="CO74">
        <v>1.6199999999999999E-2</v>
      </c>
      <c r="CP74">
        <v>2.52E-2</v>
      </c>
      <c r="CQ74">
        <v>1.9099999999999999E-2</v>
      </c>
      <c r="CR74">
        <v>2.5499999999999998E-2</v>
      </c>
      <c r="CS74">
        <v>1.18E-2</v>
      </c>
      <c r="CT74">
        <v>2.2800000000000001E-2</v>
      </c>
      <c r="CU74">
        <v>1.9099999999999999E-2</v>
      </c>
      <c r="CV74">
        <v>3.78E-2</v>
      </c>
    </row>
    <row r="75" spans="1:100" x14ac:dyDescent="0.2">
      <c r="A75" t="s">
        <v>5923</v>
      </c>
      <c r="B75">
        <v>-7.6799999999999993E-2</v>
      </c>
      <c r="C75">
        <v>-0.15409999999999999</v>
      </c>
      <c r="D75">
        <v>-0.1222</v>
      </c>
      <c r="E75">
        <v>-0.20180000000000001</v>
      </c>
      <c r="F75">
        <v>-0.16489999999999999</v>
      </c>
      <c r="G75">
        <v>-0.17</v>
      </c>
      <c r="H75">
        <v>-0.1855</v>
      </c>
      <c r="I75">
        <v>-0.1454</v>
      </c>
      <c r="J75">
        <v>-0.14319999999999999</v>
      </c>
      <c r="K75">
        <v>-0.1057</v>
      </c>
      <c r="L75">
        <v>-9.69E-2</v>
      </c>
      <c r="M75">
        <v>-8.0100000000000005E-2</v>
      </c>
      <c r="N75">
        <v>-6.9099999999999995E-2</v>
      </c>
      <c r="O75">
        <v>-5.8200000000000002E-2</v>
      </c>
      <c r="P75">
        <v>-4.7699999999999999E-2</v>
      </c>
      <c r="Q75">
        <v>-4.3700000000000003E-2</v>
      </c>
      <c r="R75">
        <v>-3.9399999999999998E-2</v>
      </c>
      <c r="S75">
        <v>-3.9300000000000002E-2</v>
      </c>
      <c r="T75">
        <v>-3.8899999999999997E-2</v>
      </c>
      <c r="U75">
        <v>-3.9699999999999999E-2</v>
      </c>
      <c r="V75">
        <v>-3.49E-2</v>
      </c>
      <c r="W75">
        <v>-3.5400000000000001E-2</v>
      </c>
      <c r="X75">
        <v>-3.0800000000000001E-2</v>
      </c>
      <c r="Y75">
        <v>-3.09E-2</v>
      </c>
      <c r="Z75">
        <v>-3.09E-2</v>
      </c>
      <c r="AA75">
        <v>-3.0499999999999999E-2</v>
      </c>
      <c r="AB75">
        <v>-2.98E-2</v>
      </c>
      <c r="AC75">
        <v>-2.86E-2</v>
      </c>
      <c r="AD75">
        <v>-0.03</v>
      </c>
      <c r="AE75">
        <v>-3.0599999999999999E-2</v>
      </c>
      <c r="AF75">
        <v>-3.3500000000000002E-2</v>
      </c>
      <c r="AG75">
        <v>-3.5099999999999999E-2</v>
      </c>
      <c r="AH75">
        <v>-3.2399999999999998E-2</v>
      </c>
      <c r="AI75">
        <v>-1.95E-2</v>
      </c>
      <c r="AJ75">
        <v>-2.29E-2</v>
      </c>
      <c r="AK75">
        <v>-2.4199999999999999E-2</v>
      </c>
      <c r="AL75">
        <v>-2.5700000000000001E-2</v>
      </c>
      <c r="AM75">
        <v>-2.5999999999999999E-2</v>
      </c>
      <c r="AN75">
        <v>-1.95E-2</v>
      </c>
      <c r="AO75">
        <v>-1.9E-2</v>
      </c>
      <c r="AP75">
        <v>-1.83E-2</v>
      </c>
      <c r="AQ75">
        <v>-2.5399999999999999E-2</v>
      </c>
      <c r="AR75">
        <v>-2.5000000000000001E-2</v>
      </c>
      <c r="AS75">
        <v>-2.3800000000000002E-2</v>
      </c>
      <c r="AT75">
        <v>-2.5100000000000001E-2</v>
      </c>
      <c r="AU75">
        <v>-2.63E-2</v>
      </c>
      <c r="AV75">
        <v>-0.03</v>
      </c>
      <c r="AW75">
        <v>-3.04E-2</v>
      </c>
      <c r="AX75">
        <v>-3.5099999999999999E-2</v>
      </c>
      <c r="AY75">
        <v>-4.19E-2</v>
      </c>
      <c r="AZ75">
        <v>-4.2900000000000001E-2</v>
      </c>
      <c r="BA75">
        <v>-4.3799999999999999E-2</v>
      </c>
      <c r="BB75">
        <v>-4.6800000000000001E-2</v>
      </c>
      <c r="BC75">
        <v>-4.41E-2</v>
      </c>
      <c r="BD75">
        <v>-4.7300000000000002E-2</v>
      </c>
      <c r="BE75">
        <v>-4.8500000000000001E-2</v>
      </c>
      <c r="BF75">
        <v>-5.1400000000000001E-2</v>
      </c>
      <c r="BG75">
        <v>-3.3300000000000003E-2</v>
      </c>
      <c r="BH75">
        <v>-2.6599999999999999E-2</v>
      </c>
      <c r="BI75">
        <v>-2.5999999999999999E-2</v>
      </c>
      <c r="BJ75">
        <v>-2.8000000000000001E-2</v>
      </c>
      <c r="BK75">
        <v>-1.2699999999999999E-2</v>
      </c>
      <c r="BL75">
        <v>-1.24E-2</v>
      </c>
      <c r="BM75">
        <v>-1.6799999999999999E-2</v>
      </c>
      <c r="BN75">
        <v>-1.9800000000000002E-2</v>
      </c>
      <c r="BO75">
        <v>-1.9599999999999999E-2</v>
      </c>
      <c r="BP75">
        <v>-2.0199999999999999E-2</v>
      </c>
      <c r="BQ75">
        <v>-2.3800000000000002E-2</v>
      </c>
      <c r="BR75">
        <v>-1.83E-2</v>
      </c>
      <c r="BS75">
        <v>-2.12E-2</v>
      </c>
      <c r="BT75">
        <v>-2.29E-2</v>
      </c>
      <c r="BU75">
        <v>-2.3699999999999999E-2</v>
      </c>
      <c r="BV75">
        <v>-2.9399999999999999E-2</v>
      </c>
      <c r="BW75">
        <v>-3.1800000000000002E-2</v>
      </c>
      <c r="BX75">
        <v>-3.2800000000000003E-2</v>
      </c>
      <c r="BY75">
        <v>-3.4000000000000002E-2</v>
      </c>
      <c r="BZ75">
        <v>-3.5999999999999997E-2</v>
      </c>
      <c r="CA75">
        <v>-3.44E-2</v>
      </c>
      <c r="CB75">
        <v>-2.6700000000000002E-2</v>
      </c>
      <c r="CC75">
        <v>-3.7199999999999997E-2</v>
      </c>
      <c r="CD75">
        <v>-4.48E-2</v>
      </c>
      <c r="CE75">
        <v>-4.5999999999999999E-2</v>
      </c>
      <c r="CF75">
        <v>-0.05</v>
      </c>
      <c r="CG75">
        <v>-5.33E-2</v>
      </c>
      <c r="CH75">
        <v>-3.2599999999999997E-2</v>
      </c>
      <c r="CI75">
        <v>-3.7900000000000003E-2</v>
      </c>
      <c r="CJ75">
        <v>-5.0200000000000002E-2</v>
      </c>
      <c r="CK75">
        <v>-6.7599999999999993E-2</v>
      </c>
      <c r="CL75">
        <v>-8.9099999999999999E-2</v>
      </c>
      <c r="CM75">
        <v>-0.1133</v>
      </c>
      <c r="CN75">
        <v>-0.10589999999999999</v>
      </c>
      <c r="CO75">
        <v>-0.1163</v>
      </c>
      <c r="CP75">
        <v>-0.18640000000000001</v>
      </c>
      <c r="CQ75">
        <v>-0.13869999999999999</v>
      </c>
      <c r="CR75">
        <v>1.8E-3</v>
      </c>
      <c r="CS75">
        <v>8.5000000000000006E-3</v>
      </c>
      <c r="CT75">
        <v>6.8999999999999999E-3</v>
      </c>
      <c r="CU75">
        <v>7.0000000000000001E-3</v>
      </c>
      <c r="CV75">
        <v>2.8999999999999998E-3</v>
      </c>
    </row>
    <row r="76" spans="1:100" x14ac:dyDescent="0.2">
      <c r="A76" t="s">
        <v>5924</v>
      </c>
      <c r="B76">
        <v>1.35E-2</v>
      </c>
      <c r="C76">
        <v>0.26300000000000001</v>
      </c>
      <c r="D76">
        <v>0.1439</v>
      </c>
      <c r="E76">
        <v>7.6399999999999996E-2</v>
      </c>
      <c r="F76">
        <v>4.6300000000000001E-2</v>
      </c>
      <c r="G76">
        <v>3.3500000000000002E-2</v>
      </c>
      <c r="H76">
        <v>5.8999999999999999E-3</v>
      </c>
      <c r="I76">
        <v>2.6599999999999999E-2</v>
      </c>
      <c r="J76">
        <v>1.7399999999999999E-2</v>
      </c>
      <c r="K76">
        <v>1.5800000000000002E-2</v>
      </c>
      <c r="L76">
        <v>4.5999999999999999E-3</v>
      </c>
      <c r="M76">
        <v>3.5999999999999999E-3</v>
      </c>
      <c r="N76">
        <v>3.5000000000000001E-3</v>
      </c>
      <c r="O76">
        <v>6.8999999999999999E-3</v>
      </c>
      <c r="P76">
        <v>8.3000000000000001E-3</v>
      </c>
      <c r="Q76">
        <v>6.6E-3</v>
      </c>
      <c r="R76">
        <v>7.1999999999999998E-3</v>
      </c>
      <c r="S76">
        <v>5.7999999999999996E-3</v>
      </c>
      <c r="T76">
        <v>3.8E-3</v>
      </c>
      <c r="U76">
        <v>1.6999999999999999E-3</v>
      </c>
      <c r="V76">
        <v>6.3E-3</v>
      </c>
      <c r="W76">
        <v>4.1999999999999997E-3</v>
      </c>
      <c r="X76">
        <v>8.6999999999999994E-3</v>
      </c>
      <c r="Y76">
        <v>8.2000000000000007E-3</v>
      </c>
      <c r="Z76">
        <v>7.7000000000000002E-3</v>
      </c>
      <c r="AA76">
        <v>7.7999999999999996E-3</v>
      </c>
      <c r="AB76">
        <v>8.0999999999999996E-3</v>
      </c>
      <c r="AC76">
        <v>9.5999999999999992E-3</v>
      </c>
      <c r="AD76">
        <v>8.6E-3</v>
      </c>
      <c r="AE76">
        <v>8.5000000000000006E-3</v>
      </c>
      <c r="AF76">
        <v>6.7000000000000002E-3</v>
      </c>
      <c r="AG76">
        <v>6.6E-3</v>
      </c>
      <c r="AH76">
        <v>1.26E-2</v>
      </c>
      <c r="AI76">
        <v>2.7799999999999998E-2</v>
      </c>
      <c r="AJ76">
        <v>2.5600000000000001E-2</v>
      </c>
      <c r="AK76">
        <v>2.5000000000000001E-2</v>
      </c>
      <c r="AL76">
        <v>2.3800000000000002E-2</v>
      </c>
      <c r="AM76">
        <v>2.3699999999999999E-2</v>
      </c>
      <c r="AN76">
        <v>3.2399999999999998E-2</v>
      </c>
      <c r="AO76">
        <v>3.1800000000000002E-2</v>
      </c>
      <c r="AP76">
        <v>3.3000000000000002E-2</v>
      </c>
      <c r="AQ76">
        <v>2.7400000000000001E-2</v>
      </c>
      <c r="AR76">
        <v>2.7900000000000001E-2</v>
      </c>
      <c r="AS76">
        <v>2.9100000000000001E-2</v>
      </c>
      <c r="AT76">
        <v>2.8400000000000002E-2</v>
      </c>
      <c r="AU76">
        <v>2.87E-2</v>
      </c>
      <c r="AV76">
        <v>2.7199999999999998E-2</v>
      </c>
      <c r="AW76">
        <v>2.8199999999999999E-2</v>
      </c>
      <c r="AX76">
        <v>2.4E-2</v>
      </c>
      <c r="AY76">
        <v>1.78E-2</v>
      </c>
      <c r="AZ76">
        <v>1.7100000000000001E-2</v>
      </c>
      <c r="BA76">
        <v>1.6199999999999999E-2</v>
      </c>
      <c r="BB76">
        <v>1.41E-2</v>
      </c>
      <c r="BC76">
        <v>1.7299999999999999E-2</v>
      </c>
      <c r="BD76">
        <v>1.4999999999999999E-2</v>
      </c>
      <c r="BE76">
        <v>1.4500000000000001E-2</v>
      </c>
      <c r="BF76">
        <v>1.2699999999999999E-2</v>
      </c>
      <c r="BG76">
        <v>4.5400000000000003E-2</v>
      </c>
      <c r="BH76">
        <v>4.8599999999999997E-2</v>
      </c>
      <c r="BI76">
        <v>5.0599999999999999E-2</v>
      </c>
      <c r="BJ76">
        <v>4.9299999999999997E-2</v>
      </c>
      <c r="BK76">
        <v>5.3900000000000003E-2</v>
      </c>
      <c r="BL76">
        <v>5.4600000000000003E-2</v>
      </c>
      <c r="BM76">
        <v>5.0299999999999997E-2</v>
      </c>
      <c r="BN76">
        <v>4.7199999999999999E-2</v>
      </c>
      <c r="BO76">
        <v>4.8099999999999997E-2</v>
      </c>
      <c r="BP76">
        <v>4.7E-2</v>
      </c>
      <c r="BQ76">
        <v>4.5999999999999999E-2</v>
      </c>
      <c r="BR76">
        <v>5.28E-2</v>
      </c>
      <c r="BS76">
        <v>5.3699999999999998E-2</v>
      </c>
      <c r="BT76">
        <v>5.5599999999999997E-2</v>
      </c>
      <c r="BU76">
        <v>6.1199999999999997E-2</v>
      </c>
      <c r="BV76">
        <v>5.8900000000000001E-2</v>
      </c>
      <c r="BW76">
        <v>5.7299999999999997E-2</v>
      </c>
      <c r="BX76">
        <v>5.0999999999999997E-2</v>
      </c>
      <c r="BY76">
        <v>4.8899999999999999E-2</v>
      </c>
      <c r="BZ76">
        <v>4.8599999999999997E-2</v>
      </c>
      <c r="CA76">
        <v>5.1700000000000003E-2</v>
      </c>
      <c r="CB76">
        <v>5.8200000000000002E-2</v>
      </c>
      <c r="CC76">
        <v>6.8599999999999994E-2</v>
      </c>
      <c r="CD76">
        <v>7.1400000000000005E-2</v>
      </c>
      <c r="CE76">
        <v>6.8900000000000003E-2</v>
      </c>
      <c r="CF76">
        <v>6.4600000000000005E-2</v>
      </c>
      <c r="CG76">
        <v>6.6199999999999995E-2</v>
      </c>
      <c r="CH76">
        <v>9.35E-2</v>
      </c>
      <c r="CI76">
        <v>9.9000000000000005E-2</v>
      </c>
      <c r="CJ76">
        <v>9.1499999999999998E-2</v>
      </c>
      <c r="CK76">
        <v>8.6599999999999996E-2</v>
      </c>
      <c r="CL76">
        <v>0.1008</v>
      </c>
      <c r="CM76">
        <v>9.7900000000000001E-2</v>
      </c>
      <c r="CN76">
        <v>9.2799999999999994E-2</v>
      </c>
      <c r="CO76">
        <v>0.1028</v>
      </c>
      <c r="CP76">
        <v>0.1295</v>
      </c>
      <c r="CQ76">
        <v>8.8099999999999998E-2</v>
      </c>
      <c r="CR76">
        <v>0.13370000000000001</v>
      </c>
      <c r="CS76">
        <v>0.14219999999999999</v>
      </c>
      <c r="CT76">
        <v>0.13639999999999999</v>
      </c>
      <c r="CU76">
        <v>0.1381</v>
      </c>
      <c r="CV76">
        <v>0.13589999999999999</v>
      </c>
    </row>
    <row r="77" spans="1:100" x14ac:dyDescent="0.2">
      <c r="A77" t="s">
        <v>5925</v>
      </c>
      <c r="B77">
        <v>-0.59489999999999998</v>
      </c>
      <c r="C77">
        <v>-0.61299999999999999</v>
      </c>
      <c r="D77">
        <v>-1.1000000000000001E-3</v>
      </c>
      <c r="E77">
        <v>8.8800000000000004E-2</v>
      </c>
      <c r="F77">
        <v>0.34379999999999999</v>
      </c>
      <c r="G77">
        <v>0.18679999999999999</v>
      </c>
      <c r="H77">
        <v>0.43120000000000003</v>
      </c>
      <c r="I77">
        <v>0.34460000000000002</v>
      </c>
      <c r="J77">
        <v>0.36659999999999998</v>
      </c>
      <c r="K77">
        <v>0.32129999999999997</v>
      </c>
      <c r="L77">
        <v>0.47470000000000001</v>
      </c>
      <c r="M77">
        <v>0.64090000000000003</v>
      </c>
      <c r="N77">
        <v>0.61129999999999995</v>
      </c>
      <c r="O77">
        <v>0.50460000000000005</v>
      </c>
      <c r="P77">
        <v>0.30709999999999998</v>
      </c>
      <c r="Q77">
        <v>0.24490000000000001</v>
      </c>
      <c r="R77">
        <v>0.26519999999999999</v>
      </c>
      <c r="S77">
        <v>0.2601</v>
      </c>
      <c r="T77">
        <v>0.21</v>
      </c>
      <c r="U77">
        <v>0.191</v>
      </c>
      <c r="V77">
        <v>0.1898</v>
      </c>
      <c r="W77">
        <v>0.2203</v>
      </c>
      <c r="X77">
        <v>0.23760000000000001</v>
      </c>
      <c r="Y77">
        <v>0.23630000000000001</v>
      </c>
      <c r="Z77">
        <v>0.20519999999999999</v>
      </c>
      <c r="AA77">
        <v>0.16619999999999999</v>
      </c>
      <c r="AB77">
        <v>0.1331</v>
      </c>
      <c r="AC77">
        <v>0.1169</v>
      </c>
      <c r="AD77">
        <v>9.7600000000000006E-2</v>
      </c>
      <c r="AE77">
        <v>8.0299999999999996E-2</v>
      </c>
      <c r="AF77">
        <v>8.4099999999999994E-2</v>
      </c>
      <c r="AG77">
        <v>7.4300000000000005E-2</v>
      </c>
      <c r="AH77">
        <v>4.7300000000000002E-2</v>
      </c>
      <c r="AI77">
        <v>1.84E-2</v>
      </c>
      <c r="AJ77">
        <v>7.9000000000000008E-3</v>
      </c>
      <c r="AK77">
        <v>5.0000000000000001E-3</v>
      </c>
      <c r="AL77">
        <v>1.67E-2</v>
      </c>
      <c r="AM77">
        <v>3.0099999999999998E-2</v>
      </c>
      <c r="AN77">
        <v>7.9500000000000001E-2</v>
      </c>
      <c r="AO77">
        <v>0.1333</v>
      </c>
      <c r="AP77">
        <v>0.13400000000000001</v>
      </c>
      <c r="AQ77">
        <v>0.14119999999999999</v>
      </c>
      <c r="AR77">
        <v>0.1217</v>
      </c>
      <c r="AS77">
        <v>0.1138</v>
      </c>
      <c r="AT77">
        <v>6.3399999999999998E-2</v>
      </c>
      <c r="AU77">
        <v>0.02</v>
      </c>
      <c r="AV77">
        <v>-9.5999999999999992E-3</v>
      </c>
      <c r="AW77">
        <v>-5.0000000000000001E-4</v>
      </c>
      <c r="AX77">
        <v>-3.3999999999999998E-3</v>
      </c>
      <c r="AY77">
        <v>3.0999999999999999E-3</v>
      </c>
      <c r="AZ77">
        <v>5.1499999999999997E-2</v>
      </c>
      <c r="BA77">
        <v>0.1172</v>
      </c>
      <c r="BB77">
        <v>0.14760000000000001</v>
      </c>
      <c r="BC77">
        <v>0.16</v>
      </c>
      <c r="BD77">
        <v>0.1552</v>
      </c>
      <c r="BE77">
        <v>0.16700000000000001</v>
      </c>
      <c r="BF77">
        <v>0.1371</v>
      </c>
      <c r="BG77">
        <v>6.25E-2</v>
      </c>
      <c r="BH77">
        <v>3.7900000000000003E-2</v>
      </c>
      <c r="BI77">
        <v>2.3599999999999999E-2</v>
      </c>
      <c r="BJ77">
        <v>2.2100000000000002E-2</v>
      </c>
      <c r="BK77">
        <v>2.7099999999999999E-2</v>
      </c>
      <c r="BL77">
        <v>5.2400000000000002E-2</v>
      </c>
      <c r="BM77">
        <v>0.1114</v>
      </c>
      <c r="BN77">
        <v>0.14369999999999999</v>
      </c>
      <c r="BO77">
        <v>0.1283</v>
      </c>
      <c r="BP77">
        <v>9.3700000000000006E-2</v>
      </c>
      <c r="BQ77">
        <v>7.4399999999999994E-2</v>
      </c>
      <c r="BR77">
        <v>4.24E-2</v>
      </c>
      <c r="BS77">
        <v>-7.7000000000000002E-3</v>
      </c>
      <c r="BT77">
        <v>-0.01</v>
      </c>
      <c r="BU77">
        <v>-2.3800000000000002E-2</v>
      </c>
      <c r="BV77">
        <v>8.0000000000000002E-3</v>
      </c>
      <c r="BW77">
        <v>4.3900000000000002E-2</v>
      </c>
      <c r="BX77">
        <v>0.15010000000000001</v>
      </c>
      <c r="BY77">
        <v>0.18559999999999999</v>
      </c>
      <c r="BZ77">
        <v>0.16020000000000001</v>
      </c>
      <c r="CA77">
        <v>0.1736</v>
      </c>
      <c r="CB77">
        <v>0.14929999999999999</v>
      </c>
      <c r="CC77">
        <v>-3.6999999999999998E-2</v>
      </c>
      <c r="CD77">
        <v>-8.8599999999999998E-2</v>
      </c>
      <c r="CE77">
        <v>-7.2800000000000004E-2</v>
      </c>
      <c r="CF77">
        <v>-0.13220000000000001</v>
      </c>
      <c r="CG77">
        <v>-9.4700000000000006E-2</v>
      </c>
      <c r="CH77">
        <v>-9.9900000000000003E-2</v>
      </c>
      <c r="CI77">
        <v>0.20200000000000001</v>
      </c>
      <c r="CJ77">
        <v>0.1482</v>
      </c>
      <c r="CK77">
        <v>4.1200000000000001E-2</v>
      </c>
      <c r="CL77">
        <v>-9.5899999999999999E-2</v>
      </c>
      <c r="CM77">
        <v>-0.12790000000000001</v>
      </c>
      <c r="CN77">
        <v>6.3200000000000006E-2</v>
      </c>
      <c r="CO77">
        <v>0.17460000000000001</v>
      </c>
      <c r="CP77">
        <v>0.02</v>
      </c>
      <c r="CQ77">
        <v>7.6200000000000004E-2</v>
      </c>
      <c r="CR77">
        <v>-5.8999999999999997E-2</v>
      </c>
      <c r="CS77">
        <v>-0.27250000000000002</v>
      </c>
      <c r="CT77">
        <v>-3.4700000000000002E-2</v>
      </c>
      <c r="CU77">
        <v>-0.18379999999999999</v>
      </c>
      <c r="CV77">
        <v>-0.27710000000000001</v>
      </c>
    </row>
    <row r="78" spans="1:100" x14ac:dyDescent="0.2">
      <c r="A78" t="s">
        <v>5926</v>
      </c>
      <c r="B78">
        <v>0.11</v>
      </c>
      <c r="C78">
        <v>0.15479999999999999</v>
      </c>
      <c r="D78">
        <v>0.53949999999999998</v>
      </c>
      <c r="E78">
        <v>0.57430000000000003</v>
      </c>
      <c r="F78">
        <v>0.72189999999999999</v>
      </c>
      <c r="G78">
        <v>0.56369999999999998</v>
      </c>
      <c r="H78">
        <v>0.76519999999999999</v>
      </c>
      <c r="I78">
        <v>0.64259999999999995</v>
      </c>
      <c r="J78">
        <v>0.64910000000000001</v>
      </c>
      <c r="K78">
        <v>0.53849999999999998</v>
      </c>
      <c r="L78">
        <v>0.66010000000000002</v>
      </c>
      <c r="M78">
        <v>0.79530000000000001</v>
      </c>
      <c r="N78">
        <v>0.74719999999999998</v>
      </c>
      <c r="O78">
        <v>0.62690000000000001</v>
      </c>
      <c r="P78">
        <v>0.41320000000000001</v>
      </c>
      <c r="Q78">
        <v>0.34110000000000001</v>
      </c>
      <c r="R78">
        <v>0.3548</v>
      </c>
      <c r="S78">
        <v>0.34699999999999998</v>
      </c>
      <c r="T78">
        <v>0.29310000000000003</v>
      </c>
      <c r="U78">
        <v>0.2717</v>
      </c>
      <c r="V78">
        <v>0.26790000000000003</v>
      </c>
      <c r="W78">
        <v>0.29599999999999999</v>
      </c>
      <c r="X78">
        <v>0.31190000000000001</v>
      </c>
      <c r="Y78">
        <v>0.30940000000000001</v>
      </c>
      <c r="Z78">
        <v>0.27789999999999998</v>
      </c>
      <c r="AA78">
        <v>0.2379</v>
      </c>
      <c r="AB78">
        <v>0.20430000000000001</v>
      </c>
      <c r="AC78">
        <v>0.18809999999999999</v>
      </c>
      <c r="AD78">
        <v>0.1694</v>
      </c>
      <c r="AE78">
        <v>0.15290000000000001</v>
      </c>
      <c r="AF78">
        <v>0.15820000000000001</v>
      </c>
      <c r="AG78">
        <v>0.15060000000000001</v>
      </c>
      <c r="AH78">
        <v>0.128</v>
      </c>
      <c r="AI78">
        <v>0.1026</v>
      </c>
      <c r="AJ78">
        <v>9.3899999999999997E-2</v>
      </c>
      <c r="AK78">
        <v>9.2299999999999993E-2</v>
      </c>
      <c r="AL78">
        <v>0.1048</v>
      </c>
      <c r="AM78">
        <v>0.1188</v>
      </c>
      <c r="AN78">
        <v>0.16880000000000001</v>
      </c>
      <c r="AO78">
        <v>0.22140000000000001</v>
      </c>
      <c r="AP78">
        <v>0.22259999999999999</v>
      </c>
      <c r="AQ78">
        <v>0.23080000000000001</v>
      </c>
      <c r="AR78">
        <v>0.2114</v>
      </c>
      <c r="AS78">
        <v>0.20319999999999999</v>
      </c>
      <c r="AT78">
        <v>0.15290000000000001</v>
      </c>
      <c r="AU78">
        <v>0.1113</v>
      </c>
      <c r="AV78">
        <v>8.4500000000000006E-2</v>
      </c>
      <c r="AW78">
        <v>9.5000000000000001E-2</v>
      </c>
      <c r="AX78">
        <v>9.3100000000000002E-2</v>
      </c>
      <c r="AY78">
        <v>0.1007</v>
      </c>
      <c r="AZ78">
        <v>0.14960000000000001</v>
      </c>
      <c r="BA78">
        <v>0.21579999999999999</v>
      </c>
      <c r="BB78">
        <v>0.24790000000000001</v>
      </c>
      <c r="BC78">
        <v>0.2611</v>
      </c>
      <c r="BD78">
        <v>0.25659999999999999</v>
      </c>
      <c r="BE78">
        <v>0.26889999999999997</v>
      </c>
      <c r="BF78">
        <v>0.23930000000000001</v>
      </c>
      <c r="BG78">
        <v>0.17460000000000001</v>
      </c>
      <c r="BH78">
        <v>0.14729999999999999</v>
      </c>
      <c r="BI78">
        <v>0.13389999999999999</v>
      </c>
      <c r="BJ78">
        <v>0.13300000000000001</v>
      </c>
      <c r="BK78">
        <v>0.13189999999999999</v>
      </c>
      <c r="BL78">
        <v>0.15790000000000001</v>
      </c>
      <c r="BM78">
        <v>0.2175</v>
      </c>
      <c r="BN78">
        <v>0.25009999999999999</v>
      </c>
      <c r="BO78">
        <v>0.23549999999999999</v>
      </c>
      <c r="BP78">
        <v>0.2001</v>
      </c>
      <c r="BQ78">
        <v>0.1835</v>
      </c>
      <c r="BR78">
        <v>0.15210000000000001</v>
      </c>
      <c r="BS78">
        <v>0.10630000000000001</v>
      </c>
      <c r="BT78">
        <v>0.10979999999999999</v>
      </c>
      <c r="BU78">
        <v>0.1043</v>
      </c>
      <c r="BV78">
        <v>0.13969999999999999</v>
      </c>
      <c r="BW78">
        <v>0.17630000000000001</v>
      </c>
      <c r="BX78">
        <v>0.2752</v>
      </c>
      <c r="BY78">
        <v>0.30909999999999999</v>
      </c>
      <c r="BZ78">
        <v>0.28420000000000001</v>
      </c>
      <c r="CA78">
        <v>0.30049999999999999</v>
      </c>
      <c r="CB78">
        <v>0.27750000000000002</v>
      </c>
      <c r="CC78">
        <v>0.1166</v>
      </c>
      <c r="CD78">
        <v>7.7600000000000002E-2</v>
      </c>
      <c r="CE78">
        <v>8.9099999999999999E-2</v>
      </c>
      <c r="CF78">
        <v>2.5999999999999999E-2</v>
      </c>
      <c r="CG78">
        <v>6.6400000000000001E-2</v>
      </c>
      <c r="CH78">
        <v>7.0900000000000005E-2</v>
      </c>
      <c r="CI78">
        <v>0.38769999999999999</v>
      </c>
      <c r="CJ78">
        <v>0.33639999999999998</v>
      </c>
      <c r="CK78">
        <v>0.2387</v>
      </c>
      <c r="CL78">
        <v>0.14030000000000001</v>
      </c>
      <c r="CM78">
        <v>0.1273</v>
      </c>
      <c r="CN78">
        <v>0.29930000000000001</v>
      </c>
      <c r="CO78">
        <v>0.43219999999999997</v>
      </c>
      <c r="CP78">
        <v>0.37930000000000003</v>
      </c>
      <c r="CQ78">
        <v>0.34910000000000002</v>
      </c>
      <c r="CR78">
        <v>0.17030000000000001</v>
      </c>
      <c r="CS78">
        <v>-4.7899999999999998E-2</v>
      </c>
      <c r="CT78">
        <v>0.214</v>
      </c>
      <c r="CU78">
        <v>9.5500000000000002E-2</v>
      </c>
      <c r="CV78">
        <v>5.7099999999999998E-2</v>
      </c>
    </row>
  </sheetData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C85C-7516-1C48-BF12-6A328689CE17}">
  <sheetPr codeName="Planilha13"/>
  <dimension ref="A1:KL78"/>
  <sheetViews>
    <sheetView topLeftCell="A31" workbookViewId="0">
      <selection activeCell="A35" sqref="A35:A78"/>
    </sheetView>
  </sheetViews>
  <sheetFormatPr baseColWidth="10" defaultRowHeight="16" x14ac:dyDescent="0.2"/>
  <sheetData>
    <row r="1" spans="1:298" x14ac:dyDescent="0.2">
      <c r="A1" t="str">
        <f>""</f>
        <v/>
      </c>
      <c r="B1" t="str">
        <f>"(1)"</f>
        <v>(1)</v>
      </c>
      <c r="C1" t="str">
        <f>""</f>
        <v/>
      </c>
      <c r="D1" t="str">
        <f>"(2)"</f>
        <v>(2)</v>
      </c>
      <c r="E1" t="str">
        <f>""</f>
        <v/>
      </c>
      <c r="F1" t="str">
        <f>"(3)"</f>
        <v>(3)</v>
      </c>
      <c r="G1" t="str">
        <f>""</f>
        <v/>
      </c>
      <c r="H1" t="str">
        <f>"(4)"</f>
        <v>(4)</v>
      </c>
      <c r="I1" t="str">
        <f>""</f>
        <v/>
      </c>
      <c r="J1" t="str">
        <f>"(5)"</f>
        <v>(5)</v>
      </c>
      <c r="K1" t="str">
        <f>""</f>
        <v/>
      </c>
      <c r="L1" t="str">
        <f>"(6)"</f>
        <v>(6)</v>
      </c>
      <c r="M1" t="str">
        <f>""</f>
        <v/>
      </c>
      <c r="N1" t="str">
        <f>"(7)"</f>
        <v>(7)</v>
      </c>
      <c r="O1" t="str">
        <f>""</f>
        <v/>
      </c>
      <c r="P1" t="str">
        <f>"(8)"</f>
        <v>(8)</v>
      </c>
      <c r="Q1" t="str">
        <f>""</f>
        <v/>
      </c>
      <c r="R1" t="str">
        <f>"(9)"</f>
        <v>(9)</v>
      </c>
      <c r="S1" t="str">
        <f>""</f>
        <v/>
      </c>
      <c r="T1" t="str">
        <f>"(10)"</f>
        <v>(10)</v>
      </c>
      <c r="U1" t="str">
        <f>""</f>
        <v/>
      </c>
      <c r="V1" t="str">
        <f>"(11)"</f>
        <v>(11)</v>
      </c>
      <c r="W1" t="str">
        <f>""</f>
        <v/>
      </c>
      <c r="X1" t="str">
        <f>"(12)"</f>
        <v>(12)</v>
      </c>
      <c r="Y1" t="str">
        <f>""</f>
        <v/>
      </c>
      <c r="Z1" t="str">
        <f>"(13)"</f>
        <v>(13)</v>
      </c>
      <c r="AA1" t="str">
        <f>""</f>
        <v/>
      </c>
      <c r="AB1" t="str">
        <f>"(14)"</f>
        <v>(14)</v>
      </c>
      <c r="AC1" t="str">
        <f>""</f>
        <v/>
      </c>
      <c r="AD1" t="str">
        <f>"(15)"</f>
        <v>(15)</v>
      </c>
      <c r="AE1" t="str">
        <f>""</f>
        <v/>
      </c>
      <c r="AF1" t="str">
        <f>"(16)"</f>
        <v>(16)</v>
      </c>
      <c r="AG1" t="str">
        <f>""</f>
        <v/>
      </c>
      <c r="AH1" t="str">
        <f>"(17)"</f>
        <v>(17)</v>
      </c>
      <c r="AI1" t="str">
        <f>""</f>
        <v/>
      </c>
      <c r="AJ1" t="str">
        <f>"(18)"</f>
        <v>(18)</v>
      </c>
      <c r="AK1" t="str">
        <f>""</f>
        <v/>
      </c>
      <c r="AL1" t="str">
        <f>"(19)"</f>
        <v>(19)</v>
      </c>
      <c r="AM1" t="str">
        <f>""</f>
        <v/>
      </c>
      <c r="AN1" t="str">
        <f>"(20)"</f>
        <v>(20)</v>
      </c>
      <c r="AO1" t="str">
        <f>""</f>
        <v/>
      </c>
      <c r="AP1" t="str">
        <f>"(21)"</f>
        <v>(21)</v>
      </c>
      <c r="AQ1" t="str">
        <f>""</f>
        <v/>
      </c>
      <c r="AR1" t="str">
        <f>"(22)"</f>
        <v>(22)</v>
      </c>
      <c r="AS1" t="str">
        <f>""</f>
        <v/>
      </c>
      <c r="AT1" t="str">
        <f>"(23)"</f>
        <v>(23)</v>
      </c>
      <c r="AU1" t="str">
        <f>""</f>
        <v/>
      </c>
      <c r="AV1" t="str">
        <f>"(24)"</f>
        <v>(24)</v>
      </c>
      <c r="AW1" t="str">
        <f>""</f>
        <v/>
      </c>
      <c r="AX1" t="str">
        <f>"(25)"</f>
        <v>(25)</v>
      </c>
      <c r="AY1" t="str">
        <f>""</f>
        <v/>
      </c>
      <c r="AZ1" t="str">
        <f>"(26)"</f>
        <v>(26)</v>
      </c>
      <c r="BA1" t="str">
        <f>""</f>
        <v/>
      </c>
      <c r="BB1" t="str">
        <f>"(27)"</f>
        <v>(27)</v>
      </c>
      <c r="BC1" t="str">
        <f>""</f>
        <v/>
      </c>
      <c r="BD1" t="str">
        <f>"(28)"</f>
        <v>(28)</v>
      </c>
      <c r="BE1" t="str">
        <f>""</f>
        <v/>
      </c>
      <c r="BF1" t="str">
        <f>"(29)"</f>
        <v>(29)</v>
      </c>
      <c r="BG1" t="str">
        <f>""</f>
        <v/>
      </c>
      <c r="BH1" t="str">
        <f>"(30)"</f>
        <v>(30)</v>
      </c>
      <c r="BI1" t="str">
        <f>""</f>
        <v/>
      </c>
      <c r="BJ1" t="str">
        <f>"(31)"</f>
        <v>(31)</v>
      </c>
      <c r="BK1" t="str">
        <f>""</f>
        <v/>
      </c>
      <c r="BL1" t="str">
        <f>"(32)"</f>
        <v>(32)</v>
      </c>
      <c r="BM1" t="str">
        <f>""</f>
        <v/>
      </c>
      <c r="BN1" t="str">
        <f>"(33)"</f>
        <v>(33)</v>
      </c>
      <c r="BO1" t="str">
        <f>""</f>
        <v/>
      </c>
      <c r="BP1" t="str">
        <f>"(34)"</f>
        <v>(34)</v>
      </c>
      <c r="BQ1" t="str">
        <f>""</f>
        <v/>
      </c>
      <c r="BR1" t="str">
        <f>"(35)"</f>
        <v>(35)</v>
      </c>
      <c r="BS1" t="str">
        <f>""</f>
        <v/>
      </c>
      <c r="BT1" t="str">
        <f>"(36)"</f>
        <v>(36)</v>
      </c>
      <c r="BU1" t="str">
        <f>""</f>
        <v/>
      </c>
      <c r="BV1" t="str">
        <f>"(37)"</f>
        <v>(37)</v>
      </c>
      <c r="BW1" t="str">
        <f>""</f>
        <v/>
      </c>
      <c r="BX1" t="str">
        <f>"(38)"</f>
        <v>(38)</v>
      </c>
      <c r="BY1" t="str">
        <f>""</f>
        <v/>
      </c>
      <c r="BZ1" t="str">
        <f>"(39)"</f>
        <v>(39)</v>
      </c>
      <c r="CA1" t="str">
        <f>""</f>
        <v/>
      </c>
      <c r="CB1" t="str">
        <f>"(40)"</f>
        <v>(40)</v>
      </c>
      <c r="CC1" t="str">
        <f>""</f>
        <v/>
      </c>
      <c r="CD1" t="str">
        <f>"(41)"</f>
        <v>(41)</v>
      </c>
      <c r="CE1" t="str">
        <f>""</f>
        <v/>
      </c>
      <c r="CF1" t="str">
        <f>"(42)"</f>
        <v>(42)</v>
      </c>
      <c r="CG1" t="str">
        <f>""</f>
        <v/>
      </c>
      <c r="CH1" t="str">
        <f>"(43)"</f>
        <v>(43)</v>
      </c>
      <c r="CI1" t="str">
        <f>""</f>
        <v/>
      </c>
      <c r="CJ1" t="str">
        <f>"(44)"</f>
        <v>(44)</v>
      </c>
      <c r="CK1" t="str">
        <f>""</f>
        <v/>
      </c>
      <c r="CL1" t="str">
        <f>"(45)"</f>
        <v>(45)</v>
      </c>
      <c r="CM1" t="str">
        <f>""</f>
        <v/>
      </c>
      <c r="CN1" t="str">
        <f>"(46)"</f>
        <v>(46)</v>
      </c>
      <c r="CO1" t="str">
        <f>""</f>
        <v/>
      </c>
      <c r="CP1" t="str">
        <f>"(47)"</f>
        <v>(47)</v>
      </c>
      <c r="CQ1" t="str">
        <f>""</f>
        <v/>
      </c>
      <c r="CR1" t="str">
        <f>"(48)"</f>
        <v>(48)</v>
      </c>
      <c r="CS1" t="str">
        <f>""</f>
        <v/>
      </c>
      <c r="CT1" t="str">
        <f>"(49)"</f>
        <v>(49)</v>
      </c>
      <c r="CU1" t="str">
        <f>""</f>
        <v/>
      </c>
      <c r="CV1" t="str">
        <f>"(50)"</f>
        <v>(50)</v>
      </c>
      <c r="CW1" t="str">
        <f>""</f>
        <v/>
      </c>
      <c r="CX1" t="str">
        <f>"(51)"</f>
        <v>(51)</v>
      </c>
      <c r="CY1" t="str">
        <f>""</f>
        <v/>
      </c>
      <c r="CZ1" t="str">
        <f>"(52)"</f>
        <v>(52)</v>
      </c>
      <c r="DA1" t="str">
        <f>""</f>
        <v/>
      </c>
      <c r="DB1" t="str">
        <f>"(53)"</f>
        <v>(53)</v>
      </c>
      <c r="DC1" t="str">
        <f>""</f>
        <v/>
      </c>
      <c r="DD1" t="str">
        <f>"(54)"</f>
        <v>(54)</v>
      </c>
      <c r="DE1" t="str">
        <f>""</f>
        <v/>
      </c>
      <c r="DF1" t="str">
        <f>"(55)"</f>
        <v>(55)</v>
      </c>
      <c r="DG1" t="str">
        <f>""</f>
        <v/>
      </c>
      <c r="DH1" t="str">
        <f>"(56)"</f>
        <v>(56)</v>
      </c>
      <c r="DI1" t="str">
        <f>""</f>
        <v/>
      </c>
      <c r="DJ1" t="str">
        <f>"(57)"</f>
        <v>(57)</v>
      </c>
      <c r="DK1" t="str">
        <f>""</f>
        <v/>
      </c>
      <c r="DL1" t="str">
        <f>"(58)"</f>
        <v>(58)</v>
      </c>
      <c r="DM1" t="str">
        <f>""</f>
        <v/>
      </c>
      <c r="DN1" t="str">
        <f>"(59)"</f>
        <v>(59)</v>
      </c>
      <c r="DO1" t="str">
        <f>""</f>
        <v/>
      </c>
      <c r="DP1" t="str">
        <f>"(60)"</f>
        <v>(60)</v>
      </c>
      <c r="DQ1" t="str">
        <f>""</f>
        <v/>
      </c>
      <c r="DR1" t="str">
        <f>"(61)"</f>
        <v>(61)</v>
      </c>
      <c r="DS1" t="str">
        <f>""</f>
        <v/>
      </c>
      <c r="DT1" t="str">
        <f>"(62)"</f>
        <v>(62)</v>
      </c>
      <c r="DU1" t="str">
        <f>""</f>
        <v/>
      </c>
      <c r="DV1" t="str">
        <f>"(63)"</f>
        <v>(63)</v>
      </c>
      <c r="DW1" t="str">
        <f>""</f>
        <v/>
      </c>
      <c r="DX1" t="str">
        <f>"(64)"</f>
        <v>(64)</v>
      </c>
      <c r="DY1" t="str">
        <f>""</f>
        <v/>
      </c>
      <c r="DZ1" t="str">
        <f>"(65)"</f>
        <v>(65)</v>
      </c>
      <c r="EA1" t="str">
        <f>""</f>
        <v/>
      </c>
      <c r="EB1" t="str">
        <f>"(66)"</f>
        <v>(66)</v>
      </c>
      <c r="EC1" t="str">
        <f>""</f>
        <v/>
      </c>
      <c r="ED1" t="str">
        <f>"(67)"</f>
        <v>(67)</v>
      </c>
      <c r="EE1" t="str">
        <f>""</f>
        <v/>
      </c>
      <c r="EF1" t="str">
        <f>"(68)"</f>
        <v>(68)</v>
      </c>
      <c r="EG1" t="str">
        <f>""</f>
        <v/>
      </c>
      <c r="EH1" t="str">
        <f>"(69)"</f>
        <v>(69)</v>
      </c>
      <c r="EI1" t="str">
        <f>""</f>
        <v/>
      </c>
      <c r="EJ1" t="str">
        <f>"(70)"</f>
        <v>(70)</v>
      </c>
      <c r="EK1" t="str">
        <f>""</f>
        <v/>
      </c>
      <c r="EL1" t="str">
        <f>"(71)"</f>
        <v>(71)</v>
      </c>
      <c r="EM1" t="str">
        <f>""</f>
        <v/>
      </c>
      <c r="EN1" t="str">
        <f>"(72)"</f>
        <v>(72)</v>
      </c>
      <c r="EO1" t="str">
        <f>""</f>
        <v/>
      </c>
      <c r="EP1" t="str">
        <f>"(73)"</f>
        <v>(73)</v>
      </c>
      <c r="EQ1" t="str">
        <f>""</f>
        <v/>
      </c>
      <c r="ER1" t="str">
        <f>"(74)"</f>
        <v>(74)</v>
      </c>
      <c r="ES1" t="str">
        <f>""</f>
        <v/>
      </c>
      <c r="ET1" t="str">
        <f>"(75)"</f>
        <v>(75)</v>
      </c>
      <c r="EU1" t="str">
        <f>""</f>
        <v/>
      </c>
      <c r="EV1" t="str">
        <f>"(76)"</f>
        <v>(76)</v>
      </c>
      <c r="EW1" t="str">
        <f>""</f>
        <v/>
      </c>
      <c r="EX1" t="str">
        <f>"(77)"</f>
        <v>(77)</v>
      </c>
      <c r="EY1" t="str">
        <f>""</f>
        <v/>
      </c>
      <c r="EZ1" t="str">
        <f>"(78)"</f>
        <v>(78)</v>
      </c>
      <c r="FA1" t="str">
        <f>""</f>
        <v/>
      </c>
      <c r="FB1" t="str">
        <f>"(79)"</f>
        <v>(79)</v>
      </c>
      <c r="FC1" t="str">
        <f>""</f>
        <v/>
      </c>
      <c r="FD1" t="str">
        <f>"(80)"</f>
        <v>(80)</v>
      </c>
      <c r="FE1" t="str">
        <f>""</f>
        <v/>
      </c>
      <c r="FF1" t="str">
        <f>"(81)"</f>
        <v>(81)</v>
      </c>
      <c r="FG1" t="str">
        <f>""</f>
        <v/>
      </c>
      <c r="FH1" t="str">
        <f>"(82)"</f>
        <v>(82)</v>
      </c>
      <c r="FI1" t="str">
        <f>""</f>
        <v/>
      </c>
      <c r="FJ1" t="str">
        <f>"(83)"</f>
        <v>(83)</v>
      </c>
      <c r="FK1" t="str">
        <f>""</f>
        <v/>
      </c>
      <c r="FL1" t="str">
        <f>"(84)"</f>
        <v>(84)</v>
      </c>
      <c r="FM1" t="str">
        <f>""</f>
        <v/>
      </c>
      <c r="FN1" t="str">
        <f>"(85)"</f>
        <v>(85)</v>
      </c>
      <c r="FO1" t="str">
        <f>""</f>
        <v/>
      </c>
      <c r="FP1" t="str">
        <f>"(86)"</f>
        <v>(86)</v>
      </c>
      <c r="FQ1" t="str">
        <f>""</f>
        <v/>
      </c>
      <c r="FR1" t="str">
        <f>"(87)"</f>
        <v>(87)</v>
      </c>
      <c r="FS1" t="str">
        <f>""</f>
        <v/>
      </c>
      <c r="FT1" t="str">
        <f>"(88)"</f>
        <v>(88)</v>
      </c>
      <c r="FU1" t="str">
        <f>""</f>
        <v/>
      </c>
      <c r="FV1" t="str">
        <f>"(89)"</f>
        <v>(89)</v>
      </c>
      <c r="FW1" t="str">
        <f>""</f>
        <v/>
      </c>
      <c r="FX1" t="str">
        <f>"(90)"</f>
        <v>(90)</v>
      </c>
      <c r="FY1" t="str">
        <f>""</f>
        <v/>
      </c>
      <c r="FZ1" t="str">
        <f>"(91)"</f>
        <v>(91)</v>
      </c>
      <c r="GA1" t="str">
        <f>""</f>
        <v/>
      </c>
      <c r="GB1" t="str">
        <f>"(92)"</f>
        <v>(92)</v>
      </c>
      <c r="GC1" t="str">
        <f>""</f>
        <v/>
      </c>
      <c r="GD1" t="str">
        <f>"(93)"</f>
        <v>(93)</v>
      </c>
      <c r="GE1" t="str">
        <f>""</f>
        <v/>
      </c>
      <c r="GF1" t="str">
        <f>"(94)"</f>
        <v>(94)</v>
      </c>
      <c r="GG1" t="str">
        <f>""</f>
        <v/>
      </c>
      <c r="GH1" t="str">
        <f>"(95)"</f>
        <v>(95)</v>
      </c>
      <c r="GI1" t="str">
        <f>""</f>
        <v/>
      </c>
      <c r="GJ1" t="str">
        <f>"(96)"</f>
        <v>(96)</v>
      </c>
      <c r="GK1" t="str">
        <f>""</f>
        <v/>
      </c>
      <c r="GL1" t="str">
        <f>"(97)"</f>
        <v>(97)</v>
      </c>
      <c r="GM1" t="str">
        <f>""</f>
        <v/>
      </c>
      <c r="GN1" t="str">
        <f>"(98)"</f>
        <v>(98)</v>
      </c>
      <c r="GO1" t="str">
        <f>""</f>
        <v/>
      </c>
      <c r="GP1" t="str">
        <f>"(99)"</f>
        <v>(99)</v>
      </c>
      <c r="GQ1" t="str">
        <f>""</f>
        <v/>
      </c>
    </row>
    <row r="2" spans="1:298" x14ac:dyDescent="0.2">
      <c r="A2" t="str">
        <f>""</f>
        <v/>
      </c>
      <c r="B2" t="str">
        <f>"lsalh"</f>
        <v>lsalh</v>
      </c>
      <c r="C2" t="str">
        <f>""</f>
        <v/>
      </c>
      <c r="D2" t="str">
        <f>"lsalh"</f>
        <v>lsalh</v>
      </c>
      <c r="E2" t="str">
        <f>""</f>
        <v/>
      </c>
      <c r="F2" t="str">
        <f>"lsalh"</f>
        <v>lsalh</v>
      </c>
      <c r="G2" t="str">
        <f>""</f>
        <v/>
      </c>
      <c r="H2" t="str">
        <f>"lsalh"</f>
        <v>lsalh</v>
      </c>
      <c r="I2" t="str">
        <f>""</f>
        <v/>
      </c>
      <c r="J2" t="str">
        <f>"lsalh"</f>
        <v>lsalh</v>
      </c>
      <c r="K2" t="str">
        <f>""</f>
        <v/>
      </c>
      <c r="L2" t="str">
        <f>"lsalh"</f>
        <v>lsalh</v>
      </c>
      <c r="M2" t="str">
        <f>""</f>
        <v/>
      </c>
      <c r="N2" t="str">
        <f>"lsalh"</f>
        <v>lsalh</v>
      </c>
      <c r="O2" t="str">
        <f>""</f>
        <v/>
      </c>
      <c r="P2" t="str">
        <f>"lsalh"</f>
        <v>lsalh</v>
      </c>
      <c r="Q2" t="str">
        <f>""</f>
        <v/>
      </c>
      <c r="R2" t="str">
        <f>"lsalh"</f>
        <v>lsalh</v>
      </c>
      <c r="S2" t="str">
        <f>""</f>
        <v/>
      </c>
      <c r="T2" t="str">
        <f>"lsalh"</f>
        <v>lsalh</v>
      </c>
      <c r="U2" t="str">
        <f>""</f>
        <v/>
      </c>
      <c r="V2" t="str">
        <f>"lsalh"</f>
        <v>lsalh</v>
      </c>
      <c r="W2" t="str">
        <f>""</f>
        <v/>
      </c>
      <c r="X2" t="str">
        <f>"lsalh"</f>
        <v>lsalh</v>
      </c>
      <c r="Y2" t="str">
        <f>""</f>
        <v/>
      </c>
      <c r="Z2" t="str">
        <f>"lsalh"</f>
        <v>lsalh</v>
      </c>
      <c r="AA2" t="str">
        <f>""</f>
        <v/>
      </c>
      <c r="AB2" t="str">
        <f>"lsalh"</f>
        <v>lsalh</v>
      </c>
      <c r="AC2" t="str">
        <f>""</f>
        <v/>
      </c>
      <c r="AD2" t="str">
        <f>"lsalh"</f>
        <v>lsalh</v>
      </c>
      <c r="AE2" t="str">
        <f>""</f>
        <v/>
      </c>
      <c r="AF2" t="str">
        <f>"lsalh"</f>
        <v>lsalh</v>
      </c>
      <c r="AG2" t="str">
        <f>""</f>
        <v/>
      </c>
      <c r="AH2" t="str">
        <f>"lsalh"</f>
        <v>lsalh</v>
      </c>
      <c r="AI2" t="str">
        <f>""</f>
        <v/>
      </c>
      <c r="AJ2" t="str">
        <f>"lsalh"</f>
        <v>lsalh</v>
      </c>
      <c r="AK2" t="str">
        <f>""</f>
        <v/>
      </c>
      <c r="AL2" t="str">
        <f>"lsalh"</f>
        <v>lsalh</v>
      </c>
      <c r="AM2" t="str">
        <f>""</f>
        <v/>
      </c>
      <c r="AN2" t="str">
        <f>"lsalh"</f>
        <v>lsalh</v>
      </c>
      <c r="AO2" t="str">
        <f>""</f>
        <v/>
      </c>
      <c r="AP2" t="str">
        <f>"lsalh"</f>
        <v>lsalh</v>
      </c>
      <c r="AQ2" t="str">
        <f>""</f>
        <v/>
      </c>
      <c r="AR2" t="str">
        <f>"lsalh"</f>
        <v>lsalh</v>
      </c>
      <c r="AS2" t="str">
        <f>""</f>
        <v/>
      </c>
      <c r="AT2" t="str">
        <f>"lsalh"</f>
        <v>lsalh</v>
      </c>
      <c r="AU2" t="str">
        <f>""</f>
        <v/>
      </c>
      <c r="AV2" t="str">
        <f>"lsalh"</f>
        <v>lsalh</v>
      </c>
      <c r="AW2" t="str">
        <f>""</f>
        <v/>
      </c>
      <c r="AX2" t="str">
        <f>"lsalh"</f>
        <v>lsalh</v>
      </c>
      <c r="AY2" t="str">
        <f>""</f>
        <v/>
      </c>
      <c r="AZ2" t="str">
        <f>"lsalh"</f>
        <v>lsalh</v>
      </c>
      <c r="BA2" t="str">
        <f>""</f>
        <v/>
      </c>
      <c r="BB2" t="str">
        <f>"lsalh"</f>
        <v>lsalh</v>
      </c>
      <c r="BC2" t="str">
        <f>""</f>
        <v/>
      </c>
      <c r="BD2" t="str">
        <f>"lsalh"</f>
        <v>lsalh</v>
      </c>
      <c r="BE2" t="str">
        <f>""</f>
        <v/>
      </c>
      <c r="BF2" t="str">
        <f>"lsalh"</f>
        <v>lsalh</v>
      </c>
      <c r="BG2" t="str">
        <f>""</f>
        <v/>
      </c>
      <c r="BH2" t="str">
        <f>"lsalh"</f>
        <v>lsalh</v>
      </c>
      <c r="BI2" t="str">
        <f>""</f>
        <v/>
      </c>
      <c r="BJ2" t="str">
        <f>"lsalh"</f>
        <v>lsalh</v>
      </c>
      <c r="BK2" t="str">
        <f>""</f>
        <v/>
      </c>
      <c r="BL2" t="str">
        <f>"lsalh"</f>
        <v>lsalh</v>
      </c>
      <c r="BM2" t="str">
        <f>""</f>
        <v/>
      </c>
      <c r="BN2" t="str">
        <f>"lsalh"</f>
        <v>lsalh</v>
      </c>
      <c r="BO2" t="str">
        <f>""</f>
        <v/>
      </c>
      <c r="BP2" t="str">
        <f>"lsalh"</f>
        <v>lsalh</v>
      </c>
      <c r="BQ2" t="str">
        <f>""</f>
        <v/>
      </c>
      <c r="BR2" t="str">
        <f>"lsalh"</f>
        <v>lsalh</v>
      </c>
      <c r="BS2" t="str">
        <f>""</f>
        <v/>
      </c>
      <c r="BT2" t="str">
        <f>"lsalh"</f>
        <v>lsalh</v>
      </c>
      <c r="BU2" t="str">
        <f>""</f>
        <v/>
      </c>
      <c r="BV2" t="str">
        <f>"lsalh"</f>
        <v>lsalh</v>
      </c>
      <c r="BW2" t="str">
        <f>""</f>
        <v/>
      </c>
      <c r="BX2" t="str">
        <f>"lsalh"</f>
        <v>lsalh</v>
      </c>
      <c r="BY2" t="str">
        <f>""</f>
        <v/>
      </c>
      <c r="BZ2" t="str">
        <f>"lsalh"</f>
        <v>lsalh</v>
      </c>
      <c r="CA2" t="str">
        <f>""</f>
        <v/>
      </c>
      <c r="CB2" t="str">
        <f>"lsalh"</f>
        <v>lsalh</v>
      </c>
      <c r="CC2" t="str">
        <f>""</f>
        <v/>
      </c>
      <c r="CD2" t="str">
        <f>"lsalh"</f>
        <v>lsalh</v>
      </c>
      <c r="CE2" t="str">
        <f>""</f>
        <v/>
      </c>
      <c r="CF2" t="str">
        <f>"lsalh"</f>
        <v>lsalh</v>
      </c>
      <c r="CG2" t="str">
        <f>""</f>
        <v/>
      </c>
      <c r="CH2" t="str">
        <f>"lsalh"</f>
        <v>lsalh</v>
      </c>
      <c r="CI2" t="str">
        <f>""</f>
        <v/>
      </c>
      <c r="CJ2" t="str">
        <f>"lsalh"</f>
        <v>lsalh</v>
      </c>
      <c r="CK2" t="str">
        <f>""</f>
        <v/>
      </c>
      <c r="CL2" t="str">
        <f>"lsalh"</f>
        <v>lsalh</v>
      </c>
      <c r="CM2" t="str">
        <f>""</f>
        <v/>
      </c>
      <c r="CN2" t="str">
        <f>"lsalh"</f>
        <v>lsalh</v>
      </c>
      <c r="CO2" t="str">
        <f>""</f>
        <v/>
      </c>
      <c r="CP2" t="str">
        <f>"lsalh"</f>
        <v>lsalh</v>
      </c>
      <c r="CQ2" t="str">
        <f>""</f>
        <v/>
      </c>
      <c r="CR2" t="str">
        <f>"lsalh"</f>
        <v>lsalh</v>
      </c>
      <c r="CS2" t="str">
        <f>""</f>
        <v/>
      </c>
      <c r="CT2" t="str">
        <f>"lsalh"</f>
        <v>lsalh</v>
      </c>
      <c r="CU2" t="str">
        <f>""</f>
        <v/>
      </c>
      <c r="CV2" t="str">
        <f>"lsalh"</f>
        <v>lsalh</v>
      </c>
      <c r="CW2" t="str">
        <f>""</f>
        <v/>
      </c>
      <c r="CX2" t="str">
        <f>"lsalh"</f>
        <v>lsalh</v>
      </c>
      <c r="CY2" t="str">
        <f>""</f>
        <v/>
      </c>
      <c r="CZ2" t="str">
        <f>"lsalh"</f>
        <v>lsalh</v>
      </c>
      <c r="DA2" t="str">
        <f>""</f>
        <v/>
      </c>
      <c r="DB2" t="str">
        <f>"lsalh"</f>
        <v>lsalh</v>
      </c>
      <c r="DC2" t="str">
        <f>""</f>
        <v/>
      </c>
      <c r="DD2" t="str">
        <f>"lsalh"</f>
        <v>lsalh</v>
      </c>
      <c r="DE2" t="str">
        <f>""</f>
        <v/>
      </c>
      <c r="DF2" t="str">
        <f>"lsalh"</f>
        <v>lsalh</v>
      </c>
      <c r="DG2" t="str">
        <f>""</f>
        <v/>
      </c>
      <c r="DH2" t="str">
        <f>"lsalh"</f>
        <v>lsalh</v>
      </c>
      <c r="DI2" t="str">
        <f>""</f>
        <v/>
      </c>
      <c r="DJ2" t="str">
        <f>"lsalh"</f>
        <v>lsalh</v>
      </c>
      <c r="DK2" t="str">
        <f>""</f>
        <v/>
      </c>
      <c r="DL2" t="str">
        <f>"lsalh"</f>
        <v>lsalh</v>
      </c>
      <c r="DM2" t="str">
        <f>""</f>
        <v/>
      </c>
      <c r="DN2" t="str">
        <f>"lsalh"</f>
        <v>lsalh</v>
      </c>
      <c r="DO2" t="str">
        <f>""</f>
        <v/>
      </c>
      <c r="DP2" t="str">
        <f>"lsalh"</f>
        <v>lsalh</v>
      </c>
      <c r="DQ2" t="str">
        <f>""</f>
        <v/>
      </c>
      <c r="DR2" t="str">
        <f>"lsalh"</f>
        <v>lsalh</v>
      </c>
      <c r="DS2" t="str">
        <f>""</f>
        <v/>
      </c>
      <c r="DT2" t="str">
        <f>"lsalh"</f>
        <v>lsalh</v>
      </c>
      <c r="DU2" t="str">
        <f>""</f>
        <v/>
      </c>
      <c r="DV2" t="str">
        <f>"lsalh"</f>
        <v>lsalh</v>
      </c>
      <c r="DW2" t="str">
        <f>""</f>
        <v/>
      </c>
      <c r="DX2" t="str">
        <f>"lsalh"</f>
        <v>lsalh</v>
      </c>
      <c r="DY2" t="str">
        <f>""</f>
        <v/>
      </c>
      <c r="DZ2" t="str">
        <f>"lsalh"</f>
        <v>lsalh</v>
      </c>
      <c r="EA2" t="str">
        <f>""</f>
        <v/>
      </c>
      <c r="EB2" t="str">
        <f>"lsalh"</f>
        <v>lsalh</v>
      </c>
      <c r="EC2" t="str">
        <f>""</f>
        <v/>
      </c>
      <c r="ED2" t="str">
        <f>"lsalh"</f>
        <v>lsalh</v>
      </c>
      <c r="EE2" t="str">
        <f>""</f>
        <v/>
      </c>
      <c r="EF2" t="str">
        <f>"lsalh"</f>
        <v>lsalh</v>
      </c>
      <c r="EG2" t="str">
        <f>""</f>
        <v/>
      </c>
      <c r="EH2" t="str">
        <f>"lsalh"</f>
        <v>lsalh</v>
      </c>
      <c r="EI2" t="str">
        <f>""</f>
        <v/>
      </c>
      <c r="EJ2" t="str">
        <f>"lsalh"</f>
        <v>lsalh</v>
      </c>
      <c r="EK2" t="str">
        <f>""</f>
        <v/>
      </c>
      <c r="EL2" t="str">
        <f>"lsalh"</f>
        <v>lsalh</v>
      </c>
      <c r="EM2" t="str">
        <f>""</f>
        <v/>
      </c>
      <c r="EN2" t="str">
        <f>"lsalh"</f>
        <v>lsalh</v>
      </c>
      <c r="EO2" t="str">
        <f>""</f>
        <v/>
      </c>
      <c r="EP2" t="str">
        <f>"lsalh"</f>
        <v>lsalh</v>
      </c>
      <c r="EQ2" t="str">
        <f>""</f>
        <v/>
      </c>
      <c r="ER2" t="str">
        <f>"lsalh"</f>
        <v>lsalh</v>
      </c>
      <c r="ES2" t="str">
        <f>""</f>
        <v/>
      </c>
      <c r="ET2" t="str">
        <f>"lsalh"</f>
        <v>lsalh</v>
      </c>
      <c r="EU2" t="str">
        <f>""</f>
        <v/>
      </c>
      <c r="EV2" t="str">
        <f>"lsalh"</f>
        <v>lsalh</v>
      </c>
      <c r="EW2" t="str">
        <f>""</f>
        <v/>
      </c>
      <c r="EX2" t="str">
        <f>"lsalh"</f>
        <v>lsalh</v>
      </c>
      <c r="EY2" t="str">
        <f>""</f>
        <v/>
      </c>
      <c r="EZ2" t="str">
        <f>"lsalh"</f>
        <v>lsalh</v>
      </c>
      <c r="FA2" t="str">
        <f>""</f>
        <v/>
      </c>
      <c r="FB2" t="str">
        <f>"lsalh"</f>
        <v>lsalh</v>
      </c>
      <c r="FC2" t="str">
        <f>""</f>
        <v/>
      </c>
      <c r="FD2" t="str">
        <f>"lsalh"</f>
        <v>lsalh</v>
      </c>
      <c r="FE2" t="str">
        <f>""</f>
        <v/>
      </c>
      <c r="FF2" t="str">
        <f>"lsalh"</f>
        <v>lsalh</v>
      </c>
      <c r="FG2" t="str">
        <f>""</f>
        <v/>
      </c>
      <c r="FH2" t="str">
        <f>"lsalh"</f>
        <v>lsalh</v>
      </c>
      <c r="FI2" t="str">
        <f>""</f>
        <v/>
      </c>
      <c r="FJ2" t="str">
        <f>"lsalh"</f>
        <v>lsalh</v>
      </c>
      <c r="FK2" t="str">
        <f>""</f>
        <v/>
      </c>
      <c r="FL2" t="str">
        <f>"lsalh"</f>
        <v>lsalh</v>
      </c>
      <c r="FM2" t="str">
        <f>""</f>
        <v/>
      </c>
      <c r="FN2" t="str">
        <f>"lsalh"</f>
        <v>lsalh</v>
      </c>
      <c r="FO2" t="str">
        <f>""</f>
        <v/>
      </c>
      <c r="FP2" t="str">
        <f>"lsalh"</f>
        <v>lsalh</v>
      </c>
      <c r="FQ2" t="str">
        <f>""</f>
        <v/>
      </c>
      <c r="FR2" t="str">
        <f>"lsalh"</f>
        <v>lsalh</v>
      </c>
      <c r="FS2" t="str">
        <f>""</f>
        <v/>
      </c>
      <c r="FT2" t="str">
        <f>"lsalh"</f>
        <v>lsalh</v>
      </c>
      <c r="FU2" t="str">
        <f>""</f>
        <v/>
      </c>
      <c r="FV2" t="str">
        <f>"lsalh"</f>
        <v>lsalh</v>
      </c>
      <c r="FW2" t="str">
        <f>""</f>
        <v/>
      </c>
      <c r="FX2" t="str">
        <f>"lsalh"</f>
        <v>lsalh</v>
      </c>
      <c r="FY2" t="str">
        <f>""</f>
        <v/>
      </c>
      <c r="FZ2" t="str">
        <f>"lsalh"</f>
        <v>lsalh</v>
      </c>
      <c r="GA2" t="str">
        <f>""</f>
        <v/>
      </c>
      <c r="GB2" t="str">
        <f>"lsalh"</f>
        <v>lsalh</v>
      </c>
      <c r="GC2" t="str">
        <f>""</f>
        <v/>
      </c>
      <c r="GD2" t="str">
        <f>"lsalh"</f>
        <v>lsalh</v>
      </c>
      <c r="GE2" t="str">
        <f>""</f>
        <v/>
      </c>
      <c r="GF2" t="str">
        <f>"lsalh"</f>
        <v>lsalh</v>
      </c>
      <c r="GG2" t="str">
        <f>""</f>
        <v/>
      </c>
      <c r="GH2" t="str">
        <f>"lsalh"</f>
        <v>lsalh</v>
      </c>
      <c r="GI2" t="str">
        <f>""</f>
        <v/>
      </c>
      <c r="GJ2" t="str">
        <f>"lsalh"</f>
        <v>lsalh</v>
      </c>
      <c r="GK2" t="str">
        <f>""</f>
        <v/>
      </c>
      <c r="GL2" t="str">
        <f>"lsalh"</f>
        <v>lsalh</v>
      </c>
      <c r="GM2" t="str">
        <f>""</f>
        <v/>
      </c>
      <c r="GN2" t="str">
        <f>"lsalh"</f>
        <v>lsalh</v>
      </c>
      <c r="GO2" t="str">
        <f>""</f>
        <v/>
      </c>
      <c r="GP2" t="str">
        <f>"lsalh"</f>
        <v>lsalh</v>
      </c>
      <c r="GQ2" t="str">
        <f>""</f>
        <v/>
      </c>
    </row>
    <row r="3" spans="1:298" x14ac:dyDescent="0.2">
      <c r="A3" t="str">
        <f>"overall"</f>
        <v>overall</v>
      </c>
      <c r="B3" t="str">
        <f>""</f>
        <v/>
      </c>
      <c r="C3" t="str">
        <f>""</f>
        <v/>
      </c>
      <c r="D3" t="str">
        <f>""</f>
        <v/>
      </c>
      <c r="E3" t="str">
        <f>""</f>
        <v/>
      </c>
      <c r="F3" t="str">
        <f>""</f>
        <v/>
      </c>
      <c r="G3" t="str">
        <f>""</f>
        <v/>
      </c>
      <c r="H3" t="str">
        <f>""</f>
        <v/>
      </c>
      <c r="I3" t="str">
        <f>""</f>
        <v/>
      </c>
      <c r="J3" t="str">
        <f>""</f>
        <v/>
      </c>
      <c r="K3" t="str">
        <f>""</f>
        <v/>
      </c>
      <c r="L3" t="str">
        <f>""</f>
        <v/>
      </c>
      <c r="M3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t="str">
        <f>""</f>
        <v/>
      </c>
      <c r="S3" t="str">
        <f>""</f>
        <v/>
      </c>
      <c r="T3" t="str">
        <f>""</f>
        <v/>
      </c>
      <c r="U3" t="str">
        <f>""</f>
        <v/>
      </c>
      <c r="V3" t="str">
        <f>""</f>
        <v/>
      </c>
      <c r="W3" t="str">
        <f>""</f>
        <v/>
      </c>
      <c r="X3" t="str">
        <f>""</f>
        <v/>
      </c>
      <c r="Y3" t="str">
        <f>""</f>
        <v/>
      </c>
      <c r="Z3" t="str">
        <f>""</f>
        <v/>
      </c>
      <c r="AA3" t="str">
        <f>""</f>
        <v/>
      </c>
      <c r="AB3" t="str">
        <f>""</f>
        <v/>
      </c>
      <c r="AC3" t="str">
        <f>""</f>
        <v/>
      </c>
      <c r="AD3" t="str">
        <f>""</f>
        <v/>
      </c>
      <c r="AE3" t="str">
        <f>""</f>
        <v/>
      </c>
      <c r="AF3" t="str">
        <f>""</f>
        <v/>
      </c>
      <c r="AG3" t="str">
        <f>""</f>
        <v/>
      </c>
      <c r="AH3" t="str">
        <f>""</f>
        <v/>
      </c>
      <c r="AI3" t="str">
        <f>""</f>
        <v/>
      </c>
      <c r="AJ3" t="str">
        <f>""</f>
        <v/>
      </c>
      <c r="AK3" t="str">
        <f>""</f>
        <v/>
      </c>
      <c r="AL3" t="str">
        <f>""</f>
        <v/>
      </c>
      <c r="AM3" t="str">
        <f>""</f>
        <v/>
      </c>
      <c r="AN3" t="str">
        <f>""</f>
        <v/>
      </c>
      <c r="AO3" t="str">
        <f>""</f>
        <v/>
      </c>
      <c r="AP3" t="str">
        <f>""</f>
        <v/>
      </c>
      <c r="AQ3" t="str">
        <f>""</f>
        <v/>
      </c>
      <c r="AR3" t="str">
        <f>""</f>
        <v/>
      </c>
      <c r="AS3" t="str">
        <f>""</f>
        <v/>
      </c>
      <c r="AT3" t="str">
        <f>""</f>
        <v/>
      </c>
      <c r="AU3" t="str">
        <f>""</f>
        <v/>
      </c>
      <c r="AV3" t="str">
        <f>""</f>
        <v/>
      </c>
      <c r="AW3" t="str">
        <f>""</f>
        <v/>
      </c>
      <c r="AX3" t="str">
        <f>""</f>
        <v/>
      </c>
      <c r="AY3" t="str">
        <f>""</f>
        <v/>
      </c>
      <c r="AZ3" t="str">
        <f>""</f>
        <v/>
      </c>
      <c r="BA3" t="str">
        <f>""</f>
        <v/>
      </c>
      <c r="BB3" t="str">
        <f>""</f>
        <v/>
      </c>
      <c r="BC3" t="str">
        <f>""</f>
        <v/>
      </c>
      <c r="BD3" t="str">
        <f>""</f>
        <v/>
      </c>
      <c r="BE3" t="str">
        <f>""</f>
        <v/>
      </c>
      <c r="BF3" t="str">
        <f>""</f>
        <v/>
      </c>
      <c r="BG3" t="str">
        <f>""</f>
        <v/>
      </c>
      <c r="BH3" t="str">
        <f>""</f>
        <v/>
      </c>
      <c r="BI3" t="str">
        <f>""</f>
        <v/>
      </c>
      <c r="BJ3" t="str">
        <f>""</f>
        <v/>
      </c>
      <c r="BK3" t="str">
        <f>""</f>
        <v/>
      </c>
      <c r="BL3" t="str">
        <f>""</f>
        <v/>
      </c>
      <c r="BM3" t="str">
        <f>""</f>
        <v/>
      </c>
      <c r="BN3" t="str">
        <f>""</f>
        <v/>
      </c>
      <c r="BO3" t="str">
        <f>""</f>
        <v/>
      </c>
      <c r="BP3" t="str">
        <f>""</f>
        <v/>
      </c>
      <c r="BQ3" t="str">
        <f>""</f>
        <v/>
      </c>
      <c r="BR3" t="str">
        <f>""</f>
        <v/>
      </c>
      <c r="BS3" t="str">
        <f>""</f>
        <v/>
      </c>
      <c r="BT3" t="str">
        <f>""</f>
        <v/>
      </c>
      <c r="BU3" t="str">
        <f>""</f>
        <v/>
      </c>
      <c r="BV3" t="str">
        <f>""</f>
        <v/>
      </c>
      <c r="BW3" t="str">
        <f>""</f>
        <v/>
      </c>
      <c r="BX3" t="str">
        <f>""</f>
        <v/>
      </c>
      <c r="BY3" t="str">
        <f>""</f>
        <v/>
      </c>
      <c r="BZ3" t="str">
        <f>""</f>
        <v/>
      </c>
      <c r="CA3" t="str">
        <f>""</f>
        <v/>
      </c>
      <c r="CB3" t="str">
        <f>""</f>
        <v/>
      </c>
      <c r="CC3" t="str">
        <f>""</f>
        <v/>
      </c>
      <c r="CD3" t="str">
        <f>""</f>
        <v/>
      </c>
      <c r="CE3" t="str">
        <f>""</f>
        <v/>
      </c>
      <c r="CF3" t="str">
        <f>""</f>
        <v/>
      </c>
      <c r="CG3" t="str">
        <f>""</f>
        <v/>
      </c>
      <c r="CH3" t="str">
        <f>""</f>
        <v/>
      </c>
      <c r="CI3" t="str">
        <f>""</f>
        <v/>
      </c>
      <c r="CJ3" t="str">
        <f>""</f>
        <v/>
      </c>
      <c r="CK3" t="str">
        <f>""</f>
        <v/>
      </c>
      <c r="CL3" t="str">
        <f>""</f>
        <v/>
      </c>
      <c r="CM3" t="str">
        <f>""</f>
        <v/>
      </c>
      <c r="CN3" t="str">
        <f>""</f>
        <v/>
      </c>
      <c r="CO3" t="str">
        <f>""</f>
        <v/>
      </c>
      <c r="CP3" t="str">
        <f>""</f>
        <v/>
      </c>
      <c r="CQ3" t="str">
        <f>""</f>
        <v/>
      </c>
      <c r="CR3" t="str">
        <f>""</f>
        <v/>
      </c>
      <c r="CS3" t="str">
        <f>""</f>
        <v/>
      </c>
      <c r="CT3" t="str">
        <f>""</f>
        <v/>
      </c>
      <c r="CU3" t="str">
        <f>""</f>
        <v/>
      </c>
      <c r="CV3" t="str">
        <f>""</f>
        <v/>
      </c>
      <c r="CW3" t="str">
        <f>""</f>
        <v/>
      </c>
      <c r="CX3" t="str">
        <f>""</f>
        <v/>
      </c>
      <c r="CY3" t="str">
        <f>""</f>
        <v/>
      </c>
      <c r="CZ3" t="str">
        <f>""</f>
        <v/>
      </c>
      <c r="DA3" t="str">
        <f>""</f>
        <v/>
      </c>
      <c r="DB3" t="str">
        <f>""</f>
        <v/>
      </c>
      <c r="DC3" t="str">
        <f>""</f>
        <v/>
      </c>
      <c r="DD3" t="str">
        <f>""</f>
        <v/>
      </c>
      <c r="DE3" t="str">
        <f>""</f>
        <v/>
      </c>
      <c r="DF3" t="str">
        <f>""</f>
        <v/>
      </c>
      <c r="DG3" t="str">
        <f>""</f>
        <v/>
      </c>
      <c r="DH3" t="str">
        <f>""</f>
        <v/>
      </c>
      <c r="DI3" t="str">
        <f>""</f>
        <v/>
      </c>
      <c r="DJ3" t="str">
        <f>""</f>
        <v/>
      </c>
      <c r="DK3" t="str">
        <f>""</f>
        <v/>
      </c>
      <c r="DL3" t="str">
        <f>""</f>
        <v/>
      </c>
      <c r="DM3" t="str">
        <f>""</f>
        <v/>
      </c>
      <c r="DN3" t="str">
        <f>""</f>
        <v/>
      </c>
      <c r="DO3" t="str">
        <f>""</f>
        <v/>
      </c>
      <c r="DP3" t="str">
        <f>""</f>
        <v/>
      </c>
      <c r="DQ3" t="str">
        <f>""</f>
        <v/>
      </c>
      <c r="DR3" t="str">
        <f>""</f>
        <v/>
      </c>
      <c r="DS3" t="str">
        <f>""</f>
        <v/>
      </c>
      <c r="DT3" t="str">
        <f>""</f>
        <v/>
      </c>
      <c r="DU3" t="str">
        <f>""</f>
        <v/>
      </c>
      <c r="DV3" t="str">
        <f>""</f>
        <v/>
      </c>
      <c r="DW3" t="str">
        <f>""</f>
        <v/>
      </c>
      <c r="DX3" t="str">
        <f>""</f>
        <v/>
      </c>
      <c r="DY3" t="str">
        <f>""</f>
        <v/>
      </c>
      <c r="DZ3" t="str">
        <f>""</f>
        <v/>
      </c>
      <c r="EA3" t="str">
        <f>""</f>
        <v/>
      </c>
      <c r="EB3" t="str">
        <f>""</f>
        <v/>
      </c>
      <c r="EC3" t="str">
        <f>""</f>
        <v/>
      </c>
      <c r="ED3" t="str">
        <f>""</f>
        <v/>
      </c>
      <c r="EE3" t="str">
        <f>""</f>
        <v/>
      </c>
      <c r="EF3" t="str">
        <f>""</f>
        <v/>
      </c>
      <c r="EG3" t="str">
        <f>""</f>
        <v/>
      </c>
      <c r="EH3" t="str">
        <f>""</f>
        <v/>
      </c>
      <c r="EI3" t="str">
        <f>""</f>
        <v/>
      </c>
      <c r="EJ3" t="str">
        <f>""</f>
        <v/>
      </c>
      <c r="EK3" t="str">
        <f>""</f>
        <v/>
      </c>
      <c r="EL3" t="str">
        <f>""</f>
        <v/>
      </c>
      <c r="EM3" t="str">
        <f>""</f>
        <v/>
      </c>
      <c r="EN3" t="str">
        <f>""</f>
        <v/>
      </c>
      <c r="EO3" t="str">
        <f>""</f>
        <v/>
      </c>
      <c r="EP3" t="str">
        <f>""</f>
        <v/>
      </c>
      <c r="EQ3" t="str">
        <f>""</f>
        <v/>
      </c>
      <c r="ER3" t="str">
        <f>""</f>
        <v/>
      </c>
      <c r="ES3" t="str">
        <f>""</f>
        <v/>
      </c>
      <c r="ET3" t="str">
        <f>""</f>
        <v/>
      </c>
      <c r="EU3" t="str">
        <f>""</f>
        <v/>
      </c>
      <c r="EV3" t="str">
        <f>""</f>
        <v/>
      </c>
      <c r="EW3" t="str">
        <f>""</f>
        <v/>
      </c>
      <c r="EX3" t="str">
        <f>""</f>
        <v/>
      </c>
      <c r="EY3" t="str">
        <f>""</f>
        <v/>
      </c>
      <c r="EZ3" t="str">
        <f>""</f>
        <v/>
      </c>
      <c r="FA3" t="str">
        <f>""</f>
        <v/>
      </c>
      <c r="FB3" t="str">
        <f>""</f>
        <v/>
      </c>
      <c r="FC3" t="str">
        <f>""</f>
        <v/>
      </c>
      <c r="FD3" t="str">
        <f>""</f>
        <v/>
      </c>
      <c r="FE3" t="str">
        <f>""</f>
        <v/>
      </c>
      <c r="FF3" t="str">
        <f>""</f>
        <v/>
      </c>
      <c r="FG3" t="str">
        <f>""</f>
        <v/>
      </c>
      <c r="FH3" t="str">
        <f>""</f>
        <v/>
      </c>
      <c r="FI3" t="str">
        <f>""</f>
        <v/>
      </c>
      <c r="FJ3" t="str">
        <f>""</f>
        <v/>
      </c>
      <c r="FK3" t="str">
        <f>""</f>
        <v/>
      </c>
      <c r="FL3" t="str">
        <f>""</f>
        <v/>
      </c>
      <c r="FM3" t="str">
        <f>""</f>
        <v/>
      </c>
      <c r="FN3" t="str">
        <f>""</f>
        <v/>
      </c>
      <c r="FO3" t="str">
        <f>""</f>
        <v/>
      </c>
      <c r="FP3" t="str">
        <f>""</f>
        <v/>
      </c>
      <c r="FQ3" t="str">
        <f>""</f>
        <v/>
      </c>
      <c r="FR3" t="str">
        <f>""</f>
        <v/>
      </c>
      <c r="FS3" t="str">
        <f>""</f>
        <v/>
      </c>
      <c r="FT3" t="str">
        <f>""</f>
        <v/>
      </c>
      <c r="FU3" t="str">
        <f>""</f>
        <v/>
      </c>
      <c r="FV3" t="str">
        <f>""</f>
        <v/>
      </c>
      <c r="FW3" t="str">
        <f>""</f>
        <v/>
      </c>
      <c r="FX3" t="str">
        <f>""</f>
        <v/>
      </c>
      <c r="FY3" t="str">
        <f>""</f>
        <v/>
      </c>
      <c r="FZ3" t="str">
        <f>""</f>
        <v/>
      </c>
      <c r="GA3" t="str">
        <f>""</f>
        <v/>
      </c>
      <c r="GB3" t="str">
        <f>""</f>
        <v/>
      </c>
      <c r="GC3" t="str">
        <f>""</f>
        <v/>
      </c>
      <c r="GD3" t="str">
        <f>""</f>
        <v/>
      </c>
      <c r="GE3" t="str">
        <f>""</f>
        <v/>
      </c>
      <c r="GF3" t="str">
        <f>""</f>
        <v/>
      </c>
      <c r="GG3" t="str">
        <f>""</f>
        <v/>
      </c>
      <c r="GH3" t="str">
        <f>""</f>
        <v/>
      </c>
      <c r="GI3" t="str">
        <f>""</f>
        <v/>
      </c>
      <c r="GJ3" t="str">
        <f>""</f>
        <v/>
      </c>
      <c r="GK3" t="str">
        <f>""</f>
        <v/>
      </c>
      <c r="GL3" t="str">
        <f>""</f>
        <v/>
      </c>
      <c r="GM3" t="str">
        <f>""</f>
        <v/>
      </c>
      <c r="GN3" t="str">
        <f>""</f>
        <v/>
      </c>
      <c r="GO3" t="str">
        <f>""</f>
        <v/>
      </c>
      <c r="GP3" t="str">
        <f>""</f>
        <v/>
      </c>
      <c r="GQ3" t="str">
        <f>""</f>
        <v/>
      </c>
    </row>
    <row r="4" spans="1:298" x14ac:dyDescent="0.2">
      <c r="A4" t="str">
        <f>"group_1"</f>
        <v>group_1</v>
      </c>
      <c r="B4" t="str">
        <f>"0.190***"</f>
        <v>0.190***</v>
      </c>
      <c r="C4" t="s">
        <v>2518</v>
      </c>
      <c r="D4" t="s">
        <v>2519</v>
      </c>
      <c r="E4" t="str">
        <f>"0.484***"</f>
        <v>0.484***</v>
      </c>
      <c r="F4" t="s">
        <v>2520</v>
      </c>
      <c r="G4" t="s">
        <v>2521</v>
      </c>
      <c r="H4" t="str">
        <f>"0.705***"</f>
        <v>0.705***</v>
      </c>
      <c r="I4" t="s">
        <v>2522</v>
      </c>
      <c r="J4" t="s">
        <v>2523</v>
      </c>
      <c r="K4" t="str">
        <f>"0.888***"</f>
        <v>0.888***</v>
      </c>
      <c r="L4" t="s">
        <v>2524</v>
      </c>
      <c r="M4" t="s">
        <v>2525</v>
      </c>
      <c r="N4" t="str">
        <f>"0.997***"</f>
        <v>0.997***</v>
      </c>
      <c r="O4" t="s">
        <v>2526</v>
      </c>
      <c r="P4" t="s">
        <v>2527</v>
      </c>
      <c r="Q4" t="str">
        <f>"1.111***"</f>
        <v>1.111***</v>
      </c>
      <c r="R4" t="s">
        <v>2528</v>
      </c>
      <c r="S4" t="s">
        <v>2529</v>
      </c>
      <c r="T4" t="str">
        <f>"1.197***"</f>
        <v>1.197***</v>
      </c>
      <c r="U4" t="s">
        <v>2530</v>
      </c>
      <c r="V4" t="s">
        <v>2531</v>
      </c>
      <c r="W4" t="str">
        <f>"1.292***"</f>
        <v>1.292***</v>
      </c>
      <c r="X4" t="s">
        <v>2532</v>
      </c>
      <c r="Y4" t="s">
        <v>2533</v>
      </c>
      <c r="Z4" t="str">
        <f>"1.388***"</f>
        <v>1.388***</v>
      </c>
      <c r="AA4" t="s">
        <v>2534</v>
      </c>
      <c r="AB4" t="s">
        <v>2535</v>
      </c>
      <c r="AC4" t="str">
        <f>"1.422***"</f>
        <v>1.422***</v>
      </c>
      <c r="AD4" t="s">
        <v>2536</v>
      </c>
      <c r="AE4" t="s">
        <v>2537</v>
      </c>
      <c r="AF4" t="str">
        <f>"1.492***"</f>
        <v>1.492***</v>
      </c>
      <c r="AG4" t="s">
        <v>2538</v>
      </c>
      <c r="AH4" t="s">
        <v>2539</v>
      </c>
      <c r="AI4" t="str">
        <f>"1.575***"</f>
        <v>1.575***</v>
      </c>
      <c r="AJ4" t="s">
        <v>2540</v>
      </c>
      <c r="AK4" t="s">
        <v>2541</v>
      </c>
      <c r="AL4" t="str">
        <f>"1.583***"</f>
        <v>1.583***</v>
      </c>
      <c r="AM4" t="s">
        <v>2542</v>
      </c>
      <c r="AN4" t="s">
        <v>2543</v>
      </c>
      <c r="AO4" t="str">
        <f>"1.613***"</f>
        <v>1.613***</v>
      </c>
      <c r="AP4" t="s">
        <v>2544</v>
      </c>
      <c r="AQ4" t="s">
        <v>2545</v>
      </c>
      <c r="AR4" t="str">
        <f>"1.647***"</f>
        <v>1.647***</v>
      </c>
      <c r="AS4" t="s">
        <v>2546</v>
      </c>
      <c r="AT4" t="s">
        <v>2547</v>
      </c>
      <c r="AU4" t="str">
        <f>"1.672***"</f>
        <v>1.672***</v>
      </c>
      <c r="AV4" t="s">
        <v>2548</v>
      </c>
      <c r="AW4" t="s">
        <v>2549</v>
      </c>
      <c r="AX4" t="str">
        <f>"1.704***"</f>
        <v>1.704***</v>
      </c>
      <c r="AY4" t="s">
        <v>2550</v>
      </c>
      <c r="AZ4" t="s">
        <v>2551</v>
      </c>
      <c r="BA4" t="str">
        <f>"1.718***"</f>
        <v>1.718***</v>
      </c>
      <c r="BB4" t="s">
        <v>2552</v>
      </c>
      <c r="BC4" t="s">
        <v>2553</v>
      </c>
      <c r="BD4" t="str">
        <f>"1.744***"</f>
        <v>1.744***</v>
      </c>
      <c r="BE4" t="s">
        <v>2554</v>
      </c>
      <c r="BF4" t="s">
        <v>2555</v>
      </c>
      <c r="BG4" t="str">
        <f>"1.751***"</f>
        <v>1.751***</v>
      </c>
      <c r="BH4" t="s">
        <v>2556</v>
      </c>
      <c r="BI4" t="s">
        <v>2557</v>
      </c>
      <c r="BJ4" t="str">
        <f>"1.758***"</f>
        <v>1.758***</v>
      </c>
      <c r="BK4" t="s">
        <v>2558</v>
      </c>
      <c r="BL4" t="s">
        <v>2559</v>
      </c>
      <c r="BM4" t="str">
        <f>"1.795***"</f>
        <v>1.795***</v>
      </c>
      <c r="BN4" t="s">
        <v>2560</v>
      </c>
      <c r="BO4" t="s">
        <v>2561</v>
      </c>
      <c r="BP4" t="str">
        <f>"1.802***"</f>
        <v>1.802***</v>
      </c>
      <c r="BQ4" t="s">
        <v>2562</v>
      </c>
      <c r="BR4" t="s">
        <v>2563</v>
      </c>
      <c r="BS4" t="str">
        <f>"1.801***"</f>
        <v>1.801***</v>
      </c>
      <c r="BT4" t="s">
        <v>2564</v>
      </c>
      <c r="BU4" t="s">
        <v>2565</v>
      </c>
      <c r="BV4" t="str">
        <f>"1.806***"</f>
        <v>1.806***</v>
      </c>
      <c r="BW4" t="s">
        <v>2566</v>
      </c>
      <c r="BX4" t="s">
        <v>2567</v>
      </c>
      <c r="BY4" t="str">
        <f>"1.811***"</f>
        <v>1.811***</v>
      </c>
      <c r="BZ4" t="s">
        <v>2568</v>
      </c>
      <c r="CA4" t="s">
        <v>2569</v>
      </c>
      <c r="CB4" t="str">
        <f>"1.839***"</f>
        <v>1.839***</v>
      </c>
      <c r="CC4" t="s">
        <v>2570</v>
      </c>
      <c r="CD4" t="s">
        <v>2571</v>
      </c>
      <c r="CE4" t="str">
        <f>"1.844***"</f>
        <v>1.844***</v>
      </c>
      <c r="CF4" t="s">
        <v>2572</v>
      </c>
      <c r="CG4" t="s">
        <v>2573</v>
      </c>
      <c r="CH4" t="str">
        <f>"1.852***"</f>
        <v>1.852***</v>
      </c>
      <c r="CI4" t="s">
        <v>2574</v>
      </c>
      <c r="CJ4" t="s">
        <v>2575</v>
      </c>
      <c r="CK4" t="str">
        <f>"1.860***"</f>
        <v>1.860***</v>
      </c>
      <c r="CL4" t="s">
        <v>2576</v>
      </c>
      <c r="CM4" t="s">
        <v>2577</v>
      </c>
      <c r="CN4" t="str">
        <f>"1.881***"</f>
        <v>1.881***</v>
      </c>
      <c r="CO4" t="s">
        <v>2578</v>
      </c>
      <c r="CP4" t="s">
        <v>2579</v>
      </c>
      <c r="CQ4" t="str">
        <f>"1.889***"</f>
        <v>1.889***</v>
      </c>
      <c r="CR4" t="s">
        <v>2580</v>
      </c>
      <c r="CS4" t="s">
        <v>2581</v>
      </c>
      <c r="CT4" t="str">
        <f>"1.895***"</f>
        <v>1.895***</v>
      </c>
      <c r="CU4" t="s">
        <v>2582</v>
      </c>
      <c r="CV4" t="s">
        <v>2583</v>
      </c>
      <c r="CW4" t="str">
        <f>"1.912***"</f>
        <v>1.912***</v>
      </c>
      <c r="CX4" t="s">
        <v>2584</v>
      </c>
      <c r="CY4" t="s">
        <v>2585</v>
      </c>
      <c r="CZ4" t="str">
        <f>"1.950***"</f>
        <v>1.950***</v>
      </c>
      <c r="DA4" t="s">
        <v>2586</v>
      </c>
      <c r="DB4" t="s">
        <v>2587</v>
      </c>
      <c r="DC4" t="str">
        <f>"1.969***"</f>
        <v>1.969***</v>
      </c>
      <c r="DD4" t="s">
        <v>2588</v>
      </c>
      <c r="DE4" t="s">
        <v>2589</v>
      </c>
      <c r="DF4" t="str">
        <f>"1.981***"</f>
        <v>1.981***</v>
      </c>
      <c r="DG4" t="s">
        <v>2590</v>
      </c>
      <c r="DH4" t="s">
        <v>2591</v>
      </c>
      <c r="DI4" t="str">
        <f>"1.983***"</f>
        <v>1.983***</v>
      </c>
      <c r="DJ4" t="s">
        <v>2592</v>
      </c>
      <c r="DK4" t="s">
        <v>2593</v>
      </c>
      <c r="DL4" t="str">
        <f>"1.989***"</f>
        <v>1.989***</v>
      </c>
      <c r="DM4" t="s">
        <v>2594</v>
      </c>
      <c r="DN4" t="s">
        <v>2595</v>
      </c>
      <c r="DO4" t="str">
        <f>"2.008***"</f>
        <v>2.008***</v>
      </c>
      <c r="DP4" t="s">
        <v>2596</v>
      </c>
      <c r="DQ4" t="s">
        <v>2597</v>
      </c>
      <c r="DR4" t="str">
        <f>"2.028***"</f>
        <v>2.028***</v>
      </c>
      <c r="DS4" t="s">
        <v>2598</v>
      </c>
      <c r="DT4" t="s">
        <v>2599</v>
      </c>
      <c r="DU4" t="str">
        <f>"2.047***"</f>
        <v>2.047***</v>
      </c>
      <c r="DV4" t="s">
        <v>2600</v>
      </c>
      <c r="DW4" t="s">
        <v>2601</v>
      </c>
      <c r="DX4" t="str">
        <f>"2.065***"</f>
        <v>2.065***</v>
      </c>
      <c r="DY4" t="s">
        <v>2602</v>
      </c>
      <c r="DZ4" t="s">
        <v>2603</v>
      </c>
      <c r="EA4" t="str">
        <f>"2.089***"</f>
        <v>2.089***</v>
      </c>
      <c r="EB4" t="s">
        <v>2604</v>
      </c>
      <c r="EC4" t="s">
        <v>2605</v>
      </c>
      <c r="ED4" t="str">
        <f>"2.095***"</f>
        <v>2.095***</v>
      </c>
      <c r="EE4" t="s">
        <v>2606</v>
      </c>
      <c r="EF4" t="s">
        <v>2607</v>
      </c>
      <c r="EG4" t="str">
        <f>"2.114***"</f>
        <v>2.114***</v>
      </c>
      <c r="EH4" t="s">
        <v>2608</v>
      </c>
      <c r="EI4" t="s">
        <v>2609</v>
      </c>
      <c r="EJ4" t="str">
        <f>"2.116***"</f>
        <v>2.116***</v>
      </c>
      <c r="EK4" t="s">
        <v>2610</v>
      </c>
      <c r="EL4" t="s">
        <v>2611</v>
      </c>
      <c r="EM4" t="str">
        <f>"2.137***"</f>
        <v>2.137***</v>
      </c>
      <c r="EN4" t="s">
        <v>2612</v>
      </c>
      <c r="EO4" t="s">
        <v>2613</v>
      </c>
      <c r="EP4" t="str">
        <f>"2.147***"</f>
        <v>2.147***</v>
      </c>
      <c r="EQ4" t="s">
        <v>2614</v>
      </c>
      <c r="ER4" t="s">
        <v>2615</v>
      </c>
      <c r="ES4" t="str">
        <f>"2.176***"</f>
        <v>2.176***</v>
      </c>
      <c r="ET4" t="s">
        <v>2616</v>
      </c>
      <c r="EU4" t="s">
        <v>2617</v>
      </c>
      <c r="EV4" t="str">
        <f>"2.203***"</f>
        <v>2.203***</v>
      </c>
      <c r="EW4" t="s">
        <v>2618</v>
      </c>
      <c r="EX4" t="s">
        <v>2619</v>
      </c>
      <c r="EY4" t="str">
        <f>"2.217***"</f>
        <v>2.217***</v>
      </c>
      <c r="EZ4" t="s">
        <v>2620</v>
      </c>
      <c r="FA4" t="s">
        <v>2621</v>
      </c>
      <c r="FB4" t="str">
        <f>"2.209***"</f>
        <v>2.209***</v>
      </c>
      <c r="FC4" t="s">
        <v>2622</v>
      </c>
      <c r="FD4" t="s">
        <v>2623</v>
      </c>
      <c r="FE4" t="str">
        <f>"2.229***"</f>
        <v>2.229***</v>
      </c>
      <c r="FF4" t="s">
        <v>2624</v>
      </c>
      <c r="FG4" t="s">
        <v>2625</v>
      </c>
      <c r="FH4" t="str">
        <f>"2.268***"</f>
        <v>2.268***</v>
      </c>
      <c r="FI4" t="s">
        <v>2626</v>
      </c>
      <c r="FJ4" t="s">
        <v>2627</v>
      </c>
      <c r="FK4" t="str">
        <f>"2.272***"</f>
        <v>2.272***</v>
      </c>
      <c r="FL4" t="s">
        <v>2628</v>
      </c>
      <c r="FM4" t="s">
        <v>2629</v>
      </c>
      <c r="FN4" t="str">
        <f>"2.292***"</f>
        <v>2.292***</v>
      </c>
      <c r="FO4" t="s">
        <v>2630</v>
      </c>
      <c r="FP4" t="s">
        <v>2631</v>
      </c>
      <c r="FQ4" t="str">
        <f>"2.311***"</f>
        <v>2.311***</v>
      </c>
      <c r="FR4" t="s">
        <v>2632</v>
      </c>
      <c r="FS4" t="s">
        <v>2633</v>
      </c>
      <c r="FT4" t="str">
        <f>"2.318***"</f>
        <v>2.318***</v>
      </c>
      <c r="FU4" t="s">
        <v>2634</v>
      </c>
      <c r="FV4" t="s">
        <v>2635</v>
      </c>
      <c r="FW4" t="str">
        <f>"2.349***"</f>
        <v>2.349***</v>
      </c>
      <c r="FX4" t="s">
        <v>2636</v>
      </c>
      <c r="FY4" t="s">
        <v>2637</v>
      </c>
      <c r="FZ4" t="str">
        <f>"2.390***"</f>
        <v>2.390***</v>
      </c>
      <c r="GA4" t="s">
        <v>2638</v>
      </c>
      <c r="GB4" t="s">
        <v>2639</v>
      </c>
      <c r="GC4" t="str">
        <f>"2.400***"</f>
        <v>2.400***</v>
      </c>
      <c r="GD4" t="s">
        <v>2640</v>
      </c>
      <c r="GE4" t="s">
        <v>2641</v>
      </c>
      <c r="GF4" t="str">
        <f>"2.402***"</f>
        <v>2.402***</v>
      </c>
      <c r="GG4" t="s">
        <v>2642</v>
      </c>
      <c r="GH4" t="s">
        <v>2643</v>
      </c>
      <c r="GI4" t="str">
        <f>"2.436***"</f>
        <v>2.436***</v>
      </c>
      <c r="GJ4" t="s">
        <v>2644</v>
      </c>
      <c r="GK4" t="s">
        <v>2645</v>
      </c>
      <c r="GL4" t="str">
        <f>"2.493***"</f>
        <v>2.493***</v>
      </c>
      <c r="GM4" t="s">
        <v>2646</v>
      </c>
      <c r="GN4" t="s">
        <v>2647</v>
      </c>
      <c r="GO4" t="str">
        <f>"2.504***"</f>
        <v>2.504***</v>
      </c>
      <c r="GP4" t="s">
        <v>2648</v>
      </c>
      <c r="GQ4" t="s">
        <v>2649</v>
      </c>
      <c r="GR4" t="str">
        <f>"2.496***"</f>
        <v>2.496***</v>
      </c>
      <c r="GS4" t="s">
        <v>2650</v>
      </c>
      <c r="GT4" t="s">
        <v>2651</v>
      </c>
      <c r="GU4" t="str">
        <f>"2.500***"</f>
        <v>2.500***</v>
      </c>
      <c r="GV4" t="s">
        <v>2652</v>
      </c>
      <c r="GW4" t="s">
        <v>2653</v>
      </c>
      <c r="GX4" t="str">
        <f>"2.503***"</f>
        <v>2.503***</v>
      </c>
      <c r="GY4" t="s">
        <v>2654</v>
      </c>
      <c r="GZ4" t="s">
        <v>2655</v>
      </c>
      <c r="HA4" t="str">
        <f>"2.538***"</f>
        <v>2.538***</v>
      </c>
      <c r="HB4" t="s">
        <v>2656</v>
      </c>
      <c r="HC4" t="s">
        <v>2657</v>
      </c>
      <c r="HD4" t="str">
        <f>"2.584***"</f>
        <v>2.584***</v>
      </c>
      <c r="HE4" t="s">
        <v>2658</v>
      </c>
      <c r="HF4" t="s">
        <v>2659</v>
      </c>
      <c r="HG4" t="str">
        <f>"2.621***"</f>
        <v>2.621***</v>
      </c>
      <c r="HH4" t="s">
        <v>2660</v>
      </c>
      <c r="HI4" t="s">
        <v>2661</v>
      </c>
      <c r="HJ4" t="str">
        <f>"2.639***"</f>
        <v>2.639***</v>
      </c>
      <c r="HK4" t="s">
        <v>2370</v>
      </c>
      <c r="HL4" t="s">
        <v>2662</v>
      </c>
      <c r="HM4" t="str">
        <f>"2.679***"</f>
        <v>2.679***</v>
      </c>
      <c r="HN4" t="s">
        <v>2663</v>
      </c>
      <c r="HO4" t="s">
        <v>2664</v>
      </c>
      <c r="HP4" t="str">
        <f>"2.717***"</f>
        <v>2.717***</v>
      </c>
      <c r="HQ4" t="s">
        <v>2665</v>
      </c>
      <c r="HR4" t="s">
        <v>2666</v>
      </c>
      <c r="HS4" t="str">
        <f>"2.721***"</f>
        <v>2.721***</v>
      </c>
      <c r="HT4" t="s">
        <v>2667</v>
      </c>
      <c r="HU4" t="s">
        <v>2668</v>
      </c>
      <c r="HV4" t="str">
        <f>"2.776***"</f>
        <v>2.776***</v>
      </c>
      <c r="HW4" t="s">
        <v>2669</v>
      </c>
      <c r="HX4" t="s">
        <v>2670</v>
      </c>
      <c r="HY4" t="str">
        <f>"2.804***"</f>
        <v>2.804***</v>
      </c>
      <c r="HZ4" t="s">
        <v>2671</v>
      </c>
      <c r="IA4" t="s">
        <v>2672</v>
      </c>
      <c r="IB4" t="str">
        <f>"2.829***"</f>
        <v>2.829***</v>
      </c>
      <c r="IC4" t="s">
        <v>2673</v>
      </c>
      <c r="ID4" t="s">
        <v>2674</v>
      </c>
      <c r="IE4" t="str">
        <f>"2.896***"</f>
        <v>2.896***</v>
      </c>
      <c r="IF4" t="s">
        <v>2675</v>
      </c>
      <c r="IG4" t="s">
        <v>2676</v>
      </c>
      <c r="IH4" t="str">
        <f>"2.899***"</f>
        <v>2.899***</v>
      </c>
      <c r="II4" t="s">
        <v>2677</v>
      </c>
      <c r="IJ4" t="s">
        <v>2678</v>
      </c>
      <c r="IK4" t="str">
        <f>"2.910***"</f>
        <v>2.910***</v>
      </c>
      <c r="IL4" t="s">
        <v>2679</v>
      </c>
      <c r="IM4" t="s">
        <v>2680</v>
      </c>
      <c r="IN4" t="str">
        <f>"2.965***"</f>
        <v>2.965***</v>
      </c>
      <c r="IO4" t="s">
        <v>2681</v>
      </c>
      <c r="IP4" t="s">
        <v>2682</v>
      </c>
      <c r="IQ4" t="str">
        <f>"3.012***"</f>
        <v>3.012***</v>
      </c>
      <c r="IR4" t="s">
        <v>2683</v>
      </c>
      <c r="IS4" t="s">
        <v>2684</v>
      </c>
      <c r="IT4" t="str">
        <f>"3.064***"</f>
        <v>3.064***</v>
      </c>
      <c r="IU4" t="s">
        <v>2685</v>
      </c>
      <c r="IV4" t="s">
        <v>2686</v>
      </c>
      <c r="IW4" t="str">
        <f>"3.134***"</f>
        <v>3.134***</v>
      </c>
      <c r="IX4" t="s">
        <v>2687</v>
      </c>
      <c r="IY4" t="s">
        <v>2688</v>
      </c>
      <c r="IZ4" t="str">
        <f>"3.204***"</f>
        <v>3.204***</v>
      </c>
      <c r="JA4" t="s">
        <v>2689</v>
      </c>
      <c r="JB4" t="s">
        <v>2690</v>
      </c>
      <c r="JC4" t="str">
        <f>"3.198***"</f>
        <v>3.198***</v>
      </c>
      <c r="JD4" t="s">
        <v>2691</v>
      </c>
      <c r="JE4" t="s">
        <v>2692</v>
      </c>
      <c r="JF4" t="str">
        <f>"3.272***"</f>
        <v>3.272***</v>
      </c>
      <c r="JG4" t="s">
        <v>2693</v>
      </c>
      <c r="JH4" t="s">
        <v>2694</v>
      </c>
      <c r="JI4" t="str">
        <f>"3.335***"</f>
        <v>3.335***</v>
      </c>
      <c r="JJ4" t="s">
        <v>2695</v>
      </c>
      <c r="JK4" t="s">
        <v>2696</v>
      </c>
      <c r="JL4" t="str">
        <f>"3.414***"</f>
        <v>3.414***</v>
      </c>
      <c r="JM4" t="s">
        <v>2697</v>
      </c>
      <c r="JN4" t="s">
        <v>2698</v>
      </c>
      <c r="JO4" t="str">
        <f>"3.440***"</f>
        <v>3.440***</v>
      </c>
      <c r="JP4" t="s">
        <v>2699</v>
      </c>
      <c r="JQ4" t="s">
        <v>2700</v>
      </c>
      <c r="JR4" t="str">
        <f>"3.559***"</f>
        <v>3.559***</v>
      </c>
      <c r="JS4" t="s">
        <v>2701</v>
      </c>
      <c r="JT4" t="s">
        <v>2702</v>
      </c>
      <c r="JU4" t="str">
        <f>"3.652***"</f>
        <v>3.652***</v>
      </c>
      <c r="JV4" t="s">
        <v>2703</v>
      </c>
      <c r="JW4" t="s">
        <v>2704</v>
      </c>
      <c r="JX4" t="str">
        <f>"3.760***"</f>
        <v>3.760***</v>
      </c>
      <c r="JY4" t="s">
        <v>2705</v>
      </c>
      <c r="JZ4" t="s">
        <v>2706</v>
      </c>
      <c r="KA4" t="str">
        <f>"3.887***"</f>
        <v>3.887***</v>
      </c>
      <c r="KB4" t="s">
        <v>2707</v>
      </c>
      <c r="KC4" t="s">
        <v>2708</v>
      </c>
      <c r="KD4" t="str">
        <f>"4.104***"</f>
        <v>4.104***</v>
      </c>
      <c r="KE4" t="s">
        <v>2709</v>
      </c>
      <c r="KF4" t="s">
        <v>2710</v>
      </c>
      <c r="KG4" t="str">
        <f>"4.288***"</f>
        <v>4.288***</v>
      </c>
      <c r="KH4" t="s">
        <v>2711</v>
      </c>
      <c r="KI4" t="s">
        <v>2712</v>
      </c>
      <c r="KJ4" t="str">
        <f>"4.609***"</f>
        <v>4.609***</v>
      </c>
      <c r="KK4" t="s">
        <v>2713</v>
      </c>
      <c r="KL4" t="s">
        <v>2714</v>
      </c>
    </row>
    <row r="5" spans="1:298" x14ac:dyDescent="0.2">
      <c r="A5" t="str">
        <f>"group_2"</f>
        <v>group_2</v>
      </c>
      <c r="B5" t="str">
        <f>"0.199***"</f>
        <v>0.199***</v>
      </c>
      <c r="C5" t="s">
        <v>2514</v>
      </c>
      <c r="D5" t="s">
        <v>2513</v>
      </c>
      <c r="E5" t="str">
        <f>"0.549***"</f>
        <v>0.549***</v>
      </c>
      <c r="F5" t="s">
        <v>2715</v>
      </c>
      <c r="G5" t="s">
        <v>2716</v>
      </c>
      <c r="H5" t="str">
        <f>"0.804***"</f>
        <v>0.804***</v>
      </c>
      <c r="I5" t="s">
        <v>2510</v>
      </c>
      <c r="J5" t="s">
        <v>2509</v>
      </c>
      <c r="K5" t="str">
        <f>"0.960***"</f>
        <v>0.960***</v>
      </c>
      <c r="L5" t="s">
        <v>2508</v>
      </c>
      <c r="M5" t="s">
        <v>2717</v>
      </c>
      <c r="N5" t="str">
        <f>"1.130***"</f>
        <v>1.130***</v>
      </c>
      <c r="O5" t="s">
        <v>2718</v>
      </c>
      <c r="P5" t="s">
        <v>2719</v>
      </c>
      <c r="Q5" t="str">
        <f>"1.188***"</f>
        <v>1.188***</v>
      </c>
      <c r="R5" t="s">
        <v>2504</v>
      </c>
      <c r="S5" t="s">
        <v>2503</v>
      </c>
      <c r="T5" t="str">
        <f>"1.315***"</f>
        <v>1.315***</v>
      </c>
      <c r="U5" t="s">
        <v>2502</v>
      </c>
      <c r="V5" t="s">
        <v>2501</v>
      </c>
      <c r="W5" t="str">
        <f>"1.366***"</f>
        <v>1.366***</v>
      </c>
      <c r="X5" t="s">
        <v>2720</v>
      </c>
      <c r="Y5" t="s">
        <v>2721</v>
      </c>
      <c r="Z5" t="str">
        <f>"1.438***"</f>
        <v>1.438***</v>
      </c>
      <c r="AA5" t="s">
        <v>2722</v>
      </c>
      <c r="AB5" t="s">
        <v>2723</v>
      </c>
      <c r="AC5" t="str">
        <f>"1.507***"</f>
        <v>1.507***</v>
      </c>
      <c r="AD5" t="s">
        <v>2724</v>
      </c>
      <c r="AE5" t="s">
        <v>2725</v>
      </c>
      <c r="AF5" t="str">
        <f>"1.547***"</f>
        <v>1.547***</v>
      </c>
      <c r="AG5" t="s">
        <v>2494</v>
      </c>
      <c r="AH5" t="s">
        <v>2726</v>
      </c>
      <c r="AI5" t="str">
        <f>"1.594***"</f>
        <v>1.594***</v>
      </c>
      <c r="AJ5" t="s">
        <v>2492</v>
      </c>
      <c r="AK5" t="s">
        <v>2491</v>
      </c>
      <c r="AL5" t="str">
        <f>"1.622***"</f>
        <v>1.622***</v>
      </c>
      <c r="AM5" t="s">
        <v>2490</v>
      </c>
      <c r="AN5" t="s">
        <v>2489</v>
      </c>
      <c r="AO5" t="str">
        <f>"1.638***"</f>
        <v>1.638***</v>
      </c>
      <c r="AP5" t="s">
        <v>2488</v>
      </c>
      <c r="AQ5" t="s">
        <v>2487</v>
      </c>
      <c r="AR5" t="str">
        <f>"1.647***"</f>
        <v>1.647***</v>
      </c>
      <c r="AS5" t="s">
        <v>2486</v>
      </c>
      <c r="AT5" t="s">
        <v>2485</v>
      </c>
      <c r="AU5" t="str">
        <f>"1.668***"</f>
        <v>1.668***</v>
      </c>
      <c r="AV5" t="s">
        <v>2484</v>
      </c>
      <c r="AW5" t="s">
        <v>2483</v>
      </c>
      <c r="AX5" t="str">
        <f>"1.694***"</f>
        <v>1.694***</v>
      </c>
      <c r="AY5" t="s">
        <v>2482</v>
      </c>
      <c r="AZ5" t="s">
        <v>2481</v>
      </c>
      <c r="BA5" t="str">
        <f>"1.709***"</f>
        <v>1.709***</v>
      </c>
      <c r="BB5" t="s">
        <v>2480</v>
      </c>
      <c r="BC5" t="s">
        <v>2479</v>
      </c>
      <c r="BD5" t="str">
        <f>"1.719***"</f>
        <v>1.719***</v>
      </c>
      <c r="BE5" t="s">
        <v>2478</v>
      </c>
      <c r="BF5" t="s">
        <v>2477</v>
      </c>
      <c r="BG5" t="str">
        <f>"1.730***"</f>
        <v>1.730***</v>
      </c>
      <c r="BH5" t="s">
        <v>2476</v>
      </c>
      <c r="BI5" t="s">
        <v>2475</v>
      </c>
      <c r="BJ5" t="str">
        <f>"1.752***"</f>
        <v>1.752***</v>
      </c>
      <c r="BK5" t="s">
        <v>2474</v>
      </c>
      <c r="BL5" t="s">
        <v>2473</v>
      </c>
      <c r="BM5" t="str">
        <f>"1.770***"</f>
        <v>1.770***</v>
      </c>
      <c r="BN5" t="s">
        <v>2472</v>
      </c>
      <c r="BO5" t="s">
        <v>2471</v>
      </c>
      <c r="BP5" t="str">
        <f>"1.795***"</f>
        <v>1.795***</v>
      </c>
      <c r="BQ5" t="s">
        <v>2470</v>
      </c>
      <c r="BR5" t="s">
        <v>2469</v>
      </c>
      <c r="BS5" t="str">
        <f>"1.807***"</f>
        <v>1.807***</v>
      </c>
      <c r="BT5" t="s">
        <v>2468</v>
      </c>
      <c r="BU5" t="s">
        <v>2727</v>
      </c>
      <c r="BV5" t="str">
        <f>"1.807***"</f>
        <v>1.807***</v>
      </c>
      <c r="BW5" t="s">
        <v>2466</v>
      </c>
      <c r="BX5" t="s">
        <v>2465</v>
      </c>
      <c r="BY5" t="str">
        <f>"1.818***"</f>
        <v>1.818***</v>
      </c>
      <c r="BZ5" t="s">
        <v>2728</v>
      </c>
      <c r="CA5" t="s">
        <v>2729</v>
      </c>
      <c r="CB5" t="str">
        <f>"1.823***"</f>
        <v>1.823***</v>
      </c>
      <c r="CC5" t="s">
        <v>2730</v>
      </c>
      <c r="CD5" t="s">
        <v>2461</v>
      </c>
      <c r="CE5" t="str">
        <f>"1.827***"</f>
        <v>1.827***</v>
      </c>
      <c r="CF5" t="s">
        <v>2460</v>
      </c>
      <c r="CG5" t="s">
        <v>2731</v>
      </c>
      <c r="CH5" t="str">
        <f>"1.838***"</f>
        <v>1.838***</v>
      </c>
      <c r="CI5" t="s">
        <v>2732</v>
      </c>
      <c r="CJ5" t="s">
        <v>2457</v>
      </c>
      <c r="CK5" t="str">
        <f>"1.852***"</f>
        <v>1.852***</v>
      </c>
      <c r="CL5" t="s">
        <v>2456</v>
      </c>
      <c r="CM5" t="s">
        <v>2455</v>
      </c>
      <c r="CN5" t="str">
        <f>"1.862***"</f>
        <v>1.862***</v>
      </c>
      <c r="CO5" t="s">
        <v>2454</v>
      </c>
      <c r="CP5" t="s">
        <v>2453</v>
      </c>
      <c r="CQ5" t="str">
        <f>"1.877***"</f>
        <v>1.877***</v>
      </c>
      <c r="CR5" t="s">
        <v>2452</v>
      </c>
      <c r="CS5" t="s">
        <v>2451</v>
      </c>
      <c r="CT5" t="str">
        <f>"1.903***"</f>
        <v>1.903***</v>
      </c>
      <c r="CU5" t="s">
        <v>2450</v>
      </c>
      <c r="CV5" t="s">
        <v>2449</v>
      </c>
      <c r="CW5" t="str">
        <f>"1.924***"</f>
        <v>1.924***</v>
      </c>
      <c r="CX5" t="s">
        <v>2448</v>
      </c>
      <c r="CY5" t="s">
        <v>2447</v>
      </c>
      <c r="CZ5" t="str">
        <f>"1.937***"</f>
        <v>1.937***</v>
      </c>
      <c r="DA5" t="s">
        <v>2446</v>
      </c>
      <c r="DB5" t="s">
        <v>2445</v>
      </c>
      <c r="DC5" t="str">
        <f>"1.952***"</f>
        <v>1.952***</v>
      </c>
      <c r="DD5" t="s">
        <v>2733</v>
      </c>
      <c r="DE5" t="s">
        <v>2443</v>
      </c>
      <c r="DF5" t="str">
        <f>"1.960***"</f>
        <v>1.960***</v>
      </c>
      <c r="DG5" t="s">
        <v>2442</v>
      </c>
      <c r="DH5" t="s">
        <v>2734</v>
      </c>
      <c r="DI5" t="str">
        <f>"1.975***"</f>
        <v>1.975***</v>
      </c>
      <c r="DJ5" t="s">
        <v>2440</v>
      </c>
      <c r="DK5" t="s">
        <v>2439</v>
      </c>
      <c r="DL5" t="str">
        <f>"2.006***"</f>
        <v>2.006***</v>
      </c>
      <c r="DM5" t="s">
        <v>2438</v>
      </c>
      <c r="DN5" t="s">
        <v>2437</v>
      </c>
      <c r="DO5" t="str">
        <f>"2.037***"</f>
        <v>2.037***</v>
      </c>
      <c r="DP5" t="s">
        <v>2735</v>
      </c>
      <c r="DQ5" t="s">
        <v>2435</v>
      </c>
      <c r="DR5" t="str">
        <f>"2.041***"</f>
        <v>2.041***</v>
      </c>
      <c r="DS5" t="s">
        <v>2736</v>
      </c>
      <c r="DT5" t="s">
        <v>2433</v>
      </c>
      <c r="DU5" t="str">
        <f>"2.048***"</f>
        <v>2.048***</v>
      </c>
      <c r="DV5" t="s">
        <v>2737</v>
      </c>
      <c r="DW5" t="s">
        <v>2431</v>
      </c>
      <c r="DX5" t="str">
        <f>"2.058***"</f>
        <v>2.058***</v>
      </c>
      <c r="DY5" t="s">
        <v>2430</v>
      </c>
      <c r="DZ5" t="s">
        <v>2738</v>
      </c>
      <c r="EA5" t="str">
        <f>"2.072***"</f>
        <v>2.072***</v>
      </c>
      <c r="EB5" t="s">
        <v>2739</v>
      </c>
      <c r="EC5" t="s">
        <v>2740</v>
      </c>
      <c r="ED5" t="str">
        <f>"2.070***"</f>
        <v>2.070***</v>
      </c>
      <c r="EE5" t="s">
        <v>2426</v>
      </c>
      <c r="EF5" t="s">
        <v>2425</v>
      </c>
      <c r="EG5" t="str">
        <f>"2.097***"</f>
        <v>2.097***</v>
      </c>
      <c r="EH5" t="s">
        <v>2424</v>
      </c>
      <c r="EI5" t="s">
        <v>2423</v>
      </c>
      <c r="EJ5" t="str">
        <f>"2.121***"</f>
        <v>2.121***</v>
      </c>
      <c r="EK5" t="s">
        <v>2422</v>
      </c>
      <c r="EL5" t="s">
        <v>2741</v>
      </c>
      <c r="EM5" t="str">
        <f>"2.134***"</f>
        <v>2.134***</v>
      </c>
      <c r="EN5" t="s">
        <v>2420</v>
      </c>
      <c r="EO5" t="s">
        <v>2742</v>
      </c>
      <c r="EP5" t="str">
        <f>"2.147***"</f>
        <v>2.147***</v>
      </c>
      <c r="EQ5" t="s">
        <v>2418</v>
      </c>
      <c r="ER5" t="s">
        <v>2417</v>
      </c>
      <c r="ES5" t="str">
        <f>"2.163***"</f>
        <v>2.163***</v>
      </c>
      <c r="ET5" t="s">
        <v>2416</v>
      </c>
      <c r="EU5" t="s">
        <v>2743</v>
      </c>
      <c r="EV5" t="str">
        <f>"2.197***"</f>
        <v>2.197***</v>
      </c>
      <c r="EW5" t="s">
        <v>2744</v>
      </c>
      <c r="EX5" t="s">
        <v>2413</v>
      </c>
      <c r="EY5" t="str">
        <f>"2.222***"</f>
        <v>2.222***</v>
      </c>
      <c r="EZ5" t="s">
        <v>2412</v>
      </c>
      <c r="FA5" t="s">
        <v>2411</v>
      </c>
      <c r="FB5" t="str">
        <f>"2.227***"</f>
        <v>2.227***</v>
      </c>
      <c r="FC5" t="s">
        <v>2410</v>
      </c>
      <c r="FD5" t="s">
        <v>2745</v>
      </c>
      <c r="FE5" t="str">
        <f>"2.247***"</f>
        <v>2.247***</v>
      </c>
      <c r="FF5" t="s">
        <v>2408</v>
      </c>
      <c r="FG5" t="s">
        <v>2407</v>
      </c>
      <c r="FH5" t="str">
        <f>"2.245***"</f>
        <v>2.245***</v>
      </c>
      <c r="FI5" t="s">
        <v>2406</v>
      </c>
      <c r="FJ5" t="s">
        <v>2746</v>
      </c>
      <c r="FK5" t="str">
        <f>"2.272***"</f>
        <v>2.272***</v>
      </c>
      <c r="FL5" t="s">
        <v>2404</v>
      </c>
      <c r="FM5" t="s">
        <v>2403</v>
      </c>
      <c r="FN5" t="str">
        <f>"2.289***"</f>
        <v>2.289***</v>
      </c>
      <c r="FO5" t="s">
        <v>2402</v>
      </c>
      <c r="FP5" t="s">
        <v>2401</v>
      </c>
      <c r="FQ5" t="str">
        <f>"2.313***"</f>
        <v>2.313***</v>
      </c>
      <c r="FR5" t="s">
        <v>2400</v>
      </c>
      <c r="FS5" t="s">
        <v>2399</v>
      </c>
      <c r="FT5" t="str">
        <f>"2.329***"</f>
        <v>2.329***</v>
      </c>
      <c r="FU5" t="s">
        <v>2398</v>
      </c>
      <c r="FV5" t="s">
        <v>2397</v>
      </c>
      <c r="FW5" t="str">
        <f>"2.350***"</f>
        <v>2.350***</v>
      </c>
      <c r="FX5" t="s">
        <v>2396</v>
      </c>
      <c r="FY5" t="s">
        <v>2395</v>
      </c>
      <c r="FZ5" t="str">
        <f>"2.361***"</f>
        <v>2.361***</v>
      </c>
      <c r="GA5" t="s">
        <v>2394</v>
      </c>
      <c r="GB5" t="s">
        <v>2393</v>
      </c>
      <c r="GC5" t="str">
        <f>"2.388***"</f>
        <v>2.388***</v>
      </c>
      <c r="GD5" t="s">
        <v>2392</v>
      </c>
      <c r="GE5" t="s">
        <v>2391</v>
      </c>
      <c r="GF5" t="str">
        <f>"2.410***"</f>
        <v>2.410***</v>
      </c>
      <c r="GG5" t="s">
        <v>2390</v>
      </c>
      <c r="GH5" t="s">
        <v>2389</v>
      </c>
      <c r="GI5" t="str">
        <f>"2.441***"</f>
        <v>2.441***</v>
      </c>
      <c r="GJ5" t="s">
        <v>2388</v>
      </c>
      <c r="GK5" t="s">
        <v>2387</v>
      </c>
      <c r="GL5" t="str">
        <f>"2.450***"</f>
        <v>2.450***</v>
      </c>
      <c r="GM5" t="s">
        <v>2386</v>
      </c>
      <c r="GN5" t="s">
        <v>2747</v>
      </c>
      <c r="GO5" t="str">
        <f>"2.472***"</f>
        <v>2.472***</v>
      </c>
      <c r="GP5" t="s">
        <v>2384</v>
      </c>
      <c r="GQ5" t="s">
        <v>2748</v>
      </c>
      <c r="GR5" t="str">
        <f>"2.476***"</f>
        <v>2.476***</v>
      </c>
      <c r="GS5" t="s">
        <v>2382</v>
      </c>
      <c r="GT5" t="s">
        <v>2381</v>
      </c>
      <c r="GU5" t="str">
        <f>"2.511***"</f>
        <v>2.511***</v>
      </c>
      <c r="GV5" t="s">
        <v>2380</v>
      </c>
      <c r="GW5" t="s">
        <v>2379</v>
      </c>
      <c r="GX5" t="str">
        <f>"2.531***"</f>
        <v>2.531***</v>
      </c>
      <c r="GY5" t="s">
        <v>2378</v>
      </c>
      <c r="GZ5" t="s">
        <v>2377</v>
      </c>
      <c r="HA5" t="str">
        <f>"2.553***"</f>
        <v>2.553***</v>
      </c>
      <c r="HB5" t="s">
        <v>2376</v>
      </c>
      <c r="HC5" t="s">
        <v>2375</v>
      </c>
      <c r="HD5" t="str">
        <f>"2.577***"</f>
        <v>2.577***</v>
      </c>
      <c r="HE5" t="s">
        <v>2374</v>
      </c>
      <c r="HF5" t="s">
        <v>2749</v>
      </c>
      <c r="HG5" t="str">
        <f>"2.607***"</f>
        <v>2.607***</v>
      </c>
      <c r="HH5" t="s">
        <v>2750</v>
      </c>
      <c r="HI5" t="s">
        <v>2751</v>
      </c>
      <c r="HJ5" t="str">
        <f>"2.636***"</f>
        <v>2.636***</v>
      </c>
      <c r="HK5" t="s">
        <v>2370</v>
      </c>
      <c r="HL5" t="s">
        <v>2752</v>
      </c>
      <c r="HM5" t="str">
        <f>"2.657***"</f>
        <v>2.657***</v>
      </c>
      <c r="HN5" t="s">
        <v>2368</v>
      </c>
      <c r="HO5" t="s">
        <v>2753</v>
      </c>
      <c r="HP5" t="str">
        <f>"2.710***"</f>
        <v>2.710***</v>
      </c>
      <c r="HQ5" t="s">
        <v>2754</v>
      </c>
      <c r="HR5" t="s">
        <v>2365</v>
      </c>
      <c r="HS5" t="str">
        <f>"2.741***"</f>
        <v>2.741***</v>
      </c>
      <c r="HT5" t="s">
        <v>2364</v>
      </c>
      <c r="HU5" t="s">
        <v>2755</v>
      </c>
      <c r="HV5" t="str">
        <f>"2.752***"</f>
        <v>2.752***</v>
      </c>
      <c r="HW5" t="s">
        <v>2362</v>
      </c>
      <c r="HX5" t="s">
        <v>2756</v>
      </c>
      <c r="HY5" t="str">
        <f>"2.779***"</f>
        <v>2.779***</v>
      </c>
      <c r="HZ5" t="s">
        <v>2757</v>
      </c>
      <c r="IA5" t="s">
        <v>2758</v>
      </c>
      <c r="IB5" t="str">
        <f>"2.783***"</f>
        <v>2.783***</v>
      </c>
      <c r="IC5" t="s">
        <v>2759</v>
      </c>
      <c r="ID5" t="s">
        <v>2161</v>
      </c>
      <c r="IE5" t="str">
        <f>"2.840***"</f>
        <v>2.840***</v>
      </c>
      <c r="IF5" t="s">
        <v>2760</v>
      </c>
      <c r="IG5" t="s">
        <v>2761</v>
      </c>
      <c r="IH5" t="str">
        <f>"2.879***"</f>
        <v>2.879***</v>
      </c>
      <c r="II5" t="s">
        <v>2762</v>
      </c>
      <c r="IJ5" t="s">
        <v>2763</v>
      </c>
      <c r="IK5" t="str">
        <f>"2.936***"</f>
        <v>2.936***</v>
      </c>
      <c r="IL5" t="s">
        <v>2353</v>
      </c>
      <c r="IM5" t="s">
        <v>2352</v>
      </c>
      <c r="IN5" t="str">
        <f>"2.971***"</f>
        <v>2.971***</v>
      </c>
      <c r="IO5" t="s">
        <v>2351</v>
      </c>
      <c r="IP5" t="s">
        <v>2350</v>
      </c>
      <c r="IQ5" t="str">
        <f>"3.003***"</f>
        <v>3.003***</v>
      </c>
      <c r="IR5" t="s">
        <v>2349</v>
      </c>
      <c r="IS5" t="s">
        <v>2764</v>
      </c>
      <c r="IT5" t="str">
        <f>"3.051***"</f>
        <v>3.051***</v>
      </c>
      <c r="IU5" t="s">
        <v>2765</v>
      </c>
      <c r="IV5" t="s">
        <v>2766</v>
      </c>
      <c r="IW5" t="str">
        <f>"3.118***"</f>
        <v>3.118***</v>
      </c>
      <c r="IX5" t="s">
        <v>2345</v>
      </c>
      <c r="IY5" t="s">
        <v>2344</v>
      </c>
      <c r="IZ5" t="str">
        <f>"3.156***"</f>
        <v>3.156***</v>
      </c>
      <c r="JA5" t="s">
        <v>2343</v>
      </c>
      <c r="JB5" t="s">
        <v>2767</v>
      </c>
      <c r="JC5" t="str">
        <f>"3.193***"</f>
        <v>3.193***</v>
      </c>
      <c r="JD5" t="s">
        <v>2341</v>
      </c>
      <c r="JE5" t="s">
        <v>2768</v>
      </c>
      <c r="JF5" t="str">
        <f>"3.270***"</f>
        <v>3.270***</v>
      </c>
      <c r="JG5" t="s">
        <v>2339</v>
      </c>
      <c r="JH5" t="s">
        <v>2769</v>
      </c>
      <c r="JI5" t="str">
        <f>"3.329***"</f>
        <v>3.329***</v>
      </c>
      <c r="JJ5" t="s">
        <v>2770</v>
      </c>
      <c r="JK5" t="s">
        <v>2771</v>
      </c>
      <c r="JL5" t="str">
        <f>"3.427***"</f>
        <v>3.427***</v>
      </c>
      <c r="JM5" t="s">
        <v>2772</v>
      </c>
      <c r="JN5" t="s">
        <v>2773</v>
      </c>
      <c r="JO5" t="str">
        <f>"3.449***"</f>
        <v>3.449***</v>
      </c>
      <c r="JP5" t="s">
        <v>2774</v>
      </c>
      <c r="JQ5" t="s">
        <v>2775</v>
      </c>
      <c r="JR5" t="str">
        <f>"3.563***"</f>
        <v>3.563***</v>
      </c>
      <c r="JS5" t="s">
        <v>2776</v>
      </c>
      <c r="JT5" t="s">
        <v>2777</v>
      </c>
      <c r="JU5" t="str">
        <f>"3.660***"</f>
        <v>3.660***</v>
      </c>
      <c r="JV5" t="s">
        <v>2778</v>
      </c>
      <c r="JW5" t="s">
        <v>2779</v>
      </c>
      <c r="JX5" t="str">
        <f>"3.748***"</f>
        <v>3.748***</v>
      </c>
      <c r="JY5" t="s">
        <v>2780</v>
      </c>
      <c r="JZ5" t="s">
        <v>2781</v>
      </c>
      <c r="KA5" t="str">
        <f>"3.897***"</f>
        <v>3.897***</v>
      </c>
      <c r="KB5" t="s">
        <v>2325</v>
      </c>
      <c r="KC5" t="s">
        <v>2324</v>
      </c>
      <c r="KD5" t="str">
        <f>"4.073***"</f>
        <v>4.073***</v>
      </c>
      <c r="KE5" t="s">
        <v>2782</v>
      </c>
      <c r="KF5" t="s">
        <v>2783</v>
      </c>
      <c r="KG5" t="str">
        <f>"4.295***"</f>
        <v>4.295***</v>
      </c>
      <c r="KH5" t="s">
        <v>2784</v>
      </c>
      <c r="KI5" t="s">
        <v>2785</v>
      </c>
      <c r="KJ5" t="str">
        <f>"4.626***"</f>
        <v>4.626***</v>
      </c>
      <c r="KK5" t="s">
        <v>2786</v>
      </c>
      <c r="KL5" t="s">
        <v>2787</v>
      </c>
    </row>
    <row r="6" spans="1:298" x14ac:dyDescent="0.2">
      <c r="A6" t="str">
        <f>"difference"</f>
        <v>difference</v>
      </c>
      <c r="B6" t="str">
        <f>"-0.00932"</f>
        <v>-0.00932</v>
      </c>
      <c r="C6" t="s">
        <v>539</v>
      </c>
      <c r="D6" t="s">
        <v>2788</v>
      </c>
      <c r="E6" t="str">
        <f>"-0.0646***"</f>
        <v>-0.0646***</v>
      </c>
      <c r="F6" t="s">
        <v>2789</v>
      </c>
      <c r="G6" t="s">
        <v>2790</v>
      </c>
      <c r="H6" t="str">
        <f>"-0.0995***"</f>
        <v>-0.0995***</v>
      </c>
      <c r="I6" t="s">
        <v>2791</v>
      </c>
      <c r="J6" t="s">
        <v>2792</v>
      </c>
      <c r="K6" t="str">
        <f>"-0.0723***"</f>
        <v>-0.0723***</v>
      </c>
      <c r="L6" t="s">
        <v>2793</v>
      </c>
      <c r="M6" t="s">
        <v>2794</v>
      </c>
      <c r="N6" t="str">
        <f>"-0.133***"</f>
        <v>-0.133***</v>
      </c>
      <c r="O6" t="s">
        <v>2795</v>
      </c>
      <c r="P6" t="s">
        <v>1319</v>
      </c>
      <c r="Q6" t="str">
        <f>"-0.0768***"</f>
        <v>-0.0768***</v>
      </c>
      <c r="R6" t="s">
        <v>2796</v>
      </c>
      <c r="S6" t="s">
        <v>2797</v>
      </c>
      <c r="T6" t="str">
        <f>"-0.118***"</f>
        <v>-0.118***</v>
      </c>
      <c r="U6" t="s">
        <v>2798</v>
      </c>
      <c r="V6" t="s">
        <v>2799</v>
      </c>
      <c r="W6" t="str">
        <f>"-0.0740***"</f>
        <v>-0.0740***</v>
      </c>
      <c r="X6" t="s">
        <v>2800</v>
      </c>
      <c r="Y6" t="s">
        <v>2801</v>
      </c>
      <c r="Z6" t="str">
        <f>"-0.0504***"</f>
        <v>-0.0504***</v>
      </c>
      <c r="AA6" t="s">
        <v>2802</v>
      </c>
      <c r="AB6" t="s">
        <v>2803</v>
      </c>
      <c r="AC6" t="str">
        <f>"-0.0853***"</f>
        <v>-0.0853***</v>
      </c>
      <c r="AD6" t="s">
        <v>2804</v>
      </c>
      <c r="AE6" t="s">
        <v>2805</v>
      </c>
      <c r="AF6" t="str">
        <f>"-0.0545***"</f>
        <v>-0.0545***</v>
      </c>
      <c r="AG6" t="s">
        <v>2806</v>
      </c>
      <c r="AH6" t="s">
        <v>2807</v>
      </c>
      <c r="AI6" t="str">
        <f>"-0.0188***"</f>
        <v>-0.0188***</v>
      </c>
      <c r="AJ6" t="s">
        <v>2808</v>
      </c>
      <c r="AK6" t="s">
        <v>2809</v>
      </c>
      <c r="AL6" t="str">
        <f>"-0.0388***"</f>
        <v>-0.0388***</v>
      </c>
      <c r="AM6" t="s">
        <v>2810</v>
      </c>
      <c r="AN6" t="s">
        <v>1269</v>
      </c>
      <c r="AO6" t="str">
        <f>"-0.0242***"</f>
        <v>-0.0242***</v>
      </c>
      <c r="AP6" t="s">
        <v>2811</v>
      </c>
      <c r="AQ6" t="s">
        <v>2812</v>
      </c>
      <c r="AR6" t="str">
        <f>"-0.000825"</f>
        <v>-0.000825</v>
      </c>
      <c r="AS6" t="s">
        <v>303</v>
      </c>
      <c r="AT6" t="s">
        <v>791</v>
      </c>
      <c r="AU6" t="str">
        <f>"0.00321"</f>
        <v>0.00321</v>
      </c>
      <c r="AV6" t="s">
        <v>640</v>
      </c>
      <c r="AW6" t="s">
        <v>573</v>
      </c>
      <c r="AX6" t="str">
        <f>"0.00972***"</f>
        <v>0.00972***</v>
      </c>
      <c r="AY6" t="s">
        <v>997</v>
      </c>
      <c r="AZ6" t="s">
        <v>1543</v>
      </c>
      <c r="BA6" t="str">
        <f>"0.00872**"</f>
        <v>0.00872**</v>
      </c>
      <c r="BB6" t="s">
        <v>1037</v>
      </c>
      <c r="BC6" t="s">
        <v>530</v>
      </c>
      <c r="BD6" t="str">
        <f>"0.0251***"</f>
        <v>0.0251***</v>
      </c>
      <c r="BE6" t="s">
        <v>2813</v>
      </c>
      <c r="BF6" t="s">
        <v>1688</v>
      </c>
      <c r="BG6" t="str">
        <f>"0.0215***"</f>
        <v>0.0215***</v>
      </c>
      <c r="BH6" t="s">
        <v>1229</v>
      </c>
      <c r="BI6" t="s">
        <v>981</v>
      </c>
      <c r="BJ6" t="str">
        <f>"0.00671**"</f>
        <v>0.00671**</v>
      </c>
      <c r="BK6" t="s">
        <v>638</v>
      </c>
      <c r="BL6" t="s">
        <v>1006</v>
      </c>
      <c r="BM6" t="str">
        <f>"0.0254***"</f>
        <v>0.0254***</v>
      </c>
      <c r="BN6" t="s">
        <v>2814</v>
      </c>
      <c r="BO6" t="s">
        <v>1944</v>
      </c>
      <c r="BP6" t="str">
        <f>"0.00750***"</f>
        <v>0.00750***</v>
      </c>
      <c r="BQ6" t="s">
        <v>343</v>
      </c>
      <c r="BR6" t="s">
        <v>2815</v>
      </c>
      <c r="BS6" t="str">
        <f>"-0.00521*"</f>
        <v>-0.00521*</v>
      </c>
      <c r="BT6" t="s">
        <v>641</v>
      </c>
      <c r="BU6" t="s">
        <v>704</v>
      </c>
      <c r="BV6" t="str">
        <f>"-0.000847"</f>
        <v>-0.000847</v>
      </c>
      <c r="BW6" t="s">
        <v>1002</v>
      </c>
      <c r="BX6" t="s">
        <v>829</v>
      </c>
      <c r="BY6" t="str">
        <f>"-0.00666**"</f>
        <v>-0.00666**</v>
      </c>
      <c r="BZ6" t="s">
        <v>2816</v>
      </c>
      <c r="CA6" t="s">
        <v>1508</v>
      </c>
      <c r="CB6" t="str">
        <f>"0.0163***"</f>
        <v>0.0163***</v>
      </c>
      <c r="CC6" t="s">
        <v>2817</v>
      </c>
      <c r="CD6" t="s">
        <v>956</v>
      </c>
      <c r="CE6" t="str">
        <f>"0.0168***"</f>
        <v>0.0168***</v>
      </c>
      <c r="CF6" t="s">
        <v>1539</v>
      </c>
      <c r="CG6" t="s">
        <v>1529</v>
      </c>
      <c r="CH6" t="str">
        <f>"0.0140***"</f>
        <v>0.0140***</v>
      </c>
      <c r="CI6" t="s">
        <v>1498</v>
      </c>
      <c r="CJ6" t="s">
        <v>1029</v>
      </c>
      <c r="CK6" t="str">
        <f>"0.00732**"</f>
        <v>0.00732**</v>
      </c>
      <c r="CL6" t="s">
        <v>779</v>
      </c>
      <c r="CM6" t="s">
        <v>731</v>
      </c>
      <c r="CN6" t="str">
        <f>"0.0191***"</f>
        <v>0.0191***</v>
      </c>
      <c r="CO6" t="s">
        <v>1062</v>
      </c>
      <c r="CP6" t="s">
        <v>2818</v>
      </c>
      <c r="CQ6" t="str">
        <f>"0.0119***"</f>
        <v>0.0119***</v>
      </c>
      <c r="CR6" t="s">
        <v>980</v>
      </c>
      <c r="CS6" t="s">
        <v>528</v>
      </c>
      <c r="CT6" t="str">
        <f>"-0.00809**"</f>
        <v>-0.00809**</v>
      </c>
      <c r="CU6" t="s">
        <v>2819</v>
      </c>
      <c r="CV6" t="s">
        <v>1115</v>
      </c>
      <c r="CW6" t="str">
        <f>"-0.0121***"</f>
        <v>-0.0121***</v>
      </c>
      <c r="CX6" t="s">
        <v>2820</v>
      </c>
      <c r="CY6" t="s">
        <v>2821</v>
      </c>
      <c r="CZ6" t="str">
        <f>"0.0126***"</f>
        <v>0.0126***</v>
      </c>
      <c r="DA6" t="s">
        <v>2822</v>
      </c>
      <c r="DB6" t="s">
        <v>964</v>
      </c>
      <c r="DC6" t="str">
        <f>"0.0171***"</f>
        <v>0.0171***</v>
      </c>
      <c r="DD6" t="s">
        <v>1545</v>
      </c>
      <c r="DE6" t="s">
        <v>744</v>
      </c>
      <c r="DF6" t="str">
        <f>"0.0213***"</f>
        <v>0.0213***</v>
      </c>
      <c r="DG6" t="s">
        <v>760</v>
      </c>
      <c r="DH6" t="s">
        <v>564</v>
      </c>
      <c r="DI6" t="str">
        <f>"0.00860*"</f>
        <v>0.00860*</v>
      </c>
      <c r="DJ6" t="s">
        <v>1460</v>
      </c>
      <c r="DK6" t="s">
        <v>740</v>
      </c>
      <c r="DL6" t="str">
        <f>"-0.0167***"</f>
        <v>-0.0167***</v>
      </c>
      <c r="DM6" t="s">
        <v>2823</v>
      </c>
      <c r="DN6" t="s">
        <v>2824</v>
      </c>
      <c r="DO6" t="str">
        <f>"-0.0282***"</f>
        <v>-0.0282***</v>
      </c>
      <c r="DP6" t="s">
        <v>249</v>
      </c>
      <c r="DQ6" t="s">
        <v>2825</v>
      </c>
      <c r="DR6" t="str">
        <f>"-0.0123***"</f>
        <v>-0.0123***</v>
      </c>
      <c r="DS6" t="s">
        <v>2826</v>
      </c>
      <c r="DT6" t="s">
        <v>823</v>
      </c>
      <c r="DU6" t="str">
        <f>"-0.00113"</f>
        <v>-0.00113</v>
      </c>
      <c r="DV6" t="s">
        <v>2827</v>
      </c>
      <c r="DW6" t="s">
        <v>655</v>
      </c>
      <c r="DX6" t="str">
        <f>"0.00702*"</f>
        <v>0.00702*</v>
      </c>
      <c r="DY6" t="s">
        <v>708</v>
      </c>
      <c r="DZ6" t="s">
        <v>2828</v>
      </c>
      <c r="EA6" t="str">
        <f>"0.0165***"</f>
        <v>0.0165***</v>
      </c>
      <c r="EB6" t="s">
        <v>2829</v>
      </c>
      <c r="EC6" t="s">
        <v>2830</v>
      </c>
      <c r="ED6" t="str">
        <f>"0.0248***"</f>
        <v>0.0248***</v>
      </c>
      <c r="EE6" t="s">
        <v>2831</v>
      </c>
      <c r="EF6" t="s">
        <v>1685</v>
      </c>
      <c r="EG6" t="str">
        <f>"0.0177***"</f>
        <v>0.0177***</v>
      </c>
      <c r="EH6" t="s">
        <v>1024</v>
      </c>
      <c r="EI6" t="s">
        <v>977</v>
      </c>
      <c r="EJ6" t="str">
        <f>"-0.00499"</f>
        <v>-0.00499</v>
      </c>
      <c r="EK6" t="s">
        <v>2832</v>
      </c>
      <c r="EL6" t="s">
        <v>800</v>
      </c>
      <c r="EM6" t="str">
        <f>"0.00231"</f>
        <v>0.00231</v>
      </c>
      <c r="EN6" t="s">
        <v>1003</v>
      </c>
      <c r="EO6" t="s">
        <v>1008</v>
      </c>
      <c r="EP6" t="str">
        <f>"0.000741"</f>
        <v>0.000741</v>
      </c>
      <c r="EQ6" t="s">
        <v>897</v>
      </c>
      <c r="ER6" t="s">
        <v>575</v>
      </c>
      <c r="ES6" t="str">
        <f>"0.0127***"</f>
        <v>0.0127***</v>
      </c>
      <c r="ET6" t="s">
        <v>1028</v>
      </c>
      <c r="EU6" t="s">
        <v>1125</v>
      </c>
      <c r="EV6" t="str">
        <f>"0.00582"</f>
        <v>0.00582</v>
      </c>
      <c r="EW6" t="s">
        <v>681</v>
      </c>
      <c r="EX6" t="s">
        <v>1547</v>
      </c>
      <c r="EY6" t="str">
        <f>"-0.00538"</f>
        <v>-0.00538</v>
      </c>
      <c r="EZ6" t="s">
        <v>2833</v>
      </c>
      <c r="FA6" t="s">
        <v>685</v>
      </c>
      <c r="FB6" t="str">
        <f>"-0.0180***"</f>
        <v>-0.0180***</v>
      </c>
      <c r="FC6" t="s">
        <v>1974</v>
      </c>
      <c r="FD6" t="s">
        <v>2809</v>
      </c>
      <c r="FE6" t="str">
        <f>"-0.0180***"</f>
        <v>-0.0180***</v>
      </c>
      <c r="FF6" t="s">
        <v>560</v>
      </c>
      <c r="FG6" t="s">
        <v>2834</v>
      </c>
      <c r="FH6" t="str">
        <f>"0.0234***"</f>
        <v>0.0234***</v>
      </c>
      <c r="FI6" t="s">
        <v>2835</v>
      </c>
      <c r="FJ6" t="s">
        <v>968</v>
      </c>
      <c r="FK6" t="str">
        <f>"0.000333"</f>
        <v>0.000333</v>
      </c>
      <c r="FL6" t="s">
        <v>303</v>
      </c>
      <c r="FM6" t="s">
        <v>597</v>
      </c>
      <c r="FN6" t="str">
        <f>"0.00324"</f>
        <v>0.00324</v>
      </c>
      <c r="FO6" t="s">
        <v>1003</v>
      </c>
      <c r="FP6" t="s">
        <v>1001</v>
      </c>
      <c r="FQ6" t="str">
        <f>"-0.00233"</f>
        <v>-0.00233</v>
      </c>
      <c r="FR6" t="s">
        <v>2836</v>
      </c>
      <c r="FS6" t="s">
        <v>791</v>
      </c>
      <c r="FT6" t="str">
        <f>"-0.0102*"</f>
        <v>-0.0102*</v>
      </c>
      <c r="FU6" t="s">
        <v>2837</v>
      </c>
      <c r="FV6" t="s">
        <v>1510</v>
      </c>
      <c r="FW6" t="str">
        <f>"-0.00139"</f>
        <v>-0.00139</v>
      </c>
      <c r="FX6" t="s">
        <v>2838</v>
      </c>
      <c r="FY6" t="s">
        <v>1004</v>
      </c>
      <c r="FZ6" t="str">
        <f>"0.0283***"</f>
        <v>0.0283***</v>
      </c>
      <c r="GA6" t="s">
        <v>2839</v>
      </c>
      <c r="GB6" t="s">
        <v>1384</v>
      </c>
      <c r="GC6" t="str">
        <f>"0.0128**"</f>
        <v>0.0128**</v>
      </c>
      <c r="GD6" t="s">
        <v>1469</v>
      </c>
      <c r="GE6" t="s">
        <v>2840</v>
      </c>
      <c r="GF6" t="str">
        <f>"-0.00830"</f>
        <v>-0.00830</v>
      </c>
      <c r="GG6" t="s">
        <v>1039</v>
      </c>
      <c r="GH6" t="s">
        <v>817</v>
      </c>
      <c r="GI6" t="str">
        <f>"-0.00410"</f>
        <v>-0.00410</v>
      </c>
      <c r="GJ6" t="s">
        <v>2841</v>
      </c>
      <c r="GK6" t="s">
        <v>605</v>
      </c>
      <c r="GL6" t="str">
        <f>"0.0425***"</f>
        <v>0.0425***</v>
      </c>
      <c r="GM6" t="s">
        <v>2842</v>
      </c>
      <c r="GN6" t="s">
        <v>488</v>
      </c>
      <c r="GO6" t="str">
        <f>"0.0322***"</f>
        <v>0.0322***</v>
      </c>
      <c r="GP6" t="s">
        <v>323</v>
      </c>
      <c r="GQ6" t="s">
        <v>2843</v>
      </c>
      <c r="GR6" t="str">
        <f>"0.0191***"</f>
        <v>0.0191***</v>
      </c>
      <c r="GS6" t="s">
        <v>1474</v>
      </c>
      <c r="GT6" t="s">
        <v>1950</v>
      </c>
      <c r="GU6" t="str">
        <f>"-0.0109*"</f>
        <v>-0.0109*</v>
      </c>
      <c r="GV6" t="s">
        <v>506</v>
      </c>
      <c r="GW6" t="s">
        <v>1507</v>
      </c>
      <c r="GX6" t="str">
        <f>"-0.0282***"</f>
        <v>-0.0282***</v>
      </c>
      <c r="GY6" t="s">
        <v>2844</v>
      </c>
      <c r="GZ6" t="s">
        <v>2845</v>
      </c>
      <c r="HA6" t="str">
        <f>"-0.0147**"</f>
        <v>-0.0147**</v>
      </c>
      <c r="HB6" t="s">
        <v>2846</v>
      </c>
      <c r="HC6" t="s">
        <v>2847</v>
      </c>
      <c r="HD6" t="str">
        <f>"0.00625"</f>
        <v>0.00625</v>
      </c>
      <c r="HE6" t="s">
        <v>1003</v>
      </c>
      <c r="HF6" t="s">
        <v>609</v>
      </c>
      <c r="HG6" t="str">
        <f>"0.0141*"</f>
        <v>0.0141*</v>
      </c>
      <c r="HH6" t="s">
        <v>1460</v>
      </c>
      <c r="HI6" t="s">
        <v>2848</v>
      </c>
      <c r="HJ6" t="str">
        <f>"0.00264"</f>
        <v>0.00264</v>
      </c>
      <c r="HK6" t="s">
        <v>641</v>
      </c>
      <c r="HL6" t="s">
        <v>1676</v>
      </c>
      <c r="HM6" t="str">
        <f>"0.0225***"</f>
        <v>0.0225***</v>
      </c>
      <c r="HN6" t="s">
        <v>2849</v>
      </c>
      <c r="HO6" t="s">
        <v>2850</v>
      </c>
      <c r="HP6" t="str">
        <f>"0.00768"</f>
        <v>0.00768</v>
      </c>
      <c r="HQ6" t="s">
        <v>1088</v>
      </c>
      <c r="HR6" t="s">
        <v>2851</v>
      </c>
      <c r="HS6" t="str">
        <f>"-0.0201***"</f>
        <v>-0.0201***</v>
      </c>
      <c r="HT6" t="s">
        <v>2852</v>
      </c>
      <c r="HU6" t="s">
        <v>1109</v>
      </c>
      <c r="HV6" t="str">
        <f>"0.0242***"</f>
        <v>0.0242***</v>
      </c>
      <c r="HW6" t="s">
        <v>1533</v>
      </c>
      <c r="HX6" t="s">
        <v>1044</v>
      </c>
      <c r="HY6" t="str">
        <f>"0.0252***"</f>
        <v>0.0252***</v>
      </c>
      <c r="HZ6" t="s">
        <v>1026</v>
      </c>
      <c r="IA6" t="s">
        <v>1164</v>
      </c>
      <c r="IB6" t="str">
        <f>"0.0459***"</f>
        <v>0.0459***</v>
      </c>
      <c r="IC6" t="s">
        <v>2853</v>
      </c>
      <c r="ID6" t="s">
        <v>1902</v>
      </c>
      <c r="IE6" t="str">
        <f>"0.0556***"</f>
        <v>0.0556***</v>
      </c>
      <c r="IF6" t="s">
        <v>2854</v>
      </c>
      <c r="IG6" t="s">
        <v>474</v>
      </c>
      <c r="IH6" t="str">
        <f>"0.0200**"</f>
        <v>0.0200**</v>
      </c>
      <c r="II6" t="s">
        <v>1058</v>
      </c>
      <c r="IJ6" t="s">
        <v>2855</v>
      </c>
      <c r="IK6" t="str">
        <f>"-0.0256***"</f>
        <v>-0.0256***</v>
      </c>
      <c r="IL6" t="s">
        <v>2856</v>
      </c>
      <c r="IM6" t="s">
        <v>835</v>
      </c>
      <c r="IN6" t="str">
        <f>"-0.00626"</f>
        <v>-0.00626</v>
      </c>
      <c r="IO6" t="s">
        <v>1389</v>
      </c>
      <c r="IP6" t="s">
        <v>581</v>
      </c>
      <c r="IQ6" t="str">
        <f>"0.00960"</f>
        <v>0.00960</v>
      </c>
      <c r="IR6" t="s">
        <v>2857</v>
      </c>
      <c r="IS6" t="s">
        <v>1523</v>
      </c>
      <c r="IT6" t="str">
        <f>"0.0126"</f>
        <v>0.0126</v>
      </c>
      <c r="IU6" t="s">
        <v>663</v>
      </c>
      <c r="IV6" t="s">
        <v>1651</v>
      </c>
      <c r="IW6" t="str">
        <f>"0.0155"</f>
        <v>0.0155</v>
      </c>
      <c r="IX6" t="s">
        <v>786</v>
      </c>
      <c r="IY6" t="s">
        <v>968</v>
      </c>
      <c r="IZ6" t="str">
        <f>"0.0475***"</f>
        <v>0.0475***</v>
      </c>
      <c r="JA6" t="s">
        <v>2858</v>
      </c>
      <c r="JB6" t="s">
        <v>1603</v>
      </c>
      <c r="JC6" t="str">
        <f>"0.00549"</f>
        <v>0.00549</v>
      </c>
      <c r="JD6" t="s">
        <v>349</v>
      </c>
      <c r="JE6" t="s">
        <v>1367</v>
      </c>
      <c r="JF6" t="str">
        <f>"0.00150"</f>
        <v>0.00150</v>
      </c>
      <c r="JG6" t="s">
        <v>2859</v>
      </c>
      <c r="JH6" t="s">
        <v>1125</v>
      </c>
      <c r="JI6" t="str">
        <f>"0.00655"</f>
        <v>0.00655</v>
      </c>
      <c r="JJ6" t="s">
        <v>2841</v>
      </c>
      <c r="JK6" t="s">
        <v>2860</v>
      </c>
      <c r="JL6" t="str">
        <f>"-0.0132"</f>
        <v>-0.0132</v>
      </c>
      <c r="JM6" t="s">
        <v>571</v>
      </c>
      <c r="JN6" t="s">
        <v>671</v>
      </c>
      <c r="JO6" t="str">
        <f>"-0.00859"</f>
        <v>-0.00859</v>
      </c>
      <c r="JP6" t="s">
        <v>1064</v>
      </c>
      <c r="JQ6" t="s">
        <v>649</v>
      </c>
      <c r="JR6" t="str">
        <f>"-0.00408"</f>
        <v>-0.00408</v>
      </c>
      <c r="JS6" t="s">
        <v>2861</v>
      </c>
      <c r="JT6" t="s">
        <v>999</v>
      </c>
      <c r="JU6" t="str">
        <f>"-0.00828"</f>
        <v>-0.00828</v>
      </c>
      <c r="JV6" t="s">
        <v>469</v>
      </c>
      <c r="JW6" t="s">
        <v>1669</v>
      </c>
      <c r="JX6" t="str">
        <f>"0.0123"</f>
        <v>0.0123</v>
      </c>
      <c r="JY6" t="s">
        <v>1725</v>
      </c>
      <c r="JZ6" t="s">
        <v>2862</v>
      </c>
      <c r="KA6" t="str">
        <f>"-0.00986"</f>
        <v>-0.00986</v>
      </c>
      <c r="KB6" t="s">
        <v>2863</v>
      </c>
      <c r="KC6" t="s">
        <v>645</v>
      </c>
      <c r="KD6" t="str">
        <f>"0.0309*"</f>
        <v>0.0309*</v>
      </c>
      <c r="KE6" t="s">
        <v>986</v>
      </c>
      <c r="KF6" t="s">
        <v>1899</v>
      </c>
      <c r="KG6" t="str">
        <f>"-0.00636"</f>
        <v>-0.00636</v>
      </c>
      <c r="KH6" t="s">
        <v>527</v>
      </c>
      <c r="KI6" t="s">
        <v>2864</v>
      </c>
      <c r="KJ6" t="str">
        <f>"-0.0176"</f>
        <v>-0.0176</v>
      </c>
      <c r="KK6" t="s">
        <v>2865</v>
      </c>
      <c r="KL6" t="s">
        <v>959</v>
      </c>
    </row>
    <row r="7" spans="1:298" x14ac:dyDescent="0.2">
      <c r="A7" t="str">
        <f>"explained"</f>
        <v>explained</v>
      </c>
      <c r="B7" t="str">
        <f>"0.0418***"</f>
        <v>0.0418***</v>
      </c>
      <c r="C7" t="s">
        <v>2866</v>
      </c>
      <c r="D7" t="s">
        <v>2867</v>
      </c>
      <c r="E7" t="str">
        <f>"0.0498***"</f>
        <v>0.0498***</v>
      </c>
      <c r="F7" t="s">
        <v>2868</v>
      </c>
      <c r="G7" t="s">
        <v>2869</v>
      </c>
      <c r="H7" t="str">
        <f>"0.0391***"</f>
        <v>0.0391***</v>
      </c>
      <c r="I7" t="s">
        <v>1639</v>
      </c>
      <c r="J7" t="s">
        <v>505</v>
      </c>
      <c r="K7" t="str">
        <f>"0.0373***"</f>
        <v>0.0373***</v>
      </c>
      <c r="L7" t="s">
        <v>1693</v>
      </c>
      <c r="M7" t="s">
        <v>1921</v>
      </c>
      <c r="N7" t="str">
        <f>"0.0298***"</f>
        <v>0.0298***</v>
      </c>
      <c r="O7" t="s">
        <v>1227</v>
      </c>
      <c r="P7" t="s">
        <v>1384</v>
      </c>
      <c r="Q7" t="str">
        <f>"0.0333***"</f>
        <v>0.0333***</v>
      </c>
      <c r="R7" t="s">
        <v>1684</v>
      </c>
      <c r="S7" t="s">
        <v>2870</v>
      </c>
      <c r="T7" t="str">
        <f>"0.0275***"</f>
        <v>0.0275***</v>
      </c>
      <c r="U7" t="s">
        <v>2813</v>
      </c>
      <c r="V7" t="s">
        <v>2871</v>
      </c>
      <c r="W7" t="str">
        <f>"0.0260***"</f>
        <v>0.0260***</v>
      </c>
      <c r="X7" t="s">
        <v>1662</v>
      </c>
      <c r="Y7" t="s">
        <v>1033</v>
      </c>
      <c r="Z7" t="str">
        <f>"0.0262***"</f>
        <v>0.0262***</v>
      </c>
      <c r="AA7" t="s">
        <v>758</v>
      </c>
      <c r="AB7" t="s">
        <v>1033</v>
      </c>
      <c r="AC7" t="str">
        <f>"0.0212***"</f>
        <v>0.0212***</v>
      </c>
      <c r="AD7" t="s">
        <v>1478</v>
      </c>
      <c r="AE7" t="s">
        <v>2872</v>
      </c>
      <c r="AF7" t="str">
        <f>"0.0189***"</f>
        <v>0.0189***</v>
      </c>
      <c r="AG7" t="s">
        <v>2873</v>
      </c>
      <c r="AH7" t="s">
        <v>744</v>
      </c>
      <c r="AI7" t="str">
        <f>"0.0162***"</f>
        <v>0.0162***</v>
      </c>
      <c r="AJ7" t="s">
        <v>1542</v>
      </c>
      <c r="AK7" t="s">
        <v>1520</v>
      </c>
      <c r="AL7" t="str">
        <f>"0.0160***"</f>
        <v>0.0160***</v>
      </c>
      <c r="AM7" t="s">
        <v>752</v>
      </c>
      <c r="AN7" t="s">
        <v>629</v>
      </c>
      <c r="AO7" t="str">
        <f>"0.0163***"</f>
        <v>0.0163***</v>
      </c>
      <c r="AP7" t="s">
        <v>1484</v>
      </c>
      <c r="AQ7" t="s">
        <v>2874</v>
      </c>
      <c r="AR7" t="str">
        <f>"0.0179***"</f>
        <v>0.0179***</v>
      </c>
      <c r="AS7" t="s">
        <v>1477</v>
      </c>
      <c r="AT7" t="s">
        <v>2875</v>
      </c>
      <c r="AU7" t="str">
        <f>"0.0178***"</f>
        <v>0.0178***</v>
      </c>
      <c r="AV7" t="s">
        <v>2876</v>
      </c>
      <c r="AW7" t="s">
        <v>995</v>
      </c>
      <c r="AX7" t="str">
        <f>"0.0181***"</f>
        <v>0.0181***</v>
      </c>
      <c r="AY7" t="s">
        <v>2835</v>
      </c>
      <c r="AZ7" t="s">
        <v>2875</v>
      </c>
      <c r="BA7" t="str">
        <f>"0.0194***"</f>
        <v>0.0194***</v>
      </c>
      <c r="BB7" t="s">
        <v>368</v>
      </c>
      <c r="BC7" t="s">
        <v>2877</v>
      </c>
      <c r="BD7" t="str">
        <f>"0.0212***"</f>
        <v>0.0212***</v>
      </c>
      <c r="BE7" t="s">
        <v>2878</v>
      </c>
      <c r="BF7" t="s">
        <v>559</v>
      </c>
      <c r="BG7" t="str">
        <f>"0.0226***"</f>
        <v>0.0226***</v>
      </c>
      <c r="BH7" t="s">
        <v>257</v>
      </c>
      <c r="BI7" t="s">
        <v>637</v>
      </c>
      <c r="BJ7" t="str">
        <f>"0.0232***"</f>
        <v>0.0232***</v>
      </c>
      <c r="BK7" t="s">
        <v>2879</v>
      </c>
      <c r="BL7" t="s">
        <v>2880</v>
      </c>
      <c r="BM7" t="str">
        <f>"0.0235***"</f>
        <v>0.0235***</v>
      </c>
      <c r="BN7" t="s">
        <v>2814</v>
      </c>
      <c r="BO7" t="s">
        <v>2860</v>
      </c>
      <c r="BP7" t="str">
        <f>"0.0236***"</f>
        <v>0.0236***</v>
      </c>
      <c r="BQ7" t="s">
        <v>2881</v>
      </c>
      <c r="BR7" t="s">
        <v>276</v>
      </c>
      <c r="BS7" t="str">
        <f>"0.0246***"</f>
        <v>0.0246***</v>
      </c>
      <c r="BT7" t="s">
        <v>768</v>
      </c>
      <c r="BU7" t="s">
        <v>784</v>
      </c>
      <c r="BV7" t="str">
        <f>"0.0264***"</f>
        <v>0.0264***</v>
      </c>
      <c r="BW7" t="s">
        <v>1654</v>
      </c>
      <c r="BX7" t="s">
        <v>544</v>
      </c>
      <c r="BY7" t="str">
        <f>"0.0276***"</f>
        <v>0.0276***</v>
      </c>
      <c r="BZ7" t="s">
        <v>1648</v>
      </c>
      <c r="CA7" t="s">
        <v>1647</v>
      </c>
      <c r="CB7" t="str">
        <f>"0.0282***"</f>
        <v>0.0282***</v>
      </c>
      <c r="CC7" t="s">
        <v>2882</v>
      </c>
      <c r="CD7" t="s">
        <v>2883</v>
      </c>
      <c r="CE7" t="str">
        <f>"0.0307***"</f>
        <v>0.0307***</v>
      </c>
      <c r="CF7" t="s">
        <v>1641</v>
      </c>
      <c r="CG7" t="s">
        <v>2884</v>
      </c>
      <c r="CH7" t="str">
        <f>"0.0322***"</f>
        <v>0.0322***</v>
      </c>
      <c r="CI7" t="s">
        <v>2885</v>
      </c>
      <c r="CJ7" t="s">
        <v>2886</v>
      </c>
      <c r="CK7" t="str">
        <f>"0.0339***"</f>
        <v>0.0339***</v>
      </c>
      <c r="CL7" t="s">
        <v>2887</v>
      </c>
      <c r="CM7" t="s">
        <v>2888</v>
      </c>
      <c r="CN7" t="str">
        <f>"0.0363***"</f>
        <v>0.0363***</v>
      </c>
      <c r="CO7" t="s">
        <v>1931</v>
      </c>
      <c r="CP7" t="s">
        <v>2889</v>
      </c>
      <c r="CQ7" t="str">
        <f>"0.0387***"</f>
        <v>0.0387***</v>
      </c>
      <c r="CR7" t="s">
        <v>1926</v>
      </c>
      <c r="CS7" t="s">
        <v>1193</v>
      </c>
      <c r="CT7" t="str">
        <f>"0.0430***"</f>
        <v>0.0430***</v>
      </c>
      <c r="CU7" t="s">
        <v>2890</v>
      </c>
      <c r="CV7" t="s">
        <v>1921</v>
      </c>
      <c r="CW7" t="str">
        <f>"0.0461***"</f>
        <v>0.0461***</v>
      </c>
      <c r="CX7" t="s">
        <v>2891</v>
      </c>
      <c r="CY7" t="s">
        <v>2892</v>
      </c>
      <c r="CZ7" t="str">
        <f>"0.0489***"</f>
        <v>0.0489***</v>
      </c>
      <c r="DA7" t="s">
        <v>1963</v>
      </c>
      <c r="DB7" t="s">
        <v>2893</v>
      </c>
      <c r="DC7" t="str">
        <f>"0.0508***"</f>
        <v>0.0508***</v>
      </c>
      <c r="DD7" t="s">
        <v>2894</v>
      </c>
      <c r="DE7" t="s">
        <v>1737</v>
      </c>
      <c r="DF7" t="str">
        <f>"0.0529***"</f>
        <v>0.0529***</v>
      </c>
      <c r="DG7" t="s">
        <v>1901</v>
      </c>
      <c r="DH7" t="s">
        <v>2895</v>
      </c>
      <c r="DI7" t="str">
        <f>"0.0549***"</f>
        <v>0.0549***</v>
      </c>
      <c r="DJ7" t="s">
        <v>1762</v>
      </c>
      <c r="DK7" t="s">
        <v>2896</v>
      </c>
      <c r="DL7" t="str">
        <f>"0.0545***"</f>
        <v>0.0545***</v>
      </c>
      <c r="DM7" t="s">
        <v>2897</v>
      </c>
      <c r="DN7" t="s">
        <v>2898</v>
      </c>
      <c r="DO7" t="str">
        <f>"0.0541***"</f>
        <v>0.0541***</v>
      </c>
      <c r="DP7" t="s">
        <v>2899</v>
      </c>
      <c r="DQ7" t="s">
        <v>2900</v>
      </c>
      <c r="DR7" t="str">
        <f>"0.0547***"</f>
        <v>0.0547***</v>
      </c>
      <c r="DS7" t="s">
        <v>1604</v>
      </c>
      <c r="DT7" t="s">
        <v>480</v>
      </c>
      <c r="DU7" t="str">
        <f>"0.0548***"</f>
        <v>0.0548***</v>
      </c>
      <c r="DV7" t="s">
        <v>1762</v>
      </c>
      <c r="DW7" t="s">
        <v>2901</v>
      </c>
      <c r="DX7" t="str">
        <f>"0.0563***"</f>
        <v>0.0563***</v>
      </c>
      <c r="DY7" t="s">
        <v>2902</v>
      </c>
      <c r="DZ7" t="s">
        <v>1748</v>
      </c>
      <c r="EA7" t="str">
        <f>"0.0563***"</f>
        <v>0.0563***</v>
      </c>
      <c r="EB7" t="s">
        <v>2902</v>
      </c>
      <c r="EC7" t="s">
        <v>1748</v>
      </c>
      <c r="ED7" t="str">
        <f>"0.0594***"</f>
        <v>0.0594***</v>
      </c>
      <c r="EE7" t="s">
        <v>2903</v>
      </c>
      <c r="EF7" t="s">
        <v>2904</v>
      </c>
      <c r="EG7" t="str">
        <f>"0.0625***"</f>
        <v>0.0625***</v>
      </c>
      <c r="EH7" t="s">
        <v>2905</v>
      </c>
      <c r="EI7" t="s">
        <v>2906</v>
      </c>
      <c r="EJ7" t="str">
        <f>"0.0664***"</f>
        <v>0.0664***</v>
      </c>
      <c r="EK7" t="s">
        <v>1794</v>
      </c>
      <c r="EL7" t="s">
        <v>2907</v>
      </c>
      <c r="EM7" t="str">
        <f>"0.0693***"</f>
        <v>0.0693***</v>
      </c>
      <c r="EN7" t="s">
        <v>2908</v>
      </c>
      <c r="EO7" t="s">
        <v>2909</v>
      </c>
      <c r="EP7" t="str">
        <f>"0.0722***"</f>
        <v>0.0722***</v>
      </c>
      <c r="EQ7" t="s">
        <v>2910</v>
      </c>
      <c r="ER7" t="s">
        <v>619</v>
      </c>
      <c r="ES7" t="str">
        <f>"0.0751***"</f>
        <v>0.0751***</v>
      </c>
      <c r="ET7" t="s">
        <v>1575</v>
      </c>
      <c r="EU7" t="s">
        <v>1847</v>
      </c>
      <c r="EV7" t="str">
        <f>"0.0759***"</f>
        <v>0.0759***</v>
      </c>
      <c r="EW7" t="s">
        <v>2911</v>
      </c>
      <c r="EX7" t="s">
        <v>1211</v>
      </c>
      <c r="EY7" t="str">
        <f>"0.0761***"</f>
        <v>0.0761***</v>
      </c>
      <c r="EZ7" t="s">
        <v>2912</v>
      </c>
      <c r="FA7" t="s">
        <v>2913</v>
      </c>
      <c r="FB7" t="str">
        <f>"0.0765***"</f>
        <v>0.0765***</v>
      </c>
      <c r="FC7" t="s">
        <v>2914</v>
      </c>
      <c r="FD7" t="s">
        <v>2915</v>
      </c>
      <c r="FE7" t="str">
        <f>"0.0771***"</f>
        <v>0.0771***</v>
      </c>
      <c r="FF7" t="s">
        <v>1855</v>
      </c>
      <c r="FG7" t="s">
        <v>2916</v>
      </c>
      <c r="FH7" t="str">
        <f>"0.0793***"</f>
        <v>0.0793***</v>
      </c>
      <c r="FI7" t="s">
        <v>2917</v>
      </c>
      <c r="FJ7" t="s">
        <v>2918</v>
      </c>
      <c r="FK7" t="str">
        <f>"0.0798***"</f>
        <v>0.0798***</v>
      </c>
      <c r="FL7" t="s">
        <v>2919</v>
      </c>
      <c r="FM7" t="s">
        <v>2920</v>
      </c>
      <c r="FN7" t="str">
        <f>"0.0812***"</f>
        <v>0.0812***</v>
      </c>
      <c r="FO7" t="s">
        <v>1771</v>
      </c>
      <c r="FP7" t="s">
        <v>2921</v>
      </c>
      <c r="FQ7" t="str">
        <f>"0.0844***"</f>
        <v>0.0844***</v>
      </c>
      <c r="FR7" t="s">
        <v>2922</v>
      </c>
      <c r="FS7" t="s">
        <v>278</v>
      </c>
      <c r="FT7" t="str">
        <f>"0.0869***"</f>
        <v>0.0869***</v>
      </c>
      <c r="FU7" t="s">
        <v>2923</v>
      </c>
      <c r="FV7" t="s">
        <v>2924</v>
      </c>
      <c r="FW7" t="str">
        <f>"0.0886***"</f>
        <v>0.0886***</v>
      </c>
      <c r="FX7" t="s">
        <v>1798</v>
      </c>
      <c r="FY7" t="s">
        <v>468</v>
      </c>
      <c r="FZ7" t="str">
        <f>"0.0899***"</f>
        <v>0.0899***</v>
      </c>
      <c r="GA7" t="s">
        <v>1857</v>
      </c>
      <c r="GB7" t="s">
        <v>2925</v>
      </c>
      <c r="GC7" t="str">
        <f>"0.0920***"</f>
        <v>0.0920***</v>
      </c>
      <c r="GD7" t="s">
        <v>1773</v>
      </c>
      <c r="GE7" t="s">
        <v>1999</v>
      </c>
      <c r="GF7" t="str">
        <f>"0.0933***"</f>
        <v>0.0933***</v>
      </c>
      <c r="GG7" t="s">
        <v>2926</v>
      </c>
      <c r="GH7" t="s">
        <v>2927</v>
      </c>
      <c r="GI7" t="str">
        <f>"0.0935***"</f>
        <v>0.0935***</v>
      </c>
      <c r="GJ7" t="s">
        <v>2928</v>
      </c>
      <c r="GK7" t="s">
        <v>2929</v>
      </c>
      <c r="GL7" t="str">
        <f>"0.0931***"</f>
        <v>0.0931***</v>
      </c>
      <c r="GM7" t="s">
        <v>2930</v>
      </c>
      <c r="GN7" t="s">
        <v>2931</v>
      </c>
      <c r="GO7" t="str">
        <f>"0.0937***"</f>
        <v>0.0937***</v>
      </c>
      <c r="GP7" t="s">
        <v>2932</v>
      </c>
      <c r="GQ7" t="s">
        <v>2933</v>
      </c>
      <c r="GR7" t="str">
        <f>"0.0947***"</f>
        <v>0.0947***</v>
      </c>
      <c r="GS7" t="s">
        <v>2934</v>
      </c>
      <c r="GT7" t="s">
        <v>2935</v>
      </c>
      <c r="GU7" t="str">
        <f>"0.0998***"</f>
        <v>0.0998***</v>
      </c>
      <c r="GV7" t="s">
        <v>2936</v>
      </c>
      <c r="GW7" t="s">
        <v>2937</v>
      </c>
      <c r="GX7" t="str">
        <f>"0.103***"</f>
        <v>0.103***</v>
      </c>
      <c r="GY7" t="s">
        <v>2074</v>
      </c>
      <c r="GZ7" t="s">
        <v>2938</v>
      </c>
      <c r="HA7" t="str">
        <f>"0.110***"</f>
        <v>0.110***</v>
      </c>
      <c r="HB7" t="s">
        <v>2939</v>
      </c>
      <c r="HC7" t="s">
        <v>2940</v>
      </c>
      <c r="HD7" t="str">
        <f>"0.114***"</f>
        <v>0.114***</v>
      </c>
      <c r="HE7" t="s">
        <v>2076</v>
      </c>
      <c r="HF7" t="s">
        <v>2062</v>
      </c>
      <c r="HG7" t="str">
        <f>"0.124***"</f>
        <v>0.124***</v>
      </c>
      <c r="HH7" t="s">
        <v>2941</v>
      </c>
      <c r="HI7" t="s">
        <v>2942</v>
      </c>
      <c r="HJ7" t="str">
        <f>"0.127***"</f>
        <v>0.127***</v>
      </c>
      <c r="HK7" t="s">
        <v>2943</v>
      </c>
      <c r="HL7" t="s">
        <v>2944</v>
      </c>
      <c r="HM7" t="str">
        <f>"0.126***"</f>
        <v>0.126***</v>
      </c>
      <c r="HN7" t="s">
        <v>2945</v>
      </c>
      <c r="HO7" t="s">
        <v>320</v>
      </c>
      <c r="HP7" t="str">
        <f>"0.116***"</f>
        <v>0.116***</v>
      </c>
      <c r="HQ7" t="s">
        <v>2946</v>
      </c>
      <c r="HR7" t="s">
        <v>2947</v>
      </c>
      <c r="HS7" t="str">
        <f>"0.113***"</f>
        <v>0.113***</v>
      </c>
      <c r="HT7" t="s">
        <v>2948</v>
      </c>
      <c r="HU7" t="s">
        <v>2949</v>
      </c>
      <c r="HV7" t="str">
        <f>"0.111***"</f>
        <v>0.111***</v>
      </c>
      <c r="HW7" t="s">
        <v>2950</v>
      </c>
      <c r="HX7" t="s">
        <v>2951</v>
      </c>
      <c r="HY7" t="str">
        <f>"0.111***"</f>
        <v>0.111***</v>
      </c>
      <c r="HZ7" t="s">
        <v>2950</v>
      </c>
      <c r="IA7" t="s">
        <v>2951</v>
      </c>
      <c r="IB7" t="str">
        <f>"0.117***"</f>
        <v>0.117***</v>
      </c>
      <c r="IC7" t="s">
        <v>2952</v>
      </c>
      <c r="ID7" t="s">
        <v>2053</v>
      </c>
      <c r="IE7" t="str">
        <f>"0.147***"</f>
        <v>0.147***</v>
      </c>
      <c r="IF7" t="s">
        <v>2953</v>
      </c>
      <c r="IG7" t="s">
        <v>2954</v>
      </c>
      <c r="IH7" t="str">
        <f>"0.159***"</f>
        <v>0.159***</v>
      </c>
      <c r="II7" t="s">
        <v>2955</v>
      </c>
      <c r="IJ7" t="s">
        <v>2956</v>
      </c>
      <c r="IK7" t="str">
        <f>"0.154***"</f>
        <v>0.154***</v>
      </c>
      <c r="IL7" t="s">
        <v>2957</v>
      </c>
      <c r="IM7" t="s">
        <v>2958</v>
      </c>
      <c r="IN7" t="str">
        <f>"0.148***"</f>
        <v>0.148***</v>
      </c>
      <c r="IO7" t="s">
        <v>2959</v>
      </c>
      <c r="IP7" t="s">
        <v>2960</v>
      </c>
      <c r="IQ7" t="str">
        <f>"0.148***"</f>
        <v>0.148***</v>
      </c>
      <c r="IR7" t="s">
        <v>1830</v>
      </c>
      <c r="IS7" t="s">
        <v>2960</v>
      </c>
      <c r="IT7" t="str">
        <f>"0.152***"</f>
        <v>0.152***</v>
      </c>
      <c r="IU7" t="s">
        <v>2961</v>
      </c>
      <c r="IV7" t="s">
        <v>2962</v>
      </c>
      <c r="IW7" t="str">
        <f>"0.146***"</f>
        <v>0.146***</v>
      </c>
      <c r="IX7" t="s">
        <v>2963</v>
      </c>
      <c r="IY7" t="s">
        <v>2964</v>
      </c>
      <c r="IZ7" t="str">
        <f>"0.140***"</f>
        <v>0.140***</v>
      </c>
      <c r="JA7" t="s">
        <v>2965</v>
      </c>
      <c r="JB7" t="s">
        <v>2966</v>
      </c>
      <c r="JC7" t="str">
        <f>"0.144***"</f>
        <v>0.144***</v>
      </c>
      <c r="JD7" t="s">
        <v>2967</v>
      </c>
      <c r="JE7" t="s">
        <v>2968</v>
      </c>
      <c r="JF7" t="str">
        <f>"0.167***"</f>
        <v>0.167***</v>
      </c>
      <c r="JG7" t="s">
        <v>2969</v>
      </c>
      <c r="JH7" t="s">
        <v>2970</v>
      </c>
      <c r="JI7" t="str">
        <f>"0.168***"</f>
        <v>0.168***</v>
      </c>
      <c r="JJ7" t="s">
        <v>2971</v>
      </c>
      <c r="JK7" t="s">
        <v>2972</v>
      </c>
      <c r="JL7" t="str">
        <f>"0.142***"</f>
        <v>0.142***</v>
      </c>
      <c r="JM7" t="s">
        <v>2973</v>
      </c>
      <c r="JN7" t="s">
        <v>2974</v>
      </c>
      <c r="JO7" t="str">
        <f>"0.131***"</f>
        <v>0.131***</v>
      </c>
      <c r="JP7" t="s">
        <v>2975</v>
      </c>
      <c r="JQ7" t="s">
        <v>2079</v>
      </c>
      <c r="JR7" t="str">
        <f>"0.167***"</f>
        <v>0.167***</v>
      </c>
      <c r="JS7" t="s">
        <v>2976</v>
      </c>
      <c r="JT7" t="s">
        <v>2977</v>
      </c>
      <c r="JU7" t="str">
        <f>"0.136***"</f>
        <v>0.136***</v>
      </c>
      <c r="JV7" t="s">
        <v>2978</v>
      </c>
      <c r="JW7" t="s">
        <v>2979</v>
      </c>
      <c r="JX7" t="str">
        <f>"0.160***"</f>
        <v>0.160***</v>
      </c>
      <c r="JY7" t="s">
        <v>2980</v>
      </c>
      <c r="JZ7" t="s">
        <v>2981</v>
      </c>
      <c r="KA7" t="str">
        <f>"0.160***"</f>
        <v>0.160***</v>
      </c>
      <c r="KB7" t="s">
        <v>2982</v>
      </c>
      <c r="KC7" t="s">
        <v>2983</v>
      </c>
      <c r="KD7" t="str">
        <f>"0.148***"</f>
        <v>0.148***</v>
      </c>
      <c r="KE7" t="s">
        <v>2984</v>
      </c>
      <c r="KF7" t="s">
        <v>2985</v>
      </c>
      <c r="KG7" t="str">
        <f>"0.152***"</f>
        <v>0.152***</v>
      </c>
      <c r="KH7" t="s">
        <v>2986</v>
      </c>
      <c r="KI7" t="s">
        <v>1831</v>
      </c>
      <c r="KJ7" t="str">
        <f>"0.149***"</f>
        <v>0.149***</v>
      </c>
      <c r="KK7" t="s">
        <v>2987</v>
      </c>
      <c r="KL7" t="s">
        <v>1827</v>
      </c>
    </row>
    <row r="8" spans="1:298" x14ac:dyDescent="0.2">
      <c r="A8" t="str">
        <f>"unexplained"</f>
        <v>unexplained</v>
      </c>
      <c r="B8" t="str">
        <f>"-0.0511***"</f>
        <v>-0.0511***</v>
      </c>
      <c r="C8" t="s">
        <v>2988</v>
      </c>
      <c r="D8" t="s">
        <v>1345</v>
      </c>
      <c r="E8" t="str">
        <f>"-0.114***"</f>
        <v>-0.114***</v>
      </c>
      <c r="F8" t="s">
        <v>2989</v>
      </c>
      <c r="G8" t="s">
        <v>2990</v>
      </c>
      <c r="H8" t="str">
        <f>"-0.139***"</f>
        <v>-0.139***</v>
      </c>
      <c r="I8" t="s">
        <v>2991</v>
      </c>
      <c r="J8" t="s">
        <v>2992</v>
      </c>
      <c r="K8" t="str">
        <f>"-0.110***"</f>
        <v>-0.110***</v>
      </c>
      <c r="L8" t="s">
        <v>2993</v>
      </c>
      <c r="M8" t="s">
        <v>2994</v>
      </c>
      <c r="N8" t="str">
        <f>"-0.163***"</f>
        <v>-0.163***</v>
      </c>
      <c r="O8" t="s">
        <v>2995</v>
      </c>
      <c r="P8" t="s">
        <v>2996</v>
      </c>
      <c r="Q8" t="str">
        <f>"-0.110***"</f>
        <v>-0.110***</v>
      </c>
      <c r="R8" t="s">
        <v>2997</v>
      </c>
      <c r="S8" t="s">
        <v>2998</v>
      </c>
      <c r="T8" t="str">
        <f>"-0.145***"</f>
        <v>-0.145***</v>
      </c>
      <c r="U8" t="s">
        <v>2999</v>
      </c>
      <c r="V8" t="s">
        <v>3000</v>
      </c>
      <c r="W8" t="str">
        <f>"-0.100***"</f>
        <v>-0.100***</v>
      </c>
      <c r="X8" t="s">
        <v>3001</v>
      </c>
      <c r="Y8" t="s">
        <v>3002</v>
      </c>
      <c r="Z8" t="str">
        <f>"-0.0766***"</f>
        <v>-0.0766***</v>
      </c>
      <c r="AA8" t="s">
        <v>3003</v>
      </c>
      <c r="AB8" t="s">
        <v>3004</v>
      </c>
      <c r="AC8" t="str">
        <f>"-0.107***"</f>
        <v>-0.107***</v>
      </c>
      <c r="AD8" t="s">
        <v>1413</v>
      </c>
      <c r="AE8" t="s">
        <v>3005</v>
      </c>
      <c r="AF8" t="str">
        <f>"-0.0734***"</f>
        <v>-0.0734***</v>
      </c>
      <c r="AG8" t="s">
        <v>3006</v>
      </c>
      <c r="AH8" t="s">
        <v>1414</v>
      </c>
      <c r="AI8" t="str">
        <f>"-0.0350***"</f>
        <v>-0.0350***</v>
      </c>
      <c r="AJ8" t="s">
        <v>3007</v>
      </c>
      <c r="AK8" t="s">
        <v>1723</v>
      </c>
      <c r="AL8" t="str">
        <f>"-0.0548***"</f>
        <v>-0.0548***</v>
      </c>
      <c r="AM8" t="s">
        <v>3008</v>
      </c>
      <c r="AN8" t="s">
        <v>3009</v>
      </c>
      <c r="AO8" t="str">
        <f>"-0.0405***"</f>
        <v>-0.0405***</v>
      </c>
      <c r="AP8" t="s">
        <v>3010</v>
      </c>
      <c r="AQ8" t="s">
        <v>3011</v>
      </c>
      <c r="AR8" t="str">
        <f>"-0.0187***"</f>
        <v>-0.0187***</v>
      </c>
      <c r="AS8" t="s">
        <v>1162</v>
      </c>
      <c r="AT8" t="s">
        <v>1242</v>
      </c>
      <c r="AU8" t="str">
        <f>"-0.0146***"</f>
        <v>-0.0146***</v>
      </c>
      <c r="AV8" t="s">
        <v>504</v>
      </c>
      <c r="AW8" t="s">
        <v>3012</v>
      </c>
      <c r="AX8" t="str">
        <f>"-0.00839***"</f>
        <v>-0.00839***</v>
      </c>
      <c r="AY8" t="s">
        <v>3013</v>
      </c>
      <c r="AZ8" t="s">
        <v>825</v>
      </c>
      <c r="BA8" t="str">
        <f>"-0.0106***"</f>
        <v>-0.0106***</v>
      </c>
      <c r="BB8" t="s">
        <v>1233</v>
      </c>
      <c r="BC8" t="s">
        <v>1101</v>
      </c>
      <c r="BD8" t="str">
        <f>"0.00387"</f>
        <v>0.00387</v>
      </c>
      <c r="BE8" t="s">
        <v>347</v>
      </c>
      <c r="BF8" t="s">
        <v>581</v>
      </c>
      <c r="BG8" t="str">
        <f>"-0.00108"</f>
        <v>-0.00108</v>
      </c>
      <c r="BH8" t="s">
        <v>1002</v>
      </c>
      <c r="BI8" t="s">
        <v>692</v>
      </c>
      <c r="BJ8" t="str">
        <f>"-0.0165***"</f>
        <v>-0.0165***</v>
      </c>
      <c r="BK8" t="s">
        <v>1389</v>
      </c>
      <c r="BL8" t="s">
        <v>1091</v>
      </c>
      <c r="BM8" t="str">
        <f>"0.00197"</f>
        <v>0.00197</v>
      </c>
      <c r="BN8" t="s">
        <v>652</v>
      </c>
      <c r="BO8" t="s">
        <v>592</v>
      </c>
      <c r="BP8" t="str">
        <f>"-0.0161***"</f>
        <v>-0.0161***</v>
      </c>
      <c r="BQ8" t="s">
        <v>1055</v>
      </c>
      <c r="BR8" t="s">
        <v>1091</v>
      </c>
      <c r="BS8" t="str">
        <f>"-0.0298***"</f>
        <v>-0.0298***</v>
      </c>
      <c r="BT8" t="s">
        <v>3014</v>
      </c>
      <c r="BU8" t="s">
        <v>3015</v>
      </c>
      <c r="BV8" t="str">
        <f>"-0.0272***"</f>
        <v>-0.0272***</v>
      </c>
      <c r="BW8" t="s">
        <v>3016</v>
      </c>
      <c r="BX8" t="s">
        <v>3017</v>
      </c>
      <c r="BY8" t="str">
        <f>"-0.0343***"</f>
        <v>-0.0343***</v>
      </c>
      <c r="BZ8" t="s">
        <v>3018</v>
      </c>
      <c r="CA8" t="s">
        <v>1400</v>
      </c>
      <c r="CB8" t="str">
        <f>"-0.0119***"</f>
        <v>-0.0119***</v>
      </c>
      <c r="CC8" t="s">
        <v>1725</v>
      </c>
      <c r="CD8" t="s">
        <v>1198</v>
      </c>
      <c r="CE8" t="str">
        <f>"-0.0138***"</f>
        <v>-0.0138***</v>
      </c>
      <c r="CF8" t="s">
        <v>3019</v>
      </c>
      <c r="CG8" t="s">
        <v>3020</v>
      </c>
      <c r="CH8" t="str">
        <f>"-0.0182***"</f>
        <v>-0.0182***</v>
      </c>
      <c r="CI8" t="s">
        <v>3021</v>
      </c>
      <c r="CJ8" t="s">
        <v>1307</v>
      </c>
      <c r="CK8" t="str">
        <f>"-0.0266***"</f>
        <v>-0.0266***</v>
      </c>
      <c r="CL8" t="s">
        <v>580</v>
      </c>
      <c r="CM8" t="s">
        <v>3022</v>
      </c>
      <c r="CN8" t="str">
        <f>"-0.0171***"</f>
        <v>-0.0171***</v>
      </c>
      <c r="CO8" t="s">
        <v>3023</v>
      </c>
      <c r="CP8" t="s">
        <v>1237</v>
      </c>
      <c r="CQ8" t="str">
        <f>"-0.0269***"</f>
        <v>-0.0269***</v>
      </c>
      <c r="CR8" t="s">
        <v>1975</v>
      </c>
      <c r="CS8" t="s">
        <v>3024</v>
      </c>
      <c r="CT8" t="str">
        <f>"-0.0511***"</f>
        <v>-0.0511***</v>
      </c>
      <c r="CU8" t="s">
        <v>3025</v>
      </c>
      <c r="CV8" t="s">
        <v>3026</v>
      </c>
      <c r="CW8" t="str">
        <f>"-0.0582***"</f>
        <v>-0.0582***</v>
      </c>
      <c r="CX8" t="s">
        <v>3027</v>
      </c>
      <c r="CY8" t="s">
        <v>3028</v>
      </c>
      <c r="CZ8" t="str">
        <f>"-0.0363***"</f>
        <v>-0.0363***</v>
      </c>
      <c r="DA8" t="s">
        <v>3029</v>
      </c>
      <c r="DB8" t="s">
        <v>3030</v>
      </c>
      <c r="DC8" t="str">
        <f>"-0.0336***"</f>
        <v>-0.0336***</v>
      </c>
      <c r="DD8" t="s">
        <v>2856</v>
      </c>
      <c r="DE8" t="s">
        <v>860</v>
      </c>
      <c r="DF8" t="str">
        <f>"-0.0316***"</f>
        <v>-0.0316***</v>
      </c>
      <c r="DG8" t="s">
        <v>479</v>
      </c>
      <c r="DH8" t="s">
        <v>3031</v>
      </c>
      <c r="DI8" t="str">
        <f>"-0.0463***"</f>
        <v>-0.0463***</v>
      </c>
      <c r="DJ8" t="s">
        <v>1394</v>
      </c>
      <c r="DK8" t="s">
        <v>3032</v>
      </c>
      <c r="DL8" t="str">
        <f>"-0.0712***"</f>
        <v>-0.0712***</v>
      </c>
      <c r="DM8" t="s">
        <v>626</v>
      </c>
      <c r="DN8" t="s">
        <v>3033</v>
      </c>
      <c r="DO8" t="str">
        <f>"-0.0823***"</f>
        <v>-0.0823***</v>
      </c>
      <c r="DP8" t="s">
        <v>3034</v>
      </c>
      <c r="DQ8" t="s">
        <v>3035</v>
      </c>
      <c r="DR8" t="str">
        <f>"-0.0670***"</f>
        <v>-0.0670***</v>
      </c>
      <c r="DS8" t="s">
        <v>3036</v>
      </c>
      <c r="DT8" t="s">
        <v>3037</v>
      </c>
      <c r="DU8" t="str">
        <f>"-0.0559***"</f>
        <v>-0.0559***</v>
      </c>
      <c r="DV8" t="s">
        <v>3038</v>
      </c>
      <c r="DW8" t="s">
        <v>3039</v>
      </c>
      <c r="DX8" t="str">
        <f>"-0.0493***"</f>
        <v>-0.0493***</v>
      </c>
      <c r="DY8" t="s">
        <v>3040</v>
      </c>
      <c r="DZ8" t="s">
        <v>3041</v>
      </c>
      <c r="EA8" t="str">
        <f>"-0.0398***"</f>
        <v>-0.0398***</v>
      </c>
      <c r="EB8" t="s">
        <v>3042</v>
      </c>
      <c r="EC8" t="s">
        <v>3043</v>
      </c>
      <c r="ED8" t="str">
        <f>"-0.0346***"</f>
        <v>-0.0346***</v>
      </c>
      <c r="EE8" t="s">
        <v>3044</v>
      </c>
      <c r="EF8" t="s">
        <v>3045</v>
      </c>
      <c r="EG8" t="str">
        <f>"-0.0448***"</f>
        <v>-0.0448***</v>
      </c>
      <c r="EH8" t="s">
        <v>3046</v>
      </c>
      <c r="EI8" t="s">
        <v>871</v>
      </c>
      <c r="EJ8" t="str">
        <f>"-0.0714***"</f>
        <v>-0.0714***</v>
      </c>
      <c r="EK8" t="s">
        <v>3047</v>
      </c>
      <c r="EL8" t="s">
        <v>3048</v>
      </c>
      <c r="EM8" t="str">
        <f>"-0.0670***"</f>
        <v>-0.0670***</v>
      </c>
      <c r="EN8" t="s">
        <v>3049</v>
      </c>
      <c r="EO8" t="s">
        <v>3050</v>
      </c>
      <c r="EP8" t="str">
        <f>"-0.0714***"</f>
        <v>-0.0714***</v>
      </c>
      <c r="EQ8" t="s">
        <v>3051</v>
      </c>
      <c r="ER8" t="s">
        <v>3052</v>
      </c>
      <c r="ES8" t="str">
        <f>"-0.0624***"</f>
        <v>-0.0624***</v>
      </c>
      <c r="ET8" t="s">
        <v>3053</v>
      </c>
      <c r="EU8" t="s">
        <v>3054</v>
      </c>
      <c r="EV8" t="str">
        <f>"-0.0701***"</f>
        <v>-0.0701***</v>
      </c>
      <c r="EW8" t="s">
        <v>3055</v>
      </c>
      <c r="EX8" t="s">
        <v>3056</v>
      </c>
      <c r="EY8" t="str">
        <f>"-0.0815***"</f>
        <v>-0.0815***</v>
      </c>
      <c r="EZ8" t="s">
        <v>3034</v>
      </c>
      <c r="FA8" t="s">
        <v>3057</v>
      </c>
      <c r="FB8" t="str">
        <f>"-0.0946***"</f>
        <v>-0.0946***</v>
      </c>
      <c r="FC8" t="s">
        <v>3058</v>
      </c>
      <c r="FD8" t="s">
        <v>2990</v>
      </c>
      <c r="FE8" t="str">
        <f>"-0.0951***"</f>
        <v>-0.0951***</v>
      </c>
      <c r="FF8" t="s">
        <v>3059</v>
      </c>
      <c r="FG8" t="s">
        <v>3060</v>
      </c>
      <c r="FH8" t="str">
        <f>"-0.0558***"</f>
        <v>-0.0558***</v>
      </c>
      <c r="FI8" t="s">
        <v>3061</v>
      </c>
      <c r="FJ8" t="s">
        <v>3062</v>
      </c>
      <c r="FK8" t="str">
        <f>"-0.0794***"</f>
        <v>-0.0794***</v>
      </c>
      <c r="FL8" t="s">
        <v>3063</v>
      </c>
      <c r="FM8" t="s">
        <v>3064</v>
      </c>
      <c r="FN8" t="str">
        <f>"-0.0780***"</f>
        <v>-0.0780***</v>
      </c>
      <c r="FO8" t="s">
        <v>1326</v>
      </c>
      <c r="FP8" t="s">
        <v>3065</v>
      </c>
      <c r="FQ8" t="str">
        <f>"-0.0867***"</f>
        <v>-0.0867***</v>
      </c>
      <c r="FR8" t="s">
        <v>3066</v>
      </c>
      <c r="FS8" t="s">
        <v>3067</v>
      </c>
      <c r="FT8" t="str">
        <f>"-0.0972***"</f>
        <v>-0.0972***</v>
      </c>
      <c r="FU8" t="s">
        <v>3068</v>
      </c>
      <c r="FV8" t="s">
        <v>3069</v>
      </c>
      <c r="FW8" t="str">
        <f>"-0.0900***"</f>
        <v>-0.0900***</v>
      </c>
      <c r="FX8" t="s">
        <v>3070</v>
      </c>
      <c r="FY8" t="s">
        <v>3071</v>
      </c>
      <c r="FZ8" t="str">
        <f>"-0.0615***"</f>
        <v>-0.0615***</v>
      </c>
      <c r="GA8" t="s">
        <v>602</v>
      </c>
      <c r="GB8" t="s">
        <v>2794</v>
      </c>
      <c r="GC8" t="str">
        <f>"-0.0792***"</f>
        <v>-0.0792***</v>
      </c>
      <c r="GD8" t="s">
        <v>3072</v>
      </c>
      <c r="GE8" t="s">
        <v>1341</v>
      </c>
      <c r="GF8" t="str">
        <f>"-0.102***"</f>
        <v>-0.102***</v>
      </c>
      <c r="GG8" t="s">
        <v>3073</v>
      </c>
      <c r="GH8" t="s">
        <v>2998</v>
      </c>
      <c r="GI8" t="str">
        <f>"-0.0976***"</f>
        <v>-0.0976***</v>
      </c>
      <c r="GJ8" t="s">
        <v>3074</v>
      </c>
      <c r="GK8" t="s">
        <v>3075</v>
      </c>
      <c r="GL8" t="str">
        <f>"-0.0506***"</f>
        <v>-0.0506***</v>
      </c>
      <c r="GM8" t="s">
        <v>3076</v>
      </c>
      <c r="GN8" t="s">
        <v>3077</v>
      </c>
      <c r="GO8" t="str">
        <f>"-0.0615***"</f>
        <v>-0.0615***</v>
      </c>
      <c r="GP8" t="s">
        <v>3053</v>
      </c>
      <c r="GQ8" t="s">
        <v>3078</v>
      </c>
      <c r="GR8" t="str">
        <f>"-0.0756***"</f>
        <v>-0.0756***</v>
      </c>
      <c r="GS8" t="s">
        <v>3079</v>
      </c>
      <c r="GT8" t="s">
        <v>3080</v>
      </c>
      <c r="GU8" t="str">
        <f>"-0.111***"</f>
        <v>-0.111***</v>
      </c>
      <c r="GV8" t="s">
        <v>3081</v>
      </c>
      <c r="GW8" t="s">
        <v>3082</v>
      </c>
      <c r="GX8" t="str">
        <f>"-0.131***"</f>
        <v>-0.131***</v>
      </c>
      <c r="GY8" t="s">
        <v>3083</v>
      </c>
      <c r="GZ8" t="s">
        <v>3084</v>
      </c>
      <c r="HA8" t="str">
        <f>"-0.125***"</f>
        <v>-0.125***</v>
      </c>
      <c r="HB8" t="s">
        <v>3085</v>
      </c>
      <c r="HC8" t="s">
        <v>3086</v>
      </c>
      <c r="HD8" t="str">
        <f>"-0.108***"</f>
        <v>-0.108***</v>
      </c>
      <c r="HE8" t="s">
        <v>1701</v>
      </c>
      <c r="HF8" t="s">
        <v>3087</v>
      </c>
      <c r="HG8" t="str">
        <f>"-0.110***"</f>
        <v>-0.110***</v>
      </c>
      <c r="HH8" t="s">
        <v>3088</v>
      </c>
      <c r="HI8" t="s">
        <v>3089</v>
      </c>
      <c r="HJ8" t="str">
        <f>"-0.124***"</f>
        <v>-0.124***</v>
      </c>
      <c r="HK8" t="s">
        <v>3090</v>
      </c>
      <c r="HL8" t="s">
        <v>3091</v>
      </c>
      <c r="HM8" t="str">
        <f>"-0.103***"</f>
        <v>-0.103***</v>
      </c>
      <c r="HN8" t="s">
        <v>3092</v>
      </c>
      <c r="HO8" t="s">
        <v>3093</v>
      </c>
      <c r="HP8" t="str">
        <f>"-0.109***"</f>
        <v>-0.109***</v>
      </c>
      <c r="HQ8" t="s">
        <v>3094</v>
      </c>
      <c r="HR8" t="s">
        <v>3095</v>
      </c>
      <c r="HS8" t="str">
        <f>"-0.133***"</f>
        <v>-0.133***</v>
      </c>
      <c r="HT8" t="s">
        <v>1356</v>
      </c>
      <c r="HU8" t="s">
        <v>3096</v>
      </c>
      <c r="HV8" t="str">
        <f>"-0.0870***"</f>
        <v>-0.0870***</v>
      </c>
      <c r="HW8" t="s">
        <v>606</v>
      </c>
      <c r="HX8" t="s">
        <v>3097</v>
      </c>
      <c r="HY8" t="str">
        <f>"-0.0859***"</f>
        <v>-0.0859***</v>
      </c>
      <c r="HZ8" t="s">
        <v>265</v>
      </c>
      <c r="IA8" t="s">
        <v>3098</v>
      </c>
      <c r="IB8" t="str">
        <f>"-0.0710***"</f>
        <v>-0.0710***</v>
      </c>
      <c r="IC8" t="s">
        <v>3099</v>
      </c>
      <c r="ID8" t="s">
        <v>3100</v>
      </c>
      <c r="IE8" t="str">
        <f>"-0.0912***"</f>
        <v>-0.0912***</v>
      </c>
      <c r="IF8" t="s">
        <v>1405</v>
      </c>
      <c r="IG8" t="s">
        <v>3101</v>
      </c>
      <c r="IH8" t="str">
        <f>"-0.139***"</f>
        <v>-0.139***</v>
      </c>
      <c r="II8" t="s">
        <v>3102</v>
      </c>
      <c r="IJ8" t="s">
        <v>3103</v>
      </c>
      <c r="IK8" t="str">
        <f>"-0.180***"</f>
        <v>-0.180***</v>
      </c>
      <c r="IL8" t="s">
        <v>3104</v>
      </c>
      <c r="IM8" t="s">
        <v>3105</v>
      </c>
      <c r="IN8" t="str">
        <f>"-0.154***"</f>
        <v>-0.154***</v>
      </c>
      <c r="IO8" t="s">
        <v>3106</v>
      </c>
      <c r="IP8" t="s">
        <v>3107</v>
      </c>
      <c r="IQ8" t="str">
        <f>"-0.138***"</f>
        <v>-0.138***</v>
      </c>
      <c r="IR8" t="s">
        <v>3108</v>
      </c>
      <c r="IS8" t="s">
        <v>3109</v>
      </c>
      <c r="IT8" t="str">
        <f>"-0.140***"</f>
        <v>-0.140***</v>
      </c>
      <c r="IU8" t="s">
        <v>1358</v>
      </c>
      <c r="IV8" t="s">
        <v>3110</v>
      </c>
      <c r="IW8" t="str">
        <f>"-0.130***"</f>
        <v>-0.130***</v>
      </c>
      <c r="IX8" t="s">
        <v>3111</v>
      </c>
      <c r="IY8" t="s">
        <v>3112</v>
      </c>
      <c r="IZ8" t="str">
        <f>"-0.0923***"</f>
        <v>-0.0923***</v>
      </c>
      <c r="JA8" t="s">
        <v>3113</v>
      </c>
      <c r="JB8" t="s">
        <v>1171</v>
      </c>
      <c r="JC8" t="str">
        <f>"-0.138***"</f>
        <v>-0.138***</v>
      </c>
      <c r="JD8" t="s">
        <v>3114</v>
      </c>
      <c r="JE8" t="s">
        <v>3115</v>
      </c>
      <c r="JF8" t="str">
        <f>"-0.166***"</f>
        <v>-0.166***</v>
      </c>
      <c r="JG8" t="s">
        <v>3116</v>
      </c>
      <c r="JH8" t="s">
        <v>3117</v>
      </c>
      <c r="JI8" t="str">
        <f>"-0.162***"</f>
        <v>-0.162***</v>
      </c>
      <c r="JJ8" t="s">
        <v>3118</v>
      </c>
      <c r="JK8" t="s">
        <v>3119</v>
      </c>
      <c r="JL8" t="str">
        <f>"-0.155***"</f>
        <v>-0.155***</v>
      </c>
      <c r="JM8" t="s">
        <v>3120</v>
      </c>
      <c r="JN8" t="s">
        <v>3121</v>
      </c>
      <c r="JO8" t="str">
        <f>"-0.139***"</f>
        <v>-0.139***</v>
      </c>
      <c r="JP8" t="s">
        <v>3122</v>
      </c>
      <c r="JQ8" t="s">
        <v>3123</v>
      </c>
      <c r="JR8" t="str">
        <f>"-0.171***"</f>
        <v>-0.171***</v>
      </c>
      <c r="JS8" t="s">
        <v>3124</v>
      </c>
      <c r="JT8" t="s">
        <v>3125</v>
      </c>
      <c r="JU8" t="str">
        <f>"-0.145***"</f>
        <v>-0.145***</v>
      </c>
      <c r="JV8" t="s">
        <v>3126</v>
      </c>
      <c r="JW8" t="s">
        <v>3127</v>
      </c>
      <c r="JX8" t="str">
        <f>"-0.147***"</f>
        <v>-0.147***</v>
      </c>
      <c r="JY8" t="s">
        <v>1320</v>
      </c>
      <c r="JZ8" t="s">
        <v>3128</v>
      </c>
      <c r="KA8" t="str">
        <f>"-0.170***"</f>
        <v>-0.170***</v>
      </c>
      <c r="KB8" t="s">
        <v>3129</v>
      </c>
      <c r="KC8" t="s">
        <v>3130</v>
      </c>
      <c r="KD8" t="str">
        <f>"-0.118***"</f>
        <v>-0.118***</v>
      </c>
      <c r="KE8" t="s">
        <v>3131</v>
      </c>
      <c r="KF8" t="s">
        <v>3132</v>
      </c>
      <c r="KG8" t="str">
        <f>"-0.158***"</f>
        <v>-0.158***</v>
      </c>
      <c r="KH8" t="s">
        <v>3133</v>
      </c>
      <c r="KI8" t="s">
        <v>3134</v>
      </c>
      <c r="KJ8" t="str">
        <f>"-0.167***"</f>
        <v>-0.167***</v>
      </c>
      <c r="KK8" t="s">
        <v>3135</v>
      </c>
      <c r="KL8" t="s">
        <v>3136</v>
      </c>
    </row>
    <row r="9" spans="1:298" x14ac:dyDescent="0.2">
      <c r="A9" t="str">
        <f>"explained"</f>
        <v>explained</v>
      </c>
      <c r="B9" t="str">
        <f>""</f>
        <v/>
      </c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t="str">
        <f>""</f>
        <v/>
      </c>
      <c r="Y9" t="str">
        <f>""</f>
        <v/>
      </c>
      <c r="Z9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AE9" t="str">
        <f>""</f>
        <v/>
      </c>
      <c r="AF9" t="str">
        <f>""</f>
        <v/>
      </c>
      <c r="AG9" t="str">
        <f>""</f>
        <v/>
      </c>
      <c r="AH9" t="str">
        <f>""</f>
        <v/>
      </c>
      <c r="AI9" t="str">
        <f>""</f>
        <v/>
      </c>
      <c r="AJ9" t="str">
        <f>""</f>
        <v/>
      </c>
      <c r="AK9" t="str">
        <f>""</f>
        <v/>
      </c>
      <c r="AL9" t="str">
        <f>""</f>
        <v/>
      </c>
      <c r="AM9" t="str">
        <f>""</f>
        <v/>
      </c>
      <c r="AN9" t="str">
        <f>""</f>
        <v/>
      </c>
      <c r="AO9" t="str">
        <f>""</f>
        <v/>
      </c>
      <c r="AP9" t="str">
        <f>""</f>
        <v/>
      </c>
      <c r="AQ9" t="str">
        <f>""</f>
        <v/>
      </c>
      <c r="AR9" t="str">
        <f>""</f>
        <v/>
      </c>
      <c r="AS9" t="str">
        <f>""</f>
        <v/>
      </c>
      <c r="AT9" t="str">
        <f>""</f>
        <v/>
      </c>
      <c r="AU9" t="str">
        <f>""</f>
        <v/>
      </c>
      <c r="AV9" t="str">
        <f>""</f>
        <v/>
      </c>
      <c r="AW9" t="str">
        <f>""</f>
        <v/>
      </c>
      <c r="AX9" t="str">
        <f>""</f>
        <v/>
      </c>
      <c r="AY9" t="str">
        <f>""</f>
        <v/>
      </c>
      <c r="AZ9" t="str">
        <f>""</f>
        <v/>
      </c>
      <c r="BA9" t="str">
        <f>""</f>
        <v/>
      </c>
      <c r="BB9" t="str">
        <f>""</f>
        <v/>
      </c>
      <c r="BC9" t="str">
        <f>""</f>
        <v/>
      </c>
      <c r="BD9" t="str">
        <f>""</f>
        <v/>
      </c>
      <c r="BE9" t="str">
        <f>""</f>
        <v/>
      </c>
      <c r="BF9" t="str">
        <f>""</f>
        <v/>
      </c>
      <c r="BG9" t="str">
        <f>""</f>
        <v/>
      </c>
      <c r="BH9" t="str">
        <f>""</f>
        <v/>
      </c>
      <c r="BI9" t="str">
        <f>""</f>
        <v/>
      </c>
      <c r="BJ9" t="str">
        <f>""</f>
        <v/>
      </c>
      <c r="BK9" t="str">
        <f>""</f>
        <v/>
      </c>
      <c r="BL9" t="str">
        <f>""</f>
        <v/>
      </c>
      <c r="BM9" t="str">
        <f>""</f>
        <v/>
      </c>
      <c r="BN9" t="str">
        <f>""</f>
        <v/>
      </c>
      <c r="BO9" t="str">
        <f>""</f>
        <v/>
      </c>
      <c r="BP9" t="str">
        <f>""</f>
        <v/>
      </c>
      <c r="BQ9" t="str">
        <f>""</f>
        <v/>
      </c>
      <c r="BR9" t="str">
        <f>""</f>
        <v/>
      </c>
      <c r="BS9" t="str">
        <f>""</f>
        <v/>
      </c>
      <c r="BT9" t="str">
        <f>""</f>
        <v/>
      </c>
      <c r="BU9" t="str">
        <f>""</f>
        <v/>
      </c>
      <c r="BV9" t="str">
        <f>""</f>
        <v/>
      </c>
      <c r="BW9" t="str">
        <f>""</f>
        <v/>
      </c>
      <c r="BX9" t="str">
        <f>""</f>
        <v/>
      </c>
      <c r="BY9" t="str">
        <f>""</f>
        <v/>
      </c>
      <c r="BZ9" t="str">
        <f>""</f>
        <v/>
      </c>
      <c r="CA9" t="str">
        <f>""</f>
        <v/>
      </c>
      <c r="CB9" t="str">
        <f>""</f>
        <v/>
      </c>
      <c r="CC9" t="str">
        <f>""</f>
        <v/>
      </c>
      <c r="CD9" t="str">
        <f>""</f>
        <v/>
      </c>
      <c r="CE9" t="str">
        <f>""</f>
        <v/>
      </c>
      <c r="CF9" t="str">
        <f>""</f>
        <v/>
      </c>
      <c r="CG9" t="str">
        <f>""</f>
        <v/>
      </c>
      <c r="CH9" t="str">
        <f>""</f>
        <v/>
      </c>
      <c r="CI9" t="str">
        <f>""</f>
        <v/>
      </c>
      <c r="CJ9" t="str">
        <f>""</f>
        <v/>
      </c>
      <c r="CK9" t="str">
        <f>""</f>
        <v/>
      </c>
      <c r="CL9" t="str">
        <f>""</f>
        <v/>
      </c>
      <c r="CM9" t="str">
        <f>""</f>
        <v/>
      </c>
      <c r="CN9" t="str">
        <f>""</f>
        <v/>
      </c>
      <c r="CO9" t="str">
        <f>""</f>
        <v/>
      </c>
      <c r="CP9" t="str">
        <f>""</f>
        <v/>
      </c>
      <c r="CQ9" t="str">
        <f>""</f>
        <v/>
      </c>
      <c r="CR9" t="str">
        <f>""</f>
        <v/>
      </c>
      <c r="CS9" t="str">
        <f>""</f>
        <v/>
      </c>
      <c r="CT9" t="str">
        <f>""</f>
        <v/>
      </c>
      <c r="CU9" t="str">
        <f>""</f>
        <v/>
      </c>
      <c r="CV9" t="str">
        <f>""</f>
        <v/>
      </c>
      <c r="CW9" t="str">
        <f>""</f>
        <v/>
      </c>
      <c r="CX9" t="str">
        <f>""</f>
        <v/>
      </c>
      <c r="CY9" t="str">
        <f>""</f>
        <v/>
      </c>
      <c r="CZ9" t="str">
        <f>""</f>
        <v/>
      </c>
      <c r="DA9" t="str">
        <f>""</f>
        <v/>
      </c>
      <c r="DB9" t="str">
        <f>""</f>
        <v/>
      </c>
      <c r="DC9" t="str">
        <f>""</f>
        <v/>
      </c>
      <c r="DD9" t="str">
        <f>""</f>
        <v/>
      </c>
      <c r="DE9" t="str">
        <f>""</f>
        <v/>
      </c>
      <c r="DF9" t="str">
        <f>""</f>
        <v/>
      </c>
      <c r="DG9" t="str">
        <f>""</f>
        <v/>
      </c>
      <c r="DH9" t="str">
        <f>""</f>
        <v/>
      </c>
      <c r="DI9" t="str">
        <f>""</f>
        <v/>
      </c>
      <c r="DJ9" t="str">
        <f>""</f>
        <v/>
      </c>
      <c r="DK9" t="str">
        <f>""</f>
        <v/>
      </c>
      <c r="DL9" t="str">
        <f>""</f>
        <v/>
      </c>
      <c r="DM9" t="str">
        <f>""</f>
        <v/>
      </c>
      <c r="DN9" t="str">
        <f>""</f>
        <v/>
      </c>
      <c r="DO9" t="str">
        <f>""</f>
        <v/>
      </c>
      <c r="DP9" t="str">
        <f>""</f>
        <v/>
      </c>
      <c r="DQ9" t="str">
        <f>""</f>
        <v/>
      </c>
      <c r="DR9" t="str">
        <f>""</f>
        <v/>
      </c>
      <c r="DS9" t="str">
        <f>""</f>
        <v/>
      </c>
      <c r="DT9" t="str">
        <f>""</f>
        <v/>
      </c>
      <c r="DU9" t="str">
        <f>""</f>
        <v/>
      </c>
      <c r="DV9" t="str">
        <f>""</f>
        <v/>
      </c>
      <c r="DW9" t="str">
        <f>""</f>
        <v/>
      </c>
      <c r="DX9" t="str">
        <f>""</f>
        <v/>
      </c>
      <c r="DY9" t="str">
        <f>""</f>
        <v/>
      </c>
      <c r="DZ9" t="str">
        <f>""</f>
        <v/>
      </c>
      <c r="EA9" t="str">
        <f>""</f>
        <v/>
      </c>
      <c r="EB9" t="str">
        <f>""</f>
        <v/>
      </c>
      <c r="EC9" t="str">
        <f>""</f>
        <v/>
      </c>
      <c r="ED9" t="str">
        <f>""</f>
        <v/>
      </c>
      <c r="EE9" t="str">
        <f>""</f>
        <v/>
      </c>
      <c r="EF9" t="str">
        <f>""</f>
        <v/>
      </c>
      <c r="EG9" t="str">
        <f>""</f>
        <v/>
      </c>
      <c r="EH9" t="str">
        <f>""</f>
        <v/>
      </c>
      <c r="EI9" t="str">
        <f>""</f>
        <v/>
      </c>
      <c r="EJ9" t="str">
        <f>""</f>
        <v/>
      </c>
      <c r="EK9" t="str">
        <f>""</f>
        <v/>
      </c>
      <c r="EL9" t="str">
        <f>""</f>
        <v/>
      </c>
      <c r="EM9" t="str">
        <f>""</f>
        <v/>
      </c>
      <c r="EN9" t="str">
        <f>""</f>
        <v/>
      </c>
      <c r="EO9" t="str">
        <f>""</f>
        <v/>
      </c>
      <c r="EP9" t="str">
        <f>""</f>
        <v/>
      </c>
      <c r="EQ9" t="str">
        <f>""</f>
        <v/>
      </c>
      <c r="ER9" t="str">
        <f>""</f>
        <v/>
      </c>
      <c r="ES9" t="str">
        <f>""</f>
        <v/>
      </c>
      <c r="ET9" t="str">
        <f>""</f>
        <v/>
      </c>
      <c r="EU9" t="str">
        <f>""</f>
        <v/>
      </c>
      <c r="EV9" t="str">
        <f>""</f>
        <v/>
      </c>
      <c r="EW9" t="str">
        <f>""</f>
        <v/>
      </c>
      <c r="EX9" t="str">
        <f>""</f>
        <v/>
      </c>
      <c r="EY9" t="str">
        <f>""</f>
        <v/>
      </c>
      <c r="EZ9" t="str">
        <f>""</f>
        <v/>
      </c>
      <c r="FA9" t="str">
        <f>""</f>
        <v/>
      </c>
      <c r="FB9" t="str">
        <f>""</f>
        <v/>
      </c>
      <c r="FC9" t="str">
        <f>""</f>
        <v/>
      </c>
      <c r="FD9" t="str">
        <f>""</f>
        <v/>
      </c>
      <c r="FE9" t="str">
        <f>""</f>
        <v/>
      </c>
      <c r="FF9" t="str">
        <f>""</f>
        <v/>
      </c>
      <c r="FG9" t="str">
        <f>""</f>
        <v/>
      </c>
      <c r="FH9" t="str">
        <f>""</f>
        <v/>
      </c>
      <c r="FI9" t="str">
        <f>""</f>
        <v/>
      </c>
      <c r="FJ9" t="str">
        <f>""</f>
        <v/>
      </c>
      <c r="FK9" t="str">
        <f>""</f>
        <v/>
      </c>
      <c r="FL9" t="str">
        <f>""</f>
        <v/>
      </c>
      <c r="FM9" t="str">
        <f>""</f>
        <v/>
      </c>
      <c r="FN9" t="str">
        <f>""</f>
        <v/>
      </c>
      <c r="FO9" t="str">
        <f>""</f>
        <v/>
      </c>
      <c r="FP9" t="str">
        <f>""</f>
        <v/>
      </c>
      <c r="FQ9" t="str">
        <f>""</f>
        <v/>
      </c>
      <c r="FR9" t="str">
        <f>""</f>
        <v/>
      </c>
      <c r="FS9" t="str">
        <f>""</f>
        <v/>
      </c>
      <c r="FT9" t="str">
        <f>""</f>
        <v/>
      </c>
      <c r="FU9" t="str">
        <f>""</f>
        <v/>
      </c>
      <c r="FV9" t="str">
        <f>""</f>
        <v/>
      </c>
      <c r="FW9" t="str">
        <f>""</f>
        <v/>
      </c>
      <c r="FX9" t="str">
        <f>""</f>
        <v/>
      </c>
      <c r="FY9" t="str">
        <f>""</f>
        <v/>
      </c>
      <c r="FZ9" t="str">
        <f>""</f>
        <v/>
      </c>
      <c r="GA9" t="str">
        <f>""</f>
        <v/>
      </c>
      <c r="GB9" t="str">
        <f>""</f>
        <v/>
      </c>
      <c r="GC9" t="str">
        <f>""</f>
        <v/>
      </c>
      <c r="GD9" t="str">
        <f>""</f>
        <v/>
      </c>
      <c r="GE9" t="str">
        <f>""</f>
        <v/>
      </c>
      <c r="GF9" t="str">
        <f>""</f>
        <v/>
      </c>
      <c r="GG9" t="str">
        <f>""</f>
        <v/>
      </c>
      <c r="GH9" t="str">
        <f>""</f>
        <v/>
      </c>
      <c r="GI9" t="str">
        <f>""</f>
        <v/>
      </c>
      <c r="GJ9" t="str">
        <f>""</f>
        <v/>
      </c>
      <c r="GK9" t="str">
        <f>""</f>
        <v/>
      </c>
      <c r="GL9" t="str">
        <f>""</f>
        <v/>
      </c>
      <c r="GM9" t="str">
        <f>""</f>
        <v/>
      </c>
      <c r="GN9" t="str">
        <f>""</f>
        <v/>
      </c>
      <c r="GO9" t="str">
        <f>""</f>
        <v/>
      </c>
      <c r="GP9" t="str">
        <f>""</f>
        <v/>
      </c>
      <c r="GQ9" t="str">
        <f>""</f>
        <v/>
      </c>
    </row>
    <row r="10" spans="1:298" x14ac:dyDescent="0.2">
      <c r="A10" t="str">
        <f>"Educa√ß√£o"</f>
        <v>Educa√ß√£o</v>
      </c>
      <c r="B10" t="str">
        <f>"0.0417***"</f>
        <v>0.0417***</v>
      </c>
      <c r="C10" t="s">
        <v>3137</v>
      </c>
      <c r="D10" t="s">
        <v>3138</v>
      </c>
      <c r="E10" t="str">
        <f>"0.0520***"</f>
        <v>0.0520***</v>
      </c>
      <c r="F10" t="s">
        <v>3139</v>
      </c>
      <c r="G10" t="s">
        <v>1902</v>
      </c>
      <c r="H10" t="str">
        <f>"0.0441***"</f>
        <v>0.0441***</v>
      </c>
      <c r="I10" t="s">
        <v>3140</v>
      </c>
      <c r="J10" t="s">
        <v>765</v>
      </c>
      <c r="K10" t="str">
        <f>"0.0453***"</f>
        <v>0.0453***</v>
      </c>
      <c r="L10" t="s">
        <v>3141</v>
      </c>
      <c r="M10" t="s">
        <v>515</v>
      </c>
      <c r="N10" t="str">
        <f>"0.0379***"</f>
        <v>0.0379***</v>
      </c>
      <c r="O10" t="s">
        <v>3142</v>
      </c>
      <c r="P10" t="s">
        <v>3143</v>
      </c>
      <c r="Q10" t="str">
        <f>"0.0445***"</f>
        <v>0.0445***</v>
      </c>
      <c r="R10" t="s">
        <v>3144</v>
      </c>
      <c r="S10" t="s">
        <v>3145</v>
      </c>
      <c r="T10" t="str">
        <f>"0.0401***"</f>
        <v>0.0401***</v>
      </c>
      <c r="U10" t="s">
        <v>3146</v>
      </c>
      <c r="V10" t="s">
        <v>3147</v>
      </c>
      <c r="W10" t="str">
        <f>"0.0398***"</f>
        <v>0.0398***</v>
      </c>
      <c r="X10" t="s">
        <v>3148</v>
      </c>
      <c r="Y10" t="s">
        <v>1925</v>
      </c>
      <c r="Z10" t="str">
        <f>"0.0403***"</f>
        <v>0.0403***</v>
      </c>
      <c r="AA10" t="s">
        <v>3149</v>
      </c>
      <c r="AB10" t="s">
        <v>3150</v>
      </c>
      <c r="AC10" t="str">
        <f>"0.0338***"</f>
        <v>0.0338***</v>
      </c>
      <c r="AD10" t="s">
        <v>3151</v>
      </c>
      <c r="AE10" t="s">
        <v>1732</v>
      </c>
      <c r="AF10" t="str">
        <f>"0.0294***"</f>
        <v>0.0294***</v>
      </c>
      <c r="AG10" t="s">
        <v>1691</v>
      </c>
      <c r="AH10" t="s">
        <v>3152</v>
      </c>
      <c r="AI10" t="str">
        <f>"0.0234***"</f>
        <v>0.0234***</v>
      </c>
      <c r="AJ10" t="s">
        <v>3153</v>
      </c>
      <c r="AK10" t="s">
        <v>3154</v>
      </c>
      <c r="AL10" t="str">
        <f>"0.0218***"</f>
        <v>0.0218***</v>
      </c>
      <c r="AM10" t="s">
        <v>3155</v>
      </c>
      <c r="AN10" t="s">
        <v>3156</v>
      </c>
      <c r="AO10" t="str">
        <f>"0.0217***"</f>
        <v>0.0217***</v>
      </c>
      <c r="AP10" t="s">
        <v>3157</v>
      </c>
      <c r="AQ10" t="s">
        <v>1481</v>
      </c>
      <c r="AR10" t="str">
        <f>"0.0224***"</f>
        <v>0.0224***</v>
      </c>
      <c r="AS10" t="s">
        <v>3158</v>
      </c>
      <c r="AT10" t="s">
        <v>744</v>
      </c>
      <c r="AU10" t="str">
        <f>"0.0220***"</f>
        <v>0.0220***</v>
      </c>
      <c r="AV10" t="s">
        <v>2879</v>
      </c>
      <c r="AW10" t="s">
        <v>1660</v>
      </c>
      <c r="AX10" t="str">
        <f>"0.0215***"</f>
        <v>0.0215***</v>
      </c>
      <c r="AY10" t="s">
        <v>1680</v>
      </c>
      <c r="AZ10" t="s">
        <v>780</v>
      </c>
      <c r="BA10" t="str">
        <f>"0.0218***"</f>
        <v>0.0218***</v>
      </c>
      <c r="BB10" t="s">
        <v>3159</v>
      </c>
      <c r="BC10" t="s">
        <v>1516</v>
      </c>
      <c r="BD10" t="str">
        <f>"0.0228***"</f>
        <v>0.0228***</v>
      </c>
      <c r="BE10" t="s">
        <v>3160</v>
      </c>
      <c r="BF10" t="s">
        <v>538</v>
      </c>
      <c r="BG10" t="str">
        <f>"0.0232***"</f>
        <v>0.0232***</v>
      </c>
      <c r="BH10" t="s">
        <v>3153</v>
      </c>
      <c r="BI10" t="s">
        <v>1126</v>
      </c>
      <c r="BJ10" t="str">
        <f>"0.0230***"</f>
        <v>0.0230***</v>
      </c>
      <c r="BK10" t="s">
        <v>3161</v>
      </c>
      <c r="BL10" t="s">
        <v>1214</v>
      </c>
      <c r="BM10" t="str">
        <f>"0.0231***"</f>
        <v>0.0231***</v>
      </c>
      <c r="BN10" t="s">
        <v>3162</v>
      </c>
      <c r="BO10" t="s">
        <v>2818</v>
      </c>
      <c r="BP10" t="str">
        <f>"0.0230***"</f>
        <v>0.0230***</v>
      </c>
      <c r="BQ10" t="s">
        <v>3162</v>
      </c>
      <c r="BR10" t="s">
        <v>1214</v>
      </c>
      <c r="BS10" t="str">
        <f>"0.0236***"</f>
        <v>0.0236***</v>
      </c>
      <c r="BT10" t="s">
        <v>1949</v>
      </c>
      <c r="BU10" t="s">
        <v>3154</v>
      </c>
      <c r="BV10" t="str">
        <f>"0.0253***"</f>
        <v>0.0253***</v>
      </c>
      <c r="BW10" t="s">
        <v>1654</v>
      </c>
      <c r="BX10" t="s">
        <v>611</v>
      </c>
      <c r="BY10" t="str">
        <f>"0.0265***"</f>
        <v>0.0265***</v>
      </c>
      <c r="BZ10" t="s">
        <v>1648</v>
      </c>
      <c r="CA10" t="s">
        <v>564</v>
      </c>
      <c r="CB10" t="str">
        <f>"0.0273***"</f>
        <v>0.0273***</v>
      </c>
      <c r="CC10" t="s">
        <v>1646</v>
      </c>
      <c r="CD10" t="s">
        <v>3163</v>
      </c>
      <c r="CE10" t="str">
        <f>"0.0288***"</f>
        <v>0.0288***</v>
      </c>
      <c r="CF10" t="s">
        <v>3164</v>
      </c>
      <c r="CG10" t="s">
        <v>3165</v>
      </c>
      <c r="CH10" t="str">
        <f>"0.0302***"</f>
        <v>0.0302***</v>
      </c>
      <c r="CI10" t="s">
        <v>3166</v>
      </c>
      <c r="CJ10" t="s">
        <v>896</v>
      </c>
      <c r="CK10" t="str">
        <f>"0.0316***"</f>
        <v>0.0316***</v>
      </c>
      <c r="CL10" t="s">
        <v>1639</v>
      </c>
      <c r="CM10" t="s">
        <v>2884</v>
      </c>
      <c r="CN10" t="str">
        <f>"0.0335***"</f>
        <v>0.0335***</v>
      </c>
      <c r="CO10" t="s">
        <v>3167</v>
      </c>
      <c r="CP10" t="s">
        <v>3168</v>
      </c>
      <c r="CQ10" t="str">
        <f>"0.0358***"</f>
        <v>0.0358***</v>
      </c>
      <c r="CR10" t="s">
        <v>1631</v>
      </c>
      <c r="CS10" t="s">
        <v>1035</v>
      </c>
      <c r="CT10" t="str">
        <f>"0.0396***"</f>
        <v>0.0396***</v>
      </c>
      <c r="CU10" t="s">
        <v>3149</v>
      </c>
      <c r="CV10" t="s">
        <v>2870</v>
      </c>
      <c r="CW10" t="str">
        <f>"0.0427***"</f>
        <v>0.0427***</v>
      </c>
      <c r="CX10" t="s">
        <v>3169</v>
      </c>
      <c r="CY10" t="s">
        <v>3170</v>
      </c>
      <c r="CZ10" t="str">
        <f>"0.0451***"</f>
        <v>0.0451***</v>
      </c>
      <c r="DA10" t="s">
        <v>2891</v>
      </c>
      <c r="DB10" t="s">
        <v>3171</v>
      </c>
      <c r="DC10" t="str">
        <f>"0.0465***"</f>
        <v>0.0465***</v>
      </c>
      <c r="DD10" t="s">
        <v>3172</v>
      </c>
      <c r="DE10" t="s">
        <v>486</v>
      </c>
      <c r="DF10" t="str">
        <f>"0.0481***"</f>
        <v>0.0481***</v>
      </c>
      <c r="DG10" t="s">
        <v>905</v>
      </c>
      <c r="DH10" t="s">
        <v>3173</v>
      </c>
      <c r="DI10" t="str">
        <f>"0.0494***"</f>
        <v>0.0494***</v>
      </c>
      <c r="DJ10" t="s">
        <v>3174</v>
      </c>
      <c r="DK10" t="s">
        <v>1917</v>
      </c>
      <c r="DL10" t="str">
        <f>"0.0491***"</f>
        <v>0.0491***</v>
      </c>
      <c r="DM10" t="s">
        <v>3175</v>
      </c>
      <c r="DN10" t="s">
        <v>3176</v>
      </c>
      <c r="DO10" t="str">
        <f>"0.0487***"</f>
        <v>0.0487***</v>
      </c>
      <c r="DP10" t="s">
        <v>1988</v>
      </c>
      <c r="DQ10" t="s">
        <v>1907</v>
      </c>
      <c r="DR10" t="str">
        <f>"0.0493***"</f>
        <v>0.0493***</v>
      </c>
      <c r="DS10" t="s">
        <v>3177</v>
      </c>
      <c r="DT10" t="s">
        <v>1917</v>
      </c>
      <c r="DU10" t="str">
        <f>"0.0499***"</f>
        <v>0.0499***</v>
      </c>
      <c r="DV10" t="s">
        <v>3178</v>
      </c>
      <c r="DW10" t="s">
        <v>2893</v>
      </c>
      <c r="DX10" t="str">
        <f>"0.0511***"</f>
        <v>0.0511***</v>
      </c>
      <c r="DY10" t="s">
        <v>1985</v>
      </c>
      <c r="DZ10" t="s">
        <v>498</v>
      </c>
      <c r="EA10" t="str">
        <f>"0.0511***"</f>
        <v>0.0511***</v>
      </c>
      <c r="EB10" t="s">
        <v>1985</v>
      </c>
      <c r="EC10" t="s">
        <v>498</v>
      </c>
      <c r="ED10" t="str">
        <f>"0.0534***"</f>
        <v>0.0534***</v>
      </c>
      <c r="EE10" t="s">
        <v>3179</v>
      </c>
      <c r="EF10" t="s">
        <v>3180</v>
      </c>
      <c r="EG10" t="str">
        <f>"0.0566***"</f>
        <v>0.0566***</v>
      </c>
      <c r="EH10" t="s">
        <v>3181</v>
      </c>
      <c r="EI10" t="s">
        <v>759</v>
      </c>
      <c r="EJ10" t="str">
        <f>"0.0602***"</f>
        <v>0.0602***</v>
      </c>
      <c r="EK10" t="s">
        <v>3182</v>
      </c>
      <c r="EL10" t="s">
        <v>3183</v>
      </c>
      <c r="EM10" t="str">
        <f>"0.0626***"</f>
        <v>0.0626***</v>
      </c>
      <c r="EN10" t="s">
        <v>3184</v>
      </c>
      <c r="EO10" t="s">
        <v>3185</v>
      </c>
      <c r="EP10" t="str">
        <f>"0.0649***"</f>
        <v>0.0649***</v>
      </c>
      <c r="EQ10" t="s">
        <v>1577</v>
      </c>
      <c r="ER10" t="s">
        <v>3186</v>
      </c>
      <c r="ES10" t="str">
        <f>"0.0671***"</f>
        <v>0.0671***</v>
      </c>
      <c r="ET10" t="s">
        <v>1851</v>
      </c>
      <c r="EU10" t="s">
        <v>3187</v>
      </c>
      <c r="EV10" t="str">
        <f>"0.0683***"</f>
        <v>0.0683***</v>
      </c>
      <c r="EW10" t="s">
        <v>3188</v>
      </c>
      <c r="EX10" t="s">
        <v>3189</v>
      </c>
      <c r="EY10" t="str">
        <f>"0.0681***"</f>
        <v>0.0681***</v>
      </c>
      <c r="EZ10" t="s">
        <v>2002</v>
      </c>
      <c r="FA10" t="s">
        <v>1203</v>
      </c>
      <c r="FB10" t="str">
        <f>"0.0686***"</f>
        <v>0.0686***</v>
      </c>
      <c r="FC10" t="s">
        <v>3190</v>
      </c>
      <c r="FD10" t="s">
        <v>1789</v>
      </c>
      <c r="FE10" t="str">
        <f>"0.0689***"</f>
        <v>0.0689***</v>
      </c>
      <c r="FF10" t="s">
        <v>2007</v>
      </c>
      <c r="FG10" t="s">
        <v>1592</v>
      </c>
      <c r="FH10" t="str">
        <f>"0.0702***"</f>
        <v>0.0702***</v>
      </c>
      <c r="FI10" t="s">
        <v>3191</v>
      </c>
      <c r="FJ10" t="s">
        <v>1881</v>
      </c>
      <c r="FK10" t="str">
        <f>"0.0709***"</f>
        <v>0.0709***</v>
      </c>
      <c r="FL10" t="s">
        <v>1878</v>
      </c>
      <c r="FM10" t="s">
        <v>1790</v>
      </c>
      <c r="FN10" t="str">
        <f>"0.0723***"</f>
        <v>0.0723***</v>
      </c>
      <c r="FO10" t="s">
        <v>3192</v>
      </c>
      <c r="FP10" t="s">
        <v>3193</v>
      </c>
      <c r="FQ10" t="str">
        <f>"0.0749***"</f>
        <v>0.0749***</v>
      </c>
      <c r="FR10" t="s">
        <v>3194</v>
      </c>
      <c r="FS10" t="s">
        <v>3195</v>
      </c>
      <c r="FT10" t="str">
        <f>"0.0772***"</f>
        <v>0.0772***</v>
      </c>
      <c r="FU10" t="s">
        <v>1861</v>
      </c>
      <c r="FV10" t="s">
        <v>1997</v>
      </c>
      <c r="FW10" t="str">
        <f>"0.0793***"</f>
        <v>0.0793***</v>
      </c>
      <c r="FX10" t="s">
        <v>3196</v>
      </c>
      <c r="FY10" t="s">
        <v>1859</v>
      </c>
      <c r="FZ10" t="str">
        <f>"0.0807***"</f>
        <v>0.0807***</v>
      </c>
      <c r="GA10" t="s">
        <v>3197</v>
      </c>
      <c r="GB10" t="s">
        <v>3198</v>
      </c>
      <c r="GC10" t="str">
        <f>"0.0824***"</f>
        <v>0.0824***</v>
      </c>
      <c r="GD10" t="s">
        <v>3199</v>
      </c>
      <c r="GE10" t="s">
        <v>3200</v>
      </c>
      <c r="GF10" t="str">
        <f>"0.0835***"</f>
        <v>0.0835***</v>
      </c>
      <c r="GG10" t="s">
        <v>3201</v>
      </c>
      <c r="GH10" t="s">
        <v>3202</v>
      </c>
      <c r="GI10" t="str">
        <f>"0.0838***"</f>
        <v>0.0838***</v>
      </c>
      <c r="GJ10" t="s">
        <v>3203</v>
      </c>
      <c r="GK10" t="s">
        <v>1574</v>
      </c>
      <c r="GL10" t="str">
        <f>"0.0837***"</f>
        <v>0.0837***</v>
      </c>
      <c r="GM10" t="s">
        <v>3204</v>
      </c>
      <c r="GN10" t="s">
        <v>3205</v>
      </c>
      <c r="GO10" t="str">
        <f>"0.0841***"</f>
        <v>0.0841***</v>
      </c>
      <c r="GP10" t="s">
        <v>364</v>
      </c>
      <c r="GQ10" t="s">
        <v>3206</v>
      </c>
      <c r="GR10" t="str">
        <f>"0.0844***"</f>
        <v>0.0844***</v>
      </c>
      <c r="GS10" t="s">
        <v>1777</v>
      </c>
      <c r="GT10" t="s">
        <v>278</v>
      </c>
      <c r="GU10" t="str">
        <f>"0.0893***"</f>
        <v>0.0893***</v>
      </c>
      <c r="GV10" t="s">
        <v>3207</v>
      </c>
      <c r="GW10" t="s">
        <v>3208</v>
      </c>
      <c r="GX10" t="str">
        <f>"0.0928***"</f>
        <v>0.0928***</v>
      </c>
      <c r="GY10" t="s">
        <v>2029</v>
      </c>
      <c r="GZ10" t="s">
        <v>3209</v>
      </c>
      <c r="HA10" t="str">
        <f>"0.0989***"</f>
        <v>0.0989***</v>
      </c>
      <c r="HB10" t="s">
        <v>3210</v>
      </c>
      <c r="HC10" t="s">
        <v>3211</v>
      </c>
      <c r="HD10" t="str">
        <f>"0.103***"</f>
        <v>0.103***</v>
      </c>
      <c r="HE10" t="s">
        <v>383</v>
      </c>
      <c r="HF10" t="s">
        <v>2045</v>
      </c>
      <c r="HG10" t="str">
        <f>"0.113***"</f>
        <v>0.113***</v>
      </c>
      <c r="HH10" t="s">
        <v>3212</v>
      </c>
      <c r="HI10" t="s">
        <v>3213</v>
      </c>
      <c r="HJ10" t="str">
        <f>"0.115***"</f>
        <v>0.115***</v>
      </c>
      <c r="HK10" t="s">
        <v>3214</v>
      </c>
      <c r="HL10" t="s">
        <v>3215</v>
      </c>
      <c r="HM10" t="str">
        <f>"0.114***"</f>
        <v>0.114***</v>
      </c>
      <c r="HN10" t="s">
        <v>3216</v>
      </c>
      <c r="HO10" t="s">
        <v>3217</v>
      </c>
      <c r="HP10" t="str">
        <f>"0.105***"</f>
        <v>0.105***</v>
      </c>
      <c r="HQ10" t="s">
        <v>3218</v>
      </c>
      <c r="HR10" t="s">
        <v>350</v>
      </c>
      <c r="HS10" t="str">
        <f>"0.103***"</f>
        <v>0.103***</v>
      </c>
      <c r="HT10" t="s">
        <v>3219</v>
      </c>
      <c r="HU10" t="s">
        <v>3220</v>
      </c>
      <c r="HV10" t="str">
        <f>"0.102***"</f>
        <v>0.102***</v>
      </c>
      <c r="HW10" t="s">
        <v>3221</v>
      </c>
      <c r="HX10" t="s">
        <v>3222</v>
      </c>
      <c r="HY10" t="str">
        <f>"0.102***"</f>
        <v>0.102***</v>
      </c>
      <c r="HZ10" t="s">
        <v>3221</v>
      </c>
      <c r="IA10" t="s">
        <v>3222</v>
      </c>
      <c r="IB10" t="str">
        <f>"0.107***"</f>
        <v>0.107***</v>
      </c>
      <c r="IC10" t="s">
        <v>3223</v>
      </c>
      <c r="ID10" t="s">
        <v>3224</v>
      </c>
      <c r="IE10" t="str">
        <f>"0.135***"</f>
        <v>0.135***</v>
      </c>
      <c r="IF10" t="s">
        <v>3225</v>
      </c>
      <c r="IG10" t="s">
        <v>3226</v>
      </c>
      <c r="IH10" t="str">
        <f>"0.147***"</f>
        <v>0.147***</v>
      </c>
      <c r="II10" t="s">
        <v>2986</v>
      </c>
      <c r="IJ10" t="s">
        <v>2954</v>
      </c>
      <c r="IK10" t="str">
        <f>"0.143***"</f>
        <v>0.143***</v>
      </c>
      <c r="IL10" t="s">
        <v>3227</v>
      </c>
      <c r="IM10" t="s">
        <v>2974</v>
      </c>
      <c r="IN10" t="str">
        <f>"0.138***"</f>
        <v>0.138***</v>
      </c>
      <c r="IO10" t="s">
        <v>3228</v>
      </c>
      <c r="IP10" t="s">
        <v>3229</v>
      </c>
      <c r="IQ10" t="str">
        <f>"0.138***"</f>
        <v>0.138***</v>
      </c>
      <c r="IR10" t="s">
        <v>3230</v>
      </c>
      <c r="IS10" t="s">
        <v>3231</v>
      </c>
      <c r="IT10" t="str">
        <f>"0.144***"</f>
        <v>0.144***</v>
      </c>
      <c r="IU10" t="s">
        <v>2094</v>
      </c>
      <c r="IV10" t="s">
        <v>3232</v>
      </c>
      <c r="IW10" t="str">
        <f>"0.138***"</f>
        <v>0.138***</v>
      </c>
      <c r="IX10" t="s">
        <v>3233</v>
      </c>
      <c r="IY10" t="s">
        <v>3234</v>
      </c>
      <c r="IZ10" t="str">
        <f>"0.134***"</f>
        <v>0.134***</v>
      </c>
      <c r="JA10" t="s">
        <v>3235</v>
      </c>
      <c r="JB10" t="s">
        <v>3236</v>
      </c>
      <c r="JC10" t="str">
        <f>"0.137***"</f>
        <v>0.137***</v>
      </c>
      <c r="JD10" t="s">
        <v>3237</v>
      </c>
      <c r="JE10" t="s">
        <v>2091</v>
      </c>
      <c r="JF10" t="str">
        <f>"0.162***"</f>
        <v>0.162***</v>
      </c>
      <c r="JG10" t="s">
        <v>3238</v>
      </c>
      <c r="JH10" t="s">
        <v>2981</v>
      </c>
      <c r="JI10" t="str">
        <f>"0.164***"</f>
        <v>0.164***</v>
      </c>
      <c r="JJ10" t="s">
        <v>3239</v>
      </c>
      <c r="JK10" t="s">
        <v>3240</v>
      </c>
      <c r="JL10" t="str">
        <f>"0.139***"</f>
        <v>0.139***</v>
      </c>
      <c r="JM10" t="s">
        <v>3230</v>
      </c>
      <c r="JN10" t="s">
        <v>3241</v>
      </c>
      <c r="JO10" t="str">
        <f>"0.130***"</f>
        <v>0.130***</v>
      </c>
      <c r="JP10" t="s">
        <v>3242</v>
      </c>
      <c r="JQ10" t="s">
        <v>3243</v>
      </c>
      <c r="JR10" t="str">
        <f>"0.166***"</f>
        <v>0.166***</v>
      </c>
      <c r="JS10" t="s">
        <v>333</v>
      </c>
      <c r="JT10" t="s">
        <v>3244</v>
      </c>
      <c r="JU10" t="str">
        <f>"0.137***"</f>
        <v>0.137***</v>
      </c>
      <c r="JV10" t="s">
        <v>3245</v>
      </c>
      <c r="JW10" t="s">
        <v>2091</v>
      </c>
      <c r="JX10" t="str">
        <f>"0.161***"</f>
        <v>0.161***</v>
      </c>
      <c r="JY10" t="s">
        <v>3246</v>
      </c>
      <c r="JZ10" t="s">
        <v>3247</v>
      </c>
      <c r="KA10" t="str">
        <f>"0.164***"</f>
        <v>0.164***</v>
      </c>
      <c r="KB10" t="s">
        <v>3248</v>
      </c>
      <c r="KC10" t="s">
        <v>3249</v>
      </c>
      <c r="KD10" t="str">
        <f>"0.153***"</f>
        <v>0.153***</v>
      </c>
      <c r="KE10" t="s">
        <v>3250</v>
      </c>
      <c r="KF10" t="s">
        <v>3251</v>
      </c>
      <c r="KG10" t="str">
        <f>"0.153***"</f>
        <v>0.153***</v>
      </c>
      <c r="KH10" t="s">
        <v>3252</v>
      </c>
      <c r="KI10" t="s">
        <v>3253</v>
      </c>
      <c r="KJ10" t="str">
        <f>"0.149***"</f>
        <v>0.149***</v>
      </c>
      <c r="KK10" t="s">
        <v>3254</v>
      </c>
      <c r="KL10" t="s">
        <v>3255</v>
      </c>
    </row>
    <row r="11" spans="1:298" x14ac:dyDescent="0.2">
      <c r="A11" t="str">
        <f>"Experi√™ncia"</f>
        <v>Experi√™ncia</v>
      </c>
      <c r="B11" t="str">
        <f>"0.00287**"</f>
        <v>0.00287**</v>
      </c>
      <c r="C11" t="s">
        <v>927</v>
      </c>
      <c r="D11" t="s">
        <v>713</v>
      </c>
      <c r="E11" t="str">
        <f>"0.00617***"</f>
        <v>0.00617***</v>
      </c>
      <c r="F11" t="s">
        <v>997</v>
      </c>
      <c r="G11" t="s">
        <v>597</v>
      </c>
      <c r="H11" t="str">
        <f>"0.00611***"</f>
        <v>0.00611***</v>
      </c>
      <c r="I11" t="s">
        <v>1017</v>
      </c>
      <c r="J11" t="s">
        <v>579</v>
      </c>
      <c r="K11" t="str">
        <f>"0.00646***"</f>
        <v>0.00646***</v>
      </c>
      <c r="L11" t="s">
        <v>993</v>
      </c>
      <c r="M11" t="s">
        <v>657</v>
      </c>
      <c r="N11" t="str">
        <f>"0.00572***"</f>
        <v>0.00572***</v>
      </c>
      <c r="O11" t="s">
        <v>1017</v>
      </c>
      <c r="P11" t="s">
        <v>1234</v>
      </c>
      <c r="Q11" t="str">
        <f>"0.00714***"</f>
        <v>0.00714***</v>
      </c>
      <c r="R11" t="s">
        <v>1470</v>
      </c>
      <c r="S11" t="s">
        <v>572</v>
      </c>
      <c r="T11" t="str">
        <f>"0.00626***"</f>
        <v>0.00626***</v>
      </c>
      <c r="U11" t="s">
        <v>370</v>
      </c>
      <c r="V11" t="s">
        <v>3256</v>
      </c>
      <c r="W11" t="str">
        <f>"0.00627***"</f>
        <v>0.00627***</v>
      </c>
      <c r="X11" t="s">
        <v>370</v>
      </c>
      <c r="Y11" t="s">
        <v>3256</v>
      </c>
      <c r="Z11" t="str">
        <f>"0.00638***"</f>
        <v>0.00638***</v>
      </c>
      <c r="AA11" t="s">
        <v>991</v>
      </c>
      <c r="AB11" t="s">
        <v>673</v>
      </c>
      <c r="AC11" t="str">
        <f>"0.00514***"</f>
        <v>0.00514***</v>
      </c>
      <c r="AD11" t="s">
        <v>997</v>
      </c>
      <c r="AE11" t="s">
        <v>791</v>
      </c>
      <c r="AF11" t="str">
        <f>"0.00456***"</f>
        <v>0.00456***</v>
      </c>
      <c r="AG11" t="s">
        <v>1468</v>
      </c>
      <c r="AH11" t="s">
        <v>710</v>
      </c>
      <c r="AI11" t="str">
        <f>"0.00368***"</f>
        <v>0.00368***</v>
      </c>
      <c r="AJ11" t="s">
        <v>1466</v>
      </c>
      <c r="AK11" t="s">
        <v>1087</v>
      </c>
      <c r="AL11" t="str">
        <f>"0.00341***"</f>
        <v>0.00341***</v>
      </c>
      <c r="AM11" t="s">
        <v>1465</v>
      </c>
      <c r="AN11" t="s">
        <v>696</v>
      </c>
      <c r="AO11" t="str">
        <f>"0.00348***"</f>
        <v>0.00348***</v>
      </c>
      <c r="AP11" t="s">
        <v>1465</v>
      </c>
      <c r="AQ11" t="s">
        <v>671</v>
      </c>
      <c r="AR11" t="str">
        <f>"0.00366***"</f>
        <v>0.00366***</v>
      </c>
      <c r="AS11" t="s">
        <v>1466</v>
      </c>
      <c r="AT11" t="s">
        <v>698</v>
      </c>
      <c r="AU11" t="str">
        <f>"0.00364***"</f>
        <v>0.00364***</v>
      </c>
      <c r="AV11" t="s">
        <v>1466</v>
      </c>
      <c r="AW11" t="s">
        <v>698</v>
      </c>
      <c r="AX11" t="str">
        <f>"0.00358***"</f>
        <v>0.00358***</v>
      </c>
      <c r="AY11" t="s">
        <v>441</v>
      </c>
      <c r="AZ11" t="s">
        <v>584</v>
      </c>
      <c r="BA11" t="str">
        <f>"0.00369***"</f>
        <v>0.00369***</v>
      </c>
      <c r="BB11" t="s">
        <v>1466</v>
      </c>
      <c r="BC11" t="s">
        <v>698</v>
      </c>
      <c r="BD11" t="str">
        <f>"0.00388***"</f>
        <v>0.00388***</v>
      </c>
      <c r="BE11" t="s">
        <v>712</v>
      </c>
      <c r="BF11" t="s">
        <v>605</v>
      </c>
      <c r="BG11" t="str">
        <f>"0.00399***"</f>
        <v>0.00399***</v>
      </c>
      <c r="BH11" t="s">
        <v>1037</v>
      </c>
      <c r="BI11" t="s">
        <v>951</v>
      </c>
      <c r="BJ11" t="str">
        <f>"0.00394***"</f>
        <v>0.00394***</v>
      </c>
      <c r="BK11" t="s">
        <v>1037</v>
      </c>
      <c r="BL11" t="s">
        <v>605</v>
      </c>
      <c r="BM11" t="str">
        <f>"0.00391***"</f>
        <v>0.00391***</v>
      </c>
      <c r="BN11" t="s">
        <v>712</v>
      </c>
      <c r="BO11" t="s">
        <v>605</v>
      </c>
      <c r="BP11" t="str">
        <f>"0.00394***"</f>
        <v>0.00394***</v>
      </c>
      <c r="BQ11" t="s">
        <v>1037</v>
      </c>
      <c r="BR11" t="s">
        <v>605</v>
      </c>
      <c r="BS11" t="str">
        <f>"0.00393***"</f>
        <v>0.00393***</v>
      </c>
      <c r="BT11" t="s">
        <v>1037</v>
      </c>
      <c r="BU11" t="s">
        <v>605</v>
      </c>
      <c r="BV11" t="str">
        <f>"0.00412***"</f>
        <v>0.00412***</v>
      </c>
      <c r="BW11" t="s">
        <v>728</v>
      </c>
      <c r="BX11" t="s">
        <v>925</v>
      </c>
      <c r="BY11" t="str">
        <f>"0.00432***"</f>
        <v>0.00432***</v>
      </c>
      <c r="BZ11" t="s">
        <v>1081</v>
      </c>
      <c r="CA11" t="s">
        <v>789</v>
      </c>
      <c r="CB11" t="str">
        <f>"0.00439***"</f>
        <v>0.00439***</v>
      </c>
      <c r="CC11" t="s">
        <v>1081</v>
      </c>
      <c r="CD11" t="s">
        <v>789</v>
      </c>
      <c r="CE11" t="str">
        <f>"0.00456***"</f>
        <v>0.00456***</v>
      </c>
      <c r="CF11" t="s">
        <v>724</v>
      </c>
      <c r="CG11" t="s">
        <v>721</v>
      </c>
      <c r="CH11" t="str">
        <f>"0.00474***"</f>
        <v>0.00474***</v>
      </c>
      <c r="CI11" t="s">
        <v>1469</v>
      </c>
      <c r="CJ11" t="s">
        <v>669</v>
      </c>
      <c r="CK11" t="str">
        <f>"0.00500***"</f>
        <v>0.00500***</v>
      </c>
      <c r="CL11" t="s">
        <v>997</v>
      </c>
      <c r="CM11" t="s">
        <v>613</v>
      </c>
      <c r="CN11" t="str">
        <f>"0.00522***"</f>
        <v>0.00522***</v>
      </c>
      <c r="CO11" t="s">
        <v>1018</v>
      </c>
      <c r="CP11" t="s">
        <v>791</v>
      </c>
      <c r="CQ11" t="str">
        <f>"0.00555***"</f>
        <v>0.00555***</v>
      </c>
      <c r="CR11" t="s">
        <v>940</v>
      </c>
      <c r="CS11" t="s">
        <v>723</v>
      </c>
      <c r="CT11" t="str">
        <f>"0.00604***"</f>
        <v>0.00604***</v>
      </c>
      <c r="CU11" t="s">
        <v>370</v>
      </c>
      <c r="CV11" t="s">
        <v>1013</v>
      </c>
      <c r="CW11" t="str">
        <f>"0.00645***"</f>
        <v>0.00645***</v>
      </c>
      <c r="CX11" t="s">
        <v>1053</v>
      </c>
      <c r="CY11" t="s">
        <v>673</v>
      </c>
      <c r="CZ11" t="str">
        <f>"0.00678***"</f>
        <v>0.00678***</v>
      </c>
      <c r="DA11" t="s">
        <v>1000</v>
      </c>
      <c r="DB11" t="s">
        <v>733</v>
      </c>
      <c r="DC11" t="str">
        <f>"0.00706***"</f>
        <v>0.00706***</v>
      </c>
      <c r="DD11" t="s">
        <v>1489</v>
      </c>
      <c r="DE11" t="s">
        <v>597</v>
      </c>
      <c r="DF11" t="str">
        <f>"0.00724***"</f>
        <v>0.00724***</v>
      </c>
      <c r="DG11" t="s">
        <v>732</v>
      </c>
      <c r="DH11" t="s">
        <v>570</v>
      </c>
      <c r="DI11" t="str">
        <f>"0.00742***"</f>
        <v>0.00742***</v>
      </c>
      <c r="DJ11" t="s">
        <v>1559</v>
      </c>
      <c r="DK11" t="s">
        <v>582</v>
      </c>
      <c r="DL11" t="str">
        <f>"0.00733***"</f>
        <v>0.00733***</v>
      </c>
      <c r="DM11" t="s">
        <v>1073</v>
      </c>
      <c r="DN11" t="s">
        <v>572</v>
      </c>
      <c r="DO11" t="str">
        <f>"0.00728***"</f>
        <v>0.00728***</v>
      </c>
      <c r="DP11" t="s">
        <v>732</v>
      </c>
      <c r="DQ11" t="s">
        <v>570</v>
      </c>
      <c r="DR11" t="str">
        <f>"0.00730***"</f>
        <v>0.00730***</v>
      </c>
      <c r="DS11" t="s">
        <v>1073</v>
      </c>
      <c r="DT11" t="s">
        <v>570</v>
      </c>
      <c r="DU11" t="str">
        <f>"0.00734***"</f>
        <v>0.00734***</v>
      </c>
      <c r="DV11" t="s">
        <v>1073</v>
      </c>
      <c r="DW11" t="s">
        <v>572</v>
      </c>
      <c r="DX11" t="str">
        <f>"0.00757***"</f>
        <v>0.00757***</v>
      </c>
      <c r="DY11" t="s">
        <v>1058</v>
      </c>
      <c r="DZ11" t="s">
        <v>649</v>
      </c>
      <c r="EA11" t="str">
        <f>"0.00757***"</f>
        <v>0.00757***</v>
      </c>
      <c r="EB11" t="s">
        <v>1058</v>
      </c>
      <c r="EC11" t="s">
        <v>649</v>
      </c>
      <c r="ED11" t="str">
        <f>"0.00784***"</f>
        <v>0.00784***</v>
      </c>
      <c r="EE11" t="s">
        <v>980</v>
      </c>
      <c r="EF11" t="s">
        <v>694</v>
      </c>
      <c r="EG11" t="str">
        <f>"0.00819***"</f>
        <v>0.00819***</v>
      </c>
      <c r="EH11" t="s">
        <v>982</v>
      </c>
      <c r="EI11" t="s">
        <v>573</v>
      </c>
      <c r="EJ11" t="str">
        <f>"0.00870***"</f>
        <v>0.00870***</v>
      </c>
      <c r="EK11" t="s">
        <v>942</v>
      </c>
      <c r="EL11" t="s">
        <v>3257</v>
      </c>
      <c r="EM11" t="str">
        <f>"0.00901***"</f>
        <v>0.00901***</v>
      </c>
      <c r="EN11" t="s">
        <v>1491</v>
      </c>
      <c r="EO11" t="s">
        <v>1011</v>
      </c>
      <c r="EP11" t="str">
        <f>"0.00932***"</f>
        <v>0.00932***</v>
      </c>
      <c r="EQ11" t="s">
        <v>1728</v>
      </c>
      <c r="ER11" t="s">
        <v>651</v>
      </c>
      <c r="ES11" t="str">
        <f>"0.00960***"</f>
        <v>0.00960***</v>
      </c>
      <c r="ET11" t="s">
        <v>297</v>
      </c>
      <c r="EU11" t="s">
        <v>1490</v>
      </c>
      <c r="EV11" t="str">
        <f>"0.00958***"</f>
        <v>0.00958***</v>
      </c>
      <c r="EW11" t="s">
        <v>297</v>
      </c>
      <c r="EX11" t="s">
        <v>1490</v>
      </c>
      <c r="EY11" t="str">
        <f>"0.00947***"</f>
        <v>0.00947***</v>
      </c>
      <c r="EZ11" t="s">
        <v>372</v>
      </c>
      <c r="FA11" t="s">
        <v>687</v>
      </c>
      <c r="FB11" t="str">
        <f>"0.00946***"</f>
        <v>0.00946***</v>
      </c>
      <c r="FC11" t="s">
        <v>372</v>
      </c>
      <c r="FD11" t="s">
        <v>687</v>
      </c>
      <c r="FE11" t="str">
        <f>"0.00950***"</f>
        <v>0.00950***</v>
      </c>
      <c r="FF11" t="s">
        <v>372</v>
      </c>
      <c r="FG11" t="s">
        <v>687</v>
      </c>
      <c r="FH11" t="str">
        <f>"0.00965***"</f>
        <v>0.00965***</v>
      </c>
      <c r="FI11" t="s">
        <v>297</v>
      </c>
      <c r="FJ11" t="s">
        <v>946</v>
      </c>
      <c r="FK11" t="str">
        <f>"0.00962***"</f>
        <v>0.00962***</v>
      </c>
      <c r="FL11" t="s">
        <v>297</v>
      </c>
      <c r="FM11" t="s">
        <v>1490</v>
      </c>
      <c r="FN11" t="str">
        <f>"0.00971***"</f>
        <v>0.00971***</v>
      </c>
      <c r="FO11" t="s">
        <v>1129</v>
      </c>
      <c r="FP11" t="s">
        <v>1001</v>
      </c>
      <c r="FQ11" t="str">
        <f>"0.0100***"</f>
        <v>0.0100***</v>
      </c>
      <c r="FR11" t="s">
        <v>1552</v>
      </c>
      <c r="FS11" t="s">
        <v>794</v>
      </c>
      <c r="FT11" t="str">
        <f>"0.0103***"</f>
        <v>0.0103***</v>
      </c>
      <c r="FU11" t="s">
        <v>447</v>
      </c>
      <c r="FV11" t="s">
        <v>1551</v>
      </c>
      <c r="FW11" t="str">
        <f>"0.0104***"</f>
        <v>0.0104***</v>
      </c>
      <c r="FX11" t="s">
        <v>1499</v>
      </c>
      <c r="FY11" t="s">
        <v>996</v>
      </c>
      <c r="FZ11" t="str">
        <f>"0.0105***"</f>
        <v>0.0105***</v>
      </c>
      <c r="GA11" t="s">
        <v>1729</v>
      </c>
      <c r="GB11" t="s">
        <v>731</v>
      </c>
      <c r="GC11" t="str">
        <f>"0.0106***"</f>
        <v>0.0106***</v>
      </c>
      <c r="GD11" t="s">
        <v>660</v>
      </c>
      <c r="GE11" t="s">
        <v>1054</v>
      </c>
      <c r="GF11" t="str">
        <f>"0.0107***"</f>
        <v>0.0107***</v>
      </c>
      <c r="GG11" t="s">
        <v>660</v>
      </c>
      <c r="GH11" t="s">
        <v>565</v>
      </c>
      <c r="GI11" t="str">
        <f>"0.0106***"</f>
        <v>0.0106***</v>
      </c>
      <c r="GJ11" t="s">
        <v>3258</v>
      </c>
      <c r="GK11" t="s">
        <v>1054</v>
      </c>
      <c r="GL11" t="str">
        <f>"0.0105***"</f>
        <v>0.0105***</v>
      </c>
      <c r="GM11" t="s">
        <v>1729</v>
      </c>
      <c r="GN11" t="s">
        <v>731</v>
      </c>
      <c r="GO11" t="str">
        <f>"0.0105***"</f>
        <v>0.0105***</v>
      </c>
      <c r="GP11" t="s">
        <v>3258</v>
      </c>
      <c r="GQ11" t="s">
        <v>731</v>
      </c>
      <c r="GR11" t="str">
        <f>"0.0105***"</f>
        <v>0.0105***</v>
      </c>
      <c r="GS11" t="s">
        <v>3258</v>
      </c>
      <c r="GT11" t="s">
        <v>731</v>
      </c>
      <c r="GU11" t="str">
        <f>"0.0110***"</f>
        <v>0.0110***</v>
      </c>
      <c r="GV11" t="s">
        <v>1498</v>
      </c>
      <c r="GW11" t="s">
        <v>3259</v>
      </c>
      <c r="GX11" t="str">
        <f>"0.0114***"</f>
        <v>0.0114***</v>
      </c>
      <c r="GY11" t="s">
        <v>1550</v>
      </c>
      <c r="GZ11" t="s">
        <v>1547</v>
      </c>
      <c r="HA11" t="str">
        <f>"0.0122***"</f>
        <v>0.0122***</v>
      </c>
      <c r="HB11" t="s">
        <v>3260</v>
      </c>
      <c r="HC11" t="s">
        <v>747</v>
      </c>
      <c r="HD11" t="str">
        <f>"0.0125***"</f>
        <v>0.0125***</v>
      </c>
      <c r="HE11" t="s">
        <v>1496</v>
      </c>
      <c r="HF11" t="s">
        <v>971</v>
      </c>
      <c r="HG11" t="str">
        <f>"0.0133***"</f>
        <v>0.0133***</v>
      </c>
      <c r="HH11" t="s">
        <v>3261</v>
      </c>
      <c r="HI11" t="s">
        <v>1190</v>
      </c>
      <c r="HJ11" t="str">
        <f>"0.0136***"</f>
        <v>0.0136***</v>
      </c>
      <c r="HK11" t="s">
        <v>3262</v>
      </c>
      <c r="HL11" t="s">
        <v>1670</v>
      </c>
      <c r="HM11" t="str">
        <f>"0.0134***"</f>
        <v>0.0134***</v>
      </c>
      <c r="HN11" t="s">
        <v>3261</v>
      </c>
      <c r="HO11" t="s">
        <v>947</v>
      </c>
      <c r="HP11" t="str">
        <f>"0.0122***"</f>
        <v>0.0122***</v>
      </c>
      <c r="HQ11" t="s">
        <v>1493</v>
      </c>
      <c r="HR11" t="s">
        <v>642</v>
      </c>
      <c r="HS11" t="str">
        <f>"0.0119***"</f>
        <v>0.0119***</v>
      </c>
      <c r="HT11" t="s">
        <v>3263</v>
      </c>
      <c r="HU11" t="s">
        <v>1546</v>
      </c>
      <c r="HV11" t="str">
        <f>"0.0117***"</f>
        <v>0.0117***</v>
      </c>
      <c r="HW11" t="s">
        <v>2829</v>
      </c>
      <c r="HX11" t="s">
        <v>2828</v>
      </c>
      <c r="HY11" t="str">
        <f>"0.0117***"</f>
        <v>0.0117***</v>
      </c>
      <c r="HZ11" t="s">
        <v>2829</v>
      </c>
      <c r="IA11" t="s">
        <v>2828</v>
      </c>
      <c r="IB11" t="str">
        <f>"0.0122***"</f>
        <v>0.0122***</v>
      </c>
      <c r="IC11" t="s">
        <v>1493</v>
      </c>
      <c r="ID11" t="s">
        <v>642</v>
      </c>
      <c r="IE11" t="str">
        <f>"0.0153***"</f>
        <v>0.0153***</v>
      </c>
      <c r="IF11" t="s">
        <v>1534</v>
      </c>
      <c r="IG11" t="s">
        <v>3264</v>
      </c>
      <c r="IH11" t="str">
        <f>"0.0164***"</f>
        <v>0.0164***</v>
      </c>
      <c r="II11" t="s">
        <v>1071</v>
      </c>
      <c r="IJ11" t="s">
        <v>2851</v>
      </c>
      <c r="IK11" t="str">
        <f>"0.0159***"</f>
        <v>0.0159***</v>
      </c>
      <c r="IL11" t="s">
        <v>1531</v>
      </c>
      <c r="IM11" t="s">
        <v>1537</v>
      </c>
      <c r="IN11" t="str">
        <f>"0.0152***"</f>
        <v>0.0152***</v>
      </c>
      <c r="IO11" t="s">
        <v>1542</v>
      </c>
      <c r="IP11" t="s">
        <v>536</v>
      </c>
      <c r="IQ11" t="str">
        <f>"0.0150***"</f>
        <v>0.0150***</v>
      </c>
      <c r="IR11" t="s">
        <v>1541</v>
      </c>
      <c r="IS11" t="s">
        <v>743</v>
      </c>
      <c r="IT11" t="str">
        <f>"0.0155***"</f>
        <v>0.0155***</v>
      </c>
      <c r="IU11" t="s">
        <v>752</v>
      </c>
      <c r="IV11" t="s">
        <v>1475</v>
      </c>
      <c r="IW11" t="str">
        <f>"0.0148***"</f>
        <v>0.0148***</v>
      </c>
      <c r="IX11" t="s">
        <v>1727</v>
      </c>
      <c r="IY11" t="s">
        <v>528</v>
      </c>
      <c r="IZ11" t="str">
        <f>"0.0143***"</f>
        <v>0.0143***</v>
      </c>
      <c r="JA11" t="s">
        <v>3265</v>
      </c>
      <c r="JB11" t="s">
        <v>1532</v>
      </c>
      <c r="JC11" t="str">
        <f>"0.0148***"</f>
        <v>0.0148***</v>
      </c>
      <c r="JD11" t="s">
        <v>1727</v>
      </c>
      <c r="JE11" t="s">
        <v>609</v>
      </c>
      <c r="JF11" t="str">
        <f>"0.0174***"</f>
        <v>0.0174***</v>
      </c>
      <c r="JG11" t="s">
        <v>2873</v>
      </c>
      <c r="JH11" t="s">
        <v>1479</v>
      </c>
      <c r="JI11" t="str">
        <f>"0.0176***"</f>
        <v>0.0176***</v>
      </c>
      <c r="JJ11" t="s">
        <v>754</v>
      </c>
      <c r="JK11" t="s">
        <v>995</v>
      </c>
      <c r="JL11" t="str">
        <f>"0.0148***"</f>
        <v>0.0148***</v>
      </c>
      <c r="JM11" t="s">
        <v>1727</v>
      </c>
      <c r="JN11" t="s">
        <v>1021</v>
      </c>
      <c r="JO11" t="str">
        <f>"0.0143***"</f>
        <v>0.0143***</v>
      </c>
      <c r="JP11" t="s">
        <v>2817</v>
      </c>
      <c r="JQ11" t="s">
        <v>1532</v>
      </c>
      <c r="JR11" t="str">
        <f>"0.0181***"</f>
        <v>0.0181***</v>
      </c>
      <c r="JS11" t="s">
        <v>1477</v>
      </c>
      <c r="JT11" t="s">
        <v>3266</v>
      </c>
      <c r="JU11" t="str">
        <f>"0.0151***"</f>
        <v>0.0151***</v>
      </c>
      <c r="JV11" t="s">
        <v>1541</v>
      </c>
      <c r="JW11" t="s">
        <v>3264</v>
      </c>
      <c r="JX11" t="str">
        <f>"0.0180***"</f>
        <v>0.0180***</v>
      </c>
      <c r="JY11" t="s">
        <v>3267</v>
      </c>
      <c r="JZ11" t="s">
        <v>966</v>
      </c>
      <c r="KA11" t="str">
        <f>"0.0185***"</f>
        <v>0.0185***</v>
      </c>
      <c r="KB11" t="s">
        <v>3268</v>
      </c>
      <c r="KC11" t="s">
        <v>3269</v>
      </c>
      <c r="KD11" t="str">
        <f>"0.0179***"</f>
        <v>0.0179***</v>
      </c>
      <c r="KE11" t="s">
        <v>1526</v>
      </c>
      <c r="KF11" t="s">
        <v>992</v>
      </c>
      <c r="KG11" t="str">
        <f>"0.0193***"</f>
        <v>0.0193***</v>
      </c>
      <c r="KH11" t="s">
        <v>1478</v>
      </c>
      <c r="KI11" t="s">
        <v>1516</v>
      </c>
      <c r="KJ11" t="str">
        <f>"0.0201***"</f>
        <v>0.0201***</v>
      </c>
      <c r="KK11" t="s">
        <v>1522</v>
      </c>
      <c r="KL11" t="s">
        <v>1214</v>
      </c>
    </row>
    <row r="12" spans="1:298" x14ac:dyDescent="0.2">
      <c r="A12" t="str">
        <f>"feminino"</f>
        <v>feminino</v>
      </c>
      <c r="B12" t="str">
        <f>"-0.00443***"</f>
        <v>-0.00443***</v>
      </c>
      <c r="C12" t="s">
        <v>664</v>
      </c>
      <c r="D12" t="s">
        <v>949</v>
      </c>
      <c r="E12" t="str">
        <f>"-0.00544***"</f>
        <v>-0.00544***</v>
      </c>
      <c r="F12" t="s">
        <v>656</v>
      </c>
      <c r="G12" t="s">
        <v>1111</v>
      </c>
      <c r="H12" t="str">
        <f>"-0.00437***"</f>
        <v>-0.00437***</v>
      </c>
      <c r="I12" t="s">
        <v>654</v>
      </c>
      <c r="J12" t="s">
        <v>949</v>
      </c>
      <c r="K12" t="str">
        <f>"-0.00405***"</f>
        <v>-0.00405***</v>
      </c>
      <c r="L12" t="s">
        <v>1514</v>
      </c>
      <c r="M12" t="s">
        <v>705</v>
      </c>
      <c r="N12" t="str">
        <f>"-0.00307***"</f>
        <v>-0.00307***</v>
      </c>
      <c r="O12" t="s">
        <v>670</v>
      </c>
      <c r="P12" t="s">
        <v>962</v>
      </c>
      <c r="Q12" t="str">
        <f>"-0.00340***"</f>
        <v>-0.00340***</v>
      </c>
      <c r="R12" t="s">
        <v>1505</v>
      </c>
      <c r="S12" t="s">
        <v>1508</v>
      </c>
      <c r="T12" t="str">
        <f>"-0.00281***"</f>
        <v>-0.00281***</v>
      </c>
      <c r="U12" t="s">
        <v>650</v>
      </c>
      <c r="V12" t="s">
        <v>1510</v>
      </c>
      <c r="W12" t="str">
        <f>"-0.00251***"</f>
        <v>-0.00251***</v>
      </c>
      <c r="X12" t="s">
        <v>700</v>
      </c>
      <c r="Y12" t="s">
        <v>1511</v>
      </c>
      <c r="Z12" t="str">
        <f>"-0.00245***"</f>
        <v>-0.00245***</v>
      </c>
      <c r="AA12" t="s">
        <v>345</v>
      </c>
      <c r="AB12" t="s">
        <v>1453</v>
      </c>
      <c r="AC12" t="str">
        <f>"-0.00191***"</f>
        <v>-0.00191***</v>
      </c>
      <c r="AD12" t="s">
        <v>911</v>
      </c>
      <c r="AE12" t="s">
        <v>1512</v>
      </c>
      <c r="AF12" t="str">
        <f>"-0.00155***"</f>
        <v>-0.00155***</v>
      </c>
      <c r="AG12" t="s">
        <v>933</v>
      </c>
      <c r="AH12" t="s">
        <v>1086</v>
      </c>
      <c r="AI12" t="str">
        <f>"-0.00117***"</f>
        <v>-0.00117***</v>
      </c>
      <c r="AJ12" t="s">
        <v>916</v>
      </c>
      <c r="AK12" t="s">
        <v>704</v>
      </c>
      <c r="AL12" t="str">
        <f>"-0.00104***"</f>
        <v>-0.00104***</v>
      </c>
      <c r="AM12" t="s">
        <v>674</v>
      </c>
      <c r="AN12" t="s">
        <v>1119</v>
      </c>
      <c r="AO12" t="str">
        <f>"-0.00105***"</f>
        <v>-0.00105***</v>
      </c>
      <c r="AP12" t="s">
        <v>674</v>
      </c>
      <c r="AQ12" t="s">
        <v>1119</v>
      </c>
      <c r="AR12" t="str">
        <f>"-0.00103***"</f>
        <v>-0.00103***</v>
      </c>
      <c r="AS12" t="s">
        <v>674</v>
      </c>
      <c r="AT12" t="s">
        <v>1119</v>
      </c>
      <c r="AU12" t="str">
        <f>"-0.00104***"</f>
        <v>-0.00104***</v>
      </c>
      <c r="AV12" t="s">
        <v>674</v>
      </c>
      <c r="AW12" t="s">
        <v>1119</v>
      </c>
      <c r="AX12" t="str">
        <f>"-0.00101***"</f>
        <v>-0.00101***</v>
      </c>
      <c r="AY12" t="s">
        <v>674</v>
      </c>
      <c r="AZ12" t="s">
        <v>1119</v>
      </c>
      <c r="BA12" t="str">
        <f>"-0.00102***"</f>
        <v>-0.00102***</v>
      </c>
      <c r="BB12" t="s">
        <v>674</v>
      </c>
      <c r="BC12" t="s">
        <v>1119</v>
      </c>
      <c r="BD12" t="str">
        <f>"-0.00109***"</f>
        <v>-0.00109***</v>
      </c>
      <c r="BE12" t="s">
        <v>932</v>
      </c>
      <c r="BF12" t="s">
        <v>704</v>
      </c>
      <c r="BG12" t="str">
        <f>"-0.00108***"</f>
        <v>-0.00108***</v>
      </c>
      <c r="BH12" t="s">
        <v>932</v>
      </c>
      <c r="BI12" t="s">
        <v>704</v>
      </c>
      <c r="BJ12" t="str">
        <f>"-0.00106***"</f>
        <v>-0.00106***</v>
      </c>
      <c r="BK12" t="s">
        <v>932</v>
      </c>
      <c r="BL12" t="s">
        <v>704</v>
      </c>
      <c r="BM12" t="str">
        <f>"-0.00108***"</f>
        <v>-0.00108***</v>
      </c>
      <c r="BN12" t="s">
        <v>932</v>
      </c>
      <c r="BO12" t="s">
        <v>704</v>
      </c>
      <c r="BP12" t="str">
        <f>"-0.00108***"</f>
        <v>-0.00108***</v>
      </c>
      <c r="BQ12" t="s">
        <v>932</v>
      </c>
      <c r="BR12" t="s">
        <v>704</v>
      </c>
      <c r="BS12" t="str">
        <f>"-0.00112***"</f>
        <v>-0.00112***</v>
      </c>
      <c r="BT12" t="s">
        <v>932</v>
      </c>
      <c r="BU12" t="s">
        <v>704</v>
      </c>
      <c r="BV12" t="str">
        <f>"-0.00123***"</f>
        <v>-0.00123***</v>
      </c>
      <c r="BW12" t="s">
        <v>720</v>
      </c>
      <c r="BX12" t="s">
        <v>810</v>
      </c>
      <c r="BY12" t="str">
        <f>"-0.00130***"</f>
        <v>-0.00130***</v>
      </c>
      <c r="BZ12" t="s">
        <v>681</v>
      </c>
      <c r="CA12" t="s">
        <v>810</v>
      </c>
      <c r="CB12" t="str">
        <f>"-0.00137***"</f>
        <v>-0.00137***</v>
      </c>
      <c r="CC12" t="s">
        <v>652</v>
      </c>
      <c r="CD12" t="s">
        <v>1084</v>
      </c>
      <c r="CE12" t="str">
        <f>"-0.00144***"</f>
        <v>-0.00144***</v>
      </c>
      <c r="CF12" t="s">
        <v>1014</v>
      </c>
      <c r="CG12" t="s">
        <v>1084</v>
      </c>
      <c r="CH12" t="str">
        <f>"-0.00155***"</f>
        <v>-0.00155***</v>
      </c>
      <c r="CI12" t="s">
        <v>933</v>
      </c>
      <c r="CJ12" t="s">
        <v>1086</v>
      </c>
      <c r="CK12" t="str">
        <f>"-0.00163***"</f>
        <v>-0.00163***</v>
      </c>
      <c r="CL12" t="s">
        <v>717</v>
      </c>
      <c r="CM12" t="s">
        <v>1086</v>
      </c>
      <c r="CN12" t="str">
        <f>"-0.00170***"</f>
        <v>-0.00170***</v>
      </c>
      <c r="CO12" t="s">
        <v>639</v>
      </c>
      <c r="CP12" t="s">
        <v>1513</v>
      </c>
      <c r="CQ12" t="str">
        <f>"-0.00183***"</f>
        <v>-0.00183***</v>
      </c>
      <c r="CR12" t="s">
        <v>945</v>
      </c>
      <c r="CS12" t="s">
        <v>1513</v>
      </c>
      <c r="CT12" t="str">
        <f>"-0.00203***"</f>
        <v>-0.00203***</v>
      </c>
      <c r="CU12" t="s">
        <v>711</v>
      </c>
      <c r="CV12" t="s">
        <v>812</v>
      </c>
      <c r="CW12" t="str">
        <f>"-0.00217***"</f>
        <v>-0.00217***</v>
      </c>
      <c r="CX12" t="s">
        <v>922</v>
      </c>
      <c r="CY12" t="s">
        <v>1089</v>
      </c>
      <c r="CZ12" t="str">
        <f>"-0.00231***"</f>
        <v>-0.00231***</v>
      </c>
      <c r="DA12" t="s">
        <v>640</v>
      </c>
      <c r="DB12" t="s">
        <v>1089</v>
      </c>
      <c r="DC12" t="str">
        <f>"-0.00240***"</f>
        <v>-0.00240***</v>
      </c>
      <c r="DD12" t="s">
        <v>703</v>
      </c>
      <c r="DE12" t="s">
        <v>1453</v>
      </c>
      <c r="DF12" t="str">
        <f>"-0.00248***"</f>
        <v>-0.00248***</v>
      </c>
      <c r="DG12" t="s">
        <v>345</v>
      </c>
      <c r="DH12" t="s">
        <v>1511</v>
      </c>
      <c r="DI12" t="str">
        <f>"-0.00259***"</f>
        <v>-0.00259***</v>
      </c>
      <c r="DJ12" t="s">
        <v>919</v>
      </c>
      <c r="DK12" t="s">
        <v>1511</v>
      </c>
      <c r="DL12" t="str">
        <f>"-0.00256***"</f>
        <v>-0.00256***</v>
      </c>
      <c r="DM12" t="s">
        <v>700</v>
      </c>
      <c r="DN12" t="s">
        <v>1511</v>
      </c>
      <c r="DO12" t="str">
        <f>"-0.00254***"</f>
        <v>-0.00254***</v>
      </c>
      <c r="DP12" t="s">
        <v>700</v>
      </c>
      <c r="DQ12" t="s">
        <v>1511</v>
      </c>
      <c r="DR12" t="str">
        <f>"-0.00253***"</f>
        <v>-0.00253***</v>
      </c>
      <c r="DS12" t="s">
        <v>700</v>
      </c>
      <c r="DT12" t="s">
        <v>1511</v>
      </c>
      <c r="DU12" t="str">
        <f>"-0.00255***"</f>
        <v>-0.00255***</v>
      </c>
      <c r="DV12" t="s">
        <v>700</v>
      </c>
      <c r="DW12" t="s">
        <v>1511</v>
      </c>
      <c r="DX12" t="str">
        <f>"-0.00259***"</f>
        <v>-0.00259***</v>
      </c>
      <c r="DY12" t="s">
        <v>700</v>
      </c>
      <c r="DZ12" t="s">
        <v>1511</v>
      </c>
      <c r="EA12" t="str">
        <f>"-0.00259***"</f>
        <v>-0.00259***</v>
      </c>
      <c r="EB12" t="s">
        <v>700</v>
      </c>
      <c r="EC12" t="s">
        <v>1511</v>
      </c>
      <c r="ED12" t="str">
        <f>"-0.00271***"</f>
        <v>-0.00271***</v>
      </c>
      <c r="EE12" t="s">
        <v>697</v>
      </c>
      <c r="EF12" t="s">
        <v>1510</v>
      </c>
      <c r="EG12" t="str">
        <f>"-0.00290***"</f>
        <v>-0.00290***</v>
      </c>
      <c r="EH12" t="s">
        <v>1515</v>
      </c>
      <c r="EI12" t="s">
        <v>1509</v>
      </c>
      <c r="EJ12" t="str">
        <f>"-0.00308***"</f>
        <v>-0.00308***</v>
      </c>
      <c r="EK12" t="s">
        <v>670</v>
      </c>
      <c r="EL12" t="s">
        <v>962</v>
      </c>
      <c r="EM12" t="str">
        <f>"-0.00317***"</f>
        <v>-0.00317***</v>
      </c>
      <c r="EN12" t="s">
        <v>663</v>
      </c>
      <c r="EO12" t="s">
        <v>1452</v>
      </c>
      <c r="EP12" t="str">
        <f>"-0.00324***"</f>
        <v>-0.00324***</v>
      </c>
      <c r="EQ12" t="s">
        <v>914</v>
      </c>
      <c r="ER12" t="s">
        <v>1452</v>
      </c>
      <c r="ES12" t="str">
        <f>"-0.00333***"</f>
        <v>-0.00333***</v>
      </c>
      <c r="ET12" t="s">
        <v>693</v>
      </c>
      <c r="EU12" t="s">
        <v>1508</v>
      </c>
      <c r="EV12" t="str">
        <f>"-0.00336***"</f>
        <v>-0.00336***</v>
      </c>
      <c r="EW12" t="s">
        <v>693</v>
      </c>
      <c r="EX12" t="s">
        <v>1508</v>
      </c>
      <c r="EY12" t="str">
        <f>"-0.00328***"</f>
        <v>-0.00328***</v>
      </c>
      <c r="EZ12" t="s">
        <v>666</v>
      </c>
      <c r="FA12" t="s">
        <v>1508</v>
      </c>
      <c r="FB12" t="str">
        <f>"-0.00326***"</f>
        <v>-0.00326***</v>
      </c>
      <c r="FC12" t="s">
        <v>666</v>
      </c>
      <c r="FD12" t="s">
        <v>1452</v>
      </c>
      <c r="FE12" t="str">
        <f>"-0.00327***"</f>
        <v>-0.00327***</v>
      </c>
      <c r="FF12" t="s">
        <v>666</v>
      </c>
      <c r="FG12" t="s">
        <v>1508</v>
      </c>
      <c r="FH12" t="str">
        <f>"-0.00330***"</f>
        <v>-0.00330***</v>
      </c>
      <c r="FI12" t="s">
        <v>666</v>
      </c>
      <c r="FJ12" t="s">
        <v>1508</v>
      </c>
      <c r="FK12" t="str">
        <f>"-0.00327***"</f>
        <v>-0.00327***</v>
      </c>
      <c r="FL12" t="s">
        <v>666</v>
      </c>
      <c r="FM12" t="s">
        <v>1508</v>
      </c>
      <c r="FN12" t="str">
        <f>"-0.00322***"</f>
        <v>-0.00322***</v>
      </c>
      <c r="FO12" t="s">
        <v>914</v>
      </c>
      <c r="FP12" t="s">
        <v>1452</v>
      </c>
      <c r="FQ12" t="str">
        <f>"-0.00329***"</f>
        <v>-0.00329***</v>
      </c>
      <c r="FR12" t="s">
        <v>666</v>
      </c>
      <c r="FS12" t="s">
        <v>1508</v>
      </c>
      <c r="FT12" t="str">
        <f>"-0.00333***"</f>
        <v>-0.00333***</v>
      </c>
      <c r="FU12" t="s">
        <v>693</v>
      </c>
      <c r="FV12" t="s">
        <v>1508</v>
      </c>
      <c r="FW12" t="str">
        <f>"-0.00339***"</f>
        <v>-0.00339***</v>
      </c>
      <c r="FX12" t="s">
        <v>1505</v>
      </c>
      <c r="FY12" t="s">
        <v>1508</v>
      </c>
      <c r="FZ12" t="str">
        <f>"-0.00340***"</f>
        <v>-0.00340***</v>
      </c>
      <c r="GA12" t="s">
        <v>1505</v>
      </c>
      <c r="GB12" t="s">
        <v>1508</v>
      </c>
      <c r="GC12" t="str">
        <f>"-0.00341***"</f>
        <v>-0.00341***</v>
      </c>
      <c r="GD12" t="s">
        <v>1505</v>
      </c>
      <c r="GE12" t="s">
        <v>1508</v>
      </c>
      <c r="GF12" t="str">
        <f>"-0.00339***"</f>
        <v>-0.00339***</v>
      </c>
      <c r="GG12" t="s">
        <v>693</v>
      </c>
      <c r="GH12" t="s">
        <v>1508</v>
      </c>
      <c r="GI12" t="str">
        <f>"-0.00333***"</f>
        <v>-0.00333***</v>
      </c>
      <c r="GJ12" t="s">
        <v>693</v>
      </c>
      <c r="GK12" t="s">
        <v>1508</v>
      </c>
      <c r="GL12" t="str">
        <f>"-0.00329***"</f>
        <v>-0.00329***</v>
      </c>
      <c r="GM12" t="s">
        <v>666</v>
      </c>
      <c r="GN12" t="s">
        <v>1508</v>
      </c>
      <c r="GO12" t="str">
        <f>"-0.00329***"</f>
        <v>-0.00329***</v>
      </c>
      <c r="GP12" t="s">
        <v>666</v>
      </c>
      <c r="GQ12" t="s">
        <v>1508</v>
      </c>
      <c r="GR12" t="str">
        <f>"-0.00324***"</f>
        <v>-0.00324***</v>
      </c>
      <c r="GS12" t="s">
        <v>914</v>
      </c>
      <c r="GT12" t="s">
        <v>1452</v>
      </c>
      <c r="GU12" t="str">
        <f>"-0.00340***"</f>
        <v>-0.00340***</v>
      </c>
      <c r="GV12" t="s">
        <v>1505</v>
      </c>
      <c r="GW12" t="s">
        <v>1508</v>
      </c>
      <c r="GX12" t="str">
        <f>"-0.00353***"</f>
        <v>-0.00353***</v>
      </c>
      <c r="GY12" t="s">
        <v>910</v>
      </c>
      <c r="GZ12" t="s">
        <v>1507</v>
      </c>
      <c r="HA12" t="str">
        <f>"-0.00370***"</f>
        <v>-0.00370***</v>
      </c>
      <c r="HB12" t="s">
        <v>909</v>
      </c>
      <c r="HC12" t="s">
        <v>1506</v>
      </c>
      <c r="HD12" t="str">
        <f>"-0.00377***"</f>
        <v>-0.00377***</v>
      </c>
      <c r="HE12" t="s">
        <v>672</v>
      </c>
      <c r="HF12" t="s">
        <v>1115</v>
      </c>
      <c r="HG12" t="str">
        <f>"-0.00398***"</f>
        <v>-0.00398***</v>
      </c>
      <c r="HH12" t="s">
        <v>741</v>
      </c>
      <c r="HI12" t="s">
        <v>705</v>
      </c>
      <c r="HJ12" t="str">
        <f>"-0.00401***"</f>
        <v>-0.00401***</v>
      </c>
      <c r="HK12" t="s">
        <v>741</v>
      </c>
      <c r="HL12" t="s">
        <v>705</v>
      </c>
      <c r="HM12" t="str">
        <f>"-0.00389***"</f>
        <v>-0.00389***</v>
      </c>
      <c r="HN12" t="s">
        <v>1118</v>
      </c>
      <c r="HO12" t="s">
        <v>1115</v>
      </c>
      <c r="HP12" t="str">
        <f>"-0.00351***"</f>
        <v>-0.00351***</v>
      </c>
      <c r="HQ12" t="s">
        <v>910</v>
      </c>
      <c r="HR12" t="s">
        <v>1507</v>
      </c>
      <c r="HS12" t="str">
        <f>"-0.00342***"</f>
        <v>-0.00342***</v>
      </c>
      <c r="HT12" t="s">
        <v>1505</v>
      </c>
      <c r="HU12" t="s">
        <v>1508</v>
      </c>
      <c r="HV12" t="str">
        <f>"-0.00341***"</f>
        <v>-0.00341***</v>
      </c>
      <c r="HW12" t="s">
        <v>1505</v>
      </c>
      <c r="HX12" t="s">
        <v>1508</v>
      </c>
      <c r="HY12" t="str">
        <f>"-0.00341***"</f>
        <v>-0.00341***</v>
      </c>
      <c r="HZ12" t="s">
        <v>1505</v>
      </c>
      <c r="IA12" t="s">
        <v>1508</v>
      </c>
      <c r="IB12" t="str">
        <f>"-0.00353***"</f>
        <v>-0.00353***</v>
      </c>
      <c r="IC12" t="s">
        <v>910</v>
      </c>
      <c r="ID12" t="s">
        <v>1507</v>
      </c>
      <c r="IE12" t="str">
        <f>"-0.00438***"</f>
        <v>-0.00438***</v>
      </c>
      <c r="IF12" t="s">
        <v>654</v>
      </c>
      <c r="IG12" t="s">
        <v>949</v>
      </c>
      <c r="IH12" t="str">
        <f>"-0.00463***"</f>
        <v>-0.00463***</v>
      </c>
      <c r="II12" t="s">
        <v>974</v>
      </c>
      <c r="IJ12" t="s">
        <v>1063</v>
      </c>
      <c r="IK12" t="str">
        <f>"-0.00447***"</f>
        <v>-0.00447***</v>
      </c>
      <c r="IL12" t="s">
        <v>2857</v>
      </c>
      <c r="IM12" t="s">
        <v>1503</v>
      </c>
      <c r="IN12" t="str">
        <f>"-0.00422***"</f>
        <v>-0.00422***</v>
      </c>
      <c r="IO12" t="s">
        <v>686</v>
      </c>
      <c r="IP12" t="s">
        <v>1201</v>
      </c>
      <c r="IQ12" t="str">
        <f>"-0.00425***"</f>
        <v>-0.00425***</v>
      </c>
      <c r="IR12" t="s">
        <v>686</v>
      </c>
      <c r="IS12" t="s">
        <v>949</v>
      </c>
      <c r="IT12" t="str">
        <f>"-0.00441***"</f>
        <v>-0.00441***</v>
      </c>
      <c r="IU12" t="s">
        <v>2857</v>
      </c>
      <c r="IV12" t="s">
        <v>1503</v>
      </c>
      <c r="IW12" t="str">
        <f>"-0.00417***"</f>
        <v>-0.00417***</v>
      </c>
      <c r="IX12" t="s">
        <v>1159</v>
      </c>
      <c r="IY12" t="s">
        <v>1201</v>
      </c>
      <c r="IZ12" t="str">
        <f>"-0.00403***"</f>
        <v>-0.00403***</v>
      </c>
      <c r="JA12" t="s">
        <v>741</v>
      </c>
      <c r="JB12" t="s">
        <v>705</v>
      </c>
      <c r="JC12" t="str">
        <f>"-0.00412***"</f>
        <v>-0.00412***</v>
      </c>
      <c r="JD12" t="s">
        <v>1159</v>
      </c>
      <c r="JE12" t="s">
        <v>1201</v>
      </c>
      <c r="JF12" t="str">
        <f>"-0.00487***"</f>
        <v>-0.00487***</v>
      </c>
      <c r="JG12" t="s">
        <v>908</v>
      </c>
      <c r="JH12" t="s">
        <v>1502</v>
      </c>
      <c r="JI12" t="str">
        <f>"-0.00491***"</f>
        <v>-0.00491***</v>
      </c>
      <c r="JJ12" t="s">
        <v>967</v>
      </c>
      <c r="JK12" t="s">
        <v>1504</v>
      </c>
      <c r="JL12" t="str">
        <f>"-0.00413***"</f>
        <v>-0.00413***</v>
      </c>
      <c r="JM12" t="s">
        <v>1159</v>
      </c>
      <c r="JN12" t="s">
        <v>1201</v>
      </c>
      <c r="JO12" t="str">
        <f>"-0.00408***"</f>
        <v>-0.00408***</v>
      </c>
      <c r="JP12" t="s">
        <v>1514</v>
      </c>
      <c r="JQ12" t="s">
        <v>705</v>
      </c>
      <c r="JR12" t="str">
        <f>"-0.00527***"</f>
        <v>-0.00527***</v>
      </c>
      <c r="JS12" t="s">
        <v>3270</v>
      </c>
      <c r="JT12" t="s">
        <v>847</v>
      </c>
      <c r="JU12" t="str">
        <f>"-0.00449***"</f>
        <v>-0.00449***</v>
      </c>
      <c r="JV12" t="s">
        <v>664</v>
      </c>
      <c r="JW12" t="s">
        <v>1503</v>
      </c>
      <c r="JX12" t="str">
        <f>"-0.00552***"</f>
        <v>-0.00552***</v>
      </c>
      <c r="JY12" t="s">
        <v>676</v>
      </c>
      <c r="JZ12" t="s">
        <v>1111</v>
      </c>
      <c r="KA12" t="str">
        <f>"-0.00572***"</f>
        <v>-0.00572***</v>
      </c>
      <c r="KB12" t="s">
        <v>668</v>
      </c>
      <c r="KC12" t="s">
        <v>825</v>
      </c>
      <c r="KD12" t="str">
        <f>"-0.00567***"</f>
        <v>-0.00567***</v>
      </c>
      <c r="KE12" t="s">
        <v>668</v>
      </c>
      <c r="KF12" t="s">
        <v>825</v>
      </c>
      <c r="KG12" t="str">
        <f>"-0.00581***"</f>
        <v>-0.00581***</v>
      </c>
      <c r="KH12" t="s">
        <v>948</v>
      </c>
      <c r="KI12" t="s">
        <v>825</v>
      </c>
      <c r="KJ12" t="str">
        <f>"-0.00548***"</f>
        <v>-0.00548***</v>
      </c>
      <c r="KK12" t="s">
        <v>2827</v>
      </c>
      <c r="KL12" t="s">
        <v>1500</v>
      </c>
    </row>
    <row r="13" spans="1:298" x14ac:dyDescent="0.2">
      <c r="A13" t="str">
        <f>"ppi"</f>
        <v>ppi</v>
      </c>
      <c r="B13" t="str">
        <f>"-0.00140**"</f>
        <v>-0.00140**</v>
      </c>
      <c r="C13" t="s">
        <v>717</v>
      </c>
      <c r="D13" t="s">
        <v>1119</v>
      </c>
      <c r="E13" t="str">
        <f>"-0.00185***"</f>
        <v>-0.00185***</v>
      </c>
      <c r="F13" t="s">
        <v>783</v>
      </c>
      <c r="G13" t="s">
        <v>1086</v>
      </c>
      <c r="H13" t="str">
        <f>"-0.00121***"</f>
        <v>-0.00121***</v>
      </c>
      <c r="I13" t="s">
        <v>681</v>
      </c>
      <c r="J13" t="s">
        <v>1119</v>
      </c>
      <c r="K13" t="str">
        <f>"-0.00135***"</f>
        <v>-0.00135***</v>
      </c>
      <c r="L13" t="s">
        <v>1014</v>
      </c>
      <c r="M13" t="s">
        <v>810</v>
      </c>
      <c r="N13" t="str">
        <f>"-0.00104***"</f>
        <v>-0.00104***</v>
      </c>
      <c r="O13" t="s">
        <v>932</v>
      </c>
      <c r="P13" t="s">
        <v>1119</v>
      </c>
      <c r="Q13" t="str">
        <f>"-0.00121***"</f>
        <v>-0.00121***</v>
      </c>
      <c r="R13" t="s">
        <v>720</v>
      </c>
      <c r="S13" t="s">
        <v>704</v>
      </c>
      <c r="T13" t="str">
        <f>"-0.00129***"</f>
        <v>-0.00129***</v>
      </c>
      <c r="U13" t="s">
        <v>681</v>
      </c>
      <c r="V13" t="s">
        <v>810</v>
      </c>
      <c r="W13" t="str">
        <f>"-0.00124***"</f>
        <v>-0.00124***</v>
      </c>
      <c r="X13" t="s">
        <v>720</v>
      </c>
      <c r="Y13" t="s">
        <v>810</v>
      </c>
      <c r="Z13" t="str">
        <f>"-0.00129***"</f>
        <v>-0.00129***</v>
      </c>
      <c r="AA13" t="s">
        <v>720</v>
      </c>
      <c r="AB13" t="s">
        <v>1084</v>
      </c>
      <c r="AC13" t="str">
        <f>"-0.00106***"</f>
        <v>-0.00106***</v>
      </c>
      <c r="AD13" t="s">
        <v>674</v>
      </c>
      <c r="AE13" t="s">
        <v>704</v>
      </c>
      <c r="AF13" t="str">
        <f>"-0.000869***"</f>
        <v>-0.000869***</v>
      </c>
      <c r="AG13" t="s">
        <v>935</v>
      </c>
      <c r="AH13" t="s">
        <v>1119</v>
      </c>
      <c r="AI13" t="str">
        <f>"-0.000606***"</f>
        <v>-0.000606***</v>
      </c>
      <c r="AJ13" t="s">
        <v>707</v>
      </c>
      <c r="AK13" t="s">
        <v>815</v>
      </c>
      <c r="AL13" t="str">
        <f>"-0.000654***"</f>
        <v>-0.000654***</v>
      </c>
      <c r="AM13" t="s">
        <v>931</v>
      </c>
      <c r="AN13" t="s">
        <v>815</v>
      </c>
      <c r="AO13" t="str">
        <f>"-0.000737***"</f>
        <v>-0.000737***</v>
      </c>
      <c r="AP13" t="s">
        <v>647</v>
      </c>
      <c r="AQ13" t="s">
        <v>1454</v>
      </c>
      <c r="AR13" t="str">
        <f>"-0.000680***"</f>
        <v>-0.000680***</v>
      </c>
      <c r="AS13" t="s">
        <v>931</v>
      </c>
      <c r="AT13" t="s">
        <v>1454</v>
      </c>
      <c r="AU13" t="str">
        <f>"-0.000603***"</f>
        <v>-0.000603***</v>
      </c>
      <c r="AV13" t="s">
        <v>707</v>
      </c>
      <c r="AW13" t="s">
        <v>815</v>
      </c>
      <c r="AX13" t="str">
        <f>"-0.000651***"</f>
        <v>-0.000651***</v>
      </c>
      <c r="AY13" t="s">
        <v>707</v>
      </c>
      <c r="AZ13" t="s">
        <v>1454</v>
      </c>
      <c r="BA13" t="str">
        <f>"-0.000659***"</f>
        <v>-0.000659***</v>
      </c>
      <c r="BB13" t="s">
        <v>931</v>
      </c>
      <c r="BC13" t="s">
        <v>1454</v>
      </c>
      <c r="BD13" t="str">
        <f>"-0.000724***"</f>
        <v>-0.000724***</v>
      </c>
      <c r="BE13" t="s">
        <v>931</v>
      </c>
      <c r="BF13" t="s">
        <v>1454</v>
      </c>
      <c r="BG13" t="str">
        <f>"-0.000729***"</f>
        <v>-0.000729***</v>
      </c>
      <c r="BH13" t="s">
        <v>931</v>
      </c>
      <c r="BI13" t="s">
        <v>1454</v>
      </c>
      <c r="BJ13" t="str">
        <f>"-0.000662***"</f>
        <v>-0.000662***</v>
      </c>
      <c r="BK13" t="s">
        <v>931</v>
      </c>
      <c r="BL13" t="s">
        <v>1454</v>
      </c>
      <c r="BM13" t="str">
        <f>"-0.000695***"</f>
        <v>-0.000695***</v>
      </c>
      <c r="BN13" t="s">
        <v>931</v>
      </c>
      <c r="BO13" t="s">
        <v>1454</v>
      </c>
      <c r="BP13" t="str">
        <f>"-0.000692***"</f>
        <v>-0.000692***</v>
      </c>
      <c r="BQ13" t="s">
        <v>931</v>
      </c>
      <c r="BR13" t="s">
        <v>1454</v>
      </c>
      <c r="BS13" t="str">
        <f>"-0.000751***"</f>
        <v>-0.000751***</v>
      </c>
      <c r="BT13" t="s">
        <v>647</v>
      </c>
      <c r="BU13" t="s">
        <v>1454</v>
      </c>
      <c r="BV13" t="str">
        <f>"-0.000911***"</f>
        <v>-0.000911***</v>
      </c>
      <c r="BW13" t="s">
        <v>435</v>
      </c>
      <c r="BX13" t="s">
        <v>704</v>
      </c>
      <c r="BY13" t="str">
        <f>"-0.000979***"</f>
        <v>-0.000979***</v>
      </c>
      <c r="BZ13" t="s">
        <v>935</v>
      </c>
      <c r="CA13" t="s">
        <v>704</v>
      </c>
      <c r="CB13" t="str">
        <f>"-0.000974***"</f>
        <v>-0.000974***</v>
      </c>
      <c r="CC13" t="s">
        <v>935</v>
      </c>
      <c r="CD13" t="s">
        <v>704</v>
      </c>
      <c r="CE13" t="str">
        <f>"-0.000975***"</f>
        <v>-0.000975***</v>
      </c>
      <c r="CF13" t="s">
        <v>935</v>
      </c>
      <c r="CG13" t="s">
        <v>704</v>
      </c>
      <c r="CH13" t="str">
        <f>"-0.000940***"</f>
        <v>-0.000940***</v>
      </c>
      <c r="CI13" t="s">
        <v>935</v>
      </c>
      <c r="CJ13" t="s">
        <v>704</v>
      </c>
      <c r="CK13" t="str">
        <f>"-0.00100***"</f>
        <v>-0.00100***</v>
      </c>
      <c r="CL13" t="s">
        <v>636</v>
      </c>
      <c r="CM13" t="s">
        <v>704</v>
      </c>
      <c r="CN13" t="str">
        <f>"-0.00108***"</f>
        <v>-0.00108***</v>
      </c>
      <c r="CO13" t="s">
        <v>674</v>
      </c>
      <c r="CP13" t="s">
        <v>810</v>
      </c>
      <c r="CQ13" t="str">
        <f>"-0.00116***"</f>
        <v>-0.00116***</v>
      </c>
      <c r="CR13" t="s">
        <v>932</v>
      </c>
      <c r="CS13" t="s">
        <v>1084</v>
      </c>
      <c r="CT13" t="str">
        <f>"-0.00129***"</f>
        <v>-0.00129***</v>
      </c>
      <c r="CU13" t="s">
        <v>916</v>
      </c>
      <c r="CV13" t="s">
        <v>1086</v>
      </c>
      <c r="CW13" t="str">
        <f>"-0.00140***"</f>
        <v>-0.00140***</v>
      </c>
      <c r="CX13" t="s">
        <v>681</v>
      </c>
      <c r="CY13" t="s">
        <v>1086</v>
      </c>
      <c r="CZ13" t="str">
        <f>"-0.00150***"</f>
        <v>-0.00150***</v>
      </c>
      <c r="DA13" t="s">
        <v>652</v>
      </c>
      <c r="DB13" t="s">
        <v>1513</v>
      </c>
      <c r="DC13" t="str">
        <f>"-0.00157***"</f>
        <v>-0.00157***</v>
      </c>
      <c r="DD13" t="s">
        <v>1014</v>
      </c>
      <c r="DE13" t="s">
        <v>1512</v>
      </c>
      <c r="DF13" t="str">
        <f>"-0.00159***"</f>
        <v>-0.00159***</v>
      </c>
      <c r="DG13" t="s">
        <v>1014</v>
      </c>
      <c r="DH13" t="s">
        <v>1512</v>
      </c>
      <c r="DI13" t="str">
        <f>"-0.00150***"</f>
        <v>-0.00150***</v>
      </c>
      <c r="DJ13" t="s">
        <v>652</v>
      </c>
      <c r="DK13" t="s">
        <v>1513</v>
      </c>
      <c r="DL13" t="str">
        <f>"-0.00151***"</f>
        <v>-0.00151***</v>
      </c>
      <c r="DM13" t="s">
        <v>652</v>
      </c>
      <c r="DN13" t="s">
        <v>1513</v>
      </c>
      <c r="DO13" t="str">
        <f>"-0.00150***"</f>
        <v>-0.00150***</v>
      </c>
      <c r="DP13" t="s">
        <v>652</v>
      </c>
      <c r="DQ13" t="s">
        <v>1513</v>
      </c>
      <c r="DR13" t="str">
        <f>"-0.00163***"</f>
        <v>-0.00163***</v>
      </c>
      <c r="DS13" t="s">
        <v>1014</v>
      </c>
      <c r="DT13" t="s">
        <v>1512</v>
      </c>
      <c r="DU13" t="str">
        <f>"-0.00171***"</f>
        <v>-0.00171***</v>
      </c>
      <c r="DV13" t="s">
        <v>933</v>
      </c>
      <c r="DW13" t="s">
        <v>812</v>
      </c>
      <c r="DX13" t="str">
        <f>"-0.00172***"</f>
        <v>-0.00172***</v>
      </c>
      <c r="DY13" t="s">
        <v>933</v>
      </c>
      <c r="DZ13" t="s">
        <v>812</v>
      </c>
      <c r="EA13" t="str">
        <f>"-0.00172***"</f>
        <v>-0.00172***</v>
      </c>
      <c r="EB13" t="s">
        <v>933</v>
      </c>
      <c r="EC13" t="s">
        <v>812</v>
      </c>
      <c r="ED13" t="str">
        <f>"-0.00160***"</f>
        <v>-0.00160***</v>
      </c>
      <c r="EE13" t="s">
        <v>1014</v>
      </c>
      <c r="EF13" t="s">
        <v>1512</v>
      </c>
      <c r="EG13" t="str">
        <f>"-0.00169***"</f>
        <v>-0.00169***</v>
      </c>
      <c r="EH13" t="s">
        <v>933</v>
      </c>
      <c r="EI13" t="s">
        <v>812</v>
      </c>
      <c r="EJ13" t="str">
        <f>"-0.00177***"</f>
        <v>-0.00177***</v>
      </c>
      <c r="EK13" t="s">
        <v>717</v>
      </c>
      <c r="EL13" t="s">
        <v>812</v>
      </c>
      <c r="EM13" t="str">
        <f>"-0.00187***"</f>
        <v>-0.00187***</v>
      </c>
      <c r="EN13" t="s">
        <v>639</v>
      </c>
      <c r="EO13" t="s">
        <v>1089</v>
      </c>
      <c r="EP13" t="str">
        <f>"-0.00190***"</f>
        <v>-0.00190***</v>
      </c>
      <c r="EQ13" t="s">
        <v>1012</v>
      </c>
      <c r="ER13" t="s">
        <v>1089</v>
      </c>
      <c r="ES13" t="str">
        <f>"-0.00189***"</f>
        <v>-0.00189***</v>
      </c>
      <c r="ET13" t="s">
        <v>1012</v>
      </c>
      <c r="EU13" t="s">
        <v>1089</v>
      </c>
      <c r="EV13" t="str">
        <f>"-0.00195***"</f>
        <v>-0.00195***</v>
      </c>
      <c r="EW13" t="s">
        <v>1012</v>
      </c>
      <c r="EX13" t="s">
        <v>1453</v>
      </c>
      <c r="EY13" t="str">
        <f>"-0.00197***"</f>
        <v>-0.00197***</v>
      </c>
      <c r="EZ13" t="s">
        <v>945</v>
      </c>
      <c r="FA13" t="s">
        <v>1453</v>
      </c>
      <c r="FB13" t="str">
        <f>"-0.00208***"</f>
        <v>-0.00208***</v>
      </c>
      <c r="FC13" t="s">
        <v>911</v>
      </c>
      <c r="FD13" t="s">
        <v>1511</v>
      </c>
      <c r="FE13" t="str">
        <f>"-0.00208***"</f>
        <v>-0.00208***</v>
      </c>
      <c r="FF13" t="s">
        <v>911</v>
      </c>
      <c r="FG13" t="s">
        <v>1511</v>
      </c>
      <c r="FH13" t="str">
        <f>"-0.00192***"</f>
        <v>-0.00192***</v>
      </c>
      <c r="FI13" t="s">
        <v>1012</v>
      </c>
      <c r="FJ13" t="s">
        <v>1089</v>
      </c>
      <c r="FK13" t="str">
        <f>"-0.00200***"</f>
        <v>-0.00200***</v>
      </c>
      <c r="FL13" t="s">
        <v>945</v>
      </c>
      <c r="FM13" t="s">
        <v>1453</v>
      </c>
      <c r="FN13" t="str">
        <f>"-0.00200***"</f>
        <v>-0.00200***</v>
      </c>
      <c r="FO13" t="s">
        <v>945</v>
      </c>
      <c r="FP13" t="s">
        <v>1453</v>
      </c>
      <c r="FQ13" t="str">
        <f>"-0.00212***"</f>
        <v>-0.00212***</v>
      </c>
      <c r="FR13" t="s">
        <v>783</v>
      </c>
      <c r="FS13" t="s">
        <v>1511</v>
      </c>
      <c r="FT13" t="str">
        <f>"-0.00218***"</f>
        <v>-0.00218***</v>
      </c>
      <c r="FU13" t="s">
        <v>783</v>
      </c>
      <c r="FV13" t="s">
        <v>1511</v>
      </c>
      <c r="FW13" t="str">
        <f>"-0.00223***"</f>
        <v>-0.00223***</v>
      </c>
      <c r="FX13" t="s">
        <v>711</v>
      </c>
      <c r="FY13" t="s">
        <v>1510</v>
      </c>
      <c r="FZ13" t="str">
        <f>"-0.00221***"</f>
        <v>-0.00221***</v>
      </c>
      <c r="GA13" t="s">
        <v>711</v>
      </c>
      <c r="GB13" t="s">
        <v>1510</v>
      </c>
      <c r="GC13" t="str">
        <f>"-0.00227***"</f>
        <v>-0.00227***</v>
      </c>
      <c r="GD13" t="s">
        <v>711</v>
      </c>
      <c r="GE13" t="s">
        <v>1510</v>
      </c>
      <c r="GF13" t="str">
        <f>"-0.00223***"</f>
        <v>-0.00223***</v>
      </c>
      <c r="GG13" t="s">
        <v>711</v>
      </c>
      <c r="GH13" t="s">
        <v>1510</v>
      </c>
      <c r="GI13" t="str">
        <f>"-0.00224***"</f>
        <v>-0.00224***</v>
      </c>
      <c r="GJ13" t="s">
        <v>711</v>
      </c>
      <c r="GK13" t="s">
        <v>1510</v>
      </c>
      <c r="GL13" t="str">
        <f>"-0.00241***"</f>
        <v>-0.00241***</v>
      </c>
      <c r="GM13" t="s">
        <v>922</v>
      </c>
      <c r="GN13" t="s">
        <v>1509</v>
      </c>
      <c r="GO13" t="str">
        <f>"-0.00242***"</f>
        <v>-0.00242***</v>
      </c>
      <c r="GP13" t="s">
        <v>922</v>
      </c>
      <c r="GQ13" t="s">
        <v>1509</v>
      </c>
      <c r="GR13" t="str">
        <f>"-0.00227***"</f>
        <v>-0.00227***</v>
      </c>
      <c r="GS13" t="s">
        <v>711</v>
      </c>
      <c r="GT13" t="s">
        <v>1510</v>
      </c>
      <c r="GU13" t="str">
        <f>"-0.00245***"</f>
        <v>-0.00245***</v>
      </c>
      <c r="GV13" t="s">
        <v>677</v>
      </c>
      <c r="GW13" t="s">
        <v>1509</v>
      </c>
      <c r="GX13" t="str">
        <f>"-0.00260***"</f>
        <v>-0.00260***</v>
      </c>
      <c r="GY13" t="s">
        <v>640</v>
      </c>
      <c r="GZ13" t="s">
        <v>1452</v>
      </c>
      <c r="HA13" t="str">
        <f>"-0.00267***"</f>
        <v>-0.00267***</v>
      </c>
      <c r="HB13" t="s">
        <v>703</v>
      </c>
      <c r="HC13" t="s">
        <v>1452</v>
      </c>
      <c r="HD13" t="str">
        <f>"-0.00284***"</f>
        <v>-0.00284***</v>
      </c>
      <c r="HE13" t="s">
        <v>700</v>
      </c>
      <c r="HF13" t="s">
        <v>1508</v>
      </c>
      <c r="HG13" t="str">
        <f>"-0.00306***"</f>
        <v>-0.00306***</v>
      </c>
      <c r="HH13" t="s">
        <v>1088</v>
      </c>
      <c r="HI13" t="s">
        <v>1506</v>
      </c>
      <c r="HJ13" t="str">
        <f>"-0.00322***"</f>
        <v>-0.00322***</v>
      </c>
      <c r="HK13" t="s">
        <v>1515</v>
      </c>
      <c r="HL13" t="s">
        <v>1115</v>
      </c>
      <c r="HM13" t="str">
        <f>"-0.00321***"</f>
        <v>-0.00321***</v>
      </c>
      <c r="HN13" t="s">
        <v>1515</v>
      </c>
      <c r="HO13" t="s">
        <v>1115</v>
      </c>
      <c r="HP13" t="str">
        <f>"-0.00290***"</f>
        <v>-0.00290***</v>
      </c>
      <c r="HQ13" t="s">
        <v>919</v>
      </c>
      <c r="HR13" t="s">
        <v>1507</v>
      </c>
      <c r="HS13" t="str">
        <f>"-0.00300***"</f>
        <v>-0.00300***</v>
      </c>
      <c r="HT13" t="s">
        <v>697</v>
      </c>
      <c r="HU13" t="s">
        <v>1506</v>
      </c>
      <c r="HV13" t="str">
        <f>"-0.00305***"</f>
        <v>-0.00305***</v>
      </c>
      <c r="HW13" t="s">
        <v>1088</v>
      </c>
      <c r="HX13" t="s">
        <v>1506</v>
      </c>
      <c r="HY13" t="str">
        <f>"-0.00305***"</f>
        <v>-0.00305***</v>
      </c>
      <c r="HZ13" t="s">
        <v>1088</v>
      </c>
      <c r="IA13" t="s">
        <v>1506</v>
      </c>
      <c r="IB13" t="str">
        <f>"-0.00280***"</f>
        <v>-0.00280***</v>
      </c>
      <c r="IC13" t="s">
        <v>700</v>
      </c>
      <c r="ID13" t="s">
        <v>1508</v>
      </c>
      <c r="IE13" t="str">
        <f>"-0.00356***"</f>
        <v>-0.00356***</v>
      </c>
      <c r="IF13" t="s">
        <v>914</v>
      </c>
      <c r="IG13" t="s">
        <v>949</v>
      </c>
      <c r="IH13" t="str">
        <f>"-0.00385***"</f>
        <v>-0.00385***</v>
      </c>
      <c r="II13" t="s">
        <v>910</v>
      </c>
      <c r="IJ13" t="s">
        <v>1063</v>
      </c>
      <c r="IK13" t="str">
        <f>"-0.00375***"</f>
        <v>-0.00375***</v>
      </c>
      <c r="IL13" t="s">
        <v>1505</v>
      </c>
      <c r="IM13" t="s">
        <v>1503</v>
      </c>
      <c r="IN13" t="str">
        <f>"-0.00382***"</f>
        <v>-0.00382***</v>
      </c>
      <c r="IO13" t="s">
        <v>910</v>
      </c>
      <c r="IP13" t="s">
        <v>1063</v>
      </c>
      <c r="IQ13" t="str">
        <f>"-0.00379***"</f>
        <v>-0.00379***</v>
      </c>
      <c r="IR13" t="s">
        <v>1505</v>
      </c>
      <c r="IS13" t="s">
        <v>1503</v>
      </c>
      <c r="IT13" t="str">
        <f>"-0.00393***"</f>
        <v>-0.00393***</v>
      </c>
      <c r="IU13" t="s">
        <v>1003</v>
      </c>
      <c r="IV13" t="s">
        <v>1063</v>
      </c>
      <c r="IW13" t="str">
        <f>"-0.00379***"</f>
        <v>-0.00379***</v>
      </c>
      <c r="IX13" t="s">
        <v>1505</v>
      </c>
      <c r="IY13" t="s">
        <v>1503</v>
      </c>
      <c r="IZ13" t="str">
        <f>"-0.00402***"</f>
        <v>-0.00402***</v>
      </c>
      <c r="JA13" t="s">
        <v>1451</v>
      </c>
      <c r="JB13" t="s">
        <v>1502</v>
      </c>
      <c r="JC13" t="str">
        <f>"-0.00399***"</f>
        <v>-0.00399***</v>
      </c>
      <c r="JD13" t="s">
        <v>1451</v>
      </c>
      <c r="JE13" t="s">
        <v>1502</v>
      </c>
      <c r="JF13" t="str">
        <f>"-0.00487***"</f>
        <v>-0.00487***</v>
      </c>
      <c r="JG13" t="s">
        <v>2857</v>
      </c>
      <c r="JH13" t="s">
        <v>1449</v>
      </c>
      <c r="JI13" t="str">
        <f>"-0.00506***"</f>
        <v>-0.00506***</v>
      </c>
      <c r="JJ13" t="s">
        <v>1010</v>
      </c>
      <c r="JK13" t="s">
        <v>1448</v>
      </c>
      <c r="JL13" t="str">
        <f>"-0.00462***"</f>
        <v>-0.00462***</v>
      </c>
      <c r="JM13" t="s">
        <v>686</v>
      </c>
      <c r="JN13" t="s">
        <v>825</v>
      </c>
      <c r="JO13" t="str">
        <f>"-0.00421***"</f>
        <v>-0.00421***</v>
      </c>
      <c r="JP13" t="s">
        <v>1118</v>
      </c>
      <c r="JQ13" t="s">
        <v>1500</v>
      </c>
      <c r="JR13" t="str">
        <f>"-0.00549***"</f>
        <v>-0.00549***</v>
      </c>
      <c r="JS13" t="s">
        <v>781</v>
      </c>
      <c r="JT13" t="s">
        <v>3271</v>
      </c>
      <c r="JU13" t="str">
        <f>"-0.00455***"</f>
        <v>-0.00455***</v>
      </c>
      <c r="JV13" t="s">
        <v>1159</v>
      </c>
      <c r="JW13" t="s">
        <v>1111</v>
      </c>
      <c r="JX13" t="str">
        <f>"-0.00538***"</f>
        <v>-0.00538***</v>
      </c>
      <c r="JY13" t="s">
        <v>967</v>
      </c>
      <c r="JZ13" t="s">
        <v>1501</v>
      </c>
      <c r="KA13" t="str">
        <f>"-0.00588***"</f>
        <v>-0.00588***</v>
      </c>
      <c r="KB13" t="s">
        <v>648</v>
      </c>
      <c r="KC13" t="s">
        <v>819</v>
      </c>
      <c r="KD13" t="str">
        <f>"-0.00594***"</f>
        <v>-0.00594***</v>
      </c>
      <c r="KE13" t="s">
        <v>656</v>
      </c>
      <c r="KF13" t="s">
        <v>819</v>
      </c>
      <c r="KG13" t="str">
        <f>"-0.00609***"</f>
        <v>-0.00609***</v>
      </c>
      <c r="KH13" t="s">
        <v>303</v>
      </c>
      <c r="KI13" t="s">
        <v>814</v>
      </c>
      <c r="KJ13" t="str">
        <f>"-0.00599***"</f>
        <v>-0.00599***</v>
      </c>
      <c r="KK13" t="s">
        <v>303</v>
      </c>
      <c r="KL13" t="s">
        <v>3272</v>
      </c>
    </row>
    <row r="14" spans="1:298" x14ac:dyDescent="0.2">
      <c r="A14" t="str">
        <f>"rural"</f>
        <v>rural</v>
      </c>
      <c r="B14" t="str">
        <f>"0.00735***"</f>
        <v>0.00735***</v>
      </c>
      <c r="C14" t="s">
        <v>1000</v>
      </c>
      <c r="D14" t="s">
        <v>1082</v>
      </c>
      <c r="E14" t="str">
        <f>"0.00874***"</f>
        <v>0.00874***</v>
      </c>
      <c r="F14" t="s">
        <v>982</v>
      </c>
      <c r="G14" t="s">
        <v>1553</v>
      </c>
      <c r="H14" t="str">
        <f>"0.00720***"</f>
        <v>0.00720***</v>
      </c>
      <c r="I14" t="s">
        <v>1470</v>
      </c>
      <c r="J14" t="s">
        <v>582</v>
      </c>
      <c r="K14" t="str">
        <f>"0.00701***"</f>
        <v>0.00701***</v>
      </c>
      <c r="L14" t="s">
        <v>1000</v>
      </c>
      <c r="M14" t="s">
        <v>570</v>
      </c>
      <c r="N14" t="str">
        <f>"0.00554***"</f>
        <v>0.00554***</v>
      </c>
      <c r="O14" t="s">
        <v>745</v>
      </c>
      <c r="P14" t="s">
        <v>568</v>
      </c>
      <c r="Q14" t="str">
        <f>"0.00573***"</f>
        <v>0.00573***</v>
      </c>
      <c r="R14" t="s">
        <v>940</v>
      </c>
      <c r="S14" t="s">
        <v>599</v>
      </c>
      <c r="T14" t="str">
        <f>"0.00499***"</f>
        <v>0.00499***</v>
      </c>
      <c r="U14" t="s">
        <v>1015</v>
      </c>
      <c r="V14" t="s">
        <v>662</v>
      </c>
      <c r="W14" t="str">
        <f>"0.00458***"</f>
        <v>0.00458***</v>
      </c>
      <c r="X14" t="s">
        <v>1468</v>
      </c>
      <c r="Y14" t="s">
        <v>655</v>
      </c>
      <c r="Z14" t="str">
        <f>"0.00436***"</f>
        <v>0.00436***</v>
      </c>
      <c r="AA14" t="s">
        <v>1121</v>
      </c>
      <c r="AB14" t="s">
        <v>702</v>
      </c>
      <c r="AC14" t="str">
        <f>"0.00338***"</f>
        <v>0.00338***</v>
      </c>
      <c r="AD14" t="s">
        <v>1050</v>
      </c>
      <c r="AE14" t="s">
        <v>671</v>
      </c>
      <c r="AF14" t="str">
        <f>"0.00268***"</f>
        <v>0.00268***</v>
      </c>
      <c r="AG14" t="s">
        <v>1461</v>
      </c>
      <c r="AH14" t="s">
        <v>692</v>
      </c>
      <c r="AI14" t="str">
        <f>"0.00201***"</f>
        <v>0.00201***</v>
      </c>
      <c r="AJ14" t="s">
        <v>679</v>
      </c>
      <c r="AK14" t="s">
        <v>921</v>
      </c>
      <c r="AL14" t="str">
        <f>"0.00175***"</f>
        <v>0.00175***</v>
      </c>
      <c r="AM14" t="s">
        <v>695</v>
      </c>
      <c r="AN14" t="s">
        <v>800</v>
      </c>
      <c r="AO14" t="str">
        <f>"0.00161***"</f>
        <v>0.00161***</v>
      </c>
      <c r="AP14" t="s">
        <v>1459</v>
      </c>
      <c r="AQ14" t="s">
        <v>913</v>
      </c>
      <c r="AR14" t="str">
        <f>"0.00152***"</f>
        <v>0.00152***</v>
      </c>
      <c r="AS14" t="s">
        <v>1488</v>
      </c>
      <c r="AT14" t="s">
        <v>691</v>
      </c>
      <c r="AU14" t="str">
        <f>"0.00138***"</f>
        <v>0.00138***</v>
      </c>
      <c r="AV14" t="s">
        <v>718</v>
      </c>
      <c r="AW14" t="s">
        <v>588</v>
      </c>
      <c r="AX14" t="str">
        <f>"0.00124***"</f>
        <v>0.00124***</v>
      </c>
      <c r="AY14" t="s">
        <v>924</v>
      </c>
      <c r="AZ14" t="s">
        <v>1083</v>
      </c>
      <c r="BA14" t="str">
        <f>"0.00113***"</f>
        <v>0.00113***</v>
      </c>
      <c r="BB14" t="s">
        <v>927</v>
      </c>
      <c r="BC14" t="s">
        <v>1067</v>
      </c>
      <c r="BD14" t="str">
        <f>"0.00111***"</f>
        <v>0.00111***</v>
      </c>
      <c r="BE14" t="s">
        <v>927</v>
      </c>
      <c r="BF14" t="s">
        <v>675</v>
      </c>
      <c r="BG14" t="str">
        <f>"0.00107***"</f>
        <v>0.00107***</v>
      </c>
      <c r="BH14" t="s">
        <v>926</v>
      </c>
      <c r="BI14" t="s">
        <v>675</v>
      </c>
      <c r="BJ14" t="str">
        <f>"0.00102***"</f>
        <v>0.00102***</v>
      </c>
      <c r="BK14" t="s">
        <v>926</v>
      </c>
      <c r="BL14" t="s">
        <v>936</v>
      </c>
      <c r="BM14" t="str">
        <f>"0.000971***"</f>
        <v>0.000971***</v>
      </c>
      <c r="BN14" t="s">
        <v>926</v>
      </c>
      <c r="BO14" t="s">
        <v>936</v>
      </c>
      <c r="BP14" t="str">
        <f>"0.000923***"</f>
        <v>0.000923***</v>
      </c>
      <c r="BQ14" t="s">
        <v>730</v>
      </c>
      <c r="BR14" t="s">
        <v>934</v>
      </c>
      <c r="BS14" t="str">
        <f>"0.000931***"</f>
        <v>0.000931***</v>
      </c>
      <c r="BT14" t="s">
        <v>730</v>
      </c>
      <c r="BU14" t="s">
        <v>934</v>
      </c>
      <c r="BV14" t="str">
        <f>"0.000951***"</f>
        <v>0.000951***</v>
      </c>
      <c r="BW14" t="s">
        <v>926</v>
      </c>
      <c r="BX14" t="s">
        <v>934</v>
      </c>
      <c r="BY14" t="str">
        <f>"0.000950***"</f>
        <v>0.000950***</v>
      </c>
      <c r="BZ14" t="s">
        <v>926</v>
      </c>
      <c r="CA14" t="s">
        <v>934</v>
      </c>
      <c r="CB14" t="str">
        <f>"0.000940***"</f>
        <v>0.000940***</v>
      </c>
      <c r="CC14" t="s">
        <v>730</v>
      </c>
      <c r="CD14" t="s">
        <v>934</v>
      </c>
      <c r="CE14" t="str">
        <f>"0.000938***"</f>
        <v>0.000938***</v>
      </c>
      <c r="CF14" t="s">
        <v>730</v>
      </c>
      <c r="CG14" t="s">
        <v>934</v>
      </c>
      <c r="CH14" t="str">
        <f>"0.000923***"</f>
        <v>0.000923***</v>
      </c>
      <c r="CI14" t="s">
        <v>730</v>
      </c>
      <c r="CJ14" t="s">
        <v>934</v>
      </c>
      <c r="CK14" t="str">
        <f>"0.000914***"</f>
        <v>0.000914***</v>
      </c>
      <c r="CL14" t="s">
        <v>730</v>
      </c>
      <c r="CM14" t="s">
        <v>934</v>
      </c>
      <c r="CN14" t="str">
        <f>"0.000932***"</f>
        <v>0.000932***</v>
      </c>
      <c r="CO14" t="s">
        <v>730</v>
      </c>
      <c r="CP14" t="s">
        <v>934</v>
      </c>
      <c r="CQ14" t="str">
        <f>"0.000948***"</f>
        <v>0.000948***</v>
      </c>
      <c r="CR14" t="s">
        <v>730</v>
      </c>
      <c r="CS14" t="s">
        <v>934</v>
      </c>
      <c r="CT14" t="str">
        <f>"0.00103***"</f>
        <v>0.00103***</v>
      </c>
      <c r="CU14" t="s">
        <v>926</v>
      </c>
      <c r="CV14" t="s">
        <v>936</v>
      </c>
      <c r="CW14" t="str">
        <f>"0.00104***"</f>
        <v>0.00104***</v>
      </c>
      <c r="CX14" t="s">
        <v>926</v>
      </c>
      <c r="CY14" t="s">
        <v>675</v>
      </c>
      <c r="CZ14" t="str">
        <f>"0.00103***"</f>
        <v>0.00103***</v>
      </c>
      <c r="DA14" t="s">
        <v>926</v>
      </c>
      <c r="DB14" t="s">
        <v>675</v>
      </c>
      <c r="DC14" t="str">
        <f>"0.00102***"</f>
        <v>0.00102***</v>
      </c>
      <c r="DD14" t="s">
        <v>926</v>
      </c>
      <c r="DE14" t="s">
        <v>936</v>
      </c>
      <c r="DF14" t="str">
        <f>"0.00100***"</f>
        <v>0.00100***</v>
      </c>
      <c r="DG14" t="s">
        <v>926</v>
      </c>
      <c r="DH14" t="s">
        <v>936</v>
      </c>
      <c r="DI14" t="str">
        <f>"0.000994***"</f>
        <v>0.000994***</v>
      </c>
      <c r="DJ14" t="s">
        <v>926</v>
      </c>
      <c r="DK14" t="s">
        <v>936</v>
      </c>
      <c r="DL14" t="str">
        <f>"0.000955***"</f>
        <v>0.000955***</v>
      </c>
      <c r="DM14" t="s">
        <v>926</v>
      </c>
      <c r="DN14" t="s">
        <v>936</v>
      </c>
      <c r="DO14" t="str">
        <f>"0.000972***"</f>
        <v>0.000972***</v>
      </c>
      <c r="DP14" t="s">
        <v>926</v>
      </c>
      <c r="DQ14" t="s">
        <v>936</v>
      </c>
      <c r="DR14" t="str">
        <f>"0.000964***"</f>
        <v>0.000964***</v>
      </c>
      <c r="DS14" t="s">
        <v>926</v>
      </c>
      <c r="DT14" t="s">
        <v>936</v>
      </c>
      <c r="DU14" t="str">
        <f>"0.000941***"</f>
        <v>0.000941***</v>
      </c>
      <c r="DV14" t="s">
        <v>730</v>
      </c>
      <c r="DW14" t="s">
        <v>934</v>
      </c>
      <c r="DX14" t="str">
        <f>"0.000935***"</f>
        <v>0.000935***</v>
      </c>
      <c r="DY14" t="s">
        <v>730</v>
      </c>
      <c r="DZ14" t="s">
        <v>934</v>
      </c>
      <c r="EA14" t="str">
        <f>"0.000935***"</f>
        <v>0.000935***</v>
      </c>
      <c r="EB14" t="s">
        <v>730</v>
      </c>
      <c r="EC14" t="s">
        <v>934</v>
      </c>
      <c r="ED14" t="str">
        <f>"0.000864***"</f>
        <v>0.000864***</v>
      </c>
      <c r="EE14" t="s">
        <v>730</v>
      </c>
      <c r="EF14" t="s">
        <v>934</v>
      </c>
      <c r="EG14" t="str">
        <f>"0.000899***"</f>
        <v>0.000899***</v>
      </c>
      <c r="EH14" t="s">
        <v>730</v>
      </c>
      <c r="EI14" t="s">
        <v>934</v>
      </c>
      <c r="EJ14" t="str">
        <f>"0.000922***"</f>
        <v>0.000922***</v>
      </c>
      <c r="EK14" t="s">
        <v>730</v>
      </c>
      <c r="EL14" t="s">
        <v>934</v>
      </c>
      <c r="EM14" t="str">
        <f>"0.000924***"</f>
        <v>0.000924***</v>
      </c>
      <c r="EN14" t="s">
        <v>730</v>
      </c>
      <c r="EO14" t="s">
        <v>934</v>
      </c>
      <c r="EP14" t="str">
        <f>"0.000924***"</f>
        <v>0.000924***</v>
      </c>
      <c r="EQ14" t="s">
        <v>730</v>
      </c>
      <c r="ER14" t="s">
        <v>934</v>
      </c>
      <c r="ES14" t="str">
        <f>"0.000953***"</f>
        <v>0.000953***</v>
      </c>
      <c r="ET14" t="s">
        <v>730</v>
      </c>
      <c r="EU14" t="s">
        <v>936</v>
      </c>
      <c r="EV14" t="str">
        <f>"0.000962***"</f>
        <v>0.000962***</v>
      </c>
      <c r="EW14" t="s">
        <v>926</v>
      </c>
      <c r="EX14" t="s">
        <v>936</v>
      </c>
      <c r="EY14" t="str">
        <f>"0.000942***"</f>
        <v>0.000942***</v>
      </c>
      <c r="EZ14" t="s">
        <v>730</v>
      </c>
      <c r="FA14" t="s">
        <v>934</v>
      </c>
      <c r="FB14" t="str">
        <f>"0.000916***"</f>
        <v>0.000916***</v>
      </c>
      <c r="FC14" t="s">
        <v>730</v>
      </c>
      <c r="FD14" t="s">
        <v>934</v>
      </c>
      <c r="FE14" t="str">
        <f>"0.000903***"</f>
        <v>0.000903***</v>
      </c>
      <c r="FF14" t="s">
        <v>730</v>
      </c>
      <c r="FG14" t="s">
        <v>934</v>
      </c>
      <c r="FH14" t="str">
        <f>"0.000849***"</f>
        <v>0.000849***</v>
      </c>
      <c r="FI14" t="s">
        <v>730</v>
      </c>
      <c r="FJ14" t="s">
        <v>937</v>
      </c>
      <c r="FK14" t="str">
        <f>"0.000850***"</f>
        <v>0.000850***</v>
      </c>
      <c r="FL14" t="s">
        <v>730</v>
      </c>
      <c r="FM14" t="s">
        <v>937</v>
      </c>
      <c r="FN14" t="str">
        <f>"0.000834***"</f>
        <v>0.000834***</v>
      </c>
      <c r="FO14" t="s">
        <v>923</v>
      </c>
      <c r="FP14" t="s">
        <v>937</v>
      </c>
      <c r="FQ14" t="str">
        <f>"0.000842***"</f>
        <v>0.000842***</v>
      </c>
      <c r="FR14" t="s">
        <v>730</v>
      </c>
      <c r="FS14" t="s">
        <v>937</v>
      </c>
      <c r="FT14" t="str">
        <f>"0.000839***"</f>
        <v>0.000839***</v>
      </c>
      <c r="FU14" t="s">
        <v>923</v>
      </c>
      <c r="FV14" t="s">
        <v>937</v>
      </c>
      <c r="FW14" t="str">
        <f>"0.000851***"</f>
        <v>0.000851***</v>
      </c>
      <c r="FX14" t="s">
        <v>730</v>
      </c>
      <c r="FY14" t="s">
        <v>937</v>
      </c>
      <c r="FZ14" t="str">
        <f>"0.000820***"</f>
        <v>0.000820***</v>
      </c>
      <c r="GA14" t="s">
        <v>923</v>
      </c>
      <c r="GB14" t="s">
        <v>937</v>
      </c>
      <c r="GC14" t="str">
        <f>"0.000818***"</f>
        <v>0.000818***</v>
      </c>
      <c r="GD14" t="s">
        <v>923</v>
      </c>
      <c r="GE14" t="s">
        <v>937</v>
      </c>
      <c r="GF14" t="str">
        <f>"0.000793***"</f>
        <v>0.000793***</v>
      </c>
      <c r="GG14" t="s">
        <v>923</v>
      </c>
      <c r="GH14" t="s">
        <v>937</v>
      </c>
      <c r="GI14" t="str">
        <f>"0.000795***"</f>
        <v>0.000795***</v>
      </c>
      <c r="GJ14" t="s">
        <v>923</v>
      </c>
      <c r="GK14" t="s">
        <v>937</v>
      </c>
      <c r="GL14" t="str">
        <f>"0.000762***"</f>
        <v>0.000762***</v>
      </c>
      <c r="GM14" t="s">
        <v>923</v>
      </c>
      <c r="GN14" t="s">
        <v>938</v>
      </c>
      <c r="GO14" t="str">
        <f>"0.000740***"</f>
        <v>0.000740***</v>
      </c>
      <c r="GP14" t="s">
        <v>923</v>
      </c>
      <c r="GQ14" t="s">
        <v>938</v>
      </c>
      <c r="GR14" t="str">
        <f>"0.000685***"</f>
        <v>0.000685***</v>
      </c>
      <c r="GS14" t="s">
        <v>719</v>
      </c>
      <c r="GT14" t="s">
        <v>938</v>
      </c>
      <c r="GU14" t="str">
        <f>"0.000730***"</f>
        <v>0.000730***</v>
      </c>
      <c r="GV14" t="s">
        <v>923</v>
      </c>
      <c r="GW14" t="s">
        <v>938</v>
      </c>
      <c r="GX14" t="str">
        <f>"0.000774***"</f>
        <v>0.000774***</v>
      </c>
      <c r="GY14" t="s">
        <v>923</v>
      </c>
      <c r="GZ14" t="s">
        <v>937</v>
      </c>
      <c r="HA14" t="str">
        <f>"0.000796***"</f>
        <v>0.000796***</v>
      </c>
      <c r="HB14" t="s">
        <v>923</v>
      </c>
      <c r="HC14" t="s">
        <v>937</v>
      </c>
      <c r="HD14" t="str">
        <f>"0.000794***"</f>
        <v>0.000794***</v>
      </c>
      <c r="HE14" t="s">
        <v>923</v>
      </c>
      <c r="HF14" t="s">
        <v>937</v>
      </c>
      <c r="HG14" t="str">
        <f>"0.000867***"</f>
        <v>0.000867***</v>
      </c>
      <c r="HH14" t="s">
        <v>730</v>
      </c>
      <c r="HI14" t="s">
        <v>934</v>
      </c>
      <c r="HJ14" t="str">
        <f>"0.000885***"</f>
        <v>0.000885***</v>
      </c>
      <c r="HK14" t="s">
        <v>730</v>
      </c>
      <c r="HL14" t="s">
        <v>934</v>
      </c>
      <c r="HM14" t="str">
        <f>"0.000826***"</f>
        <v>0.000826***</v>
      </c>
      <c r="HN14" t="s">
        <v>923</v>
      </c>
      <c r="HO14" t="s">
        <v>937</v>
      </c>
      <c r="HP14" t="str">
        <f>"0.000782***"</f>
        <v>0.000782***</v>
      </c>
      <c r="HQ14" t="s">
        <v>923</v>
      </c>
      <c r="HR14" t="s">
        <v>937</v>
      </c>
      <c r="HS14" t="str">
        <f>"0.000730***"</f>
        <v>0.000730***</v>
      </c>
      <c r="HT14" t="s">
        <v>719</v>
      </c>
      <c r="HU14" t="s">
        <v>938</v>
      </c>
      <c r="HV14" t="str">
        <f>"0.000688***"</f>
        <v>0.000688***</v>
      </c>
      <c r="HW14" t="s">
        <v>719</v>
      </c>
      <c r="HX14" t="s">
        <v>938</v>
      </c>
      <c r="HY14" t="str">
        <f>"0.000688***"</f>
        <v>0.000688***</v>
      </c>
      <c r="HZ14" t="s">
        <v>719</v>
      </c>
      <c r="IA14" t="s">
        <v>938</v>
      </c>
      <c r="IB14" t="str">
        <f>"0.000670***"</f>
        <v>0.000670***</v>
      </c>
      <c r="IC14" t="s">
        <v>719</v>
      </c>
      <c r="ID14" t="s">
        <v>1457</v>
      </c>
      <c r="IE14" t="str">
        <f>"0.000849***"</f>
        <v>0.000849***</v>
      </c>
      <c r="IF14" t="s">
        <v>923</v>
      </c>
      <c r="IG14" t="s">
        <v>934</v>
      </c>
      <c r="IH14" t="str">
        <f>"0.000885***"</f>
        <v>0.000885***</v>
      </c>
      <c r="II14" t="s">
        <v>923</v>
      </c>
      <c r="IJ14" t="s">
        <v>934</v>
      </c>
      <c r="IK14" t="str">
        <f>"0.000852***"</f>
        <v>0.000852***</v>
      </c>
      <c r="IL14" t="s">
        <v>923</v>
      </c>
      <c r="IM14" t="s">
        <v>934</v>
      </c>
      <c r="IN14" t="str">
        <f>"0.000777***"</f>
        <v>0.000777***</v>
      </c>
      <c r="IO14" t="s">
        <v>923</v>
      </c>
      <c r="IP14" t="s">
        <v>937</v>
      </c>
      <c r="IQ14" t="str">
        <f>"0.000748***"</f>
        <v>0.000748***</v>
      </c>
      <c r="IR14" t="s">
        <v>719</v>
      </c>
      <c r="IS14" t="s">
        <v>937</v>
      </c>
      <c r="IT14" t="str">
        <f>"0.000685***"</f>
        <v>0.000685***</v>
      </c>
      <c r="IU14" t="s">
        <v>719</v>
      </c>
      <c r="IV14" t="s">
        <v>938</v>
      </c>
      <c r="IW14" t="str">
        <f>"0.000714***"</f>
        <v>0.000714***</v>
      </c>
      <c r="IX14" t="s">
        <v>719</v>
      </c>
      <c r="IY14" t="s">
        <v>938</v>
      </c>
      <c r="IZ14" t="str">
        <f>"0.000628***"</f>
        <v>0.000628***</v>
      </c>
      <c r="JA14" t="s">
        <v>683</v>
      </c>
      <c r="JB14" t="s">
        <v>1457</v>
      </c>
      <c r="JC14" t="str">
        <f>"0.000638***"</f>
        <v>0.000638***</v>
      </c>
      <c r="JD14" t="s">
        <v>683</v>
      </c>
      <c r="JE14" t="s">
        <v>938</v>
      </c>
      <c r="JF14" t="str">
        <f>"0.000703***"</f>
        <v>0.000703***</v>
      </c>
      <c r="JG14" t="s">
        <v>719</v>
      </c>
      <c r="JH14" t="s">
        <v>937</v>
      </c>
      <c r="JI14" t="str">
        <f>"0.000746***"</f>
        <v>0.000746***</v>
      </c>
      <c r="JJ14" t="s">
        <v>719</v>
      </c>
      <c r="JK14" t="s">
        <v>937</v>
      </c>
      <c r="JL14" t="str">
        <f>"0.000685***"</f>
        <v>0.000685***</v>
      </c>
      <c r="JM14" t="s">
        <v>719</v>
      </c>
      <c r="JN14" t="s">
        <v>938</v>
      </c>
      <c r="JO14" t="str">
        <f>"0.000599***"</f>
        <v>0.000599***</v>
      </c>
      <c r="JP14" t="s">
        <v>683</v>
      </c>
      <c r="JQ14" t="s">
        <v>1457</v>
      </c>
      <c r="JR14" t="str">
        <f>"0.000760***"</f>
        <v>0.000760***</v>
      </c>
      <c r="JS14" t="s">
        <v>719</v>
      </c>
      <c r="JT14" t="s">
        <v>937</v>
      </c>
      <c r="JU14" t="str">
        <f>"0.000572***"</f>
        <v>0.000572***</v>
      </c>
      <c r="JV14" t="s">
        <v>708</v>
      </c>
      <c r="JW14" t="s">
        <v>1457</v>
      </c>
      <c r="JX14" t="str">
        <f>"0.000649***"</f>
        <v>0.000649***</v>
      </c>
      <c r="JY14" t="s">
        <v>683</v>
      </c>
      <c r="JZ14" t="s">
        <v>938</v>
      </c>
      <c r="KA14" t="str">
        <f>"0.000564***"</f>
        <v>0.000564***</v>
      </c>
      <c r="KB14" t="s">
        <v>722</v>
      </c>
      <c r="KC14" t="s">
        <v>938</v>
      </c>
      <c r="KD14" t="str">
        <f>"0.000719***"</f>
        <v>0.000719***</v>
      </c>
      <c r="KE14" t="s">
        <v>683</v>
      </c>
      <c r="KF14" t="s">
        <v>934</v>
      </c>
      <c r="KG14" t="str">
        <f>"0.000737***"</f>
        <v>0.000737***</v>
      </c>
      <c r="KH14" t="s">
        <v>708</v>
      </c>
      <c r="KI14" t="s">
        <v>936</v>
      </c>
      <c r="KJ14" t="str">
        <f>"0.000985***"</f>
        <v>0.000985***</v>
      </c>
      <c r="KK14" t="s">
        <v>719</v>
      </c>
      <c r="KL14" t="s">
        <v>1083</v>
      </c>
    </row>
    <row r="15" spans="1:298" x14ac:dyDescent="0.2">
      <c r="A15" t="str">
        <f>"formal"</f>
        <v>formal</v>
      </c>
      <c r="B15" t="str">
        <f>"-0.0259***"</f>
        <v>-0.0259***</v>
      </c>
      <c r="C15" t="s">
        <v>3273</v>
      </c>
      <c r="D15" t="s">
        <v>3274</v>
      </c>
      <c r="E15" t="str">
        <f>"-0.0367***"</f>
        <v>-0.0367***</v>
      </c>
      <c r="F15" t="s">
        <v>1720</v>
      </c>
      <c r="G15" t="s">
        <v>1186</v>
      </c>
      <c r="H15" t="str">
        <f>"-0.0334***"</f>
        <v>-0.0334***</v>
      </c>
      <c r="I15" t="s">
        <v>479</v>
      </c>
      <c r="J15" t="s">
        <v>3275</v>
      </c>
      <c r="K15" t="str">
        <f>"-0.0356***"</f>
        <v>-0.0356***</v>
      </c>
      <c r="L15" t="s">
        <v>2863</v>
      </c>
      <c r="M15" t="s">
        <v>3276</v>
      </c>
      <c r="N15" t="str">
        <f>"-0.0307***"</f>
        <v>-0.0307***</v>
      </c>
      <c r="O15" t="s">
        <v>963</v>
      </c>
      <c r="P15" t="s">
        <v>3277</v>
      </c>
      <c r="Q15" t="str">
        <f>"-0.0367***"</f>
        <v>-0.0367***</v>
      </c>
      <c r="R15" t="s">
        <v>3278</v>
      </c>
      <c r="S15" t="s">
        <v>3279</v>
      </c>
      <c r="T15" t="str">
        <f>"-0.0338***"</f>
        <v>-0.0338***</v>
      </c>
      <c r="U15" t="s">
        <v>1243</v>
      </c>
      <c r="V15" t="s">
        <v>3280</v>
      </c>
      <c r="W15" t="str">
        <f>"-0.0332***"</f>
        <v>-0.0332***</v>
      </c>
      <c r="X15" t="s">
        <v>3281</v>
      </c>
      <c r="Y15" t="s">
        <v>3282</v>
      </c>
      <c r="Z15" t="str">
        <f>"-0.0331***"</f>
        <v>-0.0331***</v>
      </c>
      <c r="AA15" t="s">
        <v>3281</v>
      </c>
      <c r="AB15" t="s">
        <v>3282</v>
      </c>
      <c r="AC15" t="str">
        <f>"-0.0265***"</f>
        <v>-0.0265***</v>
      </c>
      <c r="AD15" t="s">
        <v>493</v>
      </c>
      <c r="AE15" t="s">
        <v>3283</v>
      </c>
      <c r="AF15" t="str">
        <f>"-0.0218***"</f>
        <v>-0.0218***</v>
      </c>
      <c r="AG15" t="s">
        <v>562</v>
      </c>
      <c r="AH15" t="s">
        <v>3284</v>
      </c>
      <c r="AI15" t="str">
        <f>"-0.0164***"</f>
        <v>-0.0164***</v>
      </c>
      <c r="AJ15" t="s">
        <v>1215</v>
      </c>
      <c r="AK15" t="s">
        <v>3285</v>
      </c>
      <c r="AL15" t="str">
        <f>"-0.0137***"</f>
        <v>-0.0137***</v>
      </c>
      <c r="AM15" t="s">
        <v>1233</v>
      </c>
      <c r="AN15" t="s">
        <v>3286</v>
      </c>
      <c r="AO15" t="str">
        <f>"-0.0125***"</f>
        <v>-0.0125***</v>
      </c>
      <c r="AP15" t="s">
        <v>3287</v>
      </c>
      <c r="AQ15" t="s">
        <v>1395</v>
      </c>
      <c r="AR15" t="str">
        <f>"-0.0114***"</f>
        <v>-0.0114***</v>
      </c>
      <c r="AS15" t="s">
        <v>514</v>
      </c>
      <c r="AT15" t="s">
        <v>2824</v>
      </c>
      <c r="AU15" t="str">
        <f>"-0.0107***"</f>
        <v>-0.0107***</v>
      </c>
      <c r="AV15" t="s">
        <v>3288</v>
      </c>
      <c r="AW15" t="s">
        <v>3289</v>
      </c>
      <c r="AX15" t="str">
        <f>"-0.00970***"</f>
        <v>-0.00970***</v>
      </c>
      <c r="AY15" t="s">
        <v>2836</v>
      </c>
      <c r="AZ15" t="s">
        <v>3290</v>
      </c>
      <c r="BA15" t="str">
        <f>"-0.00911***"</f>
        <v>-0.00911***</v>
      </c>
      <c r="BB15" t="s">
        <v>3291</v>
      </c>
      <c r="BC15" t="s">
        <v>1180</v>
      </c>
      <c r="BD15" t="str">
        <f>"-0.00814***"</f>
        <v>-0.00814***</v>
      </c>
      <c r="BE15" t="s">
        <v>706</v>
      </c>
      <c r="BF15" t="s">
        <v>3292</v>
      </c>
      <c r="BG15" t="str">
        <f>"-0.00743***"</f>
        <v>-0.00743***</v>
      </c>
      <c r="BH15" t="s">
        <v>632</v>
      </c>
      <c r="BI15" t="s">
        <v>3293</v>
      </c>
      <c r="BJ15" t="str">
        <f>"-0.00663***"</f>
        <v>-0.00663***</v>
      </c>
      <c r="BK15" t="s">
        <v>648</v>
      </c>
      <c r="BL15" t="s">
        <v>1101</v>
      </c>
      <c r="BM15" t="str">
        <f>"-0.00604***"</f>
        <v>-0.00604***</v>
      </c>
      <c r="BN15" t="s">
        <v>908</v>
      </c>
      <c r="BO15" t="s">
        <v>1446</v>
      </c>
      <c r="BP15" t="str">
        <f>"-0.00554***"</f>
        <v>-0.00554***</v>
      </c>
      <c r="BQ15" t="s">
        <v>664</v>
      </c>
      <c r="BR15" t="s">
        <v>3294</v>
      </c>
      <c r="BS15" t="str">
        <f>"-0.00517***"</f>
        <v>-0.00517***</v>
      </c>
      <c r="BT15" t="s">
        <v>686</v>
      </c>
      <c r="BU15" t="s">
        <v>688</v>
      </c>
      <c r="BV15" t="str">
        <f>"-0.00488***"</f>
        <v>-0.00488***</v>
      </c>
      <c r="BW15" t="s">
        <v>741</v>
      </c>
      <c r="BX15" t="s">
        <v>808</v>
      </c>
      <c r="BY15" t="str">
        <f>"-0.00489***"</f>
        <v>-0.00489***</v>
      </c>
      <c r="BZ15" t="s">
        <v>741</v>
      </c>
      <c r="CA15" t="s">
        <v>808</v>
      </c>
      <c r="CB15" t="str">
        <f>"-0.00498***"</f>
        <v>-0.00498***</v>
      </c>
      <c r="CC15" t="s">
        <v>1514</v>
      </c>
      <c r="CD15" t="s">
        <v>819</v>
      </c>
      <c r="CE15" t="str">
        <f>"-0.00457***"</f>
        <v>-0.00457***</v>
      </c>
      <c r="CF15" t="s">
        <v>909</v>
      </c>
      <c r="CG15" t="s">
        <v>1501</v>
      </c>
      <c r="CH15" t="str">
        <f>"-0.00470***"</f>
        <v>-0.00470***</v>
      </c>
      <c r="CI15" t="s">
        <v>1118</v>
      </c>
      <c r="CJ15" t="s">
        <v>3271</v>
      </c>
      <c r="CK15" t="str">
        <f>"-0.00463***"</f>
        <v>-0.00463***</v>
      </c>
      <c r="CL15" t="s">
        <v>672</v>
      </c>
      <c r="CM15" t="s">
        <v>3271</v>
      </c>
      <c r="CN15" t="str">
        <f>"-0.00442***"</f>
        <v>-0.00442***</v>
      </c>
      <c r="CO15" t="s">
        <v>1451</v>
      </c>
      <c r="CP15" t="s">
        <v>826</v>
      </c>
      <c r="CQ15" t="str">
        <f>"-0.00446***"</f>
        <v>-0.00446***</v>
      </c>
      <c r="CR15" t="s">
        <v>1451</v>
      </c>
      <c r="CS15" t="s">
        <v>826</v>
      </c>
      <c r="CT15" t="str">
        <f>"-0.00442***"</f>
        <v>-0.00442***</v>
      </c>
      <c r="CU15" t="s">
        <v>1451</v>
      </c>
      <c r="CV15" t="s">
        <v>826</v>
      </c>
      <c r="CW15" t="str">
        <f>"-0.00444***"</f>
        <v>-0.00444***</v>
      </c>
      <c r="CX15" t="s">
        <v>1451</v>
      </c>
      <c r="CY15" t="s">
        <v>826</v>
      </c>
      <c r="CZ15" t="str">
        <f>"-0.00419***"</f>
        <v>-0.00419***</v>
      </c>
      <c r="DA15" t="s">
        <v>1505</v>
      </c>
      <c r="DB15" t="s">
        <v>960</v>
      </c>
      <c r="DC15" t="str">
        <f>"-0.00394***"</f>
        <v>-0.00394***</v>
      </c>
      <c r="DD15" t="s">
        <v>666</v>
      </c>
      <c r="DE15" t="s">
        <v>1111</v>
      </c>
      <c r="DF15" t="str">
        <f>"-0.00348***"</f>
        <v>-0.00348***</v>
      </c>
      <c r="DG15" t="s">
        <v>1515</v>
      </c>
      <c r="DH15" t="s">
        <v>1502</v>
      </c>
      <c r="DI15" t="str">
        <f>"-0.00304***"</f>
        <v>-0.00304***</v>
      </c>
      <c r="DJ15" t="s">
        <v>700</v>
      </c>
      <c r="DK15" t="s">
        <v>1201</v>
      </c>
      <c r="DL15" t="str">
        <f>"-0.00272***"</f>
        <v>-0.00272***</v>
      </c>
      <c r="DM15" t="s">
        <v>640</v>
      </c>
      <c r="DN15" t="s">
        <v>1506</v>
      </c>
      <c r="DO15" t="str">
        <f>"-0.00245***"</f>
        <v>-0.00245***</v>
      </c>
      <c r="DP15" t="s">
        <v>920</v>
      </c>
      <c r="DQ15" t="s">
        <v>1452</v>
      </c>
      <c r="DR15" t="str">
        <f>"-0.00243***"</f>
        <v>-0.00243***</v>
      </c>
      <c r="DS15" t="s">
        <v>711</v>
      </c>
      <c r="DT15" t="s">
        <v>1452</v>
      </c>
      <c r="DU15" t="str">
        <f>"-0.00244***"</f>
        <v>-0.00244***</v>
      </c>
      <c r="DV15" t="s">
        <v>920</v>
      </c>
      <c r="DW15" t="s">
        <v>1452</v>
      </c>
      <c r="DX15" t="str">
        <f>"-0.00222***"</f>
        <v>-0.00222***</v>
      </c>
      <c r="DY15" t="s">
        <v>911</v>
      </c>
      <c r="DZ15" t="s">
        <v>1509</v>
      </c>
      <c r="EA15" t="str">
        <f>"-0.00222***"</f>
        <v>-0.00222***</v>
      </c>
      <c r="EB15" t="s">
        <v>911</v>
      </c>
      <c r="EC15" t="s">
        <v>1509</v>
      </c>
      <c r="ED15" t="str">
        <f>"-0.00206***"</f>
        <v>-0.00206***</v>
      </c>
      <c r="EE15" t="s">
        <v>945</v>
      </c>
      <c r="EF15" t="s">
        <v>1510</v>
      </c>
      <c r="EG15" t="str">
        <f>"-0.00211***"</f>
        <v>-0.00211***</v>
      </c>
      <c r="EH15" t="s">
        <v>945</v>
      </c>
      <c r="EI15" t="s">
        <v>1510</v>
      </c>
      <c r="EJ15" t="str">
        <f>"-0.00218***"</f>
        <v>-0.00218***</v>
      </c>
      <c r="EK15" t="s">
        <v>911</v>
      </c>
      <c r="EL15" t="s">
        <v>1510</v>
      </c>
      <c r="EM15" t="str">
        <f>"-0.00194***"</f>
        <v>-0.00194***</v>
      </c>
      <c r="EN15" t="s">
        <v>1012</v>
      </c>
      <c r="EO15" t="s">
        <v>1453</v>
      </c>
      <c r="EP15" t="str">
        <f>"-0.00152***"</f>
        <v>-0.00152***</v>
      </c>
      <c r="EQ15" t="s">
        <v>652</v>
      </c>
      <c r="ER15" t="s">
        <v>1513</v>
      </c>
      <c r="ES15" t="str">
        <f>"-0.00113***"</f>
        <v>-0.00113***</v>
      </c>
      <c r="ET15" t="s">
        <v>932</v>
      </c>
      <c r="EU15" t="s">
        <v>704</v>
      </c>
      <c r="EV15" t="str">
        <f>"-0.00105***"</f>
        <v>-0.00105***</v>
      </c>
      <c r="EW15" t="s">
        <v>674</v>
      </c>
      <c r="EX15" t="s">
        <v>1119</v>
      </c>
      <c r="EY15" t="str">
        <f>"-0.000679***"</f>
        <v>-0.000679***</v>
      </c>
      <c r="EZ15" t="s">
        <v>435</v>
      </c>
      <c r="FA15" t="s">
        <v>970</v>
      </c>
      <c r="FB15" t="str">
        <f>"-0.000580**"</f>
        <v>-0.000580**</v>
      </c>
      <c r="FC15" t="s">
        <v>647</v>
      </c>
      <c r="FD15" t="s">
        <v>1116</v>
      </c>
      <c r="FE15" t="str">
        <f>"-0.000380*"</f>
        <v>-0.000380*</v>
      </c>
      <c r="FF15" t="s">
        <v>707</v>
      </c>
      <c r="FG15" t="s">
        <v>1486</v>
      </c>
      <c r="FH15" t="str">
        <f>"0.0000337"</f>
        <v>0.0000337</v>
      </c>
      <c r="FI15" t="s">
        <v>786</v>
      </c>
      <c r="FJ15" t="s">
        <v>802</v>
      </c>
      <c r="FK15" t="str">
        <f>"0.0000533"</f>
        <v>0.0000533</v>
      </c>
      <c r="FL15" t="s">
        <v>786</v>
      </c>
      <c r="FM15" t="s">
        <v>802</v>
      </c>
      <c r="FN15" t="str">
        <f>"0.000114"</f>
        <v>0.000114</v>
      </c>
      <c r="FO15" t="s">
        <v>786</v>
      </c>
      <c r="FP15" t="s">
        <v>709</v>
      </c>
      <c r="FQ15" t="str">
        <f>"0.000384"</f>
        <v>0.000384</v>
      </c>
      <c r="FR15" t="s">
        <v>930</v>
      </c>
      <c r="FS15" t="s">
        <v>1457</v>
      </c>
      <c r="FT15" t="str">
        <f>"0.000584**"</f>
        <v>0.000584**</v>
      </c>
      <c r="FU15" t="s">
        <v>722</v>
      </c>
      <c r="FV15" t="s">
        <v>937</v>
      </c>
      <c r="FW15" t="str">
        <f>"0.000494*"</f>
        <v>0.000494*</v>
      </c>
      <c r="FX15" t="s">
        <v>736</v>
      </c>
      <c r="FY15" t="s">
        <v>938</v>
      </c>
      <c r="FZ15" t="str">
        <f>"0.000457*"</f>
        <v>0.000457*</v>
      </c>
      <c r="GA15" t="s">
        <v>979</v>
      </c>
      <c r="GB15" t="s">
        <v>938</v>
      </c>
      <c r="GC15" t="str">
        <f>"0.000687**"</f>
        <v>0.000687**</v>
      </c>
      <c r="GD15" t="s">
        <v>708</v>
      </c>
      <c r="GE15" t="s">
        <v>934</v>
      </c>
      <c r="GF15" t="str">
        <f>"0.000861***"</f>
        <v>0.000861***</v>
      </c>
      <c r="GG15" t="s">
        <v>683</v>
      </c>
      <c r="GH15" t="s">
        <v>675</v>
      </c>
      <c r="GI15" t="str">
        <f>"0.00100***"</f>
        <v>0.00100***</v>
      </c>
      <c r="GJ15" t="s">
        <v>923</v>
      </c>
      <c r="GK15" t="s">
        <v>1067</v>
      </c>
      <c r="GL15" t="str">
        <f>"0.000974***"</f>
        <v>0.000974***</v>
      </c>
      <c r="GM15" t="s">
        <v>719</v>
      </c>
      <c r="GN15" t="s">
        <v>1067</v>
      </c>
      <c r="GO15" t="str">
        <f>"0.00102***"</f>
        <v>0.00102***</v>
      </c>
      <c r="GP15" t="s">
        <v>923</v>
      </c>
      <c r="GQ15" t="s">
        <v>1083</v>
      </c>
      <c r="GR15" t="str">
        <f>"0.00107***"</f>
        <v>0.00107***</v>
      </c>
      <c r="GS15" t="s">
        <v>923</v>
      </c>
      <c r="GT15" t="s">
        <v>1083</v>
      </c>
      <c r="GU15" t="str">
        <f>"0.00113***"</f>
        <v>0.00113***</v>
      </c>
      <c r="GV15" t="s">
        <v>730</v>
      </c>
      <c r="GW15" t="s">
        <v>918</v>
      </c>
      <c r="GX15" t="str">
        <f>"0.000988***"</f>
        <v>0.000988***</v>
      </c>
      <c r="GY15" t="s">
        <v>719</v>
      </c>
      <c r="GZ15" t="s">
        <v>1083</v>
      </c>
      <c r="HA15" t="str">
        <f>"0.00117***"</f>
        <v>0.00117***</v>
      </c>
      <c r="HB15" t="s">
        <v>730</v>
      </c>
      <c r="HC15" t="s">
        <v>588</v>
      </c>
      <c r="HD15" t="str">
        <f>"0.00112***"</f>
        <v>0.00112***</v>
      </c>
      <c r="HE15" t="s">
        <v>923</v>
      </c>
      <c r="HF15" t="s">
        <v>918</v>
      </c>
      <c r="HG15" t="str">
        <f>"0.00129***"</f>
        <v>0.00129***</v>
      </c>
      <c r="HH15" t="s">
        <v>730</v>
      </c>
      <c r="HI15" t="s">
        <v>691</v>
      </c>
      <c r="HJ15" t="str">
        <f>"0.00141***"</f>
        <v>0.00141***</v>
      </c>
      <c r="HK15" t="s">
        <v>926</v>
      </c>
      <c r="HL15" t="s">
        <v>912</v>
      </c>
      <c r="HM15" t="str">
        <f>"0.00187***"</f>
        <v>0.00187***</v>
      </c>
      <c r="HN15" t="s">
        <v>1459</v>
      </c>
      <c r="HO15" t="s">
        <v>921</v>
      </c>
      <c r="HP15" t="str">
        <f>"0.00195***"</f>
        <v>0.00195***</v>
      </c>
      <c r="HQ15" t="s">
        <v>695</v>
      </c>
      <c r="HR15" t="s">
        <v>906</v>
      </c>
      <c r="HS15" t="str">
        <f>"0.00160***"</f>
        <v>0.00160***</v>
      </c>
      <c r="HT15" t="s">
        <v>718</v>
      </c>
      <c r="HU15" t="s">
        <v>800</v>
      </c>
      <c r="HV15" t="str">
        <f>"0.00108***"</f>
        <v>0.00108***</v>
      </c>
      <c r="HW15" t="s">
        <v>923</v>
      </c>
      <c r="HX15" t="s">
        <v>918</v>
      </c>
      <c r="HY15" t="str">
        <f>"0.00108***"</f>
        <v>0.00108***</v>
      </c>
      <c r="HZ15" t="s">
        <v>923</v>
      </c>
      <c r="IA15" t="s">
        <v>918</v>
      </c>
      <c r="IB15" t="str">
        <f>"0.000683*"</f>
        <v>0.000683*</v>
      </c>
      <c r="IC15" t="s">
        <v>722</v>
      </c>
      <c r="ID15" t="s">
        <v>936</v>
      </c>
      <c r="IE15" t="str">
        <f>"0.000844*"</f>
        <v>0.000844*</v>
      </c>
      <c r="IF15" t="s">
        <v>722</v>
      </c>
      <c r="IG15" t="s">
        <v>1083</v>
      </c>
      <c r="IH15" t="str">
        <f>"0.00105**"</f>
        <v>0.00105**</v>
      </c>
      <c r="II15" t="s">
        <v>708</v>
      </c>
      <c r="IJ15" t="s">
        <v>691</v>
      </c>
      <c r="IK15" t="str">
        <f>"0.000826*"</f>
        <v>0.000826*</v>
      </c>
      <c r="IL15" t="s">
        <v>736</v>
      </c>
      <c r="IM15" t="s">
        <v>1083</v>
      </c>
      <c r="IN15" t="str">
        <f>"0.000582"</f>
        <v>0.000582</v>
      </c>
      <c r="IO15" t="s">
        <v>738</v>
      </c>
      <c r="IP15" t="s">
        <v>675</v>
      </c>
      <c r="IQ15" t="str">
        <f>"0.000429"</f>
        <v>0.000429</v>
      </c>
      <c r="IR15" t="s">
        <v>786</v>
      </c>
      <c r="IS15" t="s">
        <v>934</v>
      </c>
      <c r="IT15" t="str">
        <f>"-0.0000628"</f>
        <v>-0.0000628</v>
      </c>
      <c r="IU15" t="s">
        <v>707</v>
      </c>
      <c r="IV15" t="s">
        <v>1196</v>
      </c>
      <c r="IW15" t="str">
        <f>"-0.0000832"</f>
        <v>-0.0000832</v>
      </c>
      <c r="IX15" t="s">
        <v>707</v>
      </c>
      <c r="IY15" t="s">
        <v>817</v>
      </c>
      <c r="IZ15" t="str">
        <f>"-0.000205"</f>
        <v>-0.000205</v>
      </c>
      <c r="JA15" t="s">
        <v>931</v>
      </c>
      <c r="JB15" t="s">
        <v>709</v>
      </c>
      <c r="JC15" t="str">
        <f>"-0.000283"</f>
        <v>-0.000283</v>
      </c>
      <c r="JD15" t="s">
        <v>435</v>
      </c>
      <c r="JE15" t="s">
        <v>709</v>
      </c>
      <c r="JF15" t="str">
        <f>"-0.000697"</f>
        <v>-0.000697</v>
      </c>
      <c r="JG15" t="s">
        <v>916</v>
      </c>
      <c r="JH15" t="s">
        <v>661</v>
      </c>
      <c r="JI15" t="str">
        <f>"-0.00116*"</f>
        <v>-0.00116*</v>
      </c>
      <c r="JJ15" t="s">
        <v>717</v>
      </c>
      <c r="JK15" t="s">
        <v>1116</v>
      </c>
      <c r="JL15" t="str">
        <f>"-0.000795"</f>
        <v>-0.000795</v>
      </c>
      <c r="JM15" t="s">
        <v>720</v>
      </c>
      <c r="JN15" t="s">
        <v>1485</v>
      </c>
      <c r="JO15" t="str">
        <f>"-0.00136**"</f>
        <v>-0.00136**</v>
      </c>
      <c r="JP15" t="s">
        <v>717</v>
      </c>
      <c r="JQ15" t="s">
        <v>1454</v>
      </c>
      <c r="JR15" t="str">
        <f>"-0.00161**"</f>
        <v>-0.00161**</v>
      </c>
      <c r="JS15" t="s">
        <v>711</v>
      </c>
      <c r="JT15" t="s">
        <v>815</v>
      </c>
      <c r="JU15" t="str">
        <f>"-0.00108*"</f>
        <v>-0.00108*</v>
      </c>
      <c r="JV15" t="s">
        <v>933</v>
      </c>
      <c r="JW15" t="s">
        <v>1486</v>
      </c>
      <c r="JX15" t="str">
        <f>"-0.00206**"</f>
        <v>-0.00206**</v>
      </c>
      <c r="JY15" t="s">
        <v>345</v>
      </c>
      <c r="JZ15" t="s">
        <v>704</v>
      </c>
      <c r="KA15" t="str">
        <f>"-0.00247**"</f>
        <v>-0.00247**</v>
      </c>
      <c r="KB15" t="s">
        <v>1515</v>
      </c>
      <c r="KC15" t="s">
        <v>1086</v>
      </c>
      <c r="KD15" t="str">
        <f>"-0.00249**"</f>
        <v>-0.00249**</v>
      </c>
      <c r="KE15" t="s">
        <v>3295</v>
      </c>
      <c r="KF15" t="s">
        <v>1084</v>
      </c>
      <c r="KG15" t="str">
        <f>"-0.00221*"</f>
        <v>-0.00221*</v>
      </c>
      <c r="KH15" t="s">
        <v>670</v>
      </c>
      <c r="KI15" t="s">
        <v>1116</v>
      </c>
      <c r="KJ15" t="str">
        <f>"-0.00228"</f>
        <v>-0.00228</v>
      </c>
      <c r="KK15" t="s">
        <v>909</v>
      </c>
      <c r="KL15" t="s">
        <v>709</v>
      </c>
    </row>
    <row r="16" spans="1:298" x14ac:dyDescent="0.2">
      <c r="A16" t="str">
        <f>"Regi√£o"</f>
        <v>Regi√£o</v>
      </c>
      <c r="B16" t="str">
        <f>"0.0122***"</f>
        <v>0.0122***</v>
      </c>
      <c r="C16" t="s">
        <v>775</v>
      </c>
      <c r="D16" t="s">
        <v>1543</v>
      </c>
      <c r="E16" t="str">
        <f>"0.0151***"</f>
        <v>0.0151***</v>
      </c>
      <c r="F16" t="s">
        <v>3296</v>
      </c>
      <c r="G16" t="s">
        <v>2874</v>
      </c>
      <c r="H16" t="str">
        <f>"0.0124***"</f>
        <v>0.0124***</v>
      </c>
      <c r="I16" t="s">
        <v>775</v>
      </c>
      <c r="J16" t="s">
        <v>1670</v>
      </c>
      <c r="K16" t="str">
        <f>"0.0117***"</f>
        <v>0.0117***</v>
      </c>
      <c r="L16" t="s">
        <v>1552</v>
      </c>
      <c r="M16" t="s">
        <v>972</v>
      </c>
      <c r="N16" t="str">
        <f>"0.0102***"</f>
        <v>0.0102***</v>
      </c>
      <c r="O16" t="s">
        <v>944</v>
      </c>
      <c r="P16" t="s">
        <v>1492</v>
      </c>
      <c r="Q16" t="str">
        <f>"0.0113***"</f>
        <v>0.0113***</v>
      </c>
      <c r="R16" t="s">
        <v>297</v>
      </c>
      <c r="S16" t="s">
        <v>524</v>
      </c>
      <c r="T16" t="str">
        <f>"0.00977***"</f>
        <v>0.00977***</v>
      </c>
      <c r="U16" t="s">
        <v>445</v>
      </c>
      <c r="V16" t="s">
        <v>565</v>
      </c>
      <c r="W16" t="str">
        <f>"0.00846***"</f>
        <v>0.00846***</v>
      </c>
      <c r="X16" t="s">
        <v>1489</v>
      </c>
      <c r="Y16" t="s">
        <v>737</v>
      </c>
      <c r="Z16" t="str">
        <f>"0.00853***"</f>
        <v>0.00853***</v>
      </c>
      <c r="AA16" t="s">
        <v>732</v>
      </c>
      <c r="AB16" t="s">
        <v>737</v>
      </c>
      <c r="AC16" t="str">
        <f>"0.00659***"</f>
        <v>0.00659***</v>
      </c>
      <c r="AD16" t="s">
        <v>940</v>
      </c>
      <c r="AE16" t="s">
        <v>572</v>
      </c>
      <c r="AF16" t="str">
        <f>"0.00516***"</f>
        <v>0.00516***</v>
      </c>
      <c r="AG16" t="s">
        <v>1081</v>
      </c>
      <c r="AH16" t="s">
        <v>568</v>
      </c>
      <c r="AI16" t="str">
        <f>"0.00422***"</f>
        <v>0.00422***</v>
      </c>
      <c r="AJ16" t="s">
        <v>1466</v>
      </c>
      <c r="AK16" t="s">
        <v>655</v>
      </c>
      <c r="AL16" t="str">
        <f>"0.00378***"</f>
        <v>0.00378***</v>
      </c>
      <c r="AM16" t="s">
        <v>1050</v>
      </c>
      <c r="AN16" t="s">
        <v>713</v>
      </c>
      <c r="AO16" t="str">
        <f>"0.00338***"</f>
        <v>0.00338***</v>
      </c>
      <c r="AP16" t="s">
        <v>1463</v>
      </c>
      <c r="AQ16" t="s">
        <v>1087</v>
      </c>
      <c r="AR16" t="str">
        <f>"0.00341***"</f>
        <v>0.00341***</v>
      </c>
      <c r="AS16" t="s">
        <v>1463</v>
      </c>
      <c r="AT16" t="s">
        <v>928</v>
      </c>
      <c r="AU16" t="str">
        <f>"0.00328***"</f>
        <v>0.00328***</v>
      </c>
      <c r="AV16" t="s">
        <v>1463</v>
      </c>
      <c r="AW16" t="s">
        <v>698</v>
      </c>
      <c r="AX16" t="str">
        <f>"0.00322***"</f>
        <v>0.00322***</v>
      </c>
      <c r="AY16" t="s">
        <v>1462</v>
      </c>
      <c r="AZ16" t="s">
        <v>584</v>
      </c>
      <c r="BA16" t="str">
        <f>"0.00335***"</f>
        <v>0.00335***</v>
      </c>
      <c r="BB16" t="s">
        <v>1463</v>
      </c>
      <c r="BC16" t="s">
        <v>1087</v>
      </c>
      <c r="BD16" t="str">
        <f>"0.00310***"</f>
        <v>0.00310***</v>
      </c>
      <c r="BE16" t="s">
        <v>1461</v>
      </c>
      <c r="BF16" t="s">
        <v>671</v>
      </c>
      <c r="BG16" t="str">
        <f>"0.00315***"</f>
        <v>0.00315***</v>
      </c>
      <c r="BH16" t="s">
        <v>1462</v>
      </c>
      <c r="BI16" t="s">
        <v>584</v>
      </c>
      <c r="BJ16" t="str">
        <f>"0.00316***"</f>
        <v>0.00316***</v>
      </c>
      <c r="BK16" t="s">
        <v>1462</v>
      </c>
      <c r="BL16" t="s">
        <v>584</v>
      </c>
      <c r="BM16" t="str">
        <f>"0.00304***"</f>
        <v>0.00304***</v>
      </c>
      <c r="BN16" t="s">
        <v>1461</v>
      </c>
      <c r="BO16" t="s">
        <v>696</v>
      </c>
      <c r="BP16" t="str">
        <f>"0.00293***"</f>
        <v>0.00293***</v>
      </c>
      <c r="BQ16" t="s">
        <v>1460</v>
      </c>
      <c r="BR16" t="s">
        <v>590</v>
      </c>
      <c r="BS16" t="str">
        <f>"0.00317***"</f>
        <v>0.00317***</v>
      </c>
      <c r="BT16" t="s">
        <v>1462</v>
      </c>
      <c r="BU16" t="s">
        <v>671</v>
      </c>
      <c r="BV16" t="str">
        <f>"0.00286***"</f>
        <v>0.00286***</v>
      </c>
      <c r="BW16" t="s">
        <v>1460</v>
      </c>
      <c r="BX16" t="s">
        <v>590</v>
      </c>
      <c r="BY16" t="str">
        <f>"0.00282***"</f>
        <v>0.00282***</v>
      </c>
      <c r="BZ16" t="s">
        <v>638</v>
      </c>
      <c r="CA16" t="s">
        <v>829</v>
      </c>
      <c r="CB16" t="str">
        <f>"0.00264***"</f>
        <v>0.00264***</v>
      </c>
      <c r="CC16" t="s">
        <v>449</v>
      </c>
      <c r="CD16" t="s">
        <v>601</v>
      </c>
      <c r="CE16" t="str">
        <f>"0.00306***"</f>
        <v>0.00306***</v>
      </c>
      <c r="CF16" t="s">
        <v>1461</v>
      </c>
      <c r="CG16" t="s">
        <v>696</v>
      </c>
      <c r="CH16" t="str">
        <f>"0.00307***"</f>
        <v>0.00307***</v>
      </c>
      <c r="CI16" t="s">
        <v>1461</v>
      </c>
      <c r="CJ16" t="s">
        <v>696</v>
      </c>
      <c r="CK16" t="str">
        <f>"0.00317***"</f>
        <v>0.00317***</v>
      </c>
      <c r="CL16" t="s">
        <v>1462</v>
      </c>
      <c r="CM16" t="s">
        <v>584</v>
      </c>
      <c r="CN16" t="str">
        <f>"0.00339***"</f>
        <v>0.00339***</v>
      </c>
      <c r="CO16" t="s">
        <v>1463</v>
      </c>
      <c r="CP16" t="s">
        <v>1087</v>
      </c>
      <c r="CQ16" t="str">
        <f>"0.00353***"</f>
        <v>0.00353***</v>
      </c>
      <c r="CR16" t="s">
        <v>1464</v>
      </c>
      <c r="CS16" t="s">
        <v>605</v>
      </c>
      <c r="CT16" t="str">
        <f>"0.00378***"</f>
        <v>0.00378***</v>
      </c>
      <c r="CU16" t="s">
        <v>729</v>
      </c>
      <c r="CV16" t="s">
        <v>713</v>
      </c>
      <c r="CW16" t="str">
        <f>"0.00394***"</f>
        <v>0.00394***</v>
      </c>
      <c r="CX16" t="s">
        <v>1050</v>
      </c>
      <c r="CY16" t="s">
        <v>789</v>
      </c>
      <c r="CZ16" t="str">
        <f>"0.00397***"</f>
        <v>0.00397***</v>
      </c>
      <c r="DA16" t="s">
        <v>1465</v>
      </c>
      <c r="DB16" t="s">
        <v>702</v>
      </c>
      <c r="DC16" t="str">
        <f>"0.00387***"</f>
        <v>0.00387***</v>
      </c>
      <c r="DD16" t="s">
        <v>1050</v>
      </c>
      <c r="DE16" t="s">
        <v>789</v>
      </c>
      <c r="DF16" t="str">
        <f>"0.00390***"</f>
        <v>0.00390***</v>
      </c>
      <c r="DG16" t="s">
        <v>1050</v>
      </c>
      <c r="DH16" t="s">
        <v>789</v>
      </c>
      <c r="DI16" t="str">
        <f>"0.00385***"</f>
        <v>0.00385***</v>
      </c>
      <c r="DJ16" t="s">
        <v>1050</v>
      </c>
      <c r="DK16" t="s">
        <v>1467</v>
      </c>
      <c r="DL16" t="str">
        <f>"0.00373***"</f>
        <v>0.00373***</v>
      </c>
      <c r="DM16" t="s">
        <v>729</v>
      </c>
      <c r="DN16" t="s">
        <v>713</v>
      </c>
      <c r="DO16" t="str">
        <f>"0.00353***"</f>
        <v>0.00353***</v>
      </c>
      <c r="DP16" t="s">
        <v>1464</v>
      </c>
      <c r="DQ16" t="s">
        <v>605</v>
      </c>
      <c r="DR16" t="str">
        <f>"0.00358***"</f>
        <v>0.00358***</v>
      </c>
      <c r="DS16" t="s">
        <v>1464</v>
      </c>
      <c r="DT16" t="s">
        <v>605</v>
      </c>
      <c r="DU16" t="str">
        <f>"0.00321***"</f>
        <v>0.00321***</v>
      </c>
      <c r="DV16" t="s">
        <v>1462</v>
      </c>
      <c r="DW16" t="s">
        <v>584</v>
      </c>
      <c r="DX16" t="str">
        <f>"0.00309***"</f>
        <v>0.00309***</v>
      </c>
      <c r="DY16" t="s">
        <v>1461</v>
      </c>
      <c r="DZ16" t="s">
        <v>696</v>
      </c>
      <c r="EA16" t="str">
        <f>"0.00309***"</f>
        <v>0.00309***</v>
      </c>
      <c r="EB16" t="s">
        <v>1461</v>
      </c>
      <c r="EC16" t="s">
        <v>696</v>
      </c>
      <c r="ED16" t="str">
        <f>"0.00326***"</f>
        <v>0.00326***</v>
      </c>
      <c r="EE16" t="s">
        <v>1463</v>
      </c>
      <c r="EF16" t="s">
        <v>584</v>
      </c>
      <c r="EG16" t="str">
        <f>"0.00335***"</f>
        <v>0.00335***</v>
      </c>
      <c r="EH16" t="s">
        <v>779</v>
      </c>
      <c r="EI16" t="s">
        <v>698</v>
      </c>
      <c r="EJ16" t="str">
        <f>"0.00347***"</f>
        <v>0.00347***</v>
      </c>
      <c r="EK16" t="s">
        <v>779</v>
      </c>
      <c r="EL16" t="s">
        <v>928</v>
      </c>
      <c r="EM16" t="str">
        <f>"0.00343***"</f>
        <v>0.00343***</v>
      </c>
      <c r="EN16" t="s">
        <v>779</v>
      </c>
      <c r="EO16" t="s">
        <v>928</v>
      </c>
      <c r="EP16" t="str">
        <f>"0.00341***"</f>
        <v>0.00341***</v>
      </c>
      <c r="EQ16" t="s">
        <v>779</v>
      </c>
      <c r="ER16" t="s">
        <v>1087</v>
      </c>
      <c r="ES16" t="str">
        <f>"0.00341***"</f>
        <v>0.00341***</v>
      </c>
      <c r="ET16" t="s">
        <v>779</v>
      </c>
      <c r="EU16" t="s">
        <v>1087</v>
      </c>
      <c r="EV16" t="str">
        <f>"0.00335***"</f>
        <v>0.00335***</v>
      </c>
      <c r="EW16" t="s">
        <v>779</v>
      </c>
      <c r="EX16" t="s">
        <v>1087</v>
      </c>
      <c r="EY16" t="str">
        <f>"0.00333***"</f>
        <v>0.00333***</v>
      </c>
      <c r="EZ16" t="s">
        <v>1463</v>
      </c>
      <c r="FA16" t="s">
        <v>698</v>
      </c>
      <c r="FB16" t="str">
        <f>"0.00305***"</f>
        <v>0.00305***</v>
      </c>
      <c r="FC16" t="s">
        <v>1461</v>
      </c>
      <c r="FD16" t="s">
        <v>696</v>
      </c>
      <c r="FE16" t="str">
        <f>"0.00290***"</f>
        <v>0.00290***</v>
      </c>
      <c r="FF16" t="s">
        <v>1460</v>
      </c>
      <c r="FG16" t="s">
        <v>590</v>
      </c>
      <c r="FH16" t="str">
        <f>"0.00290***"</f>
        <v>0.00290***</v>
      </c>
      <c r="FI16" t="s">
        <v>1461</v>
      </c>
      <c r="FJ16" t="s">
        <v>829</v>
      </c>
      <c r="FK16" t="str">
        <f>"0.00280***"</f>
        <v>0.00280***</v>
      </c>
      <c r="FL16" t="s">
        <v>1460</v>
      </c>
      <c r="FM16" t="s">
        <v>603</v>
      </c>
      <c r="FN16" t="str">
        <f>"0.00287***"</f>
        <v>0.00287***</v>
      </c>
      <c r="FO16" t="s">
        <v>1460</v>
      </c>
      <c r="FP16" t="s">
        <v>829</v>
      </c>
      <c r="FQ16" t="str">
        <f>"0.00289***"</f>
        <v>0.00289***</v>
      </c>
      <c r="FR16" t="s">
        <v>1461</v>
      </c>
      <c r="FS16" t="s">
        <v>829</v>
      </c>
      <c r="FT16" t="str">
        <f>"0.00289***"</f>
        <v>0.00289***</v>
      </c>
      <c r="FU16" t="s">
        <v>1461</v>
      </c>
      <c r="FV16" t="s">
        <v>829</v>
      </c>
      <c r="FW16" t="str">
        <f>"0.00277***"</f>
        <v>0.00277***</v>
      </c>
      <c r="FX16" t="s">
        <v>1460</v>
      </c>
      <c r="FY16" t="s">
        <v>603</v>
      </c>
      <c r="FZ16" t="str">
        <f>"0.00275***"</f>
        <v>0.00275***</v>
      </c>
      <c r="GA16" t="s">
        <v>1460</v>
      </c>
      <c r="GB16" t="s">
        <v>603</v>
      </c>
      <c r="GC16" t="str">
        <f>"0.00272***"</f>
        <v>0.00272***</v>
      </c>
      <c r="GD16" t="s">
        <v>638</v>
      </c>
      <c r="GE16" t="s">
        <v>601</v>
      </c>
      <c r="GF16" t="str">
        <f>"0.00265***"</f>
        <v>0.00265***</v>
      </c>
      <c r="GG16" t="s">
        <v>638</v>
      </c>
      <c r="GH16" t="s">
        <v>690</v>
      </c>
      <c r="GI16" t="str">
        <f>"0.00255***"</f>
        <v>0.00255***</v>
      </c>
      <c r="GJ16" t="s">
        <v>449</v>
      </c>
      <c r="GK16" t="s">
        <v>907</v>
      </c>
      <c r="GL16" t="str">
        <f>"0.00238***"</f>
        <v>0.00238***</v>
      </c>
      <c r="GM16" t="s">
        <v>1020</v>
      </c>
      <c r="GN16" t="s">
        <v>915</v>
      </c>
      <c r="GO16" t="str">
        <f>"0.00225***"</f>
        <v>0.00225***</v>
      </c>
      <c r="GP16" t="s">
        <v>679</v>
      </c>
      <c r="GQ16" t="s">
        <v>716</v>
      </c>
      <c r="GR16" t="str">
        <f>"0.00224***"</f>
        <v>0.00224***</v>
      </c>
      <c r="GS16" t="s">
        <v>679</v>
      </c>
      <c r="GT16" t="s">
        <v>716</v>
      </c>
      <c r="GU16" t="str">
        <f>"0.00235***"</f>
        <v>0.00235***</v>
      </c>
      <c r="GV16" t="s">
        <v>1020</v>
      </c>
      <c r="GW16" t="s">
        <v>917</v>
      </c>
      <c r="GX16" t="str">
        <f>"0.00230***"</f>
        <v>0.00230***</v>
      </c>
      <c r="GY16" t="s">
        <v>679</v>
      </c>
      <c r="GZ16" t="s">
        <v>917</v>
      </c>
      <c r="HA16" t="str">
        <f>"0.00248***"</f>
        <v>0.00248***</v>
      </c>
      <c r="HB16" t="s">
        <v>449</v>
      </c>
      <c r="HC16" t="s">
        <v>692</v>
      </c>
      <c r="HD16" t="str">
        <f>"0.00236***"</f>
        <v>0.00236***</v>
      </c>
      <c r="HE16" t="s">
        <v>1020</v>
      </c>
      <c r="HF16" t="s">
        <v>917</v>
      </c>
      <c r="HG16" t="str">
        <f>"0.00247***"</f>
        <v>0.00247***</v>
      </c>
      <c r="HH16" t="s">
        <v>449</v>
      </c>
      <c r="HI16" t="s">
        <v>692</v>
      </c>
      <c r="HJ16" t="str">
        <f>"0.00235***"</f>
        <v>0.00235***</v>
      </c>
      <c r="HK16" t="s">
        <v>1020</v>
      </c>
      <c r="HL16" t="s">
        <v>917</v>
      </c>
      <c r="HM16" t="str">
        <f>"0.00220***"</f>
        <v>0.00220***</v>
      </c>
      <c r="HN16" t="s">
        <v>679</v>
      </c>
      <c r="HO16" t="s">
        <v>701</v>
      </c>
      <c r="HP16" t="str">
        <f>"0.00198***"</f>
        <v>0.00198***</v>
      </c>
      <c r="HQ16" t="s">
        <v>695</v>
      </c>
      <c r="HR16" t="s">
        <v>906</v>
      </c>
      <c r="HS16" t="str">
        <f>"0.00197***"</f>
        <v>0.00197***</v>
      </c>
      <c r="HT16" t="s">
        <v>695</v>
      </c>
      <c r="HU16" t="s">
        <v>906</v>
      </c>
      <c r="HV16" t="str">
        <f>"0.00146***"</f>
        <v>0.00146***</v>
      </c>
      <c r="HW16" t="s">
        <v>924</v>
      </c>
      <c r="HX16" t="s">
        <v>913</v>
      </c>
      <c r="HY16" t="str">
        <f>"0.00146***"</f>
        <v>0.00146***</v>
      </c>
      <c r="HZ16" t="s">
        <v>924</v>
      </c>
      <c r="IA16" t="s">
        <v>913</v>
      </c>
      <c r="IB16" t="str">
        <f>"0.00159***"</f>
        <v>0.00159***</v>
      </c>
      <c r="IC16" t="s">
        <v>1488</v>
      </c>
      <c r="ID16" t="s">
        <v>912</v>
      </c>
      <c r="IE16" t="str">
        <f>"0.00190***"</f>
        <v>0.00190***</v>
      </c>
      <c r="IF16" t="s">
        <v>695</v>
      </c>
      <c r="IG16" t="s">
        <v>921</v>
      </c>
      <c r="IH16" t="str">
        <f>"0.00189***"</f>
        <v>0.00189***</v>
      </c>
      <c r="II16" t="s">
        <v>695</v>
      </c>
      <c r="IJ16" t="s">
        <v>921</v>
      </c>
      <c r="IK16" t="str">
        <f>"0.00173***"</f>
        <v>0.00173***</v>
      </c>
      <c r="IL16" t="s">
        <v>1488</v>
      </c>
      <c r="IM16" t="s">
        <v>685</v>
      </c>
      <c r="IN16" t="str">
        <f>"0.00147***"</f>
        <v>0.00147***</v>
      </c>
      <c r="IO16" t="s">
        <v>924</v>
      </c>
      <c r="IP16" t="s">
        <v>913</v>
      </c>
      <c r="IQ16" t="str">
        <f>"0.00141***"</f>
        <v>0.00141***</v>
      </c>
      <c r="IR16" t="s">
        <v>924</v>
      </c>
      <c r="IS16" t="s">
        <v>691</v>
      </c>
      <c r="IT16" t="str">
        <f>"0.00139***"</f>
        <v>0.00139***</v>
      </c>
      <c r="IU16" t="s">
        <v>924</v>
      </c>
      <c r="IV16" t="s">
        <v>691</v>
      </c>
      <c r="IW16" t="str">
        <f>"0.00127***"</f>
        <v>0.00127***</v>
      </c>
      <c r="IX16" t="s">
        <v>927</v>
      </c>
      <c r="IY16" t="s">
        <v>588</v>
      </c>
      <c r="IZ16" t="str">
        <f>"0.000877***"</f>
        <v>0.000877***</v>
      </c>
      <c r="JA16" t="s">
        <v>719</v>
      </c>
      <c r="JB16" t="s">
        <v>936</v>
      </c>
      <c r="JC16" t="str">
        <f>"0.00112***"</f>
        <v>0.00112***</v>
      </c>
      <c r="JD16" t="s">
        <v>730</v>
      </c>
      <c r="JE16" t="s">
        <v>1083</v>
      </c>
      <c r="JF16" t="str">
        <f>"0.00111***"</f>
        <v>0.00111***</v>
      </c>
      <c r="JG16" t="s">
        <v>730</v>
      </c>
      <c r="JH16" t="s">
        <v>918</v>
      </c>
      <c r="JI16" t="str">
        <f>"0.00107***"</f>
        <v>0.00107***</v>
      </c>
      <c r="JJ16" t="s">
        <v>923</v>
      </c>
      <c r="JK16" t="s">
        <v>1083</v>
      </c>
      <c r="JL16" t="str">
        <f>"0.000942***"</f>
        <v>0.000942***</v>
      </c>
      <c r="JM16" t="s">
        <v>719</v>
      </c>
      <c r="JN16" t="s">
        <v>675</v>
      </c>
      <c r="JO16" t="str">
        <f>"0.000432*"</f>
        <v>0.000432*</v>
      </c>
      <c r="JP16" t="s">
        <v>979</v>
      </c>
      <c r="JQ16" t="s">
        <v>1457</v>
      </c>
      <c r="JR16" t="str">
        <f>"0.000538*"</f>
        <v>0.000538*</v>
      </c>
      <c r="JS16" t="s">
        <v>979</v>
      </c>
      <c r="JT16" t="s">
        <v>934</v>
      </c>
      <c r="JU16" t="str">
        <f>"0.000218"</f>
        <v>0.000218</v>
      </c>
      <c r="JV16" t="s">
        <v>1458</v>
      </c>
      <c r="JW16" t="s">
        <v>817</v>
      </c>
      <c r="JX16" t="str">
        <f>"0.000370"</f>
        <v>0.000370</v>
      </c>
      <c r="JY16" t="s">
        <v>1458</v>
      </c>
      <c r="JZ16" t="s">
        <v>937</v>
      </c>
      <c r="KA16" t="str">
        <f>"0.000296"</f>
        <v>0.000296</v>
      </c>
      <c r="KB16" t="s">
        <v>929</v>
      </c>
      <c r="KC16" t="s">
        <v>937</v>
      </c>
      <c r="KD16" t="str">
        <f>"-0.0000252"</f>
        <v>-0.0000252</v>
      </c>
      <c r="KE16" t="s">
        <v>734</v>
      </c>
      <c r="KF16" t="s">
        <v>1196</v>
      </c>
      <c r="KG16" t="str">
        <f>"-0.000234"</f>
        <v>-0.000234</v>
      </c>
      <c r="KH16" t="s">
        <v>647</v>
      </c>
      <c r="KI16" t="s">
        <v>709</v>
      </c>
      <c r="KJ16" t="str">
        <f>"-0.0000766"</f>
        <v>-0.0000766</v>
      </c>
      <c r="KK16" t="s">
        <v>931</v>
      </c>
      <c r="KL16" t="s">
        <v>1457</v>
      </c>
    </row>
    <row r="17" spans="1:298" x14ac:dyDescent="0.2">
      <c r="A17" t="str">
        <f>"Setor"</f>
        <v>Setor</v>
      </c>
      <c r="B17" t="str">
        <f>"0.00946***"</f>
        <v>0.00946***</v>
      </c>
      <c r="C17" t="s">
        <v>3297</v>
      </c>
      <c r="D17" t="s">
        <v>1492</v>
      </c>
      <c r="E17" t="str">
        <f>"0.0117***"</f>
        <v>0.0117***</v>
      </c>
      <c r="F17" t="s">
        <v>659</v>
      </c>
      <c r="G17" t="s">
        <v>607</v>
      </c>
      <c r="H17" t="str">
        <f>"0.00823***"</f>
        <v>0.00823***</v>
      </c>
      <c r="I17" t="s">
        <v>370</v>
      </c>
      <c r="J17" t="s">
        <v>1006</v>
      </c>
      <c r="K17" t="str">
        <f>"0.00777***"</f>
        <v>0.00777***</v>
      </c>
      <c r="L17" t="s">
        <v>940</v>
      </c>
      <c r="M17" t="s">
        <v>651</v>
      </c>
      <c r="N17" t="str">
        <f>"0.00526***"</f>
        <v>0.00526***</v>
      </c>
      <c r="O17" t="s">
        <v>1050</v>
      </c>
      <c r="P17" t="s">
        <v>577</v>
      </c>
      <c r="Q17" t="str">
        <f>"0.00597***"</f>
        <v>0.00597***</v>
      </c>
      <c r="R17" t="s">
        <v>712</v>
      </c>
      <c r="S17" t="s">
        <v>1558</v>
      </c>
      <c r="T17" t="str">
        <f>"0.00428***"</f>
        <v>0.00428***</v>
      </c>
      <c r="U17" t="s">
        <v>449</v>
      </c>
      <c r="V17" t="s">
        <v>680</v>
      </c>
      <c r="W17" t="str">
        <f>"0.00382**"</f>
        <v>0.00382**</v>
      </c>
      <c r="X17" t="s">
        <v>986</v>
      </c>
      <c r="Y17" t="s">
        <v>791</v>
      </c>
      <c r="Z17" t="str">
        <f>"0.00344**"</f>
        <v>0.00344**</v>
      </c>
      <c r="AA17" t="s">
        <v>1488</v>
      </c>
      <c r="AB17" t="s">
        <v>1560</v>
      </c>
      <c r="AC17" t="str">
        <f>"0.00174"</f>
        <v>0.00174</v>
      </c>
      <c r="AD17" t="s">
        <v>738</v>
      </c>
      <c r="AE17" t="s">
        <v>603</v>
      </c>
      <c r="AF17" t="str">
        <f>"0.00131"</f>
        <v>0.00131</v>
      </c>
      <c r="AG17" t="s">
        <v>1458</v>
      </c>
      <c r="AH17" t="s">
        <v>701</v>
      </c>
      <c r="AI17" t="str">
        <f>"0.00101"</f>
        <v>0.00101</v>
      </c>
      <c r="AJ17" t="s">
        <v>1458</v>
      </c>
      <c r="AK17" t="s">
        <v>685</v>
      </c>
      <c r="AL17" t="str">
        <f>"0.000682"</f>
        <v>0.000682</v>
      </c>
      <c r="AM17" t="s">
        <v>929</v>
      </c>
      <c r="AN17" t="s">
        <v>588</v>
      </c>
      <c r="AO17" t="str">
        <f>"0.000403"</f>
        <v>0.000403</v>
      </c>
      <c r="AP17" t="s">
        <v>684</v>
      </c>
      <c r="AQ17" t="s">
        <v>1083</v>
      </c>
      <c r="AR17" t="str">
        <f>"0.0000302"</f>
        <v>0.0000302</v>
      </c>
      <c r="AS17" t="s">
        <v>647</v>
      </c>
      <c r="AT17" t="s">
        <v>934</v>
      </c>
      <c r="AU17" t="str">
        <f>"-0.000135"</f>
        <v>-0.000135</v>
      </c>
      <c r="AV17" t="s">
        <v>435</v>
      </c>
      <c r="AW17" t="s">
        <v>938</v>
      </c>
      <c r="AX17" t="str">
        <f>"-0.0000288"</f>
        <v>-0.0000288</v>
      </c>
      <c r="AY17" t="s">
        <v>647</v>
      </c>
      <c r="AZ17" t="s">
        <v>938</v>
      </c>
      <c r="BA17" t="str">
        <f>"0.000172"</f>
        <v>0.000172</v>
      </c>
      <c r="BB17" t="s">
        <v>707</v>
      </c>
      <c r="BC17" t="s">
        <v>934</v>
      </c>
      <c r="BD17" t="str">
        <f>"0.000274"</f>
        <v>0.000274</v>
      </c>
      <c r="BE17" t="s">
        <v>734</v>
      </c>
      <c r="BF17" t="s">
        <v>936</v>
      </c>
      <c r="BG17" t="str">
        <f>"0.000408"</f>
        <v>0.000408</v>
      </c>
      <c r="BH17" t="s">
        <v>347</v>
      </c>
      <c r="BI17" t="s">
        <v>1067</v>
      </c>
      <c r="BJ17" t="str">
        <f>"0.000447"</f>
        <v>0.000447</v>
      </c>
      <c r="BK17" t="s">
        <v>347</v>
      </c>
      <c r="BL17" t="s">
        <v>675</v>
      </c>
      <c r="BM17" t="str">
        <f>"0.000305"</f>
        <v>0.000305</v>
      </c>
      <c r="BN17" t="s">
        <v>684</v>
      </c>
      <c r="BO17" t="s">
        <v>936</v>
      </c>
      <c r="BP17" t="str">
        <f>"0.000116"</f>
        <v>0.000116</v>
      </c>
      <c r="BQ17" t="s">
        <v>707</v>
      </c>
      <c r="BR17" t="s">
        <v>937</v>
      </c>
      <c r="BS17" t="str">
        <f>"0.0000986"</f>
        <v>0.0000986</v>
      </c>
      <c r="BT17" t="s">
        <v>707</v>
      </c>
      <c r="BU17" t="s">
        <v>937</v>
      </c>
      <c r="BV17" t="str">
        <f>"0.000136"</f>
        <v>0.000136</v>
      </c>
      <c r="BW17" t="s">
        <v>734</v>
      </c>
      <c r="BX17" t="s">
        <v>937</v>
      </c>
      <c r="BY17" t="str">
        <f>"0.000209"</f>
        <v>0.000209</v>
      </c>
      <c r="BZ17" t="s">
        <v>684</v>
      </c>
      <c r="CA17" t="s">
        <v>937</v>
      </c>
      <c r="CB17" t="str">
        <f>"0.000282"</f>
        <v>0.000282</v>
      </c>
      <c r="CC17" t="s">
        <v>347</v>
      </c>
      <c r="CD17" t="s">
        <v>934</v>
      </c>
      <c r="CE17" t="str">
        <f>"0.000309"</f>
        <v>0.000309</v>
      </c>
      <c r="CF17" t="s">
        <v>347</v>
      </c>
      <c r="CG17" t="s">
        <v>934</v>
      </c>
      <c r="CH17" t="str">
        <f>"0.000398"</f>
        <v>0.000398</v>
      </c>
      <c r="CI17" t="s">
        <v>929</v>
      </c>
      <c r="CJ17" t="s">
        <v>936</v>
      </c>
      <c r="CK17" t="str">
        <f>"0.000476"</f>
        <v>0.000476</v>
      </c>
      <c r="CL17" t="s">
        <v>786</v>
      </c>
      <c r="CM17" t="s">
        <v>936</v>
      </c>
      <c r="CN17" t="str">
        <f>"0.000398"</f>
        <v>0.000398</v>
      </c>
      <c r="CO17" t="s">
        <v>929</v>
      </c>
      <c r="CP17" t="s">
        <v>936</v>
      </c>
      <c r="CQ17" t="str">
        <f>"0.000368"</f>
        <v>0.000368</v>
      </c>
      <c r="CR17" t="s">
        <v>347</v>
      </c>
      <c r="CS17" t="s">
        <v>936</v>
      </c>
      <c r="CT17" t="str">
        <f>"0.000289"</f>
        <v>0.000289</v>
      </c>
      <c r="CU17" t="s">
        <v>684</v>
      </c>
      <c r="CV17" t="s">
        <v>936</v>
      </c>
      <c r="CW17" t="str">
        <f>"0.0000259"</f>
        <v>0.0000259</v>
      </c>
      <c r="CX17" t="s">
        <v>931</v>
      </c>
      <c r="CY17" t="s">
        <v>937</v>
      </c>
      <c r="CZ17" t="str">
        <f>"0.0000354"</f>
        <v>0.0000354</v>
      </c>
      <c r="DA17" t="s">
        <v>931</v>
      </c>
      <c r="DB17" t="s">
        <v>937</v>
      </c>
      <c r="DC17" t="str">
        <f>"0.000179"</f>
        <v>0.000179</v>
      </c>
      <c r="DD17" t="s">
        <v>707</v>
      </c>
      <c r="DE17" t="s">
        <v>934</v>
      </c>
      <c r="DF17" t="str">
        <f>"0.000215"</f>
        <v>0.000215</v>
      </c>
      <c r="DG17" t="s">
        <v>734</v>
      </c>
      <c r="DH17" t="s">
        <v>936</v>
      </c>
      <c r="DI17" t="str">
        <f>"0.000375"</f>
        <v>0.000375</v>
      </c>
      <c r="DJ17" t="s">
        <v>684</v>
      </c>
      <c r="DK17" t="s">
        <v>1067</v>
      </c>
      <c r="DL17" t="str">
        <f>"0.000201"</f>
        <v>0.000201</v>
      </c>
      <c r="DM17" t="s">
        <v>734</v>
      </c>
      <c r="DN17" t="s">
        <v>934</v>
      </c>
      <c r="DO17" t="str">
        <f>"0.000104"</f>
        <v>0.000104</v>
      </c>
      <c r="DP17" t="s">
        <v>707</v>
      </c>
      <c r="DQ17" t="s">
        <v>937</v>
      </c>
      <c r="DR17" t="str">
        <f>"0.0000710"</f>
        <v>0.0000710</v>
      </c>
      <c r="DS17" t="s">
        <v>707</v>
      </c>
      <c r="DT17" t="s">
        <v>937</v>
      </c>
      <c r="DU17" t="str">
        <f>"0.000136"</f>
        <v>0.000136</v>
      </c>
      <c r="DV17" t="s">
        <v>707</v>
      </c>
      <c r="DW17" t="s">
        <v>937</v>
      </c>
      <c r="DX17" t="str">
        <f>"0.000110"</f>
        <v>0.000110</v>
      </c>
      <c r="DY17" t="s">
        <v>707</v>
      </c>
      <c r="DZ17" t="s">
        <v>937</v>
      </c>
      <c r="EA17" t="str">
        <f>"0.000110"</f>
        <v>0.000110</v>
      </c>
      <c r="EB17" t="s">
        <v>707</v>
      </c>
      <c r="EC17" t="s">
        <v>937</v>
      </c>
      <c r="ED17" t="str">
        <f>"0.000443"</f>
        <v>0.000443</v>
      </c>
      <c r="EE17" t="s">
        <v>347</v>
      </c>
      <c r="EF17" t="s">
        <v>675</v>
      </c>
      <c r="EG17" t="str">
        <f>"0.000180"</f>
        <v>0.000180</v>
      </c>
      <c r="EH17" t="s">
        <v>734</v>
      </c>
      <c r="EI17" t="s">
        <v>934</v>
      </c>
      <c r="EJ17" t="str">
        <f>"0.000102"</f>
        <v>0.000102</v>
      </c>
      <c r="EK17" t="s">
        <v>707</v>
      </c>
      <c r="EL17" t="s">
        <v>937</v>
      </c>
      <c r="EM17" t="str">
        <f>"0.000306"</f>
        <v>0.000306</v>
      </c>
      <c r="EN17" t="s">
        <v>684</v>
      </c>
      <c r="EO17" t="s">
        <v>936</v>
      </c>
      <c r="EP17" t="str">
        <f>"0.000307"</f>
        <v>0.000307</v>
      </c>
      <c r="EQ17" t="s">
        <v>684</v>
      </c>
      <c r="ER17" t="s">
        <v>675</v>
      </c>
      <c r="ES17" t="str">
        <f>"0.000358"</f>
        <v>0.000358</v>
      </c>
      <c r="ET17" t="s">
        <v>684</v>
      </c>
      <c r="EU17" t="s">
        <v>675</v>
      </c>
      <c r="EV17" t="str">
        <f>"0.0000793"</f>
        <v>0.0000793</v>
      </c>
      <c r="EW17" t="s">
        <v>931</v>
      </c>
      <c r="EX17" t="s">
        <v>937</v>
      </c>
      <c r="EY17" t="str">
        <f>"0.000183"</f>
        <v>0.000183</v>
      </c>
      <c r="EZ17" t="s">
        <v>707</v>
      </c>
      <c r="FA17" t="s">
        <v>934</v>
      </c>
      <c r="FB17" t="str">
        <f>"0.000468"</f>
        <v>0.000468</v>
      </c>
      <c r="FC17" t="s">
        <v>347</v>
      </c>
      <c r="FD17" t="s">
        <v>1067</v>
      </c>
      <c r="FE17" t="str">
        <f>"0.000588"</f>
        <v>0.000588</v>
      </c>
      <c r="FF17" t="s">
        <v>786</v>
      </c>
      <c r="FG17" t="s">
        <v>1083</v>
      </c>
      <c r="FH17" t="str">
        <f>"0.000871*"</f>
        <v>0.000871*</v>
      </c>
      <c r="FI17" t="s">
        <v>979</v>
      </c>
      <c r="FJ17" t="s">
        <v>588</v>
      </c>
      <c r="FK17" t="str">
        <f>"0.000762"</f>
        <v>0.000762</v>
      </c>
      <c r="FL17" t="s">
        <v>738</v>
      </c>
      <c r="FM17" t="s">
        <v>918</v>
      </c>
      <c r="FN17" t="str">
        <f>"0.000556"</f>
        <v>0.000556</v>
      </c>
      <c r="FO17" t="s">
        <v>786</v>
      </c>
      <c r="FP17" t="s">
        <v>1067</v>
      </c>
      <c r="FQ17" t="str">
        <f>"0.000687"</f>
        <v>0.000687</v>
      </c>
      <c r="FR17" t="s">
        <v>1458</v>
      </c>
      <c r="FS17" t="s">
        <v>918</v>
      </c>
      <c r="FT17" t="str">
        <f>"0.000654"</f>
        <v>0.000654</v>
      </c>
      <c r="FU17" t="s">
        <v>1458</v>
      </c>
      <c r="FV17" t="s">
        <v>918</v>
      </c>
      <c r="FW17" t="str">
        <f>"0.000395"</f>
        <v>0.000395</v>
      </c>
      <c r="FX17" t="s">
        <v>347</v>
      </c>
      <c r="FY17" t="s">
        <v>675</v>
      </c>
      <c r="FZ17" t="str">
        <f>"0.000193"</f>
        <v>0.000193</v>
      </c>
      <c r="GA17" t="s">
        <v>734</v>
      </c>
      <c r="GB17" t="s">
        <v>934</v>
      </c>
      <c r="GC17" t="str">
        <f>"0.000418"</f>
        <v>0.000418</v>
      </c>
      <c r="GD17" t="s">
        <v>347</v>
      </c>
      <c r="GE17" t="s">
        <v>1067</v>
      </c>
      <c r="GF17" t="str">
        <f>"0.000401"</f>
        <v>0.000401</v>
      </c>
      <c r="GG17" t="s">
        <v>347</v>
      </c>
      <c r="GH17" t="s">
        <v>675</v>
      </c>
      <c r="GI17" t="str">
        <f>"0.000311"</f>
        <v>0.000311</v>
      </c>
      <c r="GJ17" t="s">
        <v>684</v>
      </c>
      <c r="GK17" t="s">
        <v>936</v>
      </c>
      <c r="GL17" t="str">
        <f>"0.000514"</f>
        <v>0.000514</v>
      </c>
      <c r="GM17" t="s">
        <v>929</v>
      </c>
      <c r="GN17" t="s">
        <v>1067</v>
      </c>
      <c r="GO17" t="str">
        <f>"0.000703"</f>
        <v>0.000703</v>
      </c>
      <c r="GP17" t="s">
        <v>1458</v>
      </c>
      <c r="GQ17" t="s">
        <v>918</v>
      </c>
      <c r="GR17" t="str">
        <f>"0.00124**"</f>
        <v>0.00124**</v>
      </c>
      <c r="GS17" t="s">
        <v>708</v>
      </c>
      <c r="GT17" t="s">
        <v>685</v>
      </c>
      <c r="GU17" t="str">
        <f>"0.00114*"</f>
        <v>0.00114*</v>
      </c>
      <c r="GV17" t="s">
        <v>722</v>
      </c>
      <c r="GW17" t="s">
        <v>800</v>
      </c>
      <c r="GX17" t="str">
        <f>"0.000851"</f>
        <v>0.000851</v>
      </c>
      <c r="GY17" t="s">
        <v>738</v>
      </c>
      <c r="GZ17" t="s">
        <v>691</v>
      </c>
      <c r="HA17" t="str">
        <f>"0.00101*"</f>
        <v>0.00101*</v>
      </c>
      <c r="HB17" t="s">
        <v>979</v>
      </c>
      <c r="HC17" t="s">
        <v>912</v>
      </c>
      <c r="HD17" t="str">
        <f>"0.000713"</f>
        <v>0.000713</v>
      </c>
      <c r="HE17" t="s">
        <v>786</v>
      </c>
      <c r="HF17" t="s">
        <v>588</v>
      </c>
      <c r="HG17" t="str">
        <f>"0.000316"</f>
        <v>0.000316</v>
      </c>
      <c r="HH17" t="s">
        <v>707</v>
      </c>
      <c r="HI17" t="s">
        <v>1067</v>
      </c>
      <c r="HJ17" t="str">
        <f>"0.000599"</f>
        <v>0.000599</v>
      </c>
      <c r="HK17" t="s">
        <v>347</v>
      </c>
      <c r="HL17" t="s">
        <v>588</v>
      </c>
      <c r="HM17" t="str">
        <f>"0.000914"</f>
        <v>0.000914</v>
      </c>
      <c r="HN17" t="s">
        <v>1458</v>
      </c>
      <c r="HO17" t="s">
        <v>912</v>
      </c>
      <c r="HP17" t="str">
        <f>"0.000560"</f>
        <v>0.000560</v>
      </c>
      <c r="HQ17" t="s">
        <v>347</v>
      </c>
      <c r="HR17" t="s">
        <v>918</v>
      </c>
      <c r="HS17" t="str">
        <f>"0.000665"</f>
        <v>0.000665</v>
      </c>
      <c r="HT17" t="s">
        <v>929</v>
      </c>
      <c r="HU17" t="s">
        <v>588</v>
      </c>
      <c r="HV17" t="str">
        <f>"0.000799"</f>
        <v>0.000799</v>
      </c>
      <c r="HW17" t="s">
        <v>1458</v>
      </c>
      <c r="HX17" t="s">
        <v>691</v>
      </c>
      <c r="HY17" t="str">
        <f>"0.000799"</f>
        <v>0.000799</v>
      </c>
      <c r="HZ17" t="s">
        <v>1458</v>
      </c>
      <c r="IA17" t="s">
        <v>691</v>
      </c>
      <c r="IB17" t="str">
        <f>"0.000981"</f>
        <v>0.000981</v>
      </c>
      <c r="IC17" t="s">
        <v>738</v>
      </c>
      <c r="ID17" t="s">
        <v>800</v>
      </c>
      <c r="IE17" t="str">
        <f>"0.000889"</f>
        <v>0.000889</v>
      </c>
      <c r="IF17" t="s">
        <v>347</v>
      </c>
      <c r="IG17" t="s">
        <v>799</v>
      </c>
      <c r="IH17" t="str">
        <f>"0.000856"</f>
        <v>0.000856</v>
      </c>
      <c r="II17" t="s">
        <v>684</v>
      </c>
      <c r="IJ17" t="s">
        <v>799</v>
      </c>
      <c r="IK17" t="str">
        <f>"0.000323"</f>
        <v>0.000323</v>
      </c>
      <c r="IL17" t="s">
        <v>435</v>
      </c>
      <c r="IM17" t="s">
        <v>691</v>
      </c>
      <c r="IN17" t="str">
        <f>"0.0000138"</f>
        <v>0.0000138</v>
      </c>
      <c r="IO17" t="s">
        <v>674</v>
      </c>
      <c r="IP17" t="s">
        <v>1083</v>
      </c>
      <c r="IQ17" t="str">
        <f>"0.000130"</f>
        <v>0.000130</v>
      </c>
      <c r="IR17" t="s">
        <v>636</v>
      </c>
      <c r="IS17" t="s">
        <v>918</v>
      </c>
      <c r="IT17" t="str">
        <f>"-0.000637"</f>
        <v>-0.000637</v>
      </c>
      <c r="IU17" t="s">
        <v>717</v>
      </c>
      <c r="IV17" t="s">
        <v>938</v>
      </c>
      <c r="IW17" t="str">
        <f>"-0.00144"</f>
        <v>-0.00144</v>
      </c>
      <c r="IX17" t="s">
        <v>922</v>
      </c>
      <c r="IY17" t="s">
        <v>1456</v>
      </c>
      <c r="IZ17" t="str">
        <f>"-0.00150"</f>
        <v>-0.00150</v>
      </c>
      <c r="JA17" t="s">
        <v>677</v>
      </c>
      <c r="JB17" t="s">
        <v>1485</v>
      </c>
      <c r="JC17" t="str">
        <f>"-0.00156"</f>
        <v>-0.00156</v>
      </c>
      <c r="JD17" t="s">
        <v>640</v>
      </c>
      <c r="JE17" t="s">
        <v>1485</v>
      </c>
      <c r="JF17" t="str">
        <f>"-0.00300**"</f>
        <v>-0.00300**</v>
      </c>
      <c r="JG17" t="s">
        <v>1451</v>
      </c>
      <c r="JH17" t="s">
        <v>1086</v>
      </c>
      <c r="JI17" t="str">
        <f>"-0.00365***"</f>
        <v>-0.00365***</v>
      </c>
      <c r="JJ17" t="s">
        <v>686</v>
      </c>
      <c r="JK17" t="s">
        <v>1453</v>
      </c>
      <c r="JL17" t="str">
        <f>"-0.00393***"</f>
        <v>-0.00393***</v>
      </c>
      <c r="JM17" t="s">
        <v>686</v>
      </c>
      <c r="JN17" t="s">
        <v>1508</v>
      </c>
      <c r="JO17" t="str">
        <f>"-0.00434***"</f>
        <v>-0.00434***</v>
      </c>
      <c r="JP17" t="s">
        <v>2857</v>
      </c>
      <c r="JQ17" t="s">
        <v>705</v>
      </c>
      <c r="JR17" t="str">
        <f>"-0.00650***"</f>
        <v>-0.00650***</v>
      </c>
      <c r="JS17" t="s">
        <v>3298</v>
      </c>
      <c r="JT17" t="s">
        <v>3271</v>
      </c>
      <c r="JU17" t="str">
        <f>"-0.00593***"</f>
        <v>-0.00593***</v>
      </c>
      <c r="JV17" t="s">
        <v>1100</v>
      </c>
      <c r="JW17" t="s">
        <v>826</v>
      </c>
      <c r="JX17" t="str">
        <f>"-0.00716***"</f>
        <v>-0.00716***</v>
      </c>
      <c r="JY17" t="s">
        <v>3299</v>
      </c>
      <c r="JZ17" t="s">
        <v>814</v>
      </c>
      <c r="KA17" t="str">
        <f>"-0.00910***"</f>
        <v>-0.00910***</v>
      </c>
      <c r="KB17" t="s">
        <v>3300</v>
      </c>
      <c r="KC17" t="s">
        <v>806</v>
      </c>
      <c r="KD17" t="str">
        <f>"-0.00861***"</f>
        <v>-0.00861***</v>
      </c>
      <c r="KE17" t="s">
        <v>788</v>
      </c>
      <c r="KF17" t="s">
        <v>823</v>
      </c>
      <c r="KG17" t="str">
        <f>"-0.00744***"</f>
        <v>-0.00744***</v>
      </c>
      <c r="KH17" t="s">
        <v>1077</v>
      </c>
      <c r="KI17" t="s">
        <v>3272</v>
      </c>
      <c r="KJ17" t="str">
        <f>"-0.00680**"</f>
        <v>-0.00680**</v>
      </c>
      <c r="KK17" t="s">
        <v>830</v>
      </c>
      <c r="KL17" t="s">
        <v>705</v>
      </c>
    </row>
    <row r="18" spans="1:298" x14ac:dyDescent="0.2">
      <c r="A18" t="str">
        <f>"unexplained"</f>
        <v>unexplained</v>
      </c>
      <c r="B18" t="str">
        <f>""</f>
        <v/>
      </c>
      <c r="C18" t="str">
        <f>""</f>
        <v/>
      </c>
      <c r="D18" t="str">
        <f>""</f>
        <v/>
      </c>
      <c r="E18" t="str">
        <f>""</f>
        <v/>
      </c>
      <c r="F18" t="str">
        <f>""</f>
        <v/>
      </c>
      <c r="G18" t="str">
        <f>""</f>
        <v/>
      </c>
      <c r="H18" t="str">
        <f>""</f>
        <v/>
      </c>
      <c r="I18" t="str">
        <f>""</f>
        <v/>
      </c>
      <c r="J18" t="str">
        <f>""</f>
        <v/>
      </c>
      <c r="K18" t="str">
        <f>""</f>
        <v/>
      </c>
      <c r="L18" t="str">
        <f>""</f>
        <v/>
      </c>
      <c r="M18" t="str">
        <f>""</f>
        <v/>
      </c>
      <c r="N18" t="str">
        <f>""</f>
        <v/>
      </c>
      <c r="O18" t="str">
        <f>""</f>
        <v/>
      </c>
      <c r="P18" t="str">
        <f>""</f>
        <v/>
      </c>
      <c r="Q18" t="str">
        <f>""</f>
        <v/>
      </c>
      <c r="R18" t="str">
        <f>""</f>
        <v/>
      </c>
      <c r="S18" t="str">
        <f>""</f>
        <v/>
      </c>
      <c r="T18" t="str">
        <f>""</f>
        <v/>
      </c>
      <c r="U18" t="str">
        <f>""</f>
        <v/>
      </c>
      <c r="V18" t="str">
        <f>""</f>
        <v/>
      </c>
      <c r="W18" t="str">
        <f>""</f>
        <v/>
      </c>
      <c r="X18" t="str">
        <f>""</f>
        <v/>
      </c>
      <c r="Y18" t="str">
        <f>""</f>
        <v/>
      </c>
      <c r="Z18" t="str">
        <f>""</f>
        <v/>
      </c>
      <c r="AA18" t="str">
        <f>""</f>
        <v/>
      </c>
      <c r="AB18" t="str">
        <f>""</f>
        <v/>
      </c>
      <c r="AC18" t="str">
        <f>""</f>
        <v/>
      </c>
      <c r="AD18" t="str">
        <f>""</f>
        <v/>
      </c>
      <c r="AE18" t="str">
        <f>""</f>
        <v/>
      </c>
      <c r="AF18" t="str">
        <f>""</f>
        <v/>
      </c>
      <c r="AG18" t="str">
        <f>""</f>
        <v/>
      </c>
      <c r="AH18" t="str">
        <f>""</f>
        <v/>
      </c>
      <c r="AI18" t="str">
        <f>""</f>
        <v/>
      </c>
      <c r="AJ18" t="str">
        <f>""</f>
        <v/>
      </c>
      <c r="AK18" t="str">
        <f>""</f>
        <v/>
      </c>
      <c r="AL18" t="str">
        <f>""</f>
        <v/>
      </c>
      <c r="AM18" t="str">
        <f>""</f>
        <v/>
      </c>
      <c r="AN18" t="str">
        <f>""</f>
        <v/>
      </c>
      <c r="AO18" t="str">
        <f>""</f>
        <v/>
      </c>
      <c r="AP18" t="str">
        <f>""</f>
        <v/>
      </c>
      <c r="AQ18" t="str">
        <f>""</f>
        <v/>
      </c>
      <c r="AR18" t="str">
        <f>""</f>
        <v/>
      </c>
      <c r="AS18" t="str">
        <f>""</f>
        <v/>
      </c>
      <c r="AT18" t="str">
        <f>""</f>
        <v/>
      </c>
      <c r="AU18" t="str">
        <f>""</f>
        <v/>
      </c>
      <c r="AV18" t="str">
        <f>""</f>
        <v/>
      </c>
      <c r="AW18" t="str">
        <f>""</f>
        <v/>
      </c>
      <c r="AX18" t="str">
        <f>""</f>
        <v/>
      </c>
      <c r="AY18" t="str">
        <f>""</f>
        <v/>
      </c>
      <c r="AZ18" t="str">
        <f>""</f>
        <v/>
      </c>
      <c r="BA18" t="str">
        <f>""</f>
        <v/>
      </c>
      <c r="BB18" t="str">
        <f>""</f>
        <v/>
      </c>
      <c r="BC18" t="str">
        <f>""</f>
        <v/>
      </c>
      <c r="BD18" t="str">
        <f>""</f>
        <v/>
      </c>
      <c r="BE18" t="str">
        <f>""</f>
        <v/>
      </c>
      <c r="BF18" t="str">
        <f>""</f>
        <v/>
      </c>
      <c r="BG18" t="str">
        <f>""</f>
        <v/>
      </c>
      <c r="BH18" t="str">
        <f>""</f>
        <v/>
      </c>
      <c r="BI18" t="str">
        <f>""</f>
        <v/>
      </c>
      <c r="BJ18" t="str">
        <f>""</f>
        <v/>
      </c>
      <c r="BK18" t="str">
        <f>""</f>
        <v/>
      </c>
      <c r="BL18" t="str">
        <f>""</f>
        <v/>
      </c>
      <c r="BM18" t="str">
        <f>""</f>
        <v/>
      </c>
      <c r="BN18" t="str">
        <f>""</f>
        <v/>
      </c>
      <c r="BO18" t="str">
        <f>""</f>
        <v/>
      </c>
      <c r="BP18" t="str">
        <f>""</f>
        <v/>
      </c>
      <c r="BQ18" t="str">
        <f>""</f>
        <v/>
      </c>
      <c r="BR18" t="str">
        <f>""</f>
        <v/>
      </c>
      <c r="BS18" t="str">
        <f>""</f>
        <v/>
      </c>
      <c r="BT18" t="str">
        <f>""</f>
        <v/>
      </c>
      <c r="BU18" t="str">
        <f>""</f>
        <v/>
      </c>
      <c r="BV18" t="str">
        <f>""</f>
        <v/>
      </c>
      <c r="BW18" t="str">
        <f>""</f>
        <v/>
      </c>
      <c r="BX18" t="str">
        <f>""</f>
        <v/>
      </c>
      <c r="BY18" t="str">
        <f>""</f>
        <v/>
      </c>
      <c r="BZ18" t="str">
        <f>""</f>
        <v/>
      </c>
      <c r="CA18" t="str">
        <f>""</f>
        <v/>
      </c>
      <c r="CB18" t="str">
        <f>""</f>
        <v/>
      </c>
      <c r="CC18" t="str">
        <f>""</f>
        <v/>
      </c>
      <c r="CD18" t="str">
        <f>""</f>
        <v/>
      </c>
      <c r="CE18" t="str">
        <f>""</f>
        <v/>
      </c>
      <c r="CF18" t="str">
        <f>""</f>
        <v/>
      </c>
      <c r="CG18" t="str">
        <f>""</f>
        <v/>
      </c>
      <c r="CH18" t="str">
        <f>""</f>
        <v/>
      </c>
      <c r="CI18" t="str">
        <f>""</f>
        <v/>
      </c>
      <c r="CJ18" t="str">
        <f>""</f>
        <v/>
      </c>
      <c r="CK18" t="str">
        <f>""</f>
        <v/>
      </c>
      <c r="CL18" t="str">
        <f>""</f>
        <v/>
      </c>
      <c r="CM18" t="str">
        <f>""</f>
        <v/>
      </c>
      <c r="CN18" t="str">
        <f>""</f>
        <v/>
      </c>
      <c r="CO18" t="str">
        <f>""</f>
        <v/>
      </c>
      <c r="CP18" t="str">
        <f>""</f>
        <v/>
      </c>
      <c r="CQ18" t="str">
        <f>""</f>
        <v/>
      </c>
      <c r="CR18" t="str">
        <f>""</f>
        <v/>
      </c>
      <c r="CS18" t="str">
        <f>""</f>
        <v/>
      </c>
      <c r="CT18" t="str">
        <f>""</f>
        <v/>
      </c>
      <c r="CU18" t="str">
        <f>""</f>
        <v/>
      </c>
      <c r="CV18" t="str">
        <f>""</f>
        <v/>
      </c>
      <c r="CW18" t="str">
        <f>""</f>
        <v/>
      </c>
      <c r="CX18" t="str">
        <f>""</f>
        <v/>
      </c>
      <c r="CY18" t="str">
        <f>""</f>
        <v/>
      </c>
      <c r="CZ18" t="str">
        <f>""</f>
        <v/>
      </c>
      <c r="DA18" t="str">
        <f>""</f>
        <v/>
      </c>
      <c r="DB18" t="str">
        <f>""</f>
        <v/>
      </c>
      <c r="DC18" t="str">
        <f>""</f>
        <v/>
      </c>
      <c r="DD18" t="str">
        <f>""</f>
        <v/>
      </c>
      <c r="DE18" t="str">
        <f>""</f>
        <v/>
      </c>
      <c r="DF18" t="str">
        <f>""</f>
        <v/>
      </c>
      <c r="DG18" t="str">
        <f>""</f>
        <v/>
      </c>
      <c r="DH18" t="str">
        <f>""</f>
        <v/>
      </c>
      <c r="DI18" t="str">
        <f>""</f>
        <v/>
      </c>
      <c r="DJ18" t="str">
        <f>""</f>
        <v/>
      </c>
      <c r="DK18" t="str">
        <f>""</f>
        <v/>
      </c>
      <c r="DL18" t="str">
        <f>""</f>
        <v/>
      </c>
      <c r="DM18" t="str">
        <f>""</f>
        <v/>
      </c>
      <c r="DN18" t="str">
        <f>""</f>
        <v/>
      </c>
      <c r="DO18" t="str">
        <f>""</f>
        <v/>
      </c>
      <c r="DP18" t="str">
        <f>""</f>
        <v/>
      </c>
      <c r="DQ18" t="str">
        <f>""</f>
        <v/>
      </c>
      <c r="DR18" t="str">
        <f>""</f>
        <v/>
      </c>
      <c r="DS18" t="str">
        <f>""</f>
        <v/>
      </c>
      <c r="DT18" t="str">
        <f>""</f>
        <v/>
      </c>
      <c r="DU18" t="str">
        <f>""</f>
        <v/>
      </c>
      <c r="DV18" t="str">
        <f>""</f>
        <v/>
      </c>
      <c r="DW18" t="str">
        <f>""</f>
        <v/>
      </c>
      <c r="DX18" t="str">
        <f>""</f>
        <v/>
      </c>
      <c r="DY18" t="str">
        <f>""</f>
        <v/>
      </c>
      <c r="DZ18" t="str">
        <f>""</f>
        <v/>
      </c>
      <c r="EA18" t="str">
        <f>""</f>
        <v/>
      </c>
      <c r="EB18" t="str">
        <f>""</f>
        <v/>
      </c>
      <c r="EC18" t="str">
        <f>""</f>
        <v/>
      </c>
      <c r="ED18" t="str">
        <f>""</f>
        <v/>
      </c>
      <c r="EE18" t="str">
        <f>""</f>
        <v/>
      </c>
      <c r="EF18" t="str">
        <f>""</f>
        <v/>
      </c>
      <c r="EG18" t="str">
        <f>""</f>
        <v/>
      </c>
      <c r="EH18" t="str">
        <f>""</f>
        <v/>
      </c>
      <c r="EI18" t="str">
        <f>""</f>
        <v/>
      </c>
      <c r="EJ18" t="str">
        <f>""</f>
        <v/>
      </c>
      <c r="EK18" t="str">
        <f>""</f>
        <v/>
      </c>
      <c r="EL18" t="str">
        <f>""</f>
        <v/>
      </c>
      <c r="EM18" t="str">
        <f>""</f>
        <v/>
      </c>
      <c r="EN18" t="str">
        <f>""</f>
        <v/>
      </c>
      <c r="EO18" t="str">
        <f>""</f>
        <v/>
      </c>
      <c r="EP18" t="str">
        <f>""</f>
        <v/>
      </c>
      <c r="EQ18" t="str">
        <f>""</f>
        <v/>
      </c>
      <c r="ER18" t="str">
        <f>""</f>
        <v/>
      </c>
      <c r="ES18" t="str">
        <f>""</f>
        <v/>
      </c>
      <c r="ET18" t="str">
        <f>""</f>
        <v/>
      </c>
      <c r="EU18" t="str">
        <f>""</f>
        <v/>
      </c>
      <c r="EV18" t="str">
        <f>""</f>
        <v/>
      </c>
      <c r="EW18" t="str">
        <f>""</f>
        <v/>
      </c>
      <c r="EX18" t="str">
        <f>""</f>
        <v/>
      </c>
      <c r="EY18" t="str">
        <f>""</f>
        <v/>
      </c>
      <c r="EZ18" t="str">
        <f>""</f>
        <v/>
      </c>
      <c r="FA18" t="str">
        <f>""</f>
        <v/>
      </c>
      <c r="FB18" t="str">
        <f>""</f>
        <v/>
      </c>
      <c r="FC18" t="str">
        <f>""</f>
        <v/>
      </c>
      <c r="FD18" t="str">
        <f>""</f>
        <v/>
      </c>
      <c r="FE18" t="str">
        <f>""</f>
        <v/>
      </c>
      <c r="FF18" t="str">
        <f>""</f>
        <v/>
      </c>
      <c r="FG18" t="str">
        <f>""</f>
        <v/>
      </c>
      <c r="FH18" t="str">
        <f>""</f>
        <v/>
      </c>
      <c r="FI18" t="str">
        <f>""</f>
        <v/>
      </c>
      <c r="FJ18" t="str">
        <f>""</f>
        <v/>
      </c>
      <c r="FK18" t="str">
        <f>""</f>
        <v/>
      </c>
      <c r="FL18" t="str">
        <f>""</f>
        <v/>
      </c>
      <c r="FM18" t="str">
        <f>""</f>
        <v/>
      </c>
      <c r="FN18" t="str">
        <f>""</f>
        <v/>
      </c>
      <c r="FO18" t="str">
        <f>""</f>
        <v/>
      </c>
      <c r="FP18" t="str">
        <f>""</f>
        <v/>
      </c>
      <c r="FQ18" t="str">
        <f>""</f>
        <v/>
      </c>
      <c r="FR18" t="str">
        <f>""</f>
        <v/>
      </c>
      <c r="FS18" t="str">
        <f>""</f>
        <v/>
      </c>
      <c r="FT18" t="str">
        <f>""</f>
        <v/>
      </c>
      <c r="FU18" t="str">
        <f>""</f>
        <v/>
      </c>
      <c r="FV18" t="str">
        <f>""</f>
        <v/>
      </c>
      <c r="FW18" t="str">
        <f>""</f>
        <v/>
      </c>
      <c r="FX18" t="str">
        <f>""</f>
        <v/>
      </c>
      <c r="FY18" t="str">
        <f>""</f>
        <v/>
      </c>
      <c r="FZ18" t="str">
        <f>""</f>
        <v/>
      </c>
      <c r="GA18" t="str">
        <f>""</f>
        <v/>
      </c>
      <c r="GB18" t="str">
        <f>""</f>
        <v/>
      </c>
      <c r="GC18" t="str">
        <f>""</f>
        <v/>
      </c>
      <c r="GD18" t="str">
        <f>""</f>
        <v/>
      </c>
      <c r="GE18" t="str">
        <f>""</f>
        <v/>
      </c>
      <c r="GF18" t="str">
        <f>""</f>
        <v/>
      </c>
      <c r="GG18" t="str">
        <f>""</f>
        <v/>
      </c>
      <c r="GH18" t="str">
        <f>""</f>
        <v/>
      </c>
      <c r="GI18" t="str">
        <f>""</f>
        <v/>
      </c>
      <c r="GJ18" t="str">
        <f>""</f>
        <v/>
      </c>
      <c r="GK18" t="str">
        <f>""</f>
        <v/>
      </c>
      <c r="GL18" t="str">
        <f>""</f>
        <v/>
      </c>
      <c r="GM18" t="str">
        <f>""</f>
        <v/>
      </c>
      <c r="GN18" t="str">
        <f>""</f>
        <v/>
      </c>
      <c r="GO18" t="str">
        <f>""</f>
        <v/>
      </c>
      <c r="GP18" t="str">
        <f>""</f>
        <v/>
      </c>
      <c r="GQ18" t="str">
        <f>""</f>
        <v/>
      </c>
    </row>
    <row r="19" spans="1:298" x14ac:dyDescent="0.2">
      <c r="A19" t="str">
        <f>"Educa√ß√£o"</f>
        <v>Educa√ß√£o</v>
      </c>
      <c r="B19" t="str">
        <f>"-0.413*"</f>
        <v>-0.413*</v>
      </c>
      <c r="C19" t="s">
        <v>3301</v>
      </c>
      <c r="D19" t="s">
        <v>2792</v>
      </c>
      <c r="E19" t="str">
        <f>"0.242"</f>
        <v>0.242</v>
      </c>
      <c r="F19" t="s">
        <v>3302</v>
      </c>
      <c r="G19" t="s">
        <v>3303</v>
      </c>
      <c r="H19" t="str">
        <f>"0.770***"</f>
        <v>0.770***</v>
      </c>
      <c r="I19" t="s">
        <v>3304</v>
      </c>
      <c r="J19" t="s">
        <v>3305</v>
      </c>
      <c r="K19" t="str">
        <f>"0.0596"</f>
        <v>0.0596</v>
      </c>
      <c r="L19" t="s">
        <v>3306</v>
      </c>
      <c r="M19" t="s">
        <v>3307</v>
      </c>
      <c r="N19" t="str">
        <f>"1.026***"</f>
        <v>1.026***</v>
      </c>
      <c r="O19" t="s">
        <v>3308</v>
      </c>
      <c r="P19" t="s">
        <v>3309</v>
      </c>
      <c r="Q19" t="str">
        <f>"0.356***"</f>
        <v>0.356***</v>
      </c>
      <c r="R19" t="s">
        <v>3310</v>
      </c>
      <c r="S19" t="s">
        <v>3311</v>
      </c>
      <c r="T19" t="str">
        <f>"0.655***"</f>
        <v>0.655***</v>
      </c>
      <c r="U19" t="s">
        <v>3312</v>
      </c>
      <c r="V19" t="s">
        <v>3313</v>
      </c>
      <c r="W19" t="str">
        <f>"0.515***"</f>
        <v>0.515***</v>
      </c>
      <c r="X19" t="s">
        <v>3314</v>
      </c>
      <c r="Y19" t="s">
        <v>3315</v>
      </c>
      <c r="Z19" t="str">
        <f>"0.374***"</f>
        <v>0.374***</v>
      </c>
      <c r="AA19" t="s">
        <v>3316</v>
      </c>
      <c r="AB19" t="s">
        <v>3317</v>
      </c>
      <c r="AC19" t="str">
        <f>"0.594***"</f>
        <v>0.594***</v>
      </c>
      <c r="AD19" t="s">
        <v>3318</v>
      </c>
      <c r="AE19" t="s">
        <v>3319</v>
      </c>
      <c r="AF19" t="str">
        <f>"0.575***"</f>
        <v>0.575***</v>
      </c>
      <c r="AG19" t="s">
        <v>3320</v>
      </c>
      <c r="AH19" t="s">
        <v>3321</v>
      </c>
      <c r="AI19" t="str">
        <f>"0.310***"</f>
        <v>0.310***</v>
      </c>
      <c r="AJ19" t="s">
        <v>3322</v>
      </c>
      <c r="AK19" t="s">
        <v>3323</v>
      </c>
      <c r="AL19" t="str">
        <f>"0.357***"</f>
        <v>0.357***</v>
      </c>
      <c r="AM19" t="s">
        <v>3324</v>
      </c>
      <c r="AN19" t="s">
        <v>3325</v>
      </c>
      <c r="AO19" t="str">
        <f>"0.299***"</f>
        <v>0.299***</v>
      </c>
      <c r="AP19" t="s">
        <v>3326</v>
      </c>
      <c r="AQ19" t="s">
        <v>3327</v>
      </c>
      <c r="AR19" t="str">
        <f>"0.237***"</f>
        <v>0.237***</v>
      </c>
      <c r="AS19" t="s">
        <v>3328</v>
      </c>
      <c r="AT19" t="s">
        <v>3329</v>
      </c>
      <c r="AU19" t="str">
        <f>"0.203***"</f>
        <v>0.203***</v>
      </c>
      <c r="AV19" t="s">
        <v>2971</v>
      </c>
      <c r="AW19" t="s">
        <v>3330</v>
      </c>
      <c r="AX19" t="str">
        <f>"0.140***"</f>
        <v>0.140***</v>
      </c>
      <c r="AY19" t="s">
        <v>3331</v>
      </c>
      <c r="AZ19" t="s">
        <v>3332</v>
      </c>
      <c r="BA19" t="str">
        <f>"0.112***"</f>
        <v>0.112***</v>
      </c>
      <c r="BB19" t="s">
        <v>307</v>
      </c>
      <c r="BC19" t="s">
        <v>2966</v>
      </c>
      <c r="BD19" t="str">
        <f>"0.0540**"</f>
        <v>0.0540**</v>
      </c>
      <c r="BE19" t="s">
        <v>1680</v>
      </c>
      <c r="BF19" t="s">
        <v>1781</v>
      </c>
      <c r="BG19" t="str">
        <f>"0.0471**"</f>
        <v>0.0471**</v>
      </c>
      <c r="BH19" t="s">
        <v>2873</v>
      </c>
      <c r="BI19" t="s">
        <v>3333</v>
      </c>
      <c r="BJ19" t="str">
        <f>"0.0551***"</f>
        <v>0.0551***</v>
      </c>
      <c r="BK19" t="s">
        <v>323</v>
      </c>
      <c r="BL19" t="s">
        <v>3334</v>
      </c>
      <c r="BM19" t="str">
        <f>"0.0243"</f>
        <v>0.0243</v>
      </c>
      <c r="BN19" t="s">
        <v>663</v>
      </c>
      <c r="BO19" t="s">
        <v>3335</v>
      </c>
      <c r="BP19" t="str">
        <f>"0.0350*"</f>
        <v>0.0350*</v>
      </c>
      <c r="BQ19" t="s">
        <v>982</v>
      </c>
      <c r="BR19" t="s">
        <v>3183</v>
      </c>
      <c r="BS19" t="str">
        <f>"0.0413**"</f>
        <v>0.0413**</v>
      </c>
      <c r="BT19" t="s">
        <v>1484</v>
      </c>
      <c r="BU19" t="s">
        <v>3336</v>
      </c>
      <c r="BV19" t="str">
        <f>"0.0315*"</f>
        <v>0.0315*</v>
      </c>
      <c r="BW19" t="s">
        <v>1121</v>
      </c>
      <c r="BX19" t="s">
        <v>759</v>
      </c>
      <c r="BY19" t="str">
        <f>"0.0179"</f>
        <v>0.0179</v>
      </c>
      <c r="BZ19" t="s">
        <v>641</v>
      </c>
      <c r="CA19" t="s">
        <v>3337</v>
      </c>
      <c r="CB19" t="str">
        <f>"0.0163"</f>
        <v>0.0163</v>
      </c>
      <c r="CC19" t="s">
        <v>795</v>
      </c>
      <c r="CD19" t="s">
        <v>3338</v>
      </c>
      <c r="CE19" t="str">
        <f>"0.0198"</f>
        <v>0.0198</v>
      </c>
      <c r="CF19" t="s">
        <v>948</v>
      </c>
      <c r="CG19" t="s">
        <v>1620</v>
      </c>
      <c r="CH19" t="str">
        <f>"0.0134"</f>
        <v>0.0134</v>
      </c>
      <c r="CI19" t="s">
        <v>3339</v>
      </c>
      <c r="CJ19" t="s">
        <v>2870</v>
      </c>
      <c r="CK19" t="str">
        <f>"0.00909"</f>
        <v>0.00909</v>
      </c>
      <c r="CL19" t="s">
        <v>3340</v>
      </c>
      <c r="CM19" t="s">
        <v>627</v>
      </c>
      <c r="CN19" t="str">
        <f>"0.0103"</f>
        <v>0.0103</v>
      </c>
      <c r="CO19" t="s">
        <v>557</v>
      </c>
      <c r="CP19" t="s">
        <v>1930</v>
      </c>
      <c r="CQ19" t="str">
        <f>"0.00868"</f>
        <v>0.00868</v>
      </c>
      <c r="CR19" t="s">
        <v>1097</v>
      </c>
      <c r="CS19" t="s">
        <v>3341</v>
      </c>
      <c r="CT19" t="str">
        <f>"-0.00587"</f>
        <v>-0.00587</v>
      </c>
      <c r="CU19" t="s">
        <v>1131</v>
      </c>
      <c r="CV19" t="s">
        <v>2860</v>
      </c>
      <c r="CW19" t="str">
        <f>"-0.0118"</f>
        <v>-0.0118</v>
      </c>
      <c r="CX19" t="s">
        <v>3342</v>
      </c>
      <c r="CY19" t="s">
        <v>3266</v>
      </c>
      <c r="CZ19" t="str">
        <f>"-0.00205"</f>
        <v>-0.00205</v>
      </c>
      <c r="DA19" t="s">
        <v>3343</v>
      </c>
      <c r="DB19" t="s">
        <v>1642</v>
      </c>
      <c r="DC19" t="str">
        <f>"0.00816"</f>
        <v>0.00816</v>
      </c>
      <c r="DD19" t="s">
        <v>3344</v>
      </c>
      <c r="DE19" t="s">
        <v>3345</v>
      </c>
      <c r="DF19" t="str">
        <f>"0.00406"</f>
        <v>0.00406</v>
      </c>
      <c r="DG19" t="s">
        <v>583</v>
      </c>
      <c r="DH19" t="s">
        <v>3346</v>
      </c>
      <c r="DI19" t="str">
        <f>"0.000417"</f>
        <v>0.000417</v>
      </c>
      <c r="DJ19" t="s">
        <v>3347</v>
      </c>
      <c r="DK19" t="s">
        <v>3168</v>
      </c>
      <c r="DL19" t="str">
        <f>"0.0122"</f>
        <v>0.0122</v>
      </c>
      <c r="DM19" t="s">
        <v>3348</v>
      </c>
      <c r="DN19" t="s">
        <v>3349</v>
      </c>
      <c r="DO19" t="str">
        <f>"0.0245"</f>
        <v>0.0245</v>
      </c>
      <c r="DP19" t="s">
        <v>1113</v>
      </c>
      <c r="DQ19" t="s">
        <v>2896</v>
      </c>
      <c r="DR19" t="str">
        <f>"0.0294"</f>
        <v>0.0294</v>
      </c>
      <c r="DS19" t="s">
        <v>666</v>
      </c>
      <c r="DT19" t="s">
        <v>3350</v>
      </c>
      <c r="DU19" t="str">
        <f>"0.0250"</f>
        <v>0.0250</v>
      </c>
      <c r="DV19" t="s">
        <v>3298</v>
      </c>
      <c r="DW19" t="s">
        <v>492</v>
      </c>
      <c r="DX19" t="str">
        <f>"0.0224"</f>
        <v>0.0224</v>
      </c>
      <c r="DY19" t="s">
        <v>795</v>
      </c>
      <c r="DZ19" t="s">
        <v>3351</v>
      </c>
      <c r="EA19" t="str">
        <f>"0.0229"</f>
        <v>0.0229</v>
      </c>
      <c r="EB19" t="s">
        <v>3352</v>
      </c>
      <c r="EC19" t="s">
        <v>3353</v>
      </c>
      <c r="ED19" t="str">
        <f>"0.0102"</f>
        <v>0.0102</v>
      </c>
      <c r="EE19" t="s">
        <v>1092</v>
      </c>
      <c r="EF19" t="s">
        <v>3338</v>
      </c>
      <c r="EG19" t="str">
        <f>"-0.0120"</f>
        <v>-0.0120</v>
      </c>
      <c r="EH19" t="s">
        <v>1197</v>
      </c>
      <c r="EI19" t="s">
        <v>2877</v>
      </c>
      <c r="EJ19" t="str">
        <f>"-0.0269"</f>
        <v>-0.0269</v>
      </c>
      <c r="EK19" t="s">
        <v>879</v>
      </c>
      <c r="EL19" t="s">
        <v>579</v>
      </c>
      <c r="EM19" t="str">
        <f>"-0.0407*"</f>
        <v>-0.0407*</v>
      </c>
      <c r="EN19" t="s">
        <v>1705</v>
      </c>
      <c r="EO19" t="s">
        <v>823</v>
      </c>
      <c r="EP19" t="str">
        <f>"-0.0468**"</f>
        <v>-0.0468**</v>
      </c>
      <c r="EQ19" t="s">
        <v>3354</v>
      </c>
      <c r="ER19" t="s">
        <v>1096</v>
      </c>
      <c r="ES19" t="str">
        <f>"-0.0581**"</f>
        <v>-0.0581**</v>
      </c>
      <c r="ET19" t="s">
        <v>3355</v>
      </c>
      <c r="EU19" t="s">
        <v>3022</v>
      </c>
      <c r="EV19" t="str">
        <f>"-0.0479**"</f>
        <v>-0.0479**</v>
      </c>
      <c r="EW19" t="s">
        <v>3356</v>
      </c>
      <c r="EX19" t="s">
        <v>1107</v>
      </c>
      <c r="EY19" t="str">
        <f>"-0.0357"</f>
        <v>-0.0357</v>
      </c>
      <c r="EZ19" t="s">
        <v>1348</v>
      </c>
      <c r="FA19" t="s">
        <v>709</v>
      </c>
      <c r="FB19" t="str">
        <f>"-0.0372*"</f>
        <v>-0.0372*</v>
      </c>
      <c r="FC19" t="s">
        <v>3049</v>
      </c>
      <c r="FD19" t="s">
        <v>1513</v>
      </c>
      <c r="FE19" t="str">
        <f>"-0.0362"</f>
        <v>-0.0362</v>
      </c>
      <c r="FF19" t="s">
        <v>3036</v>
      </c>
      <c r="FG19" t="s">
        <v>661</v>
      </c>
      <c r="FH19" t="str">
        <f>"-0.00947"</f>
        <v>-0.00947</v>
      </c>
      <c r="FI19" t="s">
        <v>531</v>
      </c>
      <c r="FJ19" t="s">
        <v>549</v>
      </c>
      <c r="FK19" t="str">
        <f>"-0.00336"</f>
        <v>-0.00336</v>
      </c>
      <c r="FL19" t="s">
        <v>3357</v>
      </c>
      <c r="FM19" t="s">
        <v>3358</v>
      </c>
      <c r="FN19" t="str">
        <f>"0.00433"</f>
        <v>0.00433</v>
      </c>
      <c r="FO19" t="s">
        <v>1043</v>
      </c>
      <c r="FP19" t="s">
        <v>1193</v>
      </c>
      <c r="FQ19" t="str">
        <f>"-0.000969"</f>
        <v>-0.000969</v>
      </c>
      <c r="FR19" t="s">
        <v>894</v>
      </c>
      <c r="FS19" t="s">
        <v>1384</v>
      </c>
      <c r="FT19" t="str">
        <f>"-0.00912"</f>
        <v>-0.00912</v>
      </c>
      <c r="FU19" t="s">
        <v>527</v>
      </c>
      <c r="FV19" t="s">
        <v>1726</v>
      </c>
      <c r="FW19" t="str">
        <f>"-0.00634"</f>
        <v>-0.00634</v>
      </c>
      <c r="FX19" t="s">
        <v>3359</v>
      </c>
      <c r="FY19" t="s">
        <v>3360</v>
      </c>
      <c r="FZ19" t="str">
        <f>"-0.00415"</f>
        <v>-0.00415</v>
      </c>
      <c r="GA19" t="s">
        <v>3361</v>
      </c>
      <c r="GB19" t="s">
        <v>2886</v>
      </c>
      <c r="GC19" t="str">
        <f>"-0.0207"</f>
        <v>-0.0207</v>
      </c>
      <c r="GD19" t="s">
        <v>3362</v>
      </c>
      <c r="GE19" t="s">
        <v>658</v>
      </c>
      <c r="GF19" t="str">
        <f>"-0.0397*"</f>
        <v>-0.0397*</v>
      </c>
      <c r="GG19" t="s">
        <v>3363</v>
      </c>
      <c r="GH19" t="s">
        <v>1511</v>
      </c>
      <c r="GI19" t="str">
        <f>"-0.0605**"</f>
        <v>-0.0605**</v>
      </c>
      <c r="GJ19" t="s">
        <v>3364</v>
      </c>
      <c r="GK19" t="s">
        <v>3365</v>
      </c>
      <c r="GL19" t="str">
        <f>"-0.0707***"</f>
        <v>-0.0707***</v>
      </c>
      <c r="GM19" t="s">
        <v>3366</v>
      </c>
      <c r="GN19" t="s">
        <v>3367</v>
      </c>
      <c r="GO19" t="str">
        <f>"-0.0790***"</f>
        <v>-0.0790***</v>
      </c>
      <c r="GP19" t="s">
        <v>3368</v>
      </c>
      <c r="GQ19" t="s">
        <v>869</v>
      </c>
      <c r="GR19" t="str">
        <f>"-0.0782***"</f>
        <v>-0.0782***</v>
      </c>
      <c r="GS19" t="s">
        <v>3369</v>
      </c>
      <c r="GT19" t="s">
        <v>3370</v>
      </c>
      <c r="GU19" t="str">
        <f>"-0.117***"</f>
        <v>-0.117***</v>
      </c>
      <c r="GV19" t="s">
        <v>3371</v>
      </c>
      <c r="GW19" t="s">
        <v>3372</v>
      </c>
      <c r="GX19" t="str">
        <f>"-0.148***"</f>
        <v>-0.148***</v>
      </c>
      <c r="GY19" t="s">
        <v>3373</v>
      </c>
      <c r="GZ19" t="s">
        <v>3374</v>
      </c>
      <c r="HA19" t="str">
        <f>"-0.140***"</f>
        <v>-0.140***</v>
      </c>
      <c r="HB19" t="s">
        <v>3375</v>
      </c>
      <c r="HC19" t="s">
        <v>1290</v>
      </c>
      <c r="HD19" t="str">
        <f>"-0.0472*"</f>
        <v>-0.0472*</v>
      </c>
      <c r="HE19" t="s">
        <v>3376</v>
      </c>
      <c r="HF19" t="s">
        <v>1448</v>
      </c>
      <c r="HG19" t="str">
        <f>"-0.0301"</f>
        <v>-0.0301</v>
      </c>
      <c r="HH19" t="s">
        <v>3377</v>
      </c>
      <c r="HI19" t="s">
        <v>2788</v>
      </c>
      <c r="HJ19" t="str">
        <f>"-0.0486*"</f>
        <v>-0.0486*</v>
      </c>
      <c r="HK19" t="s">
        <v>1277</v>
      </c>
      <c r="HL19" t="s">
        <v>1089</v>
      </c>
      <c r="HM19" t="str">
        <f>"-0.0725**"</f>
        <v>-0.0725**</v>
      </c>
      <c r="HN19" t="s">
        <v>3378</v>
      </c>
      <c r="HO19" t="s">
        <v>3379</v>
      </c>
      <c r="HP19" t="str">
        <f>"-0.0357"</f>
        <v>-0.0357</v>
      </c>
      <c r="HQ19" t="s">
        <v>881</v>
      </c>
      <c r="HR19" t="s">
        <v>733</v>
      </c>
      <c r="HS19" t="str">
        <f>"-0.0313"</f>
        <v>-0.0313</v>
      </c>
      <c r="HT19" t="s">
        <v>3380</v>
      </c>
      <c r="HU19" t="s">
        <v>633</v>
      </c>
      <c r="HV19" t="str">
        <f>"-0.0123"</f>
        <v>-0.0123</v>
      </c>
      <c r="HW19" t="s">
        <v>3381</v>
      </c>
      <c r="HX19" t="s">
        <v>554</v>
      </c>
      <c r="HY19" t="str">
        <f>"-0.0200"</f>
        <v>-0.0200</v>
      </c>
      <c r="HZ19" t="s">
        <v>3382</v>
      </c>
      <c r="IA19" t="s">
        <v>746</v>
      </c>
      <c r="IB19" t="str">
        <f>"-0.0592**"</f>
        <v>-0.0592**</v>
      </c>
      <c r="IC19" t="s">
        <v>3383</v>
      </c>
      <c r="ID19" t="s">
        <v>3285</v>
      </c>
      <c r="IE19" t="str">
        <f>"-0.237***"</f>
        <v>-0.237***</v>
      </c>
      <c r="IF19" t="s">
        <v>3384</v>
      </c>
      <c r="IG19" t="s">
        <v>3385</v>
      </c>
      <c r="IH19" t="str">
        <f>"-0.319***"</f>
        <v>-0.319***</v>
      </c>
      <c r="II19" t="s">
        <v>3386</v>
      </c>
      <c r="IJ19" t="s">
        <v>3387</v>
      </c>
      <c r="IK19" t="str">
        <f>"-0.303***"</f>
        <v>-0.303***</v>
      </c>
      <c r="IL19" t="s">
        <v>3388</v>
      </c>
      <c r="IM19" t="s">
        <v>3389</v>
      </c>
      <c r="IN19" t="str">
        <f>"-0.183***"</f>
        <v>-0.183***</v>
      </c>
      <c r="IO19" t="s">
        <v>3390</v>
      </c>
      <c r="IP19" t="s">
        <v>3391</v>
      </c>
      <c r="IQ19" t="str">
        <f>"-0.106***"</f>
        <v>-0.106***</v>
      </c>
      <c r="IR19" t="s">
        <v>3392</v>
      </c>
      <c r="IS19" t="s">
        <v>3393</v>
      </c>
      <c r="IT19" t="str">
        <f>"-0.102***"</f>
        <v>-0.102***</v>
      </c>
      <c r="IU19" t="s">
        <v>3394</v>
      </c>
      <c r="IV19" t="s">
        <v>3395</v>
      </c>
      <c r="IW19" t="str">
        <f>"-0.150***"</f>
        <v>-0.150***</v>
      </c>
      <c r="IX19" t="s">
        <v>3396</v>
      </c>
      <c r="IY19" t="s">
        <v>3397</v>
      </c>
      <c r="IZ19" t="str">
        <f>"-0.183***"</f>
        <v>-0.183***</v>
      </c>
      <c r="JA19" t="s">
        <v>3398</v>
      </c>
      <c r="JB19" t="s">
        <v>3399</v>
      </c>
      <c r="JC19" t="str">
        <f>"-0.245***"</f>
        <v>-0.245***</v>
      </c>
      <c r="JD19" t="s">
        <v>3400</v>
      </c>
      <c r="JE19" t="s">
        <v>3401</v>
      </c>
      <c r="JF19" t="str">
        <f>"-0.294***"</f>
        <v>-0.294***</v>
      </c>
      <c r="JG19" t="s">
        <v>3402</v>
      </c>
      <c r="JH19" t="s">
        <v>3403</v>
      </c>
      <c r="JI19" t="str">
        <f>"-0.309***"</f>
        <v>-0.309***</v>
      </c>
      <c r="JJ19" t="s">
        <v>3404</v>
      </c>
      <c r="JK19" t="s">
        <v>3405</v>
      </c>
      <c r="JL19" t="str">
        <f>"-0.228***"</f>
        <v>-0.228***</v>
      </c>
      <c r="JM19" t="s">
        <v>3406</v>
      </c>
      <c r="JN19" t="s">
        <v>3407</v>
      </c>
      <c r="JO19" t="str">
        <f>"-0.215***"</f>
        <v>-0.215***</v>
      </c>
      <c r="JP19" t="s">
        <v>3408</v>
      </c>
      <c r="JQ19" t="s">
        <v>3409</v>
      </c>
      <c r="JR19" t="str">
        <f>"-0.240***"</f>
        <v>-0.240***</v>
      </c>
      <c r="JS19" t="s">
        <v>3410</v>
      </c>
      <c r="JT19" t="s">
        <v>3411</v>
      </c>
      <c r="JU19" t="str">
        <f>"-0.116**"</f>
        <v>-0.116**</v>
      </c>
      <c r="JV19" t="s">
        <v>3412</v>
      </c>
      <c r="JW19" t="s">
        <v>3413</v>
      </c>
      <c r="JX19" t="str">
        <f>"-0.239***"</f>
        <v>-0.239***</v>
      </c>
      <c r="JY19" t="s">
        <v>3414</v>
      </c>
      <c r="JZ19" t="s">
        <v>3415</v>
      </c>
      <c r="KA19" t="str">
        <f>"-0.283***"</f>
        <v>-0.283***</v>
      </c>
      <c r="KB19" t="s">
        <v>3416</v>
      </c>
      <c r="KC19" t="s">
        <v>3417</v>
      </c>
      <c r="KD19" t="str">
        <f>"-0.319***"</f>
        <v>-0.319***</v>
      </c>
      <c r="KE19" t="s">
        <v>3418</v>
      </c>
      <c r="KF19" t="s">
        <v>3419</v>
      </c>
      <c r="KG19" t="str">
        <f>"-0.217**"</f>
        <v>-0.217**</v>
      </c>
      <c r="KH19" t="s">
        <v>3420</v>
      </c>
      <c r="KI19" t="s">
        <v>1427</v>
      </c>
      <c r="KJ19" t="str">
        <f>"-0.274***"</f>
        <v>-0.274***</v>
      </c>
      <c r="KK19" t="s">
        <v>3421</v>
      </c>
      <c r="KL19" t="s">
        <v>3422</v>
      </c>
    </row>
    <row r="20" spans="1:298" x14ac:dyDescent="0.2">
      <c r="A20" t="str">
        <f>"Experi√™ncia"</f>
        <v>Experi√™ncia</v>
      </c>
      <c r="B20" t="str">
        <f>"-0.102"</f>
        <v>-0.102</v>
      </c>
      <c r="C20" t="s">
        <v>3423</v>
      </c>
      <c r="D20" t="s">
        <v>1610</v>
      </c>
      <c r="E20" t="str">
        <f>"-0.122"</f>
        <v>-0.122</v>
      </c>
      <c r="F20" t="s">
        <v>3424</v>
      </c>
      <c r="G20" t="s">
        <v>551</v>
      </c>
      <c r="H20" t="str">
        <f>"0.0389"</f>
        <v>0.0389</v>
      </c>
      <c r="I20" t="s">
        <v>3425</v>
      </c>
      <c r="J20" t="s">
        <v>1833</v>
      </c>
      <c r="K20" t="str">
        <f>"-0.140**"</f>
        <v>-0.140**</v>
      </c>
      <c r="L20" t="s">
        <v>3426</v>
      </c>
      <c r="M20" t="s">
        <v>3427</v>
      </c>
      <c r="N20" t="str">
        <f>"0.130**"</f>
        <v>0.130**</v>
      </c>
      <c r="O20" t="s">
        <v>3428</v>
      </c>
      <c r="P20" t="s">
        <v>3429</v>
      </c>
      <c r="Q20" t="str">
        <f>"-0.0674"</f>
        <v>-0.0674</v>
      </c>
      <c r="R20" t="s">
        <v>3430</v>
      </c>
      <c r="S20" t="s">
        <v>1669</v>
      </c>
      <c r="T20" t="str">
        <f>"0.0669"</f>
        <v>0.0669</v>
      </c>
      <c r="U20" t="s">
        <v>957</v>
      </c>
      <c r="V20" t="s">
        <v>3431</v>
      </c>
      <c r="W20" t="str">
        <f>"0.0800"</f>
        <v>0.0800</v>
      </c>
      <c r="X20" t="s">
        <v>670</v>
      </c>
      <c r="Y20" t="s">
        <v>3432</v>
      </c>
      <c r="Z20" t="str">
        <f>"0.0321"</f>
        <v>0.0321</v>
      </c>
      <c r="AA20" t="s">
        <v>3433</v>
      </c>
      <c r="AB20" t="s">
        <v>2937</v>
      </c>
      <c r="AC20" t="str">
        <f>"0.144***"</f>
        <v>0.144***</v>
      </c>
      <c r="AD20" t="s">
        <v>3434</v>
      </c>
      <c r="AE20" t="s">
        <v>248</v>
      </c>
      <c r="AF20" t="str">
        <f>"0.190***"</f>
        <v>0.190***</v>
      </c>
      <c r="AG20" t="s">
        <v>3435</v>
      </c>
      <c r="AH20" t="s">
        <v>3436</v>
      </c>
      <c r="AI20" t="str">
        <f>"0.0954***"</f>
        <v>0.0954***</v>
      </c>
      <c r="AJ20" t="s">
        <v>3437</v>
      </c>
      <c r="AK20" t="s">
        <v>3438</v>
      </c>
      <c r="AL20" t="str">
        <f>"0.142***"</f>
        <v>0.142***</v>
      </c>
      <c r="AM20" t="s">
        <v>3439</v>
      </c>
      <c r="AN20" t="s">
        <v>3440</v>
      </c>
      <c r="AO20" t="str">
        <f>"0.117***"</f>
        <v>0.117***</v>
      </c>
      <c r="AP20" t="s">
        <v>3441</v>
      </c>
      <c r="AQ20" t="s">
        <v>304</v>
      </c>
      <c r="AR20" t="str">
        <f>"0.0781***"</f>
        <v>0.0781***</v>
      </c>
      <c r="AS20" t="s">
        <v>3442</v>
      </c>
      <c r="AT20" t="s">
        <v>3443</v>
      </c>
      <c r="AU20" t="str">
        <f>"0.0598***"</f>
        <v>0.0598***</v>
      </c>
      <c r="AV20" t="s">
        <v>3444</v>
      </c>
      <c r="AW20" t="s">
        <v>3206</v>
      </c>
      <c r="AX20" t="str">
        <f>"0.0316*"</f>
        <v>0.0316*</v>
      </c>
      <c r="AY20" t="s">
        <v>1559</v>
      </c>
      <c r="AZ20" t="s">
        <v>3445</v>
      </c>
      <c r="BA20" t="str">
        <f>"0.0207"</f>
        <v>0.0207</v>
      </c>
      <c r="BB20" t="s">
        <v>703</v>
      </c>
      <c r="BC20" t="s">
        <v>1149</v>
      </c>
      <c r="BD20" t="str">
        <f>"0.00235"</f>
        <v>0.00235</v>
      </c>
      <c r="BE20" t="s">
        <v>508</v>
      </c>
      <c r="BF20" t="s">
        <v>1126</v>
      </c>
      <c r="BG20" t="str">
        <f>"0.00557"</f>
        <v>0.00557</v>
      </c>
      <c r="BH20" t="s">
        <v>3446</v>
      </c>
      <c r="BI20" t="s">
        <v>1952</v>
      </c>
      <c r="BJ20" t="str">
        <f>"0.0125"</f>
        <v>0.0125</v>
      </c>
      <c r="BK20" t="s">
        <v>3298</v>
      </c>
      <c r="BL20" t="s">
        <v>1690</v>
      </c>
      <c r="BM20" t="str">
        <f>"-0.00362"</f>
        <v>-0.00362</v>
      </c>
      <c r="BN20" t="s">
        <v>3447</v>
      </c>
      <c r="BO20" t="s">
        <v>1670</v>
      </c>
      <c r="BP20" t="str">
        <f>"-0.000621"</f>
        <v>-0.000621</v>
      </c>
      <c r="BQ20" t="s">
        <v>3448</v>
      </c>
      <c r="BR20" t="s">
        <v>1537</v>
      </c>
      <c r="BS20" t="str">
        <f>"0.0154"</f>
        <v>0.0154</v>
      </c>
      <c r="BT20" t="s">
        <v>3295</v>
      </c>
      <c r="BU20" t="s">
        <v>3449</v>
      </c>
      <c r="BV20" t="str">
        <f>"0.0137"</f>
        <v>0.0137</v>
      </c>
      <c r="BW20" t="s">
        <v>1120</v>
      </c>
      <c r="BX20" t="s">
        <v>2884</v>
      </c>
      <c r="BY20" t="str">
        <f>"0.00750"</f>
        <v>0.00750</v>
      </c>
      <c r="BZ20" t="s">
        <v>3300</v>
      </c>
      <c r="CA20" t="s">
        <v>784</v>
      </c>
      <c r="CB20" t="str">
        <f>"0.0106"</f>
        <v>0.0106</v>
      </c>
      <c r="CC20" t="s">
        <v>706</v>
      </c>
      <c r="CD20" t="s">
        <v>3165</v>
      </c>
      <c r="CE20" t="str">
        <f>"0.0115"</f>
        <v>0.0115</v>
      </c>
      <c r="CF20" t="s">
        <v>1717</v>
      </c>
      <c r="CG20" t="s">
        <v>968</v>
      </c>
      <c r="CH20" t="str">
        <f>"0.00312"</f>
        <v>0.00312</v>
      </c>
      <c r="CI20" t="s">
        <v>2859</v>
      </c>
      <c r="CJ20" t="s">
        <v>1660</v>
      </c>
      <c r="CK20" t="str">
        <f>"0.00126"</f>
        <v>0.00126</v>
      </c>
      <c r="CL20" t="s">
        <v>748</v>
      </c>
      <c r="CM20" t="s">
        <v>3269</v>
      </c>
      <c r="CN20" t="str">
        <f>"0.0207"</f>
        <v>0.0207</v>
      </c>
      <c r="CO20" t="s">
        <v>707</v>
      </c>
      <c r="CP20" t="s">
        <v>3450</v>
      </c>
      <c r="CQ20" t="str">
        <f>"0.0193"</f>
        <v>0.0193</v>
      </c>
      <c r="CR20" t="s">
        <v>711</v>
      </c>
      <c r="CS20" t="s">
        <v>1625</v>
      </c>
      <c r="CT20" t="str">
        <f>"0.0111"</f>
        <v>0.0111</v>
      </c>
      <c r="CU20" t="s">
        <v>3300</v>
      </c>
      <c r="CV20" t="s">
        <v>1230</v>
      </c>
      <c r="CW20" t="str">
        <f>"0.0145"</f>
        <v>0.0145</v>
      </c>
      <c r="CX20" t="s">
        <v>349</v>
      </c>
      <c r="CY20" t="s">
        <v>3451</v>
      </c>
      <c r="CZ20" t="str">
        <f>"0.0272*"</f>
        <v>0.0272*</v>
      </c>
      <c r="DA20" t="s">
        <v>1460</v>
      </c>
      <c r="DB20" t="s">
        <v>2893</v>
      </c>
      <c r="DC20" t="str">
        <f>"0.0218"</f>
        <v>0.0218</v>
      </c>
      <c r="DD20" t="s">
        <v>697</v>
      </c>
      <c r="DE20" t="s">
        <v>3171</v>
      </c>
      <c r="DF20" t="str">
        <f>"0.0260*"</f>
        <v>0.0260*</v>
      </c>
      <c r="DG20" t="s">
        <v>708</v>
      </c>
      <c r="DH20" t="s">
        <v>1917</v>
      </c>
      <c r="DI20" t="str">
        <f>"0.0257"</f>
        <v>0.0257</v>
      </c>
      <c r="DJ20" t="s">
        <v>930</v>
      </c>
      <c r="DK20" t="s">
        <v>3452</v>
      </c>
      <c r="DL20" t="str">
        <f>"0.0465***"</f>
        <v>0.0465***</v>
      </c>
      <c r="DM20" t="s">
        <v>2814</v>
      </c>
      <c r="DN20" t="s">
        <v>1160</v>
      </c>
      <c r="DO20" t="str">
        <f>"0.0609***"</f>
        <v>0.0609***</v>
      </c>
      <c r="DP20" t="s">
        <v>1926</v>
      </c>
      <c r="DQ20" t="s">
        <v>3453</v>
      </c>
      <c r="DR20" t="str">
        <f>"0.0640***"</f>
        <v>0.0640***</v>
      </c>
      <c r="DS20" t="s">
        <v>3454</v>
      </c>
      <c r="DT20" t="s">
        <v>3455</v>
      </c>
      <c r="DU20" t="str">
        <f>"0.0607***"</f>
        <v>0.0607***</v>
      </c>
      <c r="DV20" t="s">
        <v>1926</v>
      </c>
      <c r="DW20" t="s">
        <v>3456</v>
      </c>
      <c r="DX20" t="str">
        <f>"0.0561***"</f>
        <v>0.0561***</v>
      </c>
      <c r="DY20" t="s">
        <v>2887</v>
      </c>
      <c r="DZ20" t="s">
        <v>2915</v>
      </c>
      <c r="EA20" t="str">
        <f>"0.0583***"</f>
        <v>0.0583***</v>
      </c>
      <c r="EB20" t="s">
        <v>1931</v>
      </c>
      <c r="EC20" t="s">
        <v>3457</v>
      </c>
      <c r="ED20" t="str">
        <f>"0.0466***"</f>
        <v>0.0466***</v>
      </c>
      <c r="EE20" t="s">
        <v>3162</v>
      </c>
      <c r="EF20" t="s">
        <v>476</v>
      </c>
      <c r="EG20" t="str">
        <f>"0.0236"</f>
        <v>0.0236</v>
      </c>
      <c r="EH20" t="s">
        <v>674</v>
      </c>
      <c r="EI20" t="s">
        <v>484</v>
      </c>
      <c r="EJ20" t="str">
        <f>"-0.00868"</f>
        <v>-0.00868</v>
      </c>
      <c r="EK20" t="s">
        <v>963</v>
      </c>
      <c r="EL20" t="s">
        <v>1540</v>
      </c>
      <c r="EM20" t="str">
        <f>"-0.0157"</f>
        <v>-0.0157</v>
      </c>
      <c r="EN20" t="s">
        <v>3458</v>
      </c>
      <c r="EO20" t="s">
        <v>958</v>
      </c>
      <c r="EP20" t="str">
        <f>"-0.0163"</f>
        <v>-0.0163</v>
      </c>
      <c r="EQ20" t="s">
        <v>1722</v>
      </c>
      <c r="ER20" t="s">
        <v>573</v>
      </c>
      <c r="ES20" t="str">
        <f>"-0.0223"</f>
        <v>-0.0223</v>
      </c>
      <c r="ET20" t="s">
        <v>3459</v>
      </c>
      <c r="EU20" t="s">
        <v>590</v>
      </c>
      <c r="EV20" t="str">
        <f>"-0.00153"</f>
        <v>-0.00153</v>
      </c>
      <c r="EW20" t="s">
        <v>3460</v>
      </c>
      <c r="EX20" t="s">
        <v>782</v>
      </c>
      <c r="EY20" t="str">
        <f>"0.00536"</f>
        <v>0.00536</v>
      </c>
      <c r="EZ20" t="s">
        <v>1066</v>
      </c>
      <c r="FA20" t="s">
        <v>1685</v>
      </c>
      <c r="FB20" t="str">
        <f>"0.0139"</f>
        <v>0.0139</v>
      </c>
      <c r="FC20" t="s">
        <v>2832</v>
      </c>
      <c r="FD20" t="s">
        <v>1928</v>
      </c>
      <c r="FE20" t="str">
        <f>"0.0214"</f>
        <v>0.0214</v>
      </c>
      <c r="FF20" t="s">
        <v>1003</v>
      </c>
      <c r="FG20" t="s">
        <v>1036</v>
      </c>
      <c r="FH20" t="str">
        <f>"0.0366**"</f>
        <v>0.0366**</v>
      </c>
      <c r="FI20" t="s">
        <v>1549</v>
      </c>
      <c r="FJ20" t="s">
        <v>3461</v>
      </c>
      <c r="FK20" t="str">
        <f>"0.0494***"</f>
        <v>0.0494***</v>
      </c>
      <c r="FL20" t="s">
        <v>1656</v>
      </c>
      <c r="FM20" t="s">
        <v>3462</v>
      </c>
      <c r="FN20" t="str">
        <f>"0.0601***"</f>
        <v>0.0601***</v>
      </c>
      <c r="FO20" t="s">
        <v>3463</v>
      </c>
      <c r="FP20" t="s">
        <v>3464</v>
      </c>
      <c r="FQ20" t="str">
        <f>"0.0591***"</f>
        <v>0.0591***</v>
      </c>
      <c r="FR20" t="s">
        <v>1936</v>
      </c>
      <c r="FS20" t="s">
        <v>1984</v>
      </c>
      <c r="FT20" t="str">
        <f>"0.0505***"</f>
        <v>0.0505***</v>
      </c>
      <c r="FU20" t="s">
        <v>3465</v>
      </c>
      <c r="FV20" t="s">
        <v>1879</v>
      </c>
      <c r="FW20" t="str">
        <f>"0.0622***"</f>
        <v>0.0622***</v>
      </c>
      <c r="FX20" t="s">
        <v>3466</v>
      </c>
      <c r="FY20" t="s">
        <v>1854</v>
      </c>
      <c r="FZ20" t="str">
        <f>"0.0642***"</f>
        <v>0.0642***</v>
      </c>
      <c r="GA20" t="s">
        <v>1052</v>
      </c>
      <c r="GB20" t="s">
        <v>3467</v>
      </c>
      <c r="GC20" t="str">
        <f>"0.0604***"</f>
        <v>0.0604***</v>
      </c>
      <c r="GD20" t="s">
        <v>3167</v>
      </c>
      <c r="GE20" t="s">
        <v>3468</v>
      </c>
      <c r="GF20" t="str">
        <f>"0.0387**"</f>
        <v>0.0387**</v>
      </c>
      <c r="GG20" t="s">
        <v>1496</v>
      </c>
      <c r="GH20" t="s">
        <v>3469</v>
      </c>
      <c r="GI20" t="str">
        <f>"0.0169"</f>
        <v>0.0169</v>
      </c>
      <c r="GJ20" t="s">
        <v>628</v>
      </c>
      <c r="GK20" t="s">
        <v>3470</v>
      </c>
      <c r="GL20" t="str">
        <f>"0.0123"</f>
        <v>0.0123</v>
      </c>
      <c r="GM20" t="s">
        <v>957</v>
      </c>
      <c r="GN20" t="s">
        <v>3471</v>
      </c>
      <c r="GO20" t="str">
        <f>"0.0101"</f>
        <v>0.0101</v>
      </c>
      <c r="GP20" t="s">
        <v>3472</v>
      </c>
      <c r="GQ20" t="s">
        <v>3473</v>
      </c>
      <c r="GR20" t="str">
        <f>"0.00724"</f>
        <v>0.00724</v>
      </c>
      <c r="GS20" t="s">
        <v>827</v>
      </c>
      <c r="GT20" t="s">
        <v>2855</v>
      </c>
      <c r="GU20" t="str">
        <f>"-0.0228"</f>
        <v>-0.0228</v>
      </c>
      <c r="GV20" t="s">
        <v>3474</v>
      </c>
      <c r="GW20" t="s">
        <v>696</v>
      </c>
      <c r="GX20" t="str">
        <f>"-0.0486***"</f>
        <v>-0.0486***</v>
      </c>
      <c r="GY20" t="s">
        <v>1705</v>
      </c>
      <c r="GZ20" t="s">
        <v>3475</v>
      </c>
      <c r="HA20" t="str">
        <f>"-0.0255"</f>
        <v>-0.0255</v>
      </c>
      <c r="HB20" t="s">
        <v>3476</v>
      </c>
      <c r="HC20" t="s">
        <v>699</v>
      </c>
      <c r="HD20" t="str">
        <f>"0.0951***"</f>
        <v>0.0951***</v>
      </c>
      <c r="HE20" t="s">
        <v>3477</v>
      </c>
      <c r="HF20" t="s">
        <v>3478</v>
      </c>
      <c r="HG20" t="str">
        <f>"0.128***"</f>
        <v>0.128***</v>
      </c>
      <c r="HH20" t="s">
        <v>3479</v>
      </c>
      <c r="HI20" t="s">
        <v>3480</v>
      </c>
      <c r="HJ20" t="str">
        <f>"0.108***"</f>
        <v>0.108***</v>
      </c>
      <c r="HK20" t="s">
        <v>3481</v>
      </c>
      <c r="HL20" t="s">
        <v>3482</v>
      </c>
      <c r="HM20" t="str">
        <f>"0.0986***"</f>
        <v>0.0986***</v>
      </c>
      <c r="HN20" t="s">
        <v>3483</v>
      </c>
      <c r="HO20" t="s">
        <v>2035</v>
      </c>
      <c r="HP20" t="str">
        <f>"0.130***"</f>
        <v>0.130***</v>
      </c>
      <c r="HQ20" t="s">
        <v>3484</v>
      </c>
      <c r="HR20" t="s">
        <v>3485</v>
      </c>
      <c r="HS20" t="str">
        <f>"0.125***"</f>
        <v>0.125***</v>
      </c>
      <c r="HT20" t="s">
        <v>3486</v>
      </c>
      <c r="HU20" t="s">
        <v>3487</v>
      </c>
      <c r="HV20" t="str">
        <f>"0.153***"</f>
        <v>0.153***</v>
      </c>
      <c r="HW20" t="s">
        <v>3488</v>
      </c>
      <c r="HX20" t="s">
        <v>3489</v>
      </c>
      <c r="HY20" t="str">
        <f>"0.149***"</f>
        <v>0.149***</v>
      </c>
      <c r="HZ20" t="s">
        <v>3490</v>
      </c>
      <c r="IA20" t="s">
        <v>3491</v>
      </c>
      <c r="IB20" t="str">
        <f>"0.102***"</f>
        <v>0.102***</v>
      </c>
      <c r="IC20" t="s">
        <v>3492</v>
      </c>
      <c r="ID20" t="s">
        <v>3493</v>
      </c>
      <c r="IE20" t="str">
        <f>"-0.0443*"</f>
        <v>-0.0443*</v>
      </c>
      <c r="IF20" t="s">
        <v>3494</v>
      </c>
      <c r="IG20" t="s">
        <v>1101</v>
      </c>
      <c r="IH20" t="str">
        <f>"-0.0976***"</f>
        <v>-0.0976***</v>
      </c>
      <c r="II20" t="s">
        <v>3495</v>
      </c>
      <c r="IJ20" t="s">
        <v>3496</v>
      </c>
      <c r="IK20" t="str">
        <f>"-0.0779***"</f>
        <v>-0.0779***</v>
      </c>
      <c r="IL20" t="s">
        <v>3497</v>
      </c>
      <c r="IM20" t="s">
        <v>3498</v>
      </c>
      <c r="IN20" t="str">
        <f>"0.0268"</f>
        <v>0.0268</v>
      </c>
      <c r="IO20" t="s">
        <v>3499</v>
      </c>
      <c r="IP20" t="s">
        <v>3500</v>
      </c>
      <c r="IQ20" t="str">
        <f>"0.118***"</f>
        <v>0.118***</v>
      </c>
      <c r="IR20" t="s">
        <v>3501</v>
      </c>
      <c r="IS20" t="s">
        <v>3502</v>
      </c>
      <c r="IT20" t="str">
        <f>"0.154***"</f>
        <v>0.154***</v>
      </c>
      <c r="IU20" t="s">
        <v>3503</v>
      </c>
      <c r="IV20" t="s">
        <v>3504</v>
      </c>
      <c r="IW20" t="str">
        <f>"0.111***"</f>
        <v>0.111***</v>
      </c>
      <c r="IX20" t="s">
        <v>3505</v>
      </c>
      <c r="IY20" t="s">
        <v>3506</v>
      </c>
      <c r="IZ20" t="str">
        <f>"0.0626**"</f>
        <v>0.0626**</v>
      </c>
      <c r="JA20" t="s">
        <v>3507</v>
      </c>
      <c r="JB20" t="s">
        <v>3508</v>
      </c>
      <c r="JC20" t="str">
        <f>"0.00811"</f>
        <v>0.00811</v>
      </c>
      <c r="JD20" t="s">
        <v>1383</v>
      </c>
      <c r="JE20" t="s">
        <v>3509</v>
      </c>
      <c r="JF20" t="str">
        <f>"0.0153"</f>
        <v>0.0153</v>
      </c>
      <c r="JG20" t="s">
        <v>1165</v>
      </c>
      <c r="JH20" t="s">
        <v>3510</v>
      </c>
      <c r="JI20" t="str">
        <f>"-0.00687"</f>
        <v>-0.00687</v>
      </c>
      <c r="JJ20" t="s">
        <v>1382</v>
      </c>
      <c r="JK20" t="s">
        <v>3170</v>
      </c>
      <c r="JL20" t="str">
        <f>"0.0382"</f>
        <v>0.0382</v>
      </c>
      <c r="JM20" t="s">
        <v>1717</v>
      </c>
      <c r="JN20" t="s">
        <v>3511</v>
      </c>
      <c r="JO20" t="str">
        <f>"0.0588*"</f>
        <v>0.0588*</v>
      </c>
      <c r="JP20" t="s">
        <v>752</v>
      </c>
      <c r="JQ20" t="s">
        <v>367</v>
      </c>
      <c r="JR20" t="str">
        <f>"0.129***"</f>
        <v>0.129***</v>
      </c>
      <c r="JS20" t="s">
        <v>3512</v>
      </c>
      <c r="JT20" t="s">
        <v>3513</v>
      </c>
      <c r="JU20" t="str">
        <f>"0.225***"</f>
        <v>0.225***</v>
      </c>
      <c r="JV20" t="s">
        <v>3514</v>
      </c>
      <c r="JW20" t="s">
        <v>3515</v>
      </c>
      <c r="JX20" t="str">
        <f>"0.140***"</f>
        <v>0.140***</v>
      </c>
      <c r="JY20" t="s">
        <v>3516</v>
      </c>
      <c r="JZ20" t="s">
        <v>3517</v>
      </c>
      <c r="KA20" t="str">
        <f>"0.0357"</f>
        <v>0.0357</v>
      </c>
      <c r="KB20" t="s">
        <v>587</v>
      </c>
      <c r="KC20" t="s">
        <v>3518</v>
      </c>
      <c r="KD20" t="str">
        <f>"-0.00940"</f>
        <v>-0.00940</v>
      </c>
      <c r="KE20" t="s">
        <v>3519</v>
      </c>
      <c r="KF20" t="s">
        <v>767</v>
      </c>
      <c r="KG20" t="str">
        <f>"0.123**"</f>
        <v>0.123**</v>
      </c>
      <c r="KH20" t="s">
        <v>3520</v>
      </c>
      <c r="KI20" t="s">
        <v>3521</v>
      </c>
      <c r="KJ20" t="str">
        <f>"-0.0477"</f>
        <v>-0.0477</v>
      </c>
      <c r="KK20" t="s">
        <v>3522</v>
      </c>
      <c r="KL20" t="s">
        <v>1907</v>
      </c>
    </row>
    <row r="21" spans="1:298" x14ac:dyDescent="0.2">
      <c r="A21" t="str">
        <f>"feminino"</f>
        <v>feminino</v>
      </c>
      <c r="B21" t="str">
        <f>"0.0875***"</f>
        <v>0.0875***</v>
      </c>
      <c r="C21" t="s">
        <v>1872</v>
      </c>
      <c r="D21" t="s">
        <v>3523</v>
      </c>
      <c r="E21" t="str">
        <f>"0.0855***"</f>
        <v>0.0855***</v>
      </c>
      <c r="F21" t="s">
        <v>2905</v>
      </c>
      <c r="G21" t="s">
        <v>3524</v>
      </c>
      <c r="H21" t="str">
        <f>"0.0304**"</f>
        <v>0.0304**</v>
      </c>
      <c r="I21" t="s">
        <v>659</v>
      </c>
      <c r="J21" t="s">
        <v>1750</v>
      </c>
      <c r="K21" t="str">
        <f>"0.0603***"</f>
        <v>0.0603***</v>
      </c>
      <c r="L21" t="s">
        <v>3525</v>
      </c>
      <c r="M21" t="s">
        <v>1787</v>
      </c>
      <c r="N21" t="str">
        <f>"-0.0308**"</f>
        <v>-0.0308**</v>
      </c>
      <c r="O21" t="s">
        <v>3526</v>
      </c>
      <c r="P21" t="s">
        <v>3286</v>
      </c>
      <c r="Q21" t="str">
        <f>"0.0215**"</f>
        <v>0.0215**</v>
      </c>
      <c r="R21" t="s">
        <v>1073</v>
      </c>
      <c r="S21" t="s">
        <v>3527</v>
      </c>
      <c r="T21" t="str">
        <f>"-0.00605"</f>
        <v>-0.00605</v>
      </c>
      <c r="U21" t="s">
        <v>499</v>
      </c>
      <c r="V21" t="s">
        <v>1082</v>
      </c>
      <c r="W21" t="str">
        <f>"-0.00857"</f>
        <v>-0.00857</v>
      </c>
      <c r="X21" t="s">
        <v>3528</v>
      </c>
      <c r="Y21" t="s">
        <v>655</v>
      </c>
      <c r="Z21" t="str">
        <f>"0.000169"</f>
        <v>0.000169</v>
      </c>
      <c r="AA21" t="s">
        <v>512</v>
      </c>
      <c r="AB21" t="s">
        <v>1548</v>
      </c>
      <c r="AC21" t="str">
        <f>"-0.0226***"</f>
        <v>-0.0226***</v>
      </c>
      <c r="AD21" t="s">
        <v>3529</v>
      </c>
      <c r="AE21" t="s">
        <v>1090</v>
      </c>
      <c r="AF21" t="str">
        <f>"-0.0265***"</f>
        <v>-0.0265***</v>
      </c>
      <c r="AG21" t="s">
        <v>479</v>
      </c>
      <c r="AH21" t="s">
        <v>3530</v>
      </c>
      <c r="AI21" t="str">
        <f>"-0.0102**"</f>
        <v>-0.0102**</v>
      </c>
      <c r="AJ21" t="s">
        <v>1110</v>
      </c>
      <c r="AK21" t="s">
        <v>1504</v>
      </c>
      <c r="AL21" t="str">
        <f>"-0.0154***"</f>
        <v>-0.0154***</v>
      </c>
      <c r="AM21" t="s">
        <v>3021</v>
      </c>
      <c r="AN21" t="s">
        <v>3531</v>
      </c>
      <c r="AO21" t="str">
        <f>"-0.0106***"</f>
        <v>-0.0106***</v>
      </c>
      <c r="AP21" t="s">
        <v>790</v>
      </c>
      <c r="AQ21" t="s">
        <v>808</v>
      </c>
      <c r="AR21" t="str">
        <f>"-0.00571"</f>
        <v>-0.00571</v>
      </c>
      <c r="AS21" t="s">
        <v>788</v>
      </c>
      <c r="AT21" t="s">
        <v>1485</v>
      </c>
      <c r="AU21" t="str">
        <f>"-0.00200"</f>
        <v>-0.00200</v>
      </c>
      <c r="AV21" t="s">
        <v>656</v>
      </c>
      <c r="AW21" t="s">
        <v>601</v>
      </c>
      <c r="AX21" t="str">
        <f>"0.00333"</f>
        <v>0.00333</v>
      </c>
      <c r="AY21" t="s">
        <v>932</v>
      </c>
      <c r="AZ21" t="s">
        <v>581</v>
      </c>
      <c r="BA21" t="str">
        <f>"0.00447"</f>
        <v>0.00447</v>
      </c>
      <c r="BB21" t="s">
        <v>1458</v>
      </c>
      <c r="BC21" t="s">
        <v>1082</v>
      </c>
      <c r="BD21" t="str">
        <f>"0.00944***"</f>
        <v>0.00944***</v>
      </c>
      <c r="BE21" t="s">
        <v>991</v>
      </c>
      <c r="BF21" t="s">
        <v>943</v>
      </c>
      <c r="BG21" t="str">
        <f>"0.00768***"</f>
        <v>0.00768***</v>
      </c>
      <c r="BH21" t="s">
        <v>728</v>
      </c>
      <c r="BI21" t="s">
        <v>1551</v>
      </c>
      <c r="BJ21" t="str">
        <f>"0.00542*"</f>
        <v>0.00542*</v>
      </c>
      <c r="BK21" t="s">
        <v>1488</v>
      </c>
      <c r="BL21" t="s">
        <v>735</v>
      </c>
      <c r="BM21" t="str">
        <f>"0.00858***"</f>
        <v>0.00858***</v>
      </c>
      <c r="BN21" t="s">
        <v>646</v>
      </c>
      <c r="BO21" t="s">
        <v>1007</v>
      </c>
      <c r="BP21" t="str">
        <f>"0.00729***"</f>
        <v>0.00729***</v>
      </c>
      <c r="BQ21" t="s">
        <v>728</v>
      </c>
      <c r="BR21" t="s">
        <v>1490</v>
      </c>
      <c r="BS21" t="str">
        <f>"0.00727***"</f>
        <v>0.00727***</v>
      </c>
      <c r="BT21" t="s">
        <v>1037</v>
      </c>
      <c r="BU21" t="s">
        <v>1490</v>
      </c>
      <c r="BV21" t="str">
        <f>"0.00975***"</f>
        <v>0.00975***</v>
      </c>
      <c r="BW21" t="s">
        <v>3297</v>
      </c>
      <c r="BX21" t="s">
        <v>2828</v>
      </c>
      <c r="BY21" t="str">
        <f>"0.0119***"</f>
        <v>0.0119***</v>
      </c>
      <c r="BZ21" t="s">
        <v>372</v>
      </c>
      <c r="CA21" t="s">
        <v>1670</v>
      </c>
      <c r="CB21" t="str">
        <f>"0.0128***"</f>
        <v>0.0128***</v>
      </c>
      <c r="CC21" t="s">
        <v>1729</v>
      </c>
      <c r="CD21" t="s">
        <v>1532</v>
      </c>
      <c r="CE21" t="str">
        <f>"0.0127***"</f>
        <v>0.0127***</v>
      </c>
      <c r="CF21" t="s">
        <v>1499</v>
      </c>
      <c r="CG21" t="s">
        <v>1532</v>
      </c>
      <c r="CH21" t="str">
        <f>"0.0147***"</f>
        <v>0.0147***</v>
      </c>
      <c r="CI21" t="s">
        <v>2849</v>
      </c>
      <c r="CJ21" t="s">
        <v>964</v>
      </c>
      <c r="CK21" t="str">
        <f>"0.0143***"</f>
        <v>0.0143***</v>
      </c>
      <c r="CL21" t="s">
        <v>1122</v>
      </c>
      <c r="CM21" t="s">
        <v>1537</v>
      </c>
      <c r="CN21" t="str">
        <f>"0.0134***"</f>
        <v>0.0134***</v>
      </c>
      <c r="CO21" t="s">
        <v>660</v>
      </c>
      <c r="CP21" t="s">
        <v>3264</v>
      </c>
      <c r="CQ21" t="str">
        <f>"0.0151***"</f>
        <v>0.0151***</v>
      </c>
      <c r="CR21" t="s">
        <v>1496</v>
      </c>
      <c r="CS21" t="s">
        <v>645</v>
      </c>
      <c r="CT21" t="str">
        <f>"0.0194***"</f>
        <v>0.0194***</v>
      </c>
      <c r="CU21" t="s">
        <v>754</v>
      </c>
      <c r="CV21" t="s">
        <v>746</v>
      </c>
      <c r="CW21" t="str">
        <f>"0.0189***"</f>
        <v>0.0189***</v>
      </c>
      <c r="CX21" t="s">
        <v>1071</v>
      </c>
      <c r="CY21" t="s">
        <v>1027</v>
      </c>
      <c r="CZ21" t="str">
        <f>"0.0181***"</f>
        <v>0.0181***</v>
      </c>
      <c r="DA21" t="s">
        <v>1542</v>
      </c>
      <c r="DB21" t="s">
        <v>744</v>
      </c>
      <c r="DC21" t="str">
        <f>"0.0185***"</f>
        <v>0.0185***</v>
      </c>
      <c r="DD21" t="s">
        <v>1673</v>
      </c>
      <c r="DE21" t="s">
        <v>1027</v>
      </c>
      <c r="DF21" t="str">
        <f>"0.0201***"</f>
        <v>0.0201***</v>
      </c>
      <c r="DG21" t="s">
        <v>1060</v>
      </c>
      <c r="DH21" t="s">
        <v>3532</v>
      </c>
      <c r="DI21" t="str">
        <f>"0.0207***"</f>
        <v>0.0207***</v>
      </c>
      <c r="DJ21" t="s">
        <v>2876</v>
      </c>
      <c r="DK21" t="s">
        <v>981</v>
      </c>
      <c r="DL21" t="str">
        <f>"0.0180***"</f>
        <v>0.0180***</v>
      </c>
      <c r="DM21" t="s">
        <v>766</v>
      </c>
      <c r="DN21" t="s">
        <v>558</v>
      </c>
      <c r="DO21" t="str">
        <f>"0.0146***"</f>
        <v>0.0146***</v>
      </c>
      <c r="DP21" t="s">
        <v>660</v>
      </c>
      <c r="DQ21" t="s">
        <v>985</v>
      </c>
      <c r="DR21" t="str">
        <f>"0.0146***"</f>
        <v>0.0146***</v>
      </c>
      <c r="DS21" t="s">
        <v>660</v>
      </c>
      <c r="DT21" t="s">
        <v>1479</v>
      </c>
      <c r="DU21" t="str">
        <f>"0.0153***"</f>
        <v>0.0153***</v>
      </c>
      <c r="DV21" t="s">
        <v>1550</v>
      </c>
      <c r="DW21" t="s">
        <v>3533</v>
      </c>
      <c r="DX21" t="str">
        <f>"0.0147***"</f>
        <v>0.0147***</v>
      </c>
      <c r="DY21" t="s">
        <v>775</v>
      </c>
      <c r="DZ21" t="s">
        <v>3534</v>
      </c>
      <c r="EA21" t="str">
        <f>"0.0138***"</f>
        <v>0.0138***</v>
      </c>
      <c r="EB21" t="s">
        <v>297</v>
      </c>
      <c r="EC21" t="s">
        <v>3535</v>
      </c>
      <c r="ED21" t="str">
        <f>"0.0166***"</f>
        <v>0.0166***</v>
      </c>
      <c r="EE21" t="s">
        <v>1024</v>
      </c>
      <c r="EF21" t="s">
        <v>1030</v>
      </c>
      <c r="EG21" t="str">
        <f>"0.0233***"</f>
        <v>0.0233***</v>
      </c>
      <c r="EH21" t="s">
        <v>1483</v>
      </c>
      <c r="EI21" t="s">
        <v>3536</v>
      </c>
      <c r="EJ21" t="str">
        <f>"0.0290***"</f>
        <v>0.0290***</v>
      </c>
      <c r="EK21" t="s">
        <v>3537</v>
      </c>
      <c r="EL21" t="s">
        <v>975</v>
      </c>
      <c r="EM21" t="str">
        <f>"0.0299***"</f>
        <v>0.0299***</v>
      </c>
      <c r="EN21" t="s">
        <v>3538</v>
      </c>
      <c r="EO21" t="s">
        <v>1732</v>
      </c>
      <c r="EP21" t="str">
        <f>"0.0284***"</f>
        <v>0.0284***</v>
      </c>
      <c r="EQ21" t="s">
        <v>3539</v>
      </c>
      <c r="ER21" t="s">
        <v>2864</v>
      </c>
      <c r="ES21" t="str">
        <f>"0.0283***"</f>
        <v>0.0283***</v>
      </c>
      <c r="ET21" t="s">
        <v>3153</v>
      </c>
      <c r="EU21" t="s">
        <v>2864</v>
      </c>
      <c r="EV21" t="str">
        <f>"0.0266***"</f>
        <v>0.0266***</v>
      </c>
      <c r="EW21" t="s">
        <v>3540</v>
      </c>
      <c r="EX21" t="s">
        <v>1057</v>
      </c>
      <c r="EY21" t="str">
        <f>"0.0237***"</f>
        <v>0.0237***</v>
      </c>
      <c r="EZ21" t="s">
        <v>1519</v>
      </c>
      <c r="FA21" t="s">
        <v>1688</v>
      </c>
      <c r="FB21" t="str">
        <f>"0.0193***"</f>
        <v>0.0193***</v>
      </c>
      <c r="FC21" t="s">
        <v>3541</v>
      </c>
      <c r="FD21" t="s">
        <v>2880</v>
      </c>
      <c r="FE21" t="str">
        <f>"0.0182***"</f>
        <v>0.0182***</v>
      </c>
      <c r="FF21" t="s">
        <v>3265</v>
      </c>
      <c r="FG21" t="s">
        <v>1658</v>
      </c>
      <c r="FH21" t="str">
        <f>"0.0148***"</f>
        <v>0.0148***</v>
      </c>
      <c r="FI21" t="s">
        <v>1129</v>
      </c>
      <c r="FJ21" t="s">
        <v>3266</v>
      </c>
      <c r="FK21" t="str">
        <f>"0.0117***"</f>
        <v>0.0117***</v>
      </c>
      <c r="FL21" t="s">
        <v>370</v>
      </c>
      <c r="FM21" t="s">
        <v>1130</v>
      </c>
      <c r="FN21" t="str">
        <f>"0.00734*"</f>
        <v>0.00734*</v>
      </c>
      <c r="FO21" t="s">
        <v>719</v>
      </c>
      <c r="FP21" t="s">
        <v>530</v>
      </c>
      <c r="FQ21" t="str">
        <f>"0.00949**"</f>
        <v>0.00949**</v>
      </c>
      <c r="FR21" t="s">
        <v>1464</v>
      </c>
      <c r="FS21" t="s">
        <v>1494</v>
      </c>
      <c r="FT21" t="str">
        <f>"0.0128***"</f>
        <v>0.0128***</v>
      </c>
      <c r="FU21" t="s">
        <v>1470</v>
      </c>
      <c r="FV21" t="s">
        <v>3542</v>
      </c>
      <c r="FW21" t="str">
        <f>"0.0122***"</f>
        <v>0.0122***</v>
      </c>
      <c r="FX21" t="s">
        <v>993</v>
      </c>
      <c r="FY21" t="s">
        <v>1232</v>
      </c>
      <c r="FZ21" t="str">
        <f>"0.0103**"</f>
        <v>0.0103**</v>
      </c>
      <c r="GA21" t="s">
        <v>1466</v>
      </c>
      <c r="GB21" t="s">
        <v>743</v>
      </c>
      <c r="GC21" t="str">
        <f>"0.0131***"</f>
        <v>0.0131***</v>
      </c>
      <c r="GD21" t="s">
        <v>1470</v>
      </c>
      <c r="GE21" t="s">
        <v>3534</v>
      </c>
      <c r="GF21" t="str">
        <f>"0.0155***"</f>
        <v>0.0155***</v>
      </c>
      <c r="GG21" t="s">
        <v>1129</v>
      </c>
      <c r="GH21" t="s">
        <v>631</v>
      </c>
      <c r="GI21" t="str">
        <f>"0.0195***"</f>
        <v>0.0195***</v>
      </c>
      <c r="GJ21" t="s">
        <v>766</v>
      </c>
      <c r="GK21" t="s">
        <v>1032</v>
      </c>
      <c r="GL21" t="str">
        <f>"0.0222***"</f>
        <v>0.0222***</v>
      </c>
      <c r="GM21" t="s">
        <v>1528</v>
      </c>
      <c r="GN21" t="s">
        <v>1945</v>
      </c>
      <c r="GO21" t="str">
        <f>"0.0223***"</f>
        <v>0.0223***</v>
      </c>
      <c r="GP21" t="s">
        <v>1528</v>
      </c>
      <c r="GQ21" t="s">
        <v>1651</v>
      </c>
      <c r="GR21" t="str">
        <f>"0.0207***"</f>
        <v>0.0207***</v>
      </c>
      <c r="GS21" t="s">
        <v>1071</v>
      </c>
      <c r="GT21" t="s">
        <v>1952</v>
      </c>
      <c r="GU21" t="str">
        <f>"0.0262***"</f>
        <v>0.0262***</v>
      </c>
      <c r="GV21" t="s">
        <v>1662</v>
      </c>
      <c r="GW21" t="s">
        <v>3358</v>
      </c>
      <c r="GX21" t="str">
        <f>"0.0308***"</f>
        <v>0.0308***</v>
      </c>
      <c r="GY21" t="s">
        <v>1736</v>
      </c>
      <c r="GZ21" t="s">
        <v>3543</v>
      </c>
      <c r="HA21" t="str">
        <f>"0.0274***"</f>
        <v>0.0274***</v>
      </c>
      <c r="HB21" t="s">
        <v>2839</v>
      </c>
      <c r="HC21" t="s">
        <v>1939</v>
      </c>
      <c r="HD21" t="str">
        <f>"0.00525"</f>
        <v>0.00525</v>
      </c>
      <c r="HE21" t="s">
        <v>1515</v>
      </c>
      <c r="HF21" t="s">
        <v>1473</v>
      </c>
      <c r="HG21" t="str">
        <f>"0.00181"</f>
        <v>0.00181</v>
      </c>
      <c r="HH21" t="s">
        <v>1447</v>
      </c>
      <c r="HI21" t="s">
        <v>2815</v>
      </c>
      <c r="HJ21" t="str">
        <f>"0.00597"</f>
        <v>0.00597</v>
      </c>
      <c r="HK21" t="s">
        <v>670</v>
      </c>
      <c r="HL21" t="s">
        <v>532</v>
      </c>
      <c r="HM21" t="str">
        <f>"0.00857"</f>
        <v>0.00857</v>
      </c>
      <c r="HN21" t="s">
        <v>674</v>
      </c>
      <c r="HO21" t="s">
        <v>1537</v>
      </c>
      <c r="HP21" t="str">
        <f>"0.00125"</f>
        <v>0.00125</v>
      </c>
      <c r="HQ21" t="s">
        <v>1447</v>
      </c>
      <c r="HR21" t="s">
        <v>1553</v>
      </c>
      <c r="HS21" t="str">
        <f>"0.000258"</f>
        <v>0.000258</v>
      </c>
      <c r="HT21" t="s">
        <v>965</v>
      </c>
      <c r="HU21" t="s">
        <v>735</v>
      </c>
      <c r="HV21" t="str">
        <f>"-0.00564"</f>
        <v>-0.00564</v>
      </c>
      <c r="HW21" t="s">
        <v>3544</v>
      </c>
      <c r="HX21" t="s">
        <v>671</v>
      </c>
      <c r="HY21" t="str">
        <f>"-0.00997*"</f>
        <v>-0.00997*</v>
      </c>
      <c r="HZ21" t="s">
        <v>3448</v>
      </c>
      <c r="IA21" t="s">
        <v>1455</v>
      </c>
      <c r="IB21" t="str">
        <f>"-0.00170"</f>
        <v>-0.00170</v>
      </c>
      <c r="IC21" t="s">
        <v>3288</v>
      </c>
      <c r="ID21" t="s">
        <v>570</v>
      </c>
      <c r="IE21" t="str">
        <f>"0.0306***"</f>
        <v>0.0306***</v>
      </c>
      <c r="IF21" t="s">
        <v>1221</v>
      </c>
      <c r="IG21" t="s">
        <v>3545</v>
      </c>
      <c r="IH21" t="str">
        <f>"0.0416***"</f>
        <v>0.0416***</v>
      </c>
      <c r="II21" t="s">
        <v>3546</v>
      </c>
      <c r="IJ21" t="s">
        <v>1750</v>
      </c>
      <c r="IK21" t="str">
        <f>"0.0366***"</f>
        <v>0.0366***</v>
      </c>
      <c r="IL21" t="s">
        <v>1684</v>
      </c>
      <c r="IM21" t="s">
        <v>765</v>
      </c>
      <c r="IN21" t="str">
        <f>"0.0118"</f>
        <v>0.0118</v>
      </c>
      <c r="IO21" t="s">
        <v>931</v>
      </c>
      <c r="IP21" t="s">
        <v>1126</v>
      </c>
      <c r="IQ21" t="str">
        <f>"-0.00298"</f>
        <v>-0.00298</v>
      </c>
      <c r="IR21" t="s">
        <v>790</v>
      </c>
      <c r="IS21" t="s">
        <v>651</v>
      </c>
      <c r="IT21" t="str">
        <f>"-0.0115"</f>
        <v>-0.0115</v>
      </c>
      <c r="IU21" t="s">
        <v>519</v>
      </c>
      <c r="IV21" t="s">
        <v>829</v>
      </c>
      <c r="IW21" t="str">
        <f>"-0.00149"</f>
        <v>-0.00149</v>
      </c>
      <c r="IX21" t="s">
        <v>1725</v>
      </c>
      <c r="IY21" t="s">
        <v>3259</v>
      </c>
      <c r="IZ21" t="str">
        <f>"0.00709"</f>
        <v>0.00709</v>
      </c>
      <c r="JA21" t="s">
        <v>967</v>
      </c>
      <c r="JB21" t="s">
        <v>956</v>
      </c>
      <c r="JC21" t="str">
        <f>"0.0122"</f>
        <v>0.0122</v>
      </c>
      <c r="JD21" t="s">
        <v>681</v>
      </c>
      <c r="JE21" t="s">
        <v>2848</v>
      </c>
      <c r="JF21" t="str">
        <f>"0.0113"</f>
        <v>0.0113</v>
      </c>
      <c r="JG21" t="s">
        <v>1010</v>
      </c>
      <c r="JH21" t="s">
        <v>989</v>
      </c>
      <c r="JI21" t="str">
        <f>"0.0174"</f>
        <v>0.0174</v>
      </c>
      <c r="JJ21" t="s">
        <v>935</v>
      </c>
      <c r="JK21" t="s">
        <v>3547</v>
      </c>
      <c r="JL21" t="str">
        <f>"-0.00187"</f>
        <v>-0.00187</v>
      </c>
      <c r="JM21" t="s">
        <v>3548</v>
      </c>
      <c r="JN21" t="s">
        <v>526</v>
      </c>
      <c r="JO21" t="str">
        <f>"-0.00917"</f>
        <v>-0.00917</v>
      </c>
      <c r="JP21" t="s">
        <v>3344</v>
      </c>
      <c r="JQ21" t="s">
        <v>575</v>
      </c>
      <c r="JR21" t="str">
        <f>"-0.0242"</f>
        <v>-0.0242</v>
      </c>
      <c r="JS21" t="s">
        <v>3549</v>
      </c>
      <c r="JT21" t="s">
        <v>802</v>
      </c>
      <c r="JU21" t="str">
        <f>"-0.0554***"</f>
        <v>-0.0554***</v>
      </c>
      <c r="JV21" t="s">
        <v>3550</v>
      </c>
      <c r="JW21" t="s">
        <v>3551</v>
      </c>
      <c r="JX21" t="str">
        <f>"-0.0294*"</f>
        <v>-0.0294*</v>
      </c>
      <c r="JY21" t="s">
        <v>3552</v>
      </c>
      <c r="JZ21" t="s">
        <v>1486</v>
      </c>
      <c r="KA21" t="str">
        <f>"-0.0174"</f>
        <v>-0.0174</v>
      </c>
      <c r="KB21" t="s">
        <v>3549</v>
      </c>
      <c r="KC21" t="s">
        <v>1546</v>
      </c>
      <c r="KD21" t="str">
        <f>"0.00805"</f>
        <v>0.00805</v>
      </c>
      <c r="KE21" t="s">
        <v>805</v>
      </c>
      <c r="KF21" t="s">
        <v>1219</v>
      </c>
      <c r="KG21" t="str">
        <f>"-0.0406"</f>
        <v>-0.0406</v>
      </c>
      <c r="KH21" t="s">
        <v>3553</v>
      </c>
      <c r="KI21" t="s">
        <v>829</v>
      </c>
      <c r="KJ21" t="str">
        <f>"0.0254"</f>
        <v>0.0254</v>
      </c>
      <c r="KK21" t="s">
        <v>518</v>
      </c>
      <c r="KL21" t="s">
        <v>757</v>
      </c>
    </row>
    <row r="22" spans="1:298" x14ac:dyDescent="0.2">
      <c r="A22" t="str">
        <f>"ppi"</f>
        <v>ppi</v>
      </c>
      <c r="B22" t="str">
        <f>"0.00431"</f>
        <v>0.00431</v>
      </c>
      <c r="C22" t="s">
        <v>805</v>
      </c>
      <c r="D22" t="s">
        <v>1942</v>
      </c>
      <c r="E22" t="str">
        <f>"0.000957"</f>
        <v>0.000957</v>
      </c>
      <c r="F22" t="s">
        <v>2861</v>
      </c>
      <c r="G22" t="s">
        <v>1388</v>
      </c>
      <c r="H22" t="str">
        <f>"-0.0104"</f>
        <v>-0.0104</v>
      </c>
      <c r="I22" t="s">
        <v>283</v>
      </c>
      <c r="J22" t="s">
        <v>742</v>
      </c>
      <c r="K22" t="str">
        <f>"0.0103"</f>
        <v>0.0103</v>
      </c>
      <c r="L22" t="s">
        <v>1113</v>
      </c>
      <c r="M22" t="s">
        <v>1647</v>
      </c>
      <c r="N22" t="str">
        <f>"-0.0154"</f>
        <v>-0.0154</v>
      </c>
      <c r="O22" t="s">
        <v>3554</v>
      </c>
      <c r="P22" t="s">
        <v>723</v>
      </c>
      <c r="Q22" t="str">
        <f>"-0.00122"</f>
        <v>-0.00122</v>
      </c>
      <c r="R22" t="s">
        <v>508</v>
      </c>
      <c r="S22" t="s">
        <v>528</v>
      </c>
      <c r="T22" t="str">
        <f>"-0.00559"</f>
        <v>-0.00559</v>
      </c>
      <c r="U22" t="s">
        <v>299</v>
      </c>
      <c r="V22" t="s">
        <v>522</v>
      </c>
      <c r="W22" t="str">
        <f>"-0.00165"</f>
        <v>-0.00165</v>
      </c>
      <c r="X22" t="s">
        <v>555</v>
      </c>
      <c r="Y22" t="s">
        <v>1671</v>
      </c>
      <c r="Z22" t="str">
        <f>"0.00774"</f>
        <v>0.00774</v>
      </c>
      <c r="AA22" t="s">
        <v>632</v>
      </c>
      <c r="AB22" t="s">
        <v>559</v>
      </c>
      <c r="AC22" t="str">
        <f>"-0.00131"</f>
        <v>-0.00131</v>
      </c>
      <c r="AD22" t="s">
        <v>3446</v>
      </c>
      <c r="AE22" t="s">
        <v>943</v>
      </c>
      <c r="AF22" t="str">
        <f>"-0.00514"</f>
        <v>-0.00514</v>
      </c>
      <c r="AG22" t="s">
        <v>3555</v>
      </c>
      <c r="AH22" t="s">
        <v>597</v>
      </c>
      <c r="AI22" t="str">
        <f>"-0.00345"</f>
        <v>-0.00345</v>
      </c>
      <c r="AJ22" t="s">
        <v>689</v>
      </c>
      <c r="AK22" t="s">
        <v>669</v>
      </c>
      <c r="AL22" t="str">
        <f>"-0.00351"</f>
        <v>-0.00351</v>
      </c>
      <c r="AM22" t="s">
        <v>1041</v>
      </c>
      <c r="AN22" t="s">
        <v>721</v>
      </c>
      <c r="AO22" t="str">
        <f>"0.000763"</f>
        <v>0.000763</v>
      </c>
      <c r="AP22" t="s">
        <v>1117</v>
      </c>
      <c r="AQ22" t="s">
        <v>582</v>
      </c>
      <c r="AR22" t="str">
        <f>"0.00147"</f>
        <v>0.00147</v>
      </c>
      <c r="AS22" t="s">
        <v>1120</v>
      </c>
      <c r="AT22" t="s">
        <v>1558</v>
      </c>
      <c r="AU22" t="str">
        <f>"-0.00182"</f>
        <v>-0.00182</v>
      </c>
      <c r="AV22" t="s">
        <v>1708</v>
      </c>
      <c r="AW22" t="s">
        <v>1467</v>
      </c>
      <c r="AX22" t="str">
        <f>"0.000434"</f>
        <v>0.000434</v>
      </c>
      <c r="AY22" t="s">
        <v>1514</v>
      </c>
      <c r="AZ22" t="s">
        <v>643</v>
      </c>
      <c r="BA22" t="str">
        <f>"0.00136"</f>
        <v>0.00136</v>
      </c>
      <c r="BB22" t="s">
        <v>914</v>
      </c>
      <c r="BC22" t="s">
        <v>1013</v>
      </c>
      <c r="BD22" t="str">
        <f>"0.00312"</f>
        <v>0.00312</v>
      </c>
      <c r="BE22" t="s">
        <v>717</v>
      </c>
      <c r="BF22" t="s">
        <v>570</v>
      </c>
      <c r="BG22" t="str">
        <f>"0.00251"</f>
        <v>0.00251</v>
      </c>
      <c r="BH22" t="s">
        <v>711</v>
      </c>
      <c r="BI22" t="s">
        <v>577</v>
      </c>
      <c r="BJ22" t="str">
        <f>"-0.000393"</f>
        <v>-0.000393</v>
      </c>
      <c r="BK22" t="s">
        <v>1514</v>
      </c>
      <c r="BL22" t="s">
        <v>925</v>
      </c>
      <c r="BM22" t="str">
        <f>"0.00250"</f>
        <v>0.00250</v>
      </c>
      <c r="BN22" t="s">
        <v>639</v>
      </c>
      <c r="BO22" t="s">
        <v>653</v>
      </c>
      <c r="BP22" t="str">
        <f>"0.000651"</f>
        <v>0.000651</v>
      </c>
      <c r="BQ22" t="s">
        <v>3295</v>
      </c>
      <c r="BR22" t="s">
        <v>710</v>
      </c>
      <c r="BS22" t="str">
        <f>"0.00285"</f>
        <v>0.00285</v>
      </c>
      <c r="BT22" t="s">
        <v>1014</v>
      </c>
      <c r="BU22" t="s">
        <v>579</v>
      </c>
      <c r="BV22" t="str">
        <f>"0.00719**"</f>
        <v>0.00719**</v>
      </c>
      <c r="BW22" t="s">
        <v>1463</v>
      </c>
      <c r="BX22" t="s">
        <v>739</v>
      </c>
      <c r="BY22" t="str">
        <f>"0.00797**"</f>
        <v>0.00797**</v>
      </c>
      <c r="BZ22" t="s">
        <v>1466</v>
      </c>
      <c r="CA22" t="s">
        <v>3259</v>
      </c>
      <c r="CB22" t="str">
        <f>"0.00758**"</f>
        <v>0.00758**</v>
      </c>
      <c r="CC22" t="s">
        <v>729</v>
      </c>
      <c r="CD22" t="s">
        <v>565</v>
      </c>
      <c r="CE22" t="str">
        <f>"0.00631*"</f>
        <v>0.00631*</v>
      </c>
      <c r="CF22" t="s">
        <v>1488</v>
      </c>
      <c r="CG22" t="s">
        <v>1001</v>
      </c>
      <c r="CH22" t="str">
        <f>"0.00446"</f>
        <v>0.00446</v>
      </c>
      <c r="CI22" t="s">
        <v>734</v>
      </c>
      <c r="CJ22" t="s">
        <v>573</v>
      </c>
      <c r="CK22" t="str">
        <f>"0.00469"</f>
        <v>0.00469</v>
      </c>
      <c r="CL22" t="s">
        <v>684</v>
      </c>
      <c r="CM22" t="s">
        <v>958</v>
      </c>
      <c r="CN22" t="str">
        <f>"0.00449"</f>
        <v>0.00449</v>
      </c>
      <c r="CO22" t="s">
        <v>435</v>
      </c>
      <c r="CP22" t="s">
        <v>726</v>
      </c>
      <c r="CQ22" t="str">
        <f>"0.00467"</f>
        <v>0.00467</v>
      </c>
      <c r="CR22" t="s">
        <v>935</v>
      </c>
      <c r="CS22" t="s">
        <v>1011</v>
      </c>
      <c r="CT22" t="str">
        <f>"0.00578"</f>
        <v>0.00578</v>
      </c>
      <c r="CU22" t="s">
        <v>786</v>
      </c>
      <c r="CV22" t="s">
        <v>2815</v>
      </c>
      <c r="CW22" t="str">
        <f>"0.00465"</f>
        <v>0.00465</v>
      </c>
      <c r="CX22" t="s">
        <v>681</v>
      </c>
      <c r="CY22" t="s">
        <v>687</v>
      </c>
      <c r="CZ22" t="str">
        <f>"0.00358"</f>
        <v>0.00358</v>
      </c>
      <c r="DA22" t="s">
        <v>640</v>
      </c>
      <c r="DB22" t="s">
        <v>3556</v>
      </c>
      <c r="DC22" t="str">
        <f>"0.00459"</f>
        <v>0.00459</v>
      </c>
      <c r="DD22" t="s">
        <v>1012</v>
      </c>
      <c r="DE22" t="s">
        <v>1006</v>
      </c>
      <c r="DF22" t="str">
        <f>"0.00186"</f>
        <v>0.00186</v>
      </c>
      <c r="DG22" t="s">
        <v>672</v>
      </c>
      <c r="DH22" t="s">
        <v>649</v>
      </c>
      <c r="DI22" t="str">
        <f>"0.000649"</f>
        <v>0.000649</v>
      </c>
      <c r="DJ22" t="s">
        <v>3557</v>
      </c>
      <c r="DK22" t="s">
        <v>577</v>
      </c>
      <c r="DL22" t="str">
        <f>"0.000293"</f>
        <v>0.000293</v>
      </c>
      <c r="DM22" t="s">
        <v>967</v>
      </c>
      <c r="DN22" t="s">
        <v>1004</v>
      </c>
      <c r="DO22" t="str">
        <f>"-0.00255"</f>
        <v>-0.00255</v>
      </c>
      <c r="DP22" t="s">
        <v>349</v>
      </c>
      <c r="DQ22" t="s">
        <v>928</v>
      </c>
      <c r="DR22" t="str">
        <f>"0.000109"</f>
        <v>0.000109</v>
      </c>
      <c r="DS22" t="s">
        <v>1192</v>
      </c>
      <c r="DT22" t="s">
        <v>594</v>
      </c>
      <c r="DU22" t="str">
        <f>"0.000971"</f>
        <v>0.000971</v>
      </c>
      <c r="DV22" t="s">
        <v>664</v>
      </c>
      <c r="DW22" t="s">
        <v>575</v>
      </c>
      <c r="DX22" t="str">
        <f>"-0.000475"</f>
        <v>-0.000475</v>
      </c>
      <c r="DY22" t="s">
        <v>303</v>
      </c>
      <c r="DZ22" t="s">
        <v>568</v>
      </c>
      <c r="EA22" t="str">
        <f>"-0.00246"</f>
        <v>-0.00246</v>
      </c>
      <c r="EB22" t="s">
        <v>641</v>
      </c>
      <c r="EC22" t="s">
        <v>925</v>
      </c>
      <c r="ED22" t="str">
        <f>"-0.00490"</f>
        <v>-0.00490</v>
      </c>
      <c r="EE22" t="s">
        <v>1387</v>
      </c>
      <c r="EF22" t="s">
        <v>921</v>
      </c>
      <c r="EG22" t="str">
        <f>"-0.00350"</f>
        <v>-0.00350</v>
      </c>
      <c r="EH22" t="s">
        <v>3352</v>
      </c>
      <c r="EI22" t="s">
        <v>699</v>
      </c>
      <c r="EJ22" t="str">
        <f>"-0.000566"</f>
        <v>-0.000566</v>
      </c>
      <c r="EK22" t="s">
        <v>1447</v>
      </c>
      <c r="EL22" t="s">
        <v>1234</v>
      </c>
      <c r="EM22" t="str">
        <f>"-0.000125"</f>
        <v>-0.000125</v>
      </c>
      <c r="EN22" t="s">
        <v>668</v>
      </c>
      <c r="EO22" t="s">
        <v>673</v>
      </c>
      <c r="EP22" t="str">
        <f>"-0.000547"</f>
        <v>-0.000547</v>
      </c>
      <c r="EQ22" t="s">
        <v>1717</v>
      </c>
      <c r="ER22" t="s">
        <v>653</v>
      </c>
      <c r="ES22" t="str">
        <f>"-0.00365"</f>
        <v>-0.00365</v>
      </c>
      <c r="ET22" t="s">
        <v>3558</v>
      </c>
      <c r="EU22" t="s">
        <v>698</v>
      </c>
      <c r="EV22" t="str">
        <f>"-0.00480"</f>
        <v>-0.00480</v>
      </c>
      <c r="EW22" t="s">
        <v>1178</v>
      </c>
      <c r="EX22" t="s">
        <v>907</v>
      </c>
      <c r="EY22" t="str">
        <f>"-0.00622"</f>
        <v>-0.00622</v>
      </c>
      <c r="EZ22" t="s">
        <v>3559</v>
      </c>
      <c r="FA22" t="s">
        <v>913</v>
      </c>
      <c r="FB22" t="str">
        <f>"-0.00143"</f>
        <v>-0.00143</v>
      </c>
      <c r="FC22" t="s">
        <v>3560</v>
      </c>
      <c r="FD22" t="s">
        <v>568</v>
      </c>
      <c r="FE22" t="str">
        <f>"-0.00435"</f>
        <v>-0.00435</v>
      </c>
      <c r="FF22" t="s">
        <v>3561</v>
      </c>
      <c r="FG22" t="s">
        <v>699</v>
      </c>
      <c r="FH22" t="str">
        <f>"-0.0137**"</f>
        <v>-0.0137**</v>
      </c>
      <c r="FI22" t="s">
        <v>850</v>
      </c>
      <c r="FJ22" t="s">
        <v>3562</v>
      </c>
      <c r="FK22" t="str">
        <f>"-0.0107*"</f>
        <v>-0.0107*</v>
      </c>
      <c r="FL22" t="s">
        <v>827</v>
      </c>
      <c r="FM22" t="s">
        <v>1506</v>
      </c>
      <c r="FN22" t="str">
        <f>"-0.0154***"</f>
        <v>-0.0154***</v>
      </c>
      <c r="FO22" t="s">
        <v>807</v>
      </c>
      <c r="FP22" t="s">
        <v>3563</v>
      </c>
      <c r="FQ22" t="str">
        <f>"-0.0153***"</f>
        <v>-0.0153***</v>
      </c>
      <c r="FR22" t="s">
        <v>562</v>
      </c>
      <c r="FS22" t="s">
        <v>3564</v>
      </c>
      <c r="FT22" t="str">
        <f>"-0.0136**"</f>
        <v>-0.0136**</v>
      </c>
      <c r="FU22" t="s">
        <v>3528</v>
      </c>
      <c r="FV22" t="s">
        <v>688</v>
      </c>
      <c r="FW22" t="str">
        <f>"-0.0150**"</f>
        <v>-0.0150**</v>
      </c>
      <c r="FX22" t="s">
        <v>562</v>
      </c>
      <c r="FY22" t="s">
        <v>3565</v>
      </c>
      <c r="FZ22" t="str">
        <f>"-0.0178***"</f>
        <v>-0.0178***</v>
      </c>
      <c r="GA22" t="s">
        <v>1176</v>
      </c>
      <c r="GB22" t="s">
        <v>3566</v>
      </c>
      <c r="GC22" t="str">
        <f>"-0.0162***"</f>
        <v>-0.0162***</v>
      </c>
      <c r="GD22" t="s">
        <v>3567</v>
      </c>
      <c r="GE22" t="s">
        <v>1273</v>
      </c>
      <c r="GF22" t="str">
        <f>"-0.0143**"</f>
        <v>-0.0143**</v>
      </c>
      <c r="GG22" t="s">
        <v>805</v>
      </c>
      <c r="GH22" t="s">
        <v>822</v>
      </c>
      <c r="GI22" t="str">
        <f>"-0.0111*"</f>
        <v>-0.0111*</v>
      </c>
      <c r="GJ22" t="s">
        <v>3568</v>
      </c>
      <c r="GK22" t="s">
        <v>1452</v>
      </c>
      <c r="GL22" t="str">
        <f>"-0.00355"</f>
        <v>-0.00355</v>
      </c>
      <c r="GM22" t="s">
        <v>689</v>
      </c>
      <c r="GN22" t="s">
        <v>710</v>
      </c>
      <c r="GO22" t="str">
        <f>"-0.00626"</f>
        <v>-0.00626</v>
      </c>
      <c r="GP22" t="s">
        <v>1078</v>
      </c>
      <c r="GQ22" t="s">
        <v>797</v>
      </c>
      <c r="GR22" t="str">
        <f>"-0.00399"</f>
        <v>-0.00399</v>
      </c>
      <c r="GS22" t="s">
        <v>2841</v>
      </c>
      <c r="GT22" t="s">
        <v>925</v>
      </c>
      <c r="GU22" t="str">
        <f>"0.00379"</f>
        <v>0.00379</v>
      </c>
      <c r="GV22" t="s">
        <v>672</v>
      </c>
      <c r="GW22" t="s">
        <v>1548</v>
      </c>
      <c r="GX22" t="str">
        <f>"0.00361"</f>
        <v>0.00361</v>
      </c>
      <c r="GY22" t="s">
        <v>741</v>
      </c>
      <c r="GZ22" t="s">
        <v>522</v>
      </c>
      <c r="HA22" t="str">
        <f>"-0.00219"</f>
        <v>-0.00219</v>
      </c>
      <c r="HB22" t="s">
        <v>2832</v>
      </c>
      <c r="HC22" t="s">
        <v>579</v>
      </c>
      <c r="HD22" t="str">
        <f>"-0.0170**"</f>
        <v>-0.0170**</v>
      </c>
      <c r="HE22" t="s">
        <v>3569</v>
      </c>
      <c r="HF22" t="s">
        <v>1392</v>
      </c>
      <c r="HG22" t="str">
        <f>"-0.0231***"</f>
        <v>-0.0231***</v>
      </c>
      <c r="HH22" t="s">
        <v>585</v>
      </c>
      <c r="HI22" t="s">
        <v>3570</v>
      </c>
      <c r="HJ22" t="str">
        <f>"-0.0185**"</f>
        <v>-0.0185**</v>
      </c>
      <c r="HK22" t="s">
        <v>3571</v>
      </c>
      <c r="HL22" t="s">
        <v>3572</v>
      </c>
      <c r="HM22" t="str">
        <f>"-0.0160*"</f>
        <v>-0.0160*</v>
      </c>
      <c r="HN22" t="s">
        <v>852</v>
      </c>
      <c r="HO22" t="s">
        <v>1448</v>
      </c>
      <c r="HP22" t="str">
        <f>"-0.0231***"</f>
        <v>-0.0231***</v>
      </c>
      <c r="HQ22" t="s">
        <v>249</v>
      </c>
      <c r="HR22" t="s">
        <v>3573</v>
      </c>
      <c r="HS22" t="str">
        <f>"-0.0159**"</f>
        <v>-0.0159**</v>
      </c>
      <c r="HT22" t="s">
        <v>1235</v>
      </c>
      <c r="HU22" t="s">
        <v>814</v>
      </c>
      <c r="HV22" t="str">
        <f>"-0.0224***"</f>
        <v>-0.0224***</v>
      </c>
      <c r="HW22" t="s">
        <v>963</v>
      </c>
      <c r="HX22" t="s">
        <v>3574</v>
      </c>
      <c r="HY22" t="str">
        <f>"-0.0232***"</f>
        <v>-0.0232***</v>
      </c>
      <c r="HZ22" t="s">
        <v>539</v>
      </c>
      <c r="IA22" t="s">
        <v>1096</v>
      </c>
      <c r="IB22" t="str">
        <f>"-0.0302***"</f>
        <v>-0.0302***</v>
      </c>
      <c r="IC22" t="s">
        <v>3575</v>
      </c>
      <c r="ID22" t="s">
        <v>3576</v>
      </c>
      <c r="IE22" t="str">
        <f>"-0.00847"</f>
        <v>-0.00847</v>
      </c>
      <c r="IF22" t="s">
        <v>1105</v>
      </c>
      <c r="IG22" t="s">
        <v>713</v>
      </c>
      <c r="IH22" t="str">
        <f>"0.00520"</f>
        <v>0.00520</v>
      </c>
      <c r="II22" t="s">
        <v>1195</v>
      </c>
      <c r="IJ22" t="s">
        <v>964</v>
      </c>
      <c r="IK22" t="str">
        <f>"0.00173"</f>
        <v>0.00173</v>
      </c>
      <c r="IL22" t="s">
        <v>3577</v>
      </c>
      <c r="IM22" t="s">
        <v>983</v>
      </c>
      <c r="IN22" t="str">
        <f>"-0.00925"</f>
        <v>-0.00925</v>
      </c>
      <c r="IO22" t="s">
        <v>495</v>
      </c>
      <c r="IP22" t="s">
        <v>702</v>
      </c>
      <c r="IQ22" t="str">
        <f>"-0.0227**"</f>
        <v>-0.0227**</v>
      </c>
      <c r="IR22" t="s">
        <v>3018</v>
      </c>
      <c r="IS22" t="s">
        <v>3292</v>
      </c>
      <c r="IT22" t="str">
        <f>"-0.0313***"</f>
        <v>-0.0313***</v>
      </c>
      <c r="IU22" t="s">
        <v>3578</v>
      </c>
      <c r="IV22" t="s">
        <v>3285</v>
      </c>
      <c r="IW22" t="str">
        <f>"-0.0228**"</f>
        <v>-0.0228**</v>
      </c>
      <c r="IX22" t="s">
        <v>3579</v>
      </c>
      <c r="IY22" t="s">
        <v>3580</v>
      </c>
      <c r="IZ22" t="str">
        <f>"-0.00682"</f>
        <v>-0.00682</v>
      </c>
      <c r="JA22" t="s">
        <v>1105</v>
      </c>
      <c r="JB22" t="s">
        <v>575</v>
      </c>
      <c r="JC22" t="str">
        <f>"-0.00252"</f>
        <v>-0.00252</v>
      </c>
      <c r="JD22" t="s">
        <v>828</v>
      </c>
      <c r="JE22" t="s">
        <v>1007</v>
      </c>
      <c r="JF22" t="str">
        <f>"-0.0115"</f>
        <v>-0.0115</v>
      </c>
      <c r="JG22" t="s">
        <v>543</v>
      </c>
      <c r="JH22" t="s">
        <v>599</v>
      </c>
      <c r="JI22" t="str">
        <f>"-0.00315"</f>
        <v>-0.00315</v>
      </c>
      <c r="JJ22" t="s">
        <v>3581</v>
      </c>
      <c r="JK22" t="s">
        <v>1670</v>
      </c>
      <c r="JL22" t="str">
        <f>"-0.000788"</f>
        <v>-0.000788</v>
      </c>
      <c r="JM22" t="s">
        <v>813</v>
      </c>
      <c r="JN22" t="s">
        <v>2788</v>
      </c>
      <c r="JO22" t="str">
        <f>"-0.0108"</f>
        <v>-0.0108</v>
      </c>
      <c r="JP22" t="s">
        <v>852</v>
      </c>
      <c r="JQ22" t="s">
        <v>567</v>
      </c>
      <c r="JR22" t="str">
        <f>"-0.0176"</f>
        <v>-0.0176</v>
      </c>
      <c r="JS22" t="s">
        <v>3029</v>
      </c>
      <c r="JT22" t="s">
        <v>723</v>
      </c>
      <c r="JU22" t="str">
        <f>"-0.0441***"</f>
        <v>-0.0441***</v>
      </c>
      <c r="JV22" t="s">
        <v>3582</v>
      </c>
      <c r="JW22" t="s">
        <v>3583</v>
      </c>
      <c r="JX22" t="str">
        <f>"-0.0336*"</f>
        <v>-0.0336*</v>
      </c>
      <c r="JY22" t="s">
        <v>1443</v>
      </c>
      <c r="JZ22" t="s">
        <v>823</v>
      </c>
      <c r="KA22" t="str">
        <f>"-0.0163"</f>
        <v>-0.0163</v>
      </c>
      <c r="KB22" t="s">
        <v>3584</v>
      </c>
      <c r="KC22" t="s">
        <v>1548</v>
      </c>
      <c r="KD22" t="str">
        <f>"0.00261"</f>
        <v>0.00261</v>
      </c>
      <c r="KE22" t="s">
        <v>3585</v>
      </c>
      <c r="KF22" t="s">
        <v>896</v>
      </c>
      <c r="KG22" t="str">
        <f>"-0.0292"</f>
        <v>-0.0292</v>
      </c>
      <c r="KH22" t="s">
        <v>3586</v>
      </c>
      <c r="KI22" t="s">
        <v>1551</v>
      </c>
      <c r="KJ22" t="str">
        <f>"0.0140"</f>
        <v>0.0140</v>
      </c>
      <c r="KK22" t="s">
        <v>3587</v>
      </c>
      <c r="KL22" t="s">
        <v>3588</v>
      </c>
    </row>
    <row r="23" spans="1:298" x14ac:dyDescent="0.2">
      <c r="A23" t="str">
        <f>"rural"</f>
        <v>rural</v>
      </c>
      <c r="B23" t="str">
        <f>"0.0351***"</f>
        <v>0.0351***</v>
      </c>
      <c r="C23" t="s">
        <v>2881</v>
      </c>
      <c r="D23" t="s">
        <v>3589</v>
      </c>
      <c r="E23" t="str">
        <f>"0.0162*"</f>
        <v>0.0162*</v>
      </c>
      <c r="F23" t="s">
        <v>695</v>
      </c>
      <c r="G23" t="s">
        <v>778</v>
      </c>
      <c r="H23" t="str">
        <f>"-0.00817"</f>
        <v>-0.00817</v>
      </c>
      <c r="I23" t="s">
        <v>1389</v>
      </c>
      <c r="J23" t="s">
        <v>698</v>
      </c>
      <c r="K23" t="str">
        <f>"0.0225***"</f>
        <v>0.0225***</v>
      </c>
      <c r="L23" t="s">
        <v>1538</v>
      </c>
      <c r="M23" t="s">
        <v>3590</v>
      </c>
      <c r="N23" t="str">
        <f>"-0.0172***"</f>
        <v>-0.0172***</v>
      </c>
      <c r="O23" t="s">
        <v>3591</v>
      </c>
      <c r="P23" t="s">
        <v>3592</v>
      </c>
      <c r="Q23" t="str">
        <f>"0.00373"</f>
        <v>0.00373</v>
      </c>
      <c r="R23" t="s">
        <v>650</v>
      </c>
      <c r="S23" t="s">
        <v>946</v>
      </c>
      <c r="T23" t="str">
        <f>"-0.00625"</f>
        <v>-0.00625</v>
      </c>
      <c r="U23" t="s">
        <v>3593</v>
      </c>
      <c r="V23" t="s">
        <v>937</v>
      </c>
      <c r="W23" t="str">
        <f>"-0.00627"</f>
        <v>-0.00627</v>
      </c>
      <c r="X23" t="s">
        <v>514</v>
      </c>
      <c r="Y23" t="s">
        <v>1485</v>
      </c>
      <c r="Z23" t="str">
        <f>"-0.00179"</f>
        <v>-0.00179</v>
      </c>
      <c r="AA23" t="s">
        <v>656</v>
      </c>
      <c r="AB23" t="s">
        <v>699</v>
      </c>
      <c r="AC23" t="str">
        <f>"-0.0119***"</f>
        <v>-0.0119***</v>
      </c>
      <c r="AD23" t="s">
        <v>1039</v>
      </c>
      <c r="AE23" t="s">
        <v>3563</v>
      </c>
      <c r="AF23" t="str">
        <f>"-0.0132***"</f>
        <v>-0.0132***</v>
      </c>
      <c r="AG23" t="s">
        <v>803</v>
      </c>
      <c r="AH23" t="s">
        <v>1109</v>
      </c>
      <c r="AI23" t="str">
        <f>"-0.00445**"</f>
        <v>-0.00445**</v>
      </c>
      <c r="AJ23" t="s">
        <v>656</v>
      </c>
      <c r="AK23" t="s">
        <v>1089</v>
      </c>
      <c r="AL23" t="str">
        <f>"-0.00644***"</f>
        <v>-0.00644***</v>
      </c>
      <c r="AM23" t="s">
        <v>1079</v>
      </c>
      <c r="AN23" t="s">
        <v>960</v>
      </c>
      <c r="AO23" t="str">
        <f>"-0.00455***"</f>
        <v>-0.00455***</v>
      </c>
      <c r="AP23" t="s">
        <v>1450</v>
      </c>
      <c r="AQ23" t="s">
        <v>1452</v>
      </c>
      <c r="AR23" t="str">
        <f>"-0.00337**"</f>
        <v>-0.00337**</v>
      </c>
      <c r="AS23" t="s">
        <v>686</v>
      </c>
      <c r="AT23" t="s">
        <v>1084</v>
      </c>
      <c r="AU23" t="str">
        <f>"-0.00286*"</f>
        <v>-0.00286*</v>
      </c>
      <c r="AV23" t="s">
        <v>909</v>
      </c>
      <c r="AW23" t="s">
        <v>704</v>
      </c>
      <c r="AX23" t="str">
        <f>"-0.00177"</f>
        <v>-0.00177</v>
      </c>
      <c r="AY23" t="s">
        <v>697</v>
      </c>
      <c r="AZ23" t="s">
        <v>1485</v>
      </c>
      <c r="BA23" t="str">
        <f>"-0.00150"</f>
        <v>-0.00150</v>
      </c>
      <c r="BB23" t="s">
        <v>703</v>
      </c>
      <c r="BC23" t="s">
        <v>661</v>
      </c>
      <c r="BD23" t="str">
        <f>"0.00000130"</f>
        <v>0.00000130</v>
      </c>
      <c r="BE23" t="s">
        <v>916</v>
      </c>
      <c r="BF23" t="s">
        <v>918</v>
      </c>
      <c r="BG23" t="str">
        <f>"-0.000169"</f>
        <v>-0.000169</v>
      </c>
      <c r="BH23" t="s">
        <v>720</v>
      </c>
      <c r="BI23" t="s">
        <v>1067</v>
      </c>
      <c r="BJ23" t="str">
        <f>"0.0000287"</f>
        <v>0.0000287</v>
      </c>
      <c r="BK23" t="s">
        <v>932</v>
      </c>
      <c r="BL23" t="s">
        <v>1083</v>
      </c>
      <c r="BM23" t="str">
        <f>"0.000796"</f>
        <v>0.000796</v>
      </c>
      <c r="BN23" t="s">
        <v>684</v>
      </c>
      <c r="BO23" t="s">
        <v>685</v>
      </c>
      <c r="BP23" t="str">
        <f>"0.000451"</f>
        <v>0.000451</v>
      </c>
      <c r="BQ23" t="s">
        <v>931</v>
      </c>
      <c r="BR23" t="s">
        <v>691</v>
      </c>
      <c r="BS23" t="str">
        <f>"0.000675"</f>
        <v>0.000675</v>
      </c>
      <c r="BT23" t="s">
        <v>734</v>
      </c>
      <c r="BU23" t="s">
        <v>912</v>
      </c>
      <c r="BV23" t="str">
        <f>"0.00112"</f>
        <v>0.00112</v>
      </c>
      <c r="BW23" t="s">
        <v>1458</v>
      </c>
      <c r="BX23" t="s">
        <v>906</v>
      </c>
      <c r="BY23" t="str">
        <f>"0.00103"</f>
        <v>0.00103</v>
      </c>
      <c r="BZ23" t="s">
        <v>786</v>
      </c>
      <c r="CA23" t="s">
        <v>921</v>
      </c>
      <c r="CB23" t="str">
        <f>"0.000915"</f>
        <v>0.000915</v>
      </c>
      <c r="CC23" t="s">
        <v>929</v>
      </c>
      <c r="CD23" t="s">
        <v>799</v>
      </c>
      <c r="CE23" t="str">
        <f>"0.000658"</f>
        <v>0.000658</v>
      </c>
      <c r="CF23" t="s">
        <v>734</v>
      </c>
      <c r="CG23" t="s">
        <v>912</v>
      </c>
      <c r="CH23" t="str">
        <f>"0.000296"</f>
        <v>0.000296</v>
      </c>
      <c r="CI23" t="s">
        <v>435</v>
      </c>
      <c r="CJ23" t="s">
        <v>588</v>
      </c>
      <c r="CK23" t="str">
        <f>"-0.000660"</f>
        <v>-0.000660</v>
      </c>
      <c r="CL23" t="s">
        <v>1014</v>
      </c>
      <c r="CM23" t="s">
        <v>1196</v>
      </c>
      <c r="CN23" t="str">
        <f>"-0.000817"</f>
        <v>-0.000817</v>
      </c>
      <c r="CO23" t="s">
        <v>639</v>
      </c>
      <c r="CP23" t="s">
        <v>817</v>
      </c>
      <c r="CQ23" t="str">
        <f>"-0.000531"</f>
        <v>-0.000531</v>
      </c>
      <c r="CR23" t="s">
        <v>1014</v>
      </c>
      <c r="CS23" t="s">
        <v>938</v>
      </c>
      <c r="CT23" t="str">
        <f>"0.000425"</f>
        <v>0.000425</v>
      </c>
      <c r="CU23" t="s">
        <v>435</v>
      </c>
      <c r="CV23" t="s">
        <v>912</v>
      </c>
      <c r="CW23" t="str">
        <f>"0.000435"</f>
        <v>0.000435</v>
      </c>
      <c r="CX23" t="s">
        <v>935</v>
      </c>
      <c r="CY23" t="s">
        <v>912</v>
      </c>
      <c r="CZ23" t="str">
        <f>"-0.000102"</f>
        <v>-0.000102</v>
      </c>
      <c r="DA23" t="s">
        <v>681</v>
      </c>
      <c r="DB23" t="s">
        <v>918</v>
      </c>
      <c r="DC23" t="str">
        <f>"-0.000245"</f>
        <v>-0.000245</v>
      </c>
      <c r="DD23" t="s">
        <v>652</v>
      </c>
      <c r="DE23" t="s">
        <v>1067</v>
      </c>
      <c r="DF23" t="str">
        <f>"-0.000443"</f>
        <v>-0.000443</v>
      </c>
      <c r="DG23" t="s">
        <v>933</v>
      </c>
      <c r="DH23" t="s">
        <v>936</v>
      </c>
      <c r="DI23" t="str">
        <f>"-0.000349"</f>
        <v>-0.000349</v>
      </c>
      <c r="DJ23" t="s">
        <v>1014</v>
      </c>
      <c r="DK23" t="s">
        <v>675</v>
      </c>
      <c r="DL23" t="str">
        <f>"-0.000232"</f>
        <v>-0.000232</v>
      </c>
      <c r="DM23" t="s">
        <v>652</v>
      </c>
      <c r="DN23" t="s">
        <v>1067</v>
      </c>
      <c r="DO23" t="str">
        <f>"0.000234"</f>
        <v>0.000234</v>
      </c>
      <c r="DP23" t="s">
        <v>674</v>
      </c>
      <c r="DQ23" t="s">
        <v>913</v>
      </c>
      <c r="DR23" t="str">
        <f>"0.000426"</f>
        <v>0.000426</v>
      </c>
      <c r="DS23" t="s">
        <v>935</v>
      </c>
      <c r="DT23" t="s">
        <v>800</v>
      </c>
      <c r="DU23" t="str">
        <f>"-0.0000132"</f>
        <v>-0.0000132</v>
      </c>
      <c r="DV23" t="s">
        <v>916</v>
      </c>
      <c r="DW23" t="s">
        <v>918</v>
      </c>
      <c r="DX23" t="str">
        <f>"0.000107"</f>
        <v>0.000107</v>
      </c>
      <c r="DY23" t="s">
        <v>932</v>
      </c>
      <c r="DZ23" t="s">
        <v>588</v>
      </c>
      <c r="EA23" t="str">
        <f>"0.000342"</f>
        <v>0.000342</v>
      </c>
      <c r="EB23" t="s">
        <v>636</v>
      </c>
      <c r="EC23" t="s">
        <v>912</v>
      </c>
      <c r="ED23" t="str">
        <f>"-0.000295"</f>
        <v>-0.000295</v>
      </c>
      <c r="EE23" t="s">
        <v>652</v>
      </c>
      <c r="EF23" t="s">
        <v>675</v>
      </c>
      <c r="EG23" t="str">
        <f>"0.0000879"</f>
        <v>0.0000879</v>
      </c>
      <c r="EH23" t="s">
        <v>932</v>
      </c>
      <c r="EI23" t="s">
        <v>588</v>
      </c>
      <c r="EJ23" t="str">
        <f>"0.000500"</f>
        <v>0.000500</v>
      </c>
      <c r="EK23" t="s">
        <v>935</v>
      </c>
      <c r="EL23" t="s">
        <v>685</v>
      </c>
      <c r="EM23" t="str">
        <f>"0.000520"</f>
        <v>0.000520</v>
      </c>
      <c r="EN23" t="s">
        <v>935</v>
      </c>
      <c r="EO23" t="s">
        <v>685</v>
      </c>
      <c r="EP23" t="str">
        <f>"0.000394"</f>
        <v>0.000394</v>
      </c>
      <c r="EQ23" t="s">
        <v>636</v>
      </c>
      <c r="ER23" t="s">
        <v>800</v>
      </c>
      <c r="ES23" t="str">
        <f>"0.000393"</f>
        <v>0.000393</v>
      </c>
      <c r="ET23" t="s">
        <v>636</v>
      </c>
      <c r="EU23" t="s">
        <v>800</v>
      </c>
      <c r="EV23" t="str">
        <f>"0.000207"</f>
        <v>0.000207</v>
      </c>
      <c r="EW23" t="s">
        <v>932</v>
      </c>
      <c r="EX23" t="s">
        <v>913</v>
      </c>
      <c r="EY23" t="str">
        <f>"0.0000463"</f>
        <v>0.0000463</v>
      </c>
      <c r="EZ23" t="s">
        <v>720</v>
      </c>
      <c r="FA23" t="s">
        <v>691</v>
      </c>
      <c r="FB23" t="str">
        <f>"0.000217"</f>
        <v>0.000217</v>
      </c>
      <c r="FC23" t="s">
        <v>932</v>
      </c>
      <c r="FD23" t="s">
        <v>913</v>
      </c>
      <c r="FE23" t="str">
        <f>"0.000101"</f>
        <v>0.000101</v>
      </c>
      <c r="FF23" t="s">
        <v>916</v>
      </c>
      <c r="FG23" t="s">
        <v>691</v>
      </c>
      <c r="FH23" t="str">
        <f>"-0.000599"</f>
        <v>-0.000599</v>
      </c>
      <c r="FI23" t="s">
        <v>1012</v>
      </c>
      <c r="FJ23" t="s">
        <v>936</v>
      </c>
      <c r="FK23" t="str">
        <f>"-0.000213"</f>
        <v>-0.000213</v>
      </c>
      <c r="FL23" t="s">
        <v>1014</v>
      </c>
      <c r="FM23" t="s">
        <v>1083</v>
      </c>
      <c r="FN23" t="str">
        <f>"-0.000185"</f>
        <v>-0.000185</v>
      </c>
      <c r="FO23" t="s">
        <v>1014</v>
      </c>
      <c r="FP23" t="s">
        <v>918</v>
      </c>
      <c r="FQ23" t="str">
        <f>"-0.000154"</f>
        <v>-0.000154</v>
      </c>
      <c r="FR23" t="s">
        <v>1014</v>
      </c>
      <c r="FS23" t="s">
        <v>588</v>
      </c>
      <c r="FT23" t="str">
        <f>"-0.000234"</f>
        <v>-0.000234</v>
      </c>
      <c r="FU23" t="s">
        <v>933</v>
      </c>
      <c r="FV23" t="s">
        <v>918</v>
      </c>
      <c r="FW23" t="str">
        <f>"0.000124"</f>
        <v>0.000124</v>
      </c>
      <c r="FX23" t="s">
        <v>720</v>
      </c>
      <c r="FY23" t="s">
        <v>912</v>
      </c>
      <c r="FZ23" t="str">
        <f>"-0.000133"</f>
        <v>-0.000133</v>
      </c>
      <c r="GA23" t="s">
        <v>1014</v>
      </c>
      <c r="GB23" t="s">
        <v>588</v>
      </c>
      <c r="GC23" t="str">
        <f>"0.000211"</f>
        <v>0.000211</v>
      </c>
      <c r="GD23" t="s">
        <v>916</v>
      </c>
      <c r="GE23" t="s">
        <v>800</v>
      </c>
      <c r="GF23" t="str">
        <f>"0.000434"</f>
        <v>0.000434</v>
      </c>
      <c r="GG23" t="s">
        <v>674</v>
      </c>
      <c r="GH23" t="s">
        <v>799</v>
      </c>
      <c r="GI23" t="str">
        <f>"0.00123"</f>
        <v>0.00123</v>
      </c>
      <c r="GJ23" t="s">
        <v>347</v>
      </c>
      <c r="GK23" t="s">
        <v>917</v>
      </c>
      <c r="GL23" t="str">
        <f>"0.00112"</f>
        <v>0.00112</v>
      </c>
      <c r="GM23" t="s">
        <v>684</v>
      </c>
      <c r="GN23" t="s">
        <v>701</v>
      </c>
      <c r="GO23" t="str">
        <f>"0.00107"</f>
        <v>0.00107</v>
      </c>
      <c r="GP23" t="s">
        <v>734</v>
      </c>
      <c r="GQ23" t="s">
        <v>701</v>
      </c>
      <c r="GR23" t="str">
        <f>"0.000915"</f>
        <v>0.000915</v>
      </c>
      <c r="GS23" t="s">
        <v>707</v>
      </c>
      <c r="GT23" t="s">
        <v>667</v>
      </c>
      <c r="GU23" t="str">
        <f>"0.000930"</f>
        <v>0.000930</v>
      </c>
      <c r="GV23" t="s">
        <v>707</v>
      </c>
      <c r="GW23" t="s">
        <v>797</v>
      </c>
      <c r="GX23" t="str">
        <f>"0.00195*"</f>
        <v>0.00195*</v>
      </c>
      <c r="GY23" t="s">
        <v>722</v>
      </c>
      <c r="GZ23" t="s">
        <v>829</v>
      </c>
      <c r="HA23" t="str">
        <f>"0.00170"</f>
        <v>0.00170</v>
      </c>
      <c r="HB23" t="s">
        <v>1458</v>
      </c>
      <c r="HC23" t="s">
        <v>603</v>
      </c>
      <c r="HD23" t="str">
        <f>"-0.000316"</f>
        <v>-0.000316</v>
      </c>
      <c r="HE23" t="s">
        <v>945</v>
      </c>
      <c r="HF23" t="s">
        <v>691</v>
      </c>
      <c r="HG23" t="str">
        <f>"0.000240"</f>
        <v>0.000240</v>
      </c>
      <c r="HH23" t="s">
        <v>933</v>
      </c>
      <c r="HI23" t="s">
        <v>667</v>
      </c>
      <c r="HJ23" t="str">
        <f>"0.000463"</f>
        <v>0.000463</v>
      </c>
      <c r="HK23" t="s">
        <v>652</v>
      </c>
      <c r="HL23" t="s">
        <v>701</v>
      </c>
      <c r="HM23" t="str">
        <f>"0.000253"</f>
        <v>0.000253</v>
      </c>
      <c r="HN23" t="s">
        <v>1014</v>
      </c>
      <c r="HO23" t="s">
        <v>906</v>
      </c>
      <c r="HP23" t="str">
        <f>"0.000363"</f>
        <v>0.000363</v>
      </c>
      <c r="HQ23" t="s">
        <v>681</v>
      </c>
      <c r="HR23" t="s">
        <v>906</v>
      </c>
      <c r="HS23" t="str">
        <f>"0.000835"</f>
        <v>0.000835</v>
      </c>
      <c r="HT23" t="s">
        <v>636</v>
      </c>
      <c r="HU23" t="s">
        <v>716</v>
      </c>
      <c r="HV23" t="str">
        <f>"0.000723"</f>
        <v>0.000723</v>
      </c>
      <c r="HW23" t="s">
        <v>674</v>
      </c>
      <c r="HX23" t="s">
        <v>716</v>
      </c>
      <c r="HY23" t="str">
        <f>"0.000563"</f>
        <v>0.000563</v>
      </c>
      <c r="HZ23" t="s">
        <v>916</v>
      </c>
      <c r="IA23" t="s">
        <v>797</v>
      </c>
      <c r="IB23" t="str">
        <f>"0.0000952"</f>
        <v>0.0000952</v>
      </c>
      <c r="IC23" t="s">
        <v>933</v>
      </c>
      <c r="ID23" t="s">
        <v>799</v>
      </c>
      <c r="IE23" t="str">
        <f>"0.00189"</f>
        <v>0.00189</v>
      </c>
      <c r="IF23" t="s">
        <v>347</v>
      </c>
      <c r="IG23" t="s">
        <v>698</v>
      </c>
      <c r="IH23" t="str">
        <f>"0.00241"</f>
        <v>0.00241</v>
      </c>
      <c r="II23" t="s">
        <v>738</v>
      </c>
      <c r="IJ23" t="s">
        <v>713</v>
      </c>
      <c r="IK23" t="str">
        <f>"0.00258*"</f>
        <v>0.00258*</v>
      </c>
      <c r="IL23" t="s">
        <v>722</v>
      </c>
      <c r="IM23" t="s">
        <v>1467</v>
      </c>
      <c r="IN23" t="str">
        <f>"0.00117"</f>
        <v>0.00117</v>
      </c>
      <c r="IO23" t="s">
        <v>674</v>
      </c>
      <c r="IP23" t="s">
        <v>829</v>
      </c>
      <c r="IQ23" t="str">
        <f>"-0.00000126"</f>
        <v>-0.00000126</v>
      </c>
      <c r="IR23" t="s">
        <v>783</v>
      </c>
      <c r="IS23" t="s">
        <v>797</v>
      </c>
      <c r="IT23" t="str">
        <f>"-0.00101"</f>
        <v>-0.00101</v>
      </c>
      <c r="IU23" t="s">
        <v>650</v>
      </c>
      <c r="IV23" t="s">
        <v>913</v>
      </c>
      <c r="IW23" t="str">
        <f>"0.000137"</f>
        <v>0.000137</v>
      </c>
      <c r="IX23" t="s">
        <v>911</v>
      </c>
      <c r="IY23" t="s">
        <v>701</v>
      </c>
      <c r="IZ23" t="str">
        <f>"-0.000203"</f>
        <v>-0.000203</v>
      </c>
      <c r="JA23" t="s">
        <v>711</v>
      </c>
      <c r="JB23" t="s">
        <v>921</v>
      </c>
      <c r="JC23" t="str">
        <f>"0.000703"</f>
        <v>0.000703</v>
      </c>
      <c r="JD23" t="s">
        <v>681</v>
      </c>
      <c r="JE23" t="s">
        <v>692</v>
      </c>
      <c r="JF23" t="str">
        <f>"0.000649"</f>
        <v>0.000649</v>
      </c>
      <c r="JG23" t="s">
        <v>1012</v>
      </c>
      <c r="JH23" t="s">
        <v>829</v>
      </c>
      <c r="JI23" t="str">
        <f>"0.000924"</f>
        <v>0.000924</v>
      </c>
      <c r="JJ23" t="s">
        <v>717</v>
      </c>
      <c r="JK23" t="s">
        <v>696</v>
      </c>
      <c r="JL23" t="str">
        <f>"-0.0000319"</f>
        <v>-0.0000319</v>
      </c>
      <c r="JM23" t="s">
        <v>711</v>
      </c>
      <c r="JN23" t="s">
        <v>797</v>
      </c>
      <c r="JO23" t="str">
        <f>"-0.000317"</f>
        <v>-0.000317</v>
      </c>
      <c r="JP23" t="s">
        <v>922</v>
      </c>
      <c r="JQ23" t="s">
        <v>921</v>
      </c>
      <c r="JR23" t="str">
        <f>"-0.00107"</f>
        <v>-0.00107</v>
      </c>
      <c r="JS23" t="s">
        <v>910</v>
      </c>
      <c r="JT23" t="s">
        <v>797</v>
      </c>
      <c r="JU23" t="str">
        <f>"-0.00315"</f>
        <v>-0.00315</v>
      </c>
      <c r="JV23" t="s">
        <v>967</v>
      </c>
      <c r="JW23" t="s">
        <v>709</v>
      </c>
      <c r="JX23" t="str">
        <f>"-0.00253"</f>
        <v>-0.00253</v>
      </c>
      <c r="JY23" t="s">
        <v>908</v>
      </c>
      <c r="JZ23" t="s">
        <v>918</v>
      </c>
      <c r="KA23" t="str">
        <f>"-0.00288"</f>
        <v>-0.00288</v>
      </c>
      <c r="KB23" t="s">
        <v>1117</v>
      </c>
      <c r="KC23" t="s">
        <v>1083</v>
      </c>
      <c r="KD23" t="str">
        <f>"-0.00188"</f>
        <v>-0.00188</v>
      </c>
      <c r="KE23" t="s">
        <v>1010</v>
      </c>
      <c r="KF23" t="s">
        <v>906</v>
      </c>
      <c r="KG23" t="str">
        <f>"-0.00139"</f>
        <v>-0.00139</v>
      </c>
      <c r="KH23" t="s">
        <v>3270</v>
      </c>
      <c r="KI23" t="s">
        <v>928</v>
      </c>
      <c r="KJ23" t="str">
        <f>"0.00401"</f>
        <v>0.00401</v>
      </c>
      <c r="KK23" t="s">
        <v>920</v>
      </c>
      <c r="KL23" t="s">
        <v>651</v>
      </c>
    </row>
    <row r="24" spans="1:298" x14ac:dyDescent="0.2">
      <c r="A24" t="str">
        <f>"formal"</f>
        <v>formal</v>
      </c>
      <c r="B24" t="str">
        <f>"-0.139***"</f>
        <v>-0.139***</v>
      </c>
      <c r="C24" t="s">
        <v>3594</v>
      </c>
      <c r="D24" t="s">
        <v>3595</v>
      </c>
      <c r="E24" t="str">
        <f>"-0.126***"</f>
        <v>-0.126***</v>
      </c>
      <c r="F24" t="s">
        <v>3596</v>
      </c>
      <c r="G24" t="s">
        <v>3597</v>
      </c>
      <c r="H24" t="str">
        <f>"0.00623"</f>
        <v>0.00623</v>
      </c>
      <c r="I24" t="s">
        <v>3598</v>
      </c>
      <c r="J24" t="s">
        <v>1645</v>
      </c>
      <c r="K24" t="str">
        <f>"-0.148***"</f>
        <v>-0.148***</v>
      </c>
      <c r="L24" t="s">
        <v>3599</v>
      </c>
      <c r="M24" t="s">
        <v>3600</v>
      </c>
      <c r="N24" t="str">
        <f>"0.130***"</f>
        <v>0.130***</v>
      </c>
      <c r="O24" t="s">
        <v>3601</v>
      </c>
      <c r="P24" t="s">
        <v>3602</v>
      </c>
      <c r="Q24" t="str">
        <f>"-0.0634***"</f>
        <v>-0.0634***</v>
      </c>
      <c r="R24" t="s">
        <v>3354</v>
      </c>
      <c r="S24" t="s">
        <v>3603</v>
      </c>
      <c r="T24" t="str">
        <f>"0.0521***"</f>
        <v>0.0521***</v>
      </c>
      <c r="U24" t="s">
        <v>3604</v>
      </c>
      <c r="V24" t="s">
        <v>3187</v>
      </c>
      <c r="W24" t="str">
        <f>"0.0425***"</f>
        <v>0.0425***</v>
      </c>
      <c r="X24" t="s">
        <v>1652</v>
      </c>
      <c r="Y24" t="s">
        <v>1899</v>
      </c>
      <c r="Z24" t="str">
        <f>"0.0149"</f>
        <v>0.0149</v>
      </c>
      <c r="AA24" t="s">
        <v>636</v>
      </c>
      <c r="AB24" t="s">
        <v>1730</v>
      </c>
      <c r="AC24" t="str">
        <f>"0.141***"</f>
        <v>0.141***</v>
      </c>
      <c r="AD24" t="s">
        <v>3235</v>
      </c>
      <c r="AE24" t="s">
        <v>3605</v>
      </c>
      <c r="AF24" t="str">
        <f>"0.181***"</f>
        <v>0.181***</v>
      </c>
      <c r="AG24" t="s">
        <v>3606</v>
      </c>
      <c r="AH24" t="s">
        <v>3607</v>
      </c>
      <c r="AI24" t="str">
        <f>"0.0932***"</f>
        <v>0.0932***</v>
      </c>
      <c r="AJ24" t="s">
        <v>3608</v>
      </c>
      <c r="AK24" t="s">
        <v>1809</v>
      </c>
      <c r="AL24" t="str">
        <f>"0.144***"</f>
        <v>0.144***</v>
      </c>
      <c r="AM24" t="s">
        <v>3609</v>
      </c>
      <c r="AN24" t="s">
        <v>3610</v>
      </c>
      <c r="AO24" t="str">
        <f>"0.138***"</f>
        <v>0.138***</v>
      </c>
      <c r="AP24" t="s">
        <v>3611</v>
      </c>
      <c r="AQ24" t="s">
        <v>3231</v>
      </c>
      <c r="AR24" t="str">
        <f>"0.120***"</f>
        <v>0.120***</v>
      </c>
      <c r="AS24" t="s">
        <v>2054</v>
      </c>
      <c r="AT24" t="s">
        <v>3612</v>
      </c>
      <c r="AU24" t="str">
        <f>"0.0878***"</f>
        <v>0.0878***</v>
      </c>
      <c r="AV24" t="s">
        <v>3613</v>
      </c>
      <c r="AW24" t="s">
        <v>346</v>
      </c>
      <c r="AX24" t="str">
        <f>"0.0661***"</f>
        <v>0.0661***</v>
      </c>
      <c r="AY24" t="s">
        <v>3614</v>
      </c>
      <c r="AZ24" t="s">
        <v>1592</v>
      </c>
      <c r="BA24" t="str">
        <f>"0.0569***"</f>
        <v>0.0569***</v>
      </c>
      <c r="BB24" t="s">
        <v>1894</v>
      </c>
      <c r="BC24" t="s">
        <v>2904</v>
      </c>
      <c r="BD24" t="str">
        <f>"0.0438***"</f>
        <v>0.0438***</v>
      </c>
      <c r="BE24" t="s">
        <v>1961</v>
      </c>
      <c r="BF24" t="s">
        <v>2892</v>
      </c>
      <c r="BG24" t="str">
        <f>"0.0386***"</f>
        <v>0.0386***</v>
      </c>
      <c r="BH24" t="s">
        <v>1933</v>
      </c>
      <c r="BI24" t="s">
        <v>3615</v>
      </c>
      <c r="BJ24" t="str">
        <f>"0.0347***"</f>
        <v>0.0347***</v>
      </c>
      <c r="BK24" t="s">
        <v>3616</v>
      </c>
      <c r="BL24" t="s">
        <v>3617</v>
      </c>
      <c r="BM24" t="str">
        <f>"0.0223***"</f>
        <v>0.0223***</v>
      </c>
      <c r="BN24" t="s">
        <v>1482</v>
      </c>
      <c r="BO24" t="s">
        <v>551</v>
      </c>
      <c r="BP24" t="str">
        <f>"0.0290***"</f>
        <v>0.0290***</v>
      </c>
      <c r="BQ24" t="s">
        <v>1654</v>
      </c>
      <c r="BR24" t="s">
        <v>1230</v>
      </c>
      <c r="BS24" t="str">
        <f>"0.0370***"</f>
        <v>0.0370***</v>
      </c>
      <c r="BT24" t="s">
        <v>1638</v>
      </c>
      <c r="BU24" t="s">
        <v>3450</v>
      </c>
      <c r="BV24" t="str">
        <f>"0.0430***"</f>
        <v>0.0430***</v>
      </c>
      <c r="BW24" t="s">
        <v>3618</v>
      </c>
      <c r="BX24" t="s">
        <v>3619</v>
      </c>
      <c r="BY24" t="str">
        <f>"0.0443***"</f>
        <v>0.0443***</v>
      </c>
      <c r="BZ24" t="s">
        <v>3454</v>
      </c>
      <c r="CA24" t="s">
        <v>2892</v>
      </c>
      <c r="CB24" t="str">
        <f>"0.0403***"</f>
        <v>0.0403***</v>
      </c>
      <c r="CC24" t="s">
        <v>1210</v>
      </c>
      <c r="CD24" t="s">
        <v>3337</v>
      </c>
      <c r="CE24" t="str">
        <f>"0.0414***"</f>
        <v>0.0414***</v>
      </c>
      <c r="CF24" t="s">
        <v>1624</v>
      </c>
      <c r="CG24" t="s">
        <v>3620</v>
      </c>
      <c r="CH24" t="str">
        <f>"0.0367***"</f>
        <v>0.0367***</v>
      </c>
      <c r="CI24" t="s">
        <v>3621</v>
      </c>
      <c r="CJ24" t="s">
        <v>3622</v>
      </c>
      <c r="CK24" t="str">
        <f>"0.0319***"</f>
        <v>0.0319***</v>
      </c>
      <c r="CL24" t="s">
        <v>1644</v>
      </c>
      <c r="CM24" t="s">
        <v>3623</v>
      </c>
      <c r="CN24" t="str">
        <f>"0.0397***"</f>
        <v>0.0397***</v>
      </c>
      <c r="CO24" t="s">
        <v>2853</v>
      </c>
      <c r="CP24" t="s">
        <v>3624</v>
      </c>
      <c r="CQ24" t="str">
        <f>"0.0322***"</f>
        <v>0.0322***</v>
      </c>
      <c r="CR24" t="s">
        <v>1957</v>
      </c>
      <c r="CS24" t="s">
        <v>3543</v>
      </c>
      <c r="CT24" t="str">
        <f>"0.0260***"</f>
        <v>0.0260***</v>
      </c>
      <c r="CU24" t="s">
        <v>1694</v>
      </c>
      <c r="CV24" t="s">
        <v>3625</v>
      </c>
      <c r="CW24" t="str">
        <f>"0.0248***"</f>
        <v>0.0248***</v>
      </c>
      <c r="CX24" t="s">
        <v>3626</v>
      </c>
      <c r="CY24" t="s">
        <v>968</v>
      </c>
      <c r="CZ24" t="str">
        <f>"0.0290***"</f>
        <v>0.0290***</v>
      </c>
      <c r="DA24" t="s">
        <v>3153</v>
      </c>
      <c r="DB24" t="s">
        <v>3547</v>
      </c>
      <c r="DC24" t="str">
        <f>"0.0249***"</f>
        <v>0.0249***</v>
      </c>
      <c r="DD24" t="s">
        <v>1677</v>
      </c>
      <c r="DE24" t="s">
        <v>3627</v>
      </c>
      <c r="DF24" t="str">
        <f>"0.0262***"</f>
        <v>0.0262***</v>
      </c>
      <c r="DG24" t="s">
        <v>3628</v>
      </c>
      <c r="DH24" t="s">
        <v>3358</v>
      </c>
      <c r="DI24" t="str">
        <f>"0.0306***"</f>
        <v>0.0306***</v>
      </c>
      <c r="DJ24" t="s">
        <v>3629</v>
      </c>
      <c r="DK24" t="s">
        <v>627</v>
      </c>
      <c r="DL24" t="str">
        <f>"0.0364***"</f>
        <v>0.0364***</v>
      </c>
      <c r="DM24" t="s">
        <v>3630</v>
      </c>
      <c r="DN24" t="s">
        <v>3631</v>
      </c>
      <c r="DO24" t="str">
        <f>"0.0379***"</f>
        <v>0.0379***</v>
      </c>
      <c r="DP24" t="s">
        <v>1982</v>
      </c>
      <c r="DQ24" t="s">
        <v>1049</v>
      </c>
      <c r="DR24" t="str">
        <f>"0.0345***"</f>
        <v>0.0345***</v>
      </c>
      <c r="DS24" t="s">
        <v>3164</v>
      </c>
      <c r="DT24" t="s">
        <v>2870</v>
      </c>
      <c r="DU24" t="str">
        <f>"0.0272***"</f>
        <v>0.0272***</v>
      </c>
      <c r="DV24" t="s">
        <v>2813</v>
      </c>
      <c r="DW24" t="s">
        <v>776</v>
      </c>
      <c r="DX24" t="str">
        <f>"0.0239***"</f>
        <v>0.0239***</v>
      </c>
      <c r="DY24" t="s">
        <v>368</v>
      </c>
      <c r="DZ24" t="s">
        <v>1730</v>
      </c>
      <c r="EA24" t="str">
        <f>"0.0221***"</f>
        <v>0.0221***</v>
      </c>
      <c r="EB24" t="s">
        <v>760</v>
      </c>
      <c r="EC24" t="s">
        <v>1945</v>
      </c>
      <c r="ED24" t="str">
        <f>"0.0306***"</f>
        <v>0.0306***</v>
      </c>
      <c r="EE24" t="s">
        <v>3629</v>
      </c>
      <c r="EF24" t="s">
        <v>3632</v>
      </c>
      <c r="EG24" t="str">
        <f>"0.0308***"</f>
        <v>0.0308***</v>
      </c>
      <c r="EH24" t="s">
        <v>3629</v>
      </c>
      <c r="EI24" t="s">
        <v>3543</v>
      </c>
      <c r="EJ24" t="str">
        <f>"0.0199***"</f>
        <v>0.0199***</v>
      </c>
      <c r="EK24" t="s">
        <v>766</v>
      </c>
      <c r="EL24" t="s">
        <v>1175</v>
      </c>
      <c r="EM24" t="str">
        <f>"0.0200***"</f>
        <v>0.0200***</v>
      </c>
      <c r="EN24" t="s">
        <v>766</v>
      </c>
      <c r="EO24" t="s">
        <v>1952</v>
      </c>
      <c r="EP24" t="str">
        <f>"0.0223***"</f>
        <v>0.0223***</v>
      </c>
      <c r="EQ24" t="s">
        <v>754</v>
      </c>
      <c r="ER24" t="s">
        <v>1688</v>
      </c>
      <c r="ES24" t="str">
        <f>"0.0252***"</f>
        <v>0.0252***</v>
      </c>
      <c r="ET24" t="s">
        <v>1483</v>
      </c>
      <c r="EU24" t="s">
        <v>553</v>
      </c>
      <c r="EV24" t="str">
        <f>"0.0206***"</f>
        <v>0.0206***</v>
      </c>
      <c r="EW24" t="s">
        <v>1542</v>
      </c>
      <c r="EX24" t="s">
        <v>1653</v>
      </c>
      <c r="EY24" t="str">
        <f>"0.0257***"</f>
        <v>0.0257***</v>
      </c>
      <c r="EZ24" t="s">
        <v>770</v>
      </c>
      <c r="FA24" t="s">
        <v>1640</v>
      </c>
      <c r="FB24" t="str">
        <f>"0.0218***"</f>
        <v>0.0218***</v>
      </c>
      <c r="FC24" t="s">
        <v>1538</v>
      </c>
      <c r="FD24" t="s">
        <v>3633</v>
      </c>
      <c r="FE24" t="str">
        <f>"0.0237***"</f>
        <v>0.0237***</v>
      </c>
      <c r="FF24" t="s">
        <v>1478</v>
      </c>
      <c r="FG24" t="s">
        <v>896</v>
      </c>
      <c r="FH24" t="str">
        <f>"0.0240***"</f>
        <v>0.0240***</v>
      </c>
      <c r="FI24" t="s">
        <v>1478</v>
      </c>
      <c r="FJ24" t="s">
        <v>3625</v>
      </c>
      <c r="FK24" t="str">
        <f>"0.0272***"</f>
        <v>0.0272***</v>
      </c>
      <c r="FL24" t="s">
        <v>1521</v>
      </c>
      <c r="FM24" t="s">
        <v>3634</v>
      </c>
      <c r="FN24" t="str">
        <f>"0.0305***"</f>
        <v>0.0305***</v>
      </c>
      <c r="FO24" t="s">
        <v>3153</v>
      </c>
      <c r="FP24" t="s">
        <v>2889</v>
      </c>
      <c r="FQ24" t="str">
        <f>"0.0266***"</f>
        <v>0.0266***</v>
      </c>
      <c r="FR24" t="s">
        <v>3635</v>
      </c>
      <c r="FS24" t="s">
        <v>3636</v>
      </c>
      <c r="FT24" t="str">
        <f>"0.0300***"</f>
        <v>0.0300***</v>
      </c>
      <c r="FU24" t="s">
        <v>1733</v>
      </c>
      <c r="FV24" t="s">
        <v>3346</v>
      </c>
      <c r="FW24" t="str">
        <f>"0.0246***"</f>
        <v>0.0246***</v>
      </c>
      <c r="FX24" t="s">
        <v>1666</v>
      </c>
      <c r="FY24" t="s">
        <v>2855</v>
      </c>
      <c r="FZ24" t="str">
        <f>"0.0231***"</f>
        <v>0.0231***</v>
      </c>
      <c r="GA24" t="s">
        <v>1062</v>
      </c>
      <c r="GB24" t="s">
        <v>3625</v>
      </c>
      <c r="GC24" t="str">
        <f>"0.0209***"</f>
        <v>0.0209***</v>
      </c>
      <c r="GD24" t="s">
        <v>2817</v>
      </c>
      <c r="GE24" t="s">
        <v>1688</v>
      </c>
      <c r="GF24" t="str">
        <f>"0.0181***"</f>
        <v>0.0181***</v>
      </c>
      <c r="GG24" t="s">
        <v>775</v>
      </c>
      <c r="GH24" t="s">
        <v>1948</v>
      </c>
      <c r="GI24" t="str">
        <f>"0.0153***"</f>
        <v>0.0153***</v>
      </c>
      <c r="GJ24" t="s">
        <v>2822</v>
      </c>
      <c r="GK24" t="s">
        <v>1214</v>
      </c>
      <c r="GL24" t="str">
        <f>"0.00978*"</f>
        <v>0.00978*</v>
      </c>
      <c r="GM24" t="s">
        <v>924</v>
      </c>
      <c r="GN24" t="s">
        <v>984</v>
      </c>
      <c r="GO24" t="str">
        <f>"0.0140**"</f>
        <v>0.0140**</v>
      </c>
      <c r="GP24" t="s">
        <v>1028</v>
      </c>
      <c r="GQ24" t="s">
        <v>631</v>
      </c>
      <c r="GR24" t="str">
        <f>"0.0199***"</f>
        <v>0.0199***</v>
      </c>
      <c r="GS24" t="s">
        <v>3637</v>
      </c>
      <c r="GT24" t="s">
        <v>1653</v>
      </c>
      <c r="GU24" t="str">
        <f>"0.0248***"</f>
        <v>0.0248***</v>
      </c>
      <c r="GV24" t="s">
        <v>3638</v>
      </c>
      <c r="GW24" t="s">
        <v>1640</v>
      </c>
      <c r="GX24" t="str">
        <f>"0.0299***"</f>
        <v>0.0299***</v>
      </c>
      <c r="GY24" t="s">
        <v>1659</v>
      </c>
      <c r="GZ24" t="s">
        <v>3346</v>
      </c>
      <c r="HA24" t="str">
        <f>"0.0332***"</f>
        <v>0.0332***</v>
      </c>
      <c r="HB24" t="s">
        <v>3629</v>
      </c>
      <c r="HC24" t="s">
        <v>3150</v>
      </c>
      <c r="HD24" t="str">
        <f>"0.0353***"</f>
        <v>0.0353***</v>
      </c>
      <c r="HE24" t="s">
        <v>1654</v>
      </c>
      <c r="HF24" t="s">
        <v>3639</v>
      </c>
      <c r="HG24" t="str">
        <f>"0.0366***"</f>
        <v>0.0366***</v>
      </c>
      <c r="HH24" t="s">
        <v>3640</v>
      </c>
      <c r="HI24" t="s">
        <v>486</v>
      </c>
      <c r="HJ24" t="str">
        <f>"0.0271***"</f>
        <v>0.0271***</v>
      </c>
      <c r="HK24" t="s">
        <v>3267</v>
      </c>
      <c r="HL24" t="s">
        <v>1038</v>
      </c>
      <c r="HM24" t="str">
        <f>"0.0392***"</f>
        <v>0.0392***</v>
      </c>
      <c r="HN24" t="s">
        <v>319</v>
      </c>
      <c r="HO24" t="s">
        <v>2867</v>
      </c>
      <c r="HP24" t="str">
        <f>"0.0405***"</f>
        <v>0.0405***</v>
      </c>
      <c r="HQ24" t="s">
        <v>3641</v>
      </c>
      <c r="HR24" t="s">
        <v>3642</v>
      </c>
      <c r="HS24" t="str">
        <f>"0.0333***"</f>
        <v>0.0333***</v>
      </c>
      <c r="HT24" t="s">
        <v>3162</v>
      </c>
      <c r="HU24" t="s">
        <v>1149</v>
      </c>
      <c r="HV24" t="str">
        <f>"0.0236***"</f>
        <v>0.0236***</v>
      </c>
      <c r="HW24" t="s">
        <v>3643</v>
      </c>
      <c r="HX24" t="s">
        <v>1939</v>
      </c>
      <c r="HY24" t="str">
        <f>"0.0349***"</f>
        <v>0.0349***</v>
      </c>
      <c r="HZ24" t="s">
        <v>3537</v>
      </c>
      <c r="IA24" t="s">
        <v>3620</v>
      </c>
      <c r="IB24" t="str">
        <f>"0.0197**"</f>
        <v>0.0197**</v>
      </c>
      <c r="IC24" t="s">
        <v>1491</v>
      </c>
      <c r="ID24" t="s">
        <v>3627</v>
      </c>
      <c r="IE24" t="str">
        <f>"0.0206**"</f>
        <v>0.0206**</v>
      </c>
      <c r="IF24" t="s">
        <v>1556</v>
      </c>
      <c r="IG24" t="s">
        <v>1230</v>
      </c>
      <c r="IH24" t="str">
        <f>"0.0241***"</f>
        <v>0.0241***</v>
      </c>
      <c r="II24" t="s">
        <v>1493</v>
      </c>
      <c r="IJ24" t="s">
        <v>1637</v>
      </c>
      <c r="IK24" t="str">
        <f>"0.0260***"</f>
        <v>0.0260***</v>
      </c>
      <c r="IL24" t="s">
        <v>1727</v>
      </c>
      <c r="IM24" t="s">
        <v>1928</v>
      </c>
      <c r="IN24" t="str">
        <f>"0.0201**"</f>
        <v>0.0201**</v>
      </c>
      <c r="IO24" t="s">
        <v>1028</v>
      </c>
      <c r="IP24" t="s">
        <v>3644</v>
      </c>
      <c r="IQ24" t="str">
        <f>"0.0249**"</f>
        <v>0.0249**</v>
      </c>
      <c r="IR24" t="s">
        <v>1729</v>
      </c>
      <c r="IS24" t="s">
        <v>3143</v>
      </c>
      <c r="IT24" t="str">
        <f>"0.0140"</f>
        <v>0.0140</v>
      </c>
      <c r="IU24" t="s">
        <v>700</v>
      </c>
      <c r="IV24" t="s">
        <v>3645</v>
      </c>
      <c r="IW24" t="str">
        <f>"0.00616"</f>
        <v>0.00616</v>
      </c>
      <c r="IX24" t="s">
        <v>831</v>
      </c>
      <c r="IY24" t="s">
        <v>1678</v>
      </c>
      <c r="IZ24" t="str">
        <f>"0.00231"</f>
        <v>0.00231</v>
      </c>
      <c r="JA24" t="s">
        <v>3646</v>
      </c>
      <c r="JB24" t="s">
        <v>1475</v>
      </c>
      <c r="JC24" t="str">
        <f>"0.0165*"</f>
        <v>0.0165*</v>
      </c>
      <c r="JD24" t="s">
        <v>719</v>
      </c>
      <c r="JE24" t="s">
        <v>556</v>
      </c>
      <c r="JF24" t="str">
        <f>"0.0197"</f>
        <v>0.0197</v>
      </c>
      <c r="JG24" t="s">
        <v>738</v>
      </c>
      <c r="JH24" t="s">
        <v>1038</v>
      </c>
      <c r="JI24" t="str">
        <f>"0.00769"</f>
        <v>0.00769</v>
      </c>
      <c r="JJ24" t="s">
        <v>2833</v>
      </c>
      <c r="JK24" t="s">
        <v>546</v>
      </c>
      <c r="JL24" t="str">
        <f>"0.0182"</f>
        <v>0.0182</v>
      </c>
      <c r="JM24" t="s">
        <v>930</v>
      </c>
      <c r="JN24" t="s">
        <v>1937</v>
      </c>
      <c r="JO24" t="str">
        <f>"0.00982"</f>
        <v>0.00982</v>
      </c>
      <c r="JP24" t="s">
        <v>1708</v>
      </c>
      <c r="JQ24" t="s">
        <v>1127</v>
      </c>
      <c r="JR24" t="str">
        <f>"0.0138"</f>
        <v>0.0138</v>
      </c>
      <c r="JS24" t="s">
        <v>3300</v>
      </c>
      <c r="JT24" t="s">
        <v>1038</v>
      </c>
      <c r="JU24" t="str">
        <f>"0.0263*"</f>
        <v>0.0263*</v>
      </c>
      <c r="JV24" t="s">
        <v>730</v>
      </c>
      <c r="JW24" t="s">
        <v>1610</v>
      </c>
      <c r="JX24" t="str">
        <f>"0.0199"</f>
        <v>0.0199</v>
      </c>
      <c r="JY24" t="s">
        <v>3299</v>
      </c>
      <c r="JZ24" t="s">
        <v>901</v>
      </c>
      <c r="KA24" t="str">
        <f>"0.0153"</f>
        <v>0.0153</v>
      </c>
      <c r="KB24" t="s">
        <v>1102</v>
      </c>
      <c r="KC24" t="s">
        <v>617</v>
      </c>
      <c r="KD24" t="str">
        <f>"-0.00665"</f>
        <v>-0.00665</v>
      </c>
      <c r="KE24" t="s">
        <v>894</v>
      </c>
      <c r="KF24" t="s">
        <v>2860</v>
      </c>
      <c r="KG24" t="str">
        <f>"0.0162"</f>
        <v>0.0162</v>
      </c>
      <c r="KH24" t="s">
        <v>3587</v>
      </c>
      <c r="KI24" t="s">
        <v>3647</v>
      </c>
      <c r="KJ24" t="str">
        <f>"0.0152"</f>
        <v>0.0152</v>
      </c>
      <c r="KK24" t="s">
        <v>3281</v>
      </c>
      <c r="KL24" t="s">
        <v>3648</v>
      </c>
    </row>
    <row r="25" spans="1:298" x14ac:dyDescent="0.2">
      <c r="A25" t="str">
        <f>"Regi√£o"</f>
        <v>Regi√£o</v>
      </c>
      <c r="B25" t="str">
        <f>"0.0364***"</f>
        <v>0.0364***</v>
      </c>
      <c r="C25" t="s">
        <v>3158</v>
      </c>
      <c r="D25" t="s">
        <v>1917</v>
      </c>
      <c r="E25" t="str">
        <f>"0.0437***"</f>
        <v>0.0437***</v>
      </c>
      <c r="F25" t="s">
        <v>1204</v>
      </c>
      <c r="G25" t="s">
        <v>1600</v>
      </c>
      <c r="H25" t="str">
        <f>"0.0265***"</f>
        <v>0.0265***</v>
      </c>
      <c r="I25" t="s">
        <v>3296</v>
      </c>
      <c r="J25" t="s">
        <v>3622</v>
      </c>
      <c r="K25" t="str">
        <f>"0.0139*"</f>
        <v>0.0139*</v>
      </c>
      <c r="L25" t="s">
        <v>1464</v>
      </c>
      <c r="M25" t="s">
        <v>1523</v>
      </c>
      <c r="N25" t="str">
        <f>"0.0401***"</f>
        <v>0.0401***</v>
      </c>
      <c r="O25" t="s">
        <v>1687</v>
      </c>
      <c r="P25" t="s">
        <v>1750</v>
      </c>
      <c r="Q25" t="str">
        <f>"0.0341***"</f>
        <v>0.0341***</v>
      </c>
      <c r="R25" t="s">
        <v>1655</v>
      </c>
      <c r="S25" t="s">
        <v>1049</v>
      </c>
      <c r="T25" t="str">
        <f>"0.0274***"</f>
        <v>0.0274***</v>
      </c>
      <c r="U25" t="s">
        <v>368</v>
      </c>
      <c r="V25" t="s">
        <v>1637</v>
      </c>
      <c r="W25" t="str">
        <f>"0.0224***"</f>
        <v>0.0224***</v>
      </c>
      <c r="X25" t="s">
        <v>1542</v>
      </c>
      <c r="Y25" t="s">
        <v>3625</v>
      </c>
      <c r="Z25" t="str">
        <f>"0.0172***"</f>
        <v>0.0172***</v>
      </c>
      <c r="AA25" t="s">
        <v>1471</v>
      </c>
      <c r="AB25" t="s">
        <v>3649</v>
      </c>
      <c r="AC25" t="str">
        <f>"0.0157***"</f>
        <v>0.0157***</v>
      </c>
      <c r="AD25" t="s">
        <v>944</v>
      </c>
      <c r="AE25" t="s">
        <v>1027</v>
      </c>
      <c r="AF25" t="str">
        <f>"0.0120**"</f>
        <v>0.0120**</v>
      </c>
      <c r="AG25" t="s">
        <v>940</v>
      </c>
      <c r="AH25" t="s">
        <v>978</v>
      </c>
      <c r="AI25" t="str">
        <f>"0.00129"</f>
        <v>0.00129</v>
      </c>
      <c r="AJ25" t="s">
        <v>919</v>
      </c>
      <c r="AK25" t="s">
        <v>665</v>
      </c>
      <c r="AL25" t="str">
        <f>"0.0158***"</f>
        <v>0.0158***</v>
      </c>
      <c r="AM25" t="s">
        <v>3296</v>
      </c>
      <c r="AN25" t="s">
        <v>995</v>
      </c>
      <c r="AO25" t="str">
        <f>"0.00135"</f>
        <v>0.00135</v>
      </c>
      <c r="AP25" t="s">
        <v>922</v>
      </c>
      <c r="AQ25" t="s">
        <v>1560</v>
      </c>
      <c r="AR25" t="str">
        <f>"-0.00276"</f>
        <v>-0.00276</v>
      </c>
      <c r="AS25" t="s">
        <v>967</v>
      </c>
      <c r="AT25" t="s">
        <v>675</v>
      </c>
      <c r="AU25" t="str">
        <f>"-0.000125"</f>
        <v>-0.000125</v>
      </c>
      <c r="AV25" t="s">
        <v>650</v>
      </c>
      <c r="AW25" t="s">
        <v>603</v>
      </c>
      <c r="AX25" t="str">
        <f>"-0.00191"</f>
        <v>-0.00191</v>
      </c>
      <c r="AY25" t="s">
        <v>672</v>
      </c>
      <c r="AZ25" t="s">
        <v>1067</v>
      </c>
      <c r="BA25" t="str">
        <f>"0.00147"</f>
        <v>0.00147</v>
      </c>
      <c r="BB25" t="s">
        <v>720</v>
      </c>
      <c r="BC25" t="s">
        <v>605</v>
      </c>
      <c r="BD25" t="str">
        <f>"-0.00246"</f>
        <v>-0.00246</v>
      </c>
      <c r="BE25" t="s">
        <v>1002</v>
      </c>
      <c r="BF25" t="s">
        <v>802</v>
      </c>
      <c r="BG25" t="str">
        <f>"-0.00390**"</f>
        <v>-0.00390**</v>
      </c>
      <c r="BH25" t="s">
        <v>967</v>
      </c>
      <c r="BI25" t="s">
        <v>1086</v>
      </c>
      <c r="BJ25" t="str">
        <f>"-0.00398**"</f>
        <v>-0.00398**</v>
      </c>
      <c r="BK25" t="s">
        <v>967</v>
      </c>
      <c r="BL25" t="s">
        <v>1512</v>
      </c>
      <c r="BM25" t="str">
        <f>"-0.00532***"</f>
        <v>-0.00532***</v>
      </c>
      <c r="BN25" t="s">
        <v>668</v>
      </c>
      <c r="BO25" t="s">
        <v>949</v>
      </c>
      <c r="BP25" t="str">
        <f>"-0.00783***"</f>
        <v>-0.00783***</v>
      </c>
      <c r="BQ25" t="s">
        <v>831</v>
      </c>
      <c r="BR25" t="s">
        <v>1446</v>
      </c>
      <c r="BS25" t="str">
        <f>"-0.00908***"</f>
        <v>-0.00908***</v>
      </c>
      <c r="BT25" t="s">
        <v>1112</v>
      </c>
      <c r="BU25" t="s">
        <v>3650</v>
      </c>
      <c r="BV25" t="str">
        <f>"0.00211"</f>
        <v>0.00211</v>
      </c>
      <c r="BW25" t="s">
        <v>347</v>
      </c>
      <c r="BX25" t="s">
        <v>951</v>
      </c>
      <c r="BY25" t="str">
        <f>"-0.00341*"</f>
        <v>-0.00341*</v>
      </c>
      <c r="BZ25" t="s">
        <v>654</v>
      </c>
      <c r="CA25" t="s">
        <v>810</v>
      </c>
      <c r="CB25" t="str">
        <f>"-0.00337*"</f>
        <v>-0.00337*</v>
      </c>
      <c r="CC25" t="s">
        <v>654</v>
      </c>
      <c r="CD25" t="s">
        <v>704</v>
      </c>
      <c r="CE25" t="str">
        <f>"-0.00576***"</f>
        <v>-0.00576***</v>
      </c>
      <c r="CF25" t="s">
        <v>1717</v>
      </c>
      <c r="CG25" t="s">
        <v>1504</v>
      </c>
      <c r="CH25" t="str">
        <f>"0.00429**"</f>
        <v>0.00429**</v>
      </c>
      <c r="CI25" t="s">
        <v>679</v>
      </c>
      <c r="CJ25" t="s">
        <v>1234</v>
      </c>
      <c r="CK25" t="str">
        <f>"-0.00142"</f>
        <v>-0.00142</v>
      </c>
      <c r="CL25" t="s">
        <v>670</v>
      </c>
      <c r="CM25" t="s">
        <v>1067</v>
      </c>
      <c r="CN25" t="str">
        <f>"-0.000310"</f>
        <v>-0.000310</v>
      </c>
      <c r="CO25" t="s">
        <v>640</v>
      </c>
      <c r="CP25" t="s">
        <v>667</v>
      </c>
      <c r="CQ25" t="str">
        <f>"-0.000816"</f>
        <v>-0.000816</v>
      </c>
      <c r="CR25" t="s">
        <v>650</v>
      </c>
      <c r="CS25" t="s">
        <v>685</v>
      </c>
      <c r="CT25" t="str">
        <f>"0.000198"</f>
        <v>0.000198</v>
      </c>
      <c r="CU25" t="s">
        <v>922</v>
      </c>
      <c r="CV25" t="s">
        <v>690</v>
      </c>
      <c r="CW25" t="str">
        <f>"-0.0000366"</f>
        <v>-0.0000366</v>
      </c>
      <c r="CX25" t="s">
        <v>345</v>
      </c>
      <c r="CY25" t="s">
        <v>907</v>
      </c>
      <c r="CZ25" t="str">
        <f>"0.000183"</f>
        <v>0.000183</v>
      </c>
      <c r="DA25" t="s">
        <v>703</v>
      </c>
      <c r="DB25" t="s">
        <v>829</v>
      </c>
      <c r="DC25" t="str">
        <f>"-0.00407*"</f>
        <v>-0.00407*</v>
      </c>
      <c r="DD25" t="s">
        <v>303</v>
      </c>
      <c r="DE25" t="s">
        <v>1454</v>
      </c>
      <c r="DF25" t="str">
        <f>"-0.00212"</f>
        <v>-0.00212</v>
      </c>
      <c r="DG25" t="s">
        <v>686</v>
      </c>
      <c r="DH25" t="s">
        <v>1083</v>
      </c>
      <c r="DI25" t="str">
        <f>"-0.00447*"</f>
        <v>-0.00447*</v>
      </c>
      <c r="DJ25" t="s">
        <v>948</v>
      </c>
      <c r="DK25" t="s">
        <v>810</v>
      </c>
      <c r="DL25" t="str">
        <f>"0.00375*"</f>
        <v>0.00375*</v>
      </c>
      <c r="DM25" t="s">
        <v>736</v>
      </c>
      <c r="DN25" t="s">
        <v>1004</v>
      </c>
      <c r="DO25" t="str">
        <f>"0.000447"</f>
        <v>0.000447</v>
      </c>
      <c r="DP25" t="s">
        <v>640</v>
      </c>
      <c r="DQ25" t="s">
        <v>671</v>
      </c>
      <c r="DR25" t="str">
        <f>"0.00668***"</f>
        <v>0.00668***</v>
      </c>
      <c r="DS25" t="s">
        <v>1466</v>
      </c>
      <c r="DT25" t="s">
        <v>678</v>
      </c>
      <c r="DU25" t="str">
        <f>"-0.00347"</f>
        <v>-0.00347</v>
      </c>
      <c r="DV25" t="s">
        <v>1450</v>
      </c>
      <c r="DW25" t="s">
        <v>1456</v>
      </c>
      <c r="DX25" t="str">
        <f>"-0.00298"</f>
        <v>-0.00298</v>
      </c>
      <c r="DY25" t="s">
        <v>897</v>
      </c>
      <c r="DZ25" t="s">
        <v>1196</v>
      </c>
      <c r="EA25" t="str">
        <f>"-0.00375*"</f>
        <v>-0.00375*</v>
      </c>
      <c r="EB25" t="s">
        <v>648</v>
      </c>
      <c r="EC25" t="s">
        <v>1455</v>
      </c>
      <c r="ED25" t="str">
        <f>"0.00642***"</f>
        <v>0.00642***</v>
      </c>
      <c r="EE25" t="s">
        <v>1050</v>
      </c>
      <c r="EF25" t="s">
        <v>726</v>
      </c>
      <c r="EG25" t="str">
        <f>"0.000610"</f>
        <v>0.000610</v>
      </c>
      <c r="EH25" t="s">
        <v>640</v>
      </c>
      <c r="EI25" t="s">
        <v>1087</v>
      </c>
      <c r="EJ25" t="str">
        <f>"0.00324"</f>
        <v>0.00324</v>
      </c>
      <c r="EK25" t="s">
        <v>684</v>
      </c>
      <c r="EL25" t="s">
        <v>1013</v>
      </c>
      <c r="EM25" t="str">
        <f>"0.000386"</f>
        <v>0.000386</v>
      </c>
      <c r="EN25" t="s">
        <v>700</v>
      </c>
      <c r="EO25" t="s">
        <v>698</v>
      </c>
      <c r="EP25" t="str">
        <f>"0.00240"</f>
        <v>0.00240</v>
      </c>
      <c r="EQ25" t="s">
        <v>916</v>
      </c>
      <c r="ER25" t="s">
        <v>643</v>
      </c>
      <c r="ES25" t="str">
        <f>"0.00195"</f>
        <v>0.00195</v>
      </c>
      <c r="ET25" t="s">
        <v>933</v>
      </c>
      <c r="EU25" t="s">
        <v>662</v>
      </c>
      <c r="EV25" t="str">
        <f>"0.00149"</f>
        <v>0.00149</v>
      </c>
      <c r="EW25" t="s">
        <v>911</v>
      </c>
      <c r="EX25" t="s">
        <v>669</v>
      </c>
      <c r="EY25" t="str">
        <f>"-0.000746"</f>
        <v>-0.000746</v>
      </c>
      <c r="EZ25" t="s">
        <v>910</v>
      </c>
      <c r="FA25" t="s">
        <v>690</v>
      </c>
      <c r="FB25" t="str">
        <f>"0.000545"</f>
        <v>0.000545</v>
      </c>
      <c r="FC25" t="s">
        <v>919</v>
      </c>
      <c r="FD25" t="s">
        <v>605</v>
      </c>
      <c r="FE25" t="str">
        <f>"-0.00414"</f>
        <v>-0.00414</v>
      </c>
      <c r="FF25" t="s">
        <v>632</v>
      </c>
      <c r="FG25" t="s">
        <v>1487</v>
      </c>
      <c r="FH25" t="str">
        <f>"0.00357"</f>
        <v>0.00357</v>
      </c>
      <c r="FI25" t="s">
        <v>734</v>
      </c>
      <c r="FJ25" t="s">
        <v>733</v>
      </c>
      <c r="FK25" t="str">
        <f>"0.000525"</f>
        <v>0.000525</v>
      </c>
      <c r="FL25" t="s">
        <v>1088</v>
      </c>
      <c r="FM25" t="s">
        <v>925</v>
      </c>
      <c r="FN25" t="str">
        <f>"0.00367"</f>
        <v>0.00367</v>
      </c>
      <c r="FO25" t="s">
        <v>734</v>
      </c>
      <c r="FP25" t="s">
        <v>657</v>
      </c>
      <c r="FQ25" t="str">
        <f>"0.00236"</f>
        <v>0.00236</v>
      </c>
      <c r="FR25" t="s">
        <v>933</v>
      </c>
      <c r="FS25" t="s">
        <v>599</v>
      </c>
      <c r="FT25" t="str">
        <f>"0.00625**"</f>
        <v>0.00625**</v>
      </c>
      <c r="FU25" t="s">
        <v>1020</v>
      </c>
      <c r="FV25" t="s">
        <v>3651</v>
      </c>
      <c r="FW25" t="str">
        <f>"0.000800"</f>
        <v>0.000800</v>
      </c>
      <c r="FX25" t="s">
        <v>650</v>
      </c>
      <c r="FY25" t="s">
        <v>655</v>
      </c>
      <c r="FZ25" t="str">
        <f>"0.00286"</f>
        <v>0.00286</v>
      </c>
      <c r="GA25" t="s">
        <v>652</v>
      </c>
      <c r="GB25" t="s">
        <v>673</v>
      </c>
      <c r="GC25" t="str">
        <f>"0.000965"</f>
        <v>0.000965</v>
      </c>
      <c r="GD25" t="s">
        <v>1088</v>
      </c>
      <c r="GE25" t="s">
        <v>1560</v>
      </c>
      <c r="GF25" t="str">
        <f>"0.00177"</f>
        <v>0.00177</v>
      </c>
      <c r="GG25" t="s">
        <v>920</v>
      </c>
      <c r="GH25" t="s">
        <v>723</v>
      </c>
      <c r="GI25" t="str">
        <f>"0.00242"</f>
        <v>0.00242</v>
      </c>
      <c r="GJ25" t="s">
        <v>717</v>
      </c>
      <c r="GK25" t="s">
        <v>1234</v>
      </c>
      <c r="GL25" t="str">
        <f>"0.00377"</f>
        <v>0.00377</v>
      </c>
      <c r="GM25" t="s">
        <v>734</v>
      </c>
      <c r="GN25" t="s">
        <v>597</v>
      </c>
      <c r="GO25" t="str">
        <f>"-0.00407"</f>
        <v>-0.00407</v>
      </c>
      <c r="GP25" t="s">
        <v>1708</v>
      </c>
      <c r="GQ25" t="s">
        <v>802</v>
      </c>
      <c r="GR25" t="str">
        <f>"-0.00984***"</f>
        <v>-0.00984***</v>
      </c>
      <c r="GS25" t="s">
        <v>3559</v>
      </c>
      <c r="GT25" t="s">
        <v>3652</v>
      </c>
      <c r="GU25" t="str">
        <f>"0.000514"</f>
        <v>0.000514</v>
      </c>
      <c r="GV25" t="s">
        <v>1515</v>
      </c>
      <c r="GW25" t="s">
        <v>789</v>
      </c>
      <c r="GX25" t="str">
        <f>"0.00240"</f>
        <v>0.00240</v>
      </c>
      <c r="GY25" t="s">
        <v>717</v>
      </c>
      <c r="GZ25" t="s">
        <v>1234</v>
      </c>
      <c r="HA25" t="str">
        <f>"0.00619*"</f>
        <v>0.00619*</v>
      </c>
      <c r="HB25" t="s">
        <v>1488</v>
      </c>
      <c r="HC25" t="s">
        <v>1490</v>
      </c>
      <c r="HD25" t="str">
        <f>"0.00340"</f>
        <v>0.00340</v>
      </c>
      <c r="HE25" t="s">
        <v>1012</v>
      </c>
      <c r="HF25" t="s">
        <v>694</v>
      </c>
      <c r="HG25" t="str">
        <f>"0.00505"</f>
        <v>0.00505</v>
      </c>
      <c r="HH25" t="s">
        <v>935</v>
      </c>
      <c r="HI25" t="s">
        <v>946</v>
      </c>
      <c r="HJ25" t="str">
        <f>"0.00663*"</f>
        <v>0.00663*</v>
      </c>
      <c r="HK25" t="s">
        <v>708</v>
      </c>
      <c r="HL25" t="s">
        <v>941</v>
      </c>
      <c r="HM25" t="str">
        <f>"0.00610"</f>
        <v>0.00610</v>
      </c>
      <c r="HN25" t="s">
        <v>738</v>
      </c>
      <c r="HO25" t="s">
        <v>731</v>
      </c>
      <c r="HP25" t="str">
        <f>"0.000140"</f>
        <v>0.000140</v>
      </c>
      <c r="HQ25" t="s">
        <v>1159</v>
      </c>
      <c r="HR25" t="s">
        <v>662</v>
      </c>
      <c r="HS25" t="str">
        <f>"0.00814**"</f>
        <v>0.00814**</v>
      </c>
      <c r="HT25" t="s">
        <v>779</v>
      </c>
      <c r="HU25" t="s">
        <v>1546</v>
      </c>
      <c r="HV25" t="str">
        <f>"-0.00303"</f>
        <v>-0.00303</v>
      </c>
      <c r="HW25" t="s">
        <v>3298</v>
      </c>
      <c r="HX25" t="s">
        <v>701</v>
      </c>
      <c r="HY25" t="str">
        <f>"-0.00549"</f>
        <v>-0.00549</v>
      </c>
      <c r="HZ25" t="s">
        <v>795</v>
      </c>
      <c r="IA25" t="s">
        <v>802</v>
      </c>
      <c r="IB25" t="str">
        <f>"0.0103***"</f>
        <v>0.0103***</v>
      </c>
      <c r="IC25" t="s">
        <v>1018</v>
      </c>
      <c r="ID25" t="s">
        <v>2788</v>
      </c>
      <c r="IE25" t="str">
        <f>"0.0134***"</f>
        <v>0.0134***</v>
      </c>
      <c r="IF25" t="s">
        <v>1557</v>
      </c>
      <c r="IG25" t="s">
        <v>1125</v>
      </c>
      <c r="IH25" t="str">
        <f>"-0.000490"</f>
        <v>-0.000490</v>
      </c>
      <c r="II25" t="s">
        <v>648</v>
      </c>
      <c r="IJ25" t="s">
        <v>643</v>
      </c>
      <c r="IK25" t="str">
        <f>"0.0114**"</f>
        <v>0.0114**</v>
      </c>
      <c r="IL25" t="s">
        <v>940</v>
      </c>
      <c r="IM25" t="s">
        <v>1475</v>
      </c>
      <c r="IN25" t="str">
        <f>"0.00422"</f>
        <v>0.00422</v>
      </c>
      <c r="IO25" t="s">
        <v>677</v>
      </c>
      <c r="IP25" t="s">
        <v>1006</v>
      </c>
      <c r="IQ25" t="str">
        <f>"0.0131**"</f>
        <v>0.0131**</v>
      </c>
      <c r="IR25" t="s">
        <v>1053</v>
      </c>
      <c r="IS25" t="s">
        <v>3653</v>
      </c>
      <c r="IT25" t="str">
        <f>"0.0101*"</f>
        <v>0.0101*</v>
      </c>
      <c r="IU25" t="s">
        <v>679</v>
      </c>
      <c r="IV25" t="s">
        <v>1537</v>
      </c>
      <c r="IW25" t="str">
        <f>"0.0113**"</f>
        <v>0.0113**</v>
      </c>
      <c r="IX25" t="s">
        <v>712</v>
      </c>
      <c r="IY25" t="s">
        <v>2874</v>
      </c>
      <c r="IZ25" t="str">
        <f>"0.00210"</f>
        <v>0.00210</v>
      </c>
      <c r="JA25" t="s">
        <v>1514</v>
      </c>
      <c r="JB25" t="s">
        <v>939</v>
      </c>
      <c r="JC25" t="str">
        <f>"0.0177***"</f>
        <v>0.0177***</v>
      </c>
      <c r="JD25" t="s">
        <v>3263</v>
      </c>
      <c r="JE25" t="s">
        <v>1123</v>
      </c>
      <c r="JF25" t="str">
        <f>"0.0114*"</f>
        <v>0.0114*</v>
      </c>
      <c r="JG25" t="s">
        <v>449</v>
      </c>
      <c r="JH25" t="s">
        <v>3533</v>
      </c>
      <c r="JI25" t="str">
        <f>"0.0159**"</f>
        <v>0.0159**</v>
      </c>
      <c r="JJ25" t="s">
        <v>3297</v>
      </c>
      <c r="JK25" t="s">
        <v>276</v>
      </c>
      <c r="JL25" t="str">
        <f>"0.0103*"</f>
        <v>0.0103*</v>
      </c>
      <c r="JM25" t="s">
        <v>1488</v>
      </c>
      <c r="JN25" t="s">
        <v>1232</v>
      </c>
      <c r="JO25" t="str">
        <f>"0.0208***"</f>
        <v>0.0208***</v>
      </c>
      <c r="JP25" t="s">
        <v>1544</v>
      </c>
      <c r="JQ25" t="s">
        <v>1688</v>
      </c>
      <c r="JR25" t="str">
        <f>"0.0169*"</f>
        <v>0.0169*</v>
      </c>
      <c r="JS25" t="s">
        <v>1469</v>
      </c>
      <c r="JT25" t="s">
        <v>1944</v>
      </c>
      <c r="JU25" t="str">
        <f>"0.0125"</f>
        <v>0.0125</v>
      </c>
      <c r="JV25" t="s">
        <v>347</v>
      </c>
      <c r="JW25" t="s">
        <v>1123</v>
      </c>
      <c r="JX25" t="str">
        <f>"0.0295***"</f>
        <v>0.0295***</v>
      </c>
      <c r="JY25" t="s">
        <v>1060</v>
      </c>
      <c r="JZ25" t="s">
        <v>1149</v>
      </c>
      <c r="KA25" t="str">
        <f>"0.0382***"</f>
        <v>0.0382***</v>
      </c>
      <c r="KB25" t="s">
        <v>3539</v>
      </c>
      <c r="KC25" t="s">
        <v>3654</v>
      </c>
      <c r="KD25" t="str">
        <f>"0.0315***"</f>
        <v>0.0315***</v>
      </c>
      <c r="KE25" t="s">
        <v>756</v>
      </c>
      <c r="KF25" t="s">
        <v>503</v>
      </c>
      <c r="KG25" t="str">
        <f>"0.0392***"</f>
        <v>0.0392***</v>
      </c>
      <c r="KH25" t="s">
        <v>2831</v>
      </c>
      <c r="KI25" t="s">
        <v>3655</v>
      </c>
      <c r="KJ25" t="str">
        <f>"0.0290*"</f>
        <v>0.0290*</v>
      </c>
      <c r="KK25" t="s">
        <v>991</v>
      </c>
      <c r="KL25" t="s">
        <v>3335</v>
      </c>
    </row>
    <row r="26" spans="1:298" x14ac:dyDescent="0.2">
      <c r="A26" t="str">
        <f>"Setor"</f>
        <v>Setor</v>
      </c>
      <c r="B26" t="str">
        <f>"-0.0124"</f>
        <v>-0.0124</v>
      </c>
      <c r="C26" t="s">
        <v>3359</v>
      </c>
      <c r="D26" t="s">
        <v>3534</v>
      </c>
      <c r="E26" t="str">
        <f>"-0.113"</f>
        <v>-0.113</v>
      </c>
      <c r="F26" t="s">
        <v>3656</v>
      </c>
      <c r="G26" t="s">
        <v>1983</v>
      </c>
      <c r="H26" t="str">
        <f>"-0.0637"</f>
        <v>-0.0637</v>
      </c>
      <c r="I26" t="s">
        <v>3657</v>
      </c>
      <c r="J26" t="s">
        <v>1576</v>
      </c>
      <c r="K26" t="str">
        <f>"-0.0261"</f>
        <v>-0.0261</v>
      </c>
      <c r="L26" t="s">
        <v>3658</v>
      </c>
      <c r="M26" t="s">
        <v>3659</v>
      </c>
      <c r="N26" t="str">
        <f>"0.0322"</f>
        <v>0.0322</v>
      </c>
      <c r="O26" t="s">
        <v>3660</v>
      </c>
      <c r="P26" t="s">
        <v>3661</v>
      </c>
      <c r="Q26" t="str">
        <f>"0.0417"</f>
        <v>0.0417</v>
      </c>
      <c r="R26" t="s">
        <v>3662</v>
      </c>
      <c r="S26" t="s">
        <v>3663</v>
      </c>
      <c r="T26" t="str">
        <f>"0.0407"</f>
        <v>0.0407</v>
      </c>
      <c r="U26" t="s">
        <v>1712</v>
      </c>
      <c r="V26" t="s">
        <v>3664</v>
      </c>
      <c r="W26" t="str">
        <f>"0.0123"</f>
        <v>0.0123</v>
      </c>
      <c r="X26" t="s">
        <v>3665</v>
      </c>
      <c r="Y26" t="s">
        <v>2071</v>
      </c>
      <c r="Z26" t="str">
        <f>"0.0136"</f>
        <v>0.0136</v>
      </c>
      <c r="AA26" t="s">
        <v>3666</v>
      </c>
      <c r="AB26" t="s">
        <v>1565</v>
      </c>
      <c r="AC26" t="str">
        <f>"0.0115"</f>
        <v>0.0115</v>
      </c>
      <c r="AD26" t="s">
        <v>3667</v>
      </c>
      <c r="AE26" t="s">
        <v>3668</v>
      </c>
      <c r="AF26" t="str">
        <f>"0.0266"</f>
        <v>0.0266</v>
      </c>
      <c r="AG26" t="s">
        <v>487</v>
      </c>
      <c r="AH26" t="s">
        <v>1585</v>
      </c>
      <c r="AI26" t="str">
        <f>"0.0151"</f>
        <v>0.0151</v>
      </c>
      <c r="AJ26" t="s">
        <v>1716</v>
      </c>
      <c r="AK26" t="s">
        <v>1740</v>
      </c>
      <c r="AL26" t="str">
        <f>"0.0240"</f>
        <v>0.0240</v>
      </c>
      <c r="AM26" t="s">
        <v>3669</v>
      </c>
      <c r="AN26" t="s">
        <v>1220</v>
      </c>
      <c r="AO26" t="str">
        <f>"0.0203"</f>
        <v>0.0203</v>
      </c>
      <c r="AP26" t="s">
        <v>816</v>
      </c>
      <c r="AQ26" t="s">
        <v>511</v>
      </c>
      <c r="AR26" t="str">
        <f>"0.0225"</f>
        <v>0.0225</v>
      </c>
      <c r="AS26" t="s">
        <v>1717</v>
      </c>
      <c r="AT26" t="s">
        <v>3670</v>
      </c>
      <c r="AU26" t="str">
        <f>"0.0196"</f>
        <v>0.0196</v>
      </c>
      <c r="AV26" t="s">
        <v>1195</v>
      </c>
      <c r="AW26" t="s">
        <v>1036</v>
      </c>
      <c r="AX26" t="str">
        <f>"0.0196"</f>
        <v>0.0196</v>
      </c>
      <c r="AY26" t="s">
        <v>1118</v>
      </c>
      <c r="AZ26" t="s">
        <v>3671</v>
      </c>
      <c r="BA26" t="str">
        <f>"0.0166"</f>
        <v>0.0166</v>
      </c>
      <c r="BB26" t="s">
        <v>1192</v>
      </c>
      <c r="BC26" t="s">
        <v>1930</v>
      </c>
      <c r="BD26" t="str">
        <f>"0.0181"</f>
        <v>0.0181</v>
      </c>
      <c r="BE26" t="s">
        <v>700</v>
      </c>
      <c r="BF26" t="s">
        <v>1219</v>
      </c>
      <c r="BG26" t="str">
        <f>"0.0170"</f>
        <v>0.0170</v>
      </c>
      <c r="BH26" t="s">
        <v>1515</v>
      </c>
      <c r="BI26" t="s">
        <v>3632</v>
      </c>
      <c r="BJ26" t="str">
        <f>"0.0125"</f>
        <v>0.0125</v>
      </c>
      <c r="BK26" t="s">
        <v>1195</v>
      </c>
      <c r="BL26" t="s">
        <v>615</v>
      </c>
      <c r="BM26" t="str">
        <f>"0.0127"</f>
        <v>0.0127</v>
      </c>
      <c r="BN26" t="s">
        <v>967</v>
      </c>
      <c r="BO26" t="s">
        <v>1689</v>
      </c>
      <c r="BP26" t="str">
        <f>"0.0123"</f>
        <v>0.0123</v>
      </c>
      <c r="BQ26" t="s">
        <v>656</v>
      </c>
      <c r="BR26" t="s">
        <v>1942</v>
      </c>
      <c r="BS26" t="str">
        <f>"0.0118"</f>
        <v>0.0118</v>
      </c>
      <c r="BT26" t="s">
        <v>668</v>
      </c>
      <c r="BU26" t="s">
        <v>1685</v>
      </c>
      <c r="BV26" t="str">
        <f>"0.0133"</f>
        <v>0.0133</v>
      </c>
      <c r="BW26" t="s">
        <v>3557</v>
      </c>
      <c r="BX26" t="s">
        <v>553</v>
      </c>
      <c r="BY26" t="str">
        <f>"0.0130"</f>
        <v>0.0130</v>
      </c>
      <c r="BZ26" t="s">
        <v>908</v>
      </c>
      <c r="CA26" t="s">
        <v>3360</v>
      </c>
      <c r="CB26" t="str">
        <f>"0.0143"</f>
        <v>0.0143</v>
      </c>
      <c r="CC26" t="s">
        <v>1118</v>
      </c>
      <c r="CD26" t="s">
        <v>1940</v>
      </c>
      <c r="CE26" t="str">
        <f>"0.0142"</f>
        <v>0.0142</v>
      </c>
      <c r="CF26" t="s">
        <v>686</v>
      </c>
      <c r="CG26" t="s">
        <v>1230</v>
      </c>
      <c r="CH26" t="str">
        <f>"0.0135"</f>
        <v>0.0135</v>
      </c>
      <c r="CI26" t="s">
        <v>908</v>
      </c>
      <c r="CJ26" t="s">
        <v>1068</v>
      </c>
      <c r="CK26" t="str">
        <f>"0.0140"</f>
        <v>0.0140</v>
      </c>
      <c r="CL26" t="s">
        <v>897</v>
      </c>
      <c r="CM26" t="s">
        <v>2886</v>
      </c>
      <c r="CN26" t="str">
        <f>"0.0173"</f>
        <v>0.0173</v>
      </c>
      <c r="CO26" t="s">
        <v>670</v>
      </c>
      <c r="CP26" t="s">
        <v>771</v>
      </c>
      <c r="CQ26" t="str">
        <f>"0.0177"</f>
        <v>0.0177</v>
      </c>
      <c r="CR26" t="s">
        <v>666</v>
      </c>
      <c r="CS26" t="s">
        <v>1061</v>
      </c>
      <c r="CT26" t="str">
        <f>"0.0123"</f>
        <v>0.0123</v>
      </c>
      <c r="CU26" t="s">
        <v>788</v>
      </c>
      <c r="CV26" t="s">
        <v>3672</v>
      </c>
      <c r="CW26" t="str">
        <f>"0.00164"</f>
        <v>0.00164</v>
      </c>
      <c r="CX26" t="s">
        <v>805</v>
      </c>
      <c r="CY26" t="s">
        <v>2872</v>
      </c>
      <c r="CZ26" t="str">
        <f>"0.00347"</f>
        <v>0.00347</v>
      </c>
      <c r="DA26" t="s">
        <v>3528</v>
      </c>
      <c r="DB26" t="s">
        <v>1683</v>
      </c>
      <c r="DC26" t="str">
        <f>"0.00333"</f>
        <v>0.00333</v>
      </c>
      <c r="DD26" t="s">
        <v>3447</v>
      </c>
      <c r="DE26" t="s">
        <v>3633</v>
      </c>
      <c r="DF26" t="str">
        <f>"0.00292"</f>
        <v>0.00292</v>
      </c>
      <c r="DG26" t="s">
        <v>495</v>
      </c>
      <c r="DH26" t="s">
        <v>1683</v>
      </c>
      <c r="DI26" t="str">
        <f>"0.00476"</f>
        <v>0.00476</v>
      </c>
      <c r="DJ26" t="s">
        <v>1105</v>
      </c>
      <c r="DK26" t="s">
        <v>3590</v>
      </c>
      <c r="DL26" t="str">
        <f>"-0.00307"</f>
        <v>-0.00307</v>
      </c>
      <c r="DM26" t="s">
        <v>1177</v>
      </c>
      <c r="DN26" t="s">
        <v>977</v>
      </c>
      <c r="DO26" t="str">
        <f>"-0.00168"</f>
        <v>-0.00168</v>
      </c>
      <c r="DP26" t="s">
        <v>3673</v>
      </c>
      <c r="DQ26" t="s">
        <v>635</v>
      </c>
      <c r="DR26" t="str">
        <f>"0.00216"</f>
        <v>0.00216</v>
      </c>
      <c r="DS26" t="s">
        <v>1974</v>
      </c>
      <c r="DT26" t="s">
        <v>1944</v>
      </c>
      <c r="DU26" t="str">
        <f>"0.00278"</f>
        <v>0.00278</v>
      </c>
      <c r="DV26" t="s">
        <v>547</v>
      </c>
      <c r="DW26" t="s">
        <v>2883</v>
      </c>
      <c r="DX26" t="str">
        <f>"0.00311"</f>
        <v>0.00311</v>
      </c>
      <c r="DY26" t="s">
        <v>3674</v>
      </c>
      <c r="DZ26" t="s">
        <v>1730</v>
      </c>
      <c r="EA26" t="str">
        <f>"0.00368"</f>
        <v>0.00368</v>
      </c>
      <c r="EB26" t="s">
        <v>3675</v>
      </c>
      <c r="EC26" t="s">
        <v>1685</v>
      </c>
      <c r="ED26" t="str">
        <f>"0.00621"</f>
        <v>0.00621</v>
      </c>
      <c r="EE26" t="s">
        <v>3581</v>
      </c>
      <c r="EF26" t="s">
        <v>2864</v>
      </c>
      <c r="EG26" t="str">
        <f>"0.00681"</f>
        <v>0.00681</v>
      </c>
      <c r="EH26" t="s">
        <v>3021</v>
      </c>
      <c r="EI26" t="s">
        <v>3547</v>
      </c>
      <c r="EJ26" t="str">
        <f>"0.00660"</f>
        <v>0.00660</v>
      </c>
      <c r="EK26" t="s">
        <v>3676</v>
      </c>
      <c r="EL26" t="s">
        <v>3527</v>
      </c>
      <c r="EM26" t="str">
        <f>"0.00650"</f>
        <v>0.00650</v>
      </c>
      <c r="EN26" t="s">
        <v>2846</v>
      </c>
      <c r="EO26" t="s">
        <v>3623</v>
      </c>
      <c r="EP26" t="str">
        <f>"0.00901"</f>
        <v>0.00901</v>
      </c>
      <c r="EQ26" t="s">
        <v>1095</v>
      </c>
      <c r="ER26" t="s">
        <v>2843</v>
      </c>
      <c r="ES26" t="str">
        <f>"0.0124"</f>
        <v>0.0124</v>
      </c>
      <c r="ET26" t="s">
        <v>504</v>
      </c>
      <c r="EU26" t="s">
        <v>1049</v>
      </c>
      <c r="EV26" t="str">
        <f>"0.0117"</f>
        <v>0.0117</v>
      </c>
      <c r="EW26" t="s">
        <v>1218</v>
      </c>
      <c r="EX26" t="s">
        <v>3677</v>
      </c>
      <c r="EY26" t="str">
        <f>"0.0127"</f>
        <v>0.0127</v>
      </c>
      <c r="EZ26" t="s">
        <v>3678</v>
      </c>
      <c r="FA26" t="s">
        <v>3679</v>
      </c>
      <c r="FB26" t="str">
        <f>"0.0162"</f>
        <v>0.0162</v>
      </c>
      <c r="FC26" t="s">
        <v>846</v>
      </c>
      <c r="FD26" t="s">
        <v>3680</v>
      </c>
      <c r="FE26" t="str">
        <f>"0.0137"</f>
        <v>0.0137</v>
      </c>
      <c r="FF26" t="s">
        <v>1065</v>
      </c>
      <c r="FG26" t="s">
        <v>3138</v>
      </c>
      <c r="FH26" t="str">
        <f>"0.0166"</f>
        <v>0.0166</v>
      </c>
      <c r="FI26" t="s">
        <v>2837</v>
      </c>
      <c r="FJ26" t="s">
        <v>1610</v>
      </c>
      <c r="FK26" t="str">
        <f>"0.0186"</f>
        <v>0.0186</v>
      </c>
      <c r="FL26" t="s">
        <v>1039</v>
      </c>
      <c r="FM26" t="s">
        <v>3681</v>
      </c>
      <c r="FN26" t="str">
        <f>"0.0214"</f>
        <v>0.0214</v>
      </c>
      <c r="FO26" t="s">
        <v>3544</v>
      </c>
      <c r="FP26" t="s">
        <v>480</v>
      </c>
      <c r="FQ26" t="str">
        <f>"-0.0102"</f>
        <v>-0.0102</v>
      </c>
      <c r="FR26" t="s">
        <v>3682</v>
      </c>
      <c r="FS26" t="s">
        <v>1940</v>
      </c>
      <c r="FT26" t="str">
        <f>"-0.0161"</f>
        <v>-0.0161</v>
      </c>
      <c r="FU26" t="s">
        <v>253</v>
      </c>
      <c r="FV26" t="s">
        <v>1032</v>
      </c>
      <c r="FW26" t="str">
        <f>"-0.0151"</f>
        <v>-0.0151</v>
      </c>
      <c r="FX26" t="s">
        <v>1181</v>
      </c>
      <c r="FY26" t="s">
        <v>989</v>
      </c>
      <c r="FZ26" t="str">
        <f>"-0.0121"</f>
        <v>-0.0121</v>
      </c>
      <c r="GA26" t="s">
        <v>3683</v>
      </c>
      <c r="GB26" t="s">
        <v>556</v>
      </c>
      <c r="GC26" t="str">
        <f>"-0.0213"</f>
        <v>-0.0213</v>
      </c>
      <c r="GD26" t="s">
        <v>3684</v>
      </c>
      <c r="GE26" t="s">
        <v>984</v>
      </c>
      <c r="GF26" t="str">
        <f>"-0.0244"</f>
        <v>-0.0244</v>
      </c>
      <c r="GG26" t="s">
        <v>3685</v>
      </c>
      <c r="GH26" t="s">
        <v>1190</v>
      </c>
      <c r="GI26" t="str">
        <f>"-0.0244"</f>
        <v>-0.0244</v>
      </c>
      <c r="GJ26" t="s">
        <v>3686</v>
      </c>
      <c r="GK26" t="s">
        <v>971</v>
      </c>
      <c r="GL26" t="str">
        <f>"-0.0209"</f>
        <v>-0.0209</v>
      </c>
      <c r="GM26" t="s">
        <v>3687</v>
      </c>
      <c r="GN26" t="s">
        <v>1130</v>
      </c>
      <c r="GO26" t="str">
        <f>"-0.0209"</f>
        <v>-0.0209</v>
      </c>
      <c r="GP26" t="s">
        <v>3688</v>
      </c>
      <c r="GQ26" t="s">
        <v>984</v>
      </c>
      <c r="GR26" t="str">
        <f>"-0.0205"</f>
        <v>-0.0205</v>
      </c>
      <c r="GS26" t="s">
        <v>3689</v>
      </c>
      <c r="GT26" t="s">
        <v>1029</v>
      </c>
      <c r="GU26" t="str">
        <f>"-0.0155"</f>
        <v>-0.0155</v>
      </c>
      <c r="GV26" t="s">
        <v>3683</v>
      </c>
      <c r="GW26" t="s">
        <v>2880</v>
      </c>
      <c r="GX26" t="str">
        <f>"-0.0173"</f>
        <v>-0.0173</v>
      </c>
      <c r="GY26" t="s">
        <v>3690</v>
      </c>
      <c r="GZ26" t="s">
        <v>1658</v>
      </c>
      <c r="HA26" t="str">
        <f>"-0.0171"</f>
        <v>-0.0171</v>
      </c>
      <c r="HB26" t="s">
        <v>950</v>
      </c>
      <c r="HC26" t="s">
        <v>1653</v>
      </c>
      <c r="HD26" t="str">
        <f>"-0.0185"</f>
        <v>-0.0185</v>
      </c>
      <c r="HE26" t="s">
        <v>3691</v>
      </c>
      <c r="HF26" t="s">
        <v>2884</v>
      </c>
      <c r="HG26" t="str">
        <f>"-0.0205"</f>
        <v>-0.0205</v>
      </c>
      <c r="HH26" t="s">
        <v>3692</v>
      </c>
      <c r="HI26" t="s">
        <v>3693</v>
      </c>
      <c r="HJ26" t="str">
        <f>"-0.0219"</f>
        <v>-0.0219</v>
      </c>
      <c r="HK26" t="s">
        <v>3694</v>
      </c>
      <c r="HL26" t="s">
        <v>3672</v>
      </c>
      <c r="HM26" t="str">
        <f>"-0.0209"</f>
        <v>-0.0209</v>
      </c>
      <c r="HN26" t="s">
        <v>3695</v>
      </c>
      <c r="HO26" t="s">
        <v>2888</v>
      </c>
      <c r="HP26" t="str">
        <f>"-0.0179"</f>
        <v>-0.0179</v>
      </c>
      <c r="HQ26" t="s">
        <v>3049</v>
      </c>
      <c r="HR26" t="s">
        <v>3623</v>
      </c>
      <c r="HS26" t="str">
        <f>"-0.00305"</f>
        <v>-0.00305</v>
      </c>
      <c r="HT26" t="s">
        <v>3696</v>
      </c>
      <c r="HU26" t="s">
        <v>3697</v>
      </c>
      <c r="HV26" t="str">
        <f>"-0.0000761"</f>
        <v>-0.0000761</v>
      </c>
      <c r="HW26" t="s">
        <v>3698</v>
      </c>
      <c r="HX26" t="s">
        <v>2893</v>
      </c>
      <c r="HY26" t="str">
        <f>"0.00159"</f>
        <v>0.00159</v>
      </c>
      <c r="HZ26" t="s">
        <v>1394</v>
      </c>
      <c r="IA26" t="s">
        <v>3699</v>
      </c>
      <c r="IB26" t="str">
        <f>"-0.00599"</f>
        <v>-0.00599</v>
      </c>
      <c r="IC26" t="s">
        <v>1382</v>
      </c>
      <c r="ID26" t="s">
        <v>3349</v>
      </c>
      <c r="IE26" t="str">
        <f>"-0.00480"</f>
        <v>-0.00480</v>
      </c>
      <c r="IF26" t="s">
        <v>2802</v>
      </c>
      <c r="IG26" t="s">
        <v>496</v>
      </c>
      <c r="IH26" t="str">
        <f>"-0.00273"</f>
        <v>-0.00273</v>
      </c>
      <c r="II26" t="s">
        <v>3700</v>
      </c>
      <c r="IJ26" t="s">
        <v>3701</v>
      </c>
      <c r="IK26" t="str">
        <f>"-0.00202"</f>
        <v>-0.00202</v>
      </c>
      <c r="IL26" t="s">
        <v>2806</v>
      </c>
      <c r="IM26" t="s">
        <v>2904</v>
      </c>
      <c r="IN26" t="str">
        <f>"0.000591"</f>
        <v>0.000591</v>
      </c>
      <c r="IO26" t="s">
        <v>3702</v>
      </c>
      <c r="IP26" t="s">
        <v>3187</v>
      </c>
      <c r="IQ26" t="str">
        <f>"0.00298"</f>
        <v>0.00298</v>
      </c>
      <c r="IR26" t="s">
        <v>3703</v>
      </c>
      <c r="IS26" t="s">
        <v>3333</v>
      </c>
      <c r="IT26" t="str">
        <f>"-0.0150"</f>
        <v>-0.0150</v>
      </c>
      <c r="IU26" t="s">
        <v>1407</v>
      </c>
      <c r="IV26" t="s">
        <v>3704</v>
      </c>
      <c r="IW26" t="str">
        <f>"-0.00808"</f>
        <v>-0.00808</v>
      </c>
      <c r="IX26" t="s">
        <v>3705</v>
      </c>
      <c r="IY26" t="s">
        <v>3706</v>
      </c>
      <c r="IZ26" t="str">
        <f>"-0.00325"</f>
        <v>-0.00325</v>
      </c>
      <c r="JA26" t="s">
        <v>3707</v>
      </c>
      <c r="JB26" t="s">
        <v>3708</v>
      </c>
      <c r="JC26" t="str">
        <f>"-0.00226"</f>
        <v>-0.00226</v>
      </c>
      <c r="JD26" t="s">
        <v>3709</v>
      </c>
      <c r="JE26" t="s">
        <v>2918</v>
      </c>
      <c r="JF26" t="str">
        <f>"-0.0000649"</f>
        <v>-0.0000649</v>
      </c>
      <c r="JG26" t="s">
        <v>3073</v>
      </c>
      <c r="JH26" t="s">
        <v>2938</v>
      </c>
      <c r="JI26" t="str">
        <f>"0.00538"</f>
        <v>0.00538</v>
      </c>
      <c r="JJ26" t="s">
        <v>3710</v>
      </c>
      <c r="JK26" t="s">
        <v>3711</v>
      </c>
      <c r="JL26" t="str">
        <f>"0.00665"</f>
        <v>0.00665</v>
      </c>
      <c r="JM26" t="s">
        <v>3712</v>
      </c>
      <c r="JN26" t="s">
        <v>3713</v>
      </c>
      <c r="JO26" t="str">
        <f>"0.00974"</f>
        <v>0.00974</v>
      </c>
      <c r="JP26" t="s">
        <v>3369</v>
      </c>
      <c r="JQ26" t="s">
        <v>3714</v>
      </c>
      <c r="JR26" t="str">
        <f>"0.0178"</f>
        <v>0.0178</v>
      </c>
      <c r="JS26" t="s">
        <v>3715</v>
      </c>
      <c r="JT26" t="s">
        <v>3716</v>
      </c>
      <c r="JU26" t="str">
        <f>"0.0183"</f>
        <v>0.0183</v>
      </c>
      <c r="JV26" t="s">
        <v>3717</v>
      </c>
      <c r="JW26" t="s">
        <v>3718</v>
      </c>
      <c r="JX26" t="str">
        <f>"-0.0738*"</f>
        <v>-0.0738*</v>
      </c>
      <c r="JY26" t="s">
        <v>3719</v>
      </c>
      <c r="JZ26" t="s">
        <v>3720</v>
      </c>
      <c r="KA26" t="str">
        <f>"-0.0790*"</f>
        <v>-0.0790*</v>
      </c>
      <c r="KB26" t="s">
        <v>3721</v>
      </c>
      <c r="KC26" t="s">
        <v>3286</v>
      </c>
      <c r="KD26" t="str">
        <f>"-0.0663*"</f>
        <v>-0.0663*</v>
      </c>
      <c r="KE26" t="s">
        <v>3722</v>
      </c>
      <c r="KF26" t="s">
        <v>1063</v>
      </c>
      <c r="KG26" t="str">
        <f>"-0.0765*"</f>
        <v>-0.0765*</v>
      </c>
      <c r="KH26" t="s">
        <v>1281</v>
      </c>
      <c r="KI26" t="s">
        <v>961</v>
      </c>
      <c r="KJ26" t="str">
        <f>"-0.0760*"</f>
        <v>-0.0760*</v>
      </c>
      <c r="KK26" t="s">
        <v>3723</v>
      </c>
      <c r="KL26" t="s">
        <v>1090</v>
      </c>
    </row>
    <row r="27" spans="1:298" x14ac:dyDescent="0.2">
      <c r="A27" t="str">
        <f>"_cons"</f>
        <v>_cons</v>
      </c>
      <c r="B27" t="str">
        <f>"0.452*"</f>
        <v>0.452*</v>
      </c>
      <c r="C27" t="s">
        <v>1580</v>
      </c>
      <c r="D27" t="s">
        <v>3724</v>
      </c>
      <c r="E27" t="str">
        <f>"-0.142"</f>
        <v>-0.142</v>
      </c>
      <c r="F27" t="s">
        <v>3725</v>
      </c>
      <c r="G27" t="s">
        <v>3726</v>
      </c>
      <c r="H27" t="str">
        <f>"-0.928***"</f>
        <v>-0.928***</v>
      </c>
      <c r="I27" t="s">
        <v>3727</v>
      </c>
      <c r="J27" t="s">
        <v>3728</v>
      </c>
      <c r="K27" t="str">
        <f>"0.0379"</f>
        <v>0.0379</v>
      </c>
      <c r="L27" t="s">
        <v>3729</v>
      </c>
      <c r="M27" t="s">
        <v>3730</v>
      </c>
      <c r="N27" t="str">
        <f>"-1.458***"</f>
        <v>-1.458***</v>
      </c>
      <c r="O27" t="s">
        <v>3731</v>
      </c>
      <c r="P27" t="s">
        <v>3732</v>
      </c>
      <c r="Q27" t="str">
        <f>"-0.435***"</f>
        <v>-0.435***</v>
      </c>
      <c r="R27" t="s">
        <v>3733</v>
      </c>
      <c r="S27" t="s">
        <v>3734</v>
      </c>
      <c r="T27" t="str">
        <f>"-0.970***"</f>
        <v>-0.970***</v>
      </c>
      <c r="U27" t="s">
        <v>3735</v>
      </c>
      <c r="V27" t="s">
        <v>3736</v>
      </c>
      <c r="W27" t="str">
        <f>"-0.756***"</f>
        <v>-0.756***</v>
      </c>
      <c r="X27" t="s">
        <v>3737</v>
      </c>
      <c r="Y27" t="s">
        <v>3738</v>
      </c>
      <c r="Z27" t="str">
        <f>"-0.534***"</f>
        <v>-0.534***</v>
      </c>
      <c r="AA27" t="s">
        <v>3739</v>
      </c>
      <c r="AB27" t="s">
        <v>3740</v>
      </c>
      <c r="AC27" t="str">
        <f>"-0.977***"</f>
        <v>-0.977***</v>
      </c>
      <c r="AD27" t="s">
        <v>3741</v>
      </c>
      <c r="AE27" t="s">
        <v>3742</v>
      </c>
      <c r="AF27" t="str">
        <f>"-1.013***"</f>
        <v>-1.013***</v>
      </c>
      <c r="AG27" t="s">
        <v>3743</v>
      </c>
      <c r="AH27" t="s">
        <v>3744</v>
      </c>
      <c r="AI27" t="str">
        <f>"-0.532***"</f>
        <v>-0.532***</v>
      </c>
      <c r="AJ27" t="s">
        <v>3745</v>
      </c>
      <c r="AK27" t="s">
        <v>3746</v>
      </c>
      <c r="AL27" t="str">
        <f>"-0.712***"</f>
        <v>-0.712***</v>
      </c>
      <c r="AM27" t="s">
        <v>3747</v>
      </c>
      <c r="AN27" t="s">
        <v>3748</v>
      </c>
      <c r="AO27" t="str">
        <f>"-0.602***"</f>
        <v>-0.602***</v>
      </c>
      <c r="AP27" t="s">
        <v>3749</v>
      </c>
      <c r="AQ27" t="s">
        <v>3750</v>
      </c>
      <c r="AR27" t="str">
        <f>"-0.466***"</f>
        <v>-0.466***</v>
      </c>
      <c r="AS27" t="s">
        <v>3751</v>
      </c>
      <c r="AT27" t="s">
        <v>3752</v>
      </c>
      <c r="AU27" t="str">
        <f>"-0.378***"</f>
        <v>-0.378***</v>
      </c>
      <c r="AV27" t="s">
        <v>3753</v>
      </c>
      <c r="AW27" t="s">
        <v>3754</v>
      </c>
      <c r="AX27" t="str">
        <f>"-0.265***"</f>
        <v>-0.265***</v>
      </c>
      <c r="AY27" t="s">
        <v>3755</v>
      </c>
      <c r="AZ27" t="s">
        <v>3756</v>
      </c>
      <c r="BA27" t="str">
        <f>"-0.222***"</f>
        <v>-0.222***</v>
      </c>
      <c r="BB27" t="s">
        <v>3757</v>
      </c>
      <c r="BC27" t="s">
        <v>3758</v>
      </c>
      <c r="BD27" t="str">
        <f>"-0.124***"</f>
        <v>-0.124***</v>
      </c>
      <c r="BE27" t="s">
        <v>3759</v>
      </c>
      <c r="BF27" t="s">
        <v>3760</v>
      </c>
      <c r="BG27" t="str">
        <f>"-0.115***"</f>
        <v>-0.115***</v>
      </c>
      <c r="BH27" t="s">
        <v>3761</v>
      </c>
      <c r="BI27" t="s">
        <v>3080</v>
      </c>
      <c r="BJ27" t="str">
        <f>"-0.132***"</f>
        <v>-0.132***</v>
      </c>
      <c r="BK27" t="s">
        <v>3762</v>
      </c>
      <c r="BL27" t="s">
        <v>3763</v>
      </c>
      <c r="BM27" t="str">
        <f>"-0.0603**"</f>
        <v>-0.0603**</v>
      </c>
      <c r="BN27" t="s">
        <v>3764</v>
      </c>
      <c r="BO27" t="s">
        <v>1240</v>
      </c>
      <c r="BP27" t="str">
        <f>"-0.0925***"</f>
        <v>-0.0925***</v>
      </c>
      <c r="BQ27" t="s">
        <v>3765</v>
      </c>
      <c r="BR27" t="s">
        <v>1372</v>
      </c>
      <c r="BS27" t="str">
        <f>"-0.137***"</f>
        <v>-0.137***</v>
      </c>
      <c r="BT27" t="s">
        <v>3766</v>
      </c>
      <c r="BU27" t="s">
        <v>3767</v>
      </c>
      <c r="BV27" t="str">
        <f>"-0.149***"</f>
        <v>-0.149***</v>
      </c>
      <c r="BW27" t="s">
        <v>3768</v>
      </c>
      <c r="BX27" t="s">
        <v>3769</v>
      </c>
      <c r="BY27" t="str">
        <f>"-0.134***"</f>
        <v>-0.134***</v>
      </c>
      <c r="BZ27" t="s">
        <v>3770</v>
      </c>
      <c r="CA27" t="s">
        <v>3771</v>
      </c>
      <c r="CB27" t="str">
        <f>"-0.111***"</f>
        <v>-0.111***</v>
      </c>
      <c r="CC27" t="s">
        <v>3772</v>
      </c>
      <c r="CD27" t="s">
        <v>3773</v>
      </c>
      <c r="CE27" t="str">
        <f>"-0.115***"</f>
        <v>-0.115***</v>
      </c>
      <c r="CF27" t="s">
        <v>3774</v>
      </c>
      <c r="CG27" t="s">
        <v>3775</v>
      </c>
      <c r="CH27" t="str">
        <f>"-0.109***"</f>
        <v>-0.109***</v>
      </c>
      <c r="CI27" t="s">
        <v>3776</v>
      </c>
      <c r="CJ27" t="s">
        <v>3777</v>
      </c>
      <c r="CK27" t="str">
        <f>"-0.0998***"</f>
        <v>-0.0998***</v>
      </c>
      <c r="CL27" t="s">
        <v>3778</v>
      </c>
      <c r="CM27" t="s">
        <v>3779</v>
      </c>
      <c r="CN27" t="str">
        <f>"-0.122***"</f>
        <v>-0.122***</v>
      </c>
      <c r="CO27" t="s">
        <v>3780</v>
      </c>
      <c r="CP27" t="s">
        <v>3781</v>
      </c>
      <c r="CQ27" t="str">
        <f>"-0.123***"</f>
        <v>-0.123***</v>
      </c>
      <c r="CR27" t="s">
        <v>3782</v>
      </c>
      <c r="CS27" t="s">
        <v>3783</v>
      </c>
      <c r="CT27" t="str">
        <f>"-0.120***"</f>
        <v>-0.120***</v>
      </c>
      <c r="CU27" t="s">
        <v>1279</v>
      </c>
      <c r="CV27" t="s">
        <v>3784</v>
      </c>
      <c r="CW27" t="str">
        <f>"-0.111***"</f>
        <v>-0.111***</v>
      </c>
      <c r="CX27" t="s">
        <v>3785</v>
      </c>
      <c r="CY27" t="s">
        <v>3786</v>
      </c>
      <c r="CZ27" t="str">
        <f>"-0.116***"</f>
        <v>-0.116***</v>
      </c>
      <c r="DA27" t="s">
        <v>3787</v>
      </c>
      <c r="DB27" t="s">
        <v>1412</v>
      </c>
      <c r="DC27" t="str">
        <f>"-0.111***"</f>
        <v>-0.111***</v>
      </c>
      <c r="DD27" t="s">
        <v>3788</v>
      </c>
      <c r="DE27" t="s">
        <v>3789</v>
      </c>
      <c r="DF27" t="str">
        <f>"-0.110***"</f>
        <v>-0.110***</v>
      </c>
      <c r="DG27" t="s">
        <v>3788</v>
      </c>
      <c r="DH27" t="s">
        <v>3790</v>
      </c>
      <c r="DI27" t="str">
        <f>"-0.124***"</f>
        <v>-0.124***</v>
      </c>
      <c r="DJ27" t="s">
        <v>3791</v>
      </c>
      <c r="DK27" t="s">
        <v>3792</v>
      </c>
      <c r="DL27" t="str">
        <f>"-0.185***"</f>
        <v>-0.185***</v>
      </c>
      <c r="DM27" t="s">
        <v>3793</v>
      </c>
      <c r="DN27" t="s">
        <v>3794</v>
      </c>
      <c r="DO27" t="str">
        <f>"-0.217***"</f>
        <v>-0.217***</v>
      </c>
      <c r="DP27" t="s">
        <v>1430</v>
      </c>
      <c r="DQ27" t="s">
        <v>3795</v>
      </c>
      <c r="DR27" t="str">
        <f>"-0.219***"</f>
        <v>-0.219***</v>
      </c>
      <c r="DS27" t="s">
        <v>3424</v>
      </c>
      <c r="DT27" t="s">
        <v>3796</v>
      </c>
      <c r="DU27" t="str">
        <f>"-0.184***"</f>
        <v>-0.184***</v>
      </c>
      <c r="DV27" t="s">
        <v>3797</v>
      </c>
      <c r="DW27" t="s">
        <v>3798</v>
      </c>
      <c r="DX27" t="str">
        <f>"-0.166***"</f>
        <v>-0.166***</v>
      </c>
      <c r="DY27" t="s">
        <v>3799</v>
      </c>
      <c r="DZ27" t="s">
        <v>3800</v>
      </c>
      <c r="EA27" t="str">
        <f>"-0.155***"</f>
        <v>-0.155***</v>
      </c>
      <c r="EB27" t="s">
        <v>3801</v>
      </c>
      <c r="EC27" t="s">
        <v>1290</v>
      </c>
      <c r="ED27" t="str">
        <f>"-0.146***"</f>
        <v>-0.146***</v>
      </c>
      <c r="EE27" t="s">
        <v>3802</v>
      </c>
      <c r="EF27" t="s">
        <v>3803</v>
      </c>
      <c r="EG27" t="str">
        <f>"-0.114***"</f>
        <v>-0.114***</v>
      </c>
      <c r="EH27" t="s">
        <v>3787</v>
      </c>
      <c r="EI27" t="s">
        <v>3050</v>
      </c>
      <c r="EJ27" t="str">
        <f>"-0.0944***"</f>
        <v>-0.0944***</v>
      </c>
      <c r="EK27" t="s">
        <v>3804</v>
      </c>
      <c r="EL27" t="s">
        <v>3805</v>
      </c>
      <c r="EM27" t="str">
        <f>"-0.0677*"</f>
        <v>-0.0677*</v>
      </c>
      <c r="EN27" t="s">
        <v>3806</v>
      </c>
      <c r="EO27" t="s">
        <v>1104</v>
      </c>
      <c r="EP27" t="str">
        <f>"-0.0704*"</f>
        <v>-0.0704*</v>
      </c>
      <c r="EQ27" t="s">
        <v>3807</v>
      </c>
      <c r="ER27" t="s">
        <v>3808</v>
      </c>
      <c r="ES27" t="str">
        <f>"-0.0466"</f>
        <v>-0.0466</v>
      </c>
      <c r="ET27" t="s">
        <v>3809</v>
      </c>
      <c r="EU27" t="s">
        <v>1011</v>
      </c>
      <c r="EV27" t="str">
        <f>"-0.0763**"</f>
        <v>-0.0763**</v>
      </c>
      <c r="EW27" t="s">
        <v>3090</v>
      </c>
      <c r="EX27" t="s">
        <v>841</v>
      </c>
      <c r="EY27" t="str">
        <f>"-0.106***"</f>
        <v>-0.106***</v>
      </c>
      <c r="EZ27" t="s">
        <v>3810</v>
      </c>
      <c r="FA27" t="s">
        <v>3811</v>
      </c>
      <c r="FB27" t="str">
        <f>"-0.128***"</f>
        <v>-0.128***</v>
      </c>
      <c r="FC27" t="s">
        <v>3812</v>
      </c>
      <c r="FD27" t="s">
        <v>3813</v>
      </c>
      <c r="FE27" t="str">
        <f>"-0.128***"</f>
        <v>-0.128***</v>
      </c>
      <c r="FF27" t="s">
        <v>3814</v>
      </c>
      <c r="FG27" t="s">
        <v>3815</v>
      </c>
      <c r="FH27" t="str">
        <f>"-0.128***"</f>
        <v>-0.128***</v>
      </c>
      <c r="FI27" t="s">
        <v>3816</v>
      </c>
      <c r="FJ27" t="s">
        <v>3817</v>
      </c>
      <c r="FK27" t="str">
        <f>"-0.172***"</f>
        <v>-0.172***</v>
      </c>
      <c r="FL27" t="s">
        <v>3818</v>
      </c>
      <c r="FM27" t="s">
        <v>3819</v>
      </c>
      <c r="FN27" t="str">
        <f>"-0.190***"</f>
        <v>-0.190***</v>
      </c>
      <c r="FO27" t="s">
        <v>3820</v>
      </c>
      <c r="FP27" t="s">
        <v>3600</v>
      </c>
      <c r="FQ27" t="str">
        <f>"-0.158***"</f>
        <v>-0.158***</v>
      </c>
      <c r="FR27" t="s">
        <v>3821</v>
      </c>
      <c r="FS27" t="s">
        <v>3822</v>
      </c>
      <c r="FT27" t="str">
        <f>"-0.158***"</f>
        <v>-0.158***</v>
      </c>
      <c r="FU27" t="s">
        <v>3823</v>
      </c>
      <c r="FV27" t="s">
        <v>3824</v>
      </c>
      <c r="FW27" t="str">
        <f>"-0.153***"</f>
        <v>-0.153***</v>
      </c>
      <c r="FX27" t="s">
        <v>3825</v>
      </c>
      <c r="FY27" t="s">
        <v>3826</v>
      </c>
      <c r="FZ27" t="str">
        <f>"-0.128***"</f>
        <v>-0.128***</v>
      </c>
      <c r="GA27" t="s">
        <v>3827</v>
      </c>
      <c r="GB27" t="s">
        <v>3828</v>
      </c>
      <c r="GC27" t="str">
        <f>"-0.117***"</f>
        <v>-0.117***</v>
      </c>
      <c r="GD27" t="s">
        <v>3829</v>
      </c>
      <c r="GE27" t="s">
        <v>3830</v>
      </c>
      <c r="GF27" t="str">
        <f>"-0.0978**"</f>
        <v>-0.0978**</v>
      </c>
      <c r="GG27" t="s">
        <v>2991</v>
      </c>
      <c r="GH27" t="s">
        <v>3831</v>
      </c>
      <c r="GI27" t="str">
        <f>"-0.0570"</f>
        <v>-0.0570</v>
      </c>
      <c r="GJ27" t="s">
        <v>3832</v>
      </c>
      <c r="GK27" t="s">
        <v>710</v>
      </c>
      <c r="GL27" t="str">
        <f>"-0.00476"</f>
        <v>-0.00476</v>
      </c>
      <c r="GM27" t="s">
        <v>3833</v>
      </c>
      <c r="GN27" t="s">
        <v>3353</v>
      </c>
      <c r="GO27" t="str">
        <f>"0.00135"</f>
        <v>0.00135</v>
      </c>
      <c r="GP27" t="s">
        <v>3834</v>
      </c>
      <c r="GQ27" t="s">
        <v>3835</v>
      </c>
      <c r="GR27" t="str">
        <f>"-0.0117"</f>
        <v>-0.0117</v>
      </c>
      <c r="GS27" t="s">
        <v>3836</v>
      </c>
      <c r="GT27" t="s">
        <v>486</v>
      </c>
      <c r="GU27" t="str">
        <f>"-0.0118"</f>
        <v>-0.0118</v>
      </c>
      <c r="GV27" t="s">
        <v>3837</v>
      </c>
      <c r="GW27" t="s">
        <v>1612</v>
      </c>
      <c r="GX27" t="str">
        <f>"0.0139"</f>
        <v>0.0139</v>
      </c>
      <c r="GY27" t="s">
        <v>3838</v>
      </c>
      <c r="GZ27" t="s">
        <v>3839</v>
      </c>
      <c r="HA27" t="str">
        <f>"-0.00903"</f>
        <v>-0.00903</v>
      </c>
      <c r="HB27" t="s">
        <v>3840</v>
      </c>
      <c r="HC27" t="s">
        <v>3841</v>
      </c>
      <c r="HD27" t="str">
        <f>"-0.164***"</f>
        <v>-0.164***</v>
      </c>
      <c r="HE27" t="s">
        <v>3842</v>
      </c>
      <c r="HF27" t="s">
        <v>1286</v>
      </c>
      <c r="HG27" t="str">
        <f>"-0.208***"</f>
        <v>-0.208***</v>
      </c>
      <c r="HH27" t="s">
        <v>3843</v>
      </c>
      <c r="HI27" t="s">
        <v>3844</v>
      </c>
      <c r="HJ27" t="str">
        <f>"-0.183***"</f>
        <v>-0.183***</v>
      </c>
      <c r="HK27" t="s">
        <v>3845</v>
      </c>
      <c r="HL27" t="s">
        <v>3846</v>
      </c>
      <c r="HM27" t="str">
        <f>"-0.147***"</f>
        <v>-0.147***</v>
      </c>
      <c r="HN27" t="s">
        <v>3847</v>
      </c>
      <c r="HO27" t="s">
        <v>3848</v>
      </c>
      <c r="HP27" t="str">
        <f>"-0.205***"</f>
        <v>-0.205***</v>
      </c>
      <c r="HQ27" t="s">
        <v>3849</v>
      </c>
      <c r="HR27" t="s">
        <v>3109</v>
      </c>
      <c r="HS27" t="str">
        <f>"-0.250***"</f>
        <v>-0.250***</v>
      </c>
      <c r="HT27" t="s">
        <v>3850</v>
      </c>
      <c r="HU27" t="s">
        <v>3851</v>
      </c>
      <c r="HV27" t="str">
        <f>"-0.221***"</f>
        <v>-0.221***</v>
      </c>
      <c r="HW27" t="s">
        <v>3852</v>
      </c>
      <c r="HX27" t="s">
        <v>3853</v>
      </c>
      <c r="HY27" t="str">
        <f>"-0.213***"</f>
        <v>-0.213***</v>
      </c>
      <c r="HZ27" t="s">
        <v>3854</v>
      </c>
      <c r="IA27" t="s">
        <v>3855</v>
      </c>
      <c r="IB27" t="str">
        <f>"-0.106**"</f>
        <v>-0.106**</v>
      </c>
      <c r="IC27" t="s">
        <v>3856</v>
      </c>
      <c r="ID27" t="s">
        <v>3857</v>
      </c>
      <c r="IE27" t="str">
        <f>"0.137**"</f>
        <v>0.137**</v>
      </c>
      <c r="IF27" t="s">
        <v>3858</v>
      </c>
      <c r="IG27" t="s">
        <v>3859</v>
      </c>
      <c r="IH27" t="str">
        <f>"0.207***"</f>
        <v>0.207***</v>
      </c>
      <c r="II27" t="s">
        <v>354</v>
      </c>
      <c r="IJ27" t="s">
        <v>3860</v>
      </c>
      <c r="IK27" t="str">
        <f>"0.124**"</f>
        <v>0.124**</v>
      </c>
      <c r="IL27" t="s">
        <v>2887</v>
      </c>
      <c r="IM27" t="s">
        <v>3861</v>
      </c>
      <c r="IN27" t="str">
        <f>"-0.0263"</f>
        <v>-0.0263</v>
      </c>
      <c r="IO27" t="s">
        <v>3862</v>
      </c>
      <c r="IP27" t="s">
        <v>3187</v>
      </c>
      <c r="IQ27" t="str">
        <f>"-0.165**"</f>
        <v>-0.165**</v>
      </c>
      <c r="IR27" t="s">
        <v>3863</v>
      </c>
      <c r="IS27" t="s">
        <v>3864</v>
      </c>
      <c r="IT27" t="str">
        <f>"-0.157**"</f>
        <v>-0.157**</v>
      </c>
      <c r="IU27" t="s">
        <v>3845</v>
      </c>
      <c r="IV27" t="s">
        <v>3865</v>
      </c>
      <c r="IW27" t="str">
        <f>"-0.0765"</f>
        <v>-0.0765</v>
      </c>
      <c r="IX27" t="s">
        <v>3866</v>
      </c>
      <c r="IY27" t="s">
        <v>968</v>
      </c>
      <c r="IZ27" t="str">
        <f>"0.0265"</f>
        <v>0.0265</v>
      </c>
      <c r="JA27" t="s">
        <v>3867</v>
      </c>
      <c r="JB27" t="s">
        <v>3868</v>
      </c>
      <c r="JC27" t="str">
        <f>"0.0560"</f>
        <v>0.0560</v>
      </c>
      <c r="JD27" t="s">
        <v>3869</v>
      </c>
      <c r="JE27" t="s">
        <v>3870</v>
      </c>
      <c r="JF27" t="str">
        <f>"0.0815"</f>
        <v>0.0815</v>
      </c>
      <c r="JG27" t="s">
        <v>3871</v>
      </c>
      <c r="JH27" t="s">
        <v>3872</v>
      </c>
      <c r="JI27" t="str">
        <f>"0.110"</f>
        <v>0.110</v>
      </c>
      <c r="JJ27" t="s">
        <v>3873</v>
      </c>
      <c r="JK27" t="s">
        <v>3874</v>
      </c>
      <c r="JL27" t="str">
        <f>"0.00241"</f>
        <v>0.00241</v>
      </c>
      <c r="JM27" t="s">
        <v>2798</v>
      </c>
      <c r="JN27" t="s">
        <v>3875</v>
      </c>
      <c r="JO27" t="str">
        <f>"-0.00317"</f>
        <v>-0.00317</v>
      </c>
      <c r="JP27" t="s">
        <v>3876</v>
      </c>
      <c r="JQ27" t="s">
        <v>3877</v>
      </c>
      <c r="JR27" t="str">
        <f>"-0.0655"</f>
        <v>-0.0655</v>
      </c>
      <c r="JS27" t="s">
        <v>3878</v>
      </c>
      <c r="JT27" t="s">
        <v>3879</v>
      </c>
      <c r="JU27" t="str">
        <f>"-0.209**"</f>
        <v>-0.209**</v>
      </c>
      <c r="JV27" t="s">
        <v>3880</v>
      </c>
      <c r="JW27" t="s">
        <v>3039</v>
      </c>
      <c r="JX27" t="str">
        <f>"0.0410"</f>
        <v>0.0410</v>
      </c>
      <c r="JY27" t="s">
        <v>3881</v>
      </c>
      <c r="JZ27" t="s">
        <v>3882</v>
      </c>
      <c r="KA27" t="str">
        <f>"0.140"</f>
        <v>0.140</v>
      </c>
      <c r="KB27" t="s">
        <v>945</v>
      </c>
      <c r="KC27" t="s">
        <v>3883</v>
      </c>
      <c r="KD27" t="str">
        <f>"0.244***"</f>
        <v>0.244***</v>
      </c>
      <c r="KE27" t="s">
        <v>2040</v>
      </c>
      <c r="KF27" t="s">
        <v>3884</v>
      </c>
      <c r="KG27" t="str">
        <f>"0.0287"</f>
        <v>0.0287</v>
      </c>
      <c r="KH27" t="s">
        <v>3885</v>
      </c>
      <c r="KI27" t="s">
        <v>3886</v>
      </c>
      <c r="KJ27" t="str">
        <f>"0.143"</f>
        <v>0.143</v>
      </c>
      <c r="KK27" t="s">
        <v>2846</v>
      </c>
      <c r="KL27" t="s">
        <v>3887</v>
      </c>
    </row>
    <row r="28" spans="1:298" x14ac:dyDescent="0.2">
      <c r="A28" t="str">
        <f>"N"</f>
        <v>N</v>
      </c>
      <c r="B28" t="str">
        <f>""</f>
        <v/>
      </c>
      <c r="C28" t="str">
        <f>""</f>
        <v/>
      </c>
      <c r="D28" t="str">
        <f>""</f>
        <v/>
      </c>
      <c r="E28" t="str">
        <f>""</f>
        <v/>
      </c>
      <c r="F28" t="str">
        <f>""</f>
        <v/>
      </c>
      <c r="G28" t="str">
        <f>""</f>
        <v/>
      </c>
      <c r="H28" t="str">
        <f>""</f>
        <v/>
      </c>
      <c r="I28" t="str">
        <f>""</f>
        <v/>
      </c>
      <c r="J28" t="str">
        <f>""</f>
        <v/>
      </c>
      <c r="K28" t="str">
        <f>""</f>
        <v/>
      </c>
      <c r="L28" t="str">
        <f>""</f>
        <v/>
      </c>
      <c r="M28" t="str">
        <f>""</f>
        <v/>
      </c>
      <c r="N28" t="str">
        <f>""</f>
        <v/>
      </c>
      <c r="O28" t="str">
        <f>""</f>
        <v/>
      </c>
      <c r="P28" t="str">
        <f>""</f>
        <v/>
      </c>
      <c r="Q28" t="str">
        <f>""</f>
        <v/>
      </c>
      <c r="R28" t="str">
        <f>""</f>
        <v/>
      </c>
      <c r="S28" t="str">
        <f>""</f>
        <v/>
      </c>
      <c r="T28" t="str">
        <f>""</f>
        <v/>
      </c>
      <c r="U28" t="str">
        <f>""</f>
        <v/>
      </c>
      <c r="V28" t="str">
        <f>""</f>
        <v/>
      </c>
      <c r="W28" t="str">
        <f>""</f>
        <v/>
      </c>
      <c r="X28" t="str">
        <f>""</f>
        <v/>
      </c>
      <c r="Y28" t="str">
        <f>""</f>
        <v/>
      </c>
      <c r="Z28" t="str">
        <f>""</f>
        <v/>
      </c>
      <c r="AA28" t="str">
        <f>""</f>
        <v/>
      </c>
      <c r="AB28" t="str">
        <f>""</f>
        <v/>
      </c>
      <c r="AC28" t="str">
        <f>""</f>
        <v/>
      </c>
      <c r="AD28" t="str">
        <f>""</f>
        <v/>
      </c>
      <c r="AE28" t="str">
        <f>""</f>
        <v/>
      </c>
      <c r="AF28" t="str">
        <f>""</f>
        <v/>
      </c>
      <c r="AG28" t="str">
        <f>""</f>
        <v/>
      </c>
      <c r="AH28" t="str">
        <f>""</f>
        <v/>
      </c>
      <c r="AI28" t="str">
        <f>""</f>
        <v/>
      </c>
      <c r="AJ28" t="str">
        <f>""</f>
        <v/>
      </c>
      <c r="AK28" t="str">
        <f>""</f>
        <v/>
      </c>
      <c r="AL28" t="str">
        <f>""</f>
        <v/>
      </c>
      <c r="AM28" t="str">
        <f>""</f>
        <v/>
      </c>
      <c r="AN28" t="str">
        <f>""</f>
        <v/>
      </c>
      <c r="AO28" t="str">
        <f>""</f>
        <v/>
      </c>
      <c r="AP28" t="str">
        <f>""</f>
        <v/>
      </c>
      <c r="AQ28" t="str">
        <f>""</f>
        <v/>
      </c>
      <c r="AR28" t="str">
        <f>""</f>
        <v/>
      </c>
      <c r="AS28" t="str">
        <f>""</f>
        <v/>
      </c>
      <c r="AT28" t="str">
        <f>""</f>
        <v/>
      </c>
      <c r="AU28" t="str">
        <f>""</f>
        <v/>
      </c>
      <c r="AV28" t="str">
        <f>""</f>
        <v/>
      </c>
      <c r="AW28" t="str">
        <f>""</f>
        <v/>
      </c>
      <c r="AX28" t="str">
        <f>""</f>
        <v/>
      </c>
      <c r="AY28" t="str">
        <f>""</f>
        <v/>
      </c>
      <c r="AZ28" t="str">
        <f>""</f>
        <v/>
      </c>
      <c r="BA28" t="str">
        <f>""</f>
        <v/>
      </c>
      <c r="BB28" t="str">
        <f>""</f>
        <v/>
      </c>
      <c r="BC28" t="str">
        <f>""</f>
        <v/>
      </c>
      <c r="BD28" t="str">
        <f>""</f>
        <v/>
      </c>
      <c r="BE28" t="str">
        <f>""</f>
        <v/>
      </c>
      <c r="BF28" t="str">
        <f>""</f>
        <v/>
      </c>
      <c r="BG28" t="str">
        <f>""</f>
        <v/>
      </c>
      <c r="BH28" t="str">
        <f>""</f>
        <v/>
      </c>
      <c r="BI28" t="str">
        <f>""</f>
        <v/>
      </c>
      <c r="BJ28" t="str">
        <f>""</f>
        <v/>
      </c>
      <c r="BK28" t="str">
        <f>""</f>
        <v/>
      </c>
      <c r="BL28" t="str">
        <f>""</f>
        <v/>
      </c>
      <c r="BM28" t="str">
        <f>""</f>
        <v/>
      </c>
      <c r="BN28" t="str">
        <f>""</f>
        <v/>
      </c>
      <c r="BO28" t="str">
        <f>""</f>
        <v/>
      </c>
      <c r="BP28" t="str">
        <f>""</f>
        <v/>
      </c>
      <c r="BQ28" t="str">
        <f>""</f>
        <v/>
      </c>
      <c r="BR28" t="str">
        <f>""</f>
        <v/>
      </c>
      <c r="BS28" t="str">
        <f>""</f>
        <v/>
      </c>
      <c r="BT28" t="str">
        <f>""</f>
        <v/>
      </c>
      <c r="BU28" t="str">
        <f>""</f>
        <v/>
      </c>
      <c r="BV28" t="str">
        <f>""</f>
        <v/>
      </c>
      <c r="BW28" t="str">
        <f>""</f>
        <v/>
      </c>
      <c r="BX28" t="str">
        <f>""</f>
        <v/>
      </c>
      <c r="BY28" t="str">
        <f>""</f>
        <v/>
      </c>
      <c r="BZ28" t="str">
        <f>""</f>
        <v/>
      </c>
      <c r="CA28" t="str">
        <f>""</f>
        <v/>
      </c>
      <c r="CB28" t="str">
        <f>""</f>
        <v/>
      </c>
      <c r="CC28" t="str">
        <f>""</f>
        <v/>
      </c>
      <c r="CD28" t="str">
        <f>""</f>
        <v/>
      </c>
      <c r="CE28" t="str">
        <f>""</f>
        <v/>
      </c>
      <c r="CF28" t="str">
        <f>""</f>
        <v/>
      </c>
      <c r="CG28" t="str">
        <f>""</f>
        <v/>
      </c>
      <c r="CH28" t="str">
        <f>""</f>
        <v/>
      </c>
      <c r="CI28" t="str">
        <f>""</f>
        <v/>
      </c>
      <c r="CJ28" t="str">
        <f>""</f>
        <v/>
      </c>
      <c r="CK28" t="str">
        <f>""</f>
        <v/>
      </c>
      <c r="CL28" t="str">
        <f>""</f>
        <v/>
      </c>
      <c r="CM28" t="str">
        <f>""</f>
        <v/>
      </c>
      <c r="CN28" t="str">
        <f>""</f>
        <v/>
      </c>
      <c r="CO28" t="str">
        <f>""</f>
        <v/>
      </c>
      <c r="CP28" t="str">
        <f>""</f>
        <v/>
      </c>
      <c r="CQ28" t="str">
        <f>""</f>
        <v/>
      </c>
      <c r="CR28" t="str">
        <f>""</f>
        <v/>
      </c>
      <c r="CS28" t="str">
        <f>""</f>
        <v/>
      </c>
      <c r="CT28" t="str">
        <f>""</f>
        <v/>
      </c>
      <c r="CU28" t="str">
        <f>""</f>
        <v/>
      </c>
      <c r="CV28" t="str">
        <f>""</f>
        <v/>
      </c>
      <c r="CW28" t="str">
        <f>""</f>
        <v/>
      </c>
      <c r="CX28" t="str">
        <f>""</f>
        <v/>
      </c>
      <c r="CY28" t="str">
        <f>""</f>
        <v/>
      </c>
      <c r="CZ28" t="str">
        <f>""</f>
        <v/>
      </c>
      <c r="DA28" t="str">
        <f>""</f>
        <v/>
      </c>
      <c r="DB28" t="str">
        <f>""</f>
        <v/>
      </c>
      <c r="DC28" t="str">
        <f>""</f>
        <v/>
      </c>
      <c r="DD28" t="str">
        <f>""</f>
        <v/>
      </c>
      <c r="DE28" t="str">
        <f>""</f>
        <v/>
      </c>
      <c r="DF28" t="str">
        <f>""</f>
        <v/>
      </c>
      <c r="DG28" t="str">
        <f>""</f>
        <v/>
      </c>
      <c r="DH28" t="str">
        <f>""</f>
        <v/>
      </c>
      <c r="DI28" t="str">
        <f>""</f>
        <v/>
      </c>
      <c r="DJ28" t="str">
        <f>""</f>
        <v/>
      </c>
      <c r="DK28" t="str">
        <f>""</f>
        <v/>
      </c>
      <c r="DL28" t="str">
        <f>""</f>
        <v/>
      </c>
      <c r="DM28" t="str">
        <f>""</f>
        <v/>
      </c>
      <c r="DN28" t="str">
        <f>""</f>
        <v/>
      </c>
      <c r="DO28" t="str">
        <f>""</f>
        <v/>
      </c>
      <c r="DP28" t="str">
        <f>""</f>
        <v/>
      </c>
      <c r="DQ28" t="str">
        <f>""</f>
        <v/>
      </c>
      <c r="DR28" t="str">
        <f>""</f>
        <v/>
      </c>
      <c r="DS28" t="str">
        <f>""</f>
        <v/>
      </c>
      <c r="DT28" t="str">
        <f>""</f>
        <v/>
      </c>
      <c r="DU28" t="str">
        <f>""</f>
        <v/>
      </c>
      <c r="DV28" t="str">
        <f>""</f>
        <v/>
      </c>
      <c r="DW28" t="str">
        <f>""</f>
        <v/>
      </c>
      <c r="DX28" t="str">
        <f>""</f>
        <v/>
      </c>
      <c r="DY28" t="str">
        <f>""</f>
        <v/>
      </c>
      <c r="DZ28" t="str">
        <f>""</f>
        <v/>
      </c>
      <c r="EA28" t="str">
        <f>""</f>
        <v/>
      </c>
      <c r="EB28" t="str">
        <f>""</f>
        <v/>
      </c>
      <c r="EC28" t="str">
        <f>""</f>
        <v/>
      </c>
      <c r="ED28" t="str">
        <f>""</f>
        <v/>
      </c>
      <c r="EE28" t="str">
        <f>""</f>
        <v/>
      </c>
      <c r="EF28" t="str">
        <f>""</f>
        <v/>
      </c>
      <c r="EG28" t="str">
        <f>""</f>
        <v/>
      </c>
      <c r="EH28" t="str">
        <f>""</f>
        <v/>
      </c>
      <c r="EI28" t="str">
        <f>""</f>
        <v/>
      </c>
      <c r="EJ28" t="str">
        <f>""</f>
        <v/>
      </c>
      <c r="EK28" t="str">
        <f>""</f>
        <v/>
      </c>
      <c r="EL28" t="str">
        <f>""</f>
        <v/>
      </c>
      <c r="EM28" t="str">
        <f>""</f>
        <v/>
      </c>
      <c r="EN28" t="str">
        <f>""</f>
        <v/>
      </c>
      <c r="EO28" t="str">
        <f>""</f>
        <v/>
      </c>
      <c r="EP28" t="str">
        <f>""</f>
        <v/>
      </c>
      <c r="EQ28" t="str">
        <f>""</f>
        <v/>
      </c>
      <c r="ER28" t="str">
        <f>""</f>
        <v/>
      </c>
      <c r="ES28" t="str">
        <f>""</f>
        <v/>
      </c>
      <c r="ET28" t="str">
        <f>""</f>
        <v/>
      </c>
      <c r="EU28" t="str">
        <f>""</f>
        <v/>
      </c>
      <c r="EV28" t="str">
        <f>""</f>
        <v/>
      </c>
      <c r="EW28" t="str">
        <f>""</f>
        <v/>
      </c>
      <c r="EX28" t="str">
        <f>""</f>
        <v/>
      </c>
      <c r="EY28" t="str">
        <f>""</f>
        <v/>
      </c>
      <c r="EZ28" t="str">
        <f>""</f>
        <v/>
      </c>
      <c r="FA28" t="str">
        <f>""</f>
        <v/>
      </c>
      <c r="FB28" t="str">
        <f>""</f>
        <v/>
      </c>
      <c r="FC28" t="str">
        <f>""</f>
        <v/>
      </c>
      <c r="FD28" t="str">
        <f>""</f>
        <v/>
      </c>
      <c r="FE28" t="str">
        <f>""</f>
        <v/>
      </c>
      <c r="FF28" t="str">
        <f>""</f>
        <v/>
      </c>
      <c r="FG28" t="str">
        <f>""</f>
        <v/>
      </c>
      <c r="FH28" t="str">
        <f>""</f>
        <v/>
      </c>
      <c r="FI28" t="str">
        <f>""</f>
        <v/>
      </c>
      <c r="FJ28" t="str">
        <f>""</f>
        <v/>
      </c>
      <c r="FK28" t="str">
        <f>""</f>
        <v/>
      </c>
      <c r="FL28" t="str">
        <f>""</f>
        <v/>
      </c>
      <c r="FM28" t="str">
        <f>""</f>
        <v/>
      </c>
      <c r="FN28" t="str">
        <f>""</f>
        <v/>
      </c>
      <c r="FO28" t="str">
        <f>""</f>
        <v/>
      </c>
      <c r="FP28" t="str">
        <f>""</f>
        <v/>
      </c>
      <c r="FQ28" t="str">
        <f>""</f>
        <v/>
      </c>
      <c r="FR28" t="str">
        <f>""</f>
        <v/>
      </c>
      <c r="FS28" t="str">
        <f>""</f>
        <v/>
      </c>
      <c r="FT28" t="str">
        <f>""</f>
        <v/>
      </c>
      <c r="FU28" t="str">
        <f>""</f>
        <v/>
      </c>
      <c r="FV28" t="str">
        <f>""</f>
        <v/>
      </c>
      <c r="FW28" t="str">
        <f>""</f>
        <v/>
      </c>
      <c r="FX28" t="str">
        <f>""</f>
        <v/>
      </c>
      <c r="FY28" t="str">
        <f>""</f>
        <v/>
      </c>
      <c r="FZ28" t="str">
        <f>""</f>
        <v/>
      </c>
      <c r="GA28" t="str">
        <f>""</f>
        <v/>
      </c>
      <c r="GB28" t="str">
        <f>""</f>
        <v/>
      </c>
      <c r="GC28" t="str">
        <f>""</f>
        <v/>
      </c>
      <c r="GD28" t="str">
        <f>""</f>
        <v/>
      </c>
      <c r="GE28" t="str">
        <f>""</f>
        <v/>
      </c>
      <c r="GF28" t="str">
        <f>""</f>
        <v/>
      </c>
      <c r="GG28" t="str">
        <f>""</f>
        <v/>
      </c>
      <c r="GH28" t="str">
        <f>""</f>
        <v/>
      </c>
      <c r="GI28" t="str">
        <f>""</f>
        <v/>
      </c>
      <c r="GJ28" t="str">
        <f>""</f>
        <v/>
      </c>
      <c r="GK28" t="str">
        <f>""</f>
        <v/>
      </c>
      <c r="GL28" t="str">
        <f>""</f>
        <v/>
      </c>
      <c r="GM28" t="str">
        <f>""</f>
        <v/>
      </c>
      <c r="GN28" t="str">
        <f>""</f>
        <v/>
      </c>
      <c r="GO28" t="str">
        <f>""</f>
        <v/>
      </c>
      <c r="GP28" t="str">
        <f>""</f>
        <v/>
      </c>
      <c r="GQ28" t="str">
        <f>""</f>
        <v/>
      </c>
    </row>
    <row r="29" spans="1:298" x14ac:dyDescent="0.2">
      <c r="A29" t="str">
        <f>"95% confidence intervals in brackets"</f>
        <v>95% confidence intervals in brackets</v>
      </c>
    </row>
    <row r="30" spans="1:298" x14ac:dyDescent="0.2">
      <c r="A30" t="s">
        <v>243</v>
      </c>
      <c r="B30" t="s">
        <v>242</v>
      </c>
      <c r="C30" t="s">
        <v>241</v>
      </c>
    </row>
    <row r="35" spans="1:100" x14ac:dyDescent="0.2">
      <c r="A35" t="s">
        <v>229</v>
      </c>
      <c r="B35">
        <v>-3.5099999999999999E-2</v>
      </c>
      <c r="C35">
        <v>-9.2499999999999999E-2</v>
      </c>
      <c r="D35">
        <v>-0.1242</v>
      </c>
      <c r="E35">
        <v>-9.06E-2</v>
      </c>
      <c r="F35">
        <v>-0.154</v>
      </c>
      <c r="G35">
        <v>-9.4299999999999995E-2</v>
      </c>
      <c r="H35">
        <v>-0.1353</v>
      </c>
      <c r="I35">
        <v>-9.0200000000000002E-2</v>
      </c>
      <c r="J35">
        <v>-6.5199999999999994E-2</v>
      </c>
      <c r="K35">
        <v>-9.9299999999999999E-2</v>
      </c>
      <c r="L35">
        <v>-6.7000000000000004E-2</v>
      </c>
      <c r="M35">
        <v>-2.7199999999999998E-2</v>
      </c>
      <c r="N35">
        <v>-4.7E-2</v>
      </c>
      <c r="O35">
        <v>-3.1699999999999999E-2</v>
      </c>
      <c r="P35">
        <v>-7.7000000000000002E-3</v>
      </c>
      <c r="Q35">
        <v>-3.2000000000000002E-3</v>
      </c>
      <c r="R35">
        <v>4.1000000000000003E-3</v>
      </c>
      <c r="S35">
        <v>3.3E-3</v>
      </c>
      <c r="T35">
        <v>2.01E-2</v>
      </c>
      <c r="U35">
        <v>1.66E-2</v>
      </c>
      <c r="V35">
        <v>1.9E-3</v>
      </c>
      <c r="W35">
        <v>2.1000000000000001E-2</v>
      </c>
      <c r="X35">
        <v>3.0999999999999999E-3</v>
      </c>
      <c r="Y35">
        <v>-9.7000000000000003E-3</v>
      </c>
      <c r="Z35">
        <v>-5.4000000000000003E-3</v>
      </c>
      <c r="AA35">
        <v>-1.12E-2</v>
      </c>
      <c r="AB35">
        <v>1.17E-2</v>
      </c>
      <c r="AC35">
        <v>1.21E-2</v>
      </c>
      <c r="AD35">
        <v>9.1999999999999998E-3</v>
      </c>
      <c r="AE35">
        <v>2.3999999999999998E-3</v>
      </c>
      <c r="AF35">
        <v>1.3899999999999999E-2</v>
      </c>
      <c r="AG35">
        <v>6.4999999999999997E-3</v>
      </c>
      <c r="AH35">
        <v>-1.37E-2</v>
      </c>
      <c r="AI35">
        <v>-1.8100000000000002E-2</v>
      </c>
      <c r="AJ35">
        <v>6.4000000000000003E-3</v>
      </c>
      <c r="AK35">
        <v>1.0699999999999999E-2</v>
      </c>
      <c r="AL35">
        <v>1.4800000000000001E-2</v>
      </c>
      <c r="AM35">
        <v>2E-3</v>
      </c>
      <c r="AN35">
        <v>-2.3199999999999998E-2</v>
      </c>
      <c r="AO35">
        <v>-3.4700000000000002E-2</v>
      </c>
      <c r="AP35">
        <v>-1.89E-2</v>
      </c>
      <c r="AQ35">
        <v>-7.7999999999999996E-3</v>
      </c>
      <c r="AR35">
        <v>2.9999999999999997E-4</v>
      </c>
      <c r="AS35">
        <v>9.7999999999999997E-3</v>
      </c>
      <c r="AT35">
        <v>1.7999999999999999E-2</v>
      </c>
      <c r="AU35">
        <v>1.0800000000000001E-2</v>
      </c>
      <c r="AV35">
        <v>-1.21E-2</v>
      </c>
      <c r="AW35">
        <v>-4.8999999999999998E-3</v>
      </c>
      <c r="AX35">
        <v>-6.6E-3</v>
      </c>
      <c r="AY35">
        <v>5.1999999999999998E-3</v>
      </c>
      <c r="AZ35">
        <v>-1.8E-3</v>
      </c>
      <c r="BA35">
        <v>-1.2999999999999999E-2</v>
      </c>
      <c r="BB35">
        <v>-2.5600000000000001E-2</v>
      </c>
      <c r="BC35">
        <v>-2.5700000000000001E-2</v>
      </c>
      <c r="BD35">
        <v>1.54E-2</v>
      </c>
      <c r="BE35">
        <v>-7.7000000000000002E-3</v>
      </c>
      <c r="BF35">
        <v>-4.8999999999999998E-3</v>
      </c>
      <c r="BG35">
        <v>-1.0800000000000001E-2</v>
      </c>
      <c r="BH35">
        <v>-1.8800000000000001E-2</v>
      </c>
      <c r="BI35">
        <v>-1.0200000000000001E-2</v>
      </c>
      <c r="BJ35">
        <v>1.9400000000000001E-2</v>
      </c>
      <c r="BK35">
        <v>3.8999999999999998E-3</v>
      </c>
      <c r="BL35">
        <v>-1.72E-2</v>
      </c>
      <c r="BM35">
        <v>-1.2800000000000001E-2</v>
      </c>
      <c r="BN35">
        <v>3.39E-2</v>
      </c>
      <c r="BO35">
        <v>2.3599999999999999E-2</v>
      </c>
      <c r="BP35">
        <v>1.06E-2</v>
      </c>
      <c r="BQ35">
        <v>-1.9599999999999999E-2</v>
      </c>
      <c r="BR35">
        <v>-3.7100000000000001E-2</v>
      </c>
      <c r="BS35">
        <v>-2.4400000000000002E-2</v>
      </c>
      <c r="BT35">
        <v>-4.8999999999999998E-3</v>
      </c>
      <c r="BU35">
        <v>2E-3</v>
      </c>
      <c r="BV35">
        <v>-9.7000000000000003E-3</v>
      </c>
      <c r="BW35">
        <v>1.0500000000000001E-2</v>
      </c>
      <c r="BX35">
        <v>-3.8E-3</v>
      </c>
      <c r="BY35">
        <v>-3.1399999999999997E-2</v>
      </c>
      <c r="BZ35">
        <v>1.2500000000000001E-2</v>
      </c>
      <c r="CA35">
        <v>1.34E-2</v>
      </c>
      <c r="CB35">
        <v>3.3799999999999997E-2</v>
      </c>
      <c r="CC35">
        <v>4.2299999999999997E-2</v>
      </c>
      <c r="CD35">
        <v>6.3E-3</v>
      </c>
      <c r="CE35">
        <v>-3.9100000000000003E-2</v>
      </c>
      <c r="CF35">
        <v>-2.07E-2</v>
      </c>
      <c r="CG35">
        <v>-6.1000000000000004E-3</v>
      </c>
      <c r="CH35">
        <v>-4.3E-3</v>
      </c>
      <c r="CI35">
        <v>-2.9999999999999997E-4</v>
      </c>
      <c r="CJ35">
        <v>3.2399999999999998E-2</v>
      </c>
      <c r="CK35">
        <v>-9.5999999999999992E-3</v>
      </c>
      <c r="CL35">
        <v>-1.7100000000000001E-2</v>
      </c>
      <c r="CM35">
        <v>-1.2800000000000001E-2</v>
      </c>
      <c r="CN35">
        <v>-3.0599999999999999E-2</v>
      </c>
      <c r="CO35">
        <v>-2.6100000000000002E-2</v>
      </c>
      <c r="CP35">
        <v>-2.8500000000000001E-2</v>
      </c>
      <c r="CQ35">
        <v>-3.2599999999999997E-2</v>
      </c>
      <c r="CR35">
        <v>-1.5900000000000001E-2</v>
      </c>
      <c r="CS35">
        <v>-3.9600000000000003E-2</v>
      </c>
      <c r="CT35">
        <v>1.5E-3</v>
      </c>
      <c r="CU35">
        <v>-4.7300000000000002E-2</v>
      </c>
      <c r="CV35">
        <v>-6.2199999999999998E-2</v>
      </c>
    </row>
    <row r="36" spans="1:100" x14ac:dyDescent="0.2">
      <c r="A36" t="s">
        <v>228</v>
      </c>
      <c r="B36">
        <v>1.6400000000000001E-2</v>
      </c>
      <c r="C36">
        <v>-3.6700000000000003E-2</v>
      </c>
      <c r="D36">
        <v>-7.4899999999999994E-2</v>
      </c>
      <c r="E36">
        <v>-5.3999999999999999E-2</v>
      </c>
      <c r="F36">
        <v>-0.11260000000000001</v>
      </c>
      <c r="G36">
        <v>-5.9400000000000001E-2</v>
      </c>
      <c r="H36">
        <v>-0.10059999999999999</v>
      </c>
      <c r="I36">
        <v>-5.79E-2</v>
      </c>
      <c r="J36">
        <v>-3.56E-2</v>
      </c>
      <c r="K36">
        <v>-7.1300000000000002E-2</v>
      </c>
      <c r="L36">
        <v>-4.2000000000000003E-2</v>
      </c>
      <c r="M36">
        <v>-1.04E-2</v>
      </c>
      <c r="N36">
        <v>-3.0599999999999999E-2</v>
      </c>
      <c r="O36">
        <v>-1.67E-2</v>
      </c>
      <c r="P36">
        <v>6.1000000000000004E-3</v>
      </c>
      <c r="Q36">
        <v>9.5999999999999992E-3</v>
      </c>
      <c r="R36">
        <v>1.54E-2</v>
      </c>
      <c r="S36">
        <v>1.41E-2</v>
      </c>
      <c r="T36">
        <v>3.0099999999999998E-2</v>
      </c>
      <c r="U36">
        <v>2.6499999999999999E-2</v>
      </c>
      <c r="V36">
        <v>1.15E-2</v>
      </c>
      <c r="W36">
        <v>2.9899999999999999E-2</v>
      </c>
      <c r="X36">
        <v>1.1900000000000001E-2</v>
      </c>
      <c r="Y36">
        <v>-6.9999999999999999E-4</v>
      </c>
      <c r="Z36">
        <v>3.7000000000000002E-3</v>
      </c>
      <c r="AA36">
        <v>-2.0999999999999999E-3</v>
      </c>
      <c r="AB36">
        <v>2.0899999999999998E-2</v>
      </c>
      <c r="AC36">
        <v>2.1600000000000001E-2</v>
      </c>
      <c r="AD36">
        <v>1.8800000000000001E-2</v>
      </c>
      <c r="AE36">
        <v>1.23E-2</v>
      </c>
      <c r="AF36">
        <v>2.4299999999999999E-2</v>
      </c>
      <c r="AG36">
        <v>1.7299999999999999E-2</v>
      </c>
      <c r="AH36">
        <v>-2.3999999999999998E-3</v>
      </c>
      <c r="AI36">
        <v>-6.1000000000000004E-3</v>
      </c>
      <c r="AJ36">
        <v>1.89E-2</v>
      </c>
      <c r="AK36">
        <v>2.3599999999999999E-2</v>
      </c>
      <c r="AL36">
        <v>2.7799999999999998E-2</v>
      </c>
      <c r="AM36">
        <v>1.52E-2</v>
      </c>
      <c r="AN36">
        <v>-1.01E-2</v>
      </c>
      <c r="AO36">
        <v>-2.1700000000000001E-2</v>
      </c>
      <c r="AP36">
        <v>-5.7000000000000002E-3</v>
      </c>
      <c r="AQ36">
        <v>5.4999999999999997E-3</v>
      </c>
      <c r="AR36">
        <v>1.37E-2</v>
      </c>
      <c r="AS36">
        <v>2.3199999999999998E-2</v>
      </c>
      <c r="AT36">
        <v>3.1600000000000003E-2</v>
      </c>
      <c r="AU36">
        <v>2.46E-2</v>
      </c>
      <c r="AV36">
        <v>2.0999999999999999E-3</v>
      </c>
      <c r="AW36">
        <v>9.4999999999999998E-3</v>
      </c>
      <c r="AX36">
        <v>8.0999999999999996E-3</v>
      </c>
      <c r="AY36">
        <v>2.01E-2</v>
      </c>
      <c r="AZ36">
        <v>1.34E-2</v>
      </c>
      <c r="BA36">
        <v>2.2000000000000001E-3</v>
      </c>
      <c r="BB36">
        <v>-1.04E-2</v>
      </c>
      <c r="BC36">
        <v>-1.03E-2</v>
      </c>
      <c r="BD36">
        <v>3.1399999999999997E-2</v>
      </c>
      <c r="BE36">
        <v>8.3000000000000001E-3</v>
      </c>
      <c r="BF36">
        <v>1.14E-2</v>
      </c>
      <c r="BG36">
        <v>6.1000000000000004E-3</v>
      </c>
      <c r="BH36">
        <v>-1.6999999999999999E-3</v>
      </c>
      <c r="BI36">
        <v>7.4000000000000003E-3</v>
      </c>
      <c r="BJ36">
        <v>3.7199999999999997E-2</v>
      </c>
      <c r="BK36">
        <v>2.18E-2</v>
      </c>
      <c r="BL36">
        <v>5.9999999999999995E-4</v>
      </c>
      <c r="BM36">
        <v>4.5999999999999999E-3</v>
      </c>
      <c r="BN36">
        <v>5.0999999999999997E-2</v>
      </c>
      <c r="BO36">
        <v>4.07E-2</v>
      </c>
      <c r="BP36">
        <v>2.76E-2</v>
      </c>
      <c r="BQ36">
        <v>-2.2000000000000001E-3</v>
      </c>
      <c r="BR36">
        <v>-1.9300000000000001E-2</v>
      </c>
      <c r="BS36">
        <v>-5.1000000000000004E-3</v>
      </c>
      <c r="BT36">
        <v>1.7399999999999999E-2</v>
      </c>
      <c r="BU36">
        <v>2.63E-2</v>
      </c>
      <c r="BV36">
        <v>1.49E-2</v>
      </c>
      <c r="BW36">
        <v>3.4500000000000003E-2</v>
      </c>
      <c r="BX36">
        <v>1.9199999999999998E-2</v>
      </c>
      <c r="BY36">
        <v>-8.6999999999999994E-3</v>
      </c>
      <c r="BZ36">
        <v>3.5799999999999998E-2</v>
      </c>
      <c r="CA36">
        <v>3.6999999999999998E-2</v>
      </c>
      <c r="CB36">
        <v>5.79E-2</v>
      </c>
      <c r="CC36">
        <v>6.8900000000000003E-2</v>
      </c>
      <c r="CD36">
        <v>3.3700000000000001E-2</v>
      </c>
      <c r="CE36">
        <v>-1.2E-2</v>
      </c>
      <c r="CF36">
        <v>8.2000000000000007E-3</v>
      </c>
      <c r="CG36">
        <v>2.53E-2</v>
      </c>
      <c r="CH36">
        <v>2.9399999999999999E-2</v>
      </c>
      <c r="CI36">
        <v>3.1399999999999997E-2</v>
      </c>
      <c r="CJ36">
        <v>6.2600000000000003E-2</v>
      </c>
      <c r="CK36">
        <v>2.06E-2</v>
      </c>
      <c r="CL36">
        <v>2.01E-2</v>
      </c>
      <c r="CM36">
        <v>2.5899999999999999E-2</v>
      </c>
      <c r="CN36">
        <v>4.1000000000000003E-3</v>
      </c>
      <c r="CO36">
        <v>8.8999999999999999E-3</v>
      </c>
      <c r="CP36">
        <v>2.0299999999999999E-2</v>
      </c>
      <c r="CQ36">
        <v>1.6E-2</v>
      </c>
      <c r="CR36">
        <v>4.0500000000000001E-2</v>
      </c>
      <c r="CS36">
        <v>1.9900000000000001E-2</v>
      </c>
      <c r="CT36">
        <v>6.0299999999999999E-2</v>
      </c>
      <c r="CU36">
        <v>3.4599999999999999E-2</v>
      </c>
      <c r="CV36">
        <v>2.7099999999999999E-2</v>
      </c>
    </row>
    <row r="37" spans="1:100" x14ac:dyDescent="0.2">
      <c r="A37" t="s">
        <v>231</v>
      </c>
      <c r="B37">
        <v>3.2300000000000002E-2</v>
      </c>
      <c r="C37">
        <v>3.8800000000000001E-2</v>
      </c>
      <c r="D37">
        <v>0.03</v>
      </c>
      <c r="E37">
        <v>2.8400000000000002E-2</v>
      </c>
      <c r="F37">
        <v>2.2499999999999999E-2</v>
      </c>
      <c r="G37">
        <v>2.4899999999999999E-2</v>
      </c>
      <c r="H37">
        <v>2.01E-2</v>
      </c>
      <c r="I37">
        <v>1.9E-2</v>
      </c>
      <c r="J37">
        <v>1.9199999999999998E-2</v>
      </c>
      <c r="K37">
        <v>1.5599999999999999E-2</v>
      </c>
      <c r="L37">
        <v>1.43E-2</v>
      </c>
      <c r="M37">
        <v>1.26E-2</v>
      </c>
      <c r="N37">
        <v>1.2800000000000001E-2</v>
      </c>
      <c r="O37">
        <v>1.3299999999999999E-2</v>
      </c>
      <c r="P37">
        <v>1.49E-2</v>
      </c>
      <c r="Q37">
        <v>1.4999999999999999E-2</v>
      </c>
      <c r="R37">
        <v>1.54E-2</v>
      </c>
      <c r="S37">
        <v>1.67E-2</v>
      </c>
      <c r="T37">
        <v>1.8599999999999998E-2</v>
      </c>
      <c r="U37">
        <v>0.02</v>
      </c>
      <c r="V37">
        <v>2.0799999999999999E-2</v>
      </c>
      <c r="W37">
        <v>2.1000000000000001E-2</v>
      </c>
      <c r="X37">
        <v>2.1299999999999999E-2</v>
      </c>
      <c r="Y37">
        <v>2.23E-2</v>
      </c>
      <c r="Z37">
        <v>2.4E-2</v>
      </c>
      <c r="AA37">
        <v>2.52E-2</v>
      </c>
      <c r="AB37">
        <v>2.58E-2</v>
      </c>
      <c r="AC37">
        <v>2.8199999999999999E-2</v>
      </c>
      <c r="AD37">
        <v>2.9600000000000001E-2</v>
      </c>
      <c r="AE37">
        <v>3.1300000000000001E-2</v>
      </c>
      <c r="AF37">
        <v>3.3500000000000002E-2</v>
      </c>
      <c r="AG37">
        <v>3.5799999999999998E-2</v>
      </c>
      <c r="AH37">
        <v>3.9800000000000002E-2</v>
      </c>
      <c r="AI37">
        <v>4.2799999999999998E-2</v>
      </c>
      <c r="AJ37">
        <v>4.5499999999999999E-2</v>
      </c>
      <c r="AK37">
        <v>4.7199999999999999E-2</v>
      </c>
      <c r="AL37">
        <v>4.9399999999999999E-2</v>
      </c>
      <c r="AM37">
        <v>5.1299999999999998E-2</v>
      </c>
      <c r="AN37">
        <v>5.0999999999999997E-2</v>
      </c>
      <c r="AO37">
        <v>5.0599999999999999E-2</v>
      </c>
      <c r="AP37">
        <v>5.1200000000000002E-2</v>
      </c>
      <c r="AQ37">
        <v>5.1299999999999998E-2</v>
      </c>
      <c r="AR37">
        <v>5.2699999999999997E-2</v>
      </c>
      <c r="AS37">
        <v>5.2699999999999997E-2</v>
      </c>
      <c r="AT37">
        <v>5.5800000000000002E-2</v>
      </c>
      <c r="AU37">
        <v>5.8700000000000002E-2</v>
      </c>
      <c r="AV37">
        <v>6.2300000000000001E-2</v>
      </c>
      <c r="AW37">
        <v>6.5100000000000005E-2</v>
      </c>
      <c r="AX37">
        <v>6.7900000000000002E-2</v>
      </c>
      <c r="AY37">
        <v>7.0699999999999999E-2</v>
      </c>
      <c r="AZ37">
        <v>7.1499999999999994E-2</v>
      </c>
      <c r="BA37">
        <v>7.17E-2</v>
      </c>
      <c r="BB37">
        <v>7.2099999999999997E-2</v>
      </c>
      <c r="BC37">
        <v>7.2599999999999998E-2</v>
      </c>
      <c r="BD37">
        <v>7.4800000000000005E-2</v>
      </c>
      <c r="BE37">
        <v>7.5300000000000006E-2</v>
      </c>
      <c r="BF37">
        <v>7.6600000000000001E-2</v>
      </c>
      <c r="BG37">
        <v>7.9699999999999993E-2</v>
      </c>
      <c r="BH37">
        <v>8.2100000000000006E-2</v>
      </c>
      <c r="BI37">
        <v>8.3599999999999994E-2</v>
      </c>
      <c r="BJ37">
        <v>8.48E-2</v>
      </c>
      <c r="BK37">
        <v>8.6900000000000005E-2</v>
      </c>
      <c r="BL37">
        <v>8.8099999999999998E-2</v>
      </c>
      <c r="BM37">
        <v>8.8300000000000003E-2</v>
      </c>
      <c r="BN37">
        <v>8.7900000000000006E-2</v>
      </c>
      <c r="BO37">
        <v>8.8400000000000006E-2</v>
      </c>
      <c r="BP37">
        <v>8.9399999999999993E-2</v>
      </c>
      <c r="BQ37">
        <v>9.4200000000000006E-2</v>
      </c>
      <c r="BR37">
        <v>9.7299999999999998E-2</v>
      </c>
      <c r="BS37">
        <v>0.104</v>
      </c>
      <c r="BT37">
        <v>0.10780000000000001</v>
      </c>
      <c r="BU37">
        <v>0.1167</v>
      </c>
      <c r="BV37">
        <v>0.1193</v>
      </c>
      <c r="BW37">
        <v>0.1186</v>
      </c>
      <c r="BX37">
        <v>0.1096</v>
      </c>
      <c r="BY37">
        <v>0.10639999999999999</v>
      </c>
      <c r="BZ37">
        <v>0.1046</v>
      </c>
      <c r="CA37">
        <v>0.1046</v>
      </c>
      <c r="CB37">
        <v>0.11</v>
      </c>
      <c r="CC37">
        <v>0.1381</v>
      </c>
      <c r="CD37">
        <v>0.14990000000000001</v>
      </c>
      <c r="CE37">
        <v>0.14499999999999999</v>
      </c>
      <c r="CF37">
        <v>0.13850000000000001</v>
      </c>
      <c r="CG37">
        <v>0.1384</v>
      </c>
      <c r="CH37">
        <v>0.14249999999999999</v>
      </c>
      <c r="CI37">
        <v>0.13619999999999999</v>
      </c>
      <c r="CJ37">
        <v>0.13070000000000001</v>
      </c>
      <c r="CK37">
        <v>0.1343</v>
      </c>
      <c r="CL37">
        <v>0.15609999999999999</v>
      </c>
      <c r="CM37">
        <v>0.15679999999999999</v>
      </c>
      <c r="CN37">
        <v>0.13170000000000001</v>
      </c>
      <c r="CO37">
        <v>0.1216</v>
      </c>
      <c r="CP37">
        <v>0.15479999999999999</v>
      </c>
      <c r="CQ37">
        <v>0.12640000000000001</v>
      </c>
      <c r="CR37">
        <v>0.14749999999999999</v>
      </c>
      <c r="CS37">
        <v>0.1474</v>
      </c>
      <c r="CT37">
        <v>0.13600000000000001</v>
      </c>
      <c r="CU37">
        <v>0.13819999999999999</v>
      </c>
      <c r="CV37">
        <v>0.13339999999999999</v>
      </c>
    </row>
    <row r="38" spans="1:100" x14ac:dyDescent="0.2">
      <c r="A38" t="s">
        <v>230</v>
      </c>
      <c r="B38">
        <v>5.1299999999999998E-2</v>
      </c>
      <c r="C38">
        <v>6.08E-2</v>
      </c>
      <c r="D38">
        <v>4.8099999999999997E-2</v>
      </c>
      <c r="E38">
        <v>4.6199999999999998E-2</v>
      </c>
      <c r="F38">
        <v>3.7199999999999997E-2</v>
      </c>
      <c r="G38">
        <v>4.1599999999999998E-2</v>
      </c>
      <c r="H38">
        <v>3.5000000000000003E-2</v>
      </c>
      <c r="I38">
        <v>3.3099999999999997E-2</v>
      </c>
      <c r="J38">
        <v>3.3099999999999997E-2</v>
      </c>
      <c r="K38">
        <v>2.6800000000000001E-2</v>
      </c>
      <c r="L38">
        <v>2.3599999999999999E-2</v>
      </c>
      <c r="M38">
        <v>1.9699999999999999E-2</v>
      </c>
      <c r="N38">
        <v>1.9099999999999999E-2</v>
      </c>
      <c r="O38">
        <v>1.9300000000000001E-2</v>
      </c>
      <c r="P38">
        <v>2.0799999999999999E-2</v>
      </c>
      <c r="Q38">
        <v>2.07E-2</v>
      </c>
      <c r="R38">
        <v>2.0799999999999999E-2</v>
      </c>
      <c r="S38">
        <v>2.1999999999999999E-2</v>
      </c>
      <c r="T38">
        <v>2.3800000000000002E-2</v>
      </c>
      <c r="U38">
        <v>2.52E-2</v>
      </c>
      <c r="V38">
        <v>2.5700000000000001E-2</v>
      </c>
      <c r="W38">
        <v>2.5899999999999999E-2</v>
      </c>
      <c r="X38">
        <v>2.5999999999999999E-2</v>
      </c>
      <c r="Y38">
        <v>2.7E-2</v>
      </c>
      <c r="Z38">
        <v>2.87E-2</v>
      </c>
      <c r="AA38">
        <v>0.03</v>
      </c>
      <c r="AB38">
        <v>3.0599999999999999E-2</v>
      </c>
      <c r="AC38">
        <v>3.32E-2</v>
      </c>
      <c r="AD38">
        <v>3.4700000000000002E-2</v>
      </c>
      <c r="AE38">
        <v>3.6600000000000001E-2</v>
      </c>
      <c r="AF38">
        <v>3.9E-2</v>
      </c>
      <c r="AG38">
        <v>4.1700000000000001E-2</v>
      </c>
      <c r="AH38">
        <v>4.6199999999999998E-2</v>
      </c>
      <c r="AI38">
        <v>4.9500000000000002E-2</v>
      </c>
      <c r="AJ38">
        <v>5.2400000000000002E-2</v>
      </c>
      <c r="AK38">
        <v>5.4300000000000001E-2</v>
      </c>
      <c r="AL38">
        <v>5.6500000000000002E-2</v>
      </c>
      <c r="AM38">
        <v>5.8500000000000003E-2</v>
      </c>
      <c r="AN38">
        <v>5.8000000000000003E-2</v>
      </c>
      <c r="AO38">
        <v>5.7599999999999998E-2</v>
      </c>
      <c r="AP38">
        <v>5.8200000000000002E-2</v>
      </c>
      <c r="AQ38">
        <v>5.8299999999999998E-2</v>
      </c>
      <c r="AR38">
        <v>5.9900000000000002E-2</v>
      </c>
      <c r="AS38">
        <v>5.9900000000000002E-2</v>
      </c>
      <c r="AT38">
        <v>6.3E-2</v>
      </c>
      <c r="AU38">
        <v>6.6299999999999998E-2</v>
      </c>
      <c r="AV38">
        <v>7.0400000000000004E-2</v>
      </c>
      <c r="AW38">
        <v>7.3499999999999996E-2</v>
      </c>
      <c r="AX38">
        <v>7.6399999999999996E-2</v>
      </c>
      <c r="AY38">
        <v>7.9500000000000001E-2</v>
      </c>
      <c r="AZ38">
        <v>8.0299999999999996E-2</v>
      </c>
      <c r="BA38">
        <v>8.0500000000000002E-2</v>
      </c>
      <c r="BB38">
        <v>8.09E-2</v>
      </c>
      <c r="BC38">
        <v>8.1500000000000003E-2</v>
      </c>
      <c r="BD38">
        <v>8.3699999999999997E-2</v>
      </c>
      <c r="BE38">
        <v>8.4199999999999997E-2</v>
      </c>
      <c r="BF38">
        <v>8.5800000000000001E-2</v>
      </c>
      <c r="BG38">
        <v>8.9099999999999999E-2</v>
      </c>
      <c r="BH38">
        <v>9.1800000000000007E-2</v>
      </c>
      <c r="BI38">
        <v>9.35E-2</v>
      </c>
      <c r="BJ38">
        <v>9.4899999999999998E-2</v>
      </c>
      <c r="BK38">
        <v>9.7199999999999995E-2</v>
      </c>
      <c r="BL38">
        <v>9.8500000000000004E-2</v>
      </c>
      <c r="BM38">
        <v>9.8799999999999999E-2</v>
      </c>
      <c r="BN38">
        <v>9.8400000000000001E-2</v>
      </c>
      <c r="BO38">
        <v>9.8900000000000002E-2</v>
      </c>
      <c r="BP38">
        <v>0.1</v>
      </c>
      <c r="BQ38">
        <v>0.10539999999999999</v>
      </c>
      <c r="BR38">
        <v>0.1089</v>
      </c>
      <c r="BS38">
        <v>0.1163</v>
      </c>
      <c r="BT38">
        <v>0.1207</v>
      </c>
      <c r="BU38">
        <v>0.1308</v>
      </c>
      <c r="BV38">
        <v>0.1338</v>
      </c>
      <c r="BW38">
        <v>0.13300000000000001</v>
      </c>
      <c r="BX38">
        <v>0.123</v>
      </c>
      <c r="BY38">
        <v>0.1195</v>
      </c>
      <c r="BZ38">
        <v>0.1177</v>
      </c>
      <c r="CA38">
        <v>0.1177</v>
      </c>
      <c r="CB38">
        <v>0.12379999999999999</v>
      </c>
      <c r="CC38">
        <v>0.15559999999999999</v>
      </c>
      <c r="CD38">
        <v>0.1691</v>
      </c>
      <c r="CE38">
        <v>0.16370000000000001</v>
      </c>
      <c r="CF38">
        <v>0.15679999999999999</v>
      </c>
      <c r="CG38">
        <v>0.15679999999999999</v>
      </c>
      <c r="CH38">
        <v>0.1618</v>
      </c>
      <c r="CI38">
        <v>0.15490000000000001</v>
      </c>
      <c r="CJ38">
        <v>0.14899999999999999</v>
      </c>
      <c r="CK38">
        <v>0.1532</v>
      </c>
      <c r="CL38">
        <v>0.17849999999999999</v>
      </c>
      <c r="CM38">
        <v>0.17979999999999999</v>
      </c>
      <c r="CN38">
        <v>0.1515</v>
      </c>
      <c r="CO38">
        <v>0.14000000000000001</v>
      </c>
      <c r="CP38">
        <v>0.17899999999999999</v>
      </c>
      <c r="CQ38">
        <v>0.14649999999999999</v>
      </c>
      <c r="CR38">
        <v>0.17180000000000001</v>
      </c>
      <c r="CS38">
        <v>0.1729</v>
      </c>
      <c r="CT38">
        <v>0.16089999999999999</v>
      </c>
      <c r="CU38">
        <v>0.1651</v>
      </c>
      <c r="CV38">
        <v>0.16520000000000001</v>
      </c>
    </row>
    <row r="39" spans="1:100" x14ac:dyDescent="0.2">
      <c r="A39" t="s">
        <v>233</v>
      </c>
      <c r="B39">
        <v>-7.5499999999999998E-2</v>
      </c>
      <c r="C39">
        <v>-0.1406</v>
      </c>
      <c r="D39">
        <v>-0.1618</v>
      </c>
      <c r="E39">
        <v>-0.12670000000000001</v>
      </c>
      <c r="F39">
        <v>-0.18229999999999999</v>
      </c>
      <c r="G39">
        <v>-0.12609999999999999</v>
      </c>
      <c r="H39">
        <v>-0.1613</v>
      </c>
      <c r="I39">
        <v>-0.1147</v>
      </c>
      <c r="J39">
        <v>-8.9899999999999994E-2</v>
      </c>
      <c r="K39">
        <v>-0.1191</v>
      </c>
      <c r="L39">
        <v>-8.4699999999999998E-2</v>
      </c>
      <c r="M39">
        <v>-4.2500000000000003E-2</v>
      </c>
      <c r="N39">
        <v>-6.2100000000000002E-2</v>
      </c>
      <c r="O39">
        <v>-4.7100000000000003E-2</v>
      </c>
      <c r="P39">
        <v>-2.4799999999999999E-2</v>
      </c>
      <c r="Q39">
        <v>-2.0199999999999999E-2</v>
      </c>
      <c r="R39">
        <v>-1.3299999999999999E-2</v>
      </c>
      <c r="S39">
        <v>-1.5299999999999999E-2</v>
      </c>
      <c r="T39">
        <v>-5.0000000000000001E-4</v>
      </c>
      <c r="U39">
        <v>-5.4000000000000003E-3</v>
      </c>
      <c r="V39">
        <v>-2.07E-2</v>
      </c>
      <c r="W39">
        <v>-1.9E-3</v>
      </c>
      <c r="X39">
        <v>-0.02</v>
      </c>
      <c r="Y39">
        <v>-3.3799999999999997E-2</v>
      </c>
      <c r="Z39">
        <v>-3.1199999999999999E-2</v>
      </c>
      <c r="AA39">
        <v>-3.8199999999999998E-2</v>
      </c>
      <c r="AB39">
        <v>-1.5900000000000001E-2</v>
      </c>
      <c r="AC39">
        <v>-1.7899999999999999E-2</v>
      </c>
      <c r="AD39">
        <v>-2.23E-2</v>
      </c>
      <c r="AE39">
        <v>-3.09E-2</v>
      </c>
      <c r="AF39">
        <v>-2.1600000000000001E-2</v>
      </c>
      <c r="AG39">
        <v>-3.15E-2</v>
      </c>
      <c r="AH39">
        <v>-5.5899999999999998E-2</v>
      </c>
      <c r="AI39">
        <v>-6.3399999999999998E-2</v>
      </c>
      <c r="AJ39">
        <v>-4.1700000000000001E-2</v>
      </c>
      <c r="AK39">
        <v>-3.9100000000000003E-2</v>
      </c>
      <c r="AL39">
        <v>-3.7199999999999997E-2</v>
      </c>
      <c r="AM39">
        <v>-5.1900000000000002E-2</v>
      </c>
      <c r="AN39">
        <v>-7.6799999999999993E-2</v>
      </c>
      <c r="AO39">
        <v>-8.7900000000000006E-2</v>
      </c>
      <c r="AP39">
        <v>-7.2599999999999998E-2</v>
      </c>
      <c r="AQ39">
        <v>-6.1600000000000002E-2</v>
      </c>
      <c r="AR39">
        <v>-5.5E-2</v>
      </c>
      <c r="AS39">
        <v>-4.5600000000000002E-2</v>
      </c>
      <c r="AT39">
        <v>-4.0399999999999998E-2</v>
      </c>
      <c r="AU39">
        <v>-5.0700000000000002E-2</v>
      </c>
      <c r="AV39">
        <v>-7.7399999999999997E-2</v>
      </c>
      <c r="AW39">
        <v>-7.3200000000000001E-2</v>
      </c>
      <c r="AX39">
        <v>-7.7700000000000005E-2</v>
      </c>
      <c r="AY39">
        <v>-6.88E-2</v>
      </c>
      <c r="AZ39">
        <v>-7.6499999999999999E-2</v>
      </c>
      <c r="BA39">
        <v>-8.7900000000000006E-2</v>
      </c>
      <c r="BB39">
        <v>-0.10100000000000001</v>
      </c>
      <c r="BC39">
        <v>-0.1016</v>
      </c>
      <c r="BD39">
        <v>-6.2600000000000003E-2</v>
      </c>
      <c r="BE39">
        <v>-8.6199999999999999E-2</v>
      </c>
      <c r="BF39">
        <v>-8.4900000000000003E-2</v>
      </c>
      <c r="BG39">
        <v>-9.3799999999999994E-2</v>
      </c>
      <c r="BH39">
        <v>-0.10440000000000001</v>
      </c>
      <c r="BI39">
        <v>-9.74E-2</v>
      </c>
      <c r="BJ39">
        <v>-6.9099999999999995E-2</v>
      </c>
      <c r="BK39">
        <v>-8.6800000000000002E-2</v>
      </c>
      <c r="BL39">
        <v>-0.1091</v>
      </c>
      <c r="BM39">
        <v>-0.105</v>
      </c>
      <c r="BN39">
        <v>-5.79E-2</v>
      </c>
      <c r="BO39">
        <v>-6.88E-2</v>
      </c>
      <c r="BP39">
        <v>-8.2799999999999999E-2</v>
      </c>
      <c r="BQ39">
        <v>-0.1181</v>
      </c>
      <c r="BR39">
        <v>-0.13880000000000001</v>
      </c>
      <c r="BS39">
        <v>-0.1331</v>
      </c>
      <c r="BT39">
        <v>-0.1174</v>
      </c>
      <c r="BU39">
        <v>-0.1198</v>
      </c>
      <c r="BV39">
        <v>-0.1343</v>
      </c>
      <c r="BW39">
        <v>-0.1135</v>
      </c>
      <c r="BX39">
        <v>-0.11840000000000001</v>
      </c>
      <c r="BY39">
        <v>-0.1426</v>
      </c>
      <c r="BZ39">
        <v>-9.69E-2</v>
      </c>
      <c r="CA39">
        <v>-9.5899999999999999E-2</v>
      </c>
      <c r="CB39">
        <v>-8.14E-2</v>
      </c>
      <c r="CC39">
        <v>-0.10290000000000001</v>
      </c>
      <c r="CD39">
        <v>-0.15179999999999999</v>
      </c>
      <c r="CE39">
        <v>-0.19220000000000001</v>
      </c>
      <c r="CF39">
        <v>-0.1668</v>
      </c>
      <c r="CG39">
        <v>-0.152</v>
      </c>
      <c r="CH39">
        <v>-0.15459999999999999</v>
      </c>
      <c r="CI39">
        <v>-0.1444</v>
      </c>
      <c r="CJ39">
        <v>-0.10630000000000001</v>
      </c>
      <c r="CK39">
        <v>-0.15260000000000001</v>
      </c>
      <c r="CL39">
        <v>-0.1835</v>
      </c>
      <c r="CM39">
        <v>-0.18049999999999999</v>
      </c>
      <c r="CN39">
        <v>-0.17169999999999999</v>
      </c>
      <c r="CO39">
        <v>-0.15659999999999999</v>
      </c>
      <c r="CP39">
        <v>-0.1951</v>
      </c>
      <c r="CQ39">
        <v>-0.16880000000000001</v>
      </c>
      <c r="CR39">
        <v>-0.17610000000000001</v>
      </c>
      <c r="CS39">
        <v>-0.2011</v>
      </c>
      <c r="CT39">
        <v>-0.14940000000000001</v>
      </c>
      <c r="CU39">
        <v>-0.2021</v>
      </c>
      <c r="CV39">
        <v>-0.21870000000000001</v>
      </c>
    </row>
    <row r="40" spans="1:100" x14ac:dyDescent="0.2">
      <c r="A40" t="s">
        <v>232</v>
      </c>
      <c r="B40">
        <v>-2.6700000000000002E-2</v>
      </c>
      <c r="C40">
        <v>-8.8099999999999998E-2</v>
      </c>
      <c r="D40">
        <v>-0.1154</v>
      </c>
      <c r="E40">
        <v>-9.2499999999999999E-2</v>
      </c>
      <c r="F40">
        <v>-0.14399999999999999</v>
      </c>
      <c r="G40">
        <v>-9.4100000000000003E-2</v>
      </c>
      <c r="H40">
        <v>-0.12970000000000001</v>
      </c>
      <c r="I40">
        <v>-8.5400000000000004E-2</v>
      </c>
      <c r="J40">
        <v>-6.3299999999999995E-2</v>
      </c>
      <c r="K40">
        <v>-9.3899999999999997E-2</v>
      </c>
      <c r="L40">
        <v>-6.2199999999999998E-2</v>
      </c>
      <c r="M40">
        <v>-2.76E-2</v>
      </c>
      <c r="N40">
        <v>-4.7500000000000001E-2</v>
      </c>
      <c r="O40">
        <v>-3.39E-2</v>
      </c>
      <c r="P40">
        <v>-1.26E-2</v>
      </c>
      <c r="Q40">
        <v>-8.9999999999999993E-3</v>
      </c>
      <c r="R40">
        <v>-3.5000000000000001E-3</v>
      </c>
      <c r="S40">
        <v>-5.8999999999999999E-3</v>
      </c>
      <c r="T40">
        <v>8.2000000000000007E-3</v>
      </c>
      <c r="U40">
        <v>3.2000000000000002E-3</v>
      </c>
      <c r="V40">
        <v>-1.23E-2</v>
      </c>
      <c r="W40">
        <v>5.7999999999999996E-3</v>
      </c>
      <c r="X40">
        <v>-1.23E-2</v>
      </c>
      <c r="Y40">
        <v>-2.5899999999999999E-2</v>
      </c>
      <c r="Z40">
        <v>-2.3300000000000001E-2</v>
      </c>
      <c r="AA40">
        <v>-3.0300000000000001E-2</v>
      </c>
      <c r="AB40">
        <v>-7.9000000000000008E-3</v>
      </c>
      <c r="AC40">
        <v>-9.7999999999999997E-3</v>
      </c>
      <c r="AD40">
        <v>-1.4E-2</v>
      </c>
      <c r="AE40">
        <v>-2.24E-2</v>
      </c>
      <c r="AF40">
        <v>-1.2699999999999999E-2</v>
      </c>
      <c r="AG40">
        <v>-2.2200000000000001E-2</v>
      </c>
      <c r="AH40">
        <v>-4.6199999999999998E-2</v>
      </c>
      <c r="AI40">
        <v>-5.3100000000000001E-2</v>
      </c>
      <c r="AJ40">
        <v>-3.09E-2</v>
      </c>
      <c r="AK40">
        <v>-2.81E-2</v>
      </c>
      <c r="AL40">
        <v>-2.5999999999999999E-2</v>
      </c>
      <c r="AM40">
        <v>-4.0599999999999997E-2</v>
      </c>
      <c r="AN40">
        <v>-6.5600000000000006E-2</v>
      </c>
      <c r="AO40">
        <v>-7.6700000000000004E-2</v>
      </c>
      <c r="AP40">
        <v>-6.13E-2</v>
      </c>
      <c r="AQ40">
        <v>-5.0299999999999997E-2</v>
      </c>
      <c r="AR40">
        <v>-4.36E-2</v>
      </c>
      <c r="AS40">
        <v>-3.4099999999999998E-2</v>
      </c>
      <c r="AT40">
        <v>-2.8799999999999999E-2</v>
      </c>
      <c r="AU40">
        <v>-3.8899999999999997E-2</v>
      </c>
      <c r="AV40">
        <v>-6.5299999999999997E-2</v>
      </c>
      <c r="AW40">
        <v>-6.08E-2</v>
      </c>
      <c r="AX40">
        <v>-6.5199999999999994E-2</v>
      </c>
      <c r="AY40">
        <v>-5.6099999999999997E-2</v>
      </c>
      <c r="AZ40">
        <v>-6.3600000000000004E-2</v>
      </c>
      <c r="BA40">
        <v>-7.51E-2</v>
      </c>
      <c r="BB40">
        <v>-8.8099999999999998E-2</v>
      </c>
      <c r="BC40">
        <v>-8.8499999999999995E-2</v>
      </c>
      <c r="BD40">
        <v>-4.9099999999999998E-2</v>
      </c>
      <c r="BE40">
        <v>-7.2700000000000001E-2</v>
      </c>
      <c r="BF40">
        <v>-7.1099999999999997E-2</v>
      </c>
      <c r="BG40">
        <v>-7.9600000000000004E-2</v>
      </c>
      <c r="BH40">
        <v>-0.09</v>
      </c>
      <c r="BI40">
        <v>-8.2600000000000007E-2</v>
      </c>
      <c r="BJ40">
        <v>-5.3999999999999999E-2</v>
      </c>
      <c r="BK40">
        <v>-7.17E-2</v>
      </c>
      <c r="BL40">
        <v>-9.4100000000000003E-2</v>
      </c>
      <c r="BM40">
        <v>-9.0300000000000005E-2</v>
      </c>
      <c r="BN40">
        <v>-4.3400000000000001E-2</v>
      </c>
      <c r="BO40">
        <v>-5.4199999999999998E-2</v>
      </c>
      <c r="BP40">
        <v>-6.83E-2</v>
      </c>
      <c r="BQ40">
        <v>-0.1033</v>
      </c>
      <c r="BR40">
        <v>-0.1237</v>
      </c>
      <c r="BS40">
        <v>-0.1166</v>
      </c>
      <c r="BT40">
        <v>-9.8599999999999993E-2</v>
      </c>
      <c r="BU40">
        <v>-9.9400000000000002E-2</v>
      </c>
      <c r="BV40">
        <v>-0.1135</v>
      </c>
      <c r="BW40">
        <v>-9.3200000000000005E-2</v>
      </c>
      <c r="BX40">
        <v>-9.8900000000000002E-2</v>
      </c>
      <c r="BY40">
        <v>-0.1234</v>
      </c>
      <c r="BZ40">
        <v>-7.7100000000000002E-2</v>
      </c>
      <c r="CA40">
        <v>-7.5899999999999995E-2</v>
      </c>
      <c r="CB40">
        <v>-6.0699999999999997E-2</v>
      </c>
      <c r="CC40">
        <v>-7.9500000000000001E-2</v>
      </c>
      <c r="CD40">
        <v>-0.12720000000000001</v>
      </c>
      <c r="CE40">
        <v>-0.16769999999999999</v>
      </c>
      <c r="CF40">
        <v>-0.14099999999999999</v>
      </c>
      <c r="CG40">
        <v>-0.1241</v>
      </c>
      <c r="CH40">
        <v>-0.1245</v>
      </c>
      <c r="CI40">
        <v>-0.11559999999999999</v>
      </c>
      <c r="CJ40">
        <v>-7.8399999999999997E-2</v>
      </c>
      <c r="CK40">
        <v>-0.1239</v>
      </c>
      <c r="CL40">
        <v>-0.14810000000000001</v>
      </c>
      <c r="CM40">
        <v>-0.14299999999999999</v>
      </c>
      <c r="CN40">
        <v>-0.13789999999999999</v>
      </c>
      <c r="CO40">
        <v>-0.1222</v>
      </c>
      <c r="CP40">
        <v>-0.14680000000000001</v>
      </c>
      <c r="CQ40">
        <v>-0.1208</v>
      </c>
      <c r="CR40">
        <v>-0.1186</v>
      </c>
      <c r="CS40">
        <v>-0.1389</v>
      </c>
      <c r="CT40">
        <v>-8.5699999999999998E-2</v>
      </c>
      <c r="CU40">
        <v>-0.1139</v>
      </c>
      <c r="CV40">
        <v>-0.11509999999999999</v>
      </c>
    </row>
    <row r="43" spans="1:100" x14ac:dyDescent="0.2">
      <c r="A43" t="s">
        <v>5909</v>
      </c>
      <c r="B43">
        <v>3.56E-2</v>
      </c>
      <c r="C43">
        <v>4.6199999999999998E-2</v>
      </c>
      <c r="D43">
        <v>3.9699999999999999E-2</v>
      </c>
      <c r="E43">
        <v>4.1300000000000003E-2</v>
      </c>
      <c r="F43">
        <v>3.4799999999999998E-2</v>
      </c>
      <c r="G43">
        <v>4.1099999999999998E-2</v>
      </c>
      <c r="H43">
        <v>3.7199999999999997E-2</v>
      </c>
      <c r="I43">
        <v>3.6999999999999998E-2</v>
      </c>
      <c r="J43">
        <v>3.7600000000000001E-2</v>
      </c>
      <c r="K43">
        <v>3.1600000000000003E-2</v>
      </c>
      <c r="L43">
        <v>2.76E-2</v>
      </c>
      <c r="M43">
        <v>2.1999999999999999E-2</v>
      </c>
      <c r="N43">
        <v>2.0500000000000001E-2</v>
      </c>
      <c r="O43">
        <v>2.0400000000000001E-2</v>
      </c>
      <c r="P43">
        <v>2.1100000000000001E-2</v>
      </c>
      <c r="Q43">
        <v>2.0799999999999999E-2</v>
      </c>
      <c r="R43">
        <v>2.0299999999999999E-2</v>
      </c>
      <c r="S43">
        <v>2.06E-2</v>
      </c>
      <c r="T43">
        <v>2.1600000000000001E-2</v>
      </c>
      <c r="U43">
        <v>2.1999999999999999E-2</v>
      </c>
      <c r="V43">
        <v>2.18E-2</v>
      </c>
      <c r="W43">
        <v>2.1899999999999999E-2</v>
      </c>
      <c r="X43">
        <v>2.1899999999999999E-2</v>
      </c>
      <c r="Y43">
        <v>2.24E-2</v>
      </c>
      <c r="Z43">
        <v>2.4E-2</v>
      </c>
      <c r="AA43">
        <v>2.52E-2</v>
      </c>
      <c r="AB43">
        <v>2.5899999999999999E-2</v>
      </c>
      <c r="AC43">
        <v>2.7300000000000001E-2</v>
      </c>
      <c r="AD43">
        <v>2.87E-2</v>
      </c>
      <c r="AE43">
        <v>0.03</v>
      </c>
      <c r="AF43">
        <v>3.1800000000000002E-2</v>
      </c>
      <c r="AG43">
        <v>3.4000000000000002E-2</v>
      </c>
      <c r="AH43">
        <v>3.7600000000000001E-2</v>
      </c>
      <c r="AI43">
        <v>4.0500000000000001E-2</v>
      </c>
      <c r="AJ43">
        <v>4.2799999999999998E-2</v>
      </c>
      <c r="AK43">
        <v>4.4200000000000003E-2</v>
      </c>
      <c r="AL43">
        <v>4.5699999999999998E-2</v>
      </c>
      <c r="AM43">
        <v>4.6899999999999997E-2</v>
      </c>
      <c r="AN43">
        <v>4.6600000000000003E-2</v>
      </c>
      <c r="AO43">
        <v>4.6300000000000001E-2</v>
      </c>
      <c r="AP43">
        <v>4.6800000000000001E-2</v>
      </c>
      <c r="AQ43">
        <v>4.7399999999999998E-2</v>
      </c>
      <c r="AR43">
        <v>4.8500000000000001E-2</v>
      </c>
      <c r="AS43">
        <v>4.8500000000000001E-2</v>
      </c>
      <c r="AT43">
        <v>5.0700000000000002E-2</v>
      </c>
      <c r="AU43">
        <v>5.3699999999999998E-2</v>
      </c>
      <c r="AV43">
        <v>5.7099999999999998E-2</v>
      </c>
      <c r="AW43">
        <v>5.9400000000000001E-2</v>
      </c>
      <c r="AX43">
        <v>6.1499999999999999E-2</v>
      </c>
      <c r="AY43">
        <v>6.3700000000000007E-2</v>
      </c>
      <c r="AZ43">
        <v>6.4699999999999994E-2</v>
      </c>
      <c r="BA43">
        <v>6.4600000000000005E-2</v>
      </c>
      <c r="BB43">
        <v>6.5000000000000002E-2</v>
      </c>
      <c r="BC43">
        <v>6.5299999999999997E-2</v>
      </c>
      <c r="BD43">
        <v>6.6500000000000004E-2</v>
      </c>
      <c r="BE43">
        <v>6.7199999999999996E-2</v>
      </c>
      <c r="BF43">
        <v>6.8500000000000005E-2</v>
      </c>
      <c r="BG43">
        <v>7.0999999999999994E-2</v>
      </c>
      <c r="BH43">
        <v>7.3099999999999998E-2</v>
      </c>
      <c r="BI43">
        <v>7.51E-2</v>
      </c>
      <c r="BJ43">
        <v>7.6399999999999996E-2</v>
      </c>
      <c r="BK43">
        <v>7.8E-2</v>
      </c>
      <c r="BL43">
        <v>7.9000000000000001E-2</v>
      </c>
      <c r="BM43">
        <v>7.9299999999999995E-2</v>
      </c>
      <c r="BN43">
        <v>7.9100000000000004E-2</v>
      </c>
      <c r="BO43">
        <v>7.9500000000000001E-2</v>
      </c>
      <c r="BP43">
        <v>7.9799999999999996E-2</v>
      </c>
      <c r="BQ43">
        <v>8.43E-2</v>
      </c>
      <c r="BR43">
        <v>8.77E-2</v>
      </c>
      <c r="BS43">
        <v>9.3399999999999997E-2</v>
      </c>
      <c r="BT43">
        <v>9.7600000000000006E-2</v>
      </c>
      <c r="BU43">
        <v>0.1062</v>
      </c>
      <c r="BV43">
        <v>0.1084</v>
      </c>
      <c r="BW43">
        <v>0.1072</v>
      </c>
      <c r="BX43">
        <v>9.9199999999999997E-2</v>
      </c>
      <c r="BY43">
        <v>9.6600000000000005E-2</v>
      </c>
      <c r="BZ43">
        <v>9.5899999999999999E-2</v>
      </c>
      <c r="CA43">
        <v>9.5899999999999999E-2</v>
      </c>
      <c r="CB43">
        <v>0.1008</v>
      </c>
      <c r="CC43">
        <v>0.12709999999999999</v>
      </c>
      <c r="CD43">
        <v>0.13819999999999999</v>
      </c>
      <c r="CE43">
        <v>0.13439999999999999</v>
      </c>
      <c r="CF43">
        <v>0.1293</v>
      </c>
      <c r="CG43">
        <v>0.1295</v>
      </c>
      <c r="CH43">
        <v>0.1348</v>
      </c>
      <c r="CI43">
        <v>0.12970000000000001</v>
      </c>
      <c r="CJ43">
        <v>0.12540000000000001</v>
      </c>
      <c r="CK43">
        <v>0.1285</v>
      </c>
      <c r="CL43">
        <v>0.15129999999999999</v>
      </c>
      <c r="CM43">
        <v>0.15310000000000001</v>
      </c>
      <c r="CN43">
        <v>0.1295</v>
      </c>
      <c r="CO43">
        <v>0.121</v>
      </c>
      <c r="CP43">
        <v>0.1552</v>
      </c>
      <c r="CQ43">
        <v>0.1273</v>
      </c>
      <c r="CR43">
        <v>0.14960000000000001</v>
      </c>
      <c r="CS43">
        <v>0.1522</v>
      </c>
      <c r="CT43">
        <v>0.1411</v>
      </c>
      <c r="CU43">
        <v>0.1409</v>
      </c>
      <c r="CV43">
        <v>0.13420000000000001</v>
      </c>
    </row>
    <row r="44" spans="1:100" x14ac:dyDescent="0.2">
      <c r="A44" t="s">
        <v>5910</v>
      </c>
      <c r="B44">
        <v>4.7800000000000002E-2</v>
      </c>
      <c r="C44">
        <v>5.79E-2</v>
      </c>
      <c r="D44">
        <v>4.8399999999999999E-2</v>
      </c>
      <c r="E44">
        <v>4.9299999999999997E-2</v>
      </c>
      <c r="F44">
        <v>4.1000000000000002E-2</v>
      </c>
      <c r="G44">
        <v>4.7899999999999998E-2</v>
      </c>
      <c r="H44">
        <v>4.3099999999999999E-2</v>
      </c>
      <c r="I44">
        <v>4.2599999999999999E-2</v>
      </c>
      <c r="J44">
        <v>4.2999999999999997E-2</v>
      </c>
      <c r="K44">
        <v>3.5999999999999997E-2</v>
      </c>
      <c r="L44">
        <v>3.1199999999999999E-2</v>
      </c>
      <c r="M44">
        <v>2.4799999999999999E-2</v>
      </c>
      <c r="N44">
        <v>2.3099999999999999E-2</v>
      </c>
      <c r="O44">
        <v>2.29E-2</v>
      </c>
      <c r="P44">
        <v>2.3599999999999999E-2</v>
      </c>
      <c r="Q44">
        <v>2.3300000000000001E-2</v>
      </c>
      <c r="R44">
        <v>2.2599999999999999E-2</v>
      </c>
      <c r="S44">
        <v>2.3E-2</v>
      </c>
      <c r="T44">
        <v>2.4E-2</v>
      </c>
      <c r="U44">
        <v>2.4500000000000001E-2</v>
      </c>
      <c r="V44">
        <v>2.4199999999999999E-2</v>
      </c>
      <c r="W44">
        <v>2.4299999999999999E-2</v>
      </c>
      <c r="X44">
        <v>2.4199999999999999E-2</v>
      </c>
      <c r="Y44">
        <v>2.4799999999999999E-2</v>
      </c>
      <c r="Z44">
        <v>2.6599999999999999E-2</v>
      </c>
      <c r="AA44">
        <v>2.7799999999999998E-2</v>
      </c>
      <c r="AB44">
        <v>2.86E-2</v>
      </c>
      <c r="AC44">
        <v>3.0200000000000001E-2</v>
      </c>
      <c r="AD44">
        <v>3.1699999999999999E-2</v>
      </c>
      <c r="AE44">
        <v>3.32E-2</v>
      </c>
      <c r="AF44">
        <v>3.5200000000000002E-2</v>
      </c>
      <c r="AG44">
        <v>3.7600000000000001E-2</v>
      </c>
      <c r="AH44">
        <v>4.1599999999999998E-2</v>
      </c>
      <c r="AI44">
        <v>4.48E-2</v>
      </c>
      <c r="AJ44">
        <v>4.7300000000000002E-2</v>
      </c>
      <c r="AK44">
        <v>4.8899999999999999E-2</v>
      </c>
      <c r="AL44">
        <v>5.0500000000000003E-2</v>
      </c>
      <c r="AM44">
        <v>5.1799999999999999E-2</v>
      </c>
      <c r="AN44">
        <v>5.1499999999999997E-2</v>
      </c>
      <c r="AO44">
        <v>5.1200000000000002E-2</v>
      </c>
      <c r="AP44">
        <v>5.1799999999999999E-2</v>
      </c>
      <c r="AQ44">
        <v>5.2400000000000002E-2</v>
      </c>
      <c r="AR44">
        <v>5.3699999999999998E-2</v>
      </c>
      <c r="AS44">
        <v>5.3699999999999998E-2</v>
      </c>
      <c r="AT44">
        <v>5.6099999999999997E-2</v>
      </c>
      <c r="AU44">
        <v>5.9499999999999997E-2</v>
      </c>
      <c r="AV44">
        <v>6.3299999999999995E-2</v>
      </c>
      <c r="AW44">
        <v>6.5799999999999997E-2</v>
      </c>
      <c r="AX44">
        <v>6.8199999999999997E-2</v>
      </c>
      <c r="AY44">
        <v>7.0599999999999996E-2</v>
      </c>
      <c r="AZ44">
        <v>7.1800000000000003E-2</v>
      </c>
      <c r="BA44">
        <v>7.17E-2</v>
      </c>
      <c r="BB44">
        <v>7.2099999999999997E-2</v>
      </c>
      <c r="BC44">
        <v>7.2499999999999995E-2</v>
      </c>
      <c r="BD44">
        <v>7.3800000000000004E-2</v>
      </c>
      <c r="BE44">
        <v>7.4700000000000003E-2</v>
      </c>
      <c r="BF44">
        <v>7.6200000000000004E-2</v>
      </c>
      <c r="BG44">
        <v>7.8899999999999998E-2</v>
      </c>
      <c r="BH44">
        <v>8.1299999999999997E-2</v>
      </c>
      <c r="BI44">
        <v>8.3500000000000005E-2</v>
      </c>
      <c r="BJ44">
        <v>8.5099999999999995E-2</v>
      </c>
      <c r="BK44">
        <v>8.6900000000000005E-2</v>
      </c>
      <c r="BL44">
        <v>8.7999999999999995E-2</v>
      </c>
      <c r="BM44">
        <v>8.8300000000000003E-2</v>
      </c>
      <c r="BN44">
        <v>8.8200000000000001E-2</v>
      </c>
      <c r="BO44">
        <v>8.8700000000000001E-2</v>
      </c>
      <c r="BP44">
        <v>8.9099999999999999E-2</v>
      </c>
      <c r="BQ44">
        <v>9.4200000000000006E-2</v>
      </c>
      <c r="BR44">
        <v>9.8000000000000004E-2</v>
      </c>
      <c r="BS44">
        <v>0.10440000000000001</v>
      </c>
      <c r="BT44">
        <v>0.1091</v>
      </c>
      <c r="BU44">
        <v>0.11890000000000001</v>
      </c>
      <c r="BV44">
        <v>0.12139999999999999</v>
      </c>
      <c r="BW44">
        <v>0.1202</v>
      </c>
      <c r="BX44">
        <v>0.1113</v>
      </c>
      <c r="BY44">
        <v>0.1084</v>
      </c>
      <c r="BZ44">
        <v>0.1077</v>
      </c>
      <c r="CA44">
        <v>0.1077</v>
      </c>
      <c r="CB44">
        <v>0.1133</v>
      </c>
      <c r="CC44">
        <v>0.14299999999999999</v>
      </c>
      <c r="CD44">
        <v>0.15559999999999999</v>
      </c>
      <c r="CE44">
        <v>0.1515</v>
      </c>
      <c r="CF44">
        <v>0.1459</v>
      </c>
      <c r="CG44">
        <v>0.14630000000000001</v>
      </c>
      <c r="CH44">
        <v>0.15240000000000001</v>
      </c>
      <c r="CI44">
        <v>0.14680000000000001</v>
      </c>
      <c r="CJ44">
        <v>0.1421</v>
      </c>
      <c r="CK44">
        <v>0.14580000000000001</v>
      </c>
      <c r="CL44">
        <v>0.17180000000000001</v>
      </c>
      <c r="CM44">
        <v>0.17419999999999999</v>
      </c>
      <c r="CN44">
        <v>0.14760000000000001</v>
      </c>
      <c r="CO44">
        <v>0.13800000000000001</v>
      </c>
      <c r="CP44">
        <v>0.17749999999999999</v>
      </c>
      <c r="CQ44">
        <v>0.14580000000000001</v>
      </c>
      <c r="CR44">
        <v>0.1719</v>
      </c>
      <c r="CS44">
        <v>0.1757</v>
      </c>
      <c r="CT44">
        <v>0.16400000000000001</v>
      </c>
      <c r="CU44">
        <v>0.16569999999999999</v>
      </c>
      <c r="CV44">
        <v>0.16339999999999999</v>
      </c>
    </row>
    <row r="45" spans="1:100" x14ac:dyDescent="0.2">
      <c r="A45" t="s">
        <v>5911</v>
      </c>
      <c r="B45">
        <v>8.9999999999999998E-4</v>
      </c>
      <c r="C45">
        <v>4.1000000000000003E-3</v>
      </c>
      <c r="D45">
        <v>4.4999999999999997E-3</v>
      </c>
      <c r="E45">
        <v>4.8999999999999998E-3</v>
      </c>
      <c r="F45">
        <v>4.4999999999999997E-3</v>
      </c>
      <c r="G45">
        <v>5.7000000000000002E-3</v>
      </c>
      <c r="H45">
        <v>5.0000000000000001E-3</v>
      </c>
      <c r="I45">
        <v>5.0000000000000001E-3</v>
      </c>
      <c r="J45">
        <v>5.1000000000000004E-3</v>
      </c>
      <c r="K45">
        <v>4.1000000000000003E-3</v>
      </c>
      <c r="L45">
        <v>3.7000000000000002E-3</v>
      </c>
      <c r="M45">
        <v>3.0000000000000001E-3</v>
      </c>
      <c r="N45">
        <v>2.8E-3</v>
      </c>
      <c r="O45">
        <v>2.8E-3</v>
      </c>
      <c r="P45">
        <v>3.0000000000000001E-3</v>
      </c>
      <c r="Q45">
        <v>3.0000000000000001E-3</v>
      </c>
      <c r="R45">
        <v>2.8999999999999998E-3</v>
      </c>
      <c r="S45">
        <v>3.0000000000000001E-3</v>
      </c>
      <c r="T45">
        <v>3.2000000000000002E-3</v>
      </c>
      <c r="U45">
        <v>3.3E-3</v>
      </c>
      <c r="V45">
        <v>3.3E-3</v>
      </c>
      <c r="W45">
        <v>3.2000000000000002E-3</v>
      </c>
      <c r="X45">
        <v>3.3E-3</v>
      </c>
      <c r="Y45">
        <v>3.3E-3</v>
      </c>
      <c r="Z45">
        <v>3.3999999999999998E-3</v>
      </c>
      <c r="AA45">
        <v>3.5999999999999999E-3</v>
      </c>
      <c r="AB45">
        <v>3.5999999999999999E-3</v>
      </c>
      <c r="AC45">
        <v>3.8E-3</v>
      </c>
      <c r="AD45">
        <v>3.8999999999999998E-3</v>
      </c>
      <c r="AE45">
        <v>4.1000000000000003E-3</v>
      </c>
      <c r="AF45">
        <v>4.3E-3</v>
      </c>
      <c r="AG45">
        <v>4.5999999999999999E-3</v>
      </c>
      <c r="AH45">
        <v>5.0000000000000001E-3</v>
      </c>
      <c r="AI45">
        <v>5.3E-3</v>
      </c>
      <c r="AJ45">
        <v>5.5999999999999999E-3</v>
      </c>
      <c r="AK45">
        <v>5.8999999999999999E-3</v>
      </c>
      <c r="AL45">
        <v>6.0000000000000001E-3</v>
      </c>
      <c r="AM45">
        <v>6.1999999999999998E-3</v>
      </c>
      <c r="AN45">
        <v>6.1000000000000004E-3</v>
      </c>
      <c r="AO45">
        <v>6.0000000000000001E-3</v>
      </c>
      <c r="AP45">
        <v>6.1000000000000004E-3</v>
      </c>
      <c r="AQ45">
        <v>6.1000000000000004E-3</v>
      </c>
      <c r="AR45">
        <v>6.3E-3</v>
      </c>
      <c r="AS45">
        <v>6.3E-3</v>
      </c>
      <c r="AT45">
        <v>6.4999999999999997E-3</v>
      </c>
      <c r="AU45">
        <v>6.7999999999999996E-3</v>
      </c>
      <c r="AV45">
        <v>7.1999999999999998E-3</v>
      </c>
      <c r="AW45">
        <v>7.4999999999999997E-3</v>
      </c>
      <c r="AX45">
        <v>7.7000000000000002E-3</v>
      </c>
      <c r="AY45">
        <v>8.0000000000000002E-3</v>
      </c>
      <c r="AZ45">
        <v>8.0000000000000002E-3</v>
      </c>
      <c r="BA45">
        <v>7.9000000000000008E-3</v>
      </c>
      <c r="BB45">
        <v>7.9000000000000008E-3</v>
      </c>
      <c r="BC45">
        <v>7.9000000000000008E-3</v>
      </c>
      <c r="BD45">
        <v>8.0000000000000002E-3</v>
      </c>
      <c r="BE45">
        <v>8.0000000000000002E-3</v>
      </c>
      <c r="BF45">
        <v>8.0999999999999996E-3</v>
      </c>
      <c r="BG45">
        <v>8.3999999999999995E-3</v>
      </c>
      <c r="BH45">
        <v>8.5000000000000006E-3</v>
      </c>
      <c r="BI45">
        <v>8.6E-3</v>
      </c>
      <c r="BJ45">
        <v>8.6999999999999994E-3</v>
      </c>
      <c r="BK45">
        <v>8.8999999999999999E-3</v>
      </c>
      <c r="BL45">
        <v>8.8999999999999999E-3</v>
      </c>
      <c r="BM45">
        <v>8.8000000000000005E-3</v>
      </c>
      <c r="BN45">
        <v>8.6999999999999994E-3</v>
      </c>
      <c r="BO45">
        <v>8.8000000000000005E-3</v>
      </c>
      <c r="BP45">
        <v>8.8000000000000005E-3</v>
      </c>
      <c r="BQ45">
        <v>9.1999999999999998E-3</v>
      </c>
      <c r="BR45">
        <v>9.4999999999999998E-3</v>
      </c>
      <c r="BS45">
        <v>1.01E-2</v>
      </c>
      <c r="BT45">
        <v>1.04E-2</v>
      </c>
      <c r="BU45">
        <v>1.11E-2</v>
      </c>
      <c r="BV45">
        <v>1.1299999999999999E-2</v>
      </c>
      <c r="BW45">
        <v>1.11E-2</v>
      </c>
      <c r="BX45">
        <v>1.0200000000000001E-2</v>
      </c>
      <c r="BY45">
        <v>9.9000000000000008E-3</v>
      </c>
      <c r="BZ45">
        <v>9.7999999999999997E-3</v>
      </c>
      <c r="CA45">
        <v>9.7999999999999997E-3</v>
      </c>
      <c r="CB45">
        <v>1.0200000000000001E-2</v>
      </c>
      <c r="CC45">
        <v>1.2699999999999999E-2</v>
      </c>
      <c r="CD45">
        <v>1.3599999999999999E-2</v>
      </c>
      <c r="CE45">
        <v>1.32E-2</v>
      </c>
      <c r="CF45">
        <v>1.26E-2</v>
      </c>
      <c r="CG45">
        <v>1.24E-2</v>
      </c>
      <c r="CH45">
        <v>1.2800000000000001E-2</v>
      </c>
      <c r="CI45">
        <v>1.2200000000000001E-2</v>
      </c>
      <c r="CJ45">
        <v>1.18E-2</v>
      </c>
      <c r="CK45">
        <v>1.2200000000000001E-2</v>
      </c>
      <c r="CL45">
        <v>1.43E-2</v>
      </c>
      <c r="CM45">
        <v>1.4500000000000001E-2</v>
      </c>
      <c r="CN45">
        <v>1.2200000000000001E-2</v>
      </c>
      <c r="CO45">
        <v>1.17E-2</v>
      </c>
      <c r="CP45">
        <v>1.49E-2</v>
      </c>
      <c r="CQ45">
        <v>1.24E-2</v>
      </c>
      <c r="CR45">
        <v>1.47E-2</v>
      </c>
      <c r="CS45">
        <v>1.5100000000000001E-2</v>
      </c>
      <c r="CT45">
        <v>1.46E-2</v>
      </c>
      <c r="CU45">
        <v>1.5599999999999999E-2</v>
      </c>
      <c r="CV45">
        <v>1.6E-2</v>
      </c>
    </row>
    <row r="46" spans="1:100" x14ac:dyDescent="0.2">
      <c r="A46" t="s">
        <v>5912</v>
      </c>
      <c r="B46">
        <v>4.8999999999999998E-3</v>
      </c>
      <c r="C46">
        <v>8.3000000000000001E-3</v>
      </c>
      <c r="D46">
        <v>7.7000000000000002E-3</v>
      </c>
      <c r="E46">
        <v>8.0000000000000002E-3</v>
      </c>
      <c r="F46">
        <v>7.0000000000000001E-3</v>
      </c>
      <c r="G46">
        <v>8.6E-3</v>
      </c>
      <c r="H46">
        <v>7.4999999999999997E-3</v>
      </c>
      <c r="I46">
        <v>7.4999999999999997E-3</v>
      </c>
      <c r="J46">
        <v>7.6E-3</v>
      </c>
      <c r="K46">
        <v>6.1000000000000004E-3</v>
      </c>
      <c r="L46">
        <v>5.4000000000000003E-3</v>
      </c>
      <c r="M46">
        <v>4.4000000000000003E-3</v>
      </c>
      <c r="N46">
        <v>4.0000000000000001E-3</v>
      </c>
      <c r="O46">
        <v>4.1000000000000003E-3</v>
      </c>
      <c r="P46">
        <v>4.3E-3</v>
      </c>
      <c r="Q46">
        <v>4.3E-3</v>
      </c>
      <c r="R46">
        <v>4.1999999999999997E-3</v>
      </c>
      <c r="S46">
        <v>4.3E-3</v>
      </c>
      <c r="T46">
        <v>4.5999999999999999E-3</v>
      </c>
      <c r="U46">
        <v>4.7000000000000002E-3</v>
      </c>
      <c r="V46">
        <v>4.5999999999999999E-3</v>
      </c>
      <c r="W46">
        <v>4.5999999999999999E-3</v>
      </c>
      <c r="X46">
        <v>4.5999999999999999E-3</v>
      </c>
      <c r="Y46">
        <v>4.5999999999999999E-3</v>
      </c>
      <c r="Z46">
        <v>4.7999999999999996E-3</v>
      </c>
      <c r="AA46">
        <v>5.1000000000000004E-3</v>
      </c>
      <c r="AB46">
        <v>5.1000000000000004E-3</v>
      </c>
      <c r="AC46">
        <v>5.3E-3</v>
      </c>
      <c r="AD46">
        <v>5.5999999999999999E-3</v>
      </c>
      <c r="AE46">
        <v>5.8999999999999999E-3</v>
      </c>
      <c r="AF46">
        <v>6.1000000000000004E-3</v>
      </c>
      <c r="AG46">
        <v>6.4999999999999997E-3</v>
      </c>
      <c r="AH46">
        <v>7.1000000000000004E-3</v>
      </c>
      <c r="AI46">
        <v>7.6E-3</v>
      </c>
      <c r="AJ46">
        <v>7.9000000000000008E-3</v>
      </c>
      <c r="AK46">
        <v>8.3000000000000001E-3</v>
      </c>
      <c r="AL46">
        <v>8.5000000000000006E-3</v>
      </c>
      <c r="AM46">
        <v>8.6999999999999994E-3</v>
      </c>
      <c r="AN46">
        <v>8.6E-3</v>
      </c>
      <c r="AO46">
        <v>8.5000000000000006E-3</v>
      </c>
      <c r="AP46">
        <v>8.5000000000000006E-3</v>
      </c>
      <c r="AQ46">
        <v>8.6E-3</v>
      </c>
      <c r="AR46">
        <v>8.8999999999999999E-3</v>
      </c>
      <c r="AS46">
        <v>8.8999999999999999E-3</v>
      </c>
      <c r="AT46">
        <v>9.1999999999999998E-3</v>
      </c>
      <c r="AU46">
        <v>9.5999999999999992E-3</v>
      </c>
      <c r="AV46">
        <v>1.0200000000000001E-2</v>
      </c>
      <c r="AW46">
        <v>1.0500000000000001E-2</v>
      </c>
      <c r="AX46">
        <v>1.09E-2</v>
      </c>
      <c r="AY46">
        <v>1.12E-2</v>
      </c>
      <c r="AZ46">
        <v>1.12E-2</v>
      </c>
      <c r="BA46">
        <v>1.11E-2</v>
      </c>
      <c r="BB46">
        <v>1.11E-2</v>
      </c>
      <c r="BC46">
        <v>1.11E-2</v>
      </c>
      <c r="BD46">
        <v>1.1299999999999999E-2</v>
      </c>
      <c r="BE46">
        <v>1.12E-2</v>
      </c>
      <c r="BF46">
        <v>1.14E-2</v>
      </c>
      <c r="BG46">
        <v>1.17E-2</v>
      </c>
      <c r="BH46">
        <v>1.2E-2</v>
      </c>
      <c r="BI46">
        <v>1.2200000000000001E-2</v>
      </c>
      <c r="BJ46">
        <v>1.23E-2</v>
      </c>
      <c r="BK46">
        <v>1.24E-2</v>
      </c>
      <c r="BL46">
        <v>1.26E-2</v>
      </c>
      <c r="BM46">
        <v>1.24E-2</v>
      </c>
      <c r="BN46">
        <v>1.23E-2</v>
      </c>
      <c r="BO46">
        <v>1.23E-2</v>
      </c>
      <c r="BP46">
        <v>1.23E-2</v>
      </c>
      <c r="BQ46">
        <v>1.29E-2</v>
      </c>
      <c r="BR46">
        <v>1.34E-2</v>
      </c>
      <c r="BS46">
        <v>1.4200000000000001E-2</v>
      </c>
      <c r="BT46">
        <v>1.47E-2</v>
      </c>
      <c r="BU46">
        <v>1.55E-2</v>
      </c>
      <c r="BV46">
        <v>1.5900000000000001E-2</v>
      </c>
      <c r="BW46">
        <v>1.5599999999999999E-2</v>
      </c>
      <c r="BX46">
        <v>1.43E-2</v>
      </c>
      <c r="BY46">
        <v>1.3899999999999999E-2</v>
      </c>
      <c r="BZ46">
        <v>1.37E-2</v>
      </c>
      <c r="CA46">
        <v>1.37E-2</v>
      </c>
      <c r="CB46">
        <v>1.43E-2</v>
      </c>
      <c r="CC46">
        <v>1.7899999999999999E-2</v>
      </c>
      <c r="CD46">
        <v>1.9199999999999998E-2</v>
      </c>
      <c r="CE46">
        <v>1.8599999999999998E-2</v>
      </c>
      <c r="CF46">
        <v>1.78E-2</v>
      </c>
      <c r="CG46">
        <v>1.7600000000000001E-2</v>
      </c>
      <c r="CH46">
        <v>1.8200000000000001E-2</v>
      </c>
      <c r="CI46">
        <v>1.7299999999999999E-2</v>
      </c>
      <c r="CJ46">
        <v>1.6799999999999999E-2</v>
      </c>
      <c r="CK46">
        <v>1.7399999999999999E-2</v>
      </c>
      <c r="CL46">
        <v>2.0400000000000001E-2</v>
      </c>
      <c r="CM46">
        <v>2.07E-2</v>
      </c>
      <c r="CN46">
        <v>1.7500000000000002E-2</v>
      </c>
      <c r="CO46">
        <v>1.6799999999999999E-2</v>
      </c>
      <c r="CP46">
        <v>2.1399999999999999E-2</v>
      </c>
      <c r="CQ46">
        <v>1.7899999999999999E-2</v>
      </c>
      <c r="CR46">
        <v>2.12E-2</v>
      </c>
      <c r="CS46">
        <v>2.1899999999999999E-2</v>
      </c>
      <c r="CT46">
        <v>2.1299999999999999E-2</v>
      </c>
      <c r="CU46">
        <v>2.3E-2</v>
      </c>
      <c r="CV46">
        <v>2.4199999999999999E-2</v>
      </c>
    </row>
    <row r="47" spans="1:100" x14ac:dyDescent="0.2">
      <c r="A47" t="s">
        <v>5913</v>
      </c>
      <c r="B47">
        <v>-6.1999999999999998E-3</v>
      </c>
      <c r="C47">
        <v>-7.4999999999999997E-3</v>
      </c>
      <c r="D47">
        <v>-6.0000000000000001E-3</v>
      </c>
      <c r="E47">
        <v>-5.5999999999999999E-3</v>
      </c>
      <c r="F47">
        <v>-4.1999999999999997E-3</v>
      </c>
      <c r="G47">
        <v>-4.7000000000000002E-3</v>
      </c>
      <c r="H47">
        <v>-3.8999999999999998E-3</v>
      </c>
      <c r="I47">
        <v>-3.5000000000000001E-3</v>
      </c>
      <c r="J47">
        <v>-3.3999999999999998E-3</v>
      </c>
      <c r="K47">
        <v>-2.5999999999999999E-3</v>
      </c>
      <c r="L47">
        <v>-2.0999999999999999E-3</v>
      </c>
      <c r="M47">
        <v>-1.6000000000000001E-3</v>
      </c>
      <c r="N47">
        <v>-1.4E-3</v>
      </c>
      <c r="O47">
        <v>-1.4E-3</v>
      </c>
      <c r="P47">
        <v>-1.4E-3</v>
      </c>
      <c r="Q47">
        <v>-1.4E-3</v>
      </c>
      <c r="R47">
        <v>-1.4E-3</v>
      </c>
      <c r="S47">
        <v>-1.4E-3</v>
      </c>
      <c r="T47">
        <v>-1.5E-3</v>
      </c>
      <c r="U47">
        <v>-1.5E-3</v>
      </c>
      <c r="V47">
        <v>-1.5E-3</v>
      </c>
      <c r="W47">
        <v>-1.5E-3</v>
      </c>
      <c r="X47">
        <v>-1.5E-3</v>
      </c>
      <c r="Y47">
        <v>-1.5E-3</v>
      </c>
      <c r="Z47">
        <v>-1.6999999999999999E-3</v>
      </c>
      <c r="AA47">
        <v>-1.8E-3</v>
      </c>
      <c r="AB47">
        <v>-1.9E-3</v>
      </c>
      <c r="AC47">
        <v>-2E-3</v>
      </c>
      <c r="AD47">
        <v>-2.0999999999999999E-3</v>
      </c>
      <c r="AE47">
        <v>-2.2000000000000001E-3</v>
      </c>
      <c r="AF47">
        <v>-2.3E-3</v>
      </c>
      <c r="AG47">
        <v>-2.5000000000000001E-3</v>
      </c>
      <c r="AH47">
        <v>-2.8E-3</v>
      </c>
      <c r="AI47">
        <v>-3.0000000000000001E-3</v>
      </c>
      <c r="AJ47">
        <v>-3.2000000000000002E-3</v>
      </c>
      <c r="AK47">
        <v>-3.3E-3</v>
      </c>
      <c r="AL47">
        <v>-3.3999999999999998E-3</v>
      </c>
      <c r="AM47">
        <v>-3.5999999999999999E-3</v>
      </c>
      <c r="AN47">
        <v>-3.5000000000000001E-3</v>
      </c>
      <c r="AO47">
        <v>-3.5000000000000001E-3</v>
      </c>
      <c r="AP47">
        <v>-3.5000000000000001E-3</v>
      </c>
      <c r="AQ47">
        <v>-3.5000000000000001E-3</v>
      </c>
      <c r="AR47">
        <v>-3.5000000000000001E-3</v>
      </c>
      <c r="AS47">
        <v>-3.5000000000000001E-3</v>
      </c>
      <c r="AT47">
        <v>-3.7000000000000002E-3</v>
      </c>
      <c r="AU47">
        <v>-4.0000000000000001E-3</v>
      </c>
      <c r="AV47">
        <v>-4.1999999999999997E-3</v>
      </c>
      <c r="AW47">
        <v>-4.3E-3</v>
      </c>
      <c r="AX47">
        <v>-4.4000000000000003E-3</v>
      </c>
      <c r="AY47">
        <v>-4.5999999999999999E-3</v>
      </c>
      <c r="AZ47">
        <v>-4.5999999999999999E-3</v>
      </c>
      <c r="BA47">
        <v>-4.4999999999999997E-3</v>
      </c>
      <c r="BB47">
        <v>-4.4999999999999997E-3</v>
      </c>
      <c r="BC47">
        <v>-4.4999999999999997E-3</v>
      </c>
      <c r="BD47">
        <v>-4.4999999999999997E-3</v>
      </c>
      <c r="BE47">
        <v>-4.4999999999999997E-3</v>
      </c>
      <c r="BF47">
        <v>-4.4000000000000003E-3</v>
      </c>
      <c r="BG47">
        <v>-4.4999999999999997E-3</v>
      </c>
      <c r="BH47">
        <v>-4.5999999999999999E-3</v>
      </c>
      <c r="BI47">
        <v>-4.7000000000000002E-3</v>
      </c>
      <c r="BJ47">
        <v>-4.7000000000000002E-3</v>
      </c>
      <c r="BK47">
        <v>-4.7000000000000002E-3</v>
      </c>
      <c r="BL47">
        <v>-4.5999999999999999E-3</v>
      </c>
      <c r="BM47">
        <v>-4.5999999999999999E-3</v>
      </c>
      <c r="BN47">
        <v>-4.4999999999999997E-3</v>
      </c>
      <c r="BO47">
        <v>-4.4999999999999997E-3</v>
      </c>
      <c r="BP47">
        <v>-4.4000000000000003E-3</v>
      </c>
      <c r="BQ47">
        <v>-4.7000000000000002E-3</v>
      </c>
      <c r="BR47">
        <v>-4.7999999999999996E-3</v>
      </c>
      <c r="BS47">
        <v>-5.1000000000000004E-3</v>
      </c>
      <c r="BT47">
        <v>-5.1999999999999998E-3</v>
      </c>
      <c r="BU47">
        <v>-5.4999999999999997E-3</v>
      </c>
      <c r="BV47">
        <v>-5.4999999999999997E-3</v>
      </c>
      <c r="BW47">
        <v>-5.3E-3</v>
      </c>
      <c r="BX47">
        <v>-4.7999999999999996E-3</v>
      </c>
      <c r="BY47">
        <v>-4.7000000000000002E-3</v>
      </c>
      <c r="BZ47">
        <v>-4.7000000000000002E-3</v>
      </c>
      <c r="CA47">
        <v>-4.7000000000000002E-3</v>
      </c>
      <c r="CB47">
        <v>-4.7999999999999996E-3</v>
      </c>
      <c r="CC47">
        <v>-6.0000000000000001E-3</v>
      </c>
      <c r="CD47">
        <v>-6.4000000000000003E-3</v>
      </c>
      <c r="CE47">
        <v>-6.1000000000000004E-3</v>
      </c>
      <c r="CF47">
        <v>-5.7999999999999996E-3</v>
      </c>
      <c r="CG47">
        <v>-5.7999999999999996E-3</v>
      </c>
      <c r="CH47">
        <v>-6.1000000000000004E-3</v>
      </c>
      <c r="CI47">
        <v>-5.7000000000000002E-3</v>
      </c>
      <c r="CJ47">
        <v>-5.4999999999999997E-3</v>
      </c>
      <c r="CK47">
        <v>-5.7000000000000002E-3</v>
      </c>
      <c r="CL47">
        <v>-6.7000000000000002E-3</v>
      </c>
      <c r="CM47">
        <v>-6.7999999999999996E-3</v>
      </c>
      <c r="CN47">
        <v>-5.7000000000000002E-3</v>
      </c>
      <c r="CO47">
        <v>-5.5999999999999999E-3</v>
      </c>
      <c r="CP47">
        <v>-7.3000000000000001E-3</v>
      </c>
      <c r="CQ47">
        <v>-6.1999999999999998E-3</v>
      </c>
      <c r="CR47">
        <v>-7.6E-3</v>
      </c>
      <c r="CS47">
        <v>-7.9000000000000008E-3</v>
      </c>
      <c r="CT47">
        <v>-7.9000000000000008E-3</v>
      </c>
      <c r="CU47">
        <v>-8.0999999999999996E-3</v>
      </c>
      <c r="CV47">
        <v>-7.7999999999999996E-3</v>
      </c>
    </row>
    <row r="48" spans="1:100" x14ac:dyDescent="0.2">
      <c r="A48" t="s">
        <v>5914</v>
      </c>
      <c r="B48">
        <v>-2.7000000000000001E-3</v>
      </c>
      <c r="C48">
        <v>-3.3999999999999998E-3</v>
      </c>
      <c r="D48">
        <v>-2.7000000000000001E-3</v>
      </c>
      <c r="E48">
        <v>-2.5000000000000001E-3</v>
      </c>
      <c r="F48">
        <v>-1.9E-3</v>
      </c>
      <c r="G48">
        <v>-2.0999999999999999E-3</v>
      </c>
      <c r="H48">
        <v>-1.6999999999999999E-3</v>
      </c>
      <c r="I48">
        <v>-1.6000000000000001E-3</v>
      </c>
      <c r="J48">
        <v>-1.5E-3</v>
      </c>
      <c r="K48">
        <v>-1.1999999999999999E-3</v>
      </c>
      <c r="L48">
        <v>-1E-3</v>
      </c>
      <c r="M48">
        <v>-6.9999999999999999E-4</v>
      </c>
      <c r="N48">
        <v>-5.9999999999999995E-4</v>
      </c>
      <c r="O48">
        <v>-5.9999999999999995E-4</v>
      </c>
      <c r="P48">
        <v>-5.9999999999999995E-4</v>
      </c>
      <c r="Q48">
        <v>-5.9999999999999995E-4</v>
      </c>
      <c r="R48">
        <v>-5.9999999999999995E-4</v>
      </c>
      <c r="S48">
        <v>-5.9999999999999995E-4</v>
      </c>
      <c r="T48">
        <v>-6.9999999999999999E-4</v>
      </c>
      <c r="U48">
        <v>-6.9999999999999999E-4</v>
      </c>
      <c r="V48">
        <v>-6.9999999999999999E-4</v>
      </c>
      <c r="W48">
        <v>-6.9999999999999999E-4</v>
      </c>
      <c r="X48">
        <v>-6.9999999999999999E-4</v>
      </c>
      <c r="Y48">
        <v>-6.9999999999999999E-4</v>
      </c>
      <c r="Z48">
        <v>-8.0000000000000004E-4</v>
      </c>
      <c r="AA48">
        <v>-8.0000000000000004E-4</v>
      </c>
      <c r="AB48">
        <v>-8.9999999999999998E-4</v>
      </c>
      <c r="AC48">
        <v>-8.9999999999999998E-4</v>
      </c>
      <c r="AD48">
        <v>-1E-3</v>
      </c>
      <c r="AE48">
        <v>-1E-3</v>
      </c>
      <c r="AF48">
        <v>-1.1000000000000001E-3</v>
      </c>
      <c r="AG48">
        <v>-1.1000000000000001E-3</v>
      </c>
      <c r="AH48">
        <v>-1.2999999999999999E-3</v>
      </c>
      <c r="AI48">
        <v>-1.4E-3</v>
      </c>
      <c r="AJ48">
        <v>-1.4E-3</v>
      </c>
      <c r="AK48">
        <v>-1.5E-3</v>
      </c>
      <c r="AL48">
        <v>-1.6000000000000001E-3</v>
      </c>
      <c r="AM48">
        <v>-1.6000000000000001E-3</v>
      </c>
      <c r="AN48">
        <v>-1.6000000000000001E-3</v>
      </c>
      <c r="AO48">
        <v>-1.6000000000000001E-3</v>
      </c>
      <c r="AP48">
        <v>-1.6000000000000001E-3</v>
      </c>
      <c r="AQ48">
        <v>-1.6000000000000001E-3</v>
      </c>
      <c r="AR48">
        <v>-1.6000000000000001E-3</v>
      </c>
      <c r="AS48">
        <v>-1.6000000000000001E-3</v>
      </c>
      <c r="AT48">
        <v>-1.6999999999999999E-3</v>
      </c>
      <c r="AU48">
        <v>-1.8E-3</v>
      </c>
      <c r="AV48">
        <v>-1.9E-3</v>
      </c>
      <c r="AW48">
        <v>-2E-3</v>
      </c>
      <c r="AX48">
        <v>-2E-3</v>
      </c>
      <c r="AY48">
        <v>-2.0999999999999999E-3</v>
      </c>
      <c r="AZ48">
        <v>-2.0999999999999999E-3</v>
      </c>
      <c r="BA48">
        <v>-2.0999999999999999E-3</v>
      </c>
      <c r="BB48">
        <v>-2E-3</v>
      </c>
      <c r="BC48">
        <v>-2.0999999999999999E-3</v>
      </c>
      <c r="BD48">
        <v>-2.0999999999999999E-3</v>
      </c>
      <c r="BE48">
        <v>-2.0999999999999999E-3</v>
      </c>
      <c r="BF48">
        <v>-2E-3</v>
      </c>
      <c r="BG48">
        <v>-2.0999999999999999E-3</v>
      </c>
      <c r="BH48">
        <v>-2.0999999999999999E-3</v>
      </c>
      <c r="BI48">
        <v>-2.0999999999999999E-3</v>
      </c>
      <c r="BJ48">
        <v>-2.0999999999999999E-3</v>
      </c>
      <c r="BK48">
        <v>-2.0999999999999999E-3</v>
      </c>
      <c r="BL48">
        <v>-2.0999999999999999E-3</v>
      </c>
      <c r="BM48">
        <v>-2.0999999999999999E-3</v>
      </c>
      <c r="BN48">
        <v>-2.0999999999999999E-3</v>
      </c>
      <c r="BO48">
        <v>-2.0999999999999999E-3</v>
      </c>
      <c r="BP48">
        <v>-2E-3</v>
      </c>
      <c r="BQ48">
        <v>-2.0999999999999999E-3</v>
      </c>
      <c r="BR48">
        <v>-2.2000000000000001E-3</v>
      </c>
      <c r="BS48">
        <v>-2.3E-3</v>
      </c>
      <c r="BT48">
        <v>-2.3999999999999998E-3</v>
      </c>
      <c r="BU48">
        <v>-2.5000000000000001E-3</v>
      </c>
      <c r="BV48">
        <v>-2.5000000000000001E-3</v>
      </c>
      <c r="BW48">
        <v>-2.3999999999999998E-3</v>
      </c>
      <c r="BX48">
        <v>-2.2000000000000001E-3</v>
      </c>
      <c r="BY48">
        <v>-2.0999999999999999E-3</v>
      </c>
      <c r="BZ48">
        <v>-2.0999999999999999E-3</v>
      </c>
      <c r="CA48">
        <v>-2.0999999999999999E-3</v>
      </c>
      <c r="CB48">
        <v>-2.2000000000000001E-3</v>
      </c>
      <c r="CC48">
        <v>-2.7000000000000001E-3</v>
      </c>
      <c r="CD48">
        <v>-2.8999999999999998E-3</v>
      </c>
      <c r="CE48">
        <v>-2.8E-3</v>
      </c>
      <c r="CF48">
        <v>-2.5999999999999999E-3</v>
      </c>
      <c r="CG48">
        <v>-2.7000000000000001E-3</v>
      </c>
      <c r="CH48">
        <v>-2.8E-3</v>
      </c>
      <c r="CI48">
        <v>-2.5999999999999999E-3</v>
      </c>
      <c r="CJ48">
        <v>-2.5000000000000001E-3</v>
      </c>
      <c r="CK48">
        <v>-2.5999999999999999E-3</v>
      </c>
      <c r="CL48">
        <v>-3.0000000000000001E-3</v>
      </c>
      <c r="CM48">
        <v>-3.0999999999999999E-3</v>
      </c>
      <c r="CN48">
        <v>-2.5999999999999999E-3</v>
      </c>
      <c r="CO48">
        <v>-2.5000000000000001E-3</v>
      </c>
      <c r="CP48">
        <v>-3.3E-3</v>
      </c>
      <c r="CQ48">
        <v>-2.8E-3</v>
      </c>
      <c r="CR48">
        <v>-3.3999999999999998E-3</v>
      </c>
      <c r="CS48">
        <v>-3.5000000000000001E-3</v>
      </c>
      <c r="CT48">
        <v>-3.5000000000000001E-3</v>
      </c>
      <c r="CU48">
        <v>-3.5000000000000001E-3</v>
      </c>
      <c r="CV48">
        <v>-3.2000000000000002E-3</v>
      </c>
    </row>
    <row r="49" spans="1:100" x14ac:dyDescent="0.2">
      <c r="A49" t="s">
        <v>5915</v>
      </c>
      <c r="B49">
        <v>-2.2000000000000001E-3</v>
      </c>
      <c r="C49">
        <v>-2.7000000000000001E-3</v>
      </c>
      <c r="D49">
        <v>-1.8E-3</v>
      </c>
      <c r="E49">
        <v>-2E-3</v>
      </c>
      <c r="F49">
        <v>-1.5E-3</v>
      </c>
      <c r="G49">
        <v>-1.6999999999999999E-3</v>
      </c>
      <c r="H49">
        <v>-1.8E-3</v>
      </c>
      <c r="I49">
        <v>-1.6999999999999999E-3</v>
      </c>
      <c r="J49">
        <v>-1.6999999999999999E-3</v>
      </c>
      <c r="K49">
        <v>-1.4E-3</v>
      </c>
      <c r="L49">
        <v>-1.1999999999999999E-3</v>
      </c>
      <c r="M49">
        <v>-8.0000000000000004E-4</v>
      </c>
      <c r="N49">
        <v>-8.9999999999999998E-4</v>
      </c>
      <c r="O49">
        <v>-1E-3</v>
      </c>
      <c r="P49">
        <v>-8.9999999999999998E-4</v>
      </c>
      <c r="Q49">
        <v>-8.0000000000000004E-4</v>
      </c>
      <c r="R49">
        <v>-8.0000000000000004E-4</v>
      </c>
      <c r="S49">
        <v>-8.9999999999999998E-4</v>
      </c>
      <c r="T49">
        <v>-8.9999999999999998E-4</v>
      </c>
      <c r="U49">
        <v>-8.9999999999999998E-4</v>
      </c>
      <c r="V49">
        <v>-8.9999999999999998E-4</v>
      </c>
      <c r="W49">
        <v>-8.9999999999999998E-4</v>
      </c>
      <c r="X49">
        <v>-8.9999999999999998E-4</v>
      </c>
      <c r="Y49">
        <v>-1E-3</v>
      </c>
      <c r="Z49">
        <v>-1.1000000000000001E-3</v>
      </c>
      <c r="AA49">
        <v>-1.1999999999999999E-3</v>
      </c>
      <c r="AB49">
        <v>-1.1999999999999999E-3</v>
      </c>
      <c r="AC49">
        <v>-1.1999999999999999E-3</v>
      </c>
      <c r="AD49">
        <v>-1.1999999999999999E-3</v>
      </c>
      <c r="AE49">
        <v>-1.2999999999999999E-3</v>
      </c>
      <c r="AF49">
        <v>-1.4E-3</v>
      </c>
      <c r="AG49">
        <v>-1.5E-3</v>
      </c>
      <c r="AH49">
        <v>-1.6000000000000001E-3</v>
      </c>
      <c r="AI49">
        <v>-1.8E-3</v>
      </c>
      <c r="AJ49">
        <v>-1.9E-3</v>
      </c>
      <c r="AK49">
        <v>-2E-3</v>
      </c>
      <c r="AL49">
        <v>-2E-3</v>
      </c>
      <c r="AM49">
        <v>-1.9E-3</v>
      </c>
      <c r="AN49">
        <v>-1.9E-3</v>
      </c>
      <c r="AO49">
        <v>-1.9E-3</v>
      </c>
      <c r="AP49">
        <v>-2E-3</v>
      </c>
      <c r="AQ49">
        <v>-2.0999999999999999E-3</v>
      </c>
      <c r="AR49">
        <v>-2.0999999999999999E-3</v>
      </c>
      <c r="AS49">
        <v>-2.0999999999999999E-3</v>
      </c>
      <c r="AT49">
        <v>-2E-3</v>
      </c>
      <c r="AU49">
        <v>-2.0999999999999999E-3</v>
      </c>
      <c r="AV49">
        <v>-2.2000000000000001E-3</v>
      </c>
      <c r="AW49">
        <v>-2.3E-3</v>
      </c>
      <c r="AX49">
        <v>-2.3999999999999998E-3</v>
      </c>
      <c r="AY49">
        <v>-2.3999999999999998E-3</v>
      </c>
      <c r="AZ49">
        <v>-2.3999999999999998E-3</v>
      </c>
      <c r="BA49">
        <v>-2.5000000000000001E-3</v>
      </c>
      <c r="BB49">
        <v>-2.5999999999999999E-3</v>
      </c>
      <c r="BC49">
        <v>-2.5999999999999999E-3</v>
      </c>
      <c r="BD49">
        <v>-2.3999999999999998E-3</v>
      </c>
      <c r="BE49">
        <v>-2.5000000000000001E-3</v>
      </c>
      <c r="BF49">
        <v>-2.5000000000000001E-3</v>
      </c>
      <c r="BG49">
        <v>-2.7000000000000001E-3</v>
      </c>
      <c r="BH49">
        <v>-2.7000000000000001E-3</v>
      </c>
      <c r="BI49">
        <v>-2.8E-3</v>
      </c>
      <c r="BJ49">
        <v>-2.8E-3</v>
      </c>
      <c r="BK49">
        <v>-2.8E-3</v>
      </c>
      <c r="BL49">
        <v>-2.8E-3</v>
      </c>
      <c r="BM49">
        <v>-2.8E-3</v>
      </c>
      <c r="BN49">
        <v>-3.0000000000000001E-3</v>
      </c>
      <c r="BO49">
        <v>-3.0000000000000001E-3</v>
      </c>
      <c r="BP49">
        <v>-2.8E-3</v>
      </c>
      <c r="BQ49">
        <v>-3.0999999999999999E-3</v>
      </c>
      <c r="BR49">
        <v>-3.2000000000000002E-3</v>
      </c>
      <c r="BS49">
        <v>-3.3E-3</v>
      </c>
      <c r="BT49">
        <v>-3.5000000000000001E-3</v>
      </c>
      <c r="BU49">
        <v>-3.8E-3</v>
      </c>
      <c r="BV49">
        <v>-4.0000000000000001E-3</v>
      </c>
      <c r="BW49">
        <v>-4.0000000000000001E-3</v>
      </c>
      <c r="BX49">
        <v>-3.5999999999999999E-3</v>
      </c>
      <c r="BY49">
        <v>-3.7000000000000002E-3</v>
      </c>
      <c r="BZ49">
        <v>-3.8E-3</v>
      </c>
      <c r="CA49">
        <v>-3.8E-3</v>
      </c>
      <c r="CB49">
        <v>-3.5000000000000001E-3</v>
      </c>
      <c r="CC49">
        <v>-4.4000000000000003E-3</v>
      </c>
      <c r="CD49">
        <v>-4.7999999999999996E-3</v>
      </c>
      <c r="CE49">
        <v>-4.7000000000000002E-3</v>
      </c>
      <c r="CF49">
        <v>-4.7999999999999996E-3</v>
      </c>
      <c r="CG49">
        <v>-4.7000000000000002E-3</v>
      </c>
      <c r="CH49">
        <v>-4.8999999999999998E-3</v>
      </c>
      <c r="CI49">
        <v>-4.7000000000000002E-3</v>
      </c>
      <c r="CJ49">
        <v>-5.0000000000000001E-3</v>
      </c>
      <c r="CK49">
        <v>-5.0000000000000001E-3</v>
      </c>
      <c r="CL49">
        <v>-6.1000000000000004E-3</v>
      </c>
      <c r="CM49">
        <v>-6.3E-3</v>
      </c>
      <c r="CN49">
        <v>-5.7999999999999996E-3</v>
      </c>
      <c r="CO49">
        <v>-5.3E-3</v>
      </c>
      <c r="CP49">
        <v>-6.8999999999999999E-3</v>
      </c>
      <c r="CQ49">
        <v>-5.7000000000000002E-3</v>
      </c>
      <c r="CR49">
        <v>-6.7999999999999996E-3</v>
      </c>
      <c r="CS49">
        <v>-7.4000000000000003E-3</v>
      </c>
      <c r="CT49">
        <v>-7.4999999999999997E-3</v>
      </c>
      <c r="CU49">
        <v>-7.7000000000000002E-3</v>
      </c>
      <c r="CV49">
        <v>-7.7000000000000002E-3</v>
      </c>
    </row>
    <row r="50" spans="1:100" x14ac:dyDescent="0.2">
      <c r="A50" t="s">
        <v>5916</v>
      </c>
      <c r="B50">
        <v>-5.9999999999999995E-4</v>
      </c>
      <c r="C50">
        <v>-1E-3</v>
      </c>
      <c r="D50">
        <v>-5.9999999999999995E-4</v>
      </c>
      <c r="E50">
        <v>-8.0000000000000004E-4</v>
      </c>
      <c r="F50">
        <v>-5.9999999999999995E-4</v>
      </c>
      <c r="G50">
        <v>-6.9999999999999999E-4</v>
      </c>
      <c r="H50">
        <v>-8.0000000000000004E-4</v>
      </c>
      <c r="I50">
        <v>-8.0000000000000004E-4</v>
      </c>
      <c r="J50">
        <v>-8.9999999999999998E-4</v>
      </c>
      <c r="K50">
        <v>-6.9999999999999999E-4</v>
      </c>
      <c r="L50">
        <v>-5.9999999999999995E-4</v>
      </c>
      <c r="M50">
        <v>-4.0000000000000002E-4</v>
      </c>
      <c r="N50">
        <v>-4.0000000000000002E-4</v>
      </c>
      <c r="O50">
        <v>-5.0000000000000001E-4</v>
      </c>
      <c r="P50">
        <v>-5.0000000000000001E-4</v>
      </c>
      <c r="Q50">
        <v>-4.0000000000000002E-4</v>
      </c>
      <c r="R50">
        <v>-5.0000000000000001E-4</v>
      </c>
      <c r="S50">
        <v>-5.0000000000000001E-4</v>
      </c>
      <c r="T50">
        <v>-5.0000000000000001E-4</v>
      </c>
      <c r="U50">
        <v>-5.0000000000000001E-4</v>
      </c>
      <c r="V50">
        <v>-5.0000000000000001E-4</v>
      </c>
      <c r="W50">
        <v>-5.0000000000000001E-4</v>
      </c>
      <c r="X50">
        <v>-5.0000000000000001E-4</v>
      </c>
      <c r="Y50">
        <v>-5.0000000000000001E-4</v>
      </c>
      <c r="Z50">
        <v>-6.9999999999999999E-4</v>
      </c>
      <c r="AA50">
        <v>-6.9999999999999999E-4</v>
      </c>
      <c r="AB50">
        <v>-6.9999999999999999E-4</v>
      </c>
      <c r="AC50">
        <v>-6.9999999999999999E-4</v>
      </c>
      <c r="AD50">
        <v>-6.9999999999999999E-4</v>
      </c>
      <c r="AE50">
        <v>-6.9999999999999999E-4</v>
      </c>
      <c r="AF50">
        <v>-8.0000000000000004E-4</v>
      </c>
      <c r="AG50">
        <v>-8.9999999999999998E-4</v>
      </c>
      <c r="AH50">
        <v>-1E-3</v>
      </c>
      <c r="AI50">
        <v>-1E-3</v>
      </c>
      <c r="AJ50">
        <v>-1.1000000000000001E-3</v>
      </c>
      <c r="AK50">
        <v>-1.1999999999999999E-3</v>
      </c>
      <c r="AL50">
        <v>-1.1999999999999999E-3</v>
      </c>
      <c r="AM50">
        <v>-1.1000000000000001E-3</v>
      </c>
      <c r="AN50">
        <v>-1.1000000000000001E-3</v>
      </c>
      <c r="AO50">
        <v>-1.1000000000000001E-3</v>
      </c>
      <c r="AP50">
        <v>-1.1999999999999999E-3</v>
      </c>
      <c r="AQ50">
        <v>-1.2999999999999999E-3</v>
      </c>
      <c r="AR50">
        <v>-1.2999999999999999E-3</v>
      </c>
      <c r="AS50">
        <v>-1.2999999999999999E-3</v>
      </c>
      <c r="AT50">
        <v>-1.1999999999999999E-3</v>
      </c>
      <c r="AU50">
        <v>-1.2999999999999999E-3</v>
      </c>
      <c r="AV50">
        <v>-1.2999999999999999E-3</v>
      </c>
      <c r="AW50">
        <v>-1.4E-3</v>
      </c>
      <c r="AX50">
        <v>-1.4E-3</v>
      </c>
      <c r="AY50">
        <v>-1.4E-3</v>
      </c>
      <c r="AZ50">
        <v>-1.5E-3</v>
      </c>
      <c r="BA50">
        <v>-1.5E-3</v>
      </c>
      <c r="BB50">
        <v>-1.6000000000000001E-3</v>
      </c>
      <c r="BC50">
        <v>-1.6000000000000001E-3</v>
      </c>
      <c r="BD50">
        <v>-1.4E-3</v>
      </c>
      <c r="BE50">
        <v>-1.5E-3</v>
      </c>
      <c r="BF50">
        <v>-1.5E-3</v>
      </c>
      <c r="BG50">
        <v>-1.6000000000000001E-3</v>
      </c>
      <c r="BH50">
        <v>-1.6000000000000001E-3</v>
      </c>
      <c r="BI50">
        <v>-1.6999999999999999E-3</v>
      </c>
      <c r="BJ50">
        <v>-1.6999999999999999E-3</v>
      </c>
      <c r="BK50">
        <v>-1.6999999999999999E-3</v>
      </c>
      <c r="BL50">
        <v>-1.6999999999999999E-3</v>
      </c>
      <c r="BM50">
        <v>-1.6999999999999999E-3</v>
      </c>
      <c r="BN50">
        <v>-1.8E-3</v>
      </c>
      <c r="BO50">
        <v>-1.8E-3</v>
      </c>
      <c r="BP50">
        <v>-1.6999999999999999E-3</v>
      </c>
      <c r="BQ50">
        <v>-1.8E-3</v>
      </c>
      <c r="BR50">
        <v>-2E-3</v>
      </c>
      <c r="BS50">
        <v>-2E-3</v>
      </c>
      <c r="BT50">
        <v>-2.0999999999999999E-3</v>
      </c>
      <c r="BU50">
        <v>-2.3E-3</v>
      </c>
      <c r="BV50">
        <v>-2.3999999999999998E-3</v>
      </c>
      <c r="BW50">
        <v>-2.3999999999999998E-3</v>
      </c>
      <c r="BX50">
        <v>-2.2000000000000001E-3</v>
      </c>
      <c r="BY50">
        <v>-2.3E-3</v>
      </c>
      <c r="BZ50">
        <v>-2.3E-3</v>
      </c>
      <c r="CA50">
        <v>-2.3E-3</v>
      </c>
      <c r="CB50">
        <v>-2.0999999999999999E-3</v>
      </c>
      <c r="CC50">
        <v>-2.7000000000000001E-3</v>
      </c>
      <c r="CD50">
        <v>-2.8999999999999998E-3</v>
      </c>
      <c r="CE50">
        <v>-2.8E-3</v>
      </c>
      <c r="CF50">
        <v>-2.8999999999999998E-3</v>
      </c>
      <c r="CG50">
        <v>-2.8E-3</v>
      </c>
      <c r="CH50">
        <v>-2.8999999999999998E-3</v>
      </c>
      <c r="CI50">
        <v>-2.8E-3</v>
      </c>
      <c r="CJ50">
        <v>-3.0000000000000001E-3</v>
      </c>
      <c r="CK50">
        <v>-3.0000000000000001E-3</v>
      </c>
      <c r="CL50">
        <v>-3.7000000000000002E-3</v>
      </c>
      <c r="CM50">
        <v>-3.8E-3</v>
      </c>
      <c r="CN50">
        <v>-3.5000000000000001E-3</v>
      </c>
      <c r="CO50">
        <v>-3.2000000000000002E-3</v>
      </c>
      <c r="CP50">
        <v>-4.1000000000000003E-3</v>
      </c>
      <c r="CQ50">
        <v>-3.3999999999999998E-3</v>
      </c>
      <c r="CR50">
        <v>-4.0000000000000001E-3</v>
      </c>
      <c r="CS50">
        <v>-4.4000000000000003E-3</v>
      </c>
      <c r="CT50">
        <v>-4.4000000000000003E-3</v>
      </c>
      <c r="CU50">
        <v>-4.4999999999999997E-3</v>
      </c>
      <c r="CV50">
        <v>-4.1999999999999997E-3</v>
      </c>
    </row>
    <row r="51" spans="1:100" x14ac:dyDescent="0.2">
      <c r="A51" t="s">
        <v>5917</v>
      </c>
      <c r="B51">
        <v>5.5999999999999999E-3</v>
      </c>
      <c r="C51">
        <v>6.7999999999999996E-3</v>
      </c>
      <c r="D51">
        <v>5.7000000000000002E-3</v>
      </c>
      <c r="E51">
        <v>5.5999999999999999E-3</v>
      </c>
      <c r="F51">
        <v>4.4000000000000003E-3</v>
      </c>
      <c r="G51">
        <v>4.5999999999999999E-3</v>
      </c>
      <c r="H51">
        <v>4.0000000000000001E-3</v>
      </c>
      <c r="I51">
        <v>3.7000000000000002E-3</v>
      </c>
      <c r="J51">
        <v>3.5000000000000001E-3</v>
      </c>
      <c r="K51">
        <v>2.7000000000000001E-3</v>
      </c>
      <c r="L51">
        <v>2.0999999999999999E-3</v>
      </c>
      <c r="M51">
        <v>1.6000000000000001E-3</v>
      </c>
      <c r="N51">
        <v>1.4E-3</v>
      </c>
      <c r="O51">
        <v>1.2999999999999999E-3</v>
      </c>
      <c r="P51">
        <v>1.1999999999999999E-3</v>
      </c>
      <c r="Q51">
        <v>1.1000000000000001E-3</v>
      </c>
      <c r="R51">
        <v>1E-3</v>
      </c>
      <c r="S51">
        <v>8.9999999999999998E-4</v>
      </c>
      <c r="T51">
        <v>8.9999999999999998E-4</v>
      </c>
      <c r="U51">
        <v>8.0000000000000004E-4</v>
      </c>
      <c r="V51">
        <v>8.0000000000000004E-4</v>
      </c>
      <c r="W51">
        <v>8.0000000000000004E-4</v>
      </c>
      <c r="X51">
        <v>6.9999999999999999E-4</v>
      </c>
      <c r="Y51">
        <v>6.9999999999999999E-4</v>
      </c>
      <c r="Z51">
        <v>8.0000000000000004E-4</v>
      </c>
      <c r="AA51">
        <v>8.0000000000000004E-4</v>
      </c>
      <c r="AB51">
        <v>6.9999999999999999E-4</v>
      </c>
      <c r="AC51">
        <v>6.9999999999999999E-4</v>
      </c>
      <c r="AD51">
        <v>6.9999999999999999E-4</v>
      </c>
      <c r="AE51">
        <v>6.9999999999999999E-4</v>
      </c>
      <c r="AF51">
        <v>6.9999999999999999E-4</v>
      </c>
      <c r="AG51">
        <v>6.9999999999999999E-4</v>
      </c>
      <c r="AH51">
        <v>8.0000000000000004E-4</v>
      </c>
      <c r="AI51">
        <v>8.0000000000000004E-4</v>
      </c>
      <c r="AJ51">
        <v>8.0000000000000004E-4</v>
      </c>
      <c r="AK51">
        <v>8.0000000000000004E-4</v>
      </c>
      <c r="AL51">
        <v>8.0000000000000004E-4</v>
      </c>
      <c r="AM51">
        <v>8.0000000000000004E-4</v>
      </c>
      <c r="AN51">
        <v>8.0000000000000004E-4</v>
      </c>
      <c r="AO51">
        <v>8.0000000000000004E-4</v>
      </c>
      <c r="AP51">
        <v>8.0000000000000004E-4</v>
      </c>
      <c r="AQ51">
        <v>6.9999999999999999E-4</v>
      </c>
      <c r="AR51">
        <v>6.9999999999999999E-4</v>
      </c>
      <c r="AS51">
        <v>6.9999999999999999E-4</v>
      </c>
      <c r="AT51">
        <v>6.9999999999999999E-4</v>
      </c>
      <c r="AU51">
        <v>6.9999999999999999E-4</v>
      </c>
      <c r="AV51">
        <v>6.9999999999999999E-4</v>
      </c>
      <c r="AW51">
        <v>6.9999999999999999E-4</v>
      </c>
      <c r="AX51">
        <v>6.9999999999999999E-4</v>
      </c>
      <c r="AY51">
        <v>6.9999999999999999E-4</v>
      </c>
      <c r="AZ51">
        <v>8.0000000000000004E-4</v>
      </c>
      <c r="BA51">
        <v>6.9999999999999999E-4</v>
      </c>
      <c r="BB51">
        <v>6.9999999999999999E-4</v>
      </c>
      <c r="BC51">
        <v>6.9999999999999999E-4</v>
      </c>
      <c r="BD51">
        <v>6.9999999999999999E-4</v>
      </c>
      <c r="BE51">
        <v>6.9999999999999999E-4</v>
      </c>
      <c r="BF51">
        <v>5.9999999999999995E-4</v>
      </c>
      <c r="BG51">
        <v>6.9999999999999999E-4</v>
      </c>
      <c r="BH51">
        <v>5.9999999999999995E-4</v>
      </c>
      <c r="BI51">
        <v>6.9999999999999999E-4</v>
      </c>
      <c r="BJ51">
        <v>5.9999999999999995E-4</v>
      </c>
      <c r="BK51">
        <v>5.9999999999999995E-4</v>
      </c>
      <c r="BL51">
        <v>5.9999999999999995E-4</v>
      </c>
      <c r="BM51">
        <v>5.9999999999999995E-4</v>
      </c>
      <c r="BN51">
        <v>5.9999999999999995E-4</v>
      </c>
      <c r="BO51">
        <v>5.9999999999999995E-4</v>
      </c>
      <c r="BP51">
        <v>5.0000000000000001E-4</v>
      </c>
      <c r="BQ51">
        <v>5.9999999999999995E-4</v>
      </c>
      <c r="BR51">
        <v>5.9999999999999995E-4</v>
      </c>
      <c r="BS51">
        <v>5.9999999999999995E-4</v>
      </c>
      <c r="BT51">
        <v>5.9999999999999995E-4</v>
      </c>
      <c r="BU51">
        <v>6.9999999999999999E-4</v>
      </c>
      <c r="BV51">
        <v>6.9999999999999999E-4</v>
      </c>
      <c r="BW51">
        <v>5.9999999999999995E-4</v>
      </c>
      <c r="BX51">
        <v>5.9999999999999995E-4</v>
      </c>
      <c r="BY51">
        <v>5.0000000000000001E-4</v>
      </c>
      <c r="BZ51">
        <v>5.0000000000000001E-4</v>
      </c>
      <c r="CA51">
        <v>5.0000000000000001E-4</v>
      </c>
      <c r="CB51">
        <v>5.0000000000000001E-4</v>
      </c>
      <c r="CC51">
        <v>5.9999999999999995E-4</v>
      </c>
      <c r="CD51">
        <v>5.9999999999999995E-4</v>
      </c>
      <c r="CE51">
        <v>5.9999999999999995E-4</v>
      </c>
      <c r="CF51">
        <v>5.9999999999999995E-4</v>
      </c>
      <c r="CG51">
        <v>5.0000000000000001E-4</v>
      </c>
      <c r="CH51">
        <v>5.0000000000000001E-4</v>
      </c>
      <c r="CI51">
        <v>5.0000000000000001E-4</v>
      </c>
      <c r="CJ51">
        <v>4.0000000000000002E-4</v>
      </c>
      <c r="CK51">
        <v>4.0000000000000002E-4</v>
      </c>
      <c r="CL51">
        <v>5.0000000000000001E-4</v>
      </c>
      <c r="CM51">
        <v>5.0000000000000001E-4</v>
      </c>
      <c r="CN51">
        <v>5.0000000000000001E-4</v>
      </c>
      <c r="CO51">
        <v>4.0000000000000002E-4</v>
      </c>
      <c r="CP51">
        <v>5.0000000000000001E-4</v>
      </c>
      <c r="CQ51">
        <v>2.9999999999999997E-4</v>
      </c>
      <c r="CR51">
        <v>4.0000000000000002E-4</v>
      </c>
      <c r="CS51">
        <v>2.0000000000000001E-4</v>
      </c>
      <c r="CT51">
        <v>4.0000000000000002E-4</v>
      </c>
      <c r="CU51">
        <v>2.9999999999999997E-4</v>
      </c>
      <c r="CV51">
        <v>5.0000000000000001E-4</v>
      </c>
    </row>
    <row r="52" spans="1:100" x14ac:dyDescent="0.2">
      <c r="A52" t="s">
        <v>5918</v>
      </c>
      <c r="B52">
        <v>9.1000000000000004E-3</v>
      </c>
      <c r="C52">
        <v>1.0699999999999999E-2</v>
      </c>
      <c r="D52">
        <v>8.6999999999999994E-3</v>
      </c>
      <c r="E52">
        <v>8.5000000000000006E-3</v>
      </c>
      <c r="F52">
        <v>6.7000000000000002E-3</v>
      </c>
      <c r="G52">
        <v>6.8999999999999999E-3</v>
      </c>
      <c r="H52">
        <v>6.0000000000000001E-3</v>
      </c>
      <c r="I52">
        <v>5.4999999999999997E-3</v>
      </c>
      <c r="J52">
        <v>5.1999999999999998E-3</v>
      </c>
      <c r="K52">
        <v>4.1000000000000003E-3</v>
      </c>
      <c r="L52">
        <v>3.2000000000000002E-3</v>
      </c>
      <c r="M52">
        <v>2.3999999999999998E-3</v>
      </c>
      <c r="N52">
        <v>2.0999999999999999E-3</v>
      </c>
      <c r="O52">
        <v>1.9E-3</v>
      </c>
      <c r="P52">
        <v>1.8E-3</v>
      </c>
      <c r="Q52">
        <v>1.6999999999999999E-3</v>
      </c>
      <c r="R52">
        <v>1.5E-3</v>
      </c>
      <c r="S52">
        <v>1.4E-3</v>
      </c>
      <c r="T52">
        <v>1.2999999999999999E-3</v>
      </c>
      <c r="U52">
        <v>1.2999999999999999E-3</v>
      </c>
      <c r="V52">
        <v>1.1999999999999999E-3</v>
      </c>
      <c r="W52">
        <v>1.1999999999999999E-3</v>
      </c>
      <c r="X52">
        <v>1.1000000000000001E-3</v>
      </c>
      <c r="Y52">
        <v>1.1000000000000001E-3</v>
      </c>
      <c r="Z52">
        <v>1.1000000000000001E-3</v>
      </c>
      <c r="AA52">
        <v>1.1000000000000001E-3</v>
      </c>
      <c r="AB52">
        <v>1.1000000000000001E-3</v>
      </c>
      <c r="AC52">
        <v>1.1000000000000001E-3</v>
      </c>
      <c r="AD52">
        <v>1.1000000000000001E-3</v>
      </c>
      <c r="AE52">
        <v>1.1000000000000001E-3</v>
      </c>
      <c r="AF52">
        <v>1.1000000000000001E-3</v>
      </c>
      <c r="AG52">
        <v>1.1000000000000001E-3</v>
      </c>
      <c r="AH52">
        <v>1.1999999999999999E-3</v>
      </c>
      <c r="AI52">
        <v>1.2999999999999999E-3</v>
      </c>
      <c r="AJ52">
        <v>1.2999999999999999E-3</v>
      </c>
      <c r="AK52">
        <v>1.1999999999999999E-3</v>
      </c>
      <c r="AL52">
        <v>1.1999999999999999E-3</v>
      </c>
      <c r="AM52">
        <v>1.1999999999999999E-3</v>
      </c>
      <c r="AN52">
        <v>1.1999999999999999E-3</v>
      </c>
      <c r="AO52">
        <v>1.1999999999999999E-3</v>
      </c>
      <c r="AP52">
        <v>1.1999999999999999E-3</v>
      </c>
      <c r="AQ52">
        <v>1.1000000000000001E-3</v>
      </c>
      <c r="AR52">
        <v>1.1000000000000001E-3</v>
      </c>
      <c r="AS52">
        <v>1.1000000000000001E-3</v>
      </c>
      <c r="AT52">
        <v>1.1000000000000001E-3</v>
      </c>
      <c r="AU52">
        <v>1.1000000000000001E-3</v>
      </c>
      <c r="AV52">
        <v>1.1000000000000001E-3</v>
      </c>
      <c r="AW52">
        <v>1.1000000000000001E-3</v>
      </c>
      <c r="AX52">
        <v>1.1000000000000001E-3</v>
      </c>
      <c r="AY52">
        <v>1.1999999999999999E-3</v>
      </c>
      <c r="AZ52">
        <v>1.1999999999999999E-3</v>
      </c>
      <c r="BA52">
        <v>1.1000000000000001E-3</v>
      </c>
      <c r="BB52">
        <v>1.1000000000000001E-3</v>
      </c>
      <c r="BC52">
        <v>1.1000000000000001E-3</v>
      </c>
      <c r="BD52">
        <v>1E-3</v>
      </c>
      <c r="BE52">
        <v>1E-3</v>
      </c>
      <c r="BF52">
        <v>1E-3</v>
      </c>
      <c r="BG52">
        <v>1E-3</v>
      </c>
      <c r="BH52">
        <v>1E-3</v>
      </c>
      <c r="BI52">
        <v>1E-3</v>
      </c>
      <c r="BJ52">
        <v>1E-3</v>
      </c>
      <c r="BK52">
        <v>1E-3</v>
      </c>
      <c r="BL52">
        <v>1E-3</v>
      </c>
      <c r="BM52">
        <v>1E-3</v>
      </c>
      <c r="BN52">
        <v>8.9999999999999998E-4</v>
      </c>
      <c r="BO52">
        <v>8.9999999999999998E-4</v>
      </c>
      <c r="BP52">
        <v>8.9999999999999998E-4</v>
      </c>
      <c r="BQ52">
        <v>8.9999999999999998E-4</v>
      </c>
      <c r="BR52">
        <v>1E-3</v>
      </c>
      <c r="BS52">
        <v>1E-3</v>
      </c>
      <c r="BT52">
        <v>1E-3</v>
      </c>
      <c r="BU52">
        <v>1.1000000000000001E-3</v>
      </c>
      <c r="BV52">
        <v>1.1000000000000001E-3</v>
      </c>
      <c r="BW52">
        <v>1E-3</v>
      </c>
      <c r="BX52">
        <v>1E-3</v>
      </c>
      <c r="BY52">
        <v>8.9999999999999998E-4</v>
      </c>
      <c r="BZ52">
        <v>8.9999999999999998E-4</v>
      </c>
      <c r="CA52">
        <v>8.9999999999999998E-4</v>
      </c>
      <c r="CB52">
        <v>8.0000000000000004E-4</v>
      </c>
      <c r="CC52">
        <v>1.1000000000000001E-3</v>
      </c>
      <c r="CD52">
        <v>1.1000000000000001E-3</v>
      </c>
      <c r="CE52">
        <v>1.1000000000000001E-3</v>
      </c>
      <c r="CF52">
        <v>1E-3</v>
      </c>
      <c r="CG52">
        <v>1E-3</v>
      </c>
      <c r="CH52">
        <v>8.9999999999999998E-4</v>
      </c>
      <c r="CI52">
        <v>8.9999999999999998E-4</v>
      </c>
      <c r="CJ52">
        <v>8.0000000000000004E-4</v>
      </c>
      <c r="CK52">
        <v>8.9999999999999998E-4</v>
      </c>
      <c r="CL52">
        <v>1E-3</v>
      </c>
      <c r="CM52">
        <v>1E-3</v>
      </c>
      <c r="CN52">
        <v>8.9999999999999998E-4</v>
      </c>
      <c r="CO52">
        <v>8.0000000000000004E-4</v>
      </c>
      <c r="CP52">
        <v>1E-3</v>
      </c>
      <c r="CQ52">
        <v>8.0000000000000004E-4</v>
      </c>
      <c r="CR52">
        <v>8.9999999999999998E-4</v>
      </c>
      <c r="CS52">
        <v>8.9999999999999998E-4</v>
      </c>
      <c r="CT52">
        <v>1.1000000000000001E-3</v>
      </c>
      <c r="CU52">
        <v>1.1999999999999999E-3</v>
      </c>
      <c r="CV52">
        <v>1.5E-3</v>
      </c>
    </row>
    <row r="53" spans="1:100" x14ac:dyDescent="0.2">
      <c r="A53" t="s">
        <v>5919</v>
      </c>
      <c r="B53">
        <v>-2.92E-2</v>
      </c>
      <c r="C53">
        <v>-4.1000000000000002E-2</v>
      </c>
      <c r="D53">
        <v>-3.7199999999999997E-2</v>
      </c>
      <c r="E53">
        <v>-3.9600000000000003E-2</v>
      </c>
      <c r="F53">
        <v>-3.4099999999999998E-2</v>
      </c>
      <c r="G53">
        <v>-4.0800000000000003E-2</v>
      </c>
      <c r="H53">
        <v>-3.7499999999999999E-2</v>
      </c>
      <c r="I53">
        <v>-3.6799999999999999E-2</v>
      </c>
      <c r="J53">
        <v>-3.6799999999999999E-2</v>
      </c>
      <c r="K53">
        <v>-2.9399999999999999E-2</v>
      </c>
      <c r="L53">
        <v>-2.4199999999999999E-2</v>
      </c>
      <c r="M53">
        <v>-1.8200000000000001E-2</v>
      </c>
      <c r="N53">
        <v>-1.5299999999999999E-2</v>
      </c>
      <c r="O53">
        <v>-1.38E-2</v>
      </c>
      <c r="P53">
        <v>-1.2699999999999999E-2</v>
      </c>
      <c r="Q53">
        <v>-1.1900000000000001E-2</v>
      </c>
      <c r="R53">
        <v>-1.0800000000000001E-2</v>
      </c>
      <c r="S53">
        <v>-1.01E-2</v>
      </c>
      <c r="T53">
        <v>-9.1000000000000004E-3</v>
      </c>
      <c r="U53">
        <v>-8.3000000000000001E-3</v>
      </c>
      <c r="V53">
        <v>-7.4000000000000003E-3</v>
      </c>
      <c r="W53">
        <v>-6.7000000000000002E-3</v>
      </c>
      <c r="X53">
        <v>-6.1999999999999998E-3</v>
      </c>
      <c r="Y53">
        <v>-5.7999999999999996E-3</v>
      </c>
      <c r="Z53">
        <v>-5.4999999999999997E-3</v>
      </c>
      <c r="AA53">
        <v>-5.4999999999999997E-3</v>
      </c>
      <c r="AB53">
        <v>-5.5999999999999999E-3</v>
      </c>
      <c r="AC53">
        <v>-5.1000000000000004E-3</v>
      </c>
      <c r="AD53">
        <v>-5.3E-3</v>
      </c>
      <c r="AE53">
        <v>-5.1999999999999998E-3</v>
      </c>
      <c r="AF53">
        <v>-5.0000000000000001E-3</v>
      </c>
      <c r="AG53">
        <v>-5.0000000000000001E-3</v>
      </c>
      <c r="AH53">
        <v>-5.0000000000000001E-3</v>
      </c>
      <c r="AI53">
        <v>-5.0000000000000001E-3</v>
      </c>
      <c r="AJ53">
        <v>-4.7000000000000002E-3</v>
      </c>
      <c r="AK53">
        <v>-4.4999999999999997E-3</v>
      </c>
      <c r="AL53">
        <v>-4.0000000000000001E-3</v>
      </c>
      <c r="AM53">
        <v>-3.5000000000000001E-3</v>
      </c>
      <c r="AN53">
        <v>-3.2000000000000002E-3</v>
      </c>
      <c r="AO53">
        <v>-2.8999999999999998E-3</v>
      </c>
      <c r="AP53">
        <v>-2.8E-3</v>
      </c>
      <c r="AQ53">
        <v>-2.8999999999999998E-3</v>
      </c>
      <c r="AR53">
        <v>-2.5999999999999999E-3</v>
      </c>
      <c r="AS53">
        <v>-2.5999999999999999E-3</v>
      </c>
      <c r="AT53">
        <v>-2.5000000000000001E-3</v>
      </c>
      <c r="AU53">
        <v>-2.5000000000000001E-3</v>
      </c>
      <c r="AV53">
        <v>-2.5999999999999999E-3</v>
      </c>
      <c r="AW53">
        <v>-2.3999999999999998E-3</v>
      </c>
      <c r="AX53">
        <v>-1.9E-3</v>
      </c>
      <c r="AY53">
        <v>-1.5E-3</v>
      </c>
      <c r="AZ53">
        <v>-1.4E-3</v>
      </c>
      <c r="BA53">
        <v>-1.1000000000000001E-3</v>
      </c>
      <c r="BB53">
        <v>-1E-3</v>
      </c>
      <c r="BC53">
        <v>-8.0000000000000004E-4</v>
      </c>
      <c r="BD53">
        <v>-2.9999999999999997E-4</v>
      </c>
      <c r="BE53">
        <v>-2.9999999999999997E-4</v>
      </c>
      <c r="BF53">
        <v>-2.9999999999999997E-4</v>
      </c>
      <c r="BG53">
        <v>0</v>
      </c>
      <c r="BH53">
        <v>2.0000000000000001E-4</v>
      </c>
      <c r="BI53">
        <v>1E-4</v>
      </c>
      <c r="BJ53">
        <v>0</v>
      </c>
      <c r="BK53">
        <v>2.9999999999999997E-4</v>
      </c>
      <c r="BL53">
        <v>4.0000000000000002E-4</v>
      </c>
      <c r="BM53">
        <v>5.9999999999999995E-4</v>
      </c>
      <c r="BN53">
        <v>5.0000000000000001E-4</v>
      </c>
      <c r="BO53">
        <v>5.9999999999999995E-4</v>
      </c>
      <c r="BP53">
        <v>5.9999999999999995E-4</v>
      </c>
      <c r="BQ53">
        <v>6.9999999999999999E-4</v>
      </c>
      <c r="BR53">
        <v>5.0000000000000001E-4</v>
      </c>
      <c r="BS53">
        <v>6.9999999999999999E-4</v>
      </c>
      <c r="BT53">
        <v>5.9999999999999995E-4</v>
      </c>
      <c r="BU53">
        <v>6.9999999999999999E-4</v>
      </c>
      <c r="BV53">
        <v>8.0000000000000004E-4</v>
      </c>
      <c r="BW53">
        <v>1.2999999999999999E-3</v>
      </c>
      <c r="BX53">
        <v>1.4E-3</v>
      </c>
      <c r="BY53">
        <v>1.1000000000000001E-3</v>
      </c>
      <c r="BZ53">
        <v>5.9999999999999995E-4</v>
      </c>
      <c r="CA53">
        <v>5.9999999999999995E-4</v>
      </c>
      <c r="CB53">
        <v>2.0000000000000001E-4</v>
      </c>
      <c r="CC53">
        <v>2.0000000000000001E-4</v>
      </c>
      <c r="CD53">
        <v>2.9999999999999997E-4</v>
      </c>
      <c r="CE53">
        <v>1E-4</v>
      </c>
      <c r="CF53">
        <v>-1E-4</v>
      </c>
      <c r="CG53">
        <v>-2.9999999999999997E-4</v>
      </c>
      <c r="CH53">
        <v>-8.0000000000000004E-4</v>
      </c>
      <c r="CI53">
        <v>-8.0000000000000004E-4</v>
      </c>
      <c r="CJ53">
        <v>-8.9999999999999998E-4</v>
      </c>
      <c r="CK53">
        <v>-1.1000000000000001E-3</v>
      </c>
      <c r="CL53">
        <v>-1.6000000000000001E-3</v>
      </c>
      <c r="CM53">
        <v>-2.2000000000000001E-3</v>
      </c>
      <c r="CN53">
        <v>-1.6999999999999999E-3</v>
      </c>
      <c r="CO53">
        <v>-2.2000000000000001E-3</v>
      </c>
      <c r="CP53">
        <v>-2.8E-3</v>
      </c>
      <c r="CQ53">
        <v>-2.0999999999999999E-3</v>
      </c>
      <c r="CR53">
        <v>-3.3999999999999998E-3</v>
      </c>
      <c r="CS53">
        <v>-4.0000000000000001E-3</v>
      </c>
      <c r="CT53">
        <v>-4.1000000000000003E-3</v>
      </c>
      <c r="CU53">
        <v>-4.1999999999999997E-3</v>
      </c>
      <c r="CV53">
        <v>-5.1000000000000004E-3</v>
      </c>
    </row>
    <row r="54" spans="1:100" x14ac:dyDescent="0.2">
      <c r="A54" t="s">
        <v>5920</v>
      </c>
      <c r="B54">
        <v>-2.2700000000000001E-2</v>
      </c>
      <c r="C54">
        <v>-3.2399999999999998E-2</v>
      </c>
      <c r="D54">
        <v>-2.9600000000000001E-2</v>
      </c>
      <c r="E54">
        <v>-3.1600000000000003E-2</v>
      </c>
      <c r="F54">
        <v>-2.7300000000000001E-2</v>
      </c>
      <c r="G54">
        <v>-3.27E-2</v>
      </c>
      <c r="H54">
        <v>-0.03</v>
      </c>
      <c r="I54">
        <v>-2.9499999999999998E-2</v>
      </c>
      <c r="J54">
        <v>-2.9499999999999998E-2</v>
      </c>
      <c r="K54">
        <v>-2.35E-2</v>
      </c>
      <c r="L54">
        <v>-1.9400000000000001E-2</v>
      </c>
      <c r="M54">
        <v>-1.46E-2</v>
      </c>
      <c r="N54">
        <v>-1.2200000000000001E-2</v>
      </c>
      <c r="O54">
        <v>-1.11E-2</v>
      </c>
      <c r="P54">
        <v>-1.01E-2</v>
      </c>
      <c r="Q54">
        <v>-9.4999999999999998E-3</v>
      </c>
      <c r="R54">
        <v>-8.6E-3</v>
      </c>
      <c r="S54">
        <v>-8.0999999999999996E-3</v>
      </c>
      <c r="T54">
        <v>-7.1999999999999998E-3</v>
      </c>
      <c r="U54">
        <v>-6.6E-3</v>
      </c>
      <c r="V54">
        <v>-5.8999999999999999E-3</v>
      </c>
      <c r="W54">
        <v>-5.3E-3</v>
      </c>
      <c r="X54">
        <v>-4.8999999999999998E-3</v>
      </c>
      <c r="Y54">
        <v>-4.5999999999999999E-3</v>
      </c>
      <c r="Z54">
        <v>-4.3E-3</v>
      </c>
      <c r="AA54">
        <v>-4.3E-3</v>
      </c>
      <c r="AB54">
        <v>-4.4000000000000003E-3</v>
      </c>
      <c r="AC54">
        <v>-4.0000000000000001E-3</v>
      </c>
      <c r="AD54">
        <v>-4.1000000000000003E-3</v>
      </c>
      <c r="AE54">
        <v>-4.1000000000000003E-3</v>
      </c>
      <c r="AF54">
        <v>-3.8999999999999998E-3</v>
      </c>
      <c r="AG54">
        <v>-3.8999999999999998E-3</v>
      </c>
      <c r="AH54">
        <v>-3.8999999999999998E-3</v>
      </c>
      <c r="AI54">
        <v>-3.8999999999999998E-3</v>
      </c>
      <c r="AJ54">
        <v>-3.5999999999999999E-3</v>
      </c>
      <c r="AK54">
        <v>-3.3999999999999998E-3</v>
      </c>
      <c r="AL54">
        <v>-3.0000000000000001E-3</v>
      </c>
      <c r="AM54">
        <v>-2.5999999999999999E-3</v>
      </c>
      <c r="AN54">
        <v>-2.3E-3</v>
      </c>
      <c r="AO54">
        <v>-2E-3</v>
      </c>
      <c r="AP54">
        <v>-2E-3</v>
      </c>
      <c r="AQ54">
        <v>-2E-3</v>
      </c>
      <c r="AR54">
        <v>-1.8E-3</v>
      </c>
      <c r="AS54">
        <v>-1.8E-3</v>
      </c>
      <c r="AT54">
        <v>-1.6999999999999999E-3</v>
      </c>
      <c r="AU54">
        <v>-1.6999999999999999E-3</v>
      </c>
      <c r="AV54">
        <v>-1.6999999999999999E-3</v>
      </c>
      <c r="AW54">
        <v>-1.5E-3</v>
      </c>
      <c r="AX54">
        <v>-1.1000000000000001E-3</v>
      </c>
      <c r="AY54">
        <v>-6.9999999999999999E-4</v>
      </c>
      <c r="AZ54">
        <v>-5.9999999999999995E-4</v>
      </c>
      <c r="BA54">
        <v>-2.9999999999999997E-4</v>
      </c>
      <c r="BB54">
        <v>-2.0000000000000001E-4</v>
      </c>
      <c r="BC54">
        <v>0</v>
      </c>
      <c r="BD54">
        <v>4.0000000000000002E-4</v>
      </c>
      <c r="BE54">
        <v>4.0000000000000002E-4</v>
      </c>
      <c r="BF54">
        <v>5.0000000000000001E-4</v>
      </c>
      <c r="BG54">
        <v>8.0000000000000004E-4</v>
      </c>
      <c r="BH54">
        <v>1E-3</v>
      </c>
      <c r="BI54">
        <v>8.9999999999999998E-4</v>
      </c>
      <c r="BJ54">
        <v>8.9999999999999998E-4</v>
      </c>
      <c r="BK54">
        <v>1.1000000000000001E-3</v>
      </c>
      <c r="BL54">
        <v>1.2999999999999999E-3</v>
      </c>
      <c r="BM54">
        <v>1.4E-3</v>
      </c>
      <c r="BN54">
        <v>1.4E-3</v>
      </c>
      <c r="BO54">
        <v>1.5E-3</v>
      </c>
      <c r="BP54">
        <v>1.5E-3</v>
      </c>
      <c r="BQ54">
        <v>1.6000000000000001E-3</v>
      </c>
      <c r="BR54">
        <v>1.5E-3</v>
      </c>
      <c r="BS54">
        <v>1.6999999999999999E-3</v>
      </c>
      <c r="BT54">
        <v>1.6000000000000001E-3</v>
      </c>
      <c r="BU54">
        <v>1.8E-3</v>
      </c>
      <c r="BV54">
        <v>2E-3</v>
      </c>
      <c r="BW54">
        <v>2.3999999999999998E-3</v>
      </c>
      <c r="BX54">
        <v>2.5000000000000001E-3</v>
      </c>
      <c r="BY54">
        <v>2.0999999999999999E-3</v>
      </c>
      <c r="BZ54">
        <v>1.6000000000000001E-3</v>
      </c>
      <c r="CA54">
        <v>1.6000000000000001E-3</v>
      </c>
      <c r="CB54">
        <v>1.1999999999999999E-3</v>
      </c>
      <c r="CC54">
        <v>1.5E-3</v>
      </c>
      <c r="CD54">
        <v>1.8E-3</v>
      </c>
      <c r="CE54">
        <v>1.5E-3</v>
      </c>
      <c r="CF54">
        <v>1.2999999999999999E-3</v>
      </c>
      <c r="CG54">
        <v>1.1000000000000001E-3</v>
      </c>
      <c r="CH54">
        <v>6.9999999999999999E-4</v>
      </c>
      <c r="CI54">
        <v>5.9999999999999995E-4</v>
      </c>
      <c r="CJ54">
        <v>5.0000000000000001E-4</v>
      </c>
      <c r="CK54">
        <v>5.0000000000000001E-4</v>
      </c>
      <c r="CL54">
        <v>2.9999999999999997E-4</v>
      </c>
      <c r="CM54">
        <v>-2.0000000000000001E-4</v>
      </c>
      <c r="CN54">
        <v>1E-4</v>
      </c>
      <c r="CO54">
        <v>-5.0000000000000001E-4</v>
      </c>
      <c r="CP54">
        <v>-4.0000000000000002E-4</v>
      </c>
      <c r="CQ54">
        <v>0</v>
      </c>
      <c r="CR54">
        <v>-6.9999999999999999E-4</v>
      </c>
      <c r="CS54">
        <v>-1E-3</v>
      </c>
      <c r="CT54">
        <v>-8.9999999999999998E-4</v>
      </c>
      <c r="CU54">
        <v>-2.0000000000000001E-4</v>
      </c>
      <c r="CV54">
        <v>5.0000000000000001E-4</v>
      </c>
    </row>
    <row r="55" spans="1:100" x14ac:dyDescent="0.2">
      <c r="A55" t="s">
        <v>5921</v>
      </c>
      <c r="B55">
        <v>8.9999999999999993E-3</v>
      </c>
      <c r="C55">
        <v>1.0999999999999999E-2</v>
      </c>
      <c r="D55">
        <v>8.9999999999999993E-3</v>
      </c>
      <c r="E55">
        <v>8.3999999999999995E-3</v>
      </c>
      <c r="F55">
        <v>7.3000000000000001E-3</v>
      </c>
      <c r="G55">
        <v>8.0000000000000002E-3</v>
      </c>
      <c r="H55">
        <v>6.8999999999999999E-3</v>
      </c>
      <c r="I55">
        <v>5.8999999999999999E-3</v>
      </c>
      <c r="J55">
        <v>6.0000000000000001E-3</v>
      </c>
      <c r="K55">
        <v>4.5999999999999999E-3</v>
      </c>
      <c r="L55">
        <v>3.5999999999999999E-3</v>
      </c>
      <c r="M55">
        <v>3.0000000000000001E-3</v>
      </c>
      <c r="N55">
        <v>2.7000000000000001E-3</v>
      </c>
      <c r="O55">
        <v>2.3E-3</v>
      </c>
      <c r="P55">
        <v>2.3E-3</v>
      </c>
      <c r="Q55">
        <v>2.3E-3</v>
      </c>
      <c r="R55">
        <v>2.2000000000000001E-3</v>
      </c>
      <c r="S55">
        <v>2.3E-3</v>
      </c>
      <c r="T55">
        <v>2.0999999999999999E-3</v>
      </c>
      <c r="U55">
        <v>2.2000000000000001E-3</v>
      </c>
      <c r="V55">
        <v>2.2000000000000001E-3</v>
      </c>
      <c r="W55">
        <v>2.0999999999999999E-3</v>
      </c>
      <c r="X55">
        <v>2E-3</v>
      </c>
      <c r="Y55">
        <v>2.2000000000000001E-3</v>
      </c>
      <c r="Z55">
        <v>2E-3</v>
      </c>
      <c r="AA55">
        <v>1.9E-3</v>
      </c>
      <c r="AB55">
        <v>1.8E-3</v>
      </c>
      <c r="AC55">
        <v>2.0999999999999999E-3</v>
      </c>
      <c r="AD55">
        <v>2.0999999999999999E-3</v>
      </c>
      <c r="AE55">
        <v>2.2000000000000001E-3</v>
      </c>
      <c r="AF55">
        <v>2.3E-3</v>
      </c>
      <c r="AG55">
        <v>2.5000000000000001E-3</v>
      </c>
      <c r="AH55">
        <v>2.5999999999999999E-3</v>
      </c>
      <c r="AI55">
        <v>2.7000000000000001E-3</v>
      </c>
      <c r="AJ55">
        <v>2.8E-3</v>
      </c>
      <c r="AK55">
        <v>2.7000000000000001E-3</v>
      </c>
      <c r="AL55">
        <v>2.7000000000000001E-3</v>
      </c>
      <c r="AM55">
        <v>2.7000000000000001E-3</v>
      </c>
      <c r="AN55">
        <v>2.5999999999999999E-3</v>
      </c>
      <c r="AO55">
        <v>2.5000000000000001E-3</v>
      </c>
      <c r="AP55">
        <v>2.5000000000000001E-3</v>
      </c>
      <c r="AQ55">
        <v>2.2000000000000001E-3</v>
      </c>
      <c r="AR55">
        <v>2.0999999999999999E-3</v>
      </c>
      <c r="AS55">
        <v>2.0999999999999999E-3</v>
      </c>
      <c r="AT55">
        <v>2.3E-3</v>
      </c>
      <c r="AU55">
        <v>2.3999999999999998E-3</v>
      </c>
      <c r="AV55">
        <v>2.3999999999999998E-3</v>
      </c>
      <c r="AW55">
        <v>2.3999999999999998E-3</v>
      </c>
      <c r="AX55">
        <v>2.3999999999999998E-3</v>
      </c>
      <c r="AY55">
        <v>2.3999999999999998E-3</v>
      </c>
      <c r="AZ55">
        <v>2.3999999999999998E-3</v>
      </c>
      <c r="BA55">
        <v>2.3E-3</v>
      </c>
      <c r="BB55">
        <v>2.0999999999999999E-3</v>
      </c>
      <c r="BC55">
        <v>2E-3</v>
      </c>
      <c r="BD55">
        <v>2.0999999999999999E-3</v>
      </c>
      <c r="BE55">
        <v>2E-3</v>
      </c>
      <c r="BF55">
        <v>2E-3</v>
      </c>
      <c r="BG55">
        <v>2.0999999999999999E-3</v>
      </c>
      <c r="BH55">
        <v>2.0999999999999999E-3</v>
      </c>
      <c r="BI55">
        <v>2E-3</v>
      </c>
      <c r="BJ55">
        <v>2E-3</v>
      </c>
      <c r="BK55">
        <v>1.9E-3</v>
      </c>
      <c r="BL55">
        <v>1.9E-3</v>
      </c>
      <c r="BM55">
        <v>1.8E-3</v>
      </c>
      <c r="BN55">
        <v>1.6999999999999999E-3</v>
      </c>
      <c r="BO55">
        <v>1.6000000000000001E-3</v>
      </c>
      <c r="BP55">
        <v>1.6000000000000001E-3</v>
      </c>
      <c r="BQ55">
        <v>1.6999999999999999E-3</v>
      </c>
      <c r="BR55">
        <v>1.6000000000000001E-3</v>
      </c>
      <c r="BS55">
        <v>1.8E-3</v>
      </c>
      <c r="BT55">
        <v>1.6999999999999999E-3</v>
      </c>
      <c r="BU55">
        <v>1.8E-3</v>
      </c>
      <c r="BV55">
        <v>1.6999999999999999E-3</v>
      </c>
      <c r="BW55">
        <v>1.6000000000000001E-3</v>
      </c>
      <c r="BX55">
        <v>1.4E-3</v>
      </c>
      <c r="BY55">
        <v>1.4E-3</v>
      </c>
      <c r="BZ55">
        <v>1E-3</v>
      </c>
      <c r="CA55">
        <v>1E-3</v>
      </c>
      <c r="CB55">
        <v>1.1999999999999999E-3</v>
      </c>
      <c r="CC55">
        <v>1.4E-3</v>
      </c>
      <c r="CD55">
        <v>1.4E-3</v>
      </c>
      <c r="CE55">
        <v>1.1999999999999999E-3</v>
      </c>
      <c r="CF55">
        <v>1E-3</v>
      </c>
      <c r="CG55">
        <v>1E-3</v>
      </c>
      <c r="CH55">
        <v>1E-3</v>
      </c>
      <c r="CI55">
        <v>8.9999999999999998E-4</v>
      </c>
      <c r="CJ55">
        <v>5.0000000000000001E-4</v>
      </c>
      <c r="CK55">
        <v>6.9999999999999999E-4</v>
      </c>
      <c r="CL55">
        <v>6.9999999999999999E-4</v>
      </c>
      <c r="CM55">
        <v>5.9999999999999995E-4</v>
      </c>
      <c r="CN55">
        <v>5.0000000000000001E-4</v>
      </c>
      <c r="CO55">
        <v>0</v>
      </c>
      <c r="CP55">
        <v>0</v>
      </c>
      <c r="CQ55">
        <v>-2.0000000000000001E-4</v>
      </c>
      <c r="CR55">
        <v>-2.0000000000000001E-4</v>
      </c>
      <c r="CS55">
        <v>-4.0000000000000002E-4</v>
      </c>
      <c r="CT55">
        <v>-6.9999999999999999E-4</v>
      </c>
      <c r="CU55">
        <v>-1E-3</v>
      </c>
      <c r="CV55">
        <v>-8.9999999999999998E-4</v>
      </c>
    </row>
    <row r="56" spans="1:100" x14ac:dyDescent="0.2">
      <c r="A56" t="s">
        <v>5922</v>
      </c>
      <c r="B56">
        <v>1.54E-2</v>
      </c>
      <c r="C56">
        <v>1.9300000000000001E-2</v>
      </c>
      <c r="D56">
        <v>1.5900000000000001E-2</v>
      </c>
      <c r="E56">
        <v>1.5100000000000001E-2</v>
      </c>
      <c r="F56">
        <v>1.3100000000000001E-2</v>
      </c>
      <c r="G56">
        <v>1.4500000000000001E-2</v>
      </c>
      <c r="H56">
        <v>1.26E-2</v>
      </c>
      <c r="I56">
        <v>1.0999999999999999E-2</v>
      </c>
      <c r="J56">
        <v>1.0999999999999999E-2</v>
      </c>
      <c r="K56">
        <v>8.6E-3</v>
      </c>
      <c r="L56">
        <v>6.7000000000000002E-3</v>
      </c>
      <c r="M56">
        <v>5.4999999999999997E-3</v>
      </c>
      <c r="N56">
        <v>4.8999999999999998E-3</v>
      </c>
      <c r="O56">
        <v>4.4000000000000003E-3</v>
      </c>
      <c r="P56">
        <v>4.4999999999999997E-3</v>
      </c>
      <c r="Q56">
        <v>4.3E-3</v>
      </c>
      <c r="R56">
        <v>4.1999999999999997E-3</v>
      </c>
      <c r="S56">
        <v>4.4000000000000003E-3</v>
      </c>
      <c r="T56">
        <v>4.1000000000000003E-3</v>
      </c>
      <c r="U56">
        <v>4.1999999999999997E-3</v>
      </c>
      <c r="V56">
        <v>4.1999999999999997E-3</v>
      </c>
      <c r="W56">
        <v>4.0000000000000001E-3</v>
      </c>
      <c r="X56">
        <v>3.8E-3</v>
      </c>
      <c r="Y56">
        <v>4.1000000000000003E-3</v>
      </c>
      <c r="Z56">
        <v>3.8E-3</v>
      </c>
      <c r="AA56">
        <v>3.7000000000000002E-3</v>
      </c>
      <c r="AB56">
        <v>3.5000000000000001E-3</v>
      </c>
      <c r="AC56">
        <v>4.0000000000000001E-3</v>
      </c>
      <c r="AD56">
        <v>4.0000000000000001E-3</v>
      </c>
      <c r="AE56">
        <v>4.1999999999999997E-3</v>
      </c>
      <c r="AF56">
        <v>4.4000000000000003E-3</v>
      </c>
      <c r="AG56">
        <v>4.5999999999999999E-3</v>
      </c>
      <c r="AH56">
        <v>4.8999999999999998E-3</v>
      </c>
      <c r="AI56">
        <v>5.1000000000000004E-3</v>
      </c>
      <c r="AJ56">
        <v>5.1999999999999998E-3</v>
      </c>
      <c r="AK56">
        <v>5.1000000000000004E-3</v>
      </c>
      <c r="AL56">
        <v>5.1000000000000004E-3</v>
      </c>
      <c r="AM56">
        <v>5.0000000000000001E-3</v>
      </c>
      <c r="AN56">
        <v>4.8999999999999998E-3</v>
      </c>
      <c r="AO56">
        <v>4.5999999999999999E-3</v>
      </c>
      <c r="AP56">
        <v>4.5999999999999999E-3</v>
      </c>
      <c r="AQ56">
        <v>4.1999999999999997E-3</v>
      </c>
      <c r="AR56">
        <v>4.0000000000000001E-3</v>
      </c>
      <c r="AS56">
        <v>4.0000000000000001E-3</v>
      </c>
      <c r="AT56">
        <v>4.1999999999999997E-3</v>
      </c>
      <c r="AU56">
        <v>4.3E-3</v>
      </c>
      <c r="AV56">
        <v>4.4999999999999997E-3</v>
      </c>
      <c r="AW56">
        <v>4.4999999999999997E-3</v>
      </c>
      <c r="AX56">
        <v>4.4000000000000003E-3</v>
      </c>
      <c r="AY56">
        <v>4.4000000000000003E-3</v>
      </c>
      <c r="AZ56">
        <v>4.4000000000000003E-3</v>
      </c>
      <c r="BA56">
        <v>4.3E-3</v>
      </c>
      <c r="BB56">
        <v>4.0000000000000001E-3</v>
      </c>
      <c r="BC56">
        <v>3.8E-3</v>
      </c>
      <c r="BD56">
        <v>3.7000000000000002E-3</v>
      </c>
      <c r="BE56">
        <v>3.5999999999999999E-3</v>
      </c>
      <c r="BF56">
        <v>3.7000000000000002E-3</v>
      </c>
      <c r="BG56">
        <v>3.7000000000000002E-3</v>
      </c>
      <c r="BH56">
        <v>3.7000000000000002E-3</v>
      </c>
      <c r="BI56">
        <v>3.5999999999999999E-3</v>
      </c>
      <c r="BJ56">
        <v>3.5999999999999999E-3</v>
      </c>
      <c r="BK56">
        <v>3.5000000000000001E-3</v>
      </c>
      <c r="BL56">
        <v>3.3999999999999998E-3</v>
      </c>
      <c r="BM56">
        <v>3.3E-3</v>
      </c>
      <c r="BN56">
        <v>3.0999999999999999E-3</v>
      </c>
      <c r="BO56">
        <v>2.8999999999999998E-3</v>
      </c>
      <c r="BP56">
        <v>2.8999999999999998E-3</v>
      </c>
      <c r="BQ56">
        <v>3.0000000000000001E-3</v>
      </c>
      <c r="BR56">
        <v>3.0000000000000001E-3</v>
      </c>
      <c r="BS56">
        <v>3.2000000000000002E-3</v>
      </c>
      <c r="BT56">
        <v>3.0000000000000001E-3</v>
      </c>
      <c r="BU56">
        <v>3.2000000000000002E-3</v>
      </c>
      <c r="BV56">
        <v>3.0000000000000001E-3</v>
      </c>
      <c r="BW56">
        <v>2.8E-3</v>
      </c>
      <c r="BX56">
        <v>2.5000000000000001E-3</v>
      </c>
      <c r="BY56">
        <v>2.5000000000000001E-3</v>
      </c>
      <c r="BZ56">
        <v>1.9E-3</v>
      </c>
      <c r="CA56">
        <v>1.9E-3</v>
      </c>
      <c r="CB56">
        <v>2E-3</v>
      </c>
      <c r="CC56">
        <v>2.3999999999999998E-3</v>
      </c>
      <c r="CD56">
        <v>2.3999999999999998E-3</v>
      </c>
      <c r="CE56">
        <v>2.2000000000000001E-3</v>
      </c>
      <c r="CF56">
        <v>1.9E-3</v>
      </c>
      <c r="CG56">
        <v>1.8E-3</v>
      </c>
      <c r="CH56">
        <v>1.8E-3</v>
      </c>
      <c r="CI56">
        <v>1.6999999999999999E-3</v>
      </c>
      <c r="CJ56">
        <v>1.1999999999999999E-3</v>
      </c>
      <c r="CK56">
        <v>1.5E-3</v>
      </c>
      <c r="CL56">
        <v>1.6000000000000001E-3</v>
      </c>
      <c r="CM56">
        <v>1.5E-3</v>
      </c>
      <c r="CN56">
        <v>1.2999999999999999E-3</v>
      </c>
      <c r="CO56">
        <v>8.0000000000000004E-4</v>
      </c>
      <c r="CP56">
        <v>1.1000000000000001E-3</v>
      </c>
      <c r="CQ56">
        <v>5.9999999999999995E-4</v>
      </c>
      <c r="CR56">
        <v>1E-3</v>
      </c>
      <c r="CS56">
        <v>1E-3</v>
      </c>
      <c r="CT56">
        <v>6.9999999999999999E-4</v>
      </c>
      <c r="CU56">
        <v>5.0000000000000001E-4</v>
      </c>
      <c r="CV56">
        <v>8.0000000000000004E-4</v>
      </c>
    </row>
    <row r="57" spans="1:100" x14ac:dyDescent="0.2">
      <c r="A57" t="s">
        <v>5923</v>
      </c>
      <c r="B57">
        <v>5.7999999999999996E-3</v>
      </c>
      <c r="C57">
        <v>7.6E-3</v>
      </c>
      <c r="D57">
        <v>5.0000000000000001E-3</v>
      </c>
      <c r="E57">
        <v>4.5999999999999999E-3</v>
      </c>
      <c r="F57">
        <v>2.7000000000000001E-3</v>
      </c>
      <c r="G57">
        <v>3.2000000000000002E-3</v>
      </c>
      <c r="H57">
        <v>1.8E-3</v>
      </c>
      <c r="I57">
        <v>1.5E-3</v>
      </c>
      <c r="J57">
        <v>1.1999999999999999E-3</v>
      </c>
      <c r="K57">
        <v>-1E-4</v>
      </c>
      <c r="L57">
        <v>-2.0000000000000001E-4</v>
      </c>
      <c r="M57">
        <v>-2.0000000000000001E-4</v>
      </c>
      <c r="N57">
        <v>-4.0000000000000002E-4</v>
      </c>
      <c r="O57">
        <v>-5.9999999999999995E-4</v>
      </c>
      <c r="P57">
        <v>-1E-3</v>
      </c>
      <c r="Q57">
        <v>-1.1000000000000001E-3</v>
      </c>
      <c r="R57">
        <v>-1E-3</v>
      </c>
      <c r="S57">
        <v>-8.0000000000000004E-4</v>
      </c>
      <c r="T57">
        <v>-6.9999999999999999E-4</v>
      </c>
      <c r="U57">
        <v>-5.0000000000000001E-4</v>
      </c>
      <c r="V57">
        <v>-5.0000000000000001E-4</v>
      </c>
      <c r="W57">
        <v>-5.9999999999999995E-4</v>
      </c>
      <c r="X57">
        <v>-8.0000000000000004E-4</v>
      </c>
      <c r="Y57">
        <v>-8.0000000000000004E-4</v>
      </c>
      <c r="Z57">
        <v>-6.9999999999999999E-4</v>
      </c>
      <c r="AA57">
        <v>-5.9999999999999995E-4</v>
      </c>
      <c r="AB57">
        <v>-5.0000000000000001E-4</v>
      </c>
      <c r="AC57">
        <v>-5.0000000000000001E-4</v>
      </c>
      <c r="AD57">
        <v>-4.0000000000000002E-4</v>
      </c>
      <c r="AE57">
        <v>-2.9999999999999997E-4</v>
      </c>
      <c r="AF57">
        <v>-4.0000000000000002E-4</v>
      </c>
      <c r="AG57">
        <v>-5.0000000000000001E-4</v>
      </c>
      <c r="AH57">
        <v>-5.9999999999999995E-4</v>
      </c>
      <c r="AI57">
        <v>-8.9999999999999998E-4</v>
      </c>
      <c r="AJ57">
        <v>-8.9999999999999998E-4</v>
      </c>
      <c r="AK57">
        <v>-8.0000000000000004E-4</v>
      </c>
      <c r="AL57">
        <v>-6.9999999999999999E-4</v>
      </c>
      <c r="AM57">
        <v>-5.9999999999999995E-4</v>
      </c>
      <c r="AN57">
        <v>-6.9999999999999999E-4</v>
      </c>
      <c r="AO57">
        <v>-8.0000000000000004E-4</v>
      </c>
      <c r="AP57">
        <v>-8.0000000000000004E-4</v>
      </c>
      <c r="AQ57">
        <v>-8.0000000000000004E-4</v>
      </c>
      <c r="AR57">
        <v>-8.0000000000000004E-4</v>
      </c>
      <c r="AS57">
        <v>-8.0000000000000004E-4</v>
      </c>
      <c r="AT57">
        <v>-5.0000000000000001E-4</v>
      </c>
      <c r="AU57">
        <v>-6.9999999999999999E-4</v>
      </c>
      <c r="AV57">
        <v>-8.0000000000000004E-4</v>
      </c>
      <c r="AW57">
        <v>-5.9999999999999995E-4</v>
      </c>
      <c r="AX57">
        <v>-5.9999999999999995E-4</v>
      </c>
      <c r="AY57">
        <v>-5.9999999999999995E-4</v>
      </c>
      <c r="AZ57">
        <v>-8.9999999999999998E-4</v>
      </c>
      <c r="BA57">
        <v>-8.0000000000000004E-4</v>
      </c>
      <c r="BB57">
        <v>-5.0000000000000001E-4</v>
      </c>
      <c r="BC57">
        <v>-2.9999999999999997E-4</v>
      </c>
      <c r="BD57">
        <v>0</v>
      </c>
      <c r="BE57">
        <v>-1E-4</v>
      </c>
      <c r="BF57">
        <v>-2.9999999999999997E-4</v>
      </c>
      <c r="BG57">
        <v>-2.0000000000000001E-4</v>
      </c>
      <c r="BH57">
        <v>-2.0000000000000001E-4</v>
      </c>
      <c r="BI57">
        <v>-5.0000000000000001E-4</v>
      </c>
      <c r="BJ57">
        <v>-6.9999999999999999E-4</v>
      </c>
      <c r="BK57">
        <v>-5.0000000000000001E-4</v>
      </c>
      <c r="BL57">
        <v>-5.0000000000000001E-4</v>
      </c>
      <c r="BM57">
        <v>-5.9999999999999995E-4</v>
      </c>
      <c r="BN57">
        <v>-4.0000000000000002E-4</v>
      </c>
      <c r="BO57">
        <v>-2.0000000000000001E-4</v>
      </c>
      <c r="BP57">
        <v>2.9999999999999997E-4</v>
      </c>
      <c r="BQ57">
        <v>2.0000000000000001E-4</v>
      </c>
      <c r="BR57">
        <v>-1E-4</v>
      </c>
      <c r="BS57">
        <v>0</v>
      </c>
      <c r="BT57">
        <v>-2.9999999999999997E-4</v>
      </c>
      <c r="BU57">
        <v>-8.0000000000000004E-4</v>
      </c>
      <c r="BV57">
        <v>-5.0000000000000001E-4</v>
      </c>
      <c r="BW57">
        <v>-2.0000000000000001E-4</v>
      </c>
      <c r="BX57">
        <v>-5.0000000000000001E-4</v>
      </c>
      <c r="BY57">
        <v>-4.0000000000000002E-4</v>
      </c>
      <c r="BZ57">
        <v>-2.0000000000000001E-4</v>
      </c>
      <c r="CA57">
        <v>-2.0000000000000001E-4</v>
      </c>
      <c r="CB57">
        <v>-1E-4</v>
      </c>
      <c r="CC57">
        <v>-5.0000000000000001E-4</v>
      </c>
      <c r="CD57">
        <v>-5.9999999999999995E-4</v>
      </c>
      <c r="CE57">
        <v>-1.1000000000000001E-3</v>
      </c>
      <c r="CF57">
        <v>-1.4E-3</v>
      </c>
      <c r="CG57">
        <v>-1.2999999999999999E-3</v>
      </c>
      <c r="CH57">
        <v>-2.2000000000000001E-3</v>
      </c>
      <c r="CI57">
        <v>-3.0000000000000001E-3</v>
      </c>
      <c r="CJ57">
        <v>-3.0999999999999999E-3</v>
      </c>
      <c r="CK57">
        <v>-3.2000000000000002E-3</v>
      </c>
      <c r="CL57">
        <v>-5.0000000000000001E-3</v>
      </c>
      <c r="CM57">
        <v>-5.7999999999999996E-3</v>
      </c>
      <c r="CN57">
        <v>-5.7999999999999996E-3</v>
      </c>
      <c r="CO57">
        <v>-6.1000000000000004E-3</v>
      </c>
      <c r="CP57">
        <v>-8.8999999999999999E-3</v>
      </c>
      <c r="CQ57">
        <v>-8.0000000000000002E-3</v>
      </c>
      <c r="CR57">
        <v>-9.7999999999999997E-3</v>
      </c>
      <c r="CS57">
        <v>-1.2E-2</v>
      </c>
      <c r="CT57">
        <v>-1.15E-2</v>
      </c>
      <c r="CU57">
        <v>-1.0699999999999999E-2</v>
      </c>
      <c r="CV57">
        <v>-1.11E-2</v>
      </c>
    </row>
    <row r="58" spans="1:100" x14ac:dyDescent="0.2">
      <c r="A58" t="s">
        <v>5924</v>
      </c>
      <c r="B58">
        <v>1.3100000000000001E-2</v>
      </c>
      <c r="C58">
        <v>1.5800000000000002E-2</v>
      </c>
      <c r="D58">
        <v>1.15E-2</v>
      </c>
      <c r="E58">
        <v>1.09E-2</v>
      </c>
      <c r="F58">
        <v>7.7999999999999996E-3</v>
      </c>
      <c r="G58">
        <v>8.8000000000000005E-3</v>
      </c>
      <c r="H58">
        <v>6.7999999999999996E-3</v>
      </c>
      <c r="I58">
        <v>6.1000000000000004E-3</v>
      </c>
      <c r="J58">
        <v>5.7000000000000002E-3</v>
      </c>
      <c r="K58">
        <v>3.5999999999999999E-3</v>
      </c>
      <c r="L58">
        <v>2.8E-3</v>
      </c>
      <c r="M58">
        <v>2.2000000000000001E-3</v>
      </c>
      <c r="N58">
        <v>1.6999999999999999E-3</v>
      </c>
      <c r="O58">
        <v>1.5E-3</v>
      </c>
      <c r="P58">
        <v>1.1000000000000001E-3</v>
      </c>
      <c r="Q58">
        <v>8.9999999999999998E-4</v>
      </c>
      <c r="R58">
        <v>8.9999999999999998E-4</v>
      </c>
      <c r="S58">
        <v>1.1000000000000001E-3</v>
      </c>
      <c r="T58">
        <v>1.1999999999999999E-3</v>
      </c>
      <c r="U58">
        <v>1.4E-3</v>
      </c>
      <c r="V58">
        <v>1.2999999999999999E-3</v>
      </c>
      <c r="W58">
        <v>1.1999999999999999E-3</v>
      </c>
      <c r="X58">
        <v>1E-3</v>
      </c>
      <c r="Y58">
        <v>1E-3</v>
      </c>
      <c r="Z58">
        <v>1E-3</v>
      </c>
      <c r="AA58">
        <v>1E-3</v>
      </c>
      <c r="AB58">
        <v>1.1000000000000001E-3</v>
      </c>
      <c r="AC58">
        <v>1.1000000000000001E-3</v>
      </c>
      <c r="AD58">
        <v>1.1999999999999999E-3</v>
      </c>
      <c r="AE58">
        <v>1.1999999999999999E-3</v>
      </c>
      <c r="AF58">
        <v>1.1999999999999999E-3</v>
      </c>
      <c r="AG58">
        <v>1.1999999999999999E-3</v>
      </c>
      <c r="AH58">
        <v>1.1999999999999999E-3</v>
      </c>
      <c r="AI58">
        <v>1E-3</v>
      </c>
      <c r="AJ58">
        <v>1E-3</v>
      </c>
      <c r="AK58">
        <v>1.1000000000000001E-3</v>
      </c>
      <c r="AL58">
        <v>1.1999999999999999E-3</v>
      </c>
      <c r="AM58">
        <v>1.4E-3</v>
      </c>
      <c r="AN58">
        <v>1.1000000000000001E-3</v>
      </c>
      <c r="AO58">
        <v>1E-3</v>
      </c>
      <c r="AP58">
        <v>1E-3</v>
      </c>
      <c r="AQ58">
        <v>1E-3</v>
      </c>
      <c r="AR58">
        <v>1E-3</v>
      </c>
      <c r="AS58">
        <v>1E-3</v>
      </c>
      <c r="AT58">
        <v>1.2999999999999999E-3</v>
      </c>
      <c r="AU58">
        <v>1.1000000000000001E-3</v>
      </c>
      <c r="AV58">
        <v>1E-3</v>
      </c>
      <c r="AW58">
        <v>1.1999999999999999E-3</v>
      </c>
      <c r="AX58">
        <v>1.2999999999999999E-3</v>
      </c>
      <c r="AY58">
        <v>1.2999999999999999E-3</v>
      </c>
      <c r="AZ58">
        <v>1E-3</v>
      </c>
      <c r="BA58">
        <v>1.1000000000000001E-3</v>
      </c>
      <c r="BB58">
        <v>1.4E-3</v>
      </c>
      <c r="BC58">
        <v>1.5E-3</v>
      </c>
      <c r="BD58">
        <v>1.6999999999999999E-3</v>
      </c>
      <c r="BE58">
        <v>1.6000000000000001E-3</v>
      </c>
      <c r="BF58">
        <v>1.4E-3</v>
      </c>
      <c r="BG58">
        <v>1.6000000000000001E-3</v>
      </c>
      <c r="BH58">
        <v>1.6000000000000001E-3</v>
      </c>
      <c r="BI58">
        <v>1.2999999999999999E-3</v>
      </c>
      <c r="BJ58">
        <v>1.1000000000000001E-3</v>
      </c>
      <c r="BK58">
        <v>1.4E-3</v>
      </c>
      <c r="BL58">
        <v>1.2999999999999999E-3</v>
      </c>
      <c r="BM58">
        <v>1.1999999999999999E-3</v>
      </c>
      <c r="BN58">
        <v>1.4E-3</v>
      </c>
      <c r="BO58">
        <v>1.6000000000000001E-3</v>
      </c>
      <c r="BP58">
        <v>2.2000000000000001E-3</v>
      </c>
      <c r="BQ58">
        <v>2.0999999999999999E-3</v>
      </c>
      <c r="BR58">
        <v>1.8E-3</v>
      </c>
      <c r="BS58">
        <v>2E-3</v>
      </c>
      <c r="BT58">
        <v>1.6999999999999999E-3</v>
      </c>
      <c r="BU58">
        <v>1.4E-3</v>
      </c>
      <c r="BV58">
        <v>1.6999999999999999E-3</v>
      </c>
      <c r="BW58">
        <v>2E-3</v>
      </c>
      <c r="BX58">
        <v>1.6000000000000001E-3</v>
      </c>
      <c r="BY58">
        <v>1.6999999999999999E-3</v>
      </c>
      <c r="BZ58">
        <v>1.8E-3</v>
      </c>
      <c r="CA58">
        <v>1.8E-3</v>
      </c>
      <c r="CB58">
        <v>2.0999999999999999E-3</v>
      </c>
      <c r="CC58">
        <v>2.3E-3</v>
      </c>
      <c r="CD58">
        <v>2.3E-3</v>
      </c>
      <c r="CE58">
        <v>1.8E-3</v>
      </c>
      <c r="CF58">
        <v>1.5E-3</v>
      </c>
      <c r="CG58">
        <v>1.6000000000000001E-3</v>
      </c>
      <c r="CH58">
        <v>8.9999999999999998E-4</v>
      </c>
      <c r="CI58">
        <v>2.0000000000000001E-4</v>
      </c>
      <c r="CJ58">
        <v>1E-4</v>
      </c>
      <c r="CK58">
        <v>1E-4</v>
      </c>
      <c r="CL58">
        <v>-1E-3</v>
      </c>
      <c r="CM58">
        <v>-1.5E-3</v>
      </c>
      <c r="CN58">
        <v>-2.0999999999999999E-3</v>
      </c>
      <c r="CO58">
        <v>-2.5000000000000001E-3</v>
      </c>
      <c r="CP58">
        <v>-4.1000000000000003E-3</v>
      </c>
      <c r="CQ58">
        <v>-3.8999999999999998E-3</v>
      </c>
      <c r="CR58">
        <v>-4.4999999999999997E-3</v>
      </c>
      <c r="CS58">
        <v>-6.1999999999999998E-3</v>
      </c>
      <c r="CT58">
        <v>-5.7000000000000002E-3</v>
      </c>
      <c r="CU58">
        <v>-4.1999999999999997E-3</v>
      </c>
      <c r="CV58">
        <v>-2.5000000000000001E-3</v>
      </c>
    </row>
    <row r="61" spans="1:100" x14ac:dyDescent="0.2">
      <c r="A61" t="s">
        <v>5909</v>
      </c>
      <c r="B61">
        <v>-0.75090000000000001</v>
      </c>
      <c r="C61">
        <v>-0.1137</v>
      </c>
      <c r="D61">
        <v>0.46410000000000001</v>
      </c>
      <c r="E61">
        <v>-0.14030000000000001</v>
      </c>
      <c r="F61">
        <v>0.7913</v>
      </c>
      <c r="G61">
        <v>0.17799999999999999</v>
      </c>
      <c r="H61">
        <v>0.48330000000000001</v>
      </c>
      <c r="I61">
        <v>0.36599999999999999</v>
      </c>
      <c r="J61">
        <v>0.24510000000000001</v>
      </c>
      <c r="K61">
        <v>0.4743</v>
      </c>
      <c r="L61">
        <v>0.47010000000000002</v>
      </c>
      <c r="M61">
        <v>0.24160000000000001</v>
      </c>
      <c r="N61">
        <v>0.29139999999999999</v>
      </c>
      <c r="O61">
        <v>0.2414</v>
      </c>
      <c r="P61">
        <v>0.18579999999999999</v>
      </c>
      <c r="Q61">
        <v>0.15679999999999999</v>
      </c>
      <c r="R61">
        <v>9.98E-2</v>
      </c>
      <c r="S61">
        <v>7.4399999999999994E-2</v>
      </c>
      <c r="T61">
        <v>2.0299999999999999E-2</v>
      </c>
      <c r="U61">
        <v>1.43E-2</v>
      </c>
      <c r="V61">
        <v>2.3599999999999999E-2</v>
      </c>
      <c r="W61">
        <v>-4.3E-3</v>
      </c>
      <c r="X61">
        <v>6.7999999999999996E-3</v>
      </c>
      <c r="Y61">
        <v>1.3299999999999999E-2</v>
      </c>
      <c r="Z61">
        <v>3.5000000000000001E-3</v>
      </c>
      <c r="AA61">
        <v>-9.7000000000000003E-3</v>
      </c>
      <c r="AB61">
        <v>-1.14E-2</v>
      </c>
      <c r="AC61">
        <v>-8.0999999999999996E-3</v>
      </c>
      <c r="AD61">
        <v>-1.4800000000000001E-2</v>
      </c>
      <c r="AE61">
        <v>-1.9699999999999999E-2</v>
      </c>
      <c r="AF61">
        <v>-1.95E-2</v>
      </c>
      <c r="AG61">
        <v>-2.1899999999999999E-2</v>
      </c>
      <c r="AH61">
        <v>-3.7600000000000001E-2</v>
      </c>
      <c r="AI61">
        <v>-4.4900000000000002E-2</v>
      </c>
      <c r="AJ61">
        <v>-3.6700000000000003E-2</v>
      </c>
      <c r="AK61">
        <v>-2.6499999999999999E-2</v>
      </c>
      <c r="AL61">
        <v>-3.0800000000000001E-2</v>
      </c>
      <c r="AM61">
        <v>-3.4299999999999997E-2</v>
      </c>
      <c r="AN61">
        <v>-2.1999999999999999E-2</v>
      </c>
      <c r="AO61">
        <v>-9.4000000000000004E-3</v>
      </c>
      <c r="AP61">
        <v>-4.4999999999999997E-3</v>
      </c>
      <c r="AQ61">
        <v>-8.8999999999999999E-3</v>
      </c>
      <c r="AR61">
        <v>-1.14E-2</v>
      </c>
      <c r="AS61">
        <v>-1.09E-2</v>
      </c>
      <c r="AT61">
        <v>-2.3400000000000001E-2</v>
      </c>
      <c r="AU61">
        <v>-4.6100000000000002E-2</v>
      </c>
      <c r="AV61">
        <v>-6.1499999999999999E-2</v>
      </c>
      <c r="AW61">
        <v>-7.5700000000000003E-2</v>
      </c>
      <c r="AX61">
        <v>-8.2100000000000006E-2</v>
      </c>
      <c r="AY61">
        <v>-9.3899999999999997E-2</v>
      </c>
      <c r="AZ61">
        <v>-8.43E-2</v>
      </c>
      <c r="BA61">
        <v>-7.1900000000000006E-2</v>
      </c>
      <c r="BB61">
        <v>-7.3200000000000001E-2</v>
      </c>
      <c r="BC61">
        <v>-7.2599999999999998E-2</v>
      </c>
      <c r="BD61">
        <v>-4.6800000000000001E-2</v>
      </c>
      <c r="BE61">
        <v>-4.0099999999999997E-2</v>
      </c>
      <c r="BF61">
        <v>-3.3099999999999997E-2</v>
      </c>
      <c r="BG61">
        <v>-3.9199999999999999E-2</v>
      </c>
      <c r="BH61">
        <v>-4.7300000000000002E-2</v>
      </c>
      <c r="BI61">
        <v>-4.5400000000000003E-2</v>
      </c>
      <c r="BJ61">
        <v>-4.2999999999999997E-2</v>
      </c>
      <c r="BK61">
        <v>-5.9499999999999997E-2</v>
      </c>
      <c r="BL61">
        <v>-7.7799999999999994E-2</v>
      </c>
      <c r="BM61">
        <v>-9.7199999999999995E-2</v>
      </c>
      <c r="BN61">
        <v>-0.1066</v>
      </c>
      <c r="BO61">
        <v>-0.115</v>
      </c>
      <c r="BP61">
        <v>-0.11260000000000001</v>
      </c>
      <c r="BQ61">
        <v>-0.1515</v>
      </c>
      <c r="BR61">
        <v>-0.1827</v>
      </c>
      <c r="BS61">
        <v>-0.17710000000000001</v>
      </c>
      <c r="BT61">
        <v>-9.0700000000000003E-2</v>
      </c>
      <c r="BU61">
        <v>-7.6600000000000001E-2</v>
      </c>
      <c r="BV61">
        <v>-9.5799999999999996E-2</v>
      </c>
      <c r="BW61">
        <v>-0.11799999999999999</v>
      </c>
      <c r="BX61">
        <v>-7.9200000000000007E-2</v>
      </c>
      <c r="BY61">
        <v>-7.4399999999999994E-2</v>
      </c>
      <c r="BZ61">
        <v>-5.6399999999999999E-2</v>
      </c>
      <c r="CA61">
        <v>-6.4500000000000002E-2</v>
      </c>
      <c r="CB61">
        <v>-0.1038</v>
      </c>
      <c r="CC61">
        <v>-0.28510000000000002</v>
      </c>
      <c r="CD61">
        <v>-0.36890000000000001</v>
      </c>
      <c r="CE61">
        <v>-0.35120000000000001</v>
      </c>
      <c r="CF61">
        <v>-0.23069999999999999</v>
      </c>
      <c r="CG61">
        <v>-0.15690000000000001</v>
      </c>
      <c r="CH61">
        <v>-0.15629999999999999</v>
      </c>
      <c r="CI61">
        <v>-0.20030000000000001</v>
      </c>
      <c r="CJ61">
        <v>-0.23039999999999999</v>
      </c>
      <c r="CK61">
        <v>-0.29160000000000003</v>
      </c>
      <c r="CL61">
        <v>-0.35210000000000002</v>
      </c>
      <c r="CM61">
        <v>-0.36959999999999998</v>
      </c>
      <c r="CN61">
        <v>-0.28339999999999999</v>
      </c>
      <c r="CO61">
        <v>-0.27179999999999999</v>
      </c>
      <c r="CP61">
        <v>-0.31990000000000002</v>
      </c>
      <c r="CQ61">
        <v>-0.19739999999999999</v>
      </c>
      <c r="CR61">
        <v>-0.32840000000000003</v>
      </c>
      <c r="CS61">
        <v>-0.37719999999999998</v>
      </c>
      <c r="CT61">
        <v>-0.42080000000000001</v>
      </c>
      <c r="CU61">
        <v>-0.37180000000000002</v>
      </c>
      <c r="CV61">
        <v>-0.3896</v>
      </c>
    </row>
    <row r="62" spans="1:100" x14ac:dyDescent="0.2">
      <c r="A62" t="s">
        <v>5910</v>
      </c>
      <c r="B62">
        <v>-7.4899999999999994E-2</v>
      </c>
      <c r="C62">
        <v>0.59740000000000004</v>
      </c>
      <c r="D62">
        <v>1.0751999999999999</v>
      </c>
      <c r="E62">
        <v>0.25950000000000001</v>
      </c>
      <c r="F62">
        <v>1.2598</v>
      </c>
      <c r="G62">
        <v>0.5333</v>
      </c>
      <c r="H62">
        <v>0.8276</v>
      </c>
      <c r="I62">
        <v>0.66369999999999996</v>
      </c>
      <c r="J62">
        <v>0.50229999999999997</v>
      </c>
      <c r="K62">
        <v>0.71450000000000002</v>
      </c>
      <c r="L62">
        <v>0.67900000000000005</v>
      </c>
      <c r="M62">
        <v>0.3785</v>
      </c>
      <c r="N62">
        <v>0.42159999999999997</v>
      </c>
      <c r="O62">
        <v>0.35589999999999999</v>
      </c>
      <c r="P62">
        <v>0.2878</v>
      </c>
      <c r="Q62">
        <v>0.24929999999999999</v>
      </c>
      <c r="R62">
        <v>0.1794</v>
      </c>
      <c r="S62">
        <v>0.14899999999999999</v>
      </c>
      <c r="T62">
        <v>8.7599999999999997E-2</v>
      </c>
      <c r="U62">
        <v>7.9799999999999996E-2</v>
      </c>
      <c r="V62">
        <v>8.6699999999999999E-2</v>
      </c>
      <c r="W62">
        <v>5.2900000000000003E-2</v>
      </c>
      <c r="X62">
        <v>6.3299999999999995E-2</v>
      </c>
      <c r="Y62">
        <v>6.9400000000000003E-2</v>
      </c>
      <c r="Z62">
        <v>5.9499999999999997E-2</v>
      </c>
      <c r="AA62">
        <v>4.5600000000000002E-2</v>
      </c>
      <c r="AB62">
        <v>4.3900000000000002E-2</v>
      </c>
      <c r="AC62">
        <v>4.7600000000000003E-2</v>
      </c>
      <c r="AD62">
        <v>4.1599999999999998E-2</v>
      </c>
      <c r="AE62">
        <v>3.78E-2</v>
      </c>
      <c r="AF62">
        <v>4.0099999999999997E-2</v>
      </c>
      <c r="AG62">
        <v>3.9199999999999999E-2</v>
      </c>
      <c r="AH62">
        <v>2.5899999999999999E-2</v>
      </c>
      <c r="AI62">
        <v>2.1399999999999999E-2</v>
      </c>
      <c r="AJ62">
        <v>3.2599999999999997E-2</v>
      </c>
      <c r="AK62">
        <v>4.2799999999999998E-2</v>
      </c>
      <c r="AL62">
        <v>3.8899999999999997E-2</v>
      </c>
      <c r="AM62">
        <v>3.5200000000000002E-2</v>
      </c>
      <c r="AN62">
        <v>4.65E-2</v>
      </c>
      <c r="AO62">
        <v>5.8500000000000003E-2</v>
      </c>
      <c r="AP62">
        <v>6.3200000000000006E-2</v>
      </c>
      <c r="AQ62">
        <v>5.8900000000000001E-2</v>
      </c>
      <c r="AR62">
        <v>5.6300000000000003E-2</v>
      </c>
      <c r="AS62">
        <v>5.6800000000000003E-2</v>
      </c>
      <c r="AT62">
        <v>4.3900000000000002E-2</v>
      </c>
      <c r="AU62">
        <v>2.1999999999999999E-2</v>
      </c>
      <c r="AV62">
        <v>7.7000000000000002E-3</v>
      </c>
      <c r="AW62">
        <v>-5.7000000000000002E-3</v>
      </c>
      <c r="AX62">
        <v>-1.14E-2</v>
      </c>
      <c r="AY62">
        <v>-2.24E-2</v>
      </c>
      <c r="AZ62">
        <v>-1.1599999999999999E-2</v>
      </c>
      <c r="BA62">
        <v>5.0000000000000001E-4</v>
      </c>
      <c r="BB62">
        <v>-1.1000000000000001E-3</v>
      </c>
      <c r="BC62">
        <v>2.9999999999999997E-4</v>
      </c>
      <c r="BD62">
        <v>2.7900000000000001E-2</v>
      </c>
      <c r="BE62">
        <v>3.3399999999999999E-2</v>
      </c>
      <c r="BF62">
        <v>4.1700000000000001E-2</v>
      </c>
      <c r="BG62">
        <v>3.7199999999999997E-2</v>
      </c>
      <c r="BH62">
        <v>2.9000000000000001E-2</v>
      </c>
      <c r="BI62">
        <v>3.27E-2</v>
      </c>
      <c r="BJ62">
        <v>3.4700000000000002E-2</v>
      </c>
      <c r="BK62">
        <v>1.8100000000000002E-2</v>
      </c>
      <c r="BL62">
        <v>-1.6000000000000001E-3</v>
      </c>
      <c r="BM62">
        <v>-2.3800000000000002E-2</v>
      </c>
      <c r="BN62">
        <v>-3.4700000000000002E-2</v>
      </c>
      <c r="BO62">
        <v>-4.3099999999999999E-2</v>
      </c>
      <c r="BP62">
        <v>-4.3799999999999999E-2</v>
      </c>
      <c r="BQ62">
        <v>-8.2000000000000003E-2</v>
      </c>
      <c r="BR62">
        <v>-0.11310000000000001</v>
      </c>
      <c r="BS62">
        <v>-0.10199999999999999</v>
      </c>
      <c r="BT62">
        <v>-3.8E-3</v>
      </c>
      <c r="BU62">
        <v>1.6400000000000001E-2</v>
      </c>
      <c r="BV62">
        <v>-1.4E-3</v>
      </c>
      <c r="BW62">
        <v>-2.7E-2</v>
      </c>
      <c r="BX62">
        <v>7.9000000000000008E-3</v>
      </c>
      <c r="BY62">
        <v>1.18E-2</v>
      </c>
      <c r="BZ62">
        <v>3.1800000000000002E-2</v>
      </c>
      <c r="CA62">
        <v>2.4400000000000002E-2</v>
      </c>
      <c r="CB62">
        <v>-1.46E-2</v>
      </c>
      <c r="CC62">
        <v>-0.1885</v>
      </c>
      <c r="CD62">
        <v>-0.2697</v>
      </c>
      <c r="CE62">
        <v>-0.25390000000000001</v>
      </c>
      <c r="CF62">
        <v>-0.13519999999999999</v>
      </c>
      <c r="CG62">
        <v>-5.5899999999999998E-2</v>
      </c>
      <c r="CH62">
        <v>-4.7600000000000003E-2</v>
      </c>
      <c r="CI62">
        <v>-9.9199999999999997E-2</v>
      </c>
      <c r="CJ62">
        <v>-0.13489999999999999</v>
      </c>
      <c r="CK62">
        <v>-0.1978</v>
      </c>
      <c r="CL62">
        <v>-0.2361</v>
      </c>
      <c r="CM62">
        <v>-0.2475</v>
      </c>
      <c r="CN62">
        <v>-0.17219999999999999</v>
      </c>
      <c r="CO62">
        <v>-0.1585</v>
      </c>
      <c r="CP62">
        <v>-0.16039999999999999</v>
      </c>
      <c r="CQ62">
        <v>-3.4000000000000002E-2</v>
      </c>
      <c r="CR62">
        <v>-0.14929999999999999</v>
      </c>
      <c r="CS62">
        <v>-0.1893</v>
      </c>
      <c r="CT62">
        <v>-0.21759999999999999</v>
      </c>
      <c r="CU62">
        <v>-6.3200000000000006E-2</v>
      </c>
      <c r="CV62">
        <v>-0.15870000000000001</v>
      </c>
    </row>
    <row r="63" spans="1:100" x14ac:dyDescent="0.2">
      <c r="A63" t="s">
        <v>5911</v>
      </c>
      <c r="B63">
        <v>-0.25619999999999998</v>
      </c>
      <c r="C63">
        <v>-0.27139999999999997</v>
      </c>
      <c r="D63">
        <v>-8.8999999999999996E-2</v>
      </c>
      <c r="E63">
        <v>-0.23089999999999999</v>
      </c>
      <c r="F63">
        <v>3.2199999999999999E-2</v>
      </c>
      <c r="G63">
        <v>-0.15079999999999999</v>
      </c>
      <c r="H63">
        <v>-1.47E-2</v>
      </c>
      <c r="I63">
        <v>-4.1999999999999997E-3</v>
      </c>
      <c r="J63">
        <v>-4.1200000000000001E-2</v>
      </c>
      <c r="K63">
        <v>7.46E-2</v>
      </c>
      <c r="L63">
        <v>0.128</v>
      </c>
      <c r="M63">
        <v>5.5199999999999999E-2</v>
      </c>
      <c r="N63">
        <v>0.10349999999999999</v>
      </c>
      <c r="O63">
        <v>8.2799999999999999E-2</v>
      </c>
      <c r="P63">
        <v>4.6699999999999998E-2</v>
      </c>
      <c r="Q63">
        <v>3.0800000000000001E-2</v>
      </c>
      <c r="R63">
        <v>6.1999999999999998E-3</v>
      </c>
      <c r="S63">
        <v>-3.3E-3</v>
      </c>
      <c r="T63">
        <v>-1.9800000000000002E-2</v>
      </c>
      <c r="U63">
        <v>-1.6500000000000001E-2</v>
      </c>
      <c r="V63">
        <v>-8.8999999999999999E-3</v>
      </c>
      <c r="W63">
        <v>-2.3099999999999999E-2</v>
      </c>
      <c r="X63">
        <v>-1.9900000000000001E-2</v>
      </c>
      <c r="Y63">
        <v>-4.1000000000000003E-3</v>
      </c>
      <c r="Z63">
        <v>-5.8999999999999999E-3</v>
      </c>
      <c r="AA63">
        <v>-1.2E-2</v>
      </c>
      <c r="AB63">
        <v>-9.1000000000000004E-3</v>
      </c>
      <c r="AC63">
        <v>-8.3999999999999995E-3</v>
      </c>
      <c r="AD63">
        <v>-1.7100000000000001E-2</v>
      </c>
      <c r="AE63">
        <v>-1.9400000000000001E-2</v>
      </c>
      <c r="AF63">
        <v>-8.0000000000000004E-4</v>
      </c>
      <c r="AG63">
        <v>-2.8E-3</v>
      </c>
      <c r="AH63">
        <v>-1.2E-2</v>
      </c>
      <c r="AI63">
        <v>-9.5999999999999992E-3</v>
      </c>
      <c r="AJ63">
        <v>2E-3</v>
      </c>
      <c r="AK63">
        <v>-3.7000000000000002E-3</v>
      </c>
      <c r="AL63">
        <v>2.9999999999999997E-4</v>
      </c>
      <c r="AM63">
        <v>0</v>
      </c>
      <c r="AN63">
        <v>2.1000000000000001E-2</v>
      </c>
      <c r="AO63">
        <v>3.5799999999999998E-2</v>
      </c>
      <c r="AP63">
        <v>3.9100000000000003E-2</v>
      </c>
      <c r="AQ63">
        <v>3.5799999999999998E-2</v>
      </c>
      <c r="AR63">
        <v>3.1300000000000001E-2</v>
      </c>
      <c r="AS63">
        <v>3.3500000000000002E-2</v>
      </c>
      <c r="AT63">
        <v>2.1899999999999999E-2</v>
      </c>
      <c r="AU63">
        <v>-1.4E-3</v>
      </c>
      <c r="AV63">
        <v>-3.4099999999999998E-2</v>
      </c>
      <c r="AW63">
        <v>-4.1399999999999999E-2</v>
      </c>
      <c r="AX63">
        <v>-4.2099999999999999E-2</v>
      </c>
      <c r="AY63">
        <v>-4.8399999999999999E-2</v>
      </c>
      <c r="AZ63">
        <v>-2.7900000000000001E-2</v>
      </c>
      <c r="BA63">
        <v>-2.0899999999999998E-2</v>
      </c>
      <c r="BB63">
        <v>-1.21E-2</v>
      </c>
      <c r="BC63">
        <v>-4.8999999999999998E-3</v>
      </c>
      <c r="BD63">
        <v>9.5999999999999992E-3</v>
      </c>
      <c r="BE63">
        <v>2.2599999999999999E-2</v>
      </c>
      <c r="BF63">
        <v>3.3099999999999997E-2</v>
      </c>
      <c r="BG63">
        <v>3.1399999999999997E-2</v>
      </c>
      <c r="BH63">
        <v>2.2800000000000001E-2</v>
      </c>
      <c r="BI63">
        <v>3.3700000000000001E-2</v>
      </c>
      <c r="BJ63">
        <v>3.5499999999999997E-2</v>
      </c>
      <c r="BK63">
        <v>3.1800000000000002E-2</v>
      </c>
      <c r="BL63">
        <v>1.04E-2</v>
      </c>
      <c r="BM63">
        <v>-1.06E-2</v>
      </c>
      <c r="BN63">
        <v>-1.47E-2</v>
      </c>
      <c r="BO63">
        <v>-1.7000000000000001E-2</v>
      </c>
      <c r="BP63">
        <v>-1.9199999999999998E-2</v>
      </c>
      <c r="BQ63">
        <v>-4.9599999999999998E-2</v>
      </c>
      <c r="BR63">
        <v>-7.5700000000000003E-2</v>
      </c>
      <c r="BS63">
        <v>-5.4800000000000001E-2</v>
      </c>
      <c r="BT63">
        <v>6.1600000000000002E-2</v>
      </c>
      <c r="BU63">
        <v>9.1499999999999998E-2</v>
      </c>
      <c r="BV63">
        <v>7.0900000000000005E-2</v>
      </c>
      <c r="BW63">
        <v>6.3100000000000003E-2</v>
      </c>
      <c r="BX63">
        <v>9.6699999999999994E-2</v>
      </c>
      <c r="BY63">
        <v>9.1899999999999996E-2</v>
      </c>
      <c r="BZ63">
        <v>0.11890000000000001</v>
      </c>
      <c r="CA63">
        <v>0.1147</v>
      </c>
      <c r="CB63">
        <v>6.7000000000000004E-2</v>
      </c>
      <c r="CC63">
        <v>-8.2699999999999996E-2</v>
      </c>
      <c r="CD63">
        <v>-0.13700000000000001</v>
      </c>
      <c r="CE63">
        <v>-0.1169</v>
      </c>
      <c r="CF63">
        <v>-1.4500000000000001E-2</v>
      </c>
      <c r="CG63">
        <v>7.3700000000000002E-2</v>
      </c>
      <c r="CH63">
        <v>0.10580000000000001</v>
      </c>
      <c r="CI63">
        <v>6.6199999999999995E-2</v>
      </c>
      <c r="CJ63">
        <v>1.9900000000000001E-2</v>
      </c>
      <c r="CK63">
        <v>-3.3399999999999999E-2</v>
      </c>
      <c r="CL63">
        <v>-3.5200000000000002E-2</v>
      </c>
      <c r="CM63">
        <v>-5.8500000000000003E-2</v>
      </c>
      <c r="CN63">
        <v>-8.3999999999999995E-3</v>
      </c>
      <c r="CO63">
        <v>1.2800000000000001E-2</v>
      </c>
      <c r="CP63">
        <v>6.6000000000000003E-2</v>
      </c>
      <c r="CQ63">
        <v>0.16420000000000001</v>
      </c>
      <c r="CR63">
        <v>7.1300000000000002E-2</v>
      </c>
      <c r="CS63">
        <v>-3.49E-2</v>
      </c>
      <c r="CT63">
        <v>-8.0600000000000005E-2</v>
      </c>
      <c r="CU63">
        <v>3.0200000000000001E-2</v>
      </c>
      <c r="CV63">
        <v>-0.1467</v>
      </c>
    </row>
    <row r="64" spans="1:100" x14ac:dyDescent="0.2">
      <c r="A64" t="s">
        <v>5912</v>
      </c>
      <c r="B64">
        <v>5.1999999999999998E-2</v>
      </c>
      <c r="C64">
        <v>2.7400000000000001E-2</v>
      </c>
      <c r="D64">
        <v>0.1668</v>
      </c>
      <c r="E64">
        <v>-4.9399999999999999E-2</v>
      </c>
      <c r="F64">
        <v>0.22839999999999999</v>
      </c>
      <c r="G64">
        <v>1.6E-2</v>
      </c>
      <c r="H64">
        <v>0.14849999999999999</v>
      </c>
      <c r="I64">
        <v>0.1641</v>
      </c>
      <c r="J64">
        <v>0.10539999999999999</v>
      </c>
      <c r="K64">
        <v>0.214</v>
      </c>
      <c r="L64">
        <v>0.25159999999999999</v>
      </c>
      <c r="M64">
        <v>0.13550000000000001</v>
      </c>
      <c r="N64">
        <v>0.1812</v>
      </c>
      <c r="O64">
        <v>0.15210000000000001</v>
      </c>
      <c r="P64">
        <v>0.1095</v>
      </c>
      <c r="Q64">
        <v>8.8700000000000001E-2</v>
      </c>
      <c r="R64">
        <v>5.6899999999999999E-2</v>
      </c>
      <c r="S64">
        <v>4.4699999999999997E-2</v>
      </c>
      <c r="T64">
        <v>2.4500000000000001E-2</v>
      </c>
      <c r="U64">
        <v>2.7699999999999999E-2</v>
      </c>
      <c r="V64">
        <v>3.39E-2</v>
      </c>
      <c r="W64">
        <v>1.5900000000000001E-2</v>
      </c>
      <c r="X64">
        <v>1.8599999999999998E-2</v>
      </c>
      <c r="Y64">
        <v>3.4799999999999998E-2</v>
      </c>
      <c r="Z64">
        <v>3.32E-2</v>
      </c>
      <c r="AA64">
        <v>2.7E-2</v>
      </c>
      <c r="AB64">
        <v>3.0200000000000001E-2</v>
      </c>
      <c r="AC64">
        <v>3.1399999999999997E-2</v>
      </c>
      <c r="AD64">
        <v>2.3300000000000001E-2</v>
      </c>
      <c r="AE64">
        <v>2.1899999999999999E-2</v>
      </c>
      <c r="AF64">
        <v>4.2200000000000001E-2</v>
      </c>
      <c r="AG64">
        <v>4.1500000000000002E-2</v>
      </c>
      <c r="AH64">
        <v>3.4099999999999998E-2</v>
      </c>
      <c r="AI64">
        <v>3.85E-2</v>
      </c>
      <c r="AJ64">
        <v>5.2400000000000002E-2</v>
      </c>
      <c r="AK64">
        <v>4.7300000000000002E-2</v>
      </c>
      <c r="AL64">
        <v>5.1799999999999999E-2</v>
      </c>
      <c r="AM64">
        <v>5.1400000000000001E-2</v>
      </c>
      <c r="AN64">
        <v>7.1900000000000006E-2</v>
      </c>
      <c r="AO64">
        <v>8.6099999999999996E-2</v>
      </c>
      <c r="AP64">
        <v>8.8900000000000007E-2</v>
      </c>
      <c r="AQ64">
        <v>8.5500000000000007E-2</v>
      </c>
      <c r="AR64">
        <v>8.09E-2</v>
      </c>
      <c r="AS64">
        <v>8.3099999999999993E-2</v>
      </c>
      <c r="AT64">
        <v>7.1400000000000005E-2</v>
      </c>
      <c r="AU64">
        <v>4.8599999999999997E-2</v>
      </c>
      <c r="AV64">
        <v>1.67E-2</v>
      </c>
      <c r="AW64">
        <v>0.01</v>
      </c>
      <c r="AX64">
        <v>9.5999999999999992E-3</v>
      </c>
      <c r="AY64">
        <v>3.8E-3</v>
      </c>
      <c r="AZ64">
        <v>2.4899999999999999E-2</v>
      </c>
      <c r="BA64">
        <v>3.1600000000000003E-2</v>
      </c>
      <c r="BB64">
        <v>3.9899999999999998E-2</v>
      </c>
      <c r="BC64">
        <v>4.7699999999999999E-2</v>
      </c>
      <c r="BD64">
        <v>6.3600000000000004E-2</v>
      </c>
      <c r="BE64">
        <v>7.6100000000000001E-2</v>
      </c>
      <c r="BF64">
        <v>8.72E-2</v>
      </c>
      <c r="BG64">
        <v>8.6800000000000002E-2</v>
      </c>
      <c r="BH64">
        <v>7.8299999999999995E-2</v>
      </c>
      <c r="BI64">
        <v>9.0700000000000003E-2</v>
      </c>
      <c r="BJ64">
        <v>9.2899999999999996E-2</v>
      </c>
      <c r="BK64">
        <v>8.8999999999999996E-2</v>
      </c>
      <c r="BL64">
        <v>6.6900000000000001E-2</v>
      </c>
      <c r="BM64">
        <v>4.4400000000000002E-2</v>
      </c>
      <c r="BN64">
        <v>3.9300000000000002E-2</v>
      </c>
      <c r="BO64">
        <v>3.7100000000000001E-2</v>
      </c>
      <c r="BP64">
        <v>3.3700000000000001E-2</v>
      </c>
      <c r="BQ64">
        <v>4.0000000000000001E-3</v>
      </c>
      <c r="BR64">
        <v>-2.1499999999999998E-2</v>
      </c>
      <c r="BS64">
        <v>3.8999999999999998E-3</v>
      </c>
      <c r="BT64">
        <v>0.12870000000000001</v>
      </c>
      <c r="BU64">
        <v>0.1648</v>
      </c>
      <c r="BV64">
        <v>0.14499999999999999</v>
      </c>
      <c r="BW64">
        <v>0.13400000000000001</v>
      </c>
      <c r="BX64">
        <v>0.16420000000000001</v>
      </c>
      <c r="BY64">
        <v>0.1583</v>
      </c>
      <c r="BZ64">
        <v>0.18709999999999999</v>
      </c>
      <c r="CA64">
        <v>0.18379999999999999</v>
      </c>
      <c r="CB64">
        <v>0.1371</v>
      </c>
      <c r="CC64">
        <v>-5.8999999999999999E-3</v>
      </c>
      <c r="CD64">
        <v>-5.8099999999999999E-2</v>
      </c>
      <c r="CE64">
        <v>-3.9E-2</v>
      </c>
      <c r="CF64">
        <v>6.8000000000000005E-2</v>
      </c>
      <c r="CG64">
        <v>0.1633</v>
      </c>
      <c r="CH64">
        <v>0.2016</v>
      </c>
      <c r="CI64">
        <v>0.156</v>
      </c>
      <c r="CJ64">
        <v>0.1053</v>
      </c>
      <c r="CK64">
        <v>4.9700000000000001E-2</v>
      </c>
      <c r="CL64">
        <v>6.59E-2</v>
      </c>
      <c r="CM64">
        <v>4.48E-2</v>
      </c>
      <c r="CN64">
        <v>8.48E-2</v>
      </c>
      <c r="CO64">
        <v>0.1048</v>
      </c>
      <c r="CP64">
        <v>0.19220000000000001</v>
      </c>
      <c r="CQ64">
        <v>0.28610000000000002</v>
      </c>
      <c r="CR64">
        <v>0.20930000000000001</v>
      </c>
      <c r="CS64">
        <v>0.10639999999999999</v>
      </c>
      <c r="CT64">
        <v>6.1800000000000001E-2</v>
      </c>
      <c r="CU64">
        <v>0.21590000000000001</v>
      </c>
      <c r="CV64">
        <v>5.1200000000000002E-2</v>
      </c>
    </row>
    <row r="65" spans="1:100" x14ac:dyDescent="0.2">
      <c r="A65" t="s">
        <v>5913</v>
      </c>
      <c r="B65">
        <v>6.1100000000000002E-2</v>
      </c>
      <c r="C65">
        <v>5.8700000000000002E-2</v>
      </c>
      <c r="D65">
        <v>7.6E-3</v>
      </c>
      <c r="E65">
        <v>4.36E-2</v>
      </c>
      <c r="F65">
        <v>-4.9500000000000002E-2</v>
      </c>
      <c r="G65">
        <v>6.1000000000000004E-3</v>
      </c>
      <c r="H65">
        <v>-2.12E-2</v>
      </c>
      <c r="I65">
        <v>-2.2599999999999999E-2</v>
      </c>
      <c r="J65">
        <v>-1.24E-2</v>
      </c>
      <c r="K65">
        <v>-3.4500000000000003E-2</v>
      </c>
      <c r="L65">
        <v>-3.7199999999999997E-2</v>
      </c>
      <c r="M65">
        <v>-1.7299999999999999E-2</v>
      </c>
      <c r="N65">
        <v>-2.23E-2</v>
      </c>
      <c r="O65">
        <v>-1.6899999999999998E-2</v>
      </c>
      <c r="P65">
        <v>-1.15E-2</v>
      </c>
      <c r="Q65">
        <v>-7.4999999999999997E-3</v>
      </c>
      <c r="R65">
        <v>-1.5E-3</v>
      </c>
      <c r="S65">
        <v>-2.0000000000000001E-4</v>
      </c>
      <c r="T65">
        <v>5.1000000000000004E-3</v>
      </c>
      <c r="U65">
        <v>3.3999999999999998E-3</v>
      </c>
      <c r="V65">
        <v>1.1999999999999999E-3</v>
      </c>
      <c r="W65">
        <v>4.7000000000000002E-3</v>
      </c>
      <c r="X65">
        <v>3.3999999999999998E-3</v>
      </c>
      <c r="Y65">
        <v>3.3E-3</v>
      </c>
      <c r="Z65">
        <v>5.7999999999999996E-3</v>
      </c>
      <c r="AA65">
        <v>7.9000000000000008E-3</v>
      </c>
      <c r="AB65">
        <v>8.6999999999999994E-3</v>
      </c>
      <c r="AC65">
        <v>8.6E-3</v>
      </c>
      <c r="AD65">
        <v>1.0500000000000001E-2</v>
      </c>
      <c r="AE65">
        <v>0.01</v>
      </c>
      <c r="AF65">
        <v>8.8999999999999999E-3</v>
      </c>
      <c r="AG65">
        <v>1.04E-2</v>
      </c>
      <c r="AH65">
        <v>1.4500000000000001E-2</v>
      </c>
      <c r="AI65">
        <v>1.3599999999999999E-2</v>
      </c>
      <c r="AJ65">
        <v>1.26E-2</v>
      </c>
      <c r="AK65">
        <v>1.29E-2</v>
      </c>
      <c r="AL65">
        <v>1.44E-2</v>
      </c>
      <c r="AM65">
        <v>1.4999999999999999E-2</v>
      </c>
      <c r="AN65">
        <v>1.23E-2</v>
      </c>
      <c r="AO65">
        <v>8.8999999999999999E-3</v>
      </c>
      <c r="AP65">
        <v>8.8999999999999999E-3</v>
      </c>
      <c r="AQ65">
        <v>9.4999999999999998E-3</v>
      </c>
      <c r="AR65">
        <v>8.9999999999999993E-3</v>
      </c>
      <c r="AS65">
        <v>8.0000000000000002E-3</v>
      </c>
      <c r="AT65">
        <v>1.0800000000000001E-2</v>
      </c>
      <c r="AU65">
        <v>1.7299999999999999E-2</v>
      </c>
      <c r="AV65">
        <v>2.29E-2</v>
      </c>
      <c r="AW65">
        <v>2.3699999999999999E-2</v>
      </c>
      <c r="AX65">
        <v>2.2200000000000001E-2</v>
      </c>
      <c r="AY65">
        <v>2.1999999999999999E-2</v>
      </c>
      <c r="AZ65">
        <v>2.0199999999999999E-2</v>
      </c>
      <c r="BA65">
        <v>1.7399999999999999E-2</v>
      </c>
      <c r="BB65">
        <v>1.2999999999999999E-2</v>
      </c>
      <c r="BC65">
        <v>1.18E-2</v>
      </c>
      <c r="BD65">
        <v>8.0999999999999996E-3</v>
      </c>
      <c r="BE65">
        <v>5.0000000000000001E-3</v>
      </c>
      <c r="BF65">
        <v>5.0000000000000001E-4</v>
      </c>
      <c r="BG65">
        <v>2.5000000000000001E-3</v>
      </c>
      <c r="BH65">
        <v>5.7000000000000002E-3</v>
      </c>
      <c r="BI65">
        <v>4.8999999999999998E-3</v>
      </c>
      <c r="BJ65">
        <v>3.0000000000000001E-3</v>
      </c>
      <c r="BK65">
        <v>5.7000000000000002E-3</v>
      </c>
      <c r="BL65">
        <v>8.0999999999999996E-3</v>
      </c>
      <c r="BM65">
        <v>1.23E-2</v>
      </c>
      <c r="BN65">
        <v>1.52E-2</v>
      </c>
      <c r="BO65">
        <v>1.52E-2</v>
      </c>
      <c r="BP65">
        <v>1.3599999999999999E-2</v>
      </c>
      <c r="BQ65">
        <v>1.9E-2</v>
      </c>
      <c r="BR65">
        <v>2.35E-2</v>
      </c>
      <c r="BS65">
        <v>1.9400000000000001E-2</v>
      </c>
      <c r="BT65">
        <v>-4.0000000000000001E-3</v>
      </c>
      <c r="BU65">
        <v>-8.2000000000000007E-3</v>
      </c>
      <c r="BV65">
        <v>-4.1999999999999997E-3</v>
      </c>
      <c r="BW65">
        <v>-1.4E-3</v>
      </c>
      <c r="BX65">
        <v>-8.2000000000000007E-3</v>
      </c>
      <c r="BY65">
        <v>-9.1999999999999998E-3</v>
      </c>
      <c r="BZ65">
        <v>-1.54E-2</v>
      </c>
      <c r="CA65">
        <v>-1.9900000000000001E-2</v>
      </c>
      <c r="CB65">
        <v>-1.1900000000000001E-2</v>
      </c>
      <c r="CC65">
        <v>1.9300000000000001E-2</v>
      </c>
      <c r="CD65">
        <v>2.98E-2</v>
      </c>
      <c r="CE65">
        <v>2.4899999999999999E-2</v>
      </c>
      <c r="CF65">
        <v>-8.9999999999999998E-4</v>
      </c>
      <c r="CG65">
        <v>-1.6899999999999998E-2</v>
      </c>
      <c r="CH65">
        <v>-2.6599999999999999E-2</v>
      </c>
      <c r="CI65">
        <v>-1.5900000000000001E-2</v>
      </c>
      <c r="CJ65">
        <v>-6.7999999999999996E-3</v>
      </c>
      <c r="CK65">
        <v>-1.8E-3</v>
      </c>
      <c r="CL65">
        <v>-6.3E-3</v>
      </c>
      <c r="CM65">
        <v>-1.1999999999999999E-3</v>
      </c>
      <c r="CN65">
        <v>-1.8700000000000001E-2</v>
      </c>
      <c r="CO65">
        <v>-2.6499999999999999E-2</v>
      </c>
      <c r="CP65">
        <v>-4.8800000000000003E-2</v>
      </c>
      <c r="CQ65">
        <v>-8.0299999999999996E-2</v>
      </c>
      <c r="CR65">
        <v>-5.8799999999999998E-2</v>
      </c>
      <c r="CS65">
        <v>-4.8800000000000003E-2</v>
      </c>
      <c r="CT65">
        <v>-2.35E-2</v>
      </c>
      <c r="CU65">
        <v>-8.48E-2</v>
      </c>
      <c r="CV65">
        <v>-2.5999999999999999E-2</v>
      </c>
    </row>
    <row r="66" spans="1:100" x14ac:dyDescent="0.2">
      <c r="A66" t="s">
        <v>5914</v>
      </c>
      <c r="B66">
        <v>0.1139</v>
      </c>
      <c r="C66">
        <v>0.1124</v>
      </c>
      <c r="D66">
        <v>5.33E-2</v>
      </c>
      <c r="E66">
        <v>7.7100000000000002E-2</v>
      </c>
      <c r="F66">
        <v>-1.2200000000000001E-2</v>
      </c>
      <c r="G66">
        <v>3.6799999999999999E-2</v>
      </c>
      <c r="H66">
        <v>9.1000000000000004E-3</v>
      </c>
      <c r="I66">
        <v>5.4999999999999997E-3</v>
      </c>
      <c r="J66">
        <v>1.2800000000000001E-2</v>
      </c>
      <c r="K66">
        <v>-1.06E-2</v>
      </c>
      <c r="L66">
        <v>-1.5900000000000001E-2</v>
      </c>
      <c r="M66">
        <v>-3.0999999999999999E-3</v>
      </c>
      <c r="N66">
        <v>-8.5000000000000006E-3</v>
      </c>
      <c r="O66">
        <v>-4.3E-3</v>
      </c>
      <c r="P66">
        <v>1E-4</v>
      </c>
      <c r="Q66">
        <v>3.5000000000000001E-3</v>
      </c>
      <c r="R66">
        <v>8.2000000000000007E-3</v>
      </c>
      <c r="S66">
        <v>9.1000000000000004E-3</v>
      </c>
      <c r="T66">
        <v>1.38E-2</v>
      </c>
      <c r="U66">
        <v>1.2E-2</v>
      </c>
      <c r="V66">
        <v>9.7000000000000003E-3</v>
      </c>
      <c r="W66">
        <v>1.2500000000000001E-2</v>
      </c>
      <c r="X66">
        <v>1.12E-2</v>
      </c>
      <c r="Y66">
        <v>1.12E-2</v>
      </c>
      <c r="Z66">
        <v>1.37E-2</v>
      </c>
      <c r="AA66">
        <v>1.5900000000000001E-2</v>
      </c>
      <c r="AB66">
        <v>1.6799999999999999E-2</v>
      </c>
      <c r="AC66">
        <v>1.6799999999999999E-2</v>
      </c>
      <c r="AD66">
        <v>1.89E-2</v>
      </c>
      <c r="AE66">
        <v>1.8599999999999998E-2</v>
      </c>
      <c r="AF66">
        <v>1.7899999999999999E-2</v>
      </c>
      <c r="AG66">
        <v>1.9900000000000001E-2</v>
      </c>
      <c r="AH66">
        <v>2.4400000000000002E-2</v>
      </c>
      <c r="AI66">
        <v>2.41E-2</v>
      </c>
      <c r="AJ66">
        <v>2.3599999999999999E-2</v>
      </c>
      <c r="AK66">
        <v>2.41E-2</v>
      </c>
      <c r="AL66">
        <v>2.58E-2</v>
      </c>
      <c r="AM66">
        <v>2.6499999999999999E-2</v>
      </c>
      <c r="AN66">
        <v>2.3699999999999999E-2</v>
      </c>
      <c r="AO66">
        <v>2.0199999999999999E-2</v>
      </c>
      <c r="AP66">
        <v>2.0400000000000001E-2</v>
      </c>
      <c r="AQ66">
        <v>2.1100000000000001E-2</v>
      </c>
      <c r="AR66">
        <v>2.0500000000000001E-2</v>
      </c>
      <c r="AS66">
        <v>1.9599999999999999E-2</v>
      </c>
      <c r="AT66">
        <v>2.2499999999999999E-2</v>
      </c>
      <c r="AU66">
        <v>2.92E-2</v>
      </c>
      <c r="AV66">
        <v>3.5099999999999999E-2</v>
      </c>
      <c r="AW66">
        <v>3.5999999999999997E-2</v>
      </c>
      <c r="AX66">
        <v>3.4599999999999999E-2</v>
      </c>
      <c r="AY66">
        <v>3.4599999999999999E-2</v>
      </c>
      <c r="AZ66">
        <v>3.2899999999999999E-2</v>
      </c>
      <c r="BA66">
        <v>3.0099999999999998E-2</v>
      </c>
      <c r="BB66">
        <v>2.5700000000000001E-2</v>
      </c>
      <c r="BC66">
        <v>2.47E-2</v>
      </c>
      <c r="BD66">
        <v>2.1399999999999999E-2</v>
      </c>
      <c r="BE66">
        <v>1.83E-2</v>
      </c>
      <c r="BF66">
        <v>1.41E-2</v>
      </c>
      <c r="BG66">
        <v>1.6500000000000001E-2</v>
      </c>
      <c r="BH66">
        <v>1.9800000000000002E-2</v>
      </c>
      <c r="BI66">
        <v>1.9400000000000001E-2</v>
      </c>
      <c r="BJ66">
        <v>1.7600000000000001E-2</v>
      </c>
      <c r="BK66">
        <v>2.0500000000000001E-2</v>
      </c>
      <c r="BL66">
        <v>2.2800000000000001E-2</v>
      </c>
      <c r="BM66">
        <v>2.6700000000000002E-2</v>
      </c>
      <c r="BN66">
        <v>2.93E-2</v>
      </c>
      <c r="BO66">
        <v>2.9399999999999999E-2</v>
      </c>
      <c r="BP66">
        <v>2.7699999999999999E-2</v>
      </c>
      <c r="BQ66">
        <v>3.3399999999999999E-2</v>
      </c>
      <c r="BR66">
        <v>3.8199999999999998E-2</v>
      </c>
      <c r="BS66">
        <v>3.5400000000000001E-2</v>
      </c>
      <c r="BT66">
        <v>1.44E-2</v>
      </c>
      <c r="BU66">
        <v>1.1900000000000001E-2</v>
      </c>
      <c r="BV66">
        <v>1.6199999999999999E-2</v>
      </c>
      <c r="BW66">
        <v>1.8599999999999998E-2</v>
      </c>
      <c r="BX66">
        <v>1.0699999999999999E-2</v>
      </c>
      <c r="BY66">
        <v>9.7000000000000003E-3</v>
      </c>
      <c r="BZ66">
        <v>4.1000000000000003E-3</v>
      </c>
      <c r="CA66">
        <v>-1E-4</v>
      </c>
      <c r="CB66">
        <v>8.5000000000000006E-3</v>
      </c>
      <c r="CC66">
        <v>4.1799999999999997E-2</v>
      </c>
      <c r="CD66">
        <v>5.33E-2</v>
      </c>
      <c r="CE66">
        <v>4.8399999999999999E-2</v>
      </c>
      <c r="CF66">
        <v>2.4500000000000001E-2</v>
      </c>
      <c r="CG66">
        <v>1.09E-2</v>
      </c>
      <c r="CH66">
        <v>3.7000000000000002E-3</v>
      </c>
      <c r="CI66">
        <v>1.29E-2</v>
      </c>
      <c r="CJ66">
        <v>2.0899999999999998E-2</v>
      </c>
      <c r="CK66">
        <v>2.63E-2</v>
      </c>
      <c r="CL66">
        <v>2.8799999999999999E-2</v>
      </c>
      <c r="CM66">
        <v>3.5900000000000001E-2</v>
      </c>
      <c r="CN66">
        <v>1.4999999999999999E-2</v>
      </c>
      <c r="CO66">
        <v>8.0999999999999996E-3</v>
      </c>
      <c r="CP66">
        <v>4.0000000000000002E-4</v>
      </c>
      <c r="CQ66">
        <v>-3.0499999999999999E-2</v>
      </c>
      <c r="CR66">
        <v>0</v>
      </c>
      <c r="CS66">
        <v>1.3899999999999999E-2</v>
      </c>
      <c r="CT66">
        <v>3.9600000000000003E-2</v>
      </c>
      <c r="CU66">
        <v>3.7000000000000002E-3</v>
      </c>
      <c r="CV66">
        <v>7.6700000000000004E-2</v>
      </c>
    </row>
    <row r="67" spans="1:100" x14ac:dyDescent="0.2">
      <c r="A67" t="s">
        <v>5915</v>
      </c>
      <c r="B67">
        <v>-2.35E-2</v>
      </c>
      <c r="C67">
        <v>-2.8500000000000001E-2</v>
      </c>
      <c r="D67">
        <v>-3.6999999999999998E-2</v>
      </c>
      <c r="E67">
        <v>-9.4000000000000004E-3</v>
      </c>
      <c r="F67">
        <v>-3.7400000000000003E-2</v>
      </c>
      <c r="G67">
        <v>-1.9800000000000002E-2</v>
      </c>
      <c r="H67">
        <v>-2.3800000000000002E-2</v>
      </c>
      <c r="I67">
        <v>-1.9E-2</v>
      </c>
      <c r="J67">
        <v>-8.3000000000000001E-3</v>
      </c>
      <c r="K67">
        <v>-1.6500000000000001E-2</v>
      </c>
      <c r="L67">
        <v>-1.8599999999999998E-2</v>
      </c>
      <c r="M67">
        <v>-1.2500000000000001E-2</v>
      </c>
      <c r="N67">
        <v>-1.23E-2</v>
      </c>
      <c r="O67">
        <v>-7.1999999999999998E-3</v>
      </c>
      <c r="P67">
        <v>-5.8999999999999999E-3</v>
      </c>
      <c r="Q67">
        <v>-8.6E-3</v>
      </c>
      <c r="R67">
        <v>-5.5999999999999999E-3</v>
      </c>
      <c r="S67">
        <v>-4.4000000000000003E-3</v>
      </c>
      <c r="T67">
        <v>-2.2000000000000001E-3</v>
      </c>
      <c r="U67">
        <v>-2.8E-3</v>
      </c>
      <c r="V67">
        <v>-5.5999999999999999E-3</v>
      </c>
      <c r="W67">
        <v>-2.3E-3</v>
      </c>
      <c r="X67">
        <v>-4.1000000000000003E-3</v>
      </c>
      <c r="Y67">
        <v>-2E-3</v>
      </c>
      <c r="Z67">
        <v>2.3E-3</v>
      </c>
      <c r="AA67">
        <v>3.0000000000000001E-3</v>
      </c>
      <c r="AB67">
        <v>2.5999999999999999E-3</v>
      </c>
      <c r="AC67">
        <v>1.1999999999999999E-3</v>
      </c>
      <c r="AD67">
        <v>-6.9999999999999999E-4</v>
      </c>
      <c r="AE67">
        <v>-5.9999999999999995E-4</v>
      </c>
      <c r="AF67">
        <v>-1.1000000000000001E-3</v>
      </c>
      <c r="AG67">
        <v>-1.1999999999999999E-3</v>
      </c>
      <c r="AH67">
        <v>-2.9999999999999997E-4</v>
      </c>
      <c r="AI67">
        <v>-1.8E-3</v>
      </c>
      <c r="AJ67">
        <v>-3.2000000000000002E-3</v>
      </c>
      <c r="AK67">
        <v>-2.3999999999999998E-3</v>
      </c>
      <c r="AL67">
        <v>-5.1999999999999998E-3</v>
      </c>
      <c r="AM67">
        <v>-6.4999999999999997E-3</v>
      </c>
      <c r="AN67">
        <v>-6.7999999999999996E-3</v>
      </c>
      <c r="AO67">
        <v>-9.5999999999999992E-3</v>
      </c>
      <c r="AP67">
        <v>-7.0000000000000001E-3</v>
      </c>
      <c r="AQ67">
        <v>-6.1999999999999998E-3</v>
      </c>
      <c r="AR67">
        <v>-7.7000000000000002E-3</v>
      </c>
      <c r="AS67">
        <v>-9.7000000000000003E-3</v>
      </c>
      <c r="AT67">
        <v>-1.2200000000000001E-2</v>
      </c>
      <c r="AU67">
        <v>-1.09E-2</v>
      </c>
      <c r="AV67">
        <v>-8.2000000000000007E-3</v>
      </c>
      <c r="AW67">
        <v>-7.9000000000000008E-3</v>
      </c>
      <c r="AX67">
        <v>-8.3999999999999995E-3</v>
      </c>
      <c r="AY67">
        <v>-1.1599999999999999E-2</v>
      </c>
      <c r="AZ67">
        <v>-1.29E-2</v>
      </c>
      <c r="BA67">
        <v>-1.43E-2</v>
      </c>
      <c r="BB67">
        <v>-9.4999999999999998E-3</v>
      </c>
      <c r="BC67">
        <v>-1.26E-2</v>
      </c>
      <c r="BD67">
        <v>-2.2100000000000002E-2</v>
      </c>
      <c r="BE67">
        <v>-1.9199999999999998E-2</v>
      </c>
      <c r="BF67">
        <v>-2.4E-2</v>
      </c>
      <c r="BG67">
        <v>-2.4199999999999999E-2</v>
      </c>
      <c r="BH67">
        <v>-2.2599999999999999E-2</v>
      </c>
      <c r="BI67">
        <v>-2.4199999999999999E-2</v>
      </c>
      <c r="BJ67">
        <v>-2.7099999999999999E-2</v>
      </c>
      <c r="BK67">
        <v>-2.5499999999999998E-2</v>
      </c>
      <c r="BL67">
        <v>-2.35E-2</v>
      </c>
      <c r="BM67">
        <v>-2.01E-2</v>
      </c>
      <c r="BN67">
        <v>-1.2500000000000001E-2</v>
      </c>
      <c r="BO67">
        <v>-1.52E-2</v>
      </c>
      <c r="BP67">
        <v>-1.2800000000000001E-2</v>
      </c>
      <c r="BQ67">
        <v>-5.1999999999999998E-3</v>
      </c>
      <c r="BR67">
        <v>-5.4999999999999997E-3</v>
      </c>
      <c r="BS67">
        <v>-1.21E-2</v>
      </c>
      <c r="BT67">
        <v>-2.8400000000000002E-2</v>
      </c>
      <c r="BU67">
        <v>-3.5400000000000001E-2</v>
      </c>
      <c r="BV67">
        <v>-3.1E-2</v>
      </c>
      <c r="BW67">
        <v>-2.81E-2</v>
      </c>
      <c r="BX67">
        <v>-3.4700000000000002E-2</v>
      </c>
      <c r="BY67">
        <v>-2.7300000000000001E-2</v>
      </c>
      <c r="BZ67">
        <v>-3.4099999999999998E-2</v>
      </c>
      <c r="CA67">
        <v>-3.5099999999999999E-2</v>
      </c>
      <c r="CB67">
        <v>-4.2200000000000001E-2</v>
      </c>
      <c r="CC67">
        <v>-2.18E-2</v>
      </c>
      <c r="CD67">
        <v>-8.5000000000000006E-3</v>
      </c>
      <c r="CE67">
        <v>-1.18E-2</v>
      </c>
      <c r="CF67">
        <v>-2.3699999999999999E-2</v>
      </c>
      <c r="CG67">
        <v>-3.8199999999999998E-2</v>
      </c>
      <c r="CH67">
        <v>-4.7899999999999998E-2</v>
      </c>
      <c r="CI67">
        <v>-3.8399999999999997E-2</v>
      </c>
      <c r="CJ67">
        <v>-2.18E-2</v>
      </c>
      <c r="CK67">
        <v>-1.7500000000000002E-2</v>
      </c>
      <c r="CL67">
        <v>-0.03</v>
      </c>
      <c r="CM67">
        <v>-2.2200000000000001E-2</v>
      </c>
      <c r="CN67">
        <v>-1.7999999999999999E-2</v>
      </c>
      <c r="CO67">
        <v>-2.81E-2</v>
      </c>
      <c r="CP67">
        <v>-4.1700000000000001E-2</v>
      </c>
      <c r="CQ67">
        <v>-6.8099999999999994E-2</v>
      </c>
      <c r="CR67">
        <v>-6.1400000000000003E-2</v>
      </c>
      <c r="CS67">
        <v>-4.53E-2</v>
      </c>
      <c r="CT67">
        <v>-2.64E-2</v>
      </c>
      <c r="CU67">
        <v>-7.0400000000000004E-2</v>
      </c>
      <c r="CV67">
        <v>-3.0099999999999998E-2</v>
      </c>
    </row>
    <row r="68" spans="1:100" x14ac:dyDescent="0.2">
      <c r="A68" t="s">
        <v>5916</v>
      </c>
      <c r="B68">
        <v>3.2099999999999997E-2</v>
      </c>
      <c r="C68">
        <v>3.04E-2</v>
      </c>
      <c r="D68">
        <v>1.61E-2</v>
      </c>
      <c r="E68">
        <v>0.03</v>
      </c>
      <c r="F68">
        <v>6.4999999999999997E-3</v>
      </c>
      <c r="G68">
        <v>1.7299999999999999E-2</v>
      </c>
      <c r="H68">
        <v>1.2699999999999999E-2</v>
      </c>
      <c r="I68">
        <v>1.5699999999999999E-2</v>
      </c>
      <c r="J68">
        <v>2.3800000000000002E-2</v>
      </c>
      <c r="K68">
        <v>1.38E-2</v>
      </c>
      <c r="L68">
        <v>8.3000000000000001E-3</v>
      </c>
      <c r="M68">
        <v>5.5999999999999999E-3</v>
      </c>
      <c r="N68">
        <v>5.3E-3</v>
      </c>
      <c r="O68">
        <v>8.6999999999999994E-3</v>
      </c>
      <c r="P68">
        <v>8.8000000000000005E-3</v>
      </c>
      <c r="Q68">
        <v>5.0000000000000001E-3</v>
      </c>
      <c r="R68">
        <v>6.4000000000000003E-3</v>
      </c>
      <c r="S68">
        <v>7.1000000000000004E-3</v>
      </c>
      <c r="T68">
        <v>8.5000000000000006E-3</v>
      </c>
      <c r="U68">
        <v>7.7999999999999996E-3</v>
      </c>
      <c r="V68">
        <v>4.7999999999999996E-3</v>
      </c>
      <c r="W68">
        <v>7.3000000000000001E-3</v>
      </c>
      <c r="X68">
        <v>5.4000000000000003E-3</v>
      </c>
      <c r="Y68">
        <v>7.7000000000000002E-3</v>
      </c>
      <c r="Z68">
        <v>1.21E-2</v>
      </c>
      <c r="AA68">
        <v>1.29E-2</v>
      </c>
      <c r="AB68">
        <v>1.26E-2</v>
      </c>
      <c r="AC68">
        <v>1.14E-2</v>
      </c>
      <c r="AD68">
        <v>9.5999999999999992E-3</v>
      </c>
      <c r="AE68">
        <v>0.01</v>
      </c>
      <c r="AF68">
        <v>1.01E-2</v>
      </c>
      <c r="AG68">
        <v>1.0500000000000001E-2</v>
      </c>
      <c r="AH68">
        <v>1.1900000000000001E-2</v>
      </c>
      <c r="AI68">
        <v>1.11E-2</v>
      </c>
      <c r="AJ68">
        <v>1.04E-2</v>
      </c>
      <c r="AK68">
        <v>1.15E-2</v>
      </c>
      <c r="AL68">
        <v>8.8999999999999999E-3</v>
      </c>
      <c r="AM68">
        <v>7.7999999999999996E-3</v>
      </c>
      <c r="AN68">
        <v>7.4000000000000003E-3</v>
      </c>
      <c r="AO68">
        <v>4.4999999999999997E-3</v>
      </c>
      <c r="AP68">
        <v>7.1999999999999998E-3</v>
      </c>
      <c r="AQ68">
        <v>8.0999999999999996E-3</v>
      </c>
      <c r="AR68">
        <v>6.7000000000000002E-3</v>
      </c>
      <c r="AS68">
        <v>4.7999999999999996E-3</v>
      </c>
      <c r="AT68">
        <v>2.3999999999999998E-3</v>
      </c>
      <c r="AU68">
        <v>3.8999999999999998E-3</v>
      </c>
      <c r="AV68">
        <v>7.0000000000000001E-3</v>
      </c>
      <c r="AW68">
        <v>7.6E-3</v>
      </c>
      <c r="AX68">
        <v>7.3000000000000001E-3</v>
      </c>
      <c r="AY68">
        <v>4.3E-3</v>
      </c>
      <c r="AZ68">
        <v>3.3E-3</v>
      </c>
      <c r="BA68">
        <v>1.9E-3</v>
      </c>
      <c r="BB68">
        <v>6.7000000000000002E-3</v>
      </c>
      <c r="BC68">
        <v>3.8999999999999998E-3</v>
      </c>
      <c r="BD68">
        <v>-5.1999999999999998E-3</v>
      </c>
      <c r="BE68">
        <v>-2.3E-3</v>
      </c>
      <c r="BF68">
        <v>-6.7000000000000002E-3</v>
      </c>
      <c r="BG68">
        <v>-6.4000000000000003E-3</v>
      </c>
      <c r="BH68">
        <v>-4.5999999999999999E-3</v>
      </c>
      <c r="BI68">
        <v>-5.7999999999999996E-3</v>
      </c>
      <c r="BJ68">
        <v>-8.3999999999999995E-3</v>
      </c>
      <c r="BK68">
        <v>-6.7999999999999996E-3</v>
      </c>
      <c r="BL68">
        <v>-5.0000000000000001E-3</v>
      </c>
      <c r="BM68">
        <v>-2E-3</v>
      </c>
      <c r="BN68">
        <v>5.4000000000000003E-3</v>
      </c>
      <c r="BO68">
        <v>2.7000000000000001E-3</v>
      </c>
      <c r="BP68">
        <v>4.7999999999999996E-3</v>
      </c>
      <c r="BQ68">
        <v>1.2800000000000001E-2</v>
      </c>
      <c r="BR68">
        <v>1.2699999999999999E-2</v>
      </c>
      <c r="BS68">
        <v>7.7000000000000002E-3</v>
      </c>
      <c r="BT68">
        <v>-5.5999999999999999E-3</v>
      </c>
      <c r="BU68">
        <v>-1.0800000000000001E-2</v>
      </c>
      <c r="BV68">
        <v>-6.0000000000000001E-3</v>
      </c>
      <c r="BW68">
        <v>-3.8E-3</v>
      </c>
      <c r="BX68">
        <v>-1.15E-2</v>
      </c>
      <c r="BY68">
        <v>-4.4999999999999997E-3</v>
      </c>
      <c r="BZ68">
        <v>-1.0699999999999999E-2</v>
      </c>
      <c r="CA68">
        <v>-1.14E-2</v>
      </c>
      <c r="CB68">
        <v>-1.8100000000000002E-2</v>
      </c>
      <c r="CC68">
        <v>4.8999999999999998E-3</v>
      </c>
      <c r="CD68">
        <v>1.89E-2</v>
      </c>
      <c r="CE68">
        <v>1.5299999999999999E-2</v>
      </c>
      <c r="CF68">
        <v>5.1999999999999998E-3</v>
      </c>
      <c r="CG68">
        <v>-7.1999999999999998E-3</v>
      </c>
      <c r="CH68">
        <v>-1.46E-2</v>
      </c>
      <c r="CI68">
        <v>-7.1000000000000004E-3</v>
      </c>
      <c r="CJ68">
        <v>8.0999999999999996E-3</v>
      </c>
      <c r="CK68">
        <v>1.2500000000000001E-2</v>
      </c>
      <c r="CL68">
        <v>6.8999999999999999E-3</v>
      </c>
      <c r="CM68">
        <v>1.5900000000000001E-2</v>
      </c>
      <c r="CN68">
        <v>1.6400000000000001E-2</v>
      </c>
      <c r="CO68">
        <v>6.6E-3</v>
      </c>
      <c r="CP68">
        <v>6.4999999999999997E-3</v>
      </c>
      <c r="CQ68">
        <v>-2.0199999999999999E-2</v>
      </c>
      <c r="CR68">
        <v>-5.7000000000000002E-3</v>
      </c>
      <c r="CS68">
        <v>1.2800000000000001E-2</v>
      </c>
      <c r="CT68">
        <v>3.1699999999999999E-2</v>
      </c>
      <c r="CU68">
        <v>1.2E-2</v>
      </c>
      <c r="CV68">
        <v>5.8099999999999999E-2</v>
      </c>
    </row>
    <row r="69" spans="1:100" x14ac:dyDescent="0.2">
      <c r="A69" t="s">
        <v>5917</v>
      </c>
      <c r="B69">
        <v>2.1299999999999999E-2</v>
      </c>
      <c r="C69">
        <v>1.4E-3</v>
      </c>
      <c r="D69">
        <v>-2.07E-2</v>
      </c>
      <c r="E69">
        <v>1.38E-2</v>
      </c>
      <c r="F69">
        <v>-2.6800000000000001E-2</v>
      </c>
      <c r="G69">
        <v>-3.8999999999999998E-3</v>
      </c>
      <c r="H69">
        <v>-1.35E-2</v>
      </c>
      <c r="I69">
        <v>-1.2699999999999999E-2</v>
      </c>
      <c r="J69">
        <v>-7.4999999999999997E-3</v>
      </c>
      <c r="K69">
        <v>-1.72E-2</v>
      </c>
      <c r="L69">
        <v>-1.78E-2</v>
      </c>
      <c r="M69">
        <v>-7.4999999999999997E-3</v>
      </c>
      <c r="N69">
        <v>-9.2999999999999992E-3</v>
      </c>
      <c r="O69">
        <v>-7.1000000000000004E-3</v>
      </c>
      <c r="P69">
        <v>-5.7999999999999996E-3</v>
      </c>
      <c r="Q69">
        <v>-5.1000000000000004E-3</v>
      </c>
      <c r="R69">
        <v>-3.7000000000000002E-3</v>
      </c>
      <c r="S69">
        <v>-3.3E-3</v>
      </c>
      <c r="T69">
        <v>-1.6000000000000001E-3</v>
      </c>
      <c r="U69">
        <v>-1.6999999999999999E-3</v>
      </c>
      <c r="V69">
        <v>-1.5E-3</v>
      </c>
      <c r="W69">
        <v>-5.9999999999999995E-4</v>
      </c>
      <c r="X69">
        <v>-8.9999999999999998E-4</v>
      </c>
      <c r="Y69">
        <v>-6.9999999999999999E-4</v>
      </c>
      <c r="Z69">
        <v>-2.0000000000000001E-4</v>
      </c>
      <c r="AA69">
        <v>-2.9999999999999997E-4</v>
      </c>
      <c r="AB69">
        <v>-4.0000000000000002E-4</v>
      </c>
      <c r="AC69">
        <v>-6.9999999999999999E-4</v>
      </c>
      <c r="AD69">
        <v>-1.1000000000000001E-3</v>
      </c>
      <c r="AE69">
        <v>-2E-3</v>
      </c>
      <c r="AF69">
        <v>-2.3E-3</v>
      </c>
      <c r="AG69">
        <v>-2E-3</v>
      </c>
      <c r="AH69">
        <v>-1.1000000000000001E-3</v>
      </c>
      <c r="AI69">
        <v>-1.1999999999999999E-3</v>
      </c>
      <c r="AJ69">
        <v>-1.8E-3</v>
      </c>
      <c r="AK69">
        <v>-1.9E-3</v>
      </c>
      <c r="AL69">
        <v>-2.0999999999999999E-3</v>
      </c>
      <c r="AM69">
        <v>-2E-3</v>
      </c>
      <c r="AN69">
        <v>-1.9E-3</v>
      </c>
      <c r="AO69">
        <v>-1.4E-3</v>
      </c>
      <c r="AP69">
        <v>-1.1999999999999999E-3</v>
      </c>
      <c r="AQ69">
        <v>-1.6000000000000001E-3</v>
      </c>
      <c r="AR69">
        <v>-1.5E-3</v>
      </c>
      <c r="AS69">
        <v>-1.2999999999999999E-3</v>
      </c>
      <c r="AT69">
        <v>-1.9E-3</v>
      </c>
      <c r="AU69">
        <v>-1.5E-3</v>
      </c>
      <c r="AV69">
        <v>-1.1999999999999999E-3</v>
      </c>
      <c r="AW69">
        <v>-1.1999999999999999E-3</v>
      </c>
      <c r="AX69">
        <v>-1.2999999999999999E-3</v>
      </c>
      <c r="AY69">
        <v>-1.2999999999999999E-3</v>
      </c>
      <c r="AZ69">
        <v>-1.5E-3</v>
      </c>
      <c r="BA69">
        <v>-1.6999999999999999E-3</v>
      </c>
      <c r="BB69">
        <v>-1.5E-3</v>
      </c>
      <c r="BC69">
        <v>-1.6000000000000001E-3</v>
      </c>
      <c r="BD69">
        <v>-2.3999999999999998E-3</v>
      </c>
      <c r="BE69">
        <v>-2E-3</v>
      </c>
      <c r="BF69">
        <v>-2E-3</v>
      </c>
      <c r="BG69">
        <v>-2E-3</v>
      </c>
      <c r="BH69">
        <v>-2.0999999999999999E-3</v>
      </c>
      <c r="BI69">
        <v>-1.6999999999999999E-3</v>
      </c>
      <c r="BJ69">
        <v>-2E-3</v>
      </c>
      <c r="BK69">
        <v>-1.6000000000000001E-3</v>
      </c>
      <c r="BL69">
        <v>-1.4E-3</v>
      </c>
      <c r="BM69">
        <v>-5.0000000000000001E-4</v>
      </c>
      <c r="BN69">
        <v>-5.9999999999999995E-4</v>
      </c>
      <c r="BO69">
        <v>-6.9999999999999999E-4</v>
      </c>
      <c r="BP69">
        <v>-8.0000000000000004E-4</v>
      </c>
      <c r="BQ69">
        <v>-8.0000000000000004E-4</v>
      </c>
      <c r="BR69">
        <v>2.0000000000000001E-4</v>
      </c>
      <c r="BS69">
        <v>-2.0000000000000001E-4</v>
      </c>
      <c r="BT69">
        <v>-2.5000000000000001E-3</v>
      </c>
      <c r="BU69">
        <v>-2.0999999999999999E-3</v>
      </c>
      <c r="BV69">
        <v>-1.9E-3</v>
      </c>
      <c r="BW69">
        <v>-2E-3</v>
      </c>
      <c r="BX69">
        <v>-1.8E-3</v>
      </c>
      <c r="BY69">
        <v>-1.2999999999999999E-3</v>
      </c>
      <c r="BZ69">
        <v>-1.4E-3</v>
      </c>
      <c r="CA69">
        <v>-1.6000000000000001E-3</v>
      </c>
      <c r="CB69">
        <v>-2.0999999999999999E-3</v>
      </c>
      <c r="CC69">
        <v>-5.0000000000000001E-4</v>
      </c>
      <c r="CD69">
        <v>-1E-4</v>
      </c>
      <c r="CE69">
        <v>2.0000000000000001E-4</v>
      </c>
      <c r="CF69">
        <v>-1.4E-3</v>
      </c>
      <c r="CG69">
        <v>-2.7000000000000001E-3</v>
      </c>
      <c r="CH69">
        <v>-3.8999999999999998E-3</v>
      </c>
      <c r="CI69">
        <v>-2.5999999999999999E-3</v>
      </c>
      <c r="CJ69">
        <v>-2.8E-3</v>
      </c>
      <c r="CK69">
        <v>-1.8E-3</v>
      </c>
      <c r="CL69">
        <v>-2.3999999999999998E-3</v>
      </c>
      <c r="CM69">
        <v>-2.2000000000000001E-3</v>
      </c>
      <c r="CN69">
        <v>-2.8E-3</v>
      </c>
      <c r="CO69">
        <v>-3.0000000000000001E-3</v>
      </c>
      <c r="CP69">
        <v>-4.7999999999999996E-3</v>
      </c>
      <c r="CQ69">
        <v>-6.7999999999999996E-3</v>
      </c>
      <c r="CR69">
        <v>-6.7000000000000002E-3</v>
      </c>
      <c r="CS69">
        <v>-7.1999999999999998E-3</v>
      </c>
      <c r="CT69">
        <v>-6.3E-3</v>
      </c>
      <c r="CU69">
        <v>-7.3000000000000001E-3</v>
      </c>
      <c r="CV69">
        <v>-2.8999999999999998E-3</v>
      </c>
    </row>
    <row r="70" spans="1:100" x14ac:dyDescent="0.2">
      <c r="A70" t="s">
        <v>5918</v>
      </c>
      <c r="B70">
        <v>4.8800000000000003E-2</v>
      </c>
      <c r="C70">
        <v>3.1E-2</v>
      </c>
      <c r="D70">
        <v>4.3E-3</v>
      </c>
      <c r="E70">
        <v>3.1300000000000001E-2</v>
      </c>
      <c r="F70">
        <v>-7.6E-3</v>
      </c>
      <c r="G70">
        <v>1.1299999999999999E-2</v>
      </c>
      <c r="H70">
        <v>1E-3</v>
      </c>
      <c r="I70">
        <v>1E-4</v>
      </c>
      <c r="J70">
        <v>3.8999999999999998E-3</v>
      </c>
      <c r="K70">
        <v>-6.7000000000000002E-3</v>
      </c>
      <c r="L70">
        <v>-8.6999999999999994E-3</v>
      </c>
      <c r="M70">
        <v>-1.4E-3</v>
      </c>
      <c r="N70">
        <v>-3.5999999999999999E-3</v>
      </c>
      <c r="O70">
        <v>-2E-3</v>
      </c>
      <c r="P70">
        <v>-8.9999999999999998E-4</v>
      </c>
      <c r="Q70">
        <v>-6.9999999999999999E-4</v>
      </c>
      <c r="R70">
        <v>1E-4</v>
      </c>
      <c r="S70">
        <v>2.9999999999999997E-4</v>
      </c>
      <c r="T70">
        <v>1.6000000000000001E-3</v>
      </c>
      <c r="U70">
        <v>1.4E-3</v>
      </c>
      <c r="V70">
        <v>1.5E-3</v>
      </c>
      <c r="W70">
        <v>2.2000000000000001E-3</v>
      </c>
      <c r="X70">
        <v>1.8E-3</v>
      </c>
      <c r="Y70">
        <v>2E-3</v>
      </c>
      <c r="Z70">
        <v>2.5000000000000001E-3</v>
      </c>
      <c r="AA70">
        <v>2.3999999999999998E-3</v>
      </c>
      <c r="AB70">
        <v>2.3E-3</v>
      </c>
      <c r="AC70">
        <v>2E-3</v>
      </c>
      <c r="AD70">
        <v>1.6999999999999999E-3</v>
      </c>
      <c r="AE70">
        <v>6.9999999999999999E-4</v>
      </c>
      <c r="AF70">
        <v>5.9999999999999995E-4</v>
      </c>
      <c r="AG70">
        <v>8.9999999999999998E-4</v>
      </c>
      <c r="AH70">
        <v>2E-3</v>
      </c>
      <c r="AI70">
        <v>2E-3</v>
      </c>
      <c r="AJ70">
        <v>1.6000000000000001E-3</v>
      </c>
      <c r="AK70">
        <v>1.4E-3</v>
      </c>
      <c r="AL70">
        <v>1.1999999999999999E-3</v>
      </c>
      <c r="AM70">
        <v>1.2999999999999999E-3</v>
      </c>
      <c r="AN70">
        <v>1.4E-3</v>
      </c>
      <c r="AO70">
        <v>1.9E-3</v>
      </c>
      <c r="AP70">
        <v>2.0999999999999999E-3</v>
      </c>
      <c r="AQ70">
        <v>1.6000000000000001E-3</v>
      </c>
      <c r="AR70">
        <v>1.6999999999999999E-3</v>
      </c>
      <c r="AS70">
        <v>2E-3</v>
      </c>
      <c r="AT70">
        <v>1.2999999999999999E-3</v>
      </c>
      <c r="AU70">
        <v>1.6999999999999999E-3</v>
      </c>
      <c r="AV70">
        <v>2.2000000000000001E-3</v>
      </c>
      <c r="AW70">
        <v>2.2000000000000001E-3</v>
      </c>
      <c r="AX70">
        <v>2.0999999999999999E-3</v>
      </c>
      <c r="AY70">
        <v>2.0999999999999999E-3</v>
      </c>
      <c r="AZ70">
        <v>1.9E-3</v>
      </c>
      <c r="BA70">
        <v>1.8E-3</v>
      </c>
      <c r="BB70">
        <v>1.9E-3</v>
      </c>
      <c r="BC70">
        <v>1.8E-3</v>
      </c>
      <c r="BD70">
        <v>1.1999999999999999E-3</v>
      </c>
      <c r="BE70">
        <v>1.5E-3</v>
      </c>
      <c r="BF70">
        <v>1.6000000000000001E-3</v>
      </c>
      <c r="BG70">
        <v>1.6999999999999999E-3</v>
      </c>
      <c r="BH70">
        <v>1.6000000000000001E-3</v>
      </c>
      <c r="BI70">
        <v>2E-3</v>
      </c>
      <c r="BJ70">
        <v>1.6999999999999999E-3</v>
      </c>
      <c r="BK70">
        <v>2.0999999999999999E-3</v>
      </c>
      <c r="BL70">
        <v>2.3E-3</v>
      </c>
      <c r="BM70">
        <v>3.0000000000000001E-3</v>
      </c>
      <c r="BN70">
        <v>2.8E-3</v>
      </c>
      <c r="BO70">
        <v>2.8E-3</v>
      </c>
      <c r="BP70">
        <v>2.5999999999999999E-3</v>
      </c>
      <c r="BQ70">
        <v>2.7000000000000001E-3</v>
      </c>
      <c r="BR70">
        <v>3.7000000000000002E-3</v>
      </c>
      <c r="BS70">
        <v>3.5999999999999999E-3</v>
      </c>
      <c r="BT70">
        <v>1.8E-3</v>
      </c>
      <c r="BU70">
        <v>2.5999999999999999E-3</v>
      </c>
      <c r="BV70">
        <v>2.8E-3</v>
      </c>
      <c r="BW70">
        <v>2.5000000000000001E-3</v>
      </c>
      <c r="BX70">
        <v>2.5000000000000001E-3</v>
      </c>
      <c r="BY70">
        <v>2.8999999999999998E-3</v>
      </c>
      <c r="BZ70">
        <v>2.8999999999999998E-3</v>
      </c>
      <c r="CA70">
        <v>2.7000000000000001E-3</v>
      </c>
      <c r="CB70">
        <v>2.3E-3</v>
      </c>
      <c r="CC70">
        <v>4.3E-3</v>
      </c>
      <c r="CD70">
        <v>4.8999999999999998E-3</v>
      </c>
      <c r="CE70">
        <v>5.0000000000000001E-3</v>
      </c>
      <c r="CF70">
        <v>3.7000000000000002E-3</v>
      </c>
      <c r="CG70">
        <v>2.7000000000000001E-3</v>
      </c>
      <c r="CH70">
        <v>1.9E-3</v>
      </c>
      <c r="CI70">
        <v>2.8E-3</v>
      </c>
      <c r="CJ70">
        <v>2.3999999999999998E-3</v>
      </c>
      <c r="CK70">
        <v>3.2000000000000002E-3</v>
      </c>
      <c r="CL70">
        <v>3.7000000000000002E-3</v>
      </c>
      <c r="CM70">
        <v>4.0000000000000001E-3</v>
      </c>
      <c r="CN70">
        <v>2.7000000000000001E-3</v>
      </c>
      <c r="CO70">
        <v>2.3999999999999998E-3</v>
      </c>
      <c r="CP70">
        <v>2.7000000000000001E-3</v>
      </c>
      <c r="CQ70">
        <v>5.0000000000000001E-4</v>
      </c>
      <c r="CR70">
        <v>1.6000000000000001E-3</v>
      </c>
      <c r="CS70">
        <v>1.5E-3</v>
      </c>
      <c r="CT70">
        <v>2.5000000000000001E-3</v>
      </c>
      <c r="CU70">
        <v>4.4999999999999997E-3</v>
      </c>
      <c r="CV70">
        <v>1.09E-2</v>
      </c>
    </row>
    <row r="71" spans="1:100" x14ac:dyDescent="0.2">
      <c r="A71" t="s">
        <v>5919</v>
      </c>
      <c r="B71">
        <v>-0.1661</v>
      </c>
      <c r="C71">
        <v>-0.15379999999999999</v>
      </c>
      <c r="D71">
        <v>-1.8499999999999999E-2</v>
      </c>
      <c r="E71">
        <v>-0.1671</v>
      </c>
      <c r="F71">
        <v>0.1086</v>
      </c>
      <c r="G71">
        <v>-8.2100000000000006E-2</v>
      </c>
      <c r="H71">
        <v>3.3599999999999998E-2</v>
      </c>
      <c r="I71">
        <v>2.4799999999999999E-2</v>
      </c>
      <c r="J71">
        <v>-1.2999999999999999E-3</v>
      </c>
      <c r="K71">
        <v>0.12540000000000001</v>
      </c>
      <c r="L71">
        <v>0.1676</v>
      </c>
      <c r="M71">
        <v>8.3799999999999999E-2</v>
      </c>
      <c r="N71">
        <v>0.13469999999999999</v>
      </c>
      <c r="O71">
        <v>0.12959999999999999</v>
      </c>
      <c r="P71">
        <v>0.1124</v>
      </c>
      <c r="Q71">
        <v>8.0600000000000005E-2</v>
      </c>
      <c r="R71">
        <v>5.9799999999999999E-2</v>
      </c>
      <c r="S71">
        <v>5.0799999999999998E-2</v>
      </c>
      <c r="T71">
        <v>3.8100000000000002E-2</v>
      </c>
      <c r="U71">
        <v>3.2899999999999999E-2</v>
      </c>
      <c r="V71">
        <v>2.92E-2</v>
      </c>
      <c r="W71">
        <v>1.72E-2</v>
      </c>
      <c r="X71">
        <v>2.4E-2</v>
      </c>
      <c r="Y71">
        <v>3.1899999999999998E-2</v>
      </c>
      <c r="Z71">
        <v>3.78E-2</v>
      </c>
      <c r="AA71">
        <v>3.9100000000000003E-2</v>
      </c>
      <c r="AB71">
        <v>3.5000000000000003E-2</v>
      </c>
      <c r="AC71">
        <v>3.61E-2</v>
      </c>
      <c r="AD71">
        <v>3.1199999999999999E-2</v>
      </c>
      <c r="AE71">
        <v>2.63E-2</v>
      </c>
      <c r="AF71">
        <v>3.3799999999999997E-2</v>
      </c>
      <c r="AG71">
        <v>2.6200000000000001E-2</v>
      </c>
      <c r="AH71">
        <v>1.9699999999999999E-2</v>
      </c>
      <c r="AI71">
        <v>1.8200000000000001E-2</v>
      </c>
      <c r="AJ71">
        <v>2.1999999999999999E-2</v>
      </c>
      <c r="AK71">
        <v>1.78E-2</v>
      </c>
      <c r="AL71">
        <v>1.9099999999999999E-2</v>
      </c>
      <c r="AM71">
        <v>2.3400000000000001E-2</v>
      </c>
      <c r="AN71">
        <v>2.93E-2</v>
      </c>
      <c r="AO71">
        <v>3.09E-2</v>
      </c>
      <c r="AP71">
        <v>2.7300000000000001E-2</v>
      </c>
      <c r="AQ71">
        <v>2.01E-2</v>
      </c>
      <c r="AR71">
        <v>1.67E-2</v>
      </c>
      <c r="AS71">
        <v>1.4800000000000001E-2</v>
      </c>
      <c r="AT71">
        <v>2.3400000000000001E-2</v>
      </c>
      <c r="AU71">
        <v>2.3400000000000001E-2</v>
      </c>
      <c r="AV71">
        <v>1.23E-2</v>
      </c>
      <c r="AW71">
        <v>1.23E-2</v>
      </c>
      <c r="AX71">
        <v>1.4500000000000001E-2</v>
      </c>
      <c r="AY71">
        <v>1.7299999999999999E-2</v>
      </c>
      <c r="AZ71">
        <v>1.26E-2</v>
      </c>
      <c r="BA71">
        <v>1.77E-2</v>
      </c>
      <c r="BB71">
        <v>1.38E-2</v>
      </c>
      <c r="BC71">
        <v>1.5599999999999999E-2</v>
      </c>
      <c r="BD71">
        <v>1.5599999999999999E-2</v>
      </c>
      <c r="BE71">
        <v>1.89E-2</v>
      </c>
      <c r="BF71">
        <v>2.1999999999999999E-2</v>
      </c>
      <c r="BG71">
        <v>1.7899999999999999E-2</v>
      </c>
      <c r="BH71">
        <v>2.12E-2</v>
      </c>
      <c r="BI71">
        <v>1.55E-2</v>
      </c>
      <c r="BJ71">
        <v>1.3899999999999999E-2</v>
      </c>
      <c r="BK71">
        <v>1.17E-2</v>
      </c>
      <c r="BL71">
        <v>8.9999999999999993E-3</v>
      </c>
      <c r="BM71">
        <v>6.4000000000000003E-3</v>
      </c>
      <c r="BN71">
        <v>1E-3</v>
      </c>
      <c r="BO71">
        <v>5.1999999999999998E-3</v>
      </c>
      <c r="BP71">
        <v>1.12E-2</v>
      </c>
      <c r="BQ71">
        <v>1.5900000000000001E-2</v>
      </c>
      <c r="BR71">
        <v>2.0899999999999998E-2</v>
      </c>
      <c r="BS71">
        <v>2.3400000000000001E-2</v>
      </c>
      <c r="BT71">
        <v>2.4E-2</v>
      </c>
      <c r="BU71">
        <v>2.4400000000000002E-2</v>
      </c>
      <c r="BV71">
        <v>1.47E-2</v>
      </c>
      <c r="BW71">
        <v>2.7099999999999999E-2</v>
      </c>
      <c r="BX71">
        <v>2.9000000000000001E-2</v>
      </c>
      <c r="BY71">
        <v>2.1899999999999999E-2</v>
      </c>
      <c r="BZ71">
        <v>1.1900000000000001E-2</v>
      </c>
      <c r="CA71">
        <v>2.29E-2</v>
      </c>
      <c r="CB71">
        <v>7.4999999999999997E-3</v>
      </c>
      <c r="CC71">
        <v>7.1000000000000004E-3</v>
      </c>
      <c r="CD71">
        <v>1.0200000000000001E-2</v>
      </c>
      <c r="CE71">
        <v>1.2200000000000001E-2</v>
      </c>
      <c r="CF71">
        <v>5.1999999999999998E-3</v>
      </c>
      <c r="CG71">
        <v>8.6999999999999994E-3</v>
      </c>
      <c r="CH71">
        <v>-3.5000000000000001E-3</v>
      </c>
      <c r="CI71">
        <v>-1.04E-2</v>
      </c>
      <c r="CJ71">
        <v>-1.3599999999999999E-2</v>
      </c>
      <c r="CK71">
        <v>5.0000000000000001E-4</v>
      </c>
      <c r="CL71">
        <v>-1E-4</v>
      </c>
      <c r="CM71">
        <v>-1.2999999999999999E-2</v>
      </c>
      <c r="CN71">
        <v>0</v>
      </c>
      <c r="CO71">
        <v>-8.6E-3</v>
      </c>
      <c r="CP71">
        <v>-1.2E-2</v>
      </c>
      <c r="CQ71">
        <v>6.9999999999999999E-4</v>
      </c>
      <c r="CR71">
        <v>-9.7999999999999997E-3</v>
      </c>
      <c r="CS71">
        <v>-1.5699999999999999E-2</v>
      </c>
      <c r="CT71">
        <v>-3.9199999999999999E-2</v>
      </c>
      <c r="CU71">
        <v>-3.0099999999999998E-2</v>
      </c>
      <c r="CV71">
        <v>-3.6799999999999999E-2</v>
      </c>
    </row>
    <row r="72" spans="1:100" x14ac:dyDescent="0.2">
      <c r="A72" t="s">
        <v>5920</v>
      </c>
      <c r="B72">
        <v>-0.1124</v>
      </c>
      <c r="C72">
        <v>-9.7500000000000003E-2</v>
      </c>
      <c r="D72">
        <v>3.09E-2</v>
      </c>
      <c r="E72">
        <v>-0.12870000000000001</v>
      </c>
      <c r="F72">
        <v>0.15110000000000001</v>
      </c>
      <c r="G72">
        <v>-4.48E-2</v>
      </c>
      <c r="H72">
        <v>7.0599999999999996E-2</v>
      </c>
      <c r="I72">
        <v>6.0299999999999999E-2</v>
      </c>
      <c r="J72">
        <v>3.1099999999999999E-2</v>
      </c>
      <c r="K72">
        <v>0.15620000000000001</v>
      </c>
      <c r="L72">
        <v>0.19520000000000001</v>
      </c>
      <c r="M72">
        <v>0.10249999999999999</v>
      </c>
      <c r="N72">
        <v>0.153</v>
      </c>
      <c r="O72">
        <v>0.14630000000000001</v>
      </c>
      <c r="P72">
        <v>0.1278</v>
      </c>
      <c r="Q72">
        <v>9.5000000000000001E-2</v>
      </c>
      <c r="R72">
        <v>7.2499999999999995E-2</v>
      </c>
      <c r="S72">
        <v>6.3E-2</v>
      </c>
      <c r="T72">
        <v>4.9500000000000002E-2</v>
      </c>
      <c r="U72">
        <v>4.4200000000000003E-2</v>
      </c>
      <c r="V72">
        <v>4.02E-2</v>
      </c>
      <c r="W72">
        <v>2.7400000000000001E-2</v>
      </c>
      <c r="X72">
        <v>3.4099999999999998E-2</v>
      </c>
      <c r="Y72">
        <v>4.2200000000000001E-2</v>
      </c>
      <c r="Z72">
        <v>4.82E-2</v>
      </c>
      <c r="AA72">
        <v>4.9500000000000002E-2</v>
      </c>
      <c r="AB72">
        <v>4.5600000000000002E-2</v>
      </c>
      <c r="AC72">
        <v>4.6800000000000001E-2</v>
      </c>
      <c r="AD72">
        <v>4.2099999999999999E-2</v>
      </c>
      <c r="AE72">
        <v>3.7400000000000003E-2</v>
      </c>
      <c r="AF72">
        <v>4.5499999999999999E-2</v>
      </c>
      <c r="AG72">
        <v>3.8199999999999998E-2</v>
      </c>
      <c r="AH72">
        <v>3.2300000000000002E-2</v>
      </c>
      <c r="AI72">
        <v>3.1399999999999997E-2</v>
      </c>
      <c r="AJ72">
        <v>3.5900000000000001E-2</v>
      </c>
      <c r="AK72">
        <v>3.2000000000000001E-2</v>
      </c>
      <c r="AL72">
        <v>3.3399999999999999E-2</v>
      </c>
      <c r="AM72">
        <v>3.78E-2</v>
      </c>
      <c r="AN72">
        <v>4.36E-2</v>
      </c>
      <c r="AO72">
        <v>4.4999999999999998E-2</v>
      </c>
      <c r="AP72">
        <v>4.1599999999999998E-2</v>
      </c>
      <c r="AQ72">
        <v>3.44E-2</v>
      </c>
      <c r="AR72">
        <v>3.1099999999999999E-2</v>
      </c>
      <c r="AS72">
        <v>2.93E-2</v>
      </c>
      <c r="AT72">
        <v>3.7900000000000003E-2</v>
      </c>
      <c r="AU72">
        <v>3.8199999999999998E-2</v>
      </c>
      <c r="AV72">
        <v>2.75E-2</v>
      </c>
      <c r="AW72">
        <v>2.7699999999999999E-2</v>
      </c>
      <c r="AX72">
        <v>3.0099999999999998E-2</v>
      </c>
      <c r="AY72">
        <v>3.3000000000000002E-2</v>
      </c>
      <c r="AZ72">
        <v>2.8500000000000001E-2</v>
      </c>
      <c r="BA72">
        <v>3.3599999999999998E-2</v>
      </c>
      <c r="BB72">
        <v>2.98E-2</v>
      </c>
      <c r="BC72">
        <v>3.1699999999999999E-2</v>
      </c>
      <c r="BD72">
        <v>3.2300000000000002E-2</v>
      </c>
      <c r="BE72">
        <v>3.5499999999999997E-2</v>
      </c>
      <c r="BF72">
        <v>3.9E-2</v>
      </c>
      <c r="BG72">
        <v>3.5299999999999998E-2</v>
      </c>
      <c r="BH72">
        <v>3.8899999999999997E-2</v>
      </c>
      <c r="BI72">
        <v>3.3700000000000001E-2</v>
      </c>
      <c r="BJ72">
        <v>3.2300000000000002E-2</v>
      </c>
      <c r="BK72">
        <v>3.0099999999999998E-2</v>
      </c>
      <c r="BL72">
        <v>2.7300000000000001E-2</v>
      </c>
      <c r="BM72">
        <v>2.4199999999999999E-2</v>
      </c>
      <c r="BN72">
        <v>1.8499999999999999E-2</v>
      </c>
      <c r="BO72">
        <v>2.2800000000000001E-2</v>
      </c>
      <c r="BP72">
        <v>2.8500000000000001E-2</v>
      </c>
      <c r="BQ72">
        <v>3.3599999999999998E-2</v>
      </c>
      <c r="BR72">
        <v>3.8899999999999997E-2</v>
      </c>
      <c r="BS72">
        <v>4.2999999999999997E-2</v>
      </c>
      <c r="BT72">
        <v>4.6600000000000003E-2</v>
      </c>
      <c r="BU72">
        <v>4.8899999999999999E-2</v>
      </c>
      <c r="BV72">
        <v>3.95E-2</v>
      </c>
      <c r="BW72">
        <v>5.1299999999999998E-2</v>
      </c>
      <c r="BX72">
        <v>5.21E-2</v>
      </c>
      <c r="BY72">
        <v>4.4699999999999997E-2</v>
      </c>
      <c r="BZ72">
        <v>3.5400000000000001E-2</v>
      </c>
      <c r="CA72">
        <v>4.6800000000000001E-2</v>
      </c>
      <c r="CB72">
        <v>3.2000000000000001E-2</v>
      </c>
      <c r="CC72">
        <v>3.4099999999999998E-2</v>
      </c>
      <c r="CD72">
        <v>3.8100000000000002E-2</v>
      </c>
      <c r="CE72">
        <v>3.9899999999999998E-2</v>
      </c>
      <c r="CF72">
        <v>3.49E-2</v>
      </c>
      <c r="CG72">
        <v>4.1000000000000002E-2</v>
      </c>
      <c r="CH72">
        <v>3.15E-2</v>
      </c>
      <c r="CI72">
        <v>2.2700000000000001E-2</v>
      </c>
      <c r="CJ72">
        <v>1.8200000000000001E-2</v>
      </c>
      <c r="CK72">
        <v>3.2399999999999998E-2</v>
      </c>
      <c r="CL72">
        <v>3.95E-2</v>
      </c>
      <c r="CM72">
        <v>2.8400000000000002E-2</v>
      </c>
      <c r="CN72">
        <v>3.6400000000000002E-2</v>
      </c>
      <c r="CO72">
        <v>2.8299999999999999E-2</v>
      </c>
      <c r="CP72">
        <v>3.95E-2</v>
      </c>
      <c r="CQ72">
        <v>5.1999999999999998E-2</v>
      </c>
      <c r="CR72">
        <v>4.9599999999999998E-2</v>
      </c>
      <c r="CS72">
        <v>4.6300000000000001E-2</v>
      </c>
      <c r="CT72">
        <v>2.5899999999999999E-2</v>
      </c>
      <c r="CU72">
        <v>6.25E-2</v>
      </c>
      <c r="CV72">
        <v>6.7100000000000007E-2</v>
      </c>
    </row>
    <row r="73" spans="1:100" x14ac:dyDescent="0.2">
      <c r="A73" t="s">
        <v>5921</v>
      </c>
      <c r="B73">
        <v>2.1100000000000001E-2</v>
      </c>
      <c r="C73">
        <v>2.6100000000000002E-2</v>
      </c>
      <c r="D73">
        <v>1.0999999999999999E-2</v>
      </c>
      <c r="E73">
        <v>2.5000000000000001E-3</v>
      </c>
      <c r="F73">
        <v>2.7E-2</v>
      </c>
      <c r="G73">
        <v>2.3199999999999998E-2</v>
      </c>
      <c r="H73">
        <v>1.67E-2</v>
      </c>
      <c r="I73">
        <v>1.26E-2</v>
      </c>
      <c r="J73">
        <v>8.3000000000000001E-3</v>
      </c>
      <c r="K73">
        <v>7.3000000000000001E-3</v>
      </c>
      <c r="L73">
        <v>4.5999999999999999E-3</v>
      </c>
      <c r="M73">
        <v>-3.5999999999999999E-3</v>
      </c>
      <c r="N73">
        <v>1.0999999999999999E-2</v>
      </c>
      <c r="O73">
        <v>-3.0000000000000001E-3</v>
      </c>
      <c r="P73">
        <v>-6.7999999999999996E-3</v>
      </c>
      <c r="Q73">
        <v>-3.8999999999999998E-3</v>
      </c>
      <c r="R73">
        <v>-5.1999999999999998E-3</v>
      </c>
      <c r="S73">
        <v>-1.6999999999999999E-3</v>
      </c>
      <c r="T73">
        <v>-5.4000000000000003E-3</v>
      </c>
      <c r="U73">
        <v>-6.7999999999999996E-3</v>
      </c>
      <c r="V73">
        <v>-6.7999999999999996E-3</v>
      </c>
      <c r="W73">
        <v>-7.9000000000000008E-3</v>
      </c>
      <c r="X73">
        <v>-1.04E-2</v>
      </c>
      <c r="Y73">
        <v>-1.17E-2</v>
      </c>
      <c r="Z73">
        <v>-5.0000000000000001E-4</v>
      </c>
      <c r="AA73">
        <v>-6.0000000000000001E-3</v>
      </c>
      <c r="AB73">
        <v>-6.0000000000000001E-3</v>
      </c>
      <c r="AC73">
        <v>-8.3999999999999995E-3</v>
      </c>
      <c r="AD73">
        <v>1.6000000000000001E-3</v>
      </c>
      <c r="AE73">
        <v>-4.1999999999999997E-3</v>
      </c>
      <c r="AF73">
        <v>-3.2000000000000002E-3</v>
      </c>
      <c r="AG73">
        <v>-3.8999999999999998E-3</v>
      </c>
      <c r="AH73">
        <v>-3.0000000000000001E-3</v>
      </c>
      <c r="AI73">
        <v>-3.3999999999999998E-3</v>
      </c>
      <c r="AJ73">
        <v>-3.3E-3</v>
      </c>
      <c r="AK73">
        <v>-7.7000000000000002E-3</v>
      </c>
      <c r="AL73">
        <v>-5.7999999999999996E-3</v>
      </c>
      <c r="AM73">
        <v>-8.0999999999999996E-3</v>
      </c>
      <c r="AN73">
        <v>1E-4</v>
      </c>
      <c r="AO73">
        <v>-3.2000000000000002E-3</v>
      </c>
      <c r="AP73">
        <v>3.0000000000000001E-3</v>
      </c>
      <c r="AQ73">
        <v>-7.1000000000000004E-3</v>
      </c>
      <c r="AR73">
        <v>-6.6E-3</v>
      </c>
      <c r="AS73">
        <v>-7.4000000000000003E-3</v>
      </c>
      <c r="AT73">
        <v>2.7000000000000001E-3</v>
      </c>
      <c r="AU73">
        <v>-3.2000000000000002E-3</v>
      </c>
      <c r="AV73">
        <v>-5.9999999999999995E-4</v>
      </c>
      <c r="AW73">
        <v>-3.5000000000000001E-3</v>
      </c>
      <c r="AX73">
        <v>-1.6000000000000001E-3</v>
      </c>
      <c r="AY73">
        <v>-2.0999999999999999E-3</v>
      </c>
      <c r="AZ73">
        <v>-2.5999999999999999E-3</v>
      </c>
      <c r="BA73">
        <v>-4.7999999999999996E-3</v>
      </c>
      <c r="BB73">
        <v>-3.5999999999999999E-3</v>
      </c>
      <c r="BC73">
        <v>-8.3000000000000001E-3</v>
      </c>
      <c r="BD73">
        <v>-6.9999999999999999E-4</v>
      </c>
      <c r="BE73">
        <v>-3.8E-3</v>
      </c>
      <c r="BF73">
        <v>-6.9999999999999999E-4</v>
      </c>
      <c r="BG73">
        <v>-2.0999999999999999E-3</v>
      </c>
      <c r="BH73">
        <v>1.6999999999999999E-3</v>
      </c>
      <c r="BI73">
        <v>-3.8999999999999998E-3</v>
      </c>
      <c r="BJ73">
        <v>-1.9E-3</v>
      </c>
      <c r="BK73">
        <v>-3.8E-3</v>
      </c>
      <c r="BL73">
        <v>-2.8999999999999998E-3</v>
      </c>
      <c r="BM73">
        <v>-2.2000000000000001E-3</v>
      </c>
      <c r="BN73">
        <v>-6.9999999999999999E-4</v>
      </c>
      <c r="BO73">
        <v>-8.6E-3</v>
      </c>
      <c r="BP73">
        <v>-1.43E-2</v>
      </c>
      <c r="BQ73">
        <v>-4.0000000000000001E-3</v>
      </c>
      <c r="BR73">
        <v>-2.2000000000000001E-3</v>
      </c>
      <c r="BS73">
        <v>1.1999999999999999E-3</v>
      </c>
      <c r="BT73">
        <v>-2.3999999999999998E-3</v>
      </c>
      <c r="BU73">
        <v>-1.1999999999999999E-3</v>
      </c>
      <c r="BV73">
        <v>2.9999999999999997E-4</v>
      </c>
      <c r="BW73">
        <v>-1E-4</v>
      </c>
      <c r="BX73">
        <v>-5.7000000000000002E-3</v>
      </c>
      <c r="BY73">
        <v>2.3999999999999998E-3</v>
      </c>
      <c r="BZ73">
        <v>-8.8999999999999999E-3</v>
      </c>
      <c r="CA73">
        <v>-1.14E-2</v>
      </c>
      <c r="CB73">
        <v>4.3E-3</v>
      </c>
      <c r="CC73">
        <v>6.7000000000000002E-3</v>
      </c>
      <c r="CD73">
        <v>-7.4000000000000003E-3</v>
      </c>
      <c r="CE73">
        <v>4.5999999999999999E-3</v>
      </c>
      <c r="CF73">
        <v>-3.0999999999999999E-3</v>
      </c>
      <c r="CG73">
        <v>5.3E-3</v>
      </c>
      <c r="CH73">
        <v>1.6000000000000001E-3</v>
      </c>
      <c r="CI73">
        <v>3.2000000000000002E-3</v>
      </c>
      <c r="CJ73">
        <v>-5.5999999999999999E-3</v>
      </c>
      <c r="CK73">
        <v>9.9000000000000008E-3</v>
      </c>
      <c r="CL73">
        <v>1.8E-3</v>
      </c>
      <c r="CM73">
        <v>5.7999999999999996E-3</v>
      </c>
      <c r="CN73">
        <v>1.1999999999999999E-3</v>
      </c>
      <c r="CO73">
        <v>1.15E-2</v>
      </c>
      <c r="CP73">
        <v>3.8999999999999998E-3</v>
      </c>
      <c r="CQ73">
        <v>-5.0000000000000001E-4</v>
      </c>
      <c r="CR73">
        <v>1.44E-2</v>
      </c>
      <c r="CS73">
        <v>2.2200000000000001E-2</v>
      </c>
      <c r="CT73">
        <v>1.61E-2</v>
      </c>
      <c r="CU73">
        <v>1.7999999999999999E-2</v>
      </c>
      <c r="CV73">
        <v>5.1000000000000004E-3</v>
      </c>
    </row>
    <row r="74" spans="1:100" x14ac:dyDescent="0.2">
      <c r="A74" t="s">
        <v>5922</v>
      </c>
      <c r="B74">
        <v>5.1799999999999999E-2</v>
      </c>
      <c r="C74">
        <v>6.1400000000000003E-2</v>
      </c>
      <c r="D74">
        <v>4.2099999999999999E-2</v>
      </c>
      <c r="E74">
        <v>2.53E-2</v>
      </c>
      <c r="F74">
        <v>5.33E-2</v>
      </c>
      <c r="G74">
        <v>4.4999999999999998E-2</v>
      </c>
      <c r="H74">
        <v>3.8100000000000002E-2</v>
      </c>
      <c r="I74">
        <v>3.2300000000000002E-2</v>
      </c>
      <c r="J74">
        <v>2.6100000000000002E-2</v>
      </c>
      <c r="K74">
        <v>2.41E-2</v>
      </c>
      <c r="L74">
        <v>1.95E-2</v>
      </c>
      <c r="M74">
        <v>6.1999999999999998E-3</v>
      </c>
      <c r="N74">
        <v>2.07E-2</v>
      </c>
      <c r="O74">
        <v>5.7000000000000002E-3</v>
      </c>
      <c r="P74">
        <v>1.2999999999999999E-3</v>
      </c>
      <c r="Q74">
        <v>3.5999999999999999E-3</v>
      </c>
      <c r="R74">
        <v>1.4E-3</v>
      </c>
      <c r="S74">
        <v>4.5999999999999999E-3</v>
      </c>
      <c r="T74">
        <v>4.0000000000000002E-4</v>
      </c>
      <c r="U74">
        <v>-1E-3</v>
      </c>
      <c r="V74">
        <v>-1.1999999999999999E-3</v>
      </c>
      <c r="W74">
        <v>-2.7000000000000001E-3</v>
      </c>
      <c r="X74">
        <v>-5.3E-3</v>
      </c>
      <c r="Y74">
        <v>-6.4999999999999997E-3</v>
      </c>
      <c r="Z74">
        <v>4.7000000000000002E-3</v>
      </c>
      <c r="AA74">
        <v>-8.0000000000000004E-4</v>
      </c>
      <c r="AB74">
        <v>-6.9999999999999999E-4</v>
      </c>
      <c r="AC74">
        <v>-3.0999999999999999E-3</v>
      </c>
      <c r="AD74">
        <v>7.0000000000000001E-3</v>
      </c>
      <c r="AE74">
        <v>1.4E-3</v>
      </c>
      <c r="AF74">
        <v>2.5999999999999999E-3</v>
      </c>
      <c r="AG74">
        <v>2.2000000000000001E-3</v>
      </c>
      <c r="AH74">
        <v>3.3999999999999998E-3</v>
      </c>
      <c r="AI74">
        <v>3.3E-3</v>
      </c>
      <c r="AJ74">
        <v>3.7000000000000002E-3</v>
      </c>
      <c r="AK74">
        <v>-5.0000000000000001E-4</v>
      </c>
      <c r="AL74">
        <v>1.5E-3</v>
      </c>
      <c r="AM74">
        <v>-8.0000000000000004E-4</v>
      </c>
      <c r="AN74">
        <v>7.4000000000000003E-3</v>
      </c>
      <c r="AO74">
        <v>4.1000000000000003E-3</v>
      </c>
      <c r="AP74">
        <v>1.03E-2</v>
      </c>
      <c r="AQ74">
        <v>2.0000000000000001E-4</v>
      </c>
      <c r="AR74">
        <v>6.9999999999999999E-4</v>
      </c>
      <c r="AS74">
        <v>-1E-4</v>
      </c>
      <c r="AT74">
        <v>1.01E-2</v>
      </c>
      <c r="AU74">
        <v>4.4000000000000003E-3</v>
      </c>
      <c r="AV74">
        <v>7.1000000000000004E-3</v>
      </c>
      <c r="AW74">
        <v>4.3E-3</v>
      </c>
      <c r="AX74">
        <v>6.4000000000000003E-3</v>
      </c>
      <c r="AY74">
        <v>6.0000000000000001E-3</v>
      </c>
      <c r="AZ74">
        <v>5.5999999999999999E-3</v>
      </c>
      <c r="BA74">
        <v>3.3999999999999998E-3</v>
      </c>
      <c r="BB74">
        <v>4.5999999999999999E-3</v>
      </c>
      <c r="BC74">
        <v>0</v>
      </c>
      <c r="BD74">
        <v>7.9000000000000008E-3</v>
      </c>
      <c r="BE74">
        <v>4.7999999999999996E-3</v>
      </c>
      <c r="BF74">
        <v>8.0000000000000002E-3</v>
      </c>
      <c r="BG74">
        <v>6.8999999999999999E-3</v>
      </c>
      <c r="BH74">
        <v>1.0800000000000001E-2</v>
      </c>
      <c r="BI74">
        <v>5.4999999999999997E-3</v>
      </c>
      <c r="BJ74">
        <v>7.6E-3</v>
      </c>
      <c r="BK74">
        <v>5.7000000000000002E-3</v>
      </c>
      <c r="BL74">
        <v>6.4999999999999997E-3</v>
      </c>
      <c r="BM74">
        <v>7.0000000000000001E-3</v>
      </c>
      <c r="BN74">
        <v>8.3000000000000001E-3</v>
      </c>
      <c r="BO74">
        <v>4.0000000000000002E-4</v>
      </c>
      <c r="BP74">
        <v>-5.4000000000000003E-3</v>
      </c>
      <c r="BQ74">
        <v>5.1000000000000004E-3</v>
      </c>
      <c r="BR74">
        <v>7.0000000000000001E-3</v>
      </c>
      <c r="BS74">
        <v>1.12E-2</v>
      </c>
      <c r="BT74">
        <v>9.1999999999999998E-3</v>
      </c>
      <c r="BU74">
        <v>1.1299999999999999E-2</v>
      </c>
      <c r="BV74">
        <v>1.2999999999999999E-2</v>
      </c>
      <c r="BW74">
        <v>1.23E-2</v>
      </c>
      <c r="BX74">
        <v>6.0000000000000001E-3</v>
      </c>
      <c r="BY74">
        <v>1.3899999999999999E-2</v>
      </c>
      <c r="BZ74">
        <v>2.8E-3</v>
      </c>
      <c r="CA74">
        <v>4.0000000000000002E-4</v>
      </c>
      <c r="CB74">
        <v>1.6400000000000001E-2</v>
      </c>
      <c r="CC74">
        <v>2.01E-2</v>
      </c>
      <c r="CD74">
        <v>6.4000000000000003E-3</v>
      </c>
      <c r="CE74">
        <v>1.8200000000000001E-2</v>
      </c>
      <c r="CF74">
        <v>1.15E-2</v>
      </c>
      <c r="CG74">
        <v>2.1000000000000001E-2</v>
      </c>
      <c r="CH74">
        <v>1.8599999999999998E-2</v>
      </c>
      <c r="CI74">
        <v>1.9300000000000001E-2</v>
      </c>
      <c r="CJ74">
        <v>9.7999999999999997E-3</v>
      </c>
      <c r="CK74">
        <v>2.5399999999999999E-2</v>
      </c>
      <c r="CL74">
        <v>2.1100000000000001E-2</v>
      </c>
      <c r="CM74">
        <v>2.5999999999999999E-2</v>
      </c>
      <c r="CN74">
        <v>1.9400000000000001E-2</v>
      </c>
      <c r="CO74">
        <v>3.0099999999999998E-2</v>
      </c>
      <c r="CP74">
        <v>2.9899999999999999E-2</v>
      </c>
      <c r="CQ74">
        <v>2.5399999999999999E-2</v>
      </c>
      <c r="CR74">
        <v>4.4699999999999997E-2</v>
      </c>
      <c r="CS74">
        <v>5.4199999999999998E-2</v>
      </c>
      <c r="CT74">
        <v>4.7E-2</v>
      </c>
      <c r="CU74">
        <v>6.0499999999999998E-2</v>
      </c>
      <c r="CV74">
        <v>5.2900000000000003E-2</v>
      </c>
    </row>
    <row r="75" spans="1:100" x14ac:dyDescent="0.2">
      <c r="A75" t="s">
        <v>5923</v>
      </c>
      <c r="B75">
        <v>-4.5400000000000003E-2</v>
      </c>
      <c r="C75">
        <v>-0.31709999999999999</v>
      </c>
      <c r="D75">
        <v>-0.2041</v>
      </c>
      <c r="E75">
        <v>-0.1371</v>
      </c>
      <c r="F75">
        <v>-8.9399999999999993E-2</v>
      </c>
      <c r="G75">
        <v>-5.7200000000000001E-2</v>
      </c>
      <c r="H75">
        <v>-5.0299999999999997E-2</v>
      </c>
      <c r="I75">
        <v>-7.0499999999999993E-2</v>
      </c>
      <c r="J75">
        <v>-5.9799999999999999E-2</v>
      </c>
      <c r="K75">
        <v>-5.2499999999999998E-2</v>
      </c>
      <c r="L75">
        <v>-3.4000000000000002E-2</v>
      </c>
      <c r="M75">
        <v>-2.46E-2</v>
      </c>
      <c r="N75">
        <v>-1.4200000000000001E-2</v>
      </c>
      <c r="O75">
        <v>-1.41E-2</v>
      </c>
      <c r="P75">
        <v>-8.3999999999999995E-3</v>
      </c>
      <c r="Q75">
        <v>-8.5000000000000006E-3</v>
      </c>
      <c r="R75">
        <v>-5.3E-3</v>
      </c>
      <c r="S75">
        <v>-7.0000000000000001E-3</v>
      </c>
      <c r="T75">
        <v>-3.5000000000000001E-3</v>
      </c>
      <c r="U75">
        <v>-4.0000000000000001E-3</v>
      </c>
      <c r="V75">
        <v>-8.5000000000000006E-3</v>
      </c>
      <c r="W75">
        <v>-6.7999999999999996E-3</v>
      </c>
      <c r="X75">
        <v>-7.4999999999999997E-3</v>
      </c>
      <c r="Y75">
        <v>-7.9000000000000008E-3</v>
      </c>
      <c r="Z75">
        <v>-6.4999999999999997E-3</v>
      </c>
      <c r="AA75">
        <v>-6.7000000000000002E-3</v>
      </c>
      <c r="AB75">
        <v>-5.3E-3</v>
      </c>
      <c r="AC75">
        <v>-5.7999999999999996E-3</v>
      </c>
      <c r="AD75">
        <v>-6.7000000000000002E-3</v>
      </c>
      <c r="AE75">
        <v>-6.6E-3</v>
      </c>
      <c r="AF75">
        <v>-4.1999999999999997E-3</v>
      </c>
      <c r="AG75">
        <v>-4.4999999999999997E-3</v>
      </c>
      <c r="AH75">
        <v>-1.15E-2</v>
      </c>
      <c r="AI75">
        <v>-2.35E-2</v>
      </c>
      <c r="AJ75">
        <v>-2.2599999999999999E-2</v>
      </c>
      <c r="AK75">
        <v>-2.3099999999999999E-2</v>
      </c>
      <c r="AL75">
        <v>-2.3699999999999999E-2</v>
      </c>
      <c r="AM75">
        <v>-2.18E-2</v>
      </c>
      <c r="AN75">
        <v>-3.0700000000000002E-2</v>
      </c>
      <c r="AO75">
        <v>-2.8799999999999999E-2</v>
      </c>
      <c r="AP75">
        <v>-2.5600000000000001E-2</v>
      </c>
      <c r="AQ75">
        <v>-2.5100000000000001E-2</v>
      </c>
      <c r="AR75">
        <v>-2.4899999999999999E-2</v>
      </c>
      <c r="AS75">
        <v>-2.4299999999999999E-2</v>
      </c>
      <c r="AT75">
        <v>-2.2200000000000001E-2</v>
      </c>
      <c r="AU75">
        <v>-2.23E-2</v>
      </c>
      <c r="AV75">
        <v>-2.3599999999999999E-2</v>
      </c>
      <c r="AW75">
        <v>-2.4400000000000002E-2</v>
      </c>
      <c r="AX75">
        <v>-2.2700000000000001E-2</v>
      </c>
      <c r="AY75">
        <v>-2.0199999999999999E-2</v>
      </c>
      <c r="AZ75">
        <v>-2.1499999999999998E-2</v>
      </c>
      <c r="BA75">
        <v>-2.0299999999999999E-2</v>
      </c>
      <c r="BB75">
        <v>-1.7600000000000001E-2</v>
      </c>
      <c r="BC75">
        <v>-2.0400000000000001E-2</v>
      </c>
      <c r="BD75">
        <v>-1.8800000000000001E-2</v>
      </c>
      <c r="BE75">
        <v>-1.72E-2</v>
      </c>
      <c r="BF75">
        <v>-1.54E-2</v>
      </c>
      <c r="BG75">
        <v>-5.4300000000000001E-2</v>
      </c>
      <c r="BH75">
        <v>-5.8999999999999997E-2</v>
      </c>
      <c r="BI75">
        <v>-5.91E-2</v>
      </c>
      <c r="BJ75">
        <v>-5.67E-2</v>
      </c>
      <c r="BK75">
        <v>-6.1199999999999997E-2</v>
      </c>
      <c r="BL75">
        <v>-6.4199999999999993E-2</v>
      </c>
      <c r="BM75">
        <v>-6.3600000000000004E-2</v>
      </c>
      <c r="BN75">
        <v>-6.0100000000000001E-2</v>
      </c>
      <c r="BO75">
        <v>-6.0299999999999999E-2</v>
      </c>
      <c r="BP75">
        <v>-5.9900000000000002E-2</v>
      </c>
      <c r="BQ75">
        <v>-5.67E-2</v>
      </c>
      <c r="BR75">
        <v>-5.9299999999999999E-2</v>
      </c>
      <c r="BS75">
        <v>-6.2700000000000006E-2</v>
      </c>
      <c r="BT75">
        <v>-7.0099999999999996E-2</v>
      </c>
      <c r="BU75">
        <v>-7.7200000000000005E-2</v>
      </c>
      <c r="BV75">
        <v>-7.9899999999999999E-2</v>
      </c>
      <c r="BW75">
        <v>-7.8299999999999995E-2</v>
      </c>
      <c r="BX75">
        <v>-7.3200000000000001E-2</v>
      </c>
      <c r="BY75">
        <v>-5.3600000000000002E-2</v>
      </c>
      <c r="BZ75">
        <v>-5.2600000000000001E-2</v>
      </c>
      <c r="CA75">
        <v>-5.1900000000000002E-2</v>
      </c>
      <c r="CB75">
        <v>-5.8500000000000003E-2</v>
      </c>
      <c r="CC75">
        <v>-6.5199999999999994E-2</v>
      </c>
      <c r="CD75">
        <v>-6.7500000000000004E-2</v>
      </c>
      <c r="CE75">
        <v>-6.7000000000000004E-2</v>
      </c>
      <c r="CF75">
        <v>-6.9400000000000003E-2</v>
      </c>
      <c r="CG75">
        <v>-7.3899999999999993E-2</v>
      </c>
      <c r="CH75">
        <v>-9.7799999999999998E-2</v>
      </c>
      <c r="CI75">
        <v>-8.9300000000000004E-2</v>
      </c>
      <c r="CJ75">
        <v>-8.3799999999999999E-2</v>
      </c>
      <c r="CK75">
        <v>-8.8200000000000001E-2</v>
      </c>
      <c r="CL75">
        <v>-0.1091</v>
      </c>
      <c r="CM75">
        <v>-0.1149</v>
      </c>
      <c r="CN75">
        <v>-0.108</v>
      </c>
      <c r="CO75">
        <v>-0.11260000000000001</v>
      </c>
      <c r="CP75">
        <v>-0.16289999999999999</v>
      </c>
      <c r="CQ75">
        <v>-9.6500000000000002E-2</v>
      </c>
      <c r="CR75">
        <v>-0.1381</v>
      </c>
      <c r="CS75">
        <v>-0.1459</v>
      </c>
      <c r="CT75">
        <v>-0.12970000000000001</v>
      </c>
      <c r="CU75">
        <v>-0.14180000000000001</v>
      </c>
      <c r="CV75">
        <v>-0.14130000000000001</v>
      </c>
    </row>
    <row r="76" spans="1:100" x14ac:dyDescent="0.2">
      <c r="A76" t="s">
        <v>5924</v>
      </c>
      <c r="B76">
        <v>2.0500000000000001E-2</v>
      </c>
      <c r="C76">
        <v>9.11E-2</v>
      </c>
      <c r="D76">
        <v>7.6600000000000001E-2</v>
      </c>
      <c r="E76">
        <v>8.4900000000000003E-2</v>
      </c>
      <c r="F76">
        <v>0.15390000000000001</v>
      </c>
      <c r="G76">
        <v>0.1406</v>
      </c>
      <c r="H76">
        <v>0.1318</v>
      </c>
      <c r="I76">
        <v>9.5100000000000004E-2</v>
      </c>
      <c r="J76">
        <v>8.6999999999999994E-2</v>
      </c>
      <c r="K76">
        <v>7.5499999999999998E-2</v>
      </c>
      <c r="L76">
        <v>8.7300000000000003E-2</v>
      </c>
      <c r="M76">
        <v>5.4800000000000001E-2</v>
      </c>
      <c r="N76">
        <v>6.2199999999999998E-2</v>
      </c>
      <c r="O76">
        <v>5.4600000000000003E-2</v>
      </c>
      <c r="P76">
        <v>5.3499999999999999E-2</v>
      </c>
      <c r="Q76">
        <v>4.7699999999999999E-2</v>
      </c>
      <c r="R76">
        <v>4.4499999999999998E-2</v>
      </c>
      <c r="S76">
        <v>4.0099999999999997E-2</v>
      </c>
      <c r="T76">
        <v>3.9600000000000003E-2</v>
      </c>
      <c r="U76">
        <v>3.7900000000000003E-2</v>
      </c>
      <c r="V76">
        <v>3.3500000000000002E-2</v>
      </c>
      <c r="W76">
        <v>3.2199999999999999E-2</v>
      </c>
      <c r="X76">
        <v>3.2099999999999997E-2</v>
      </c>
      <c r="Y76">
        <v>3.1600000000000003E-2</v>
      </c>
      <c r="Z76">
        <v>3.3000000000000002E-2</v>
      </c>
      <c r="AA76">
        <v>3.27E-2</v>
      </c>
      <c r="AB76">
        <v>3.4000000000000002E-2</v>
      </c>
      <c r="AC76">
        <v>3.4099999999999998E-2</v>
      </c>
      <c r="AD76">
        <v>3.3799999999999997E-2</v>
      </c>
      <c r="AE76">
        <v>3.4700000000000002E-2</v>
      </c>
      <c r="AF76">
        <v>3.8800000000000001E-2</v>
      </c>
      <c r="AG76">
        <v>0.04</v>
      </c>
      <c r="AH76">
        <v>3.6200000000000003E-2</v>
      </c>
      <c r="AI76">
        <v>2.6800000000000001E-2</v>
      </c>
      <c r="AJ76">
        <v>2.9499999999999998E-2</v>
      </c>
      <c r="AK76">
        <v>2.98E-2</v>
      </c>
      <c r="AL76">
        <v>2.9499999999999998E-2</v>
      </c>
      <c r="AM76">
        <v>3.1300000000000001E-2</v>
      </c>
      <c r="AN76">
        <v>2.46E-2</v>
      </c>
      <c r="AO76">
        <v>2.5499999999999998E-2</v>
      </c>
      <c r="AP76">
        <v>2.9899999999999999E-2</v>
      </c>
      <c r="AQ76">
        <v>3.0599999999999999E-2</v>
      </c>
      <c r="AR76">
        <v>3.1099999999999999E-2</v>
      </c>
      <c r="AS76">
        <v>3.1600000000000003E-2</v>
      </c>
      <c r="AT76">
        <v>3.4599999999999999E-2</v>
      </c>
      <c r="AU76">
        <v>3.5900000000000001E-2</v>
      </c>
      <c r="AV76">
        <v>3.6799999999999999E-2</v>
      </c>
      <c r="AW76">
        <v>3.7400000000000003E-2</v>
      </c>
      <c r="AX76">
        <v>4.07E-2</v>
      </c>
      <c r="AY76">
        <v>4.4999999999999998E-2</v>
      </c>
      <c r="AZ76">
        <v>4.4900000000000002E-2</v>
      </c>
      <c r="BA76">
        <v>4.58E-2</v>
      </c>
      <c r="BB76">
        <v>0.05</v>
      </c>
      <c r="BC76">
        <v>4.7800000000000002E-2</v>
      </c>
      <c r="BD76">
        <v>5.1999999999999998E-2</v>
      </c>
      <c r="BE76">
        <v>5.4399999999999997E-2</v>
      </c>
      <c r="BF76">
        <v>5.8200000000000002E-2</v>
      </c>
      <c r="BG76">
        <v>3.4000000000000002E-2</v>
      </c>
      <c r="BH76">
        <v>2.6700000000000002E-2</v>
      </c>
      <c r="BI76">
        <v>2.8799999999999999E-2</v>
      </c>
      <c r="BJ76">
        <v>3.2399999999999998E-2</v>
      </c>
      <c r="BK76">
        <v>1.8499999999999999E-2</v>
      </c>
      <c r="BL76">
        <v>1.55E-2</v>
      </c>
      <c r="BM76">
        <v>1.47E-2</v>
      </c>
      <c r="BN76">
        <v>1.83E-2</v>
      </c>
      <c r="BO76">
        <v>1.8499999999999999E-2</v>
      </c>
      <c r="BP76">
        <v>1.8800000000000001E-2</v>
      </c>
      <c r="BQ76">
        <v>2.5700000000000001E-2</v>
      </c>
      <c r="BR76">
        <v>2.47E-2</v>
      </c>
      <c r="BS76">
        <v>2.8500000000000001E-2</v>
      </c>
      <c r="BT76">
        <v>3.32E-2</v>
      </c>
      <c r="BU76">
        <v>3.61E-2</v>
      </c>
      <c r="BV76">
        <v>3.6200000000000003E-2</v>
      </c>
      <c r="BW76">
        <v>3.6600000000000001E-2</v>
      </c>
      <c r="BX76">
        <v>3.7400000000000003E-2</v>
      </c>
      <c r="BY76">
        <v>4.7500000000000001E-2</v>
      </c>
      <c r="BZ76">
        <v>5.2400000000000002E-2</v>
      </c>
      <c r="CA76">
        <v>5.5E-2</v>
      </c>
      <c r="CB76">
        <v>4.65E-2</v>
      </c>
      <c r="CC76">
        <v>5.5599999999999997E-2</v>
      </c>
      <c r="CD76">
        <v>6.2E-2</v>
      </c>
      <c r="CE76">
        <v>6.3E-2</v>
      </c>
      <c r="CF76">
        <v>7.0599999999999996E-2</v>
      </c>
      <c r="CG76">
        <v>7.9799999999999996E-2</v>
      </c>
      <c r="CH76">
        <v>6.7699999999999996E-2</v>
      </c>
      <c r="CI76">
        <v>7.3099999999999998E-2</v>
      </c>
      <c r="CJ76">
        <v>7.7299999999999994E-2</v>
      </c>
      <c r="CK76">
        <v>8.3699999999999997E-2</v>
      </c>
      <c r="CL76">
        <v>0.1089</v>
      </c>
      <c r="CM76">
        <v>0.12559999999999999</v>
      </c>
      <c r="CN76">
        <v>0.12130000000000001</v>
      </c>
      <c r="CO76">
        <v>0.1321</v>
      </c>
      <c r="CP76">
        <v>0.1986</v>
      </c>
      <c r="CQ76">
        <v>0.1331</v>
      </c>
      <c r="CR76">
        <v>-9.4000000000000004E-3</v>
      </c>
      <c r="CS76">
        <v>-1.2200000000000001E-2</v>
      </c>
      <c r="CT76">
        <v>-2.8999999999999998E-3</v>
      </c>
      <c r="CU76">
        <v>-1.12E-2</v>
      </c>
      <c r="CV76">
        <v>-1.06E-2</v>
      </c>
    </row>
    <row r="77" spans="1:100" x14ac:dyDescent="0.2">
      <c r="A77" t="s">
        <v>5925</v>
      </c>
      <c r="B77">
        <v>6.7400000000000002E-2</v>
      </c>
      <c r="C77">
        <v>-0.59099999999999997</v>
      </c>
      <c r="D77">
        <v>-1.2982</v>
      </c>
      <c r="E77">
        <v>-0.21590000000000001</v>
      </c>
      <c r="F77">
        <v>-1.7484</v>
      </c>
      <c r="G77">
        <v>-0.66259999999999997</v>
      </c>
      <c r="H77">
        <v>-1.1892</v>
      </c>
      <c r="I77">
        <v>-0.95820000000000005</v>
      </c>
      <c r="J77">
        <v>-0.71040000000000003</v>
      </c>
      <c r="K77">
        <v>-1.1405000000000001</v>
      </c>
      <c r="L77">
        <v>-1.1575</v>
      </c>
      <c r="M77">
        <v>-0.626</v>
      </c>
      <c r="N77">
        <v>-0.80200000000000005</v>
      </c>
      <c r="O77">
        <v>-0.68149999999999999</v>
      </c>
      <c r="P77">
        <v>-0.5373</v>
      </c>
      <c r="Q77">
        <v>-0.443</v>
      </c>
      <c r="R77">
        <v>-0.32169999999999999</v>
      </c>
      <c r="S77">
        <v>-0.2752</v>
      </c>
      <c r="T77">
        <v>-0.17249999999999999</v>
      </c>
      <c r="U77">
        <v>-0.16250000000000001</v>
      </c>
      <c r="V77">
        <v>-0.1782</v>
      </c>
      <c r="W77">
        <v>-0.1021</v>
      </c>
      <c r="X77">
        <v>-0.13400000000000001</v>
      </c>
      <c r="Y77">
        <v>-0.17849999999999999</v>
      </c>
      <c r="Z77">
        <v>-0.19020000000000001</v>
      </c>
      <c r="AA77">
        <v>-0.17549999999999999</v>
      </c>
      <c r="AB77">
        <v>-0.15240000000000001</v>
      </c>
      <c r="AC77">
        <v>-0.15609999999999999</v>
      </c>
      <c r="AD77">
        <v>-0.1507</v>
      </c>
      <c r="AE77">
        <v>-0.14269999999999999</v>
      </c>
      <c r="AF77">
        <v>-0.16650000000000001</v>
      </c>
      <c r="AG77">
        <v>-0.16919999999999999</v>
      </c>
      <c r="AH77">
        <v>-0.16850000000000001</v>
      </c>
      <c r="AI77">
        <v>-0.16159999999999999</v>
      </c>
      <c r="AJ77">
        <v>-0.1681</v>
      </c>
      <c r="AK77">
        <v>-0.16350000000000001</v>
      </c>
      <c r="AL77">
        <v>-0.16350000000000001</v>
      </c>
      <c r="AM77">
        <v>-0.17749999999999999</v>
      </c>
      <c r="AN77">
        <v>-0.2382</v>
      </c>
      <c r="AO77">
        <v>-0.26929999999999998</v>
      </c>
      <c r="AP77">
        <v>-0.27139999999999997</v>
      </c>
      <c r="AQ77">
        <v>-0.23719999999999999</v>
      </c>
      <c r="AR77">
        <v>-0.21890000000000001</v>
      </c>
      <c r="AS77">
        <v>-0.20749999999999999</v>
      </c>
      <c r="AT77">
        <v>-0.19900000000000001</v>
      </c>
      <c r="AU77">
        <v>-0.1681</v>
      </c>
      <c r="AV77">
        <v>-0.14929999999999999</v>
      </c>
      <c r="AW77">
        <v>-0.1234</v>
      </c>
      <c r="AX77">
        <v>-0.1268</v>
      </c>
      <c r="AY77">
        <v>-0.1037</v>
      </c>
      <c r="AZ77">
        <v>-0.1343</v>
      </c>
      <c r="BA77">
        <v>-0.1641</v>
      </c>
      <c r="BB77">
        <v>-0.18590000000000001</v>
      </c>
      <c r="BC77">
        <v>-0.186</v>
      </c>
      <c r="BD77">
        <v>-0.18779999999999999</v>
      </c>
      <c r="BE77">
        <v>-0.2324</v>
      </c>
      <c r="BF77">
        <v>-0.25090000000000001</v>
      </c>
      <c r="BG77">
        <v>-0.22439999999999999</v>
      </c>
      <c r="BH77">
        <v>-0.2235</v>
      </c>
      <c r="BI77">
        <v>-0.2208</v>
      </c>
      <c r="BJ77">
        <v>-0.1956</v>
      </c>
      <c r="BK77">
        <v>-0.1812</v>
      </c>
      <c r="BL77">
        <v>-0.1618</v>
      </c>
      <c r="BM77">
        <v>-0.1193</v>
      </c>
      <c r="BN77">
        <v>-6.6400000000000001E-2</v>
      </c>
      <c r="BO77">
        <v>-6.0400000000000002E-2</v>
      </c>
      <c r="BP77">
        <v>-7.22E-2</v>
      </c>
      <c r="BQ77">
        <v>-7.3999999999999996E-2</v>
      </c>
      <c r="BR77">
        <v>-4.9000000000000002E-2</v>
      </c>
      <c r="BS77">
        <v>-7.7100000000000002E-2</v>
      </c>
      <c r="BT77">
        <v>-0.2419</v>
      </c>
      <c r="BU77">
        <v>-0.29239999999999999</v>
      </c>
      <c r="BV77">
        <v>-0.26919999999999999</v>
      </c>
      <c r="BW77">
        <v>-0.2306</v>
      </c>
      <c r="BX77">
        <v>-0.2853</v>
      </c>
      <c r="BY77">
        <v>-0.32740000000000002</v>
      </c>
      <c r="BZ77">
        <v>-0.30009999999999998</v>
      </c>
      <c r="CA77">
        <v>-0.29380000000000001</v>
      </c>
      <c r="CB77">
        <v>-0.18609999999999999</v>
      </c>
      <c r="CC77">
        <v>4.7500000000000001E-2</v>
      </c>
      <c r="CD77">
        <v>0.1138</v>
      </c>
      <c r="CE77">
        <v>3.1300000000000001E-2</v>
      </c>
      <c r="CF77">
        <v>-0.1232</v>
      </c>
      <c r="CG77">
        <v>-0.27029999999999998</v>
      </c>
      <c r="CH77">
        <v>-0.26919999999999999</v>
      </c>
      <c r="CI77">
        <v>-0.1845</v>
      </c>
      <c r="CJ77">
        <v>-7.85E-2</v>
      </c>
      <c r="CK77">
        <v>-5.2400000000000002E-2</v>
      </c>
      <c r="CL77">
        <v>-5.4399999999999997E-2</v>
      </c>
      <c r="CM77">
        <v>-3.73E-2</v>
      </c>
      <c r="CN77">
        <v>-0.1353</v>
      </c>
      <c r="CO77">
        <v>-0.1477</v>
      </c>
      <c r="CP77">
        <v>-0.27560000000000001</v>
      </c>
      <c r="CQ77">
        <v>-0.36680000000000001</v>
      </c>
      <c r="CR77">
        <v>-9.6100000000000005E-2</v>
      </c>
      <c r="CS77">
        <v>-2.5000000000000001E-3</v>
      </c>
      <c r="CT77">
        <v>0.1012</v>
      </c>
      <c r="CU77">
        <v>-0.1643</v>
      </c>
      <c r="CV77">
        <v>-2.4400000000000002E-2</v>
      </c>
    </row>
    <row r="78" spans="1:100" x14ac:dyDescent="0.2">
      <c r="A78" t="s">
        <v>5926</v>
      </c>
      <c r="B78">
        <v>0.83709999999999996</v>
      </c>
      <c r="C78">
        <v>0.30719999999999997</v>
      </c>
      <c r="D78">
        <v>-0.55779999999999996</v>
      </c>
      <c r="E78">
        <v>0.29170000000000001</v>
      </c>
      <c r="F78">
        <v>-1.167</v>
      </c>
      <c r="G78">
        <v>-0.2069</v>
      </c>
      <c r="H78">
        <v>-0.75129999999999997</v>
      </c>
      <c r="I78">
        <v>-0.55320000000000003</v>
      </c>
      <c r="J78">
        <v>-0.35830000000000001</v>
      </c>
      <c r="K78">
        <v>-0.81420000000000003</v>
      </c>
      <c r="L78">
        <v>-0.86839999999999995</v>
      </c>
      <c r="M78">
        <v>-0.43780000000000002</v>
      </c>
      <c r="N78">
        <v>-0.62190000000000001</v>
      </c>
      <c r="O78">
        <v>-0.52200000000000002</v>
      </c>
      <c r="P78">
        <v>-0.39450000000000002</v>
      </c>
      <c r="Q78">
        <v>-0.31330000000000002</v>
      </c>
      <c r="R78">
        <v>-0.20910000000000001</v>
      </c>
      <c r="S78">
        <v>-0.16930000000000001</v>
      </c>
      <c r="T78">
        <v>-7.6399999999999996E-2</v>
      </c>
      <c r="U78">
        <v>-6.83E-2</v>
      </c>
      <c r="V78">
        <v>-8.6599999999999996E-2</v>
      </c>
      <c r="W78">
        <v>-1.8499999999999999E-2</v>
      </c>
      <c r="X78">
        <v>-5.0999999999999997E-2</v>
      </c>
      <c r="Y78">
        <v>-9.5799999999999996E-2</v>
      </c>
      <c r="Z78">
        <v>-0.1075</v>
      </c>
      <c r="AA78">
        <v>-9.35E-2</v>
      </c>
      <c r="AB78">
        <v>-7.0099999999999996E-2</v>
      </c>
      <c r="AC78">
        <v>-7.3099999999999998E-2</v>
      </c>
      <c r="AD78">
        <v>-6.6600000000000006E-2</v>
      </c>
      <c r="AE78">
        <v>-5.6899999999999999E-2</v>
      </c>
      <c r="AF78">
        <v>-7.7299999999999994E-2</v>
      </c>
      <c r="AG78">
        <v>-7.7399999999999997E-2</v>
      </c>
      <c r="AH78">
        <v>-7.2499999999999995E-2</v>
      </c>
      <c r="AI78">
        <v>-6.0900000000000003E-2</v>
      </c>
      <c r="AJ78">
        <v>-6.3100000000000003E-2</v>
      </c>
      <c r="AK78">
        <v>-5.7700000000000001E-2</v>
      </c>
      <c r="AL78">
        <v>-5.7000000000000002E-2</v>
      </c>
      <c r="AM78">
        <v>-7.1199999999999999E-2</v>
      </c>
      <c r="AN78">
        <v>-0.1318</v>
      </c>
      <c r="AO78">
        <v>-0.1641</v>
      </c>
      <c r="AP78">
        <v>-0.16619999999999999</v>
      </c>
      <c r="AQ78">
        <v>-0.13170000000000001</v>
      </c>
      <c r="AR78">
        <v>-0.1134</v>
      </c>
      <c r="AS78">
        <v>-0.10199999999999999</v>
      </c>
      <c r="AT78">
        <v>-9.3399999999999997E-2</v>
      </c>
      <c r="AU78">
        <v>-6.08E-2</v>
      </c>
      <c r="AV78">
        <v>-3.9600000000000003E-2</v>
      </c>
      <c r="AW78">
        <v>-1.21E-2</v>
      </c>
      <c r="AX78">
        <v>-1.3899999999999999E-2</v>
      </c>
      <c r="AY78">
        <v>1.0500000000000001E-2</v>
      </c>
      <c r="AZ78">
        <v>-1.83E-2</v>
      </c>
      <c r="BA78">
        <v>-4.8599999999999997E-2</v>
      </c>
      <c r="BB78">
        <v>-7.0000000000000007E-2</v>
      </c>
      <c r="BC78">
        <v>-6.9099999999999995E-2</v>
      </c>
      <c r="BD78">
        <v>-6.7400000000000002E-2</v>
      </c>
      <c r="BE78">
        <v>-0.1125</v>
      </c>
      <c r="BF78">
        <v>-0.12870000000000001</v>
      </c>
      <c r="BG78">
        <v>-9.0999999999999998E-2</v>
      </c>
      <c r="BH78">
        <v>-9.1999999999999998E-2</v>
      </c>
      <c r="BI78">
        <v>-8.5999999999999993E-2</v>
      </c>
      <c r="BJ78">
        <v>-0.06</v>
      </c>
      <c r="BK78">
        <v>-5.1900000000000002E-2</v>
      </c>
      <c r="BL78">
        <v>-3.3700000000000001E-2</v>
      </c>
      <c r="BM78">
        <v>5.4000000000000003E-3</v>
      </c>
      <c r="BN78">
        <v>5.6800000000000003E-2</v>
      </c>
      <c r="BO78">
        <v>6.3100000000000003E-2</v>
      </c>
      <c r="BP78">
        <v>4.8899999999999999E-2</v>
      </c>
      <c r="BQ78">
        <v>5.04E-2</v>
      </c>
      <c r="BR78">
        <v>7.6799999999999993E-2</v>
      </c>
      <c r="BS78">
        <v>5.91E-2</v>
      </c>
      <c r="BT78">
        <v>-8.6199999999999999E-2</v>
      </c>
      <c r="BU78">
        <v>-0.1232</v>
      </c>
      <c r="BV78">
        <v>-9.6799999999999997E-2</v>
      </c>
      <c r="BW78">
        <v>-6.2700000000000006E-2</v>
      </c>
      <c r="BX78">
        <v>-0.1241</v>
      </c>
      <c r="BY78">
        <v>-0.1736</v>
      </c>
      <c r="BZ78">
        <v>-0.14169999999999999</v>
      </c>
      <c r="CA78">
        <v>-0.1331</v>
      </c>
      <c r="CB78">
        <v>-2.63E-2</v>
      </c>
      <c r="CC78">
        <v>0.22589999999999999</v>
      </c>
      <c r="CD78">
        <v>0.30080000000000001</v>
      </c>
      <c r="CE78">
        <v>0.2172</v>
      </c>
      <c r="CF78">
        <v>7.0599999999999996E-2</v>
      </c>
      <c r="CG78">
        <v>-6.0600000000000001E-2</v>
      </c>
      <c r="CH78">
        <v>-4.3999999999999997E-2</v>
      </c>
      <c r="CI78">
        <v>3.1399999999999997E-2</v>
      </c>
      <c r="CJ78">
        <v>0.13139999999999999</v>
      </c>
      <c r="CK78">
        <v>0.16450000000000001</v>
      </c>
      <c r="CL78">
        <v>0.21740000000000001</v>
      </c>
      <c r="CM78">
        <v>0.25640000000000002</v>
      </c>
      <c r="CN78">
        <v>0.14019999999999999</v>
      </c>
      <c r="CO78">
        <v>0.1414</v>
      </c>
      <c r="CP78">
        <v>0.14460000000000001</v>
      </c>
      <c r="CQ78">
        <v>-5.0299999999999997E-2</v>
      </c>
      <c r="CR78">
        <v>0.1782</v>
      </c>
      <c r="CS78">
        <v>0.28179999999999999</v>
      </c>
      <c r="CT78">
        <v>0.3861</v>
      </c>
      <c r="CU78">
        <v>0.22170000000000001</v>
      </c>
      <c r="CV78">
        <v>0.31119999999999998</v>
      </c>
    </row>
  </sheetData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3886-53A4-F042-B7C7-75D95FF1646C}">
  <sheetPr codeName="Planilha14"/>
  <dimension ref="A1:KL78"/>
  <sheetViews>
    <sheetView topLeftCell="A23" workbookViewId="0">
      <selection activeCell="A35" sqref="A35:A78"/>
    </sheetView>
  </sheetViews>
  <sheetFormatPr baseColWidth="10" defaultRowHeight="16" x14ac:dyDescent="0.2"/>
  <sheetData>
    <row r="1" spans="1:298" x14ac:dyDescent="0.2">
      <c r="A1" t="str">
        <f>""</f>
        <v/>
      </c>
      <c r="B1" t="str">
        <f>"(1)"</f>
        <v>(1)</v>
      </c>
      <c r="C1" t="str">
        <f>""</f>
        <v/>
      </c>
      <c r="D1" t="str">
        <f>"(2)"</f>
        <v>(2)</v>
      </c>
      <c r="E1" t="str">
        <f>""</f>
        <v/>
      </c>
      <c r="F1" t="str">
        <f>"(3)"</f>
        <v>(3)</v>
      </c>
      <c r="G1" t="str">
        <f>""</f>
        <v/>
      </c>
      <c r="H1" t="str">
        <f>"(4)"</f>
        <v>(4)</v>
      </c>
      <c r="I1" t="str">
        <f>""</f>
        <v/>
      </c>
      <c r="J1" t="str">
        <f>"(5)"</f>
        <v>(5)</v>
      </c>
      <c r="K1" t="str">
        <f>""</f>
        <v/>
      </c>
      <c r="L1" t="str">
        <f>"(6)"</f>
        <v>(6)</v>
      </c>
      <c r="M1" t="str">
        <f>""</f>
        <v/>
      </c>
      <c r="N1" t="str">
        <f>"(7)"</f>
        <v>(7)</v>
      </c>
      <c r="O1" t="str">
        <f>""</f>
        <v/>
      </c>
      <c r="P1" t="str">
        <f>"(8)"</f>
        <v>(8)</v>
      </c>
      <c r="Q1" t="str">
        <f>""</f>
        <v/>
      </c>
      <c r="R1" t="str">
        <f>"(9)"</f>
        <v>(9)</v>
      </c>
      <c r="S1" t="str">
        <f>""</f>
        <v/>
      </c>
      <c r="T1" t="str">
        <f>"(10)"</f>
        <v>(10)</v>
      </c>
      <c r="U1" t="str">
        <f>""</f>
        <v/>
      </c>
      <c r="V1" t="str">
        <f>"(11)"</f>
        <v>(11)</v>
      </c>
      <c r="W1" t="str">
        <f>""</f>
        <v/>
      </c>
      <c r="X1" t="str">
        <f>"(12)"</f>
        <v>(12)</v>
      </c>
      <c r="Y1" t="str">
        <f>""</f>
        <v/>
      </c>
      <c r="Z1" t="str">
        <f>"(13)"</f>
        <v>(13)</v>
      </c>
      <c r="AA1" t="str">
        <f>""</f>
        <v/>
      </c>
      <c r="AB1" t="str">
        <f>"(14)"</f>
        <v>(14)</v>
      </c>
      <c r="AC1" t="str">
        <f>""</f>
        <v/>
      </c>
      <c r="AD1" t="str">
        <f>"(15)"</f>
        <v>(15)</v>
      </c>
      <c r="AE1" t="str">
        <f>""</f>
        <v/>
      </c>
      <c r="AF1" t="str">
        <f>"(16)"</f>
        <v>(16)</v>
      </c>
      <c r="AG1" t="str">
        <f>""</f>
        <v/>
      </c>
      <c r="AH1" t="str">
        <f>"(17)"</f>
        <v>(17)</v>
      </c>
      <c r="AI1" t="str">
        <f>""</f>
        <v/>
      </c>
      <c r="AJ1" t="str">
        <f>"(18)"</f>
        <v>(18)</v>
      </c>
      <c r="AK1" t="str">
        <f>""</f>
        <v/>
      </c>
      <c r="AL1" t="str">
        <f>"(19)"</f>
        <v>(19)</v>
      </c>
      <c r="AM1" t="str">
        <f>""</f>
        <v/>
      </c>
      <c r="AN1" t="str">
        <f>"(20)"</f>
        <v>(20)</v>
      </c>
      <c r="AO1" t="str">
        <f>""</f>
        <v/>
      </c>
      <c r="AP1" t="str">
        <f>"(21)"</f>
        <v>(21)</v>
      </c>
      <c r="AQ1" t="str">
        <f>""</f>
        <v/>
      </c>
      <c r="AR1" t="str">
        <f>"(22)"</f>
        <v>(22)</v>
      </c>
      <c r="AS1" t="str">
        <f>""</f>
        <v/>
      </c>
      <c r="AT1" t="str">
        <f>"(23)"</f>
        <v>(23)</v>
      </c>
      <c r="AU1" t="str">
        <f>""</f>
        <v/>
      </c>
      <c r="AV1" t="str">
        <f>"(24)"</f>
        <v>(24)</v>
      </c>
      <c r="AW1" t="str">
        <f>""</f>
        <v/>
      </c>
      <c r="AX1" t="str">
        <f>"(25)"</f>
        <v>(25)</v>
      </c>
      <c r="AY1" t="str">
        <f>""</f>
        <v/>
      </c>
      <c r="AZ1" t="str">
        <f>"(26)"</f>
        <v>(26)</v>
      </c>
      <c r="BA1" t="str">
        <f>""</f>
        <v/>
      </c>
      <c r="BB1" t="str">
        <f>"(27)"</f>
        <v>(27)</v>
      </c>
      <c r="BC1" t="str">
        <f>""</f>
        <v/>
      </c>
      <c r="BD1" t="str">
        <f>"(28)"</f>
        <v>(28)</v>
      </c>
      <c r="BE1" t="str">
        <f>""</f>
        <v/>
      </c>
      <c r="BF1" t="str">
        <f>"(29)"</f>
        <v>(29)</v>
      </c>
      <c r="BG1" t="str">
        <f>""</f>
        <v/>
      </c>
      <c r="BH1" t="str">
        <f>"(30)"</f>
        <v>(30)</v>
      </c>
      <c r="BI1" t="str">
        <f>""</f>
        <v/>
      </c>
      <c r="BJ1" t="str">
        <f>"(31)"</f>
        <v>(31)</v>
      </c>
      <c r="BK1" t="str">
        <f>""</f>
        <v/>
      </c>
      <c r="BL1" t="str">
        <f>"(32)"</f>
        <v>(32)</v>
      </c>
      <c r="BM1" t="str">
        <f>""</f>
        <v/>
      </c>
      <c r="BN1" t="str">
        <f>"(33)"</f>
        <v>(33)</v>
      </c>
      <c r="BO1" t="str">
        <f>""</f>
        <v/>
      </c>
      <c r="BP1" t="str">
        <f>"(34)"</f>
        <v>(34)</v>
      </c>
      <c r="BQ1" t="str">
        <f>""</f>
        <v/>
      </c>
      <c r="BR1" t="str">
        <f>"(35)"</f>
        <v>(35)</v>
      </c>
      <c r="BS1" t="str">
        <f>""</f>
        <v/>
      </c>
      <c r="BT1" t="str">
        <f>"(36)"</f>
        <v>(36)</v>
      </c>
      <c r="BU1" t="str">
        <f>""</f>
        <v/>
      </c>
      <c r="BV1" t="str">
        <f>"(37)"</f>
        <v>(37)</v>
      </c>
      <c r="BW1" t="str">
        <f>""</f>
        <v/>
      </c>
      <c r="BX1" t="str">
        <f>"(38)"</f>
        <v>(38)</v>
      </c>
      <c r="BY1" t="str">
        <f>""</f>
        <v/>
      </c>
      <c r="BZ1" t="str">
        <f>"(39)"</f>
        <v>(39)</v>
      </c>
      <c r="CA1" t="str">
        <f>""</f>
        <v/>
      </c>
      <c r="CB1" t="str">
        <f>"(40)"</f>
        <v>(40)</v>
      </c>
      <c r="CC1" t="str">
        <f>""</f>
        <v/>
      </c>
      <c r="CD1" t="str">
        <f>"(41)"</f>
        <v>(41)</v>
      </c>
      <c r="CE1" t="str">
        <f>""</f>
        <v/>
      </c>
      <c r="CF1" t="str">
        <f>"(42)"</f>
        <v>(42)</v>
      </c>
      <c r="CG1" t="str">
        <f>""</f>
        <v/>
      </c>
      <c r="CH1" t="str">
        <f>"(43)"</f>
        <v>(43)</v>
      </c>
      <c r="CI1" t="str">
        <f>""</f>
        <v/>
      </c>
      <c r="CJ1" t="str">
        <f>"(44)"</f>
        <v>(44)</v>
      </c>
      <c r="CK1" t="str">
        <f>""</f>
        <v/>
      </c>
      <c r="CL1" t="str">
        <f>"(45)"</f>
        <v>(45)</v>
      </c>
      <c r="CM1" t="str">
        <f>""</f>
        <v/>
      </c>
      <c r="CN1" t="str">
        <f>"(46)"</f>
        <v>(46)</v>
      </c>
      <c r="CO1" t="str">
        <f>""</f>
        <v/>
      </c>
      <c r="CP1" t="str">
        <f>"(47)"</f>
        <v>(47)</v>
      </c>
      <c r="CQ1" t="str">
        <f>""</f>
        <v/>
      </c>
      <c r="CR1" t="str">
        <f>"(48)"</f>
        <v>(48)</v>
      </c>
      <c r="CS1" t="str">
        <f>""</f>
        <v/>
      </c>
      <c r="CT1" t="str">
        <f>"(49)"</f>
        <v>(49)</v>
      </c>
      <c r="CU1" t="str">
        <f>""</f>
        <v/>
      </c>
      <c r="CV1" t="str">
        <f>"(50)"</f>
        <v>(50)</v>
      </c>
      <c r="CW1" t="str">
        <f>""</f>
        <v/>
      </c>
      <c r="CX1" t="str">
        <f>"(51)"</f>
        <v>(51)</v>
      </c>
      <c r="CY1" t="str">
        <f>""</f>
        <v/>
      </c>
      <c r="CZ1" t="str">
        <f>"(52)"</f>
        <v>(52)</v>
      </c>
      <c r="DA1" t="str">
        <f>""</f>
        <v/>
      </c>
      <c r="DB1" t="str">
        <f>"(53)"</f>
        <v>(53)</v>
      </c>
      <c r="DC1" t="str">
        <f>""</f>
        <v/>
      </c>
      <c r="DD1" t="str">
        <f>"(54)"</f>
        <v>(54)</v>
      </c>
      <c r="DE1" t="str">
        <f>""</f>
        <v/>
      </c>
      <c r="DF1" t="str">
        <f>"(55)"</f>
        <v>(55)</v>
      </c>
      <c r="DG1" t="str">
        <f>""</f>
        <v/>
      </c>
      <c r="DH1" t="str">
        <f>"(56)"</f>
        <v>(56)</v>
      </c>
      <c r="DI1" t="str">
        <f>""</f>
        <v/>
      </c>
      <c r="DJ1" t="str">
        <f>"(57)"</f>
        <v>(57)</v>
      </c>
      <c r="DK1" t="str">
        <f>""</f>
        <v/>
      </c>
      <c r="DL1" t="str">
        <f>"(58)"</f>
        <v>(58)</v>
      </c>
      <c r="DM1" t="str">
        <f>""</f>
        <v/>
      </c>
      <c r="DN1" t="str">
        <f>"(59)"</f>
        <v>(59)</v>
      </c>
      <c r="DO1" t="str">
        <f>""</f>
        <v/>
      </c>
      <c r="DP1" t="str">
        <f>"(60)"</f>
        <v>(60)</v>
      </c>
      <c r="DQ1" t="str">
        <f>""</f>
        <v/>
      </c>
      <c r="DR1" t="str">
        <f>"(61)"</f>
        <v>(61)</v>
      </c>
      <c r="DS1" t="str">
        <f>""</f>
        <v/>
      </c>
      <c r="DT1" t="str">
        <f>"(62)"</f>
        <v>(62)</v>
      </c>
      <c r="DU1" t="str">
        <f>""</f>
        <v/>
      </c>
      <c r="DV1" t="str">
        <f>"(63)"</f>
        <v>(63)</v>
      </c>
      <c r="DW1" t="str">
        <f>""</f>
        <v/>
      </c>
      <c r="DX1" t="str">
        <f>"(64)"</f>
        <v>(64)</v>
      </c>
      <c r="DY1" t="str">
        <f>""</f>
        <v/>
      </c>
      <c r="DZ1" t="str">
        <f>"(65)"</f>
        <v>(65)</v>
      </c>
      <c r="EA1" t="str">
        <f>""</f>
        <v/>
      </c>
      <c r="EB1" t="str">
        <f>"(66)"</f>
        <v>(66)</v>
      </c>
      <c r="EC1" t="str">
        <f>""</f>
        <v/>
      </c>
      <c r="ED1" t="str">
        <f>"(67)"</f>
        <v>(67)</v>
      </c>
      <c r="EE1" t="str">
        <f>""</f>
        <v/>
      </c>
      <c r="EF1" t="str">
        <f>"(68)"</f>
        <v>(68)</v>
      </c>
      <c r="EG1" t="str">
        <f>""</f>
        <v/>
      </c>
      <c r="EH1" t="str">
        <f>"(69)"</f>
        <v>(69)</v>
      </c>
      <c r="EI1" t="str">
        <f>""</f>
        <v/>
      </c>
      <c r="EJ1" t="str">
        <f>"(70)"</f>
        <v>(70)</v>
      </c>
      <c r="EK1" t="str">
        <f>""</f>
        <v/>
      </c>
      <c r="EL1" t="str">
        <f>"(71)"</f>
        <v>(71)</v>
      </c>
      <c r="EM1" t="str">
        <f>""</f>
        <v/>
      </c>
      <c r="EN1" t="str">
        <f>"(72)"</f>
        <v>(72)</v>
      </c>
      <c r="EO1" t="str">
        <f>""</f>
        <v/>
      </c>
      <c r="EP1" t="str">
        <f>"(73)"</f>
        <v>(73)</v>
      </c>
      <c r="EQ1" t="str">
        <f>""</f>
        <v/>
      </c>
      <c r="ER1" t="str">
        <f>"(74)"</f>
        <v>(74)</v>
      </c>
      <c r="ES1" t="str">
        <f>""</f>
        <v/>
      </c>
      <c r="ET1" t="str">
        <f>"(75)"</f>
        <v>(75)</v>
      </c>
      <c r="EU1" t="str">
        <f>""</f>
        <v/>
      </c>
      <c r="EV1" t="str">
        <f>"(76)"</f>
        <v>(76)</v>
      </c>
      <c r="EW1" t="str">
        <f>""</f>
        <v/>
      </c>
      <c r="EX1" t="str">
        <f>"(77)"</f>
        <v>(77)</v>
      </c>
      <c r="EY1" t="str">
        <f>""</f>
        <v/>
      </c>
      <c r="EZ1" t="str">
        <f>"(78)"</f>
        <v>(78)</v>
      </c>
      <c r="FA1" t="str">
        <f>""</f>
        <v/>
      </c>
      <c r="FB1" t="str">
        <f>"(79)"</f>
        <v>(79)</v>
      </c>
      <c r="FC1" t="str">
        <f>""</f>
        <v/>
      </c>
      <c r="FD1" t="str">
        <f>"(80)"</f>
        <v>(80)</v>
      </c>
      <c r="FE1" t="str">
        <f>""</f>
        <v/>
      </c>
      <c r="FF1" t="str">
        <f>"(81)"</f>
        <v>(81)</v>
      </c>
      <c r="FG1" t="str">
        <f>""</f>
        <v/>
      </c>
      <c r="FH1" t="str">
        <f>"(82)"</f>
        <v>(82)</v>
      </c>
      <c r="FI1" t="str">
        <f>""</f>
        <v/>
      </c>
      <c r="FJ1" t="str">
        <f>"(83)"</f>
        <v>(83)</v>
      </c>
      <c r="FK1" t="str">
        <f>""</f>
        <v/>
      </c>
      <c r="FL1" t="str">
        <f>"(84)"</f>
        <v>(84)</v>
      </c>
      <c r="FM1" t="str">
        <f>""</f>
        <v/>
      </c>
      <c r="FN1" t="str">
        <f>"(85)"</f>
        <v>(85)</v>
      </c>
      <c r="FO1" t="str">
        <f>""</f>
        <v/>
      </c>
      <c r="FP1" t="str">
        <f>"(86)"</f>
        <v>(86)</v>
      </c>
      <c r="FQ1" t="str">
        <f>""</f>
        <v/>
      </c>
      <c r="FR1" t="str">
        <f>"(87)"</f>
        <v>(87)</v>
      </c>
      <c r="FS1" t="str">
        <f>""</f>
        <v/>
      </c>
      <c r="FT1" t="str">
        <f>"(88)"</f>
        <v>(88)</v>
      </c>
      <c r="FU1" t="str">
        <f>""</f>
        <v/>
      </c>
      <c r="FV1" t="str">
        <f>"(89)"</f>
        <v>(89)</v>
      </c>
      <c r="FW1" t="str">
        <f>""</f>
        <v/>
      </c>
      <c r="FX1" t="str">
        <f>"(90)"</f>
        <v>(90)</v>
      </c>
      <c r="FY1" t="str">
        <f>""</f>
        <v/>
      </c>
      <c r="FZ1" t="str">
        <f>"(91)"</f>
        <v>(91)</v>
      </c>
      <c r="GA1" t="str">
        <f>""</f>
        <v/>
      </c>
      <c r="GB1" t="str">
        <f>"(92)"</f>
        <v>(92)</v>
      </c>
      <c r="GC1" t="str">
        <f>""</f>
        <v/>
      </c>
      <c r="GD1" t="str">
        <f>"(93)"</f>
        <v>(93)</v>
      </c>
      <c r="GE1" t="str">
        <f>""</f>
        <v/>
      </c>
      <c r="GF1" t="str">
        <f>"(94)"</f>
        <v>(94)</v>
      </c>
      <c r="GG1" t="str">
        <f>""</f>
        <v/>
      </c>
      <c r="GH1" t="str">
        <f>"(95)"</f>
        <v>(95)</v>
      </c>
      <c r="GI1" t="str">
        <f>""</f>
        <v/>
      </c>
      <c r="GJ1" t="str">
        <f>"(96)"</f>
        <v>(96)</v>
      </c>
      <c r="GK1" t="str">
        <f>""</f>
        <v/>
      </c>
      <c r="GL1" t="str">
        <f>"(97)"</f>
        <v>(97)</v>
      </c>
      <c r="GM1" t="str">
        <f>""</f>
        <v/>
      </c>
      <c r="GN1" t="str">
        <f>"(98)"</f>
        <v>(98)</v>
      </c>
      <c r="GO1" t="str">
        <f>""</f>
        <v/>
      </c>
      <c r="GP1" t="str">
        <f>"(99)"</f>
        <v>(99)</v>
      </c>
      <c r="GQ1" t="str">
        <f>""</f>
        <v/>
      </c>
    </row>
    <row r="2" spans="1:298" x14ac:dyDescent="0.2">
      <c r="A2" t="str">
        <f>""</f>
        <v/>
      </c>
      <c r="B2" t="str">
        <f>"lsalh"</f>
        <v>lsalh</v>
      </c>
      <c r="C2" t="str">
        <f>""</f>
        <v/>
      </c>
      <c r="D2" t="str">
        <f>"lsalh"</f>
        <v>lsalh</v>
      </c>
      <c r="E2" t="str">
        <f>""</f>
        <v/>
      </c>
      <c r="F2" t="str">
        <f>"lsalh"</f>
        <v>lsalh</v>
      </c>
      <c r="G2" t="str">
        <f>""</f>
        <v/>
      </c>
      <c r="H2" t="str">
        <f>"lsalh"</f>
        <v>lsalh</v>
      </c>
      <c r="I2" t="str">
        <f>""</f>
        <v/>
      </c>
      <c r="J2" t="str">
        <f>"lsalh"</f>
        <v>lsalh</v>
      </c>
      <c r="K2" t="str">
        <f>""</f>
        <v/>
      </c>
      <c r="L2" t="str">
        <f>"lsalh"</f>
        <v>lsalh</v>
      </c>
      <c r="M2" t="str">
        <f>""</f>
        <v/>
      </c>
      <c r="N2" t="str">
        <f>"lsalh"</f>
        <v>lsalh</v>
      </c>
      <c r="O2" t="str">
        <f>""</f>
        <v/>
      </c>
      <c r="P2" t="str">
        <f>"lsalh"</f>
        <v>lsalh</v>
      </c>
      <c r="Q2" t="str">
        <f>""</f>
        <v/>
      </c>
      <c r="R2" t="str">
        <f>"lsalh"</f>
        <v>lsalh</v>
      </c>
      <c r="S2" t="str">
        <f>""</f>
        <v/>
      </c>
      <c r="T2" t="str">
        <f>"lsalh"</f>
        <v>lsalh</v>
      </c>
      <c r="U2" t="str">
        <f>""</f>
        <v/>
      </c>
      <c r="V2" t="str">
        <f>"lsalh"</f>
        <v>lsalh</v>
      </c>
      <c r="W2" t="str">
        <f>""</f>
        <v/>
      </c>
      <c r="X2" t="str">
        <f>"lsalh"</f>
        <v>lsalh</v>
      </c>
      <c r="Y2" t="str">
        <f>""</f>
        <v/>
      </c>
      <c r="Z2" t="str">
        <f>"lsalh"</f>
        <v>lsalh</v>
      </c>
      <c r="AA2" t="str">
        <f>""</f>
        <v/>
      </c>
      <c r="AB2" t="str">
        <f>"lsalh"</f>
        <v>lsalh</v>
      </c>
      <c r="AC2" t="str">
        <f>""</f>
        <v/>
      </c>
      <c r="AD2" t="str">
        <f>"lsalh"</f>
        <v>lsalh</v>
      </c>
      <c r="AE2" t="str">
        <f>""</f>
        <v/>
      </c>
      <c r="AF2" t="str">
        <f>"lsalh"</f>
        <v>lsalh</v>
      </c>
      <c r="AG2" t="str">
        <f>""</f>
        <v/>
      </c>
      <c r="AH2" t="str">
        <f>"lsalh"</f>
        <v>lsalh</v>
      </c>
      <c r="AI2" t="str">
        <f>""</f>
        <v/>
      </c>
      <c r="AJ2" t="str">
        <f>"lsalh"</f>
        <v>lsalh</v>
      </c>
      <c r="AK2" t="str">
        <f>""</f>
        <v/>
      </c>
      <c r="AL2" t="str">
        <f>"lsalh"</f>
        <v>lsalh</v>
      </c>
      <c r="AM2" t="str">
        <f>""</f>
        <v/>
      </c>
      <c r="AN2" t="str">
        <f>"lsalh"</f>
        <v>lsalh</v>
      </c>
      <c r="AO2" t="str">
        <f>""</f>
        <v/>
      </c>
      <c r="AP2" t="str">
        <f>"lsalh"</f>
        <v>lsalh</v>
      </c>
      <c r="AQ2" t="str">
        <f>""</f>
        <v/>
      </c>
      <c r="AR2" t="str">
        <f>"lsalh"</f>
        <v>lsalh</v>
      </c>
      <c r="AS2" t="str">
        <f>""</f>
        <v/>
      </c>
      <c r="AT2" t="str">
        <f>"lsalh"</f>
        <v>lsalh</v>
      </c>
      <c r="AU2" t="str">
        <f>""</f>
        <v/>
      </c>
      <c r="AV2" t="str">
        <f>"lsalh"</f>
        <v>lsalh</v>
      </c>
      <c r="AW2" t="str">
        <f>""</f>
        <v/>
      </c>
      <c r="AX2" t="str">
        <f>"lsalh"</f>
        <v>lsalh</v>
      </c>
      <c r="AY2" t="str">
        <f>""</f>
        <v/>
      </c>
      <c r="AZ2" t="str">
        <f>"lsalh"</f>
        <v>lsalh</v>
      </c>
      <c r="BA2" t="str">
        <f>""</f>
        <v/>
      </c>
      <c r="BB2" t="str">
        <f>"lsalh"</f>
        <v>lsalh</v>
      </c>
      <c r="BC2" t="str">
        <f>""</f>
        <v/>
      </c>
      <c r="BD2" t="str">
        <f>"lsalh"</f>
        <v>lsalh</v>
      </c>
      <c r="BE2" t="str">
        <f>""</f>
        <v/>
      </c>
      <c r="BF2" t="str">
        <f>"lsalh"</f>
        <v>lsalh</v>
      </c>
      <c r="BG2" t="str">
        <f>""</f>
        <v/>
      </c>
      <c r="BH2" t="str">
        <f>"lsalh"</f>
        <v>lsalh</v>
      </c>
      <c r="BI2" t="str">
        <f>""</f>
        <v/>
      </c>
      <c r="BJ2" t="str">
        <f>"lsalh"</f>
        <v>lsalh</v>
      </c>
      <c r="BK2" t="str">
        <f>""</f>
        <v/>
      </c>
      <c r="BL2" t="str">
        <f>"lsalh"</f>
        <v>lsalh</v>
      </c>
      <c r="BM2" t="str">
        <f>""</f>
        <v/>
      </c>
      <c r="BN2" t="str">
        <f>"lsalh"</f>
        <v>lsalh</v>
      </c>
      <c r="BO2" t="str">
        <f>""</f>
        <v/>
      </c>
      <c r="BP2" t="str">
        <f>"lsalh"</f>
        <v>lsalh</v>
      </c>
      <c r="BQ2" t="str">
        <f>""</f>
        <v/>
      </c>
      <c r="BR2" t="str">
        <f>"lsalh"</f>
        <v>lsalh</v>
      </c>
      <c r="BS2" t="str">
        <f>""</f>
        <v/>
      </c>
      <c r="BT2" t="str">
        <f>"lsalh"</f>
        <v>lsalh</v>
      </c>
      <c r="BU2" t="str">
        <f>""</f>
        <v/>
      </c>
      <c r="BV2" t="str">
        <f>"lsalh"</f>
        <v>lsalh</v>
      </c>
      <c r="BW2" t="str">
        <f>""</f>
        <v/>
      </c>
      <c r="BX2" t="str">
        <f>"lsalh"</f>
        <v>lsalh</v>
      </c>
      <c r="BY2" t="str">
        <f>""</f>
        <v/>
      </c>
      <c r="BZ2" t="str">
        <f>"lsalh"</f>
        <v>lsalh</v>
      </c>
      <c r="CA2" t="str">
        <f>""</f>
        <v/>
      </c>
      <c r="CB2" t="str">
        <f>"lsalh"</f>
        <v>lsalh</v>
      </c>
      <c r="CC2" t="str">
        <f>""</f>
        <v/>
      </c>
      <c r="CD2" t="str">
        <f>"lsalh"</f>
        <v>lsalh</v>
      </c>
      <c r="CE2" t="str">
        <f>""</f>
        <v/>
      </c>
      <c r="CF2" t="str">
        <f>"lsalh"</f>
        <v>lsalh</v>
      </c>
      <c r="CG2" t="str">
        <f>""</f>
        <v/>
      </c>
      <c r="CH2" t="str">
        <f>"lsalh"</f>
        <v>lsalh</v>
      </c>
      <c r="CI2" t="str">
        <f>""</f>
        <v/>
      </c>
      <c r="CJ2" t="str">
        <f>"lsalh"</f>
        <v>lsalh</v>
      </c>
      <c r="CK2" t="str">
        <f>""</f>
        <v/>
      </c>
      <c r="CL2" t="str">
        <f>"lsalh"</f>
        <v>lsalh</v>
      </c>
      <c r="CM2" t="str">
        <f>""</f>
        <v/>
      </c>
      <c r="CN2" t="str">
        <f>"lsalh"</f>
        <v>lsalh</v>
      </c>
      <c r="CO2" t="str">
        <f>""</f>
        <v/>
      </c>
      <c r="CP2" t="str">
        <f>"lsalh"</f>
        <v>lsalh</v>
      </c>
      <c r="CQ2" t="str">
        <f>""</f>
        <v/>
      </c>
      <c r="CR2" t="str">
        <f>"lsalh"</f>
        <v>lsalh</v>
      </c>
      <c r="CS2" t="str">
        <f>""</f>
        <v/>
      </c>
      <c r="CT2" t="str">
        <f>"lsalh"</f>
        <v>lsalh</v>
      </c>
      <c r="CU2" t="str">
        <f>""</f>
        <v/>
      </c>
      <c r="CV2" t="str">
        <f>"lsalh"</f>
        <v>lsalh</v>
      </c>
      <c r="CW2" t="str">
        <f>""</f>
        <v/>
      </c>
      <c r="CX2" t="str">
        <f>"lsalh"</f>
        <v>lsalh</v>
      </c>
      <c r="CY2" t="str">
        <f>""</f>
        <v/>
      </c>
      <c r="CZ2" t="str">
        <f>"lsalh"</f>
        <v>lsalh</v>
      </c>
      <c r="DA2" t="str">
        <f>""</f>
        <v/>
      </c>
      <c r="DB2" t="str">
        <f>"lsalh"</f>
        <v>lsalh</v>
      </c>
      <c r="DC2" t="str">
        <f>""</f>
        <v/>
      </c>
      <c r="DD2" t="str">
        <f>"lsalh"</f>
        <v>lsalh</v>
      </c>
      <c r="DE2" t="str">
        <f>""</f>
        <v/>
      </c>
      <c r="DF2" t="str">
        <f>"lsalh"</f>
        <v>lsalh</v>
      </c>
      <c r="DG2" t="str">
        <f>""</f>
        <v/>
      </c>
      <c r="DH2" t="str">
        <f>"lsalh"</f>
        <v>lsalh</v>
      </c>
      <c r="DI2" t="str">
        <f>""</f>
        <v/>
      </c>
      <c r="DJ2" t="str">
        <f>"lsalh"</f>
        <v>lsalh</v>
      </c>
      <c r="DK2" t="str">
        <f>""</f>
        <v/>
      </c>
      <c r="DL2" t="str">
        <f>"lsalh"</f>
        <v>lsalh</v>
      </c>
      <c r="DM2" t="str">
        <f>""</f>
        <v/>
      </c>
      <c r="DN2" t="str">
        <f>"lsalh"</f>
        <v>lsalh</v>
      </c>
      <c r="DO2" t="str">
        <f>""</f>
        <v/>
      </c>
      <c r="DP2" t="str">
        <f>"lsalh"</f>
        <v>lsalh</v>
      </c>
      <c r="DQ2" t="str">
        <f>""</f>
        <v/>
      </c>
      <c r="DR2" t="str">
        <f>"lsalh"</f>
        <v>lsalh</v>
      </c>
      <c r="DS2" t="str">
        <f>""</f>
        <v/>
      </c>
      <c r="DT2" t="str">
        <f>"lsalh"</f>
        <v>lsalh</v>
      </c>
      <c r="DU2" t="str">
        <f>""</f>
        <v/>
      </c>
      <c r="DV2" t="str">
        <f>"lsalh"</f>
        <v>lsalh</v>
      </c>
      <c r="DW2" t="str">
        <f>""</f>
        <v/>
      </c>
      <c r="DX2" t="str">
        <f>"lsalh"</f>
        <v>lsalh</v>
      </c>
      <c r="DY2" t="str">
        <f>""</f>
        <v/>
      </c>
      <c r="DZ2" t="str">
        <f>"lsalh"</f>
        <v>lsalh</v>
      </c>
      <c r="EA2" t="str">
        <f>""</f>
        <v/>
      </c>
      <c r="EB2" t="str">
        <f>"lsalh"</f>
        <v>lsalh</v>
      </c>
      <c r="EC2" t="str">
        <f>""</f>
        <v/>
      </c>
      <c r="ED2" t="str">
        <f>"lsalh"</f>
        <v>lsalh</v>
      </c>
      <c r="EE2" t="str">
        <f>""</f>
        <v/>
      </c>
      <c r="EF2" t="str">
        <f>"lsalh"</f>
        <v>lsalh</v>
      </c>
      <c r="EG2" t="str">
        <f>""</f>
        <v/>
      </c>
      <c r="EH2" t="str">
        <f>"lsalh"</f>
        <v>lsalh</v>
      </c>
      <c r="EI2" t="str">
        <f>""</f>
        <v/>
      </c>
      <c r="EJ2" t="str">
        <f>"lsalh"</f>
        <v>lsalh</v>
      </c>
      <c r="EK2" t="str">
        <f>""</f>
        <v/>
      </c>
      <c r="EL2" t="str">
        <f>"lsalh"</f>
        <v>lsalh</v>
      </c>
      <c r="EM2" t="str">
        <f>""</f>
        <v/>
      </c>
      <c r="EN2" t="str">
        <f>"lsalh"</f>
        <v>lsalh</v>
      </c>
      <c r="EO2" t="str">
        <f>""</f>
        <v/>
      </c>
      <c r="EP2" t="str">
        <f>"lsalh"</f>
        <v>lsalh</v>
      </c>
      <c r="EQ2" t="str">
        <f>""</f>
        <v/>
      </c>
      <c r="ER2" t="str">
        <f>"lsalh"</f>
        <v>lsalh</v>
      </c>
      <c r="ES2" t="str">
        <f>""</f>
        <v/>
      </c>
      <c r="ET2" t="str">
        <f>"lsalh"</f>
        <v>lsalh</v>
      </c>
      <c r="EU2" t="str">
        <f>""</f>
        <v/>
      </c>
      <c r="EV2" t="str">
        <f>"lsalh"</f>
        <v>lsalh</v>
      </c>
      <c r="EW2" t="str">
        <f>""</f>
        <v/>
      </c>
      <c r="EX2" t="str">
        <f>"lsalh"</f>
        <v>lsalh</v>
      </c>
      <c r="EY2" t="str">
        <f>""</f>
        <v/>
      </c>
      <c r="EZ2" t="str">
        <f>"lsalh"</f>
        <v>lsalh</v>
      </c>
      <c r="FA2" t="str">
        <f>""</f>
        <v/>
      </c>
      <c r="FB2" t="str">
        <f>"lsalh"</f>
        <v>lsalh</v>
      </c>
      <c r="FC2" t="str">
        <f>""</f>
        <v/>
      </c>
      <c r="FD2" t="str">
        <f>"lsalh"</f>
        <v>lsalh</v>
      </c>
      <c r="FE2" t="str">
        <f>""</f>
        <v/>
      </c>
      <c r="FF2" t="str">
        <f>"lsalh"</f>
        <v>lsalh</v>
      </c>
      <c r="FG2" t="str">
        <f>""</f>
        <v/>
      </c>
      <c r="FH2" t="str">
        <f>"lsalh"</f>
        <v>lsalh</v>
      </c>
      <c r="FI2" t="str">
        <f>""</f>
        <v/>
      </c>
      <c r="FJ2" t="str">
        <f>"lsalh"</f>
        <v>lsalh</v>
      </c>
      <c r="FK2" t="str">
        <f>""</f>
        <v/>
      </c>
      <c r="FL2" t="str">
        <f>"lsalh"</f>
        <v>lsalh</v>
      </c>
      <c r="FM2" t="str">
        <f>""</f>
        <v/>
      </c>
      <c r="FN2" t="str">
        <f>"lsalh"</f>
        <v>lsalh</v>
      </c>
      <c r="FO2" t="str">
        <f>""</f>
        <v/>
      </c>
      <c r="FP2" t="str">
        <f>"lsalh"</f>
        <v>lsalh</v>
      </c>
      <c r="FQ2" t="str">
        <f>""</f>
        <v/>
      </c>
      <c r="FR2" t="str">
        <f>"lsalh"</f>
        <v>lsalh</v>
      </c>
      <c r="FS2" t="str">
        <f>""</f>
        <v/>
      </c>
      <c r="FT2" t="str">
        <f>"lsalh"</f>
        <v>lsalh</v>
      </c>
      <c r="FU2" t="str">
        <f>""</f>
        <v/>
      </c>
      <c r="FV2" t="str">
        <f>"lsalh"</f>
        <v>lsalh</v>
      </c>
      <c r="FW2" t="str">
        <f>""</f>
        <v/>
      </c>
      <c r="FX2" t="str">
        <f>"lsalh"</f>
        <v>lsalh</v>
      </c>
      <c r="FY2" t="str">
        <f>""</f>
        <v/>
      </c>
      <c r="FZ2" t="str">
        <f>"lsalh"</f>
        <v>lsalh</v>
      </c>
      <c r="GA2" t="str">
        <f>""</f>
        <v/>
      </c>
      <c r="GB2" t="str">
        <f>"lsalh"</f>
        <v>lsalh</v>
      </c>
      <c r="GC2" t="str">
        <f>""</f>
        <v/>
      </c>
      <c r="GD2" t="str">
        <f>"lsalh"</f>
        <v>lsalh</v>
      </c>
      <c r="GE2" t="str">
        <f>""</f>
        <v/>
      </c>
      <c r="GF2" t="str">
        <f>"lsalh"</f>
        <v>lsalh</v>
      </c>
      <c r="GG2" t="str">
        <f>""</f>
        <v/>
      </c>
      <c r="GH2" t="str">
        <f>"lsalh"</f>
        <v>lsalh</v>
      </c>
      <c r="GI2" t="str">
        <f>""</f>
        <v/>
      </c>
      <c r="GJ2" t="str">
        <f>"lsalh"</f>
        <v>lsalh</v>
      </c>
      <c r="GK2" t="str">
        <f>""</f>
        <v/>
      </c>
      <c r="GL2" t="str">
        <f>"lsalh"</f>
        <v>lsalh</v>
      </c>
      <c r="GM2" t="str">
        <f>""</f>
        <v/>
      </c>
      <c r="GN2" t="str">
        <f>"lsalh"</f>
        <v>lsalh</v>
      </c>
      <c r="GO2" t="str">
        <f>""</f>
        <v/>
      </c>
      <c r="GP2" t="str">
        <f>"lsalh"</f>
        <v>lsalh</v>
      </c>
      <c r="GQ2" t="str">
        <f>""</f>
        <v/>
      </c>
    </row>
    <row r="3" spans="1:298" x14ac:dyDescent="0.2">
      <c r="A3" t="str">
        <f>"overall"</f>
        <v>overall</v>
      </c>
      <c r="B3" t="str">
        <f>""</f>
        <v/>
      </c>
      <c r="C3" t="str">
        <f>""</f>
        <v/>
      </c>
      <c r="D3" t="str">
        <f>""</f>
        <v/>
      </c>
      <c r="E3" t="str">
        <f>""</f>
        <v/>
      </c>
      <c r="F3" t="str">
        <f>""</f>
        <v/>
      </c>
      <c r="G3" t="str">
        <f>""</f>
        <v/>
      </c>
      <c r="H3" t="str">
        <f>""</f>
        <v/>
      </c>
      <c r="I3" t="str">
        <f>""</f>
        <v/>
      </c>
      <c r="J3" t="str">
        <f>""</f>
        <v/>
      </c>
      <c r="K3" t="str">
        <f>""</f>
        <v/>
      </c>
      <c r="L3" t="str">
        <f>""</f>
        <v/>
      </c>
      <c r="M3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t="str">
        <f>""</f>
        <v/>
      </c>
      <c r="S3" t="str">
        <f>""</f>
        <v/>
      </c>
      <c r="T3" t="str">
        <f>""</f>
        <v/>
      </c>
      <c r="U3" t="str">
        <f>""</f>
        <v/>
      </c>
      <c r="V3" t="str">
        <f>""</f>
        <v/>
      </c>
      <c r="W3" t="str">
        <f>""</f>
        <v/>
      </c>
      <c r="X3" t="str">
        <f>""</f>
        <v/>
      </c>
      <c r="Y3" t="str">
        <f>""</f>
        <v/>
      </c>
      <c r="Z3" t="str">
        <f>""</f>
        <v/>
      </c>
      <c r="AA3" t="str">
        <f>""</f>
        <v/>
      </c>
      <c r="AB3" t="str">
        <f>""</f>
        <v/>
      </c>
      <c r="AC3" t="str">
        <f>""</f>
        <v/>
      </c>
      <c r="AD3" t="str">
        <f>""</f>
        <v/>
      </c>
      <c r="AE3" t="str">
        <f>""</f>
        <v/>
      </c>
      <c r="AF3" t="str">
        <f>""</f>
        <v/>
      </c>
      <c r="AG3" t="str">
        <f>""</f>
        <v/>
      </c>
      <c r="AH3" t="str">
        <f>""</f>
        <v/>
      </c>
      <c r="AI3" t="str">
        <f>""</f>
        <v/>
      </c>
      <c r="AJ3" t="str">
        <f>""</f>
        <v/>
      </c>
      <c r="AK3" t="str">
        <f>""</f>
        <v/>
      </c>
      <c r="AL3" t="str">
        <f>""</f>
        <v/>
      </c>
      <c r="AM3" t="str">
        <f>""</f>
        <v/>
      </c>
      <c r="AN3" t="str">
        <f>""</f>
        <v/>
      </c>
      <c r="AO3" t="str">
        <f>""</f>
        <v/>
      </c>
      <c r="AP3" t="str">
        <f>""</f>
        <v/>
      </c>
      <c r="AQ3" t="str">
        <f>""</f>
        <v/>
      </c>
      <c r="AR3" t="str">
        <f>""</f>
        <v/>
      </c>
      <c r="AS3" t="str">
        <f>""</f>
        <v/>
      </c>
      <c r="AT3" t="str">
        <f>""</f>
        <v/>
      </c>
      <c r="AU3" t="str">
        <f>""</f>
        <v/>
      </c>
      <c r="AV3" t="str">
        <f>""</f>
        <v/>
      </c>
      <c r="AW3" t="str">
        <f>""</f>
        <v/>
      </c>
      <c r="AX3" t="str">
        <f>""</f>
        <v/>
      </c>
      <c r="AY3" t="str">
        <f>""</f>
        <v/>
      </c>
      <c r="AZ3" t="str">
        <f>""</f>
        <v/>
      </c>
      <c r="BA3" t="str">
        <f>""</f>
        <v/>
      </c>
      <c r="BB3" t="str">
        <f>""</f>
        <v/>
      </c>
      <c r="BC3" t="str">
        <f>""</f>
        <v/>
      </c>
      <c r="BD3" t="str">
        <f>""</f>
        <v/>
      </c>
      <c r="BE3" t="str">
        <f>""</f>
        <v/>
      </c>
      <c r="BF3" t="str">
        <f>""</f>
        <v/>
      </c>
      <c r="BG3" t="str">
        <f>""</f>
        <v/>
      </c>
      <c r="BH3" t="str">
        <f>""</f>
        <v/>
      </c>
      <c r="BI3" t="str">
        <f>""</f>
        <v/>
      </c>
      <c r="BJ3" t="str">
        <f>""</f>
        <v/>
      </c>
      <c r="BK3" t="str">
        <f>""</f>
        <v/>
      </c>
      <c r="BL3" t="str">
        <f>""</f>
        <v/>
      </c>
      <c r="BM3" t="str">
        <f>""</f>
        <v/>
      </c>
      <c r="BN3" t="str">
        <f>""</f>
        <v/>
      </c>
      <c r="BO3" t="str">
        <f>""</f>
        <v/>
      </c>
      <c r="BP3" t="str">
        <f>""</f>
        <v/>
      </c>
      <c r="BQ3" t="str">
        <f>""</f>
        <v/>
      </c>
      <c r="BR3" t="str">
        <f>""</f>
        <v/>
      </c>
      <c r="BS3" t="str">
        <f>""</f>
        <v/>
      </c>
      <c r="BT3" t="str">
        <f>""</f>
        <v/>
      </c>
      <c r="BU3" t="str">
        <f>""</f>
        <v/>
      </c>
      <c r="BV3" t="str">
        <f>""</f>
        <v/>
      </c>
      <c r="BW3" t="str">
        <f>""</f>
        <v/>
      </c>
      <c r="BX3" t="str">
        <f>""</f>
        <v/>
      </c>
      <c r="BY3" t="str">
        <f>""</f>
        <v/>
      </c>
      <c r="BZ3" t="str">
        <f>""</f>
        <v/>
      </c>
      <c r="CA3" t="str">
        <f>""</f>
        <v/>
      </c>
      <c r="CB3" t="str">
        <f>""</f>
        <v/>
      </c>
      <c r="CC3" t="str">
        <f>""</f>
        <v/>
      </c>
      <c r="CD3" t="str">
        <f>""</f>
        <v/>
      </c>
      <c r="CE3" t="str">
        <f>""</f>
        <v/>
      </c>
      <c r="CF3" t="str">
        <f>""</f>
        <v/>
      </c>
      <c r="CG3" t="str">
        <f>""</f>
        <v/>
      </c>
      <c r="CH3" t="str">
        <f>""</f>
        <v/>
      </c>
      <c r="CI3" t="str">
        <f>""</f>
        <v/>
      </c>
      <c r="CJ3" t="str">
        <f>""</f>
        <v/>
      </c>
      <c r="CK3" t="str">
        <f>""</f>
        <v/>
      </c>
      <c r="CL3" t="str">
        <f>""</f>
        <v/>
      </c>
      <c r="CM3" t="str">
        <f>""</f>
        <v/>
      </c>
      <c r="CN3" t="str">
        <f>""</f>
        <v/>
      </c>
      <c r="CO3" t="str">
        <f>""</f>
        <v/>
      </c>
      <c r="CP3" t="str">
        <f>""</f>
        <v/>
      </c>
      <c r="CQ3" t="str">
        <f>""</f>
        <v/>
      </c>
      <c r="CR3" t="str">
        <f>""</f>
        <v/>
      </c>
      <c r="CS3" t="str">
        <f>""</f>
        <v/>
      </c>
      <c r="CT3" t="str">
        <f>""</f>
        <v/>
      </c>
      <c r="CU3" t="str">
        <f>""</f>
        <v/>
      </c>
      <c r="CV3" t="str">
        <f>""</f>
        <v/>
      </c>
      <c r="CW3" t="str">
        <f>""</f>
        <v/>
      </c>
      <c r="CX3" t="str">
        <f>""</f>
        <v/>
      </c>
      <c r="CY3" t="str">
        <f>""</f>
        <v/>
      </c>
      <c r="CZ3" t="str">
        <f>""</f>
        <v/>
      </c>
      <c r="DA3" t="str">
        <f>""</f>
        <v/>
      </c>
      <c r="DB3" t="str">
        <f>""</f>
        <v/>
      </c>
      <c r="DC3" t="str">
        <f>""</f>
        <v/>
      </c>
      <c r="DD3" t="str">
        <f>""</f>
        <v/>
      </c>
      <c r="DE3" t="str">
        <f>""</f>
        <v/>
      </c>
      <c r="DF3" t="str">
        <f>""</f>
        <v/>
      </c>
      <c r="DG3" t="str">
        <f>""</f>
        <v/>
      </c>
      <c r="DH3" t="str">
        <f>""</f>
        <v/>
      </c>
      <c r="DI3" t="str">
        <f>""</f>
        <v/>
      </c>
      <c r="DJ3" t="str">
        <f>""</f>
        <v/>
      </c>
      <c r="DK3" t="str">
        <f>""</f>
        <v/>
      </c>
      <c r="DL3" t="str">
        <f>""</f>
        <v/>
      </c>
      <c r="DM3" t="str">
        <f>""</f>
        <v/>
      </c>
      <c r="DN3" t="str">
        <f>""</f>
        <v/>
      </c>
      <c r="DO3" t="str">
        <f>""</f>
        <v/>
      </c>
      <c r="DP3" t="str">
        <f>""</f>
        <v/>
      </c>
      <c r="DQ3" t="str">
        <f>""</f>
        <v/>
      </c>
      <c r="DR3" t="str">
        <f>""</f>
        <v/>
      </c>
      <c r="DS3" t="str">
        <f>""</f>
        <v/>
      </c>
      <c r="DT3" t="str">
        <f>""</f>
        <v/>
      </c>
      <c r="DU3" t="str">
        <f>""</f>
        <v/>
      </c>
      <c r="DV3" t="str">
        <f>""</f>
        <v/>
      </c>
      <c r="DW3" t="str">
        <f>""</f>
        <v/>
      </c>
      <c r="DX3" t="str">
        <f>""</f>
        <v/>
      </c>
      <c r="DY3" t="str">
        <f>""</f>
        <v/>
      </c>
      <c r="DZ3" t="str">
        <f>""</f>
        <v/>
      </c>
      <c r="EA3" t="str">
        <f>""</f>
        <v/>
      </c>
      <c r="EB3" t="str">
        <f>""</f>
        <v/>
      </c>
      <c r="EC3" t="str">
        <f>""</f>
        <v/>
      </c>
      <c r="ED3" t="str">
        <f>""</f>
        <v/>
      </c>
      <c r="EE3" t="str">
        <f>""</f>
        <v/>
      </c>
      <c r="EF3" t="str">
        <f>""</f>
        <v/>
      </c>
      <c r="EG3" t="str">
        <f>""</f>
        <v/>
      </c>
      <c r="EH3" t="str">
        <f>""</f>
        <v/>
      </c>
      <c r="EI3" t="str">
        <f>""</f>
        <v/>
      </c>
      <c r="EJ3" t="str">
        <f>""</f>
        <v/>
      </c>
      <c r="EK3" t="str">
        <f>""</f>
        <v/>
      </c>
      <c r="EL3" t="str">
        <f>""</f>
        <v/>
      </c>
      <c r="EM3" t="str">
        <f>""</f>
        <v/>
      </c>
      <c r="EN3" t="str">
        <f>""</f>
        <v/>
      </c>
      <c r="EO3" t="str">
        <f>""</f>
        <v/>
      </c>
      <c r="EP3" t="str">
        <f>""</f>
        <v/>
      </c>
      <c r="EQ3" t="str">
        <f>""</f>
        <v/>
      </c>
      <c r="ER3" t="str">
        <f>""</f>
        <v/>
      </c>
      <c r="ES3" t="str">
        <f>""</f>
        <v/>
      </c>
      <c r="ET3" t="str">
        <f>""</f>
        <v/>
      </c>
      <c r="EU3" t="str">
        <f>""</f>
        <v/>
      </c>
      <c r="EV3" t="str">
        <f>""</f>
        <v/>
      </c>
      <c r="EW3" t="str">
        <f>""</f>
        <v/>
      </c>
      <c r="EX3" t="str">
        <f>""</f>
        <v/>
      </c>
      <c r="EY3" t="str">
        <f>""</f>
        <v/>
      </c>
      <c r="EZ3" t="str">
        <f>""</f>
        <v/>
      </c>
      <c r="FA3" t="str">
        <f>""</f>
        <v/>
      </c>
      <c r="FB3" t="str">
        <f>""</f>
        <v/>
      </c>
      <c r="FC3" t="str">
        <f>""</f>
        <v/>
      </c>
      <c r="FD3" t="str">
        <f>""</f>
        <v/>
      </c>
      <c r="FE3" t="str">
        <f>""</f>
        <v/>
      </c>
      <c r="FF3" t="str">
        <f>""</f>
        <v/>
      </c>
      <c r="FG3" t="str">
        <f>""</f>
        <v/>
      </c>
      <c r="FH3" t="str">
        <f>""</f>
        <v/>
      </c>
      <c r="FI3" t="str">
        <f>""</f>
        <v/>
      </c>
      <c r="FJ3" t="str">
        <f>""</f>
        <v/>
      </c>
      <c r="FK3" t="str">
        <f>""</f>
        <v/>
      </c>
      <c r="FL3" t="str">
        <f>""</f>
        <v/>
      </c>
      <c r="FM3" t="str">
        <f>""</f>
        <v/>
      </c>
      <c r="FN3" t="str">
        <f>""</f>
        <v/>
      </c>
      <c r="FO3" t="str">
        <f>""</f>
        <v/>
      </c>
      <c r="FP3" t="str">
        <f>""</f>
        <v/>
      </c>
      <c r="FQ3" t="str">
        <f>""</f>
        <v/>
      </c>
      <c r="FR3" t="str">
        <f>""</f>
        <v/>
      </c>
      <c r="FS3" t="str">
        <f>""</f>
        <v/>
      </c>
      <c r="FT3" t="str">
        <f>""</f>
        <v/>
      </c>
      <c r="FU3" t="str">
        <f>""</f>
        <v/>
      </c>
      <c r="FV3" t="str">
        <f>""</f>
        <v/>
      </c>
      <c r="FW3" t="str">
        <f>""</f>
        <v/>
      </c>
      <c r="FX3" t="str">
        <f>""</f>
        <v/>
      </c>
      <c r="FY3" t="str">
        <f>""</f>
        <v/>
      </c>
      <c r="FZ3" t="str">
        <f>""</f>
        <v/>
      </c>
      <c r="GA3" t="str">
        <f>""</f>
        <v/>
      </c>
      <c r="GB3" t="str">
        <f>""</f>
        <v/>
      </c>
      <c r="GC3" t="str">
        <f>""</f>
        <v/>
      </c>
      <c r="GD3" t="str">
        <f>""</f>
        <v/>
      </c>
      <c r="GE3" t="str">
        <f>""</f>
        <v/>
      </c>
      <c r="GF3" t="str">
        <f>""</f>
        <v/>
      </c>
      <c r="GG3" t="str">
        <f>""</f>
        <v/>
      </c>
      <c r="GH3" t="str">
        <f>""</f>
        <v/>
      </c>
      <c r="GI3" t="str">
        <f>""</f>
        <v/>
      </c>
      <c r="GJ3" t="str">
        <f>""</f>
        <v/>
      </c>
      <c r="GK3" t="str">
        <f>""</f>
        <v/>
      </c>
      <c r="GL3" t="str">
        <f>""</f>
        <v/>
      </c>
      <c r="GM3" t="str">
        <f>""</f>
        <v/>
      </c>
      <c r="GN3" t="str">
        <f>""</f>
        <v/>
      </c>
      <c r="GO3" t="str">
        <f>""</f>
        <v/>
      </c>
      <c r="GP3" t="str">
        <f>""</f>
        <v/>
      </c>
      <c r="GQ3" t="str">
        <f>""</f>
        <v/>
      </c>
    </row>
    <row r="4" spans="1:298" x14ac:dyDescent="0.2">
      <c r="A4" t="str">
        <f>"group_1"</f>
        <v>group_1</v>
      </c>
      <c r="B4" t="str">
        <f>"0.190***"</f>
        <v>0.190***</v>
      </c>
      <c r="C4" t="s">
        <v>2518</v>
      </c>
      <c r="D4" t="s">
        <v>2519</v>
      </c>
      <c r="E4" t="str">
        <f>"0.484***"</f>
        <v>0.484***</v>
      </c>
      <c r="F4" t="s">
        <v>2520</v>
      </c>
      <c r="G4" t="s">
        <v>2521</v>
      </c>
      <c r="H4" t="str">
        <f>"0.705***"</f>
        <v>0.705***</v>
      </c>
      <c r="I4" t="s">
        <v>2522</v>
      </c>
      <c r="J4" t="s">
        <v>2523</v>
      </c>
      <c r="K4" t="str">
        <f>"0.888***"</f>
        <v>0.888***</v>
      </c>
      <c r="L4" t="s">
        <v>2524</v>
      </c>
      <c r="M4" t="s">
        <v>2525</v>
      </c>
      <c r="N4" t="str">
        <f>"0.997***"</f>
        <v>0.997***</v>
      </c>
      <c r="O4" t="s">
        <v>2526</v>
      </c>
      <c r="P4" t="s">
        <v>2527</v>
      </c>
      <c r="Q4" t="str">
        <f>"1.111***"</f>
        <v>1.111***</v>
      </c>
      <c r="R4" t="s">
        <v>2528</v>
      </c>
      <c r="S4" t="s">
        <v>2529</v>
      </c>
      <c r="T4" t="str">
        <f>"1.197***"</f>
        <v>1.197***</v>
      </c>
      <c r="U4" t="s">
        <v>2530</v>
      </c>
      <c r="V4" t="s">
        <v>2531</v>
      </c>
      <c r="W4" t="str">
        <f>"1.292***"</f>
        <v>1.292***</v>
      </c>
      <c r="X4" t="s">
        <v>2532</v>
      </c>
      <c r="Y4" t="s">
        <v>2533</v>
      </c>
      <c r="Z4" t="str">
        <f>"1.388***"</f>
        <v>1.388***</v>
      </c>
      <c r="AA4" t="s">
        <v>2534</v>
      </c>
      <c r="AB4" t="s">
        <v>2535</v>
      </c>
      <c r="AC4" t="str">
        <f>"1.422***"</f>
        <v>1.422***</v>
      </c>
      <c r="AD4" t="s">
        <v>2536</v>
      </c>
      <c r="AE4" t="s">
        <v>2537</v>
      </c>
      <c r="AF4" t="str">
        <f>"1.492***"</f>
        <v>1.492***</v>
      </c>
      <c r="AG4" t="s">
        <v>2538</v>
      </c>
      <c r="AH4" t="s">
        <v>2539</v>
      </c>
      <c r="AI4" t="str">
        <f>"1.575***"</f>
        <v>1.575***</v>
      </c>
      <c r="AJ4" t="s">
        <v>2540</v>
      </c>
      <c r="AK4" t="s">
        <v>2541</v>
      </c>
      <c r="AL4" t="str">
        <f>"1.583***"</f>
        <v>1.583***</v>
      </c>
      <c r="AM4" t="s">
        <v>2542</v>
      </c>
      <c r="AN4" t="s">
        <v>2543</v>
      </c>
      <c r="AO4" t="str">
        <f>"1.613***"</f>
        <v>1.613***</v>
      </c>
      <c r="AP4" t="s">
        <v>2544</v>
      </c>
      <c r="AQ4" t="s">
        <v>2545</v>
      </c>
      <c r="AR4" t="str">
        <f>"1.647***"</f>
        <v>1.647***</v>
      </c>
      <c r="AS4" t="s">
        <v>2546</v>
      </c>
      <c r="AT4" t="s">
        <v>2547</v>
      </c>
      <c r="AU4" t="str">
        <f>"1.672***"</f>
        <v>1.672***</v>
      </c>
      <c r="AV4" t="s">
        <v>2548</v>
      </c>
      <c r="AW4" t="s">
        <v>2549</v>
      </c>
      <c r="AX4" t="str">
        <f>"1.704***"</f>
        <v>1.704***</v>
      </c>
      <c r="AY4" t="s">
        <v>2550</v>
      </c>
      <c r="AZ4" t="s">
        <v>2551</v>
      </c>
      <c r="BA4" t="str">
        <f>"1.718***"</f>
        <v>1.718***</v>
      </c>
      <c r="BB4" t="s">
        <v>2552</v>
      </c>
      <c r="BC4" t="s">
        <v>2553</v>
      </c>
      <c r="BD4" t="str">
        <f>"1.744***"</f>
        <v>1.744***</v>
      </c>
      <c r="BE4" t="s">
        <v>2554</v>
      </c>
      <c r="BF4" t="s">
        <v>2555</v>
      </c>
      <c r="BG4" t="str">
        <f>"1.751***"</f>
        <v>1.751***</v>
      </c>
      <c r="BH4" t="s">
        <v>2556</v>
      </c>
      <c r="BI4" t="s">
        <v>2557</v>
      </c>
      <c r="BJ4" t="str">
        <f>"1.758***"</f>
        <v>1.758***</v>
      </c>
      <c r="BK4" t="s">
        <v>2558</v>
      </c>
      <c r="BL4" t="s">
        <v>2559</v>
      </c>
      <c r="BM4" t="str">
        <f>"1.795***"</f>
        <v>1.795***</v>
      </c>
      <c r="BN4" t="s">
        <v>2560</v>
      </c>
      <c r="BO4" t="s">
        <v>2561</v>
      </c>
      <c r="BP4" t="str">
        <f>"1.802***"</f>
        <v>1.802***</v>
      </c>
      <c r="BQ4" t="s">
        <v>2562</v>
      </c>
      <c r="BR4" t="s">
        <v>2563</v>
      </c>
      <c r="BS4" t="str">
        <f>"1.801***"</f>
        <v>1.801***</v>
      </c>
      <c r="BT4" t="s">
        <v>2564</v>
      </c>
      <c r="BU4" t="s">
        <v>2565</v>
      </c>
      <c r="BV4" t="str">
        <f>"1.806***"</f>
        <v>1.806***</v>
      </c>
      <c r="BW4" t="s">
        <v>2566</v>
      </c>
      <c r="BX4" t="s">
        <v>2567</v>
      </c>
      <c r="BY4" t="str">
        <f>"1.811***"</f>
        <v>1.811***</v>
      </c>
      <c r="BZ4" t="s">
        <v>2568</v>
      </c>
      <c r="CA4" t="s">
        <v>2569</v>
      </c>
      <c r="CB4" t="str">
        <f>"1.839***"</f>
        <v>1.839***</v>
      </c>
      <c r="CC4" t="s">
        <v>2570</v>
      </c>
      <c r="CD4" t="s">
        <v>2571</v>
      </c>
      <c r="CE4" t="str">
        <f>"1.844***"</f>
        <v>1.844***</v>
      </c>
      <c r="CF4" t="s">
        <v>2572</v>
      </c>
      <c r="CG4" t="s">
        <v>2573</v>
      </c>
      <c r="CH4" t="str">
        <f>"1.852***"</f>
        <v>1.852***</v>
      </c>
      <c r="CI4" t="s">
        <v>2574</v>
      </c>
      <c r="CJ4" t="s">
        <v>2575</v>
      </c>
      <c r="CK4" t="str">
        <f>"1.860***"</f>
        <v>1.860***</v>
      </c>
      <c r="CL4" t="s">
        <v>2576</v>
      </c>
      <c r="CM4" t="s">
        <v>2577</v>
      </c>
      <c r="CN4" t="str">
        <f>"1.881***"</f>
        <v>1.881***</v>
      </c>
      <c r="CO4" t="s">
        <v>2578</v>
      </c>
      <c r="CP4" t="s">
        <v>2579</v>
      </c>
      <c r="CQ4" t="str">
        <f>"1.889***"</f>
        <v>1.889***</v>
      </c>
      <c r="CR4" t="s">
        <v>2580</v>
      </c>
      <c r="CS4" t="s">
        <v>2581</v>
      </c>
      <c r="CT4" t="str">
        <f>"1.895***"</f>
        <v>1.895***</v>
      </c>
      <c r="CU4" t="s">
        <v>2582</v>
      </c>
      <c r="CV4" t="s">
        <v>2583</v>
      </c>
      <c r="CW4" t="str">
        <f>"1.912***"</f>
        <v>1.912***</v>
      </c>
      <c r="CX4" t="s">
        <v>2584</v>
      </c>
      <c r="CY4" t="s">
        <v>2585</v>
      </c>
      <c r="CZ4" t="str">
        <f>"1.950***"</f>
        <v>1.950***</v>
      </c>
      <c r="DA4" t="s">
        <v>2586</v>
      </c>
      <c r="DB4" t="s">
        <v>2587</v>
      </c>
      <c r="DC4" t="str">
        <f>"1.969***"</f>
        <v>1.969***</v>
      </c>
      <c r="DD4" t="s">
        <v>2588</v>
      </c>
      <c r="DE4" t="s">
        <v>2589</v>
      </c>
      <c r="DF4" t="str">
        <f>"1.981***"</f>
        <v>1.981***</v>
      </c>
      <c r="DG4" t="s">
        <v>2590</v>
      </c>
      <c r="DH4" t="s">
        <v>2591</v>
      </c>
      <c r="DI4" t="str">
        <f>"1.983***"</f>
        <v>1.983***</v>
      </c>
      <c r="DJ4" t="s">
        <v>2592</v>
      </c>
      <c r="DK4" t="s">
        <v>2593</v>
      </c>
      <c r="DL4" t="str">
        <f>"1.989***"</f>
        <v>1.989***</v>
      </c>
      <c r="DM4" t="s">
        <v>2594</v>
      </c>
      <c r="DN4" t="s">
        <v>2595</v>
      </c>
      <c r="DO4" t="str">
        <f>"2.008***"</f>
        <v>2.008***</v>
      </c>
      <c r="DP4" t="s">
        <v>2596</v>
      </c>
      <c r="DQ4" t="s">
        <v>2597</v>
      </c>
      <c r="DR4" t="str">
        <f>"2.028***"</f>
        <v>2.028***</v>
      </c>
      <c r="DS4" t="s">
        <v>2598</v>
      </c>
      <c r="DT4" t="s">
        <v>2599</v>
      </c>
      <c r="DU4" t="str">
        <f>"2.047***"</f>
        <v>2.047***</v>
      </c>
      <c r="DV4" t="s">
        <v>2600</v>
      </c>
      <c r="DW4" t="s">
        <v>2601</v>
      </c>
      <c r="DX4" t="str">
        <f>"2.065***"</f>
        <v>2.065***</v>
      </c>
      <c r="DY4" t="s">
        <v>2602</v>
      </c>
      <c r="DZ4" t="s">
        <v>2603</v>
      </c>
      <c r="EA4" t="str">
        <f>"2.089***"</f>
        <v>2.089***</v>
      </c>
      <c r="EB4" t="s">
        <v>2604</v>
      </c>
      <c r="EC4" t="s">
        <v>2605</v>
      </c>
      <c r="ED4" t="str">
        <f>"2.095***"</f>
        <v>2.095***</v>
      </c>
      <c r="EE4" t="s">
        <v>2606</v>
      </c>
      <c r="EF4" t="s">
        <v>2607</v>
      </c>
      <c r="EG4" t="str">
        <f>"2.114***"</f>
        <v>2.114***</v>
      </c>
      <c r="EH4" t="s">
        <v>2608</v>
      </c>
      <c r="EI4" t="s">
        <v>2609</v>
      </c>
      <c r="EJ4" t="str">
        <f>"2.116***"</f>
        <v>2.116***</v>
      </c>
      <c r="EK4" t="s">
        <v>2610</v>
      </c>
      <c r="EL4" t="s">
        <v>2611</v>
      </c>
      <c r="EM4" t="str">
        <f>"2.137***"</f>
        <v>2.137***</v>
      </c>
      <c r="EN4" t="s">
        <v>2612</v>
      </c>
      <c r="EO4" t="s">
        <v>2613</v>
      </c>
      <c r="EP4" t="str">
        <f>"2.147***"</f>
        <v>2.147***</v>
      </c>
      <c r="EQ4" t="s">
        <v>2614</v>
      </c>
      <c r="ER4" t="s">
        <v>2615</v>
      </c>
      <c r="ES4" t="str">
        <f>"2.176***"</f>
        <v>2.176***</v>
      </c>
      <c r="ET4" t="s">
        <v>2616</v>
      </c>
      <c r="EU4" t="s">
        <v>2617</v>
      </c>
      <c r="EV4" t="str">
        <f>"2.203***"</f>
        <v>2.203***</v>
      </c>
      <c r="EW4" t="s">
        <v>2618</v>
      </c>
      <c r="EX4" t="s">
        <v>2619</v>
      </c>
      <c r="EY4" t="str">
        <f>"2.217***"</f>
        <v>2.217***</v>
      </c>
      <c r="EZ4" t="s">
        <v>2620</v>
      </c>
      <c r="FA4" t="s">
        <v>2621</v>
      </c>
      <c r="FB4" t="str">
        <f>"2.209***"</f>
        <v>2.209***</v>
      </c>
      <c r="FC4" t="s">
        <v>2622</v>
      </c>
      <c r="FD4" t="s">
        <v>2623</v>
      </c>
      <c r="FE4" t="str">
        <f>"2.229***"</f>
        <v>2.229***</v>
      </c>
      <c r="FF4" t="s">
        <v>2624</v>
      </c>
      <c r="FG4" t="s">
        <v>2625</v>
      </c>
      <c r="FH4" t="str">
        <f>"2.268***"</f>
        <v>2.268***</v>
      </c>
      <c r="FI4" t="s">
        <v>2626</v>
      </c>
      <c r="FJ4" t="s">
        <v>2627</v>
      </c>
      <c r="FK4" t="str">
        <f>"2.272***"</f>
        <v>2.272***</v>
      </c>
      <c r="FL4" t="s">
        <v>2628</v>
      </c>
      <c r="FM4" t="s">
        <v>2629</v>
      </c>
      <c r="FN4" t="str">
        <f>"2.292***"</f>
        <v>2.292***</v>
      </c>
      <c r="FO4" t="s">
        <v>2630</v>
      </c>
      <c r="FP4" t="s">
        <v>2631</v>
      </c>
      <c r="FQ4" t="str">
        <f>"2.311***"</f>
        <v>2.311***</v>
      </c>
      <c r="FR4" t="s">
        <v>2632</v>
      </c>
      <c r="FS4" t="s">
        <v>2633</v>
      </c>
      <c r="FT4" t="str">
        <f>"2.318***"</f>
        <v>2.318***</v>
      </c>
      <c r="FU4" t="s">
        <v>2634</v>
      </c>
      <c r="FV4" t="s">
        <v>2635</v>
      </c>
      <c r="FW4" t="str">
        <f>"2.349***"</f>
        <v>2.349***</v>
      </c>
      <c r="FX4" t="s">
        <v>2636</v>
      </c>
      <c r="FY4" t="s">
        <v>2637</v>
      </c>
      <c r="FZ4" t="str">
        <f>"2.390***"</f>
        <v>2.390***</v>
      </c>
      <c r="GA4" t="s">
        <v>2638</v>
      </c>
      <c r="GB4" t="s">
        <v>2639</v>
      </c>
      <c r="GC4" t="str">
        <f>"2.400***"</f>
        <v>2.400***</v>
      </c>
      <c r="GD4" t="s">
        <v>2640</v>
      </c>
      <c r="GE4" t="s">
        <v>2641</v>
      </c>
      <c r="GF4" t="str">
        <f>"2.402***"</f>
        <v>2.402***</v>
      </c>
      <c r="GG4" t="s">
        <v>2642</v>
      </c>
      <c r="GH4" t="s">
        <v>2643</v>
      </c>
      <c r="GI4" t="str">
        <f>"2.436***"</f>
        <v>2.436***</v>
      </c>
      <c r="GJ4" t="s">
        <v>2644</v>
      </c>
      <c r="GK4" t="s">
        <v>2645</v>
      </c>
      <c r="GL4" t="str">
        <f>"2.493***"</f>
        <v>2.493***</v>
      </c>
      <c r="GM4" t="s">
        <v>2646</v>
      </c>
      <c r="GN4" t="s">
        <v>2647</v>
      </c>
      <c r="GO4" t="str">
        <f>"2.504***"</f>
        <v>2.504***</v>
      </c>
      <c r="GP4" t="s">
        <v>2648</v>
      </c>
      <c r="GQ4" t="s">
        <v>2649</v>
      </c>
      <c r="GR4" t="str">
        <f>"2.496***"</f>
        <v>2.496***</v>
      </c>
      <c r="GS4" t="s">
        <v>2650</v>
      </c>
      <c r="GT4" t="s">
        <v>2651</v>
      </c>
      <c r="GU4" t="str">
        <f>"2.500***"</f>
        <v>2.500***</v>
      </c>
      <c r="GV4" t="s">
        <v>2652</v>
      </c>
      <c r="GW4" t="s">
        <v>2653</v>
      </c>
      <c r="GX4" t="str">
        <f>"2.503***"</f>
        <v>2.503***</v>
      </c>
      <c r="GY4" t="s">
        <v>2654</v>
      </c>
      <c r="GZ4" t="s">
        <v>2655</v>
      </c>
      <c r="HA4" t="str">
        <f>"2.538***"</f>
        <v>2.538***</v>
      </c>
      <c r="HB4" t="s">
        <v>2656</v>
      </c>
      <c r="HC4" t="s">
        <v>2657</v>
      </c>
      <c r="HD4" t="str">
        <f>"2.584***"</f>
        <v>2.584***</v>
      </c>
      <c r="HE4" t="s">
        <v>2658</v>
      </c>
      <c r="HF4" t="s">
        <v>2659</v>
      </c>
      <c r="HG4" t="str">
        <f>"2.621***"</f>
        <v>2.621***</v>
      </c>
      <c r="HH4" t="s">
        <v>2660</v>
      </c>
      <c r="HI4" t="s">
        <v>2661</v>
      </c>
      <c r="HJ4" t="str">
        <f>"2.639***"</f>
        <v>2.639***</v>
      </c>
      <c r="HK4" t="s">
        <v>2370</v>
      </c>
      <c r="HL4" t="s">
        <v>2662</v>
      </c>
      <c r="HM4" t="str">
        <f>"2.679***"</f>
        <v>2.679***</v>
      </c>
      <c r="HN4" t="s">
        <v>2663</v>
      </c>
      <c r="HO4" t="s">
        <v>2664</v>
      </c>
      <c r="HP4" t="str">
        <f>"2.717***"</f>
        <v>2.717***</v>
      </c>
      <c r="HQ4" t="s">
        <v>2665</v>
      </c>
      <c r="HR4" t="s">
        <v>2666</v>
      </c>
      <c r="HS4" t="str">
        <f>"2.721***"</f>
        <v>2.721***</v>
      </c>
      <c r="HT4" t="s">
        <v>2667</v>
      </c>
      <c r="HU4" t="s">
        <v>2668</v>
      </c>
      <c r="HV4" t="str">
        <f>"2.776***"</f>
        <v>2.776***</v>
      </c>
      <c r="HW4" t="s">
        <v>2669</v>
      </c>
      <c r="HX4" t="s">
        <v>2670</v>
      </c>
      <c r="HY4" t="str">
        <f>"2.804***"</f>
        <v>2.804***</v>
      </c>
      <c r="HZ4" t="s">
        <v>2671</v>
      </c>
      <c r="IA4" t="s">
        <v>2672</v>
      </c>
      <c r="IB4" t="str">
        <f>"2.829***"</f>
        <v>2.829***</v>
      </c>
      <c r="IC4" t="s">
        <v>2673</v>
      </c>
      <c r="ID4" t="s">
        <v>2674</v>
      </c>
      <c r="IE4" t="str">
        <f>"2.896***"</f>
        <v>2.896***</v>
      </c>
      <c r="IF4" t="s">
        <v>2675</v>
      </c>
      <c r="IG4" t="s">
        <v>2676</v>
      </c>
      <c r="IH4" t="str">
        <f>"2.899***"</f>
        <v>2.899***</v>
      </c>
      <c r="II4" t="s">
        <v>2677</v>
      </c>
      <c r="IJ4" t="s">
        <v>2678</v>
      </c>
      <c r="IK4" t="str">
        <f>"2.910***"</f>
        <v>2.910***</v>
      </c>
      <c r="IL4" t="s">
        <v>2679</v>
      </c>
      <c r="IM4" t="s">
        <v>2680</v>
      </c>
      <c r="IN4" t="str">
        <f>"2.965***"</f>
        <v>2.965***</v>
      </c>
      <c r="IO4" t="s">
        <v>2681</v>
      </c>
      <c r="IP4" t="s">
        <v>2682</v>
      </c>
      <c r="IQ4" t="str">
        <f>"3.012***"</f>
        <v>3.012***</v>
      </c>
      <c r="IR4" t="s">
        <v>2683</v>
      </c>
      <c r="IS4" t="s">
        <v>2684</v>
      </c>
      <c r="IT4" t="str">
        <f>"3.064***"</f>
        <v>3.064***</v>
      </c>
      <c r="IU4" t="s">
        <v>2685</v>
      </c>
      <c r="IV4" t="s">
        <v>2686</v>
      </c>
      <c r="IW4" t="str">
        <f>"3.134***"</f>
        <v>3.134***</v>
      </c>
      <c r="IX4" t="s">
        <v>2687</v>
      </c>
      <c r="IY4" t="s">
        <v>2688</v>
      </c>
      <c r="IZ4" t="str">
        <f>"3.204***"</f>
        <v>3.204***</v>
      </c>
      <c r="JA4" t="s">
        <v>2689</v>
      </c>
      <c r="JB4" t="s">
        <v>2690</v>
      </c>
      <c r="JC4" t="str">
        <f>"3.198***"</f>
        <v>3.198***</v>
      </c>
      <c r="JD4" t="s">
        <v>2691</v>
      </c>
      <c r="JE4" t="s">
        <v>2692</v>
      </c>
      <c r="JF4" t="str">
        <f>"3.272***"</f>
        <v>3.272***</v>
      </c>
      <c r="JG4" t="s">
        <v>2693</v>
      </c>
      <c r="JH4" t="s">
        <v>2694</v>
      </c>
      <c r="JI4" t="str">
        <f>"3.335***"</f>
        <v>3.335***</v>
      </c>
      <c r="JJ4" t="s">
        <v>2695</v>
      </c>
      <c r="JK4" t="s">
        <v>2696</v>
      </c>
      <c r="JL4" t="str">
        <f>"3.414***"</f>
        <v>3.414***</v>
      </c>
      <c r="JM4" t="s">
        <v>2697</v>
      </c>
      <c r="JN4" t="s">
        <v>2698</v>
      </c>
      <c r="JO4" t="str">
        <f>"3.440***"</f>
        <v>3.440***</v>
      </c>
      <c r="JP4" t="s">
        <v>2699</v>
      </c>
      <c r="JQ4" t="s">
        <v>2700</v>
      </c>
      <c r="JR4" t="str">
        <f>"3.559***"</f>
        <v>3.559***</v>
      </c>
      <c r="JS4" t="s">
        <v>2701</v>
      </c>
      <c r="JT4" t="s">
        <v>2702</v>
      </c>
      <c r="JU4" t="str">
        <f>"3.652***"</f>
        <v>3.652***</v>
      </c>
      <c r="JV4" t="s">
        <v>2703</v>
      </c>
      <c r="JW4" t="s">
        <v>2704</v>
      </c>
      <c r="JX4" t="str">
        <f>"3.760***"</f>
        <v>3.760***</v>
      </c>
      <c r="JY4" t="s">
        <v>2705</v>
      </c>
      <c r="JZ4" t="s">
        <v>2706</v>
      </c>
      <c r="KA4" t="str">
        <f>"3.887***"</f>
        <v>3.887***</v>
      </c>
      <c r="KB4" t="s">
        <v>2707</v>
      </c>
      <c r="KC4" t="s">
        <v>2708</v>
      </c>
      <c r="KD4" t="str">
        <f>"4.104***"</f>
        <v>4.104***</v>
      </c>
      <c r="KE4" t="s">
        <v>2709</v>
      </c>
      <c r="KF4" t="s">
        <v>2710</v>
      </c>
      <c r="KG4" t="str">
        <f>"4.288***"</f>
        <v>4.288***</v>
      </c>
      <c r="KH4" t="s">
        <v>2711</v>
      </c>
      <c r="KI4" t="s">
        <v>2712</v>
      </c>
      <c r="KJ4" t="str">
        <f>"4.609***"</f>
        <v>4.609***</v>
      </c>
      <c r="KK4" t="s">
        <v>2713</v>
      </c>
      <c r="KL4" t="s">
        <v>2714</v>
      </c>
    </row>
    <row r="5" spans="1:298" x14ac:dyDescent="0.2">
      <c r="A5" t="str">
        <f>"group_2"</f>
        <v>group_2</v>
      </c>
      <c r="B5" t="str">
        <f>"-0.0770***"</f>
        <v>-0.0770***</v>
      </c>
      <c r="C5" t="s">
        <v>3881</v>
      </c>
      <c r="D5" t="s">
        <v>2801</v>
      </c>
      <c r="E5" t="str">
        <f>"0.306***"</f>
        <v>0.306***</v>
      </c>
      <c r="F5" t="s">
        <v>2318</v>
      </c>
      <c r="G5" t="s">
        <v>3888</v>
      </c>
      <c r="H5" t="str">
        <f>"0.536***"</f>
        <v>0.536***</v>
      </c>
      <c r="I5" t="s">
        <v>3889</v>
      </c>
      <c r="J5" t="s">
        <v>3890</v>
      </c>
      <c r="K5" t="str">
        <f>"0.691***"</f>
        <v>0.691***</v>
      </c>
      <c r="L5" t="s">
        <v>2314</v>
      </c>
      <c r="M5" t="s">
        <v>2313</v>
      </c>
      <c r="N5" t="str">
        <f>"0.856***"</f>
        <v>0.856***</v>
      </c>
      <c r="O5" t="s">
        <v>2312</v>
      </c>
      <c r="P5" t="s">
        <v>2311</v>
      </c>
      <c r="Q5" t="str">
        <f>"0.963***"</f>
        <v>0.963***</v>
      </c>
      <c r="R5" t="s">
        <v>3891</v>
      </c>
      <c r="S5" t="s">
        <v>3892</v>
      </c>
      <c r="T5" t="str">
        <f>"1.053***"</f>
        <v>1.053***</v>
      </c>
      <c r="U5" t="s">
        <v>2308</v>
      </c>
      <c r="V5" t="s">
        <v>2307</v>
      </c>
      <c r="W5" t="str">
        <f>"1.149***"</f>
        <v>1.149***</v>
      </c>
      <c r="X5" t="s">
        <v>3893</v>
      </c>
      <c r="Y5" t="s">
        <v>3894</v>
      </c>
      <c r="Z5" t="str">
        <f>"1.220***"</f>
        <v>1.220***</v>
      </c>
      <c r="AA5" t="s">
        <v>3895</v>
      </c>
      <c r="AB5" t="s">
        <v>3896</v>
      </c>
      <c r="AC5" t="str">
        <f>"1.309***"</f>
        <v>1.309***</v>
      </c>
      <c r="AD5" t="s">
        <v>2302</v>
      </c>
      <c r="AE5" t="s">
        <v>2301</v>
      </c>
      <c r="AF5" t="str">
        <f>"1.340***"</f>
        <v>1.340***</v>
      </c>
      <c r="AG5" t="s">
        <v>3897</v>
      </c>
      <c r="AH5" t="s">
        <v>2299</v>
      </c>
      <c r="AI5" t="str">
        <f>"1.389***"</f>
        <v>1.389***</v>
      </c>
      <c r="AJ5" t="s">
        <v>2298</v>
      </c>
      <c r="AK5" t="s">
        <v>2297</v>
      </c>
      <c r="AL5" t="str">
        <f>"1.436***"</f>
        <v>1.436***</v>
      </c>
      <c r="AM5" t="s">
        <v>2296</v>
      </c>
      <c r="AN5" t="s">
        <v>3898</v>
      </c>
      <c r="AO5" t="str">
        <f>"1.468***"</f>
        <v>1.468***</v>
      </c>
      <c r="AP5" t="s">
        <v>2294</v>
      </c>
      <c r="AQ5" t="s">
        <v>2293</v>
      </c>
      <c r="AR5" t="str">
        <f>"1.509***"</f>
        <v>1.509***</v>
      </c>
      <c r="AS5" t="s">
        <v>2292</v>
      </c>
      <c r="AT5" t="s">
        <v>2291</v>
      </c>
      <c r="AU5" t="str">
        <f>"1.536***"</f>
        <v>1.536***</v>
      </c>
      <c r="AV5" t="s">
        <v>2290</v>
      </c>
      <c r="AW5" t="s">
        <v>2289</v>
      </c>
      <c r="AX5" t="str">
        <f>"1.555***"</f>
        <v>1.555***</v>
      </c>
      <c r="AY5" t="s">
        <v>2288</v>
      </c>
      <c r="AZ5" t="s">
        <v>2287</v>
      </c>
      <c r="BA5" t="str">
        <f>"1.568***"</f>
        <v>1.568***</v>
      </c>
      <c r="BB5" t="s">
        <v>2286</v>
      </c>
      <c r="BC5" t="s">
        <v>2285</v>
      </c>
      <c r="BD5" t="str">
        <f>"1.590***"</f>
        <v>1.590***</v>
      </c>
      <c r="BE5" t="s">
        <v>2284</v>
      </c>
      <c r="BF5" t="s">
        <v>2283</v>
      </c>
      <c r="BG5" t="str">
        <f>"1.606***"</f>
        <v>1.606***</v>
      </c>
      <c r="BH5" t="s">
        <v>2282</v>
      </c>
      <c r="BI5" t="s">
        <v>2281</v>
      </c>
      <c r="BJ5" t="str">
        <f>"1.627***"</f>
        <v>1.627***</v>
      </c>
      <c r="BK5" t="s">
        <v>2280</v>
      </c>
      <c r="BL5" t="s">
        <v>2279</v>
      </c>
      <c r="BM5" t="str">
        <f>"1.641***"</f>
        <v>1.641***</v>
      </c>
      <c r="BN5" t="s">
        <v>2278</v>
      </c>
      <c r="BO5" t="s">
        <v>2277</v>
      </c>
      <c r="BP5" t="str">
        <f>"1.653***"</f>
        <v>1.653***</v>
      </c>
      <c r="BQ5" t="s">
        <v>2276</v>
      </c>
      <c r="BR5" t="s">
        <v>2275</v>
      </c>
      <c r="BS5" t="str">
        <f>"1.671***"</f>
        <v>1.671***</v>
      </c>
      <c r="BT5" t="s">
        <v>2274</v>
      </c>
      <c r="BU5" t="s">
        <v>2273</v>
      </c>
      <c r="BV5" t="str">
        <f>"1.685***"</f>
        <v>1.685***</v>
      </c>
      <c r="BW5" t="s">
        <v>2272</v>
      </c>
      <c r="BX5" t="s">
        <v>2271</v>
      </c>
      <c r="BY5" t="str">
        <f>"1.705***"</f>
        <v>1.705***</v>
      </c>
      <c r="BZ5" t="s">
        <v>2270</v>
      </c>
      <c r="CA5" t="s">
        <v>2269</v>
      </c>
      <c r="CB5" t="str">
        <f>"1.721***"</f>
        <v>1.721***</v>
      </c>
      <c r="CC5" t="s">
        <v>2268</v>
      </c>
      <c r="CD5" t="s">
        <v>2267</v>
      </c>
      <c r="CE5" t="str">
        <f>"1.736***"</f>
        <v>1.736***</v>
      </c>
      <c r="CF5" t="s">
        <v>3899</v>
      </c>
      <c r="CG5" t="s">
        <v>2265</v>
      </c>
      <c r="CH5" t="str">
        <f>"1.747***"</f>
        <v>1.747***</v>
      </c>
      <c r="CI5" t="s">
        <v>3900</v>
      </c>
      <c r="CJ5" t="s">
        <v>2263</v>
      </c>
      <c r="CK5" t="str">
        <f>"1.756***"</f>
        <v>1.756***</v>
      </c>
      <c r="CL5" t="s">
        <v>2262</v>
      </c>
      <c r="CM5" t="s">
        <v>2261</v>
      </c>
      <c r="CN5" t="str">
        <f>"1.767***"</f>
        <v>1.767***</v>
      </c>
      <c r="CO5" t="s">
        <v>3901</v>
      </c>
      <c r="CP5" t="s">
        <v>2259</v>
      </c>
      <c r="CQ5" t="str">
        <f>"1.777***"</f>
        <v>1.777***</v>
      </c>
      <c r="CR5" t="s">
        <v>2258</v>
      </c>
      <c r="CS5" t="s">
        <v>2257</v>
      </c>
      <c r="CT5" t="str">
        <f>"1.787***"</f>
        <v>1.787***</v>
      </c>
      <c r="CU5" t="s">
        <v>2256</v>
      </c>
      <c r="CV5" t="s">
        <v>2255</v>
      </c>
      <c r="CW5" t="str">
        <f>"1.810***"</f>
        <v>1.810***</v>
      </c>
      <c r="CX5" t="s">
        <v>2254</v>
      </c>
      <c r="CY5" t="s">
        <v>3902</v>
      </c>
      <c r="CZ5" t="str">
        <f>"1.825***"</f>
        <v>1.825***</v>
      </c>
      <c r="DA5" t="s">
        <v>2252</v>
      </c>
      <c r="DB5" t="s">
        <v>3903</v>
      </c>
      <c r="DC5" t="str">
        <f>"1.838***"</f>
        <v>1.838***</v>
      </c>
      <c r="DD5" t="s">
        <v>2250</v>
      </c>
      <c r="DE5" t="s">
        <v>2249</v>
      </c>
      <c r="DF5" t="str">
        <f>"1.854***"</f>
        <v>1.854***</v>
      </c>
      <c r="DG5" t="s">
        <v>2248</v>
      </c>
      <c r="DH5" t="s">
        <v>3904</v>
      </c>
      <c r="DI5" t="str">
        <f>"1.870***"</f>
        <v>1.870***</v>
      </c>
      <c r="DJ5" t="s">
        <v>2246</v>
      </c>
      <c r="DK5" t="s">
        <v>2245</v>
      </c>
      <c r="DL5" t="str">
        <f>"1.888***"</f>
        <v>1.888***</v>
      </c>
      <c r="DM5" t="s">
        <v>2244</v>
      </c>
      <c r="DN5" t="s">
        <v>2243</v>
      </c>
      <c r="DO5" t="str">
        <f>"1.899***"</f>
        <v>1.899***</v>
      </c>
      <c r="DP5" t="s">
        <v>2242</v>
      </c>
      <c r="DQ5" t="s">
        <v>2241</v>
      </c>
      <c r="DR5" t="str">
        <f>"1.914***"</f>
        <v>1.914***</v>
      </c>
      <c r="DS5" t="s">
        <v>2240</v>
      </c>
      <c r="DT5" t="s">
        <v>2239</v>
      </c>
      <c r="DU5" t="str">
        <f>"1.930***"</f>
        <v>1.930***</v>
      </c>
      <c r="DV5" t="s">
        <v>3905</v>
      </c>
      <c r="DW5" t="s">
        <v>2237</v>
      </c>
      <c r="DX5" t="str">
        <f>"1.952***"</f>
        <v>1.952***</v>
      </c>
      <c r="DY5" t="s">
        <v>2236</v>
      </c>
      <c r="DZ5" t="s">
        <v>2235</v>
      </c>
      <c r="EA5" t="str">
        <f>"1.969***"</f>
        <v>1.969***</v>
      </c>
      <c r="EB5" t="s">
        <v>2234</v>
      </c>
      <c r="EC5" t="s">
        <v>2233</v>
      </c>
      <c r="ED5" t="str">
        <f>"1.993***"</f>
        <v>1.993***</v>
      </c>
      <c r="EE5" t="s">
        <v>3906</v>
      </c>
      <c r="EF5" t="s">
        <v>2231</v>
      </c>
      <c r="EG5" t="str">
        <f>"2.010***"</f>
        <v>2.010***</v>
      </c>
      <c r="EH5" t="s">
        <v>2230</v>
      </c>
      <c r="EI5" t="s">
        <v>3907</v>
      </c>
      <c r="EJ5" t="str">
        <f>"2.028***"</f>
        <v>2.028***</v>
      </c>
      <c r="EK5" t="s">
        <v>3908</v>
      </c>
      <c r="EL5" t="s">
        <v>2227</v>
      </c>
      <c r="EM5" t="str">
        <f>"2.030***"</f>
        <v>2.030***</v>
      </c>
      <c r="EN5" t="s">
        <v>2226</v>
      </c>
      <c r="EO5" t="s">
        <v>2225</v>
      </c>
      <c r="EP5" t="str">
        <f>"2.039***"</f>
        <v>2.039***</v>
      </c>
      <c r="EQ5" t="s">
        <v>3909</v>
      </c>
      <c r="ER5" t="s">
        <v>3910</v>
      </c>
      <c r="ES5" t="str">
        <f>"2.058***"</f>
        <v>2.058***</v>
      </c>
      <c r="ET5" t="s">
        <v>2222</v>
      </c>
      <c r="EU5" t="s">
        <v>2221</v>
      </c>
      <c r="EV5" t="str">
        <f>"2.070***"</f>
        <v>2.070***</v>
      </c>
      <c r="EW5" t="s">
        <v>2220</v>
      </c>
      <c r="EX5" t="s">
        <v>2219</v>
      </c>
      <c r="EY5" t="str">
        <f>"2.093***"</f>
        <v>2.093***</v>
      </c>
      <c r="EZ5" t="s">
        <v>2218</v>
      </c>
      <c r="FA5" t="s">
        <v>2217</v>
      </c>
      <c r="FB5" t="str">
        <f>"2.118***"</f>
        <v>2.118***</v>
      </c>
      <c r="FC5" t="s">
        <v>2216</v>
      </c>
      <c r="FD5" t="s">
        <v>3911</v>
      </c>
      <c r="FE5" t="str">
        <f>"2.138***"</f>
        <v>2.138***</v>
      </c>
      <c r="FF5" t="s">
        <v>3912</v>
      </c>
      <c r="FG5" t="s">
        <v>2213</v>
      </c>
      <c r="FH5" t="str">
        <f>"2.150***"</f>
        <v>2.150***</v>
      </c>
      <c r="FI5" t="s">
        <v>2212</v>
      </c>
      <c r="FJ5" t="s">
        <v>3913</v>
      </c>
      <c r="FK5" t="str">
        <f>"2.170***"</f>
        <v>2.170***</v>
      </c>
      <c r="FL5" t="s">
        <v>2210</v>
      </c>
      <c r="FM5" t="s">
        <v>3914</v>
      </c>
      <c r="FN5" t="str">
        <f>"2.201***"</f>
        <v>2.201***</v>
      </c>
      <c r="FO5" t="s">
        <v>2208</v>
      </c>
      <c r="FP5" t="s">
        <v>2207</v>
      </c>
      <c r="FQ5" t="str">
        <f>"2.224***"</f>
        <v>2.224***</v>
      </c>
      <c r="FR5" t="s">
        <v>2206</v>
      </c>
      <c r="FS5" t="s">
        <v>2205</v>
      </c>
      <c r="FT5" t="str">
        <f>"2.245***"</f>
        <v>2.245***</v>
      </c>
      <c r="FU5" t="s">
        <v>2204</v>
      </c>
      <c r="FV5" t="s">
        <v>3915</v>
      </c>
      <c r="FW5" t="str">
        <f>"2.246***"</f>
        <v>2.246***</v>
      </c>
      <c r="FX5" t="s">
        <v>3916</v>
      </c>
      <c r="FY5" t="s">
        <v>2201</v>
      </c>
      <c r="FZ5" t="str">
        <f>"2.259***"</f>
        <v>2.259***</v>
      </c>
      <c r="GA5" t="s">
        <v>2200</v>
      </c>
      <c r="GB5" t="s">
        <v>3917</v>
      </c>
      <c r="GC5" t="str">
        <f>"2.285***"</f>
        <v>2.285***</v>
      </c>
      <c r="GD5" t="s">
        <v>2198</v>
      </c>
      <c r="GE5" t="s">
        <v>3918</v>
      </c>
      <c r="GF5" t="str">
        <f>"2.311***"</f>
        <v>2.311***</v>
      </c>
      <c r="GG5" t="s">
        <v>2196</v>
      </c>
      <c r="GH5" t="s">
        <v>2195</v>
      </c>
      <c r="GI5" t="str">
        <f>"2.329***"</f>
        <v>2.329***</v>
      </c>
      <c r="GJ5" t="s">
        <v>2194</v>
      </c>
      <c r="GK5" t="s">
        <v>3919</v>
      </c>
      <c r="GL5" t="str">
        <f>"2.348***"</f>
        <v>2.348***</v>
      </c>
      <c r="GM5" t="s">
        <v>3920</v>
      </c>
      <c r="GN5" t="s">
        <v>3921</v>
      </c>
      <c r="GO5" t="str">
        <f>"2.386***"</f>
        <v>2.386***</v>
      </c>
      <c r="GP5" t="s">
        <v>2190</v>
      </c>
      <c r="GQ5" t="s">
        <v>2189</v>
      </c>
      <c r="GR5" t="str">
        <f>"2.414***"</f>
        <v>2.414***</v>
      </c>
      <c r="GS5" t="s">
        <v>2188</v>
      </c>
      <c r="GT5" t="s">
        <v>3922</v>
      </c>
      <c r="GU5" t="str">
        <f>"2.437***"</f>
        <v>2.437***</v>
      </c>
      <c r="GV5" t="s">
        <v>3923</v>
      </c>
      <c r="GW5" t="s">
        <v>2645</v>
      </c>
      <c r="GX5" t="str">
        <f>"2.441***"</f>
        <v>2.441***</v>
      </c>
      <c r="GY5" t="s">
        <v>2184</v>
      </c>
      <c r="GZ5" t="s">
        <v>2183</v>
      </c>
      <c r="HA5" t="str">
        <f>"2.468***"</f>
        <v>2.468***</v>
      </c>
      <c r="HB5" t="s">
        <v>3924</v>
      </c>
      <c r="HC5" t="s">
        <v>2181</v>
      </c>
      <c r="HD5" t="str">
        <f>"2.503***"</f>
        <v>2.503***</v>
      </c>
      <c r="HE5" t="s">
        <v>2180</v>
      </c>
      <c r="HF5" t="s">
        <v>2179</v>
      </c>
      <c r="HG5" t="str">
        <f>"2.531***"</f>
        <v>2.531***</v>
      </c>
      <c r="HH5" t="s">
        <v>2178</v>
      </c>
      <c r="HI5" t="s">
        <v>2177</v>
      </c>
      <c r="HJ5" t="str">
        <f>"2.550***"</f>
        <v>2.550***</v>
      </c>
      <c r="HK5" t="s">
        <v>2176</v>
      </c>
      <c r="HL5" t="s">
        <v>2175</v>
      </c>
      <c r="HM5" t="str">
        <f>"2.586***"</f>
        <v>2.586***</v>
      </c>
      <c r="HN5" t="s">
        <v>3925</v>
      </c>
      <c r="HO5" t="s">
        <v>2173</v>
      </c>
      <c r="HP5" t="str">
        <f>"2.627***"</f>
        <v>2.627***</v>
      </c>
      <c r="HQ5" t="s">
        <v>2172</v>
      </c>
      <c r="HR5" t="s">
        <v>2171</v>
      </c>
      <c r="HS5" t="str">
        <f>"2.660***"</f>
        <v>2.660***</v>
      </c>
      <c r="HT5" t="s">
        <v>2170</v>
      </c>
      <c r="HU5" t="s">
        <v>3926</v>
      </c>
      <c r="HV5" t="str">
        <f>"2.667***"</f>
        <v>2.667***</v>
      </c>
      <c r="HW5" t="s">
        <v>2168</v>
      </c>
      <c r="HX5" t="s">
        <v>2167</v>
      </c>
      <c r="HY5" t="str">
        <f>"2.719***"</f>
        <v>2.719***</v>
      </c>
      <c r="HZ5" t="s">
        <v>2166</v>
      </c>
      <c r="IA5" t="s">
        <v>2165</v>
      </c>
      <c r="IB5" t="str">
        <f>"2.749***"</f>
        <v>2.749***</v>
      </c>
      <c r="IC5" t="s">
        <v>2164</v>
      </c>
      <c r="ID5" t="s">
        <v>2163</v>
      </c>
      <c r="IE5" t="str">
        <f>"2.781***"</f>
        <v>2.781***</v>
      </c>
      <c r="IF5" t="s">
        <v>2162</v>
      </c>
      <c r="IG5" t="s">
        <v>2358</v>
      </c>
      <c r="IH5" t="str">
        <f>"2.833***"</f>
        <v>2.833***</v>
      </c>
      <c r="II5" t="s">
        <v>2160</v>
      </c>
      <c r="IJ5" t="s">
        <v>3927</v>
      </c>
      <c r="IK5" t="str">
        <f>"2.869***"</f>
        <v>2.869***</v>
      </c>
      <c r="IL5" t="s">
        <v>2158</v>
      </c>
      <c r="IM5" t="s">
        <v>2157</v>
      </c>
      <c r="IN5" t="str">
        <f>"2.933***"</f>
        <v>2.933***</v>
      </c>
      <c r="IO5" t="s">
        <v>3928</v>
      </c>
      <c r="IP5" t="s">
        <v>3929</v>
      </c>
      <c r="IQ5" t="str">
        <f>"2.942***"</f>
        <v>2.942***</v>
      </c>
      <c r="IR5" t="s">
        <v>3930</v>
      </c>
      <c r="IS5" t="s">
        <v>3931</v>
      </c>
      <c r="IT5" t="str">
        <f>"2.978***"</f>
        <v>2.978***</v>
      </c>
      <c r="IU5" t="s">
        <v>2152</v>
      </c>
      <c r="IV5" t="s">
        <v>2151</v>
      </c>
      <c r="IW5" t="str">
        <f>"3.042***"</f>
        <v>3.042***</v>
      </c>
      <c r="IX5" t="s">
        <v>3932</v>
      </c>
      <c r="IY5" t="s">
        <v>3933</v>
      </c>
      <c r="IZ5" t="str">
        <f>"3.117***"</f>
        <v>3.117***</v>
      </c>
      <c r="JA5" t="s">
        <v>3934</v>
      </c>
      <c r="JB5" t="s">
        <v>2147</v>
      </c>
      <c r="JC5" t="str">
        <f>"3.172***"</f>
        <v>3.172***</v>
      </c>
      <c r="JD5" t="s">
        <v>2146</v>
      </c>
      <c r="JE5" t="s">
        <v>3935</v>
      </c>
      <c r="JF5" t="str">
        <f>"3.222***"</f>
        <v>3.222***</v>
      </c>
      <c r="JG5" t="s">
        <v>2144</v>
      </c>
      <c r="JH5" t="s">
        <v>2143</v>
      </c>
      <c r="JI5" t="str">
        <f>"3.297***"</f>
        <v>3.297***</v>
      </c>
      <c r="JJ5" t="s">
        <v>2142</v>
      </c>
      <c r="JK5" t="s">
        <v>2141</v>
      </c>
      <c r="JL5" t="str">
        <f>"3.346***"</f>
        <v>3.346***</v>
      </c>
      <c r="JM5" t="s">
        <v>3936</v>
      </c>
      <c r="JN5" t="s">
        <v>3937</v>
      </c>
      <c r="JO5" t="str">
        <f>"3.429***"</f>
        <v>3.429***</v>
      </c>
      <c r="JP5" t="s">
        <v>3938</v>
      </c>
      <c r="JQ5" t="s">
        <v>3939</v>
      </c>
      <c r="JR5" t="str">
        <f>"3.523***"</f>
        <v>3.523***</v>
      </c>
      <c r="JS5" t="s">
        <v>3940</v>
      </c>
      <c r="JT5" t="s">
        <v>3941</v>
      </c>
      <c r="JU5" t="str">
        <f>"3.651***"</f>
        <v>3.651***</v>
      </c>
      <c r="JV5" t="s">
        <v>3942</v>
      </c>
      <c r="JW5" t="s">
        <v>3943</v>
      </c>
      <c r="JX5" t="str">
        <f>"3.747***"</f>
        <v>3.747***</v>
      </c>
      <c r="JY5" t="s">
        <v>3944</v>
      </c>
      <c r="JZ5" t="s">
        <v>2326</v>
      </c>
      <c r="KA5" t="str">
        <f>"3.864***"</f>
        <v>3.864***</v>
      </c>
      <c r="KB5" t="s">
        <v>3945</v>
      </c>
      <c r="KC5" t="s">
        <v>3946</v>
      </c>
      <c r="KD5" t="str">
        <f>"4.041***"</f>
        <v>4.041***</v>
      </c>
      <c r="KE5" t="s">
        <v>3947</v>
      </c>
      <c r="KF5" t="s">
        <v>2127</v>
      </c>
      <c r="KG5" t="str">
        <f>"4.294***"</f>
        <v>4.294***</v>
      </c>
      <c r="KH5" t="s">
        <v>3948</v>
      </c>
      <c r="KI5" t="s">
        <v>3949</v>
      </c>
      <c r="KJ5" t="str">
        <f>"4.609***"</f>
        <v>4.609***</v>
      </c>
      <c r="KK5" t="s">
        <v>2124</v>
      </c>
      <c r="KL5" t="s">
        <v>3950</v>
      </c>
    </row>
    <row r="6" spans="1:298" x14ac:dyDescent="0.2">
      <c r="A6" t="str">
        <f>"difference"</f>
        <v>difference</v>
      </c>
      <c r="B6" t="str">
        <f>"0.267***"</f>
        <v>0.267***</v>
      </c>
      <c r="C6" t="s">
        <v>3951</v>
      </c>
      <c r="D6" t="s">
        <v>3952</v>
      </c>
      <c r="E6" t="str">
        <f>"0.178***"</f>
        <v>0.178***</v>
      </c>
      <c r="F6" t="s">
        <v>3953</v>
      </c>
      <c r="G6" t="s">
        <v>3954</v>
      </c>
      <c r="H6" t="str">
        <f>"0.169***"</f>
        <v>0.169***</v>
      </c>
      <c r="I6" t="s">
        <v>3955</v>
      </c>
      <c r="J6" t="s">
        <v>3956</v>
      </c>
      <c r="K6" t="str">
        <f>"0.197***"</f>
        <v>0.197***</v>
      </c>
      <c r="L6" t="s">
        <v>3957</v>
      </c>
      <c r="M6" t="s">
        <v>3958</v>
      </c>
      <c r="N6" t="str">
        <f>"0.141***"</f>
        <v>0.141***</v>
      </c>
      <c r="O6" t="s">
        <v>3959</v>
      </c>
      <c r="P6" t="s">
        <v>3960</v>
      </c>
      <c r="Q6" t="str">
        <f>"0.149***"</f>
        <v>0.149***</v>
      </c>
      <c r="R6" t="s">
        <v>3961</v>
      </c>
      <c r="S6" t="s">
        <v>3962</v>
      </c>
      <c r="T6" t="str">
        <f>"0.145***"</f>
        <v>0.145***</v>
      </c>
      <c r="U6" t="s">
        <v>3963</v>
      </c>
      <c r="V6" t="s">
        <v>3964</v>
      </c>
      <c r="W6" t="str">
        <f>"0.143***"</f>
        <v>0.143***</v>
      </c>
      <c r="X6" t="s">
        <v>3965</v>
      </c>
      <c r="Y6" t="s">
        <v>3966</v>
      </c>
      <c r="Z6" t="str">
        <f>"0.167***"</f>
        <v>0.167***</v>
      </c>
      <c r="AA6" t="s">
        <v>3967</v>
      </c>
      <c r="AB6" t="s">
        <v>3968</v>
      </c>
      <c r="AC6" t="str">
        <f>"0.113***"</f>
        <v>0.113***</v>
      </c>
      <c r="AD6" t="s">
        <v>2055</v>
      </c>
      <c r="AE6" t="s">
        <v>3969</v>
      </c>
      <c r="AF6" t="str">
        <f>"0.152***"</f>
        <v>0.152***</v>
      </c>
      <c r="AG6" t="s">
        <v>3970</v>
      </c>
      <c r="AH6" t="s">
        <v>3971</v>
      </c>
      <c r="AI6" t="str">
        <f>"0.186***"</f>
        <v>0.186***</v>
      </c>
      <c r="AJ6" t="s">
        <v>3972</v>
      </c>
      <c r="AK6" t="s">
        <v>3973</v>
      </c>
      <c r="AL6" t="str">
        <f>"0.148***"</f>
        <v>0.148***</v>
      </c>
      <c r="AM6" t="s">
        <v>3974</v>
      </c>
      <c r="AN6" t="s">
        <v>3975</v>
      </c>
      <c r="AO6" t="str">
        <f>"0.146***"</f>
        <v>0.146***</v>
      </c>
      <c r="AP6" t="s">
        <v>3976</v>
      </c>
      <c r="AQ6" t="s">
        <v>3977</v>
      </c>
      <c r="AR6" t="str">
        <f>"0.137***"</f>
        <v>0.137***</v>
      </c>
      <c r="AS6" t="s">
        <v>3978</v>
      </c>
      <c r="AT6" t="s">
        <v>3979</v>
      </c>
      <c r="AU6" t="str">
        <f>"0.136***"</f>
        <v>0.136***</v>
      </c>
      <c r="AV6" t="s">
        <v>3980</v>
      </c>
      <c r="AW6" t="s">
        <v>3981</v>
      </c>
      <c r="AX6" t="str">
        <f>"0.150***"</f>
        <v>0.150***</v>
      </c>
      <c r="AY6" t="s">
        <v>3982</v>
      </c>
      <c r="AZ6" t="s">
        <v>3983</v>
      </c>
      <c r="BA6" t="str">
        <f>"0.150***"</f>
        <v>0.150***</v>
      </c>
      <c r="BB6" t="s">
        <v>313</v>
      </c>
      <c r="BC6" t="s">
        <v>3984</v>
      </c>
      <c r="BD6" t="str">
        <f>"0.154***"</f>
        <v>0.154***</v>
      </c>
      <c r="BE6" t="s">
        <v>3985</v>
      </c>
      <c r="BF6" t="s">
        <v>3986</v>
      </c>
      <c r="BG6" t="str">
        <f>"0.146***"</f>
        <v>0.146***</v>
      </c>
      <c r="BH6" t="s">
        <v>3987</v>
      </c>
      <c r="BI6" t="s">
        <v>3988</v>
      </c>
      <c r="BJ6" t="str">
        <f>"0.131***"</f>
        <v>0.131***</v>
      </c>
      <c r="BK6" t="s">
        <v>3989</v>
      </c>
      <c r="BL6" t="s">
        <v>3990</v>
      </c>
      <c r="BM6" t="str">
        <f>"0.154***"</f>
        <v>0.154***</v>
      </c>
      <c r="BN6" t="s">
        <v>3246</v>
      </c>
      <c r="BO6" t="s">
        <v>3991</v>
      </c>
      <c r="BP6" t="str">
        <f>"0.149***"</f>
        <v>0.149***</v>
      </c>
      <c r="BQ6" t="s">
        <v>3992</v>
      </c>
      <c r="BR6" t="s">
        <v>3993</v>
      </c>
      <c r="BS6" t="str">
        <f>"0.131***"</f>
        <v>0.131***</v>
      </c>
      <c r="BT6" t="s">
        <v>3994</v>
      </c>
      <c r="BU6" t="s">
        <v>3995</v>
      </c>
      <c r="BV6" t="str">
        <f>"0.121***"</f>
        <v>0.121***</v>
      </c>
      <c r="BW6" t="s">
        <v>3996</v>
      </c>
      <c r="BX6" t="s">
        <v>3997</v>
      </c>
      <c r="BY6" t="str">
        <f>"0.105***"</f>
        <v>0.105***</v>
      </c>
      <c r="BZ6" t="s">
        <v>3998</v>
      </c>
      <c r="CA6" t="s">
        <v>3999</v>
      </c>
      <c r="CB6" t="str">
        <f>"0.118***"</f>
        <v>0.118***</v>
      </c>
      <c r="CC6" t="s">
        <v>4000</v>
      </c>
      <c r="CD6" t="s">
        <v>4001</v>
      </c>
      <c r="CE6" t="str">
        <f>"0.108***"</f>
        <v>0.108***</v>
      </c>
      <c r="CF6" t="s">
        <v>4002</v>
      </c>
      <c r="CG6" t="s">
        <v>4003</v>
      </c>
      <c r="CH6" t="str">
        <f>"0.105***"</f>
        <v>0.105***</v>
      </c>
      <c r="CI6" t="s">
        <v>2056</v>
      </c>
      <c r="CJ6" t="s">
        <v>2009</v>
      </c>
      <c r="CK6" t="str">
        <f>"0.104***"</f>
        <v>0.104***</v>
      </c>
      <c r="CL6" t="s">
        <v>4004</v>
      </c>
      <c r="CM6" t="s">
        <v>2938</v>
      </c>
      <c r="CN6" t="str">
        <f>"0.114***"</f>
        <v>0.114***</v>
      </c>
      <c r="CO6" t="s">
        <v>2058</v>
      </c>
      <c r="CP6" t="s">
        <v>365</v>
      </c>
      <c r="CQ6" t="str">
        <f>"0.112***"</f>
        <v>0.112***</v>
      </c>
      <c r="CR6" t="s">
        <v>2948</v>
      </c>
      <c r="CS6" t="s">
        <v>4005</v>
      </c>
      <c r="CT6" t="str">
        <f>"0.108***"</f>
        <v>0.108***</v>
      </c>
      <c r="CU6" t="s">
        <v>4006</v>
      </c>
      <c r="CV6" t="s">
        <v>4007</v>
      </c>
      <c r="CW6" t="str">
        <f>"0.102***"</f>
        <v>0.102***</v>
      </c>
      <c r="CX6" t="s">
        <v>4008</v>
      </c>
      <c r="CY6" t="s">
        <v>3222</v>
      </c>
      <c r="CZ6" t="str">
        <f>"0.125***"</f>
        <v>0.125***</v>
      </c>
      <c r="DA6" t="s">
        <v>4009</v>
      </c>
      <c r="DB6" t="s">
        <v>4010</v>
      </c>
      <c r="DC6" t="str">
        <f>"0.131***"</f>
        <v>0.131***</v>
      </c>
      <c r="DD6" t="s">
        <v>4011</v>
      </c>
      <c r="DE6" t="s">
        <v>3493</v>
      </c>
      <c r="DF6" t="str">
        <f>"0.127***"</f>
        <v>0.127***</v>
      </c>
      <c r="DG6" t="s">
        <v>4012</v>
      </c>
      <c r="DH6" t="s">
        <v>4013</v>
      </c>
      <c r="DI6" t="str">
        <f>"0.113***"</f>
        <v>0.113***</v>
      </c>
      <c r="DJ6" t="s">
        <v>2948</v>
      </c>
      <c r="DK6" t="s">
        <v>2057</v>
      </c>
      <c r="DL6" t="str">
        <f>"0.101***"</f>
        <v>0.101***</v>
      </c>
      <c r="DM6" t="s">
        <v>4014</v>
      </c>
      <c r="DN6" t="s">
        <v>1817</v>
      </c>
      <c r="DO6" t="str">
        <f>"0.110***"</f>
        <v>0.110***</v>
      </c>
      <c r="DP6" t="s">
        <v>4015</v>
      </c>
      <c r="DQ6" t="s">
        <v>2075</v>
      </c>
      <c r="DR6" t="str">
        <f>"0.115***"</f>
        <v>0.115***</v>
      </c>
      <c r="DS6" t="s">
        <v>4016</v>
      </c>
      <c r="DT6" t="s">
        <v>3215</v>
      </c>
      <c r="DU6" t="str">
        <f>"0.117***"</f>
        <v>0.117***</v>
      </c>
      <c r="DV6" t="s">
        <v>4017</v>
      </c>
      <c r="DW6" t="s">
        <v>4018</v>
      </c>
      <c r="DX6" t="str">
        <f>"0.113***"</f>
        <v>0.113***</v>
      </c>
      <c r="DY6" t="s">
        <v>4019</v>
      </c>
      <c r="DZ6" t="s">
        <v>1803</v>
      </c>
      <c r="EA6" t="str">
        <f>"0.120***"</f>
        <v>0.120***</v>
      </c>
      <c r="EB6" t="s">
        <v>4020</v>
      </c>
      <c r="EC6" t="s">
        <v>4021</v>
      </c>
      <c r="ED6" t="str">
        <f>"0.102***"</f>
        <v>0.102***</v>
      </c>
      <c r="EE6" t="s">
        <v>4022</v>
      </c>
      <c r="EF6" t="s">
        <v>1774</v>
      </c>
      <c r="EG6" t="str">
        <f>"0.104***"</f>
        <v>0.104***</v>
      </c>
      <c r="EH6" t="s">
        <v>4023</v>
      </c>
      <c r="EI6" t="s">
        <v>4024</v>
      </c>
      <c r="EJ6" t="str">
        <f>"0.0882***"</f>
        <v>0.0882***</v>
      </c>
      <c r="EK6" t="s">
        <v>4025</v>
      </c>
      <c r="EL6" t="s">
        <v>2071</v>
      </c>
      <c r="EM6" t="str">
        <f>"0.107***"</f>
        <v>0.107***</v>
      </c>
      <c r="EN6" t="s">
        <v>4026</v>
      </c>
      <c r="EO6" t="s">
        <v>4027</v>
      </c>
      <c r="EP6" t="str">
        <f>"0.108***"</f>
        <v>0.108***</v>
      </c>
      <c r="EQ6" t="s">
        <v>4028</v>
      </c>
      <c r="ER6" t="s">
        <v>4029</v>
      </c>
      <c r="ES6" t="str">
        <f>"0.117***"</f>
        <v>0.117***</v>
      </c>
      <c r="ET6" t="s">
        <v>2952</v>
      </c>
      <c r="EU6" t="s">
        <v>1438</v>
      </c>
      <c r="EV6" t="str">
        <f>"0.133***"</f>
        <v>0.133***</v>
      </c>
      <c r="EW6" t="s">
        <v>1822</v>
      </c>
      <c r="EX6" t="s">
        <v>3663</v>
      </c>
      <c r="EY6" t="str">
        <f>"0.124***"</f>
        <v>0.124***</v>
      </c>
      <c r="EZ6" t="s">
        <v>4030</v>
      </c>
      <c r="FA6" t="s">
        <v>3868</v>
      </c>
      <c r="FB6" t="str">
        <f>"0.0911***"</f>
        <v>0.0911***</v>
      </c>
      <c r="FC6" t="s">
        <v>4031</v>
      </c>
      <c r="FD6" t="s">
        <v>2933</v>
      </c>
      <c r="FE6" t="str">
        <f>"0.0916***"</f>
        <v>0.0916***</v>
      </c>
      <c r="FF6" t="s">
        <v>1798</v>
      </c>
      <c r="FG6" t="s">
        <v>2041</v>
      </c>
      <c r="FH6" t="str">
        <f>"0.118***"</f>
        <v>0.118***</v>
      </c>
      <c r="FI6" t="s">
        <v>2952</v>
      </c>
      <c r="FJ6" t="s">
        <v>4032</v>
      </c>
      <c r="FK6" t="str">
        <f>"0.102***"</f>
        <v>0.102***</v>
      </c>
      <c r="FL6" t="s">
        <v>4033</v>
      </c>
      <c r="FM6" t="s">
        <v>4034</v>
      </c>
      <c r="FN6" t="str">
        <f>"0.0907***"</f>
        <v>0.0907***</v>
      </c>
      <c r="FO6" t="s">
        <v>4035</v>
      </c>
      <c r="FP6" t="s">
        <v>4036</v>
      </c>
      <c r="FQ6" t="str">
        <f>"0.0866***"</f>
        <v>0.0866***</v>
      </c>
      <c r="FR6" t="s">
        <v>3199</v>
      </c>
      <c r="FS6" t="s">
        <v>2071</v>
      </c>
      <c r="FT6" t="str">
        <f>"0.0736***"</f>
        <v>0.0736***</v>
      </c>
      <c r="FU6" t="s">
        <v>3190</v>
      </c>
      <c r="FV6" t="s">
        <v>4037</v>
      </c>
      <c r="FW6" t="str">
        <f>"0.103***"</f>
        <v>0.103***</v>
      </c>
      <c r="FX6" t="s">
        <v>4038</v>
      </c>
      <c r="FY6" t="s">
        <v>2019</v>
      </c>
      <c r="FZ6" t="str">
        <f>"0.130***"</f>
        <v>0.130***</v>
      </c>
      <c r="GA6" t="s">
        <v>4039</v>
      </c>
      <c r="GB6" t="s">
        <v>4040</v>
      </c>
      <c r="GC6" t="str">
        <f>"0.115***"</f>
        <v>0.115***</v>
      </c>
      <c r="GD6" t="s">
        <v>2948</v>
      </c>
      <c r="GE6" t="s">
        <v>4041</v>
      </c>
      <c r="GF6" t="str">
        <f>"0.0910***"</f>
        <v>0.0910***</v>
      </c>
      <c r="GG6" t="s">
        <v>4042</v>
      </c>
      <c r="GH6" t="s">
        <v>4043</v>
      </c>
      <c r="GI6" t="str">
        <f>"0.108***"</f>
        <v>0.108***</v>
      </c>
      <c r="GJ6" t="s">
        <v>4004</v>
      </c>
      <c r="GK6" t="s">
        <v>4044</v>
      </c>
      <c r="GL6" t="str">
        <f>"0.144***"</f>
        <v>0.144***</v>
      </c>
      <c r="GM6" t="s">
        <v>4045</v>
      </c>
      <c r="GN6" t="s">
        <v>2968</v>
      </c>
      <c r="GO6" t="str">
        <f>"0.118***"</f>
        <v>0.118***</v>
      </c>
      <c r="GP6" t="s">
        <v>2061</v>
      </c>
      <c r="GQ6" t="s">
        <v>4046</v>
      </c>
      <c r="GR6" t="str">
        <f>"0.0812***"</f>
        <v>0.0812***</v>
      </c>
      <c r="GS6" t="s">
        <v>4047</v>
      </c>
      <c r="GT6" t="s">
        <v>4048</v>
      </c>
      <c r="GU6" t="str">
        <f>"0.0627***"</f>
        <v>0.0627***</v>
      </c>
      <c r="GV6" t="s">
        <v>3181</v>
      </c>
      <c r="GW6" t="s">
        <v>1203</v>
      </c>
      <c r="GX6" t="str">
        <f>"0.0614***"</f>
        <v>0.0614***</v>
      </c>
      <c r="GY6" t="s">
        <v>4049</v>
      </c>
      <c r="GZ6" t="s">
        <v>2907</v>
      </c>
      <c r="HA6" t="str">
        <f>"0.0698***"</f>
        <v>0.0698***</v>
      </c>
      <c r="HB6" t="s">
        <v>4050</v>
      </c>
      <c r="HC6" t="s">
        <v>4051</v>
      </c>
      <c r="HD6" t="str">
        <f>"0.0802***"</f>
        <v>0.0802***</v>
      </c>
      <c r="HE6" t="s">
        <v>4052</v>
      </c>
      <c r="HF6" t="s">
        <v>464</v>
      </c>
      <c r="HG6" t="str">
        <f>"0.0904***"</f>
        <v>0.0904***</v>
      </c>
      <c r="HH6" t="s">
        <v>4053</v>
      </c>
      <c r="HI6" t="s">
        <v>373</v>
      </c>
      <c r="HJ6" t="str">
        <f>"0.0895***"</f>
        <v>0.0895***</v>
      </c>
      <c r="HK6" t="s">
        <v>4054</v>
      </c>
      <c r="HL6" t="s">
        <v>4055</v>
      </c>
      <c r="HM6" t="str">
        <f>"0.0933***"</f>
        <v>0.0933***</v>
      </c>
      <c r="HN6" t="s">
        <v>1784</v>
      </c>
      <c r="HO6" t="s">
        <v>4056</v>
      </c>
      <c r="HP6" t="str">
        <f>"0.0903***"</f>
        <v>0.0903***</v>
      </c>
      <c r="HQ6" t="s">
        <v>4053</v>
      </c>
      <c r="HR6" t="s">
        <v>4057</v>
      </c>
      <c r="HS6" t="str">
        <f>"0.0610***"</f>
        <v>0.0610***</v>
      </c>
      <c r="HT6" t="s">
        <v>4058</v>
      </c>
      <c r="HU6" t="s">
        <v>4059</v>
      </c>
      <c r="HV6" t="str">
        <f>"0.109***"</f>
        <v>0.109***</v>
      </c>
      <c r="HW6" t="s">
        <v>3219</v>
      </c>
      <c r="HX6" t="s">
        <v>4060</v>
      </c>
      <c r="HY6" t="str">
        <f>"0.0857***"</f>
        <v>0.0857***</v>
      </c>
      <c r="HZ6" t="s">
        <v>1861</v>
      </c>
      <c r="IA6" t="s">
        <v>4061</v>
      </c>
      <c r="IB6" t="str">
        <f>"0.0803***"</f>
        <v>0.0803***</v>
      </c>
      <c r="IC6" t="s">
        <v>1580</v>
      </c>
      <c r="ID6" t="s">
        <v>4062</v>
      </c>
      <c r="IE6" t="str">
        <f>"0.114***"</f>
        <v>0.114***</v>
      </c>
      <c r="IF6" t="s">
        <v>2040</v>
      </c>
      <c r="IG6" t="s">
        <v>3612</v>
      </c>
      <c r="IH6" t="str">
        <f>"0.0669***"</f>
        <v>0.0669***</v>
      </c>
      <c r="II6" t="s">
        <v>4063</v>
      </c>
      <c r="IJ6" t="s">
        <v>1581</v>
      </c>
      <c r="IK6" t="str">
        <f>"0.0414***"</f>
        <v>0.0414***</v>
      </c>
      <c r="IL6" t="s">
        <v>4064</v>
      </c>
      <c r="IM6" t="s">
        <v>511</v>
      </c>
      <c r="IN6" t="str">
        <f>"0.0314***"</f>
        <v>0.0314***</v>
      </c>
      <c r="IO6" t="s">
        <v>1519</v>
      </c>
      <c r="IP6" t="s">
        <v>520</v>
      </c>
      <c r="IQ6" t="str">
        <f>"0.0705***"</f>
        <v>0.0705***</v>
      </c>
      <c r="IR6" t="s">
        <v>1967</v>
      </c>
      <c r="IS6" t="s">
        <v>4065</v>
      </c>
      <c r="IT6" t="str">
        <f>"0.0861***"</f>
        <v>0.0861***</v>
      </c>
      <c r="IU6" t="s">
        <v>1779</v>
      </c>
      <c r="IV6" t="s">
        <v>1809</v>
      </c>
      <c r="IW6" t="str">
        <f>"0.0918***"</f>
        <v>0.0918***</v>
      </c>
      <c r="IX6" t="s">
        <v>4066</v>
      </c>
      <c r="IY6" t="s">
        <v>4067</v>
      </c>
      <c r="IZ6" t="str">
        <f>"0.0868***"</f>
        <v>0.0868***</v>
      </c>
      <c r="JA6" t="s">
        <v>4068</v>
      </c>
      <c r="JB6" t="s">
        <v>4069</v>
      </c>
      <c r="JC6" t="str">
        <f>"0.0264***"</f>
        <v>0.0264***</v>
      </c>
      <c r="JD6" t="s">
        <v>1545</v>
      </c>
      <c r="JE6" t="s">
        <v>3622</v>
      </c>
      <c r="JF6" t="str">
        <f>"0.0491***"</f>
        <v>0.0491***</v>
      </c>
      <c r="JG6" t="s">
        <v>1982</v>
      </c>
      <c r="JH6" t="s">
        <v>4070</v>
      </c>
      <c r="JI6" t="str">
        <f>"0.0384***"</f>
        <v>0.0384***</v>
      </c>
      <c r="JJ6" t="s">
        <v>1694</v>
      </c>
      <c r="JK6" t="s">
        <v>244</v>
      </c>
      <c r="JL6" t="str">
        <f>"0.0681***"</f>
        <v>0.0681***</v>
      </c>
      <c r="JM6" t="s">
        <v>2899</v>
      </c>
      <c r="JN6" t="s">
        <v>3456</v>
      </c>
      <c r="JO6" t="str">
        <f>"0.0112"</f>
        <v>0.0112</v>
      </c>
      <c r="JP6" t="s">
        <v>1100</v>
      </c>
      <c r="JQ6" t="s">
        <v>1388</v>
      </c>
      <c r="JR6" t="str">
        <f>"0.0359**"</f>
        <v>0.0359**</v>
      </c>
      <c r="JS6" t="s">
        <v>3261</v>
      </c>
      <c r="JT6" t="s">
        <v>1606</v>
      </c>
      <c r="JU6" t="str">
        <f>"0.00137"</f>
        <v>0.00137</v>
      </c>
      <c r="JV6" t="s">
        <v>495</v>
      </c>
      <c r="JW6" t="s">
        <v>4071</v>
      </c>
      <c r="JX6" t="str">
        <f>"0.0131"</f>
        <v>0.0131</v>
      </c>
      <c r="JY6" t="s">
        <v>4072</v>
      </c>
      <c r="JZ6" t="s">
        <v>4073</v>
      </c>
      <c r="KA6" t="str">
        <f>"0.0225"</f>
        <v>0.0225</v>
      </c>
      <c r="KB6" t="s">
        <v>1118</v>
      </c>
      <c r="KC6" t="s">
        <v>1614</v>
      </c>
      <c r="KD6" t="str">
        <f>"0.0633***"</f>
        <v>0.0633***</v>
      </c>
      <c r="KE6" t="s">
        <v>2853</v>
      </c>
      <c r="KF6" t="s">
        <v>1996</v>
      </c>
      <c r="KG6" t="str">
        <f>"-0.00512"</f>
        <v>-0.00512</v>
      </c>
      <c r="KH6" t="s">
        <v>4074</v>
      </c>
      <c r="KI6" t="s">
        <v>3636</v>
      </c>
      <c r="KJ6" t="str">
        <f>"-0.000229"</f>
        <v>-0.000229</v>
      </c>
      <c r="KK6" t="s">
        <v>4075</v>
      </c>
      <c r="KL6" t="s">
        <v>1627</v>
      </c>
    </row>
    <row r="7" spans="1:298" x14ac:dyDescent="0.2">
      <c r="A7" t="str">
        <f>"explained"</f>
        <v>explained</v>
      </c>
      <c r="B7" t="str">
        <f>"0.0803***"</f>
        <v>0.0803***</v>
      </c>
      <c r="C7" t="s">
        <v>1876</v>
      </c>
      <c r="D7" t="s">
        <v>1854</v>
      </c>
      <c r="E7" t="str">
        <f>"0.109***"</f>
        <v>0.109***</v>
      </c>
      <c r="F7" t="s">
        <v>4076</v>
      </c>
      <c r="G7" t="s">
        <v>4077</v>
      </c>
      <c r="H7" t="str">
        <f>"0.106***"</f>
        <v>0.106***</v>
      </c>
      <c r="I7" t="s">
        <v>4078</v>
      </c>
      <c r="J7" t="s">
        <v>4044</v>
      </c>
      <c r="K7" t="str">
        <f>"0.105***"</f>
        <v>0.105***</v>
      </c>
      <c r="L7" t="s">
        <v>4079</v>
      </c>
      <c r="M7" t="s">
        <v>4080</v>
      </c>
      <c r="N7" t="str">
        <f>"0.0975***"</f>
        <v>0.0975***</v>
      </c>
      <c r="O7" t="s">
        <v>4081</v>
      </c>
      <c r="P7" t="s">
        <v>3518</v>
      </c>
      <c r="Q7" t="str">
        <f>"0.103***"</f>
        <v>0.103***</v>
      </c>
      <c r="R7" t="s">
        <v>309</v>
      </c>
      <c r="S7" t="s">
        <v>4082</v>
      </c>
      <c r="T7" t="str">
        <f>"0.0993***"</f>
        <v>0.0993***</v>
      </c>
      <c r="U7" t="s">
        <v>4083</v>
      </c>
      <c r="V7" t="s">
        <v>4084</v>
      </c>
      <c r="W7" t="str">
        <f>"0.0917***"</f>
        <v>0.0917***</v>
      </c>
      <c r="X7" t="s">
        <v>4085</v>
      </c>
      <c r="Y7" t="s">
        <v>2935</v>
      </c>
      <c r="Z7" t="str">
        <f>"0.0938***"</f>
        <v>0.0938***</v>
      </c>
      <c r="AA7" t="s">
        <v>4086</v>
      </c>
      <c r="AB7" t="s">
        <v>4087</v>
      </c>
      <c r="AC7" t="str">
        <f>"0.0762***"</f>
        <v>0.0762***</v>
      </c>
      <c r="AD7" t="s">
        <v>4088</v>
      </c>
      <c r="AE7" t="s">
        <v>4089</v>
      </c>
      <c r="AF7" t="str">
        <f>"0.0742***"</f>
        <v>0.0742***</v>
      </c>
      <c r="AG7" t="s">
        <v>4090</v>
      </c>
      <c r="AH7" t="s">
        <v>1795</v>
      </c>
      <c r="AI7" t="str">
        <f>"0.0703***"</f>
        <v>0.0703***</v>
      </c>
      <c r="AJ7" t="s">
        <v>1880</v>
      </c>
      <c r="AK7" t="s">
        <v>619</v>
      </c>
      <c r="AL7" t="str">
        <f>"0.0649***"</f>
        <v>0.0649***</v>
      </c>
      <c r="AM7" t="s">
        <v>4091</v>
      </c>
      <c r="AN7" t="s">
        <v>1990</v>
      </c>
      <c r="AO7" t="str">
        <f>"0.0605***"</f>
        <v>0.0605***</v>
      </c>
      <c r="AP7" t="s">
        <v>4092</v>
      </c>
      <c r="AQ7" t="s">
        <v>4093</v>
      </c>
      <c r="AR7" t="str">
        <f>"0.0522***"</f>
        <v>0.0522***</v>
      </c>
      <c r="AS7" t="s">
        <v>4094</v>
      </c>
      <c r="AT7" t="s">
        <v>4095</v>
      </c>
      <c r="AU7" t="str">
        <f>"0.0487***"</f>
        <v>0.0487***</v>
      </c>
      <c r="AV7" t="s">
        <v>4096</v>
      </c>
      <c r="AW7" t="s">
        <v>2893</v>
      </c>
      <c r="AX7" t="str">
        <f>"0.0472***"</f>
        <v>0.0472***</v>
      </c>
      <c r="AY7" t="s">
        <v>4097</v>
      </c>
      <c r="AZ7" t="s">
        <v>517</v>
      </c>
      <c r="BA7" t="str">
        <f>"0.0474***"</f>
        <v>0.0474***</v>
      </c>
      <c r="BB7" t="s">
        <v>4098</v>
      </c>
      <c r="BC7" t="s">
        <v>1908</v>
      </c>
      <c r="BD7" t="str">
        <f>"0.0468***"</f>
        <v>0.0468***</v>
      </c>
      <c r="BE7" t="s">
        <v>4099</v>
      </c>
      <c r="BF7" t="s">
        <v>3680</v>
      </c>
      <c r="BG7" t="str">
        <f>"0.0475***"</f>
        <v>0.0475***</v>
      </c>
      <c r="BH7" t="s">
        <v>4100</v>
      </c>
      <c r="BI7" t="s">
        <v>1910</v>
      </c>
      <c r="BJ7" t="str">
        <f>"0.0476***"</f>
        <v>0.0476***</v>
      </c>
      <c r="BK7" t="s">
        <v>4101</v>
      </c>
      <c r="BL7" t="s">
        <v>1910</v>
      </c>
      <c r="BM7" t="str">
        <f>"0.0488***"</f>
        <v>0.0488***</v>
      </c>
      <c r="BN7" t="s">
        <v>4102</v>
      </c>
      <c r="BO7" t="s">
        <v>4103</v>
      </c>
      <c r="BP7" t="str">
        <f>"0.0502***"</f>
        <v>0.0502***</v>
      </c>
      <c r="BQ7" t="s">
        <v>2894</v>
      </c>
      <c r="BR7" t="s">
        <v>1750</v>
      </c>
      <c r="BS7" t="str">
        <f>"0.0516***"</f>
        <v>0.0516***</v>
      </c>
      <c r="BT7" t="s">
        <v>1743</v>
      </c>
      <c r="BU7" t="s">
        <v>511</v>
      </c>
      <c r="BV7" t="str">
        <f>"0.0530***"</f>
        <v>0.0530***</v>
      </c>
      <c r="BW7" t="s">
        <v>4104</v>
      </c>
      <c r="BX7" t="s">
        <v>1976</v>
      </c>
      <c r="BY7" t="str">
        <f>"0.0534***"</f>
        <v>0.0534***</v>
      </c>
      <c r="BZ7" t="s">
        <v>4105</v>
      </c>
      <c r="CA7" t="s">
        <v>4106</v>
      </c>
      <c r="CB7" t="str">
        <f>"0.0540***"</f>
        <v>0.0540***</v>
      </c>
      <c r="CC7" t="s">
        <v>4107</v>
      </c>
      <c r="CD7" t="s">
        <v>4108</v>
      </c>
      <c r="CE7" t="str">
        <f>"0.0549***"</f>
        <v>0.0549***</v>
      </c>
      <c r="CF7" t="s">
        <v>1739</v>
      </c>
      <c r="CG7" t="s">
        <v>1902</v>
      </c>
      <c r="CH7" t="str">
        <f>"0.0567***"</f>
        <v>0.0567***</v>
      </c>
      <c r="CI7" t="s">
        <v>1893</v>
      </c>
      <c r="CJ7" t="s">
        <v>1895</v>
      </c>
      <c r="CK7" t="str">
        <f>"0.0588***"</f>
        <v>0.0588***</v>
      </c>
      <c r="CL7" t="s">
        <v>4109</v>
      </c>
      <c r="CM7" t="s">
        <v>767</v>
      </c>
      <c r="CN7" t="str">
        <f>"0.0610***"</f>
        <v>0.0610***</v>
      </c>
      <c r="CO7" t="s">
        <v>4110</v>
      </c>
      <c r="CP7" t="s">
        <v>1042</v>
      </c>
      <c r="CQ7" t="str">
        <f>"0.0637***"</f>
        <v>0.0637***</v>
      </c>
      <c r="CR7" t="s">
        <v>1882</v>
      </c>
      <c r="CS7" t="s">
        <v>4111</v>
      </c>
      <c r="CT7" t="str">
        <f>"0.0662***"</f>
        <v>0.0662***</v>
      </c>
      <c r="CU7" t="s">
        <v>3483</v>
      </c>
      <c r="CV7" t="s">
        <v>4112</v>
      </c>
      <c r="CW7" t="str">
        <f>"0.0697***"</f>
        <v>0.0697***</v>
      </c>
      <c r="CX7" t="s">
        <v>3191</v>
      </c>
      <c r="CY7" t="s">
        <v>4059</v>
      </c>
      <c r="CZ7" t="str">
        <f>"0.0728***"</f>
        <v>0.0728***</v>
      </c>
      <c r="DA7" t="s">
        <v>4113</v>
      </c>
      <c r="DB7" t="s">
        <v>3193</v>
      </c>
      <c r="DC7" t="str">
        <f>"0.0752***"</f>
        <v>0.0752***</v>
      </c>
      <c r="DD7" t="s">
        <v>4114</v>
      </c>
      <c r="DE7" t="s">
        <v>4115</v>
      </c>
      <c r="DF7" t="str">
        <f>"0.0779***"</f>
        <v>0.0779***</v>
      </c>
      <c r="DG7" t="s">
        <v>307</v>
      </c>
      <c r="DH7" t="s">
        <v>4116</v>
      </c>
      <c r="DI7" t="str">
        <f>"0.0820***"</f>
        <v>0.0820***</v>
      </c>
      <c r="DJ7" t="s">
        <v>4053</v>
      </c>
      <c r="DK7" t="s">
        <v>4117</v>
      </c>
      <c r="DL7" t="str">
        <f>"0.0851***"</f>
        <v>0.0851***</v>
      </c>
      <c r="DM7" t="s">
        <v>4118</v>
      </c>
      <c r="DN7" t="s">
        <v>4119</v>
      </c>
      <c r="DO7" t="str">
        <f>"0.0889***"</f>
        <v>0.0889***</v>
      </c>
      <c r="DP7" t="s">
        <v>4120</v>
      </c>
      <c r="DQ7" t="s">
        <v>1996</v>
      </c>
      <c r="DR7" t="str">
        <f>"0.0915***"</f>
        <v>0.0915***</v>
      </c>
      <c r="DS7" t="s">
        <v>4121</v>
      </c>
      <c r="DT7" t="s">
        <v>2069</v>
      </c>
      <c r="DU7" t="str">
        <f>"0.0946***"</f>
        <v>0.0946***</v>
      </c>
      <c r="DV7" t="s">
        <v>4122</v>
      </c>
      <c r="DW7" t="s">
        <v>4123</v>
      </c>
      <c r="DX7" t="str">
        <f>"0.0971***"</f>
        <v>0.0971***</v>
      </c>
      <c r="DY7" t="s">
        <v>4124</v>
      </c>
      <c r="DZ7" t="s">
        <v>4125</v>
      </c>
      <c r="EA7" t="str">
        <f>"0.0984***"</f>
        <v>0.0984***</v>
      </c>
      <c r="EB7" t="s">
        <v>4126</v>
      </c>
      <c r="EC7" t="s">
        <v>4127</v>
      </c>
      <c r="ED7" t="str">
        <f>"0.0993***"</f>
        <v>0.0993***</v>
      </c>
      <c r="EE7" t="s">
        <v>4128</v>
      </c>
      <c r="EF7" t="s">
        <v>4129</v>
      </c>
      <c r="EG7" t="str">
        <f>"0.0999***"</f>
        <v>0.0999***</v>
      </c>
      <c r="EH7" t="s">
        <v>3221</v>
      </c>
      <c r="EI7" t="s">
        <v>4130</v>
      </c>
      <c r="EJ7" t="str">
        <f>"0.101***"</f>
        <v>0.101***</v>
      </c>
      <c r="EK7" t="s">
        <v>3219</v>
      </c>
      <c r="EL7" t="s">
        <v>2064</v>
      </c>
      <c r="EM7" t="str">
        <f>"0.104***"</f>
        <v>0.104***</v>
      </c>
      <c r="EN7" t="s">
        <v>3331</v>
      </c>
      <c r="EO7" t="s">
        <v>1817</v>
      </c>
      <c r="EP7" t="str">
        <f>"0.105***"</f>
        <v>0.105***</v>
      </c>
      <c r="EQ7" t="s">
        <v>1820</v>
      </c>
      <c r="ER7" t="s">
        <v>4131</v>
      </c>
      <c r="ES7" t="str">
        <f>"0.109***"</f>
        <v>0.109***</v>
      </c>
      <c r="ET7" t="s">
        <v>4132</v>
      </c>
      <c r="EU7" t="s">
        <v>4027</v>
      </c>
      <c r="EV7" t="str">
        <f>"0.112***"</f>
        <v>0.112***</v>
      </c>
      <c r="EW7" t="s">
        <v>4133</v>
      </c>
      <c r="EX7" t="s">
        <v>4044</v>
      </c>
      <c r="EY7" t="str">
        <f>"0.119***"</f>
        <v>0.119***</v>
      </c>
      <c r="EZ7" t="s">
        <v>4134</v>
      </c>
      <c r="FA7" t="s">
        <v>4135</v>
      </c>
      <c r="FB7" t="str">
        <f>"0.126***"</f>
        <v>0.126***</v>
      </c>
      <c r="FC7" t="s">
        <v>2975</v>
      </c>
      <c r="FD7" t="s">
        <v>4136</v>
      </c>
      <c r="FE7" t="str">
        <f>"0.132***"</f>
        <v>0.132***</v>
      </c>
      <c r="FF7" t="s">
        <v>4137</v>
      </c>
      <c r="FG7" t="s">
        <v>4138</v>
      </c>
      <c r="FH7" t="str">
        <f>"0.135***"</f>
        <v>0.135***</v>
      </c>
      <c r="FI7" t="s">
        <v>4139</v>
      </c>
      <c r="FJ7" t="s">
        <v>4140</v>
      </c>
      <c r="FK7" t="str">
        <f>"0.138***"</f>
        <v>0.138***</v>
      </c>
      <c r="FL7" t="s">
        <v>4141</v>
      </c>
      <c r="FM7" t="s">
        <v>4142</v>
      </c>
      <c r="FN7" t="str">
        <f>"0.137***"</f>
        <v>0.137***</v>
      </c>
      <c r="FO7" t="s">
        <v>4143</v>
      </c>
      <c r="FP7" t="s">
        <v>4144</v>
      </c>
      <c r="FQ7" t="str">
        <f>"0.136***"</f>
        <v>0.136***</v>
      </c>
      <c r="FR7" t="s">
        <v>4145</v>
      </c>
      <c r="FS7" t="s">
        <v>3877</v>
      </c>
      <c r="FT7" t="str">
        <f>"0.137***"</f>
        <v>0.137***</v>
      </c>
      <c r="FU7" t="s">
        <v>4146</v>
      </c>
      <c r="FV7" t="s">
        <v>4147</v>
      </c>
      <c r="FW7" t="str">
        <f>"0.137***"</f>
        <v>0.137***</v>
      </c>
      <c r="FX7" t="s">
        <v>2052</v>
      </c>
      <c r="FY7" t="s">
        <v>4148</v>
      </c>
      <c r="FZ7" t="str">
        <f>"0.139***"</f>
        <v>0.139***</v>
      </c>
      <c r="GA7" t="s">
        <v>4149</v>
      </c>
      <c r="GB7" t="s">
        <v>4150</v>
      </c>
      <c r="GC7" t="str">
        <f>"0.144***"</f>
        <v>0.144***</v>
      </c>
      <c r="GD7" t="s">
        <v>2959</v>
      </c>
      <c r="GE7" t="s">
        <v>4151</v>
      </c>
      <c r="GF7" t="str">
        <f>"0.151***"</f>
        <v>0.151***</v>
      </c>
      <c r="GG7" t="s">
        <v>2957</v>
      </c>
      <c r="GH7" t="s">
        <v>4152</v>
      </c>
      <c r="GI7" t="str">
        <f>"0.156***"</f>
        <v>0.156***</v>
      </c>
      <c r="GJ7" t="s">
        <v>4153</v>
      </c>
      <c r="GK7" t="s">
        <v>4154</v>
      </c>
      <c r="GL7" t="str">
        <f>"0.161***"</f>
        <v>0.161***</v>
      </c>
      <c r="GM7" t="s">
        <v>4155</v>
      </c>
      <c r="GN7" t="s">
        <v>4156</v>
      </c>
      <c r="GO7" t="str">
        <f>"0.165***"</f>
        <v>0.165***</v>
      </c>
      <c r="GP7" t="s">
        <v>4157</v>
      </c>
      <c r="GQ7" t="s">
        <v>4158</v>
      </c>
      <c r="GR7" t="str">
        <f>"0.165***"</f>
        <v>0.165***</v>
      </c>
      <c r="GS7" t="s">
        <v>4157</v>
      </c>
      <c r="GT7" t="s">
        <v>4159</v>
      </c>
      <c r="GU7" t="str">
        <f>"0.165***"</f>
        <v>0.165***</v>
      </c>
      <c r="GV7" t="s">
        <v>4160</v>
      </c>
      <c r="GW7" t="s">
        <v>4161</v>
      </c>
      <c r="GX7" t="str">
        <f>"0.167***"</f>
        <v>0.167***</v>
      </c>
      <c r="GY7" t="s">
        <v>289</v>
      </c>
      <c r="GZ7" t="s">
        <v>4162</v>
      </c>
      <c r="HA7" t="str">
        <f>"0.171***"</f>
        <v>0.171***</v>
      </c>
      <c r="HB7" t="s">
        <v>4163</v>
      </c>
      <c r="HC7" t="s">
        <v>4164</v>
      </c>
      <c r="HD7" t="str">
        <f>"0.182***"</f>
        <v>0.182***</v>
      </c>
      <c r="HE7" t="s">
        <v>259</v>
      </c>
      <c r="HF7" t="s">
        <v>4165</v>
      </c>
      <c r="HG7" t="str">
        <f>"0.191***"</f>
        <v>0.191***</v>
      </c>
      <c r="HH7" t="s">
        <v>4166</v>
      </c>
      <c r="HI7" t="s">
        <v>4167</v>
      </c>
      <c r="HJ7" t="str">
        <f>"0.196***"</f>
        <v>0.196***</v>
      </c>
      <c r="HK7" t="s">
        <v>4168</v>
      </c>
      <c r="HL7" t="s">
        <v>4169</v>
      </c>
      <c r="HM7" t="str">
        <f>"0.203***"</f>
        <v>0.203***</v>
      </c>
      <c r="HN7" t="s">
        <v>4170</v>
      </c>
      <c r="HO7" t="s">
        <v>4171</v>
      </c>
      <c r="HP7" t="str">
        <f>"0.202***"</f>
        <v>0.202***</v>
      </c>
      <c r="HQ7" t="s">
        <v>4172</v>
      </c>
      <c r="HR7" t="s">
        <v>4173</v>
      </c>
      <c r="HS7" t="str">
        <f>"0.201***"</f>
        <v>0.201***</v>
      </c>
      <c r="HT7" t="s">
        <v>4174</v>
      </c>
      <c r="HU7" t="s">
        <v>3517</v>
      </c>
      <c r="HV7" t="str">
        <f>"0.200***"</f>
        <v>0.200***</v>
      </c>
      <c r="HW7" t="s">
        <v>4175</v>
      </c>
      <c r="HX7" t="s">
        <v>4176</v>
      </c>
      <c r="HY7" t="str">
        <f>"0.210***"</f>
        <v>0.210***</v>
      </c>
      <c r="HZ7" t="s">
        <v>4177</v>
      </c>
      <c r="IA7" t="s">
        <v>4178</v>
      </c>
      <c r="IB7" t="str">
        <f>"0.222***"</f>
        <v>0.222***</v>
      </c>
      <c r="IC7" t="s">
        <v>4179</v>
      </c>
      <c r="ID7" t="s">
        <v>4180</v>
      </c>
      <c r="IE7" t="str">
        <f>"0.231***"</f>
        <v>0.231***</v>
      </c>
      <c r="IF7" t="s">
        <v>4181</v>
      </c>
      <c r="IG7" t="s">
        <v>4182</v>
      </c>
      <c r="IH7" t="str">
        <f>"0.240***"</f>
        <v>0.240***</v>
      </c>
      <c r="II7" t="s">
        <v>4183</v>
      </c>
      <c r="IJ7" t="s">
        <v>4184</v>
      </c>
      <c r="IK7" t="str">
        <f>"0.230***"</f>
        <v>0.230***</v>
      </c>
      <c r="IL7" t="s">
        <v>4185</v>
      </c>
      <c r="IM7" t="s">
        <v>328</v>
      </c>
      <c r="IN7" t="str">
        <f>"0.216***"</f>
        <v>0.216***</v>
      </c>
      <c r="IO7" t="s">
        <v>4186</v>
      </c>
      <c r="IP7" t="s">
        <v>4187</v>
      </c>
      <c r="IQ7" t="str">
        <f>"0.211***"</f>
        <v>0.211***</v>
      </c>
      <c r="IR7" t="s">
        <v>271</v>
      </c>
      <c r="IS7" t="s">
        <v>4188</v>
      </c>
      <c r="IT7" t="str">
        <f>"0.221***"</f>
        <v>0.221***</v>
      </c>
      <c r="IU7" t="s">
        <v>4189</v>
      </c>
      <c r="IV7" t="s">
        <v>4180</v>
      </c>
      <c r="IW7" t="str">
        <f>"0.271***"</f>
        <v>0.271***</v>
      </c>
      <c r="IX7" t="s">
        <v>4190</v>
      </c>
      <c r="IY7" t="s">
        <v>4191</v>
      </c>
      <c r="IZ7" t="str">
        <f>"0.266***"</f>
        <v>0.266***</v>
      </c>
      <c r="JA7" t="s">
        <v>4192</v>
      </c>
      <c r="JB7" t="s">
        <v>4193</v>
      </c>
      <c r="JC7" t="str">
        <f>"0.252***"</f>
        <v>0.252***</v>
      </c>
      <c r="JD7" t="s">
        <v>4194</v>
      </c>
      <c r="JE7" t="s">
        <v>4195</v>
      </c>
      <c r="JF7" t="str">
        <f>"0.259***"</f>
        <v>0.259***</v>
      </c>
      <c r="JG7" t="s">
        <v>4196</v>
      </c>
      <c r="JH7" t="s">
        <v>4197</v>
      </c>
      <c r="JI7" t="str">
        <f>"0.257***"</f>
        <v>0.257***</v>
      </c>
      <c r="JJ7" t="s">
        <v>4198</v>
      </c>
      <c r="JK7" t="s">
        <v>4199</v>
      </c>
      <c r="JL7" t="str">
        <f>"0.238***"</f>
        <v>0.238***</v>
      </c>
      <c r="JM7" t="s">
        <v>4200</v>
      </c>
      <c r="JN7" t="s">
        <v>4201</v>
      </c>
      <c r="JO7" t="str">
        <f>"0.270***"</f>
        <v>0.270***</v>
      </c>
      <c r="JP7" t="s">
        <v>4202</v>
      </c>
      <c r="JQ7" t="s">
        <v>4191</v>
      </c>
      <c r="JR7" t="str">
        <f>"0.296***"</f>
        <v>0.296***</v>
      </c>
      <c r="JS7" t="s">
        <v>4203</v>
      </c>
      <c r="JT7" t="s">
        <v>4204</v>
      </c>
      <c r="JU7" t="str">
        <f>"0.257***"</f>
        <v>0.257***</v>
      </c>
      <c r="JV7" t="s">
        <v>4205</v>
      </c>
      <c r="JW7" t="s">
        <v>4206</v>
      </c>
      <c r="JX7" t="str">
        <f>"0.290***"</f>
        <v>0.290***</v>
      </c>
      <c r="JY7" t="s">
        <v>4207</v>
      </c>
      <c r="JZ7" t="s">
        <v>4208</v>
      </c>
      <c r="KA7" t="str">
        <f>"0.227***"</f>
        <v>0.227***</v>
      </c>
      <c r="KB7" t="s">
        <v>4209</v>
      </c>
      <c r="KC7" t="s">
        <v>328</v>
      </c>
      <c r="KD7" t="str">
        <f>"0.261***"</f>
        <v>0.261***</v>
      </c>
      <c r="KE7" t="s">
        <v>4210</v>
      </c>
      <c r="KF7" t="s">
        <v>4211</v>
      </c>
      <c r="KG7" t="str">
        <f>"0.250***"</f>
        <v>0.250***</v>
      </c>
      <c r="KH7" t="s">
        <v>4212</v>
      </c>
      <c r="KI7" t="s">
        <v>4213</v>
      </c>
      <c r="KJ7" t="str">
        <f>"0.220***"</f>
        <v>0.220***</v>
      </c>
      <c r="KK7" t="s">
        <v>4214</v>
      </c>
      <c r="KL7" t="s">
        <v>4215</v>
      </c>
    </row>
    <row r="8" spans="1:298" x14ac:dyDescent="0.2">
      <c r="A8" t="str">
        <f>"unexplained"</f>
        <v>unexplained</v>
      </c>
      <c r="B8" t="str">
        <f>"0.187***"</f>
        <v>0.187***</v>
      </c>
      <c r="C8" t="s">
        <v>4216</v>
      </c>
      <c r="D8" t="s">
        <v>4217</v>
      </c>
      <c r="E8" t="str">
        <f>"0.0694***"</f>
        <v>0.0694***</v>
      </c>
      <c r="F8" t="s">
        <v>1906</v>
      </c>
      <c r="G8" t="s">
        <v>4218</v>
      </c>
      <c r="H8" t="str">
        <f>"0.0623***"</f>
        <v>0.0623***</v>
      </c>
      <c r="I8" t="s">
        <v>4219</v>
      </c>
      <c r="J8" t="s">
        <v>4117</v>
      </c>
      <c r="K8" t="str">
        <f>"0.0923***"</f>
        <v>0.0923***</v>
      </c>
      <c r="L8" t="s">
        <v>4220</v>
      </c>
      <c r="M8" t="s">
        <v>4221</v>
      </c>
      <c r="N8" t="str">
        <f>"0.0432***"</f>
        <v>0.0432***</v>
      </c>
      <c r="O8" t="s">
        <v>3629</v>
      </c>
      <c r="P8" t="s">
        <v>1157</v>
      </c>
      <c r="Q8" t="str">
        <f>"0.0457***"</f>
        <v>0.0457***</v>
      </c>
      <c r="R8" t="s">
        <v>1224</v>
      </c>
      <c r="S8" t="s">
        <v>3701</v>
      </c>
      <c r="T8" t="str">
        <f>"0.0453***"</f>
        <v>0.0453***</v>
      </c>
      <c r="U8" t="s">
        <v>4222</v>
      </c>
      <c r="V8" t="s">
        <v>4223</v>
      </c>
      <c r="W8" t="str">
        <f>"0.0517***"</f>
        <v>0.0517***</v>
      </c>
      <c r="X8" t="s">
        <v>4224</v>
      </c>
      <c r="Y8" t="s">
        <v>4111</v>
      </c>
      <c r="Z8" t="str">
        <f>"0.0733***"</f>
        <v>0.0733***</v>
      </c>
      <c r="AA8" t="s">
        <v>3184</v>
      </c>
      <c r="AB8" t="s">
        <v>3464</v>
      </c>
      <c r="AC8" t="str">
        <f>"0.0369***"</f>
        <v>0.0369***</v>
      </c>
      <c r="AD8" t="s">
        <v>4225</v>
      </c>
      <c r="AE8" t="s">
        <v>4226</v>
      </c>
      <c r="AF8" t="str">
        <f>"0.0780***"</f>
        <v>0.0780***</v>
      </c>
      <c r="AG8" t="s">
        <v>4227</v>
      </c>
      <c r="AH8" t="s">
        <v>4228</v>
      </c>
      <c r="AI8" t="str">
        <f>"0.116***"</f>
        <v>0.116***</v>
      </c>
      <c r="AJ8" t="s">
        <v>4229</v>
      </c>
      <c r="AK8" t="s">
        <v>4230</v>
      </c>
      <c r="AL8" t="str">
        <f>"0.0829***"</f>
        <v>0.0829***</v>
      </c>
      <c r="AM8" t="s">
        <v>4231</v>
      </c>
      <c r="AN8" t="s">
        <v>4232</v>
      </c>
      <c r="AO8" t="str">
        <f>"0.0852***"</f>
        <v>0.0852***</v>
      </c>
      <c r="AP8" t="s">
        <v>4233</v>
      </c>
      <c r="AQ8" t="s">
        <v>1996</v>
      </c>
      <c r="AR8" t="str">
        <f>"0.0851***"</f>
        <v>0.0851***</v>
      </c>
      <c r="AS8" t="s">
        <v>4234</v>
      </c>
      <c r="AT8" t="s">
        <v>4235</v>
      </c>
      <c r="AU8" t="str">
        <f>"0.0873***"</f>
        <v>0.0873***</v>
      </c>
      <c r="AV8" t="s">
        <v>4118</v>
      </c>
      <c r="AW8" t="s">
        <v>4236</v>
      </c>
      <c r="AX8" t="str">
        <f>"0.102***"</f>
        <v>0.102***</v>
      </c>
      <c r="AY8" t="s">
        <v>4237</v>
      </c>
      <c r="AZ8" t="s">
        <v>3222</v>
      </c>
      <c r="BA8" t="str">
        <f>"0.102***"</f>
        <v>0.102***</v>
      </c>
      <c r="BB8" t="s">
        <v>4023</v>
      </c>
      <c r="BC8" t="s">
        <v>2013</v>
      </c>
      <c r="BD8" t="str">
        <f>"0.107***"</f>
        <v>0.107***</v>
      </c>
      <c r="BE8" t="s">
        <v>4238</v>
      </c>
      <c r="BF8" t="s">
        <v>2019</v>
      </c>
      <c r="BG8" t="str">
        <f>"0.0983***"</f>
        <v>0.0983***</v>
      </c>
      <c r="BH8" t="s">
        <v>309</v>
      </c>
      <c r="BI8" t="s">
        <v>4069</v>
      </c>
      <c r="BJ8" t="str">
        <f>"0.0837***"</f>
        <v>0.0837***</v>
      </c>
      <c r="BK8" t="s">
        <v>4239</v>
      </c>
      <c r="BL8" t="s">
        <v>3205</v>
      </c>
      <c r="BM8" t="str">
        <f>"0.106***"</f>
        <v>0.106***</v>
      </c>
      <c r="BN8" t="s">
        <v>4240</v>
      </c>
      <c r="BO8" t="s">
        <v>2009</v>
      </c>
      <c r="BP8" t="str">
        <f>"0.0985***"</f>
        <v>0.0985***</v>
      </c>
      <c r="BQ8" t="s">
        <v>2936</v>
      </c>
      <c r="BR8" t="s">
        <v>4241</v>
      </c>
      <c r="BS8" t="str">
        <f>"0.0789***"</f>
        <v>0.0789***</v>
      </c>
      <c r="BT8" t="s">
        <v>1993</v>
      </c>
      <c r="BU8" t="s">
        <v>4242</v>
      </c>
      <c r="BV8" t="str">
        <f>"0.0679***"</f>
        <v>0.0679***</v>
      </c>
      <c r="BW8" t="s">
        <v>1851</v>
      </c>
      <c r="BX8" t="s">
        <v>4243</v>
      </c>
      <c r="BY8" t="str">
        <f>"0.0521***"</f>
        <v>0.0521***</v>
      </c>
      <c r="BZ8" t="s">
        <v>4244</v>
      </c>
      <c r="CA8" t="s">
        <v>3351</v>
      </c>
      <c r="CB8" t="str">
        <f>"0.0639***"</f>
        <v>0.0639***</v>
      </c>
      <c r="CC8" t="s">
        <v>1757</v>
      </c>
      <c r="CD8" t="s">
        <v>3186</v>
      </c>
      <c r="CE8" t="str">
        <f>"0.0526***"</f>
        <v>0.0526***</v>
      </c>
      <c r="CF8" t="s">
        <v>4245</v>
      </c>
      <c r="CG8" t="s">
        <v>3445</v>
      </c>
      <c r="CH8" t="str">
        <f>"0.0482***"</f>
        <v>0.0482***</v>
      </c>
      <c r="CI8" t="s">
        <v>295</v>
      </c>
      <c r="CJ8" t="s">
        <v>4246</v>
      </c>
      <c r="CK8" t="str">
        <f>"0.0450***"</f>
        <v>0.0450***</v>
      </c>
      <c r="CL8" t="s">
        <v>1619</v>
      </c>
      <c r="CM8" t="s">
        <v>1161</v>
      </c>
      <c r="CN8" t="str">
        <f>"0.0525***"</f>
        <v>0.0525***</v>
      </c>
      <c r="CO8" t="s">
        <v>4247</v>
      </c>
      <c r="CP8" t="s">
        <v>244</v>
      </c>
      <c r="CQ8" t="str">
        <f>"0.0480***"</f>
        <v>0.0480***</v>
      </c>
      <c r="CR8" t="s">
        <v>1918</v>
      </c>
      <c r="CS8" t="s">
        <v>4248</v>
      </c>
      <c r="CT8" t="str">
        <f>"0.0414***"</f>
        <v>0.0414***</v>
      </c>
      <c r="CU8" t="s">
        <v>4249</v>
      </c>
      <c r="CV8" t="s">
        <v>1921</v>
      </c>
      <c r="CW8" t="str">
        <f>"0.0322***"</f>
        <v>0.0322***</v>
      </c>
      <c r="CX8" t="s">
        <v>3164</v>
      </c>
      <c r="CY8" t="s">
        <v>1384</v>
      </c>
      <c r="CZ8" t="str">
        <f>"0.0522***"</f>
        <v>0.0522***</v>
      </c>
      <c r="DA8" t="s">
        <v>4250</v>
      </c>
      <c r="DB8" t="s">
        <v>4251</v>
      </c>
      <c r="DC8" t="str">
        <f>"0.0557***"</f>
        <v>0.0557***</v>
      </c>
      <c r="DD8" t="s">
        <v>4252</v>
      </c>
      <c r="DE8" t="s">
        <v>1742</v>
      </c>
      <c r="DF8" t="str">
        <f>"0.0491***"</f>
        <v>0.0491***</v>
      </c>
      <c r="DG8" t="s">
        <v>3525</v>
      </c>
      <c r="DH8" t="s">
        <v>4253</v>
      </c>
      <c r="DI8" t="str">
        <f>"0.0309***"</f>
        <v>0.0309***</v>
      </c>
      <c r="DJ8" t="s">
        <v>4254</v>
      </c>
      <c r="DK8" t="s">
        <v>4255</v>
      </c>
      <c r="DL8" t="str">
        <f>"0.0163***"</f>
        <v>0.0163***</v>
      </c>
      <c r="DM8" t="s">
        <v>1545</v>
      </c>
      <c r="DN8" t="s">
        <v>2877</v>
      </c>
      <c r="DO8" t="str">
        <f>"0.0210***"</f>
        <v>0.0210***</v>
      </c>
      <c r="DP8" t="s">
        <v>1480</v>
      </c>
      <c r="DQ8" t="s">
        <v>1032</v>
      </c>
      <c r="DR8" t="str">
        <f>"0.0232***"</f>
        <v>0.0232***</v>
      </c>
      <c r="DS8" t="s">
        <v>1519</v>
      </c>
      <c r="DT8" t="s">
        <v>1726</v>
      </c>
      <c r="DU8" t="str">
        <f>"0.0219***"</f>
        <v>0.0219***</v>
      </c>
      <c r="DV8" t="s">
        <v>1522</v>
      </c>
      <c r="DW8" t="s">
        <v>549</v>
      </c>
      <c r="DX8" t="str">
        <f>"0.0157***"</f>
        <v>0.0157***</v>
      </c>
      <c r="DY8" t="s">
        <v>2829</v>
      </c>
      <c r="DZ8" t="s">
        <v>1529</v>
      </c>
      <c r="EA8" t="str">
        <f>"0.0215***"</f>
        <v>0.0215***</v>
      </c>
      <c r="EB8" t="s">
        <v>1666</v>
      </c>
      <c r="EC8" t="s">
        <v>1175</v>
      </c>
      <c r="ED8" t="str">
        <f>"0.00226"</f>
        <v>0.00226</v>
      </c>
      <c r="EE8" t="s">
        <v>697</v>
      </c>
      <c r="EF8" t="s">
        <v>581</v>
      </c>
      <c r="EG8" t="str">
        <f>"0.00400"</f>
        <v>0.00400</v>
      </c>
      <c r="EH8" t="s">
        <v>1014</v>
      </c>
      <c r="EI8" t="s">
        <v>958</v>
      </c>
      <c r="EJ8" t="str">
        <f>"-0.0125***"</f>
        <v>-0.0125***</v>
      </c>
      <c r="EK8" t="s">
        <v>3598</v>
      </c>
      <c r="EL8" t="s">
        <v>3650</v>
      </c>
      <c r="EM8" t="str">
        <f>"0.00272"</f>
        <v>0.00272</v>
      </c>
      <c r="EN8" t="s">
        <v>345</v>
      </c>
      <c r="EO8" t="s">
        <v>1558</v>
      </c>
      <c r="EP8" t="str">
        <f>"0.00321"</f>
        <v>0.00321</v>
      </c>
      <c r="EQ8" t="s">
        <v>920</v>
      </c>
      <c r="ER8" t="s">
        <v>4256</v>
      </c>
      <c r="ES8" t="str">
        <f>"0.00788*"</f>
        <v>0.00788*</v>
      </c>
      <c r="ET8" t="s">
        <v>1020</v>
      </c>
      <c r="EU8" t="s">
        <v>530</v>
      </c>
      <c r="EV8" t="str">
        <f>"0.0208***"</f>
        <v>0.0208***</v>
      </c>
      <c r="EW8" t="s">
        <v>754</v>
      </c>
      <c r="EX8" t="s">
        <v>542</v>
      </c>
      <c r="EY8" t="str">
        <f>"0.00471"</f>
        <v>0.00471</v>
      </c>
      <c r="EZ8" t="s">
        <v>681</v>
      </c>
      <c r="FA8" t="s">
        <v>1490</v>
      </c>
      <c r="FB8" t="str">
        <f>"-0.0354***"</f>
        <v>-0.0354***</v>
      </c>
      <c r="FC8" t="s">
        <v>1722</v>
      </c>
      <c r="FD8" t="s">
        <v>4257</v>
      </c>
      <c r="FE8" t="str">
        <f>"-0.0400***"</f>
        <v>-0.0400***</v>
      </c>
      <c r="FF8" t="s">
        <v>4258</v>
      </c>
      <c r="FG8" t="s">
        <v>4259</v>
      </c>
      <c r="FH8" t="str">
        <f>"-0.0171***"</f>
        <v>-0.0171***</v>
      </c>
      <c r="FI8" t="s">
        <v>562</v>
      </c>
      <c r="FJ8" t="s">
        <v>1370</v>
      </c>
      <c r="FK8" t="str">
        <f>"-0.0355***"</f>
        <v>-0.0355***</v>
      </c>
      <c r="FL8" t="s">
        <v>1369</v>
      </c>
      <c r="FM8" t="s">
        <v>4260</v>
      </c>
      <c r="FN8" t="str">
        <f>"-0.0465***"</f>
        <v>-0.0465***</v>
      </c>
      <c r="FO8" t="s">
        <v>4261</v>
      </c>
      <c r="FP8" t="s">
        <v>4262</v>
      </c>
      <c r="FQ8" t="str">
        <f>"-0.0497***"</f>
        <v>-0.0497***</v>
      </c>
      <c r="FR8" t="s">
        <v>4263</v>
      </c>
      <c r="FS8" t="s">
        <v>4264</v>
      </c>
      <c r="FT8" t="str">
        <f>"-0.0629***"</f>
        <v>-0.0629***</v>
      </c>
      <c r="FU8" t="s">
        <v>4265</v>
      </c>
      <c r="FV8" t="s">
        <v>4266</v>
      </c>
      <c r="FW8" t="str">
        <f>"-0.0345***"</f>
        <v>-0.0345***</v>
      </c>
      <c r="FX8" t="s">
        <v>1722</v>
      </c>
      <c r="FY8" t="s">
        <v>3379</v>
      </c>
      <c r="FZ8" t="str">
        <f>"-0.00854*"</f>
        <v>-0.00854*</v>
      </c>
      <c r="GA8" t="s">
        <v>4267</v>
      </c>
      <c r="GB8" t="s">
        <v>1084</v>
      </c>
      <c r="GC8" t="str">
        <f>"-0.0286***"</f>
        <v>-0.0286***</v>
      </c>
      <c r="GD8" t="s">
        <v>1244</v>
      </c>
      <c r="GE8" t="s">
        <v>4268</v>
      </c>
      <c r="GF8" t="str">
        <f>"-0.0597***"</f>
        <v>-0.0597***</v>
      </c>
      <c r="GG8" t="s">
        <v>3700</v>
      </c>
      <c r="GH8" t="s">
        <v>4269</v>
      </c>
      <c r="GI8" t="str">
        <f>"-0.0487***"</f>
        <v>-0.0487***</v>
      </c>
      <c r="GJ8" t="s">
        <v>4270</v>
      </c>
      <c r="GK8" t="s">
        <v>863</v>
      </c>
      <c r="GL8" t="str">
        <f>"-0.0169***"</f>
        <v>-0.0169***</v>
      </c>
      <c r="GM8" t="s">
        <v>969</v>
      </c>
      <c r="GN8" t="s">
        <v>3012</v>
      </c>
      <c r="GO8" t="str">
        <f>"-0.0471***"</f>
        <v>-0.0471***</v>
      </c>
      <c r="GP8" t="s">
        <v>4271</v>
      </c>
      <c r="GQ8" t="s">
        <v>4272</v>
      </c>
      <c r="GR8" t="str">
        <f>"-0.0837***"</f>
        <v>-0.0837***</v>
      </c>
      <c r="GS8" t="s">
        <v>4273</v>
      </c>
      <c r="GT8" t="s">
        <v>4274</v>
      </c>
      <c r="GU8" t="str">
        <f>"-0.103***"</f>
        <v>-0.103***</v>
      </c>
      <c r="GV8" t="s">
        <v>4275</v>
      </c>
      <c r="GW8" t="s">
        <v>4276</v>
      </c>
      <c r="GX8" t="str">
        <f>"-0.105***"</f>
        <v>-0.105***</v>
      </c>
      <c r="GY8" t="s">
        <v>4277</v>
      </c>
      <c r="GZ8" t="s">
        <v>4278</v>
      </c>
      <c r="HA8" t="str">
        <f>"-0.101***"</f>
        <v>-0.101***</v>
      </c>
      <c r="HB8" t="s">
        <v>4279</v>
      </c>
      <c r="HC8" t="s">
        <v>4280</v>
      </c>
      <c r="HD8" t="str">
        <f>"-0.101***"</f>
        <v>-0.101***</v>
      </c>
      <c r="HE8" t="s">
        <v>4281</v>
      </c>
      <c r="HF8" t="s">
        <v>4282</v>
      </c>
      <c r="HG8" t="str">
        <f>"-0.101***"</f>
        <v>-0.101***</v>
      </c>
      <c r="HH8" t="s">
        <v>4283</v>
      </c>
      <c r="HI8" t="s">
        <v>3069</v>
      </c>
      <c r="HJ8" t="str">
        <f>"-0.106***"</f>
        <v>-0.106***</v>
      </c>
      <c r="HK8" t="s">
        <v>4284</v>
      </c>
      <c r="HL8" t="s">
        <v>4285</v>
      </c>
      <c r="HM8" t="str">
        <f>"-0.110***"</f>
        <v>-0.110***</v>
      </c>
      <c r="HN8" t="s">
        <v>4286</v>
      </c>
      <c r="HO8" t="s">
        <v>3095</v>
      </c>
      <c r="HP8" t="str">
        <f>"-0.112***"</f>
        <v>-0.112***</v>
      </c>
      <c r="HQ8" t="s">
        <v>4287</v>
      </c>
      <c r="HR8" t="s">
        <v>4288</v>
      </c>
      <c r="HS8" t="str">
        <f>"-0.140***"</f>
        <v>-0.140***</v>
      </c>
      <c r="HT8" t="s">
        <v>4289</v>
      </c>
      <c r="HU8" t="s">
        <v>4290</v>
      </c>
      <c r="HV8" t="str">
        <f>"-0.0910***"</f>
        <v>-0.0910***</v>
      </c>
      <c r="HW8" t="s">
        <v>4291</v>
      </c>
      <c r="HX8" t="s">
        <v>4292</v>
      </c>
      <c r="HY8" t="str">
        <f>"-0.124***"</f>
        <v>-0.124***</v>
      </c>
      <c r="HZ8" t="s">
        <v>4293</v>
      </c>
      <c r="IA8" t="s">
        <v>4294</v>
      </c>
      <c r="IB8" t="str">
        <f>"-0.141***"</f>
        <v>-0.141***</v>
      </c>
      <c r="IC8" t="s">
        <v>1340</v>
      </c>
      <c r="ID8" t="s">
        <v>3000</v>
      </c>
      <c r="IE8" t="str">
        <f>"-0.117***"</f>
        <v>-0.117***</v>
      </c>
      <c r="IF8" t="s">
        <v>4295</v>
      </c>
      <c r="IG8" t="s">
        <v>4296</v>
      </c>
      <c r="IH8" t="str">
        <f>"-0.173***"</f>
        <v>-0.173***</v>
      </c>
      <c r="II8" t="s">
        <v>4297</v>
      </c>
      <c r="IJ8" t="s">
        <v>4298</v>
      </c>
      <c r="IK8" t="str">
        <f>"-0.189***"</f>
        <v>-0.189***</v>
      </c>
      <c r="IL8" t="s">
        <v>4299</v>
      </c>
      <c r="IM8" t="s">
        <v>4300</v>
      </c>
      <c r="IN8" t="str">
        <f>"-0.184***"</f>
        <v>-0.184***</v>
      </c>
      <c r="IO8" t="s">
        <v>4301</v>
      </c>
      <c r="IP8" t="s">
        <v>4302</v>
      </c>
      <c r="IQ8" t="str">
        <f>"-0.140***"</f>
        <v>-0.140***</v>
      </c>
      <c r="IR8" t="s">
        <v>2795</v>
      </c>
      <c r="IS8" t="s">
        <v>4303</v>
      </c>
      <c r="IT8" t="str">
        <f>"-0.135***"</f>
        <v>-0.135***</v>
      </c>
      <c r="IU8" t="s">
        <v>4304</v>
      </c>
      <c r="IV8" t="s">
        <v>4305</v>
      </c>
      <c r="IW8" t="str">
        <f>"-0.179***"</f>
        <v>-0.179***</v>
      </c>
      <c r="IX8" t="s">
        <v>4306</v>
      </c>
      <c r="IY8" t="s">
        <v>4307</v>
      </c>
      <c r="IZ8" t="str">
        <f>"-0.179***"</f>
        <v>-0.179***</v>
      </c>
      <c r="JA8" t="s">
        <v>3124</v>
      </c>
      <c r="JB8" t="s">
        <v>4308</v>
      </c>
      <c r="JC8" t="str">
        <f>"-0.226***"</f>
        <v>-0.226***</v>
      </c>
      <c r="JD8" t="s">
        <v>4309</v>
      </c>
      <c r="JE8" t="s">
        <v>4310</v>
      </c>
      <c r="JF8" t="str">
        <f>"-0.210***"</f>
        <v>-0.210***</v>
      </c>
      <c r="JG8" t="s">
        <v>4311</v>
      </c>
      <c r="JH8" t="s">
        <v>4312</v>
      </c>
      <c r="JI8" t="str">
        <f>"-0.218***"</f>
        <v>-0.218***</v>
      </c>
      <c r="JJ8" t="s">
        <v>4313</v>
      </c>
      <c r="JK8" t="s">
        <v>4314</v>
      </c>
      <c r="JL8" t="str">
        <f>"-0.170***"</f>
        <v>-0.170***</v>
      </c>
      <c r="JM8" t="s">
        <v>4315</v>
      </c>
      <c r="JN8" t="s">
        <v>4316</v>
      </c>
      <c r="JO8" t="str">
        <f>"-0.259***"</f>
        <v>-0.259***</v>
      </c>
      <c r="JP8" t="s">
        <v>4317</v>
      </c>
      <c r="JQ8" t="s">
        <v>4318</v>
      </c>
      <c r="JR8" t="str">
        <f>"-0.260***"</f>
        <v>-0.260***</v>
      </c>
      <c r="JS8" t="s">
        <v>4319</v>
      </c>
      <c r="JT8" t="s">
        <v>4320</v>
      </c>
      <c r="JU8" t="str">
        <f>"-0.256***"</f>
        <v>-0.256***</v>
      </c>
      <c r="JV8" t="s">
        <v>4321</v>
      </c>
      <c r="JW8" t="s">
        <v>4322</v>
      </c>
      <c r="JX8" t="str">
        <f>"-0.277***"</f>
        <v>-0.277***</v>
      </c>
      <c r="JY8" t="s">
        <v>4323</v>
      </c>
      <c r="JZ8" t="s">
        <v>4324</v>
      </c>
      <c r="KA8" t="str">
        <f>"-0.204***"</f>
        <v>-0.204***</v>
      </c>
      <c r="KB8" t="s">
        <v>4325</v>
      </c>
      <c r="KC8" t="s">
        <v>4326</v>
      </c>
      <c r="KD8" t="str">
        <f>"-0.198***"</f>
        <v>-0.198***</v>
      </c>
      <c r="KE8" t="s">
        <v>4327</v>
      </c>
      <c r="KF8" t="s">
        <v>4328</v>
      </c>
      <c r="KG8" t="str">
        <f>"-0.255***"</f>
        <v>-0.255***</v>
      </c>
      <c r="KH8" t="s">
        <v>4329</v>
      </c>
      <c r="KI8" t="s">
        <v>4330</v>
      </c>
      <c r="KJ8" t="str">
        <f>"-0.220***"</f>
        <v>-0.220***</v>
      </c>
      <c r="KK8" t="s">
        <v>3408</v>
      </c>
      <c r="KL8" t="s">
        <v>4331</v>
      </c>
    </row>
    <row r="9" spans="1:298" x14ac:dyDescent="0.2">
      <c r="A9" t="str">
        <f>"explained"</f>
        <v>explained</v>
      </c>
      <c r="B9" t="str">
        <f>""</f>
        <v/>
      </c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t="str">
        <f>""</f>
        <v/>
      </c>
      <c r="Y9" t="str">
        <f>""</f>
        <v/>
      </c>
      <c r="Z9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AE9" t="str">
        <f>""</f>
        <v/>
      </c>
      <c r="AF9" t="str">
        <f>""</f>
        <v/>
      </c>
      <c r="AG9" t="str">
        <f>""</f>
        <v/>
      </c>
      <c r="AH9" t="str">
        <f>""</f>
        <v/>
      </c>
      <c r="AI9" t="str">
        <f>""</f>
        <v/>
      </c>
      <c r="AJ9" t="str">
        <f>""</f>
        <v/>
      </c>
      <c r="AK9" t="str">
        <f>""</f>
        <v/>
      </c>
      <c r="AL9" t="str">
        <f>""</f>
        <v/>
      </c>
      <c r="AM9" t="str">
        <f>""</f>
        <v/>
      </c>
      <c r="AN9" t="str">
        <f>""</f>
        <v/>
      </c>
      <c r="AO9" t="str">
        <f>""</f>
        <v/>
      </c>
      <c r="AP9" t="str">
        <f>""</f>
        <v/>
      </c>
      <c r="AQ9" t="str">
        <f>""</f>
        <v/>
      </c>
      <c r="AR9" t="str">
        <f>""</f>
        <v/>
      </c>
      <c r="AS9" t="str">
        <f>""</f>
        <v/>
      </c>
      <c r="AT9" t="str">
        <f>""</f>
        <v/>
      </c>
      <c r="AU9" t="str">
        <f>""</f>
        <v/>
      </c>
      <c r="AV9" t="str">
        <f>""</f>
        <v/>
      </c>
      <c r="AW9" t="str">
        <f>""</f>
        <v/>
      </c>
      <c r="AX9" t="str">
        <f>""</f>
        <v/>
      </c>
      <c r="AY9" t="str">
        <f>""</f>
        <v/>
      </c>
      <c r="AZ9" t="str">
        <f>""</f>
        <v/>
      </c>
      <c r="BA9" t="str">
        <f>""</f>
        <v/>
      </c>
      <c r="BB9" t="str">
        <f>""</f>
        <v/>
      </c>
      <c r="BC9" t="str">
        <f>""</f>
        <v/>
      </c>
      <c r="BD9" t="str">
        <f>""</f>
        <v/>
      </c>
      <c r="BE9" t="str">
        <f>""</f>
        <v/>
      </c>
      <c r="BF9" t="str">
        <f>""</f>
        <v/>
      </c>
      <c r="BG9" t="str">
        <f>""</f>
        <v/>
      </c>
      <c r="BH9" t="str">
        <f>""</f>
        <v/>
      </c>
      <c r="BI9" t="str">
        <f>""</f>
        <v/>
      </c>
      <c r="BJ9" t="str">
        <f>""</f>
        <v/>
      </c>
      <c r="BK9" t="str">
        <f>""</f>
        <v/>
      </c>
      <c r="BL9" t="str">
        <f>""</f>
        <v/>
      </c>
      <c r="BM9" t="str">
        <f>""</f>
        <v/>
      </c>
      <c r="BN9" t="str">
        <f>""</f>
        <v/>
      </c>
      <c r="BO9" t="str">
        <f>""</f>
        <v/>
      </c>
      <c r="BP9" t="str">
        <f>""</f>
        <v/>
      </c>
      <c r="BQ9" t="str">
        <f>""</f>
        <v/>
      </c>
      <c r="BR9" t="str">
        <f>""</f>
        <v/>
      </c>
      <c r="BS9" t="str">
        <f>""</f>
        <v/>
      </c>
      <c r="BT9" t="str">
        <f>""</f>
        <v/>
      </c>
      <c r="BU9" t="str">
        <f>""</f>
        <v/>
      </c>
      <c r="BV9" t="str">
        <f>""</f>
        <v/>
      </c>
      <c r="BW9" t="str">
        <f>""</f>
        <v/>
      </c>
      <c r="BX9" t="str">
        <f>""</f>
        <v/>
      </c>
      <c r="BY9" t="str">
        <f>""</f>
        <v/>
      </c>
      <c r="BZ9" t="str">
        <f>""</f>
        <v/>
      </c>
      <c r="CA9" t="str">
        <f>""</f>
        <v/>
      </c>
      <c r="CB9" t="str">
        <f>""</f>
        <v/>
      </c>
      <c r="CC9" t="str">
        <f>""</f>
        <v/>
      </c>
      <c r="CD9" t="str">
        <f>""</f>
        <v/>
      </c>
      <c r="CE9" t="str">
        <f>""</f>
        <v/>
      </c>
      <c r="CF9" t="str">
        <f>""</f>
        <v/>
      </c>
      <c r="CG9" t="str">
        <f>""</f>
        <v/>
      </c>
      <c r="CH9" t="str">
        <f>""</f>
        <v/>
      </c>
      <c r="CI9" t="str">
        <f>""</f>
        <v/>
      </c>
      <c r="CJ9" t="str">
        <f>""</f>
        <v/>
      </c>
      <c r="CK9" t="str">
        <f>""</f>
        <v/>
      </c>
      <c r="CL9" t="str">
        <f>""</f>
        <v/>
      </c>
      <c r="CM9" t="str">
        <f>""</f>
        <v/>
      </c>
      <c r="CN9" t="str">
        <f>""</f>
        <v/>
      </c>
      <c r="CO9" t="str">
        <f>""</f>
        <v/>
      </c>
      <c r="CP9" t="str">
        <f>""</f>
        <v/>
      </c>
      <c r="CQ9" t="str">
        <f>""</f>
        <v/>
      </c>
      <c r="CR9" t="str">
        <f>""</f>
        <v/>
      </c>
      <c r="CS9" t="str">
        <f>""</f>
        <v/>
      </c>
      <c r="CT9" t="str">
        <f>""</f>
        <v/>
      </c>
      <c r="CU9" t="str">
        <f>""</f>
        <v/>
      </c>
      <c r="CV9" t="str">
        <f>""</f>
        <v/>
      </c>
      <c r="CW9" t="str">
        <f>""</f>
        <v/>
      </c>
      <c r="CX9" t="str">
        <f>""</f>
        <v/>
      </c>
      <c r="CY9" t="str">
        <f>""</f>
        <v/>
      </c>
      <c r="CZ9" t="str">
        <f>""</f>
        <v/>
      </c>
      <c r="DA9" t="str">
        <f>""</f>
        <v/>
      </c>
      <c r="DB9" t="str">
        <f>""</f>
        <v/>
      </c>
      <c r="DC9" t="str">
        <f>""</f>
        <v/>
      </c>
      <c r="DD9" t="str">
        <f>""</f>
        <v/>
      </c>
      <c r="DE9" t="str">
        <f>""</f>
        <v/>
      </c>
      <c r="DF9" t="str">
        <f>""</f>
        <v/>
      </c>
      <c r="DG9" t="str">
        <f>""</f>
        <v/>
      </c>
      <c r="DH9" t="str">
        <f>""</f>
        <v/>
      </c>
      <c r="DI9" t="str">
        <f>""</f>
        <v/>
      </c>
      <c r="DJ9" t="str">
        <f>""</f>
        <v/>
      </c>
      <c r="DK9" t="str">
        <f>""</f>
        <v/>
      </c>
      <c r="DL9" t="str">
        <f>""</f>
        <v/>
      </c>
      <c r="DM9" t="str">
        <f>""</f>
        <v/>
      </c>
      <c r="DN9" t="str">
        <f>""</f>
        <v/>
      </c>
      <c r="DO9" t="str">
        <f>""</f>
        <v/>
      </c>
      <c r="DP9" t="str">
        <f>""</f>
        <v/>
      </c>
      <c r="DQ9" t="str">
        <f>""</f>
        <v/>
      </c>
      <c r="DR9" t="str">
        <f>""</f>
        <v/>
      </c>
      <c r="DS9" t="str">
        <f>""</f>
        <v/>
      </c>
      <c r="DT9" t="str">
        <f>""</f>
        <v/>
      </c>
      <c r="DU9" t="str">
        <f>""</f>
        <v/>
      </c>
      <c r="DV9" t="str">
        <f>""</f>
        <v/>
      </c>
      <c r="DW9" t="str">
        <f>""</f>
        <v/>
      </c>
      <c r="DX9" t="str">
        <f>""</f>
        <v/>
      </c>
      <c r="DY9" t="str">
        <f>""</f>
        <v/>
      </c>
      <c r="DZ9" t="str">
        <f>""</f>
        <v/>
      </c>
      <c r="EA9" t="str">
        <f>""</f>
        <v/>
      </c>
      <c r="EB9" t="str">
        <f>""</f>
        <v/>
      </c>
      <c r="EC9" t="str">
        <f>""</f>
        <v/>
      </c>
      <c r="ED9" t="str">
        <f>""</f>
        <v/>
      </c>
      <c r="EE9" t="str">
        <f>""</f>
        <v/>
      </c>
      <c r="EF9" t="str">
        <f>""</f>
        <v/>
      </c>
      <c r="EG9" t="str">
        <f>""</f>
        <v/>
      </c>
      <c r="EH9" t="str">
        <f>""</f>
        <v/>
      </c>
      <c r="EI9" t="str">
        <f>""</f>
        <v/>
      </c>
      <c r="EJ9" t="str">
        <f>""</f>
        <v/>
      </c>
      <c r="EK9" t="str">
        <f>""</f>
        <v/>
      </c>
      <c r="EL9" t="str">
        <f>""</f>
        <v/>
      </c>
      <c r="EM9" t="str">
        <f>""</f>
        <v/>
      </c>
      <c r="EN9" t="str">
        <f>""</f>
        <v/>
      </c>
      <c r="EO9" t="str">
        <f>""</f>
        <v/>
      </c>
      <c r="EP9" t="str">
        <f>""</f>
        <v/>
      </c>
      <c r="EQ9" t="str">
        <f>""</f>
        <v/>
      </c>
      <c r="ER9" t="str">
        <f>""</f>
        <v/>
      </c>
      <c r="ES9" t="str">
        <f>""</f>
        <v/>
      </c>
      <c r="ET9" t="str">
        <f>""</f>
        <v/>
      </c>
      <c r="EU9" t="str">
        <f>""</f>
        <v/>
      </c>
      <c r="EV9" t="str">
        <f>""</f>
        <v/>
      </c>
      <c r="EW9" t="str">
        <f>""</f>
        <v/>
      </c>
      <c r="EX9" t="str">
        <f>""</f>
        <v/>
      </c>
      <c r="EY9" t="str">
        <f>""</f>
        <v/>
      </c>
      <c r="EZ9" t="str">
        <f>""</f>
        <v/>
      </c>
      <c r="FA9" t="str">
        <f>""</f>
        <v/>
      </c>
      <c r="FB9" t="str">
        <f>""</f>
        <v/>
      </c>
      <c r="FC9" t="str">
        <f>""</f>
        <v/>
      </c>
      <c r="FD9" t="str">
        <f>""</f>
        <v/>
      </c>
      <c r="FE9" t="str">
        <f>""</f>
        <v/>
      </c>
      <c r="FF9" t="str">
        <f>""</f>
        <v/>
      </c>
      <c r="FG9" t="str">
        <f>""</f>
        <v/>
      </c>
      <c r="FH9" t="str">
        <f>""</f>
        <v/>
      </c>
      <c r="FI9" t="str">
        <f>""</f>
        <v/>
      </c>
      <c r="FJ9" t="str">
        <f>""</f>
        <v/>
      </c>
      <c r="FK9" t="str">
        <f>""</f>
        <v/>
      </c>
      <c r="FL9" t="str">
        <f>""</f>
        <v/>
      </c>
      <c r="FM9" t="str">
        <f>""</f>
        <v/>
      </c>
      <c r="FN9" t="str">
        <f>""</f>
        <v/>
      </c>
      <c r="FO9" t="str">
        <f>""</f>
        <v/>
      </c>
      <c r="FP9" t="str">
        <f>""</f>
        <v/>
      </c>
      <c r="FQ9" t="str">
        <f>""</f>
        <v/>
      </c>
      <c r="FR9" t="str">
        <f>""</f>
        <v/>
      </c>
      <c r="FS9" t="str">
        <f>""</f>
        <v/>
      </c>
      <c r="FT9" t="str">
        <f>""</f>
        <v/>
      </c>
      <c r="FU9" t="str">
        <f>""</f>
        <v/>
      </c>
      <c r="FV9" t="str">
        <f>""</f>
        <v/>
      </c>
      <c r="FW9" t="str">
        <f>""</f>
        <v/>
      </c>
      <c r="FX9" t="str">
        <f>""</f>
        <v/>
      </c>
      <c r="FY9" t="str">
        <f>""</f>
        <v/>
      </c>
      <c r="FZ9" t="str">
        <f>""</f>
        <v/>
      </c>
      <c r="GA9" t="str">
        <f>""</f>
        <v/>
      </c>
      <c r="GB9" t="str">
        <f>""</f>
        <v/>
      </c>
      <c r="GC9" t="str">
        <f>""</f>
        <v/>
      </c>
      <c r="GD9" t="str">
        <f>""</f>
        <v/>
      </c>
      <c r="GE9" t="str">
        <f>""</f>
        <v/>
      </c>
      <c r="GF9" t="str">
        <f>""</f>
        <v/>
      </c>
      <c r="GG9" t="str">
        <f>""</f>
        <v/>
      </c>
      <c r="GH9" t="str">
        <f>""</f>
        <v/>
      </c>
      <c r="GI9" t="str">
        <f>""</f>
        <v/>
      </c>
      <c r="GJ9" t="str">
        <f>""</f>
        <v/>
      </c>
      <c r="GK9" t="str">
        <f>""</f>
        <v/>
      </c>
      <c r="GL9" t="str">
        <f>""</f>
        <v/>
      </c>
      <c r="GM9" t="str">
        <f>""</f>
        <v/>
      </c>
      <c r="GN9" t="str">
        <f>""</f>
        <v/>
      </c>
      <c r="GO9" t="str">
        <f>""</f>
        <v/>
      </c>
      <c r="GP9" t="str">
        <f>""</f>
        <v/>
      </c>
      <c r="GQ9" t="str">
        <f>""</f>
        <v/>
      </c>
    </row>
    <row r="10" spans="1:298" x14ac:dyDescent="0.2">
      <c r="A10" t="str">
        <f>"Educa√ß√£o"</f>
        <v>Educa√ß√£o</v>
      </c>
      <c r="B10" t="str">
        <f>"0.0517***"</f>
        <v>0.0517***</v>
      </c>
      <c r="C10" t="s">
        <v>4101</v>
      </c>
      <c r="D10" t="s">
        <v>1608</v>
      </c>
      <c r="E10" t="str">
        <f>"0.0726***"</f>
        <v>0.0726***</v>
      </c>
      <c r="F10" t="s">
        <v>4332</v>
      </c>
      <c r="G10" t="s">
        <v>1847</v>
      </c>
      <c r="H10" t="str">
        <f>"0.0703***"</f>
        <v>0.0703***</v>
      </c>
      <c r="I10" t="s">
        <v>4333</v>
      </c>
      <c r="J10" t="s">
        <v>3462</v>
      </c>
      <c r="K10" t="str">
        <f>"0.0690***"</f>
        <v>0.0690***</v>
      </c>
      <c r="L10" t="s">
        <v>4334</v>
      </c>
      <c r="M10" t="s">
        <v>4335</v>
      </c>
      <c r="N10" t="str">
        <f>"0.0665***"</f>
        <v>0.0665***</v>
      </c>
      <c r="O10" t="s">
        <v>4336</v>
      </c>
      <c r="P10" t="s">
        <v>4337</v>
      </c>
      <c r="Q10" t="str">
        <f>"0.0719***"</f>
        <v>0.0719***</v>
      </c>
      <c r="R10" t="s">
        <v>4338</v>
      </c>
      <c r="S10" t="s">
        <v>4339</v>
      </c>
      <c r="T10" t="str">
        <f>"0.0713***"</f>
        <v>0.0713***</v>
      </c>
      <c r="U10" t="s">
        <v>3492</v>
      </c>
      <c r="V10" t="s">
        <v>1972</v>
      </c>
      <c r="W10" t="str">
        <f>"0.0677***"</f>
        <v>0.0677***</v>
      </c>
      <c r="X10" t="s">
        <v>4334</v>
      </c>
      <c r="Y10" t="s">
        <v>4340</v>
      </c>
      <c r="Z10" t="str">
        <f>"0.0702***"</f>
        <v>0.0702***</v>
      </c>
      <c r="AA10" t="s">
        <v>4341</v>
      </c>
      <c r="AB10" t="s">
        <v>4335</v>
      </c>
      <c r="AC10" t="str">
        <f>"0.0579***"</f>
        <v>0.0579***</v>
      </c>
      <c r="AD10" t="s">
        <v>4342</v>
      </c>
      <c r="AE10" t="s">
        <v>4343</v>
      </c>
      <c r="AF10" t="str">
        <f>"0.0573***"</f>
        <v>0.0573***</v>
      </c>
      <c r="AG10" t="s">
        <v>4344</v>
      </c>
      <c r="AH10" t="s">
        <v>1899</v>
      </c>
      <c r="AI10" t="str">
        <f>"0.0547***"</f>
        <v>0.0547***</v>
      </c>
      <c r="AJ10" t="s">
        <v>1739</v>
      </c>
      <c r="AK10" t="s">
        <v>4251</v>
      </c>
      <c r="AL10" t="str">
        <f>"0.0507***"</f>
        <v>0.0507***</v>
      </c>
      <c r="AM10" t="s">
        <v>4345</v>
      </c>
      <c r="AN10" t="s">
        <v>4346</v>
      </c>
      <c r="AO10" t="str">
        <f>"0.0478***"</f>
        <v>0.0478***</v>
      </c>
      <c r="AP10" t="s">
        <v>1963</v>
      </c>
      <c r="AQ10" t="s">
        <v>3680</v>
      </c>
      <c r="AR10" t="str">
        <f>"0.0415***"</f>
        <v>0.0415***</v>
      </c>
      <c r="AS10" t="s">
        <v>4347</v>
      </c>
      <c r="AT10" t="s">
        <v>1623</v>
      </c>
      <c r="AU10" t="str">
        <f>"0.0384***"</f>
        <v>0.0384***</v>
      </c>
      <c r="AV10" t="s">
        <v>4249</v>
      </c>
      <c r="AW10" t="s">
        <v>1930</v>
      </c>
      <c r="AX10" t="str">
        <f>"0.0378***"</f>
        <v>0.0378***</v>
      </c>
      <c r="AY10" t="s">
        <v>4348</v>
      </c>
      <c r="AZ10" t="s">
        <v>1038</v>
      </c>
      <c r="BA10" t="str">
        <f>"0.0380***"</f>
        <v>0.0380***</v>
      </c>
      <c r="BB10" t="s">
        <v>1212</v>
      </c>
      <c r="BC10" t="s">
        <v>1386</v>
      </c>
      <c r="BD10" t="str">
        <f>"0.0378***"</f>
        <v>0.0378***</v>
      </c>
      <c r="BE10" t="s">
        <v>4348</v>
      </c>
      <c r="BF10" t="s">
        <v>1932</v>
      </c>
      <c r="BG10" t="str">
        <f>"0.0382***"</f>
        <v>0.0382***</v>
      </c>
      <c r="BH10" t="s">
        <v>4249</v>
      </c>
      <c r="BI10" t="s">
        <v>1635</v>
      </c>
      <c r="BJ10" t="str">
        <f>"0.0386***"</f>
        <v>0.0386***</v>
      </c>
      <c r="BK10" t="s">
        <v>3148</v>
      </c>
      <c r="BL10" t="s">
        <v>3617</v>
      </c>
      <c r="BM10" t="str">
        <f>"0.0398***"</f>
        <v>0.0398***</v>
      </c>
      <c r="BN10" t="s">
        <v>4349</v>
      </c>
      <c r="BO10" t="s">
        <v>1191</v>
      </c>
      <c r="BP10" t="str">
        <f>"0.0406***"</f>
        <v>0.0406***</v>
      </c>
      <c r="BQ10" t="s">
        <v>4219</v>
      </c>
      <c r="BR10" t="s">
        <v>3450</v>
      </c>
      <c r="BS10" t="str">
        <f>"0.0418***"</f>
        <v>0.0418***</v>
      </c>
      <c r="BT10" t="s">
        <v>4350</v>
      </c>
      <c r="BU10" t="s">
        <v>1623</v>
      </c>
      <c r="BV10" t="str">
        <f>"0.0426***"</f>
        <v>0.0426***</v>
      </c>
      <c r="BW10" t="s">
        <v>4351</v>
      </c>
      <c r="BX10" t="s">
        <v>3615</v>
      </c>
      <c r="BY10" t="str">
        <f>"0.0430***"</f>
        <v>0.0430***</v>
      </c>
      <c r="BZ10" t="s">
        <v>3141</v>
      </c>
      <c r="CA10" t="s">
        <v>4352</v>
      </c>
      <c r="CB10" t="str">
        <f>"0.0435***"</f>
        <v>0.0435***</v>
      </c>
      <c r="CC10" t="s">
        <v>1208</v>
      </c>
      <c r="CD10" t="s">
        <v>1765</v>
      </c>
      <c r="CE10" t="str">
        <f>"0.0444***"</f>
        <v>0.0444***</v>
      </c>
      <c r="CF10" t="s">
        <v>1909</v>
      </c>
      <c r="CG10" t="s">
        <v>1747</v>
      </c>
      <c r="CH10" t="str">
        <f>"0.0458***"</f>
        <v>0.0458***</v>
      </c>
      <c r="CI10" t="s">
        <v>4098</v>
      </c>
      <c r="CJ10" t="s">
        <v>3697</v>
      </c>
      <c r="CK10" t="str">
        <f>"0.0478***"</f>
        <v>0.0478***</v>
      </c>
      <c r="CL10" t="s">
        <v>4353</v>
      </c>
      <c r="CM10" t="s">
        <v>901</v>
      </c>
      <c r="CN10" t="str">
        <f>"0.0500***"</f>
        <v>0.0500***</v>
      </c>
      <c r="CO10" t="s">
        <v>4345</v>
      </c>
      <c r="CP10" t="s">
        <v>1917</v>
      </c>
      <c r="CQ10" t="str">
        <f>"0.0523***"</f>
        <v>0.0523***</v>
      </c>
      <c r="CR10" t="s">
        <v>4252</v>
      </c>
      <c r="CS10" t="s">
        <v>3654</v>
      </c>
      <c r="CT10" t="str">
        <f>"0.0545***"</f>
        <v>0.0545***</v>
      </c>
      <c r="CU10" t="s">
        <v>4354</v>
      </c>
      <c r="CV10" t="s">
        <v>4106</v>
      </c>
      <c r="CW10" t="str">
        <f>"0.0573***"</f>
        <v>0.0573***</v>
      </c>
      <c r="CX10" t="s">
        <v>3437</v>
      </c>
      <c r="CY10" t="s">
        <v>1900</v>
      </c>
      <c r="CZ10" t="str">
        <f>"0.0599***"</f>
        <v>0.0599***</v>
      </c>
      <c r="DA10" t="s">
        <v>1884</v>
      </c>
      <c r="DB10" t="s">
        <v>4355</v>
      </c>
      <c r="DC10" t="str">
        <f>"0.0623***"</f>
        <v>0.0623***</v>
      </c>
      <c r="DD10" t="s">
        <v>4050</v>
      </c>
      <c r="DE10" t="s">
        <v>472</v>
      </c>
      <c r="DF10" t="str">
        <f>"0.0648***"</f>
        <v>0.0648***</v>
      </c>
      <c r="DG10" t="s">
        <v>327</v>
      </c>
      <c r="DH10" t="s">
        <v>3648</v>
      </c>
      <c r="DI10" t="str">
        <f>"0.0687***"</f>
        <v>0.0687***</v>
      </c>
      <c r="DJ10" t="s">
        <v>3505</v>
      </c>
      <c r="DK10" t="s">
        <v>4356</v>
      </c>
      <c r="DL10" t="str">
        <f>"0.0714***"</f>
        <v>0.0714***</v>
      </c>
      <c r="DM10" t="s">
        <v>4052</v>
      </c>
      <c r="DN10" t="s">
        <v>4357</v>
      </c>
      <c r="DO10" t="str">
        <f>"0.0745***"</f>
        <v>0.0745***</v>
      </c>
      <c r="DP10" t="s">
        <v>4114</v>
      </c>
      <c r="DQ10" t="s">
        <v>4358</v>
      </c>
      <c r="DR10" t="str">
        <f>"0.0768***"</f>
        <v>0.0768***</v>
      </c>
      <c r="DS10" t="s">
        <v>4359</v>
      </c>
      <c r="DT10" t="s">
        <v>1847</v>
      </c>
      <c r="DU10" t="str">
        <f>"0.0795***"</f>
        <v>0.0795***</v>
      </c>
      <c r="DV10" t="s">
        <v>4360</v>
      </c>
      <c r="DW10" t="s">
        <v>4361</v>
      </c>
      <c r="DX10" t="str">
        <f>"0.0815***"</f>
        <v>0.0815***</v>
      </c>
      <c r="DY10" t="s">
        <v>4234</v>
      </c>
      <c r="DZ10" t="s">
        <v>4362</v>
      </c>
      <c r="EA10" t="str">
        <f>"0.0826***"</f>
        <v>0.0826***</v>
      </c>
      <c r="EB10" t="s">
        <v>2922</v>
      </c>
      <c r="EC10" t="s">
        <v>3456</v>
      </c>
      <c r="ED10" t="str">
        <f>"0.0838***"</f>
        <v>0.0838***</v>
      </c>
      <c r="EE10" t="s">
        <v>4363</v>
      </c>
      <c r="EF10" t="s">
        <v>3334</v>
      </c>
      <c r="EG10" t="str">
        <f>"0.0844***"</f>
        <v>0.0844***</v>
      </c>
      <c r="EH10" t="s">
        <v>4118</v>
      </c>
      <c r="EI10" t="s">
        <v>4364</v>
      </c>
      <c r="EJ10" t="str">
        <f>"0.0851***"</f>
        <v>0.0851***</v>
      </c>
      <c r="EK10" t="s">
        <v>2923</v>
      </c>
      <c r="EL10" t="s">
        <v>3205</v>
      </c>
      <c r="EM10" t="str">
        <f>"0.0878***"</f>
        <v>0.0878***</v>
      </c>
      <c r="EN10" t="s">
        <v>4365</v>
      </c>
      <c r="EO10" t="s">
        <v>1994</v>
      </c>
      <c r="EP10" t="str">
        <f>"0.0894***"</f>
        <v>0.0894***</v>
      </c>
      <c r="EQ10" t="s">
        <v>4366</v>
      </c>
      <c r="ER10" t="s">
        <v>1785</v>
      </c>
      <c r="ES10" t="str">
        <f>"0.0929***"</f>
        <v>0.0929***</v>
      </c>
      <c r="ET10" t="s">
        <v>4367</v>
      </c>
      <c r="EU10" t="s">
        <v>2023</v>
      </c>
      <c r="EV10" t="str">
        <f>"0.0958***"</f>
        <v>0.0958***</v>
      </c>
      <c r="EW10" t="s">
        <v>4368</v>
      </c>
      <c r="EX10" t="s">
        <v>4369</v>
      </c>
      <c r="EY10" t="str">
        <f>"0.102***"</f>
        <v>0.102***</v>
      </c>
      <c r="EZ10" t="s">
        <v>2038</v>
      </c>
      <c r="FA10" t="s">
        <v>4370</v>
      </c>
      <c r="FB10" t="str">
        <f>"0.108***"</f>
        <v>0.108***</v>
      </c>
      <c r="FC10" t="s">
        <v>4371</v>
      </c>
      <c r="FD10" t="s">
        <v>4372</v>
      </c>
      <c r="FE10" t="str">
        <f>"0.113***"</f>
        <v>0.113***</v>
      </c>
      <c r="FF10" t="s">
        <v>4373</v>
      </c>
      <c r="FG10" t="s">
        <v>2075</v>
      </c>
      <c r="FH10" t="str">
        <f>"0.115***"</f>
        <v>0.115***</v>
      </c>
      <c r="FI10" t="s">
        <v>4374</v>
      </c>
      <c r="FJ10" t="s">
        <v>4375</v>
      </c>
      <c r="FK10" t="str">
        <f>"0.118***"</f>
        <v>0.118***</v>
      </c>
      <c r="FL10" t="s">
        <v>4376</v>
      </c>
      <c r="FM10" t="s">
        <v>4377</v>
      </c>
      <c r="FN10" t="str">
        <f>"0.117***"</f>
        <v>0.117***</v>
      </c>
      <c r="FO10" t="s">
        <v>4378</v>
      </c>
      <c r="FP10" t="s">
        <v>4377</v>
      </c>
      <c r="FQ10" t="str">
        <f>"0.117***"</f>
        <v>0.117***</v>
      </c>
      <c r="FR10" t="s">
        <v>4379</v>
      </c>
      <c r="FS10" t="s">
        <v>4380</v>
      </c>
      <c r="FT10" t="str">
        <f>"0.118***"</f>
        <v>0.118***</v>
      </c>
      <c r="FU10" t="s">
        <v>4376</v>
      </c>
      <c r="FV10" t="s">
        <v>4381</v>
      </c>
      <c r="FW10" t="str">
        <f>"0.118***"</f>
        <v>0.118***</v>
      </c>
      <c r="FX10" t="s">
        <v>4382</v>
      </c>
      <c r="FY10" t="s">
        <v>4383</v>
      </c>
      <c r="FZ10" t="str">
        <f>"0.120***"</f>
        <v>0.120***</v>
      </c>
      <c r="GA10" t="s">
        <v>4384</v>
      </c>
      <c r="GB10" t="s">
        <v>4385</v>
      </c>
      <c r="GC10" t="str">
        <f>"0.125***"</f>
        <v>0.125***</v>
      </c>
      <c r="GD10" t="s">
        <v>4386</v>
      </c>
      <c r="GE10" t="s">
        <v>4387</v>
      </c>
      <c r="GF10" t="str">
        <f>"0.131***"</f>
        <v>0.131***</v>
      </c>
      <c r="GG10" t="s">
        <v>4388</v>
      </c>
      <c r="GH10" t="s">
        <v>4389</v>
      </c>
      <c r="GI10" t="str">
        <f>"0.136***"</f>
        <v>0.136***</v>
      </c>
      <c r="GJ10" t="s">
        <v>4390</v>
      </c>
      <c r="GK10" t="s">
        <v>4391</v>
      </c>
      <c r="GL10" t="str">
        <f>"0.140***"</f>
        <v>0.140***</v>
      </c>
      <c r="GM10" t="s">
        <v>4392</v>
      </c>
      <c r="GN10" t="s">
        <v>4393</v>
      </c>
      <c r="GO10" t="str">
        <f>"0.144***"</f>
        <v>0.144***</v>
      </c>
      <c r="GP10" t="s">
        <v>3970</v>
      </c>
      <c r="GQ10" t="s">
        <v>4394</v>
      </c>
      <c r="GR10" t="str">
        <f>"0.145***"</f>
        <v>0.145***</v>
      </c>
      <c r="GS10" t="s">
        <v>4395</v>
      </c>
      <c r="GT10" t="s">
        <v>1823</v>
      </c>
      <c r="GU10" t="str">
        <f>"0.145***"</f>
        <v>0.145***</v>
      </c>
      <c r="GV10" t="s">
        <v>4396</v>
      </c>
      <c r="GW10" t="s">
        <v>4397</v>
      </c>
      <c r="GX10" t="str">
        <f>"0.146***"</f>
        <v>0.146***</v>
      </c>
      <c r="GY10" t="s">
        <v>3987</v>
      </c>
      <c r="GZ10" t="s">
        <v>2974</v>
      </c>
      <c r="HA10" t="str">
        <f>"0.151***"</f>
        <v>0.151***</v>
      </c>
      <c r="HB10" t="s">
        <v>4398</v>
      </c>
      <c r="HC10" t="s">
        <v>4152</v>
      </c>
      <c r="HD10" t="str">
        <f>"0.161***"</f>
        <v>0.161***</v>
      </c>
      <c r="HE10" t="s">
        <v>4399</v>
      </c>
      <c r="HF10" t="s">
        <v>4400</v>
      </c>
      <c r="HG10" t="str">
        <f>"0.169***"</f>
        <v>0.169***</v>
      </c>
      <c r="HH10" t="s">
        <v>4401</v>
      </c>
      <c r="HI10" t="s">
        <v>3249</v>
      </c>
      <c r="HJ10" t="str">
        <f>"0.174***"</f>
        <v>0.174***</v>
      </c>
      <c r="HK10" t="s">
        <v>4402</v>
      </c>
      <c r="HL10" t="s">
        <v>3440</v>
      </c>
      <c r="HM10" t="str">
        <f>"0.181***"</f>
        <v>0.181***</v>
      </c>
      <c r="HN10" t="s">
        <v>287</v>
      </c>
      <c r="HO10" t="s">
        <v>4403</v>
      </c>
      <c r="HP10" t="str">
        <f>"0.181***"</f>
        <v>0.181***</v>
      </c>
      <c r="HQ10" t="s">
        <v>4404</v>
      </c>
      <c r="HR10" t="s">
        <v>384</v>
      </c>
      <c r="HS10" t="str">
        <f>"0.180***"</f>
        <v>0.180***</v>
      </c>
      <c r="HT10" t="s">
        <v>4405</v>
      </c>
      <c r="HU10" t="s">
        <v>4406</v>
      </c>
      <c r="HV10" t="str">
        <f>"0.178***"</f>
        <v>0.178***</v>
      </c>
      <c r="HW10" t="s">
        <v>4407</v>
      </c>
      <c r="HX10" t="s">
        <v>4408</v>
      </c>
      <c r="HY10" t="str">
        <f>"0.188***"</f>
        <v>0.188***</v>
      </c>
      <c r="HZ10" t="s">
        <v>4409</v>
      </c>
      <c r="IA10" t="s">
        <v>4410</v>
      </c>
      <c r="IB10" t="str">
        <f>"0.200***"</f>
        <v>0.200***</v>
      </c>
      <c r="IC10" t="s">
        <v>4411</v>
      </c>
      <c r="ID10" t="s">
        <v>4412</v>
      </c>
      <c r="IE10" t="str">
        <f>"0.210***"</f>
        <v>0.210***</v>
      </c>
      <c r="IF10" t="s">
        <v>4413</v>
      </c>
      <c r="IG10" t="s">
        <v>4414</v>
      </c>
      <c r="IH10" t="str">
        <f>"0.218***"</f>
        <v>0.218***</v>
      </c>
      <c r="II10" t="s">
        <v>4415</v>
      </c>
      <c r="IJ10" t="s">
        <v>4416</v>
      </c>
      <c r="IK10" t="str">
        <f>"0.209***"</f>
        <v>0.209***</v>
      </c>
      <c r="IL10" t="s">
        <v>4417</v>
      </c>
      <c r="IM10" t="s">
        <v>4418</v>
      </c>
      <c r="IN10" t="str">
        <f>"0.197***"</f>
        <v>0.197***</v>
      </c>
      <c r="IO10" t="s">
        <v>4419</v>
      </c>
      <c r="IP10" t="s">
        <v>4420</v>
      </c>
      <c r="IQ10" t="str">
        <f>"0.192***"</f>
        <v>0.192***</v>
      </c>
      <c r="IR10" t="s">
        <v>4421</v>
      </c>
      <c r="IS10" t="s">
        <v>4422</v>
      </c>
      <c r="IT10" t="str">
        <f>"0.203***"</f>
        <v>0.203***</v>
      </c>
      <c r="IU10" t="s">
        <v>4423</v>
      </c>
      <c r="IV10" t="s">
        <v>4424</v>
      </c>
      <c r="IW10" t="str">
        <f>"0.249***"</f>
        <v>0.249***</v>
      </c>
      <c r="IX10" t="s">
        <v>4425</v>
      </c>
      <c r="IY10" t="s">
        <v>4426</v>
      </c>
      <c r="IZ10" t="str">
        <f>"0.246***"</f>
        <v>0.246***</v>
      </c>
      <c r="JA10" t="s">
        <v>4427</v>
      </c>
      <c r="JB10" t="s">
        <v>3874</v>
      </c>
      <c r="JC10" t="str">
        <f>"0.235***"</f>
        <v>0.235***</v>
      </c>
      <c r="JD10" t="s">
        <v>4428</v>
      </c>
      <c r="JE10" t="s">
        <v>4429</v>
      </c>
      <c r="JF10" t="str">
        <f>"0.242***"</f>
        <v>0.242***</v>
      </c>
      <c r="JG10" t="s">
        <v>4430</v>
      </c>
      <c r="JH10" t="s">
        <v>4431</v>
      </c>
      <c r="JI10" t="str">
        <f>"0.241***"</f>
        <v>0.241***</v>
      </c>
      <c r="JJ10" t="s">
        <v>4432</v>
      </c>
      <c r="JK10" t="s">
        <v>4433</v>
      </c>
      <c r="JL10" t="str">
        <f>"0.224***"</f>
        <v>0.224***</v>
      </c>
      <c r="JM10" t="s">
        <v>4434</v>
      </c>
      <c r="JN10" t="s">
        <v>4435</v>
      </c>
      <c r="JO10" t="str">
        <f>"0.254***"</f>
        <v>0.254***</v>
      </c>
      <c r="JP10" t="s">
        <v>4436</v>
      </c>
      <c r="JQ10" t="s">
        <v>4437</v>
      </c>
      <c r="JR10" t="str">
        <f>"0.280***"</f>
        <v>0.280***</v>
      </c>
      <c r="JS10" t="s">
        <v>4438</v>
      </c>
      <c r="JT10" t="s">
        <v>4439</v>
      </c>
      <c r="JU10" t="str">
        <f>"0.245***"</f>
        <v>0.245***</v>
      </c>
      <c r="JV10" t="s">
        <v>4440</v>
      </c>
      <c r="JW10" t="s">
        <v>4441</v>
      </c>
      <c r="JX10" t="str">
        <f>"0.276***"</f>
        <v>0.276***</v>
      </c>
      <c r="JY10" t="s">
        <v>4442</v>
      </c>
      <c r="JZ10" t="s">
        <v>4443</v>
      </c>
      <c r="KA10" t="str">
        <f>"0.218***"</f>
        <v>0.218***</v>
      </c>
      <c r="KB10" t="s">
        <v>4444</v>
      </c>
      <c r="KC10" t="s">
        <v>4445</v>
      </c>
      <c r="KD10" t="str">
        <f>"0.251***"</f>
        <v>0.251***</v>
      </c>
      <c r="KE10" t="s">
        <v>393</v>
      </c>
      <c r="KF10" t="s">
        <v>4446</v>
      </c>
      <c r="KG10" t="str">
        <f>"0.241***"</f>
        <v>0.241***</v>
      </c>
      <c r="KH10" t="s">
        <v>4447</v>
      </c>
      <c r="KI10" t="s">
        <v>4448</v>
      </c>
      <c r="KJ10" t="str">
        <f>"0.213***"</f>
        <v>0.213***</v>
      </c>
      <c r="KK10" t="s">
        <v>4172</v>
      </c>
      <c r="KL10" t="s">
        <v>4449</v>
      </c>
    </row>
    <row r="11" spans="1:298" x14ac:dyDescent="0.2">
      <c r="A11" t="str">
        <f>"Experi√™ncia"</f>
        <v>Experi√™ncia</v>
      </c>
      <c r="B11" t="str">
        <f>"0.00550***"</f>
        <v>0.00550***</v>
      </c>
      <c r="C11" t="s">
        <v>1464</v>
      </c>
      <c r="D11" t="s">
        <v>725</v>
      </c>
      <c r="E11" t="str">
        <f>"0.0114***"</f>
        <v>0.0114***</v>
      </c>
      <c r="F11" t="s">
        <v>1499</v>
      </c>
      <c r="G11" t="s">
        <v>642</v>
      </c>
      <c r="H11" t="str">
        <f>"0.0143***"</f>
        <v>0.0143***</v>
      </c>
      <c r="I11" t="s">
        <v>2817</v>
      </c>
      <c r="J11" t="s">
        <v>1080</v>
      </c>
      <c r="K11" t="str">
        <f>"0.0150***"</f>
        <v>0.0150***</v>
      </c>
      <c r="L11" t="s">
        <v>1534</v>
      </c>
      <c r="M11" t="s">
        <v>528</v>
      </c>
      <c r="N11" t="str">
        <f>"0.0151***"</f>
        <v>0.0151***</v>
      </c>
      <c r="O11" t="s">
        <v>3541</v>
      </c>
      <c r="P11" t="s">
        <v>534</v>
      </c>
      <c r="Q11" t="str">
        <f>"0.0169***"</f>
        <v>0.0169***</v>
      </c>
      <c r="R11" t="s">
        <v>760</v>
      </c>
      <c r="S11" t="s">
        <v>629</v>
      </c>
      <c r="T11" t="str">
        <f>"0.0165***"</f>
        <v>0.0165***</v>
      </c>
      <c r="U11" t="s">
        <v>754</v>
      </c>
      <c r="V11" t="s">
        <v>984</v>
      </c>
      <c r="W11" t="str">
        <f>"0.0157***"</f>
        <v>0.0157***</v>
      </c>
      <c r="X11" t="s">
        <v>1538</v>
      </c>
      <c r="Y11" t="s">
        <v>743</v>
      </c>
      <c r="Z11" t="str">
        <f>"0.0160***"</f>
        <v>0.0160***</v>
      </c>
      <c r="AA11" t="s">
        <v>1667</v>
      </c>
      <c r="AB11" t="s">
        <v>3264</v>
      </c>
      <c r="AC11" t="str">
        <f>"0.0134***"</f>
        <v>0.0134***</v>
      </c>
      <c r="AD11" t="s">
        <v>3643</v>
      </c>
      <c r="AE11" t="s">
        <v>1676</v>
      </c>
      <c r="AF11" t="str">
        <f>"0.0131***"</f>
        <v>0.0131***</v>
      </c>
      <c r="AG11" t="s">
        <v>2817</v>
      </c>
      <c r="AH11" t="s">
        <v>1675</v>
      </c>
      <c r="AI11" t="str">
        <f>"0.0125***"</f>
        <v>0.0125***</v>
      </c>
      <c r="AJ11" t="s">
        <v>3261</v>
      </c>
      <c r="AK11" t="s">
        <v>943</v>
      </c>
      <c r="AL11" t="str">
        <f>"0.0117***"</f>
        <v>0.0117***</v>
      </c>
      <c r="AM11" t="s">
        <v>1496</v>
      </c>
      <c r="AN11" t="s">
        <v>3259</v>
      </c>
      <c r="AO11" t="str">
        <f>"0.0109***"</f>
        <v>0.0109***</v>
      </c>
      <c r="AP11" t="s">
        <v>2829</v>
      </c>
      <c r="AQ11" t="s">
        <v>1551</v>
      </c>
      <c r="AR11" t="str">
        <f>"0.00949***"</f>
        <v>0.00949***</v>
      </c>
      <c r="AS11" t="s">
        <v>447</v>
      </c>
      <c r="AT11" t="s">
        <v>3556</v>
      </c>
      <c r="AU11" t="str">
        <f>"0.00901***"</f>
        <v>0.00901***</v>
      </c>
      <c r="AV11" t="s">
        <v>1129</v>
      </c>
      <c r="AW11" t="s">
        <v>1005</v>
      </c>
      <c r="AX11" t="str">
        <f>"0.00887***"</f>
        <v>0.00887***</v>
      </c>
      <c r="AY11" t="s">
        <v>297</v>
      </c>
      <c r="AZ11" t="s">
        <v>735</v>
      </c>
      <c r="BA11" t="str">
        <f>"0.00884***"</f>
        <v>0.00884***</v>
      </c>
      <c r="BB11" t="s">
        <v>297</v>
      </c>
      <c r="BC11" t="s">
        <v>735</v>
      </c>
      <c r="BD11" t="str">
        <f>"0.00873***"</f>
        <v>0.00873***</v>
      </c>
      <c r="BE11" t="s">
        <v>372</v>
      </c>
      <c r="BF11" t="s">
        <v>573</v>
      </c>
      <c r="BG11" t="str">
        <f>"0.00876***"</f>
        <v>0.00876***</v>
      </c>
      <c r="BH11" t="s">
        <v>372</v>
      </c>
      <c r="BI11" t="s">
        <v>573</v>
      </c>
      <c r="BJ11" t="str">
        <f>"0.00868***"</f>
        <v>0.00868***</v>
      </c>
      <c r="BK11" t="s">
        <v>372</v>
      </c>
      <c r="BL11" t="s">
        <v>1008</v>
      </c>
      <c r="BM11" t="str">
        <f>"0.00889***"</f>
        <v>0.00889***</v>
      </c>
      <c r="BN11" t="s">
        <v>1129</v>
      </c>
      <c r="BO11" t="s">
        <v>735</v>
      </c>
      <c r="BP11" t="str">
        <f>"0.00900***"</f>
        <v>0.00900***</v>
      </c>
      <c r="BQ11" t="s">
        <v>1048</v>
      </c>
      <c r="BR11" t="s">
        <v>939</v>
      </c>
      <c r="BS11" t="str">
        <f>"0.00918***"</f>
        <v>0.00918***</v>
      </c>
      <c r="BT11" t="s">
        <v>1471</v>
      </c>
      <c r="BU11" t="s">
        <v>958</v>
      </c>
      <c r="BV11" t="str">
        <f>"0.00943***"</f>
        <v>0.00943***</v>
      </c>
      <c r="BW11" t="s">
        <v>1499</v>
      </c>
      <c r="BX11" t="s">
        <v>678</v>
      </c>
      <c r="BY11" t="str">
        <f>"0.00948***"</f>
        <v>0.00948***</v>
      </c>
      <c r="BZ11" t="s">
        <v>1499</v>
      </c>
      <c r="CA11" t="s">
        <v>678</v>
      </c>
      <c r="CB11" t="str">
        <f>"0.00968***"</f>
        <v>0.00968***</v>
      </c>
      <c r="CC11" t="s">
        <v>3258</v>
      </c>
      <c r="CD11" t="s">
        <v>1011</v>
      </c>
      <c r="CE11" t="str">
        <f>"0.00983***"</f>
        <v>0.00983***</v>
      </c>
      <c r="CF11" t="s">
        <v>660</v>
      </c>
      <c r="CG11" t="s">
        <v>1553</v>
      </c>
      <c r="CH11" t="str">
        <f>"0.0100***"</f>
        <v>0.0100***</v>
      </c>
      <c r="CI11" t="s">
        <v>4450</v>
      </c>
      <c r="CJ11" t="s">
        <v>651</v>
      </c>
      <c r="CK11" t="str">
        <f>"0.0103***"</f>
        <v>0.0103***</v>
      </c>
      <c r="CL11" t="s">
        <v>1497</v>
      </c>
      <c r="CM11" t="s">
        <v>946</v>
      </c>
      <c r="CN11" t="str">
        <f>"0.0106***"</f>
        <v>0.0106***</v>
      </c>
      <c r="CO11" t="s">
        <v>4451</v>
      </c>
      <c r="CP11" t="s">
        <v>1075</v>
      </c>
      <c r="CQ11" t="str">
        <f>"0.0110***"</f>
        <v>0.0110***</v>
      </c>
      <c r="CR11" t="s">
        <v>1122</v>
      </c>
      <c r="CS11" t="s">
        <v>1551</v>
      </c>
      <c r="CT11" t="str">
        <f>"0.0113***"</f>
        <v>0.0113***</v>
      </c>
      <c r="CU11" t="s">
        <v>1495</v>
      </c>
      <c r="CV11" t="s">
        <v>731</v>
      </c>
      <c r="CW11" t="str">
        <f>"0.0119***"</f>
        <v>0.0119***</v>
      </c>
      <c r="CX11" t="s">
        <v>1074</v>
      </c>
      <c r="CY11" t="s">
        <v>941</v>
      </c>
      <c r="CZ11" t="str">
        <f>"0.0124***"</f>
        <v>0.0124***</v>
      </c>
      <c r="DA11" t="s">
        <v>3262</v>
      </c>
      <c r="DB11" t="s">
        <v>625</v>
      </c>
      <c r="DC11" t="str">
        <f>"0.0127***"</f>
        <v>0.0127***</v>
      </c>
      <c r="DD11" t="s">
        <v>4452</v>
      </c>
      <c r="DE11" t="s">
        <v>943</v>
      </c>
      <c r="DF11" t="str">
        <f>"0.0132***"</f>
        <v>0.0132***</v>
      </c>
      <c r="DG11" t="s">
        <v>1539</v>
      </c>
      <c r="DH11" t="s">
        <v>1473</v>
      </c>
      <c r="DI11" t="str">
        <f>"0.0139***"</f>
        <v>0.0139***</v>
      </c>
      <c r="DJ11" t="s">
        <v>1542</v>
      </c>
      <c r="DK11" t="s">
        <v>972</v>
      </c>
      <c r="DL11" t="str">
        <f>"0.0144***"</f>
        <v>0.0144***</v>
      </c>
      <c r="DM11" t="s">
        <v>1672</v>
      </c>
      <c r="DN11" t="s">
        <v>947</v>
      </c>
      <c r="DO11" t="str">
        <f>"0.0150***"</f>
        <v>0.0150***</v>
      </c>
      <c r="DP11" t="s">
        <v>1536</v>
      </c>
      <c r="DQ11" t="s">
        <v>1668</v>
      </c>
      <c r="DR11" t="str">
        <f>"0.0154***"</f>
        <v>0.0154***</v>
      </c>
      <c r="DS11" t="s">
        <v>4453</v>
      </c>
      <c r="DT11" t="s">
        <v>1532</v>
      </c>
      <c r="DU11" t="str">
        <f>"0.0160***"</f>
        <v>0.0160***</v>
      </c>
      <c r="DV11" t="s">
        <v>1526</v>
      </c>
      <c r="DW11" t="s">
        <v>609</v>
      </c>
      <c r="DX11" t="str">
        <f>"0.0164***"</f>
        <v>0.0164***</v>
      </c>
      <c r="DY11" t="s">
        <v>1477</v>
      </c>
      <c r="DZ11" t="s">
        <v>536</v>
      </c>
      <c r="EA11" t="str">
        <f>"0.0165***"</f>
        <v>0.0165***</v>
      </c>
      <c r="EB11" t="s">
        <v>3268</v>
      </c>
      <c r="EC11" t="s">
        <v>988</v>
      </c>
      <c r="ED11" t="str">
        <f>"0.0166***"</f>
        <v>0.0166***</v>
      </c>
      <c r="EE11" t="s">
        <v>3268</v>
      </c>
      <c r="EF11" t="s">
        <v>988</v>
      </c>
      <c r="EG11" t="str">
        <f>"0.0166***"</f>
        <v>0.0166***</v>
      </c>
      <c r="EH11" t="s">
        <v>1528</v>
      </c>
      <c r="EI11" t="s">
        <v>658</v>
      </c>
      <c r="EJ11" t="str">
        <f>"0.0167***"</f>
        <v>0.0167***</v>
      </c>
      <c r="EK11" t="s">
        <v>1480</v>
      </c>
      <c r="EL11" t="s">
        <v>1475</v>
      </c>
      <c r="EM11" t="str">
        <f>"0.0172***"</f>
        <v>0.0172***</v>
      </c>
      <c r="EN11" t="s">
        <v>1527</v>
      </c>
      <c r="EO11" t="s">
        <v>4454</v>
      </c>
      <c r="EP11" t="str">
        <f>"0.0174***"</f>
        <v>0.0174***</v>
      </c>
      <c r="EQ11" t="s">
        <v>3638</v>
      </c>
      <c r="ER11" t="s">
        <v>964</v>
      </c>
      <c r="ES11" t="str">
        <f>"0.0180***"</f>
        <v>0.0180***</v>
      </c>
      <c r="ET11" t="s">
        <v>4455</v>
      </c>
      <c r="EU11" t="s">
        <v>978</v>
      </c>
      <c r="EV11" t="str">
        <f>"0.0183***"</f>
        <v>0.0183***</v>
      </c>
      <c r="EW11" t="s">
        <v>368</v>
      </c>
      <c r="EX11" t="s">
        <v>645</v>
      </c>
      <c r="EY11" t="str">
        <f>"0.0193***"</f>
        <v>0.0193***</v>
      </c>
      <c r="EZ11" t="s">
        <v>770</v>
      </c>
      <c r="FA11" t="s">
        <v>3653</v>
      </c>
      <c r="FB11" t="str">
        <f>"0.0204***"</f>
        <v>0.0204***</v>
      </c>
      <c r="FC11" t="s">
        <v>2878</v>
      </c>
      <c r="FD11" t="s">
        <v>4456</v>
      </c>
      <c r="FE11" t="str">
        <f>"0.0211***"</f>
        <v>0.0211***</v>
      </c>
      <c r="FF11" t="s">
        <v>1221</v>
      </c>
      <c r="FG11" t="s">
        <v>1481</v>
      </c>
      <c r="FH11" t="str">
        <f>"0.0216***"</f>
        <v>0.0216***</v>
      </c>
      <c r="FI11" t="s">
        <v>1694</v>
      </c>
      <c r="FJ11" t="s">
        <v>4457</v>
      </c>
      <c r="FK11" t="str">
        <f>"0.0218***"</f>
        <v>0.0218***</v>
      </c>
      <c r="FL11" t="s">
        <v>3507</v>
      </c>
      <c r="FM11" t="s">
        <v>558</v>
      </c>
      <c r="FN11" t="str">
        <f>"0.0217***"</f>
        <v>0.0217***</v>
      </c>
      <c r="FO11" t="s">
        <v>1661</v>
      </c>
      <c r="FP11" t="s">
        <v>994</v>
      </c>
      <c r="FQ11" t="str">
        <f>"0.0214***"</f>
        <v>0.0214***</v>
      </c>
      <c r="FR11" t="s">
        <v>4458</v>
      </c>
      <c r="FS11" t="s">
        <v>2830</v>
      </c>
      <c r="FT11" t="str">
        <f>"0.0215***"</f>
        <v>0.0215***</v>
      </c>
      <c r="FU11" t="s">
        <v>4458</v>
      </c>
      <c r="FV11" t="s">
        <v>1660</v>
      </c>
      <c r="FW11" t="str">
        <f>"0.0214***"</f>
        <v>0.0214***</v>
      </c>
      <c r="FX11" t="s">
        <v>4458</v>
      </c>
      <c r="FY11" t="s">
        <v>2830</v>
      </c>
      <c r="FZ11" t="str">
        <f>"0.0215***"</f>
        <v>0.0215***</v>
      </c>
      <c r="GA11" t="s">
        <v>1694</v>
      </c>
      <c r="GB11" t="s">
        <v>4457</v>
      </c>
      <c r="GC11" t="str">
        <f>"0.0220***"</f>
        <v>0.0220***</v>
      </c>
      <c r="GD11" t="s">
        <v>2813</v>
      </c>
      <c r="GE11" t="s">
        <v>1679</v>
      </c>
      <c r="GF11" t="str">
        <f>"0.0229***"</f>
        <v>0.0229***</v>
      </c>
      <c r="GG11" t="s">
        <v>1659</v>
      </c>
      <c r="GH11" t="s">
        <v>3154</v>
      </c>
      <c r="GI11" t="str">
        <f>"0.0237***"</f>
        <v>0.0237***</v>
      </c>
      <c r="GJ11" t="s">
        <v>3160</v>
      </c>
      <c r="GK11" t="s">
        <v>2880</v>
      </c>
      <c r="GL11" t="str">
        <f>"0.0242***"</f>
        <v>0.0242***</v>
      </c>
      <c r="GM11" t="s">
        <v>321</v>
      </c>
      <c r="GN11" t="s">
        <v>2848</v>
      </c>
      <c r="GO11" t="str">
        <f>"0.0245***"</f>
        <v>0.0245***</v>
      </c>
      <c r="GP11" t="s">
        <v>1949</v>
      </c>
      <c r="GQ11" t="s">
        <v>611</v>
      </c>
      <c r="GR11" t="str">
        <f>"0.0243***"</f>
        <v>0.0243***</v>
      </c>
      <c r="GS11" t="s">
        <v>3539</v>
      </c>
      <c r="GT11" t="s">
        <v>4071</v>
      </c>
      <c r="GU11" t="str">
        <f>"0.0244***"</f>
        <v>0.0244***</v>
      </c>
      <c r="GV11" t="s">
        <v>768</v>
      </c>
      <c r="GW11" t="s">
        <v>981</v>
      </c>
      <c r="GX11" t="str">
        <f>"0.0244***"</f>
        <v>0.0244***</v>
      </c>
      <c r="GY11" t="s">
        <v>768</v>
      </c>
      <c r="GZ11" t="s">
        <v>981</v>
      </c>
      <c r="HA11" t="str">
        <f>"0.0248***"</f>
        <v>0.0248***</v>
      </c>
      <c r="HB11" t="s">
        <v>1951</v>
      </c>
      <c r="HC11" t="s">
        <v>4459</v>
      </c>
      <c r="HD11" t="str">
        <f>"0.0262***"</f>
        <v>0.0262***</v>
      </c>
      <c r="HE11" t="s">
        <v>1654</v>
      </c>
      <c r="HF11" t="s">
        <v>1653</v>
      </c>
      <c r="HG11" t="str">
        <f>"0.0274***"</f>
        <v>0.0274***</v>
      </c>
      <c r="HH11" t="s">
        <v>1956</v>
      </c>
      <c r="HI11" t="s">
        <v>3633</v>
      </c>
      <c r="HJ11" t="str">
        <f>"0.0281***"</f>
        <v>0.0281***</v>
      </c>
      <c r="HK11" t="s">
        <v>1682</v>
      </c>
      <c r="HL11" t="s">
        <v>1070</v>
      </c>
      <c r="HM11" t="str">
        <f>"0.0288***"</f>
        <v>0.0288***</v>
      </c>
      <c r="HN11" t="s">
        <v>1644</v>
      </c>
      <c r="HO11" t="s">
        <v>3590</v>
      </c>
      <c r="HP11" t="str">
        <f>"0.0285***"</f>
        <v>0.0285***</v>
      </c>
      <c r="HQ11" t="s">
        <v>1204</v>
      </c>
      <c r="HR11" t="s">
        <v>778</v>
      </c>
      <c r="HS11" t="str">
        <f>"0.0284***"</f>
        <v>0.0284***</v>
      </c>
      <c r="HT11" t="s">
        <v>1646</v>
      </c>
      <c r="HU11" t="s">
        <v>1955</v>
      </c>
      <c r="HV11" t="str">
        <f>"0.0278***"</f>
        <v>0.0278***</v>
      </c>
      <c r="HW11" t="s">
        <v>4460</v>
      </c>
      <c r="HX11" t="s">
        <v>3165</v>
      </c>
      <c r="HY11" t="str">
        <f>"0.0290***"</f>
        <v>0.0290***</v>
      </c>
      <c r="HZ11" t="s">
        <v>1686</v>
      </c>
      <c r="IA11" t="s">
        <v>3645</v>
      </c>
      <c r="IB11" t="str">
        <f>"0.0306***"</f>
        <v>0.0306***</v>
      </c>
      <c r="IC11" t="s">
        <v>4461</v>
      </c>
      <c r="ID11" t="s">
        <v>2884</v>
      </c>
      <c r="IE11" t="str">
        <f>"0.0315***"</f>
        <v>0.0315***</v>
      </c>
      <c r="IF11" t="s">
        <v>1959</v>
      </c>
      <c r="IG11" t="s">
        <v>4462</v>
      </c>
      <c r="IH11" t="str">
        <f>"0.0327***"</f>
        <v>0.0327***</v>
      </c>
      <c r="II11" t="s">
        <v>4463</v>
      </c>
      <c r="IJ11" t="s">
        <v>3634</v>
      </c>
      <c r="IK11" t="str">
        <f>"0.0312***"</f>
        <v>0.0312***</v>
      </c>
      <c r="IL11" t="s">
        <v>4464</v>
      </c>
      <c r="IM11" t="s">
        <v>1690</v>
      </c>
      <c r="IN11" t="str">
        <f>"0.0293***"</f>
        <v>0.0293***</v>
      </c>
      <c r="IO11" t="s">
        <v>4465</v>
      </c>
      <c r="IP11" t="s">
        <v>777</v>
      </c>
      <c r="IQ11" t="str">
        <f>"0.0289***"</f>
        <v>0.0289***</v>
      </c>
      <c r="IR11" t="s">
        <v>4466</v>
      </c>
      <c r="IS11" t="s">
        <v>968</v>
      </c>
      <c r="IT11" t="str">
        <f>"0.0303***"</f>
        <v>0.0303***</v>
      </c>
      <c r="IU11" t="s">
        <v>1691</v>
      </c>
      <c r="IV11" t="s">
        <v>1057</v>
      </c>
      <c r="IW11" t="str">
        <f>"0.0372***"</f>
        <v>0.0372***</v>
      </c>
      <c r="IX11" t="s">
        <v>2842</v>
      </c>
      <c r="IY11" t="s">
        <v>4467</v>
      </c>
      <c r="IZ11" t="str">
        <f>"0.0366***"</f>
        <v>0.0366***</v>
      </c>
      <c r="JA11" t="s">
        <v>1929</v>
      </c>
      <c r="JB11" t="s">
        <v>1635</v>
      </c>
      <c r="JC11" t="str">
        <f>"0.0348***"</f>
        <v>0.0348***</v>
      </c>
      <c r="JD11" t="s">
        <v>4468</v>
      </c>
      <c r="JE11" t="s">
        <v>3632</v>
      </c>
      <c r="JF11" t="str">
        <f>"0.0359***"</f>
        <v>0.0359***</v>
      </c>
      <c r="JG11" t="s">
        <v>4469</v>
      </c>
      <c r="JH11" t="s">
        <v>4470</v>
      </c>
      <c r="JI11" t="str">
        <f>"0.0354***"</f>
        <v>0.0354***</v>
      </c>
      <c r="JJ11" t="s">
        <v>3428</v>
      </c>
      <c r="JK11" t="s">
        <v>1194</v>
      </c>
      <c r="JL11" t="str">
        <f>"0.0336***"</f>
        <v>0.0336***</v>
      </c>
      <c r="JM11" t="s">
        <v>4471</v>
      </c>
      <c r="JN11" t="s">
        <v>2888</v>
      </c>
      <c r="JO11" t="str">
        <f>"0.0384***"</f>
        <v>0.0384***</v>
      </c>
      <c r="JP11" t="s">
        <v>4472</v>
      </c>
      <c r="JQ11" t="s">
        <v>4073</v>
      </c>
      <c r="JR11" t="str">
        <f>"0.0424***"</f>
        <v>0.0424***</v>
      </c>
      <c r="JS11" t="s">
        <v>4473</v>
      </c>
      <c r="JT11" t="s">
        <v>617</v>
      </c>
      <c r="JU11" t="str">
        <f>"0.0370***"</f>
        <v>0.0370***</v>
      </c>
      <c r="JV11" t="s">
        <v>3604</v>
      </c>
      <c r="JW11" t="s">
        <v>2862</v>
      </c>
      <c r="JX11" t="str">
        <f>"0.0426***"</f>
        <v>0.0426***</v>
      </c>
      <c r="JY11" t="s">
        <v>4473</v>
      </c>
      <c r="JZ11" t="s">
        <v>3639</v>
      </c>
      <c r="KA11" t="str">
        <f>"0.0337***"</f>
        <v>0.0337***</v>
      </c>
      <c r="KB11" t="s">
        <v>1938</v>
      </c>
      <c r="KC11" t="s">
        <v>1164</v>
      </c>
      <c r="KD11" t="str">
        <f>"0.0401***"</f>
        <v>0.0401***</v>
      </c>
      <c r="KE11" t="s">
        <v>1624</v>
      </c>
      <c r="KF11" t="s">
        <v>3615</v>
      </c>
      <c r="KG11" t="str">
        <f>"0.0405***"</f>
        <v>0.0405***</v>
      </c>
      <c r="KH11" t="s">
        <v>1624</v>
      </c>
      <c r="KI11" t="s">
        <v>3677</v>
      </c>
      <c r="KJ11" t="str">
        <f>"0.0378***"</f>
        <v>0.0378***</v>
      </c>
      <c r="KK11" t="s">
        <v>4474</v>
      </c>
      <c r="KL11" t="s">
        <v>1925</v>
      </c>
    </row>
    <row r="12" spans="1:298" x14ac:dyDescent="0.2">
      <c r="A12" t="str">
        <f>"feminino"</f>
        <v>feminino</v>
      </c>
      <c r="B12" t="str">
        <f>"-0.00669***"</f>
        <v>-0.00669***</v>
      </c>
      <c r="C12" t="s">
        <v>1195</v>
      </c>
      <c r="D12" t="s">
        <v>3294</v>
      </c>
      <c r="E12" t="str">
        <f>"-0.00792***"</f>
        <v>-0.00792***</v>
      </c>
      <c r="F12" t="s">
        <v>4475</v>
      </c>
      <c r="G12" t="s">
        <v>1101</v>
      </c>
      <c r="H12" t="str">
        <f>"-0.00727***"</f>
        <v>-0.00727***</v>
      </c>
      <c r="I12" t="s">
        <v>706</v>
      </c>
      <c r="J12" t="s">
        <v>804</v>
      </c>
      <c r="K12" t="str">
        <f>"-0.00647***"</f>
        <v>-0.00647***</v>
      </c>
      <c r="L12" t="s">
        <v>948</v>
      </c>
      <c r="M12" t="s">
        <v>3294</v>
      </c>
      <c r="N12" t="str">
        <f>"-0.00586***"</f>
        <v>-0.00586***</v>
      </c>
      <c r="O12" t="s">
        <v>3270</v>
      </c>
      <c r="P12" t="s">
        <v>819</v>
      </c>
      <c r="Q12" t="str">
        <f>"-0.00587***"</f>
        <v>-0.00587***</v>
      </c>
      <c r="R12" t="s">
        <v>3270</v>
      </c>
      <c r="S12" t="s">
        <v>819</v>
      </c>
      <c r="T12" t="str">
        <f>"-0.00517***"</f>
        <v>-0.00517***</v>
      </c>
      <c r="U12" t="s">
        <v>974</v>
      </c>
      <c r="V12" t="s">
        <v>826</v>
      </c>
      <c r="W12" t="str">
        <f>"-0.00457***"</f>
        <v>-0.00457***</v>
      </c>
      <c r="X12" t="s">
        <v>1159</v>
      </c>
      <c r="Y12" t="s">
        <v>1111</v>
      </c>
      <c r="Z12" t="str">
        <f>"-0.00434***"</f>
        <v>-0.00434***</v>
      </c>
      <c r="AA12" t="s">
        <v>1002</v>
      </c>
      <c r="AB12" t="s">
        <v>847</v>
      </c>
      <c r="AC12" t="str">
        <f>"-0.00331***"</f>
        <v>-0.00331***</v>
      </c>
      <c r="AD12" t="s">
        <v>3295</v>
      </c>
      <c r="AE12" t="s">
        <v>705</v>
      </c>
      <c r="AF12" t="str">
        <f>"-0.00305***"</f>
        <v>-0.00305***</v>
      </c>
      <c r="AG12" t="s">
        <v>1088</v>
      </c>
      <c r="AH12" t="s">
        <v>1506</v>
      </c>
      <c r="AI12" t="str">
        <f>"-0.00269***"</f>
        <v>-0.00269***</v>
      </c>
      <c r="AJ12" t="s">
        <v>345</v>
      </c>
      <c r="AK12" t="s">
        <v>1452</v>
      </c>
      <c r="AL12" t="str">
        <f>"-0.00236***"</f>
        <v>-0.00236***</v>
      </c>
      <c r="AM12" t="s">
        <v>922</v>
      </c>
      <c r="AN12" t="s">
        <v>1509</v>
      </c>
      <c r="AO12" t="str">
        <f>"-0.00205***"</f>
        <v>-0.00205***</v>
      </c>
      <c r="AP12" t="s">
        <v>911</v>
      </c>
      <c r="AQ12" t="s">
        <v>1453</v>
      </c>
      <c r="AR12" t="str">
        <f>"-0.00170***"</f>
        <v>-0.00170***</v>
      </c>
      <c r="AS12" t="s">
        <v>933</v>
      </c>
      <c r="AT12" t="s">
        <v>812</v>
      </c>
      <c r="AU12" t="str">
        <f>"-0.00158***"</f>
        <v>-0.00158***</v>
      </c>
      <c r="AV12" t="s">
        <v>1014</v>
      </c>
      <c r="AW12" t="s">
        <v>1512</v>
      </c>
      <c r="AX12" t="str">
        <f>"-0.00155***"</f>
        <v>-0.00155***</v>
      </c>
      <c r="AY12" t="s">
        <v>652</v>
      </c>
      <c r="AZ12" t="s">
        <v>1512</v>
      </c>
      <c r="BA12" t="str">
        <f>"-0.00152***"</f>
        <v>-0.00152***</v>
      </c>
      <c r="BB12" t="s">
        <v>652</v>
      </c>
      <c r="BC12" t="s">
        <v>1513</v>
      </c>
      <c r="BD12" t="str">
        <f>"-0.00153***"</f>
        <v>-0.00153***</v>
      </c>
      <c r="BE12" t="s">
        <v>652</v>
      </c>
      <c r="BF12" t="s">
        <v>1513</v>
      </c>
      <c r="BG12" t="str">
        <f>"-0.00153***"</f>
        <v>-0.00153***</v>
      </c>
      <c r="BH12" t="s">
        <v>652</v>
      </c>
      <c r="BI12" t="s">
        <v>1512</v>
      </c>
      <c r="BJ12" t="str">
        <f>"-0.00163***"</f>
        <v>-0.00163***</v>
      </c>
      <c r="BK12" t="s">
        <v>1014</v>
      </c>
      <c r="BL12" t="s">
        <v>1512</v>
      </c>
      <c r="BM12" t="str">
        <f>"-0.00171***"</f>
        <v>-0.00171***</v>
      </c>
      <c r="BN12" t="s">
        <v>933</v>
      </c>
      <c r="BO12" t="s">
        <v>812</v>
      </c>
      <c r="BP12" t="str">
        <f>"-0.00176***"</f>
        <v>-0.00176***</v>
      </c>
      <c r="BQ12" t="s">
        <v>717</v>
      </c>
      <c r="BR12" t="s">
        <v>812</v>
      </c>
      <c r="BS12" t="str">
        <f>"-0.00184***"</f>
        <v>-0.00184***</v>
      </c>
      <c r="BT12" t="s">
        <v>639</v>
      </c>
      <c r="BU12" t="s">
        <v>1089</v>
      </c>
      <c r="BV12" t="str">
        <f>"-0.00187***"</f>
        <v>-0.00187***</v>
      </c>
      <c r="BW12" t="s">
        <v>639</v>
      </c>
      <c r="BX12" t="s">
        <v>1089</v>
      </c>
      <c r="BY12" t="str">
        <f>"-0.00193***"</f>
        <v>-0.00193***</v>
      </c>
      <c r="BZ12" t="s">
        <v>1012</v>
      </c>
      <c r="CA12" t="s">
        <v>1453</v>
      </c>
      <c r="CB12" t="str">
        <f>"-0.00200***"</f>
        <v>-0.00200***</v>
      </c>
      <c r="CC12" t="s">
        <v>945</v>
      </c>
      <c r="CD12" t="s">
        <v>1453</v>
      </c>
      <c r="CE12" t="str">
        <f>"-0.00210***"</f>
        <v>-0.00210***</v>
      </c>
      <c r="CF12" t="s">
        <v>911</v>
      </c>
      <c r="CG12" t="s">
        <v>1511</v>
      </c>
      <c r="CH12" t="str">
        <f>"-0.00218***"</f>
        <v>-0.00218***</v>
      </c>
      <c r="CI12" t="s">
        <v>783</v>
      </c>
      <c r="CJ12" t="s">
        <v>1510</v>
      </c>
      <c r="CK12" t="str">
        <f>"-0.00230***"</f>
        <v>-0.00230***</v>
      </c>
      <c r="CL12" t="s">
        <v>711</v>
      </c>
      <c r="CM12" t="s">
        <v>1509</v>
      </c>
      <c r="CN12" t="str">
        <f>"-0.00246***"</f>
        <v>-0.00246***</v>
      </c>
      <c r="CO12" t="s">
        <v>922</v>
      </c>
      <c r="CP12" t="s">
        <v>962</v>
      </c>
      <c r="CQ12" t="str">
        <f>"-0.00258***"</f>
        <v>-0.00258***</v>
      </c>
      <c r="CR12" t="s">
        <v>640</v>
      </c>
      <c r="CS12" t="s">
        <v>1452</v>
      </c>
      <c r="CT12" t="str">
        <f>"-0.00268***"</f>
        <v>-0.00268***</v>
      </c>
      <c r="CU12" t="s">
        <v>703</v>
      </c>
      <c r="CV12" t="s">
        <v>1452</v>
      </c>
      <c r="CW12" t="str">
        <f>"-0.00284***"</f>
        <v>-0.00284***</v>
      </c>
      <c r="CX12" t="s">
        <v>700</v>
      </c>
      <c r="CY12" t="s">
        <v>1507</v>
      </c>
      <c r="CZ12" t="str">
        <f>"-0.00298***"</f>
        <v>-0.00298***</v>
      </c>
      <c r="DA12" t="s">
        <v>697</v>
      </c>
      <c r="DB12" t="s">
        <v>1506</v>
      </c>
      <c r="DC12" t="str">
        <f>"-0.00313***"</f>
        <v>-0.00313***</v>
      </c>
      <c r="DD12" t="s">
        <v>650</v>
      </c>
      <c r="DE12" t="s">
        <v>1115</v>
      </c>
      <c r="DF12" t="str">
        <f>"-0.00322***"</f>
        <v>-0.00322***</v>
      </c>
      <c r="DG12" t="s">
        <v>1515</v>
      </c>
      <c r="DH12" t="s">
        <v>705</v>
      </c>
      <c r="DI12" t="str">
        <f>"-0.00344***"</f>
        <v>-0.00344***</v>
      </c>
      <c r="DJ12" t="s">
        <v>670</v>
      </c>
      <c r="DK12" t="s">
        <v>1201</v>
      </c>
      <c r="DL12" t="str">
        <f>"-0.00359***"</f>
        <v>-0.00359***</v>
      </c>
      <c r="DM12" t="s">
        <v>914</v>
      </c>
      <c r="DN12" t="s">
        <v>949</v>
      </c>
      <c r="DO12" t="str">
        <f>"-0.00384***"</f>
        <v>-0.00384***</v>
      </c>
      <c r="DP12" t="s">
        <v>1505</v>
      </c>
      <c r="DQ12" t="s">
        <v>1063</v>
      </c>
      <c r="DR12" t="str">
        <f>"-0.00395***"</f>
        <v>-0.00395***</v>
      </c>
      <c r="DS12" t="s">
        <v>1003</v>
      </c>
      <c r="DT12" t="s">
        <v>1502</v>
      </c>
      <c r="DU12" t="str">
        <f>"-0.00407***"</f>
        <v>-0.00407***</v>
      </c>
      <c r="DV12" t="s">
        <v>1451</v>
      </c>
      <c r="DW12" t="s">
        <v>1504</v>
      </c>
      <c r="DX12" t="str">
        <f>"-0.00414***"</f>
        <v>-0.00414***</v>
      </c>
      <c r="DY12" t="s">
        <v>909</v>
      </c>
      <c r="DZ12" t="s">
        <v>1500</v>
      </c>
      <c r="EA12" t="str">
        <f>"-0.00417***"</f>
        <v>-0.00417***</v>
      </c>
      <c r="EB12" t="s">
        <v>909</v>
      </c>
      <c r="EC12" t="s">
        <v>1500</v>
      </c>
      <c r="ED12" t="str">
        <f>"-0.00416***"</f>
        <v>-0.00416***</v>
      </c>
      <c r="EE12" t="s">
        <v>909</v>
      </c>
      <c r="EF12" t="s">
        <v>1500</v>
      </c>
      <c r="EG12" t="str">
        <f>"-0.00418***"</f>
        <v>-0.00418***</v>
      </c>
      <c r="EH12" t="s">
        <v>672</v>
      </c>
      <c r="EI12" t="s">
        <v>1500</v>
      </c>
      <c r="EJ12" t="str">
        <f>"-0.00420***"</f>
        <v>-0.00420***</v>
      </c>
      <c r="EK12" t="s">
        <v>672</v>
      </c>
      <c r="EL12" t="s">
        <v>1500</v>
      </c>
      <c r="EM12" t="str">
        <f>"-0.00432***"</f>
        <v>-0.00432***</v>
      </c>
      <c r="EN12" t="s">
        <v>1118</v>
      </c>
      <c r="EO12" t="s">
        <v>847</v>
      </c>
      <c r="EP12" t="str">
        <f>"-0.00440***"</f>
        <v>-0.00440***</v>
      </c>
      <c r="EQ12" t="s">
        <v>1002</v>
      </c>
      <c r="ER12" t="s">
        <v>1111</v>
      </c>
      <c r="ES12" t="str">
        <f>"-0.00456***"</f>
        <v>-0.00456***</v>
      </c>
      <c r="ET12" t="s">
        <v>1514</v>
      </c>
      <c r="EU12" t="s">
        <v>825</v>
      </c>
      <c r="EV12" t="str">
        <f>"-0.00465***"</f>
        <v>-0.00465***</v>
      </c>
      <c r="EW12" t="s">
        <v>1159</v>
      </c>
      <c r="EX12" t="s">
        <v>960</v>
      </c>
      <c r="EY12" t="str">
        <f>"-0.00490***"</f>
        <v>-0.00490***</v>
      </c>
      <c r="EZ12" t="s">
        <v>654</v>
      </c>
      <c r="FA12" t="s">
        <v>1448</v>
      </c>
      <c r="FB12" t="str">
        <f>"-0.00513***"</f>
        <v>-0.00513***</v>
      </c>
      <c r="FC12" t="s">
        <v>1010</v>
      </c>
      <c r="FD12" t="s">
        <v>826</v>
      </c>
      <c r="FE12" t="str">
        <f>"-0.00524***"</f>
        <v>-0.00524***</v>
      </c>
      <c r="FF12" t="s">
        <v>3557</v>
      </c>
      <c r="FG12" t="s">
        <v>1501</v>
      </c>
      <c r="FH12" t="str">
        <f>"-0.00529***"</f>
        <v>-0.00529***</v>
      </c>
      <c r="FI12" t="s">
        <v>3557</v>
      </c>
      <c r="FJ12" t="s">
        <v>3271</v>
      </c>
      <c r="FK12" t="str">
        <f>"-0.00532***"</f>
        <v>-0.00532***</v>
      </c>
      <c r="FL12" t="s">
        <v>897</v>
      </c>
      <c r="FM12" t="s">
        <v>3271</v>
      </c>
      <c r="FN12" t="str">
        <f>"-0.00528***"</f>
        <v>-0.00528***</v>
      </c>
      <c r="FO12" t="s">
        <v>3557</v>
      </c>
      <c r="FP12" t="s">
        <v>3271</v>
      </c>
      <c r="FQ12" t="str">
        <f>"-0.00518***"</f>
        <v>-0.00518***</v>
      </c>
      <c r="FR12" t="s">
        <v>974</v>
      </c>
      <c r="FS12" t="s">
        <v>1501</v>
      </c>
      <c r="FT12" t="str">
        <f>"-0.00517***"</f>
        <v>-0.00517***</v>
      </c>
      <c r="FU12" t="s">
        <v>974</v>
      </c>
      <c r="FV12" t="s">
        <v>1501</v>
      </c>
      <c r="FW12" t="str">
        <f>"-0.00513***"</f>
        <v>-0.00513***</v>
      </c>
      <c r="FX12" t="s">
        <v>1010</v>
      </c>
      <c r="FY12" t="s">
        <v>826</v>
      </c>
      <c r="FZ12" t="str">
        <f>"-0.00515***"</f>
        <v>-0.00515***</v>
      </c>
      <c r="GA12" t="s">
        <v>974</v>
      </c>
      <c r="GB12" t="s">
        <v>1501</v>
      </c>
      <c r="GC12" t="str">
        <f>"-0.00525***"</f>
        <v>-0.00525***</v>
      </c>
      <c r="GD12" t="s">
        <v>3557</v>
      </c>
      <c r="GE12" t="s">
        <v>1501</v>
      </c>
      <c r="GF12" t="str">
        <f>"-0.00551***"</f>
        <v>-0.00551***</v>
      </c>
      <c r="GG12" t="s">
        <v>967</v>
      </c>
      <c r="GH12" t="s">
        <v>3272</v>
      </c>
      <c r="GI12" t="str">
        <f>"-0.00552***"</f>
        <v>-0.00552***</v>
      </c>
      <c r="GJ12" t="s">
        <v>967</v>
      </c>
      <c r="GK12" t="s">
        <v>3272</v>
      </c>
      <c r="GL12" t="str">
        <f>"-0.00564***"</f>
        <v>-0.00564***</v>
      </c>
      <c r="GM12" t="s">
        <v>1192</v>
      </c>
      <c r="GN12" t="s">
        <v>808</v>
      </c>
      <c r="GO12" t="str">
        <f>"-0.00566***"</f>
        <v>-0.00566***</v>
      </c>
      <c r="GP12" t="s">
        <v>1192</v>
      </c>
      <c r="GQ12" t="s">
        <v>808</v>
      </c>
      <c r="GR12" t="str">
        <f>"-0.00561***"</f>
        <v>-0.00561***</v>
      </c>
      <c r="GS12" t="s">
        <v>781</v>
      </c>
      <c r="GT12" t="s">
        <v>808</v>
      </c>
      <c r="GU12" t="str">
        <f>"-0.00559***"</f>
        <v>-0.00559***</v>
      </c>
      <c r="GV12" t="s">
        <v>781</v>
      </c>
      <c r="GW12" t="s">
        <v>808</v>
      </c>
      <c r="GX12" t="str">
        <f>"-0.00553***"</f>
        <v>-0.00553***</v>
      </c>
      <c r="GY12" t="s">
        <v>967</v>
      </c>
      <c r="GZ12" t="s">
        <v>3272</v>
      </c>
      <c r="HA12" t="str">
        <f>"-0.00556***"</f>
        <v>-0.00556***</v>
      </c>
      <c r="HB12" t="s">
        <v>781</v>
      </c>
      <c r="HC12" t="s">
        <v>808</v>
      </c>
      <c r="HD12" t="str">
        <f>"-0.00588***"</f>
        <v>-0.00588***</v>
      </c>
      <c r="HE12" t="s">
        <v>3270</v>
      </c>
      <c r="HF12" t="s">
        <v>814</v>
      </c>
      <c r="HG12" t="str">
        <f>"-0.00610***"</f>
        <v>-0.00610***</v>
      </c>
      <c r="HH12" t="s">
        <v>656</v>
      </c>
      <c r="HI12" t="s">
        <v>1098</v>
      </c>
      <c r="HJ12" t="str">
        <f>"-0.00617***"</f>
        <v>-0.00617***</v>
      </c>
      <c r="HK12" t="s">
        <v>676</v>
      </c>
      <c r="HL12" t="s">
        <v>1098</v>
      </c>
      <c r="HM12" t="str">
        <f>"-0.00636***"</f>
        <v>-0.00636***</v>
      </c>
      <c r="HN12" t="s">
        <v>668</v>
      </c>
      <c r="HO12" t="s">
        <v>3294</v>
      </c>
      <c r="HP12" t="str">
        <f>"-0.00631***"</f>
        <v>-0.00631***</v>
      </c>
      <c r="HQ12" t="s">
        <v>2827</v>
      </c>
      <c r="HR12" t="s">
        <v>821</v>
      </c>
      <c r="HS12" t="str">
        <f>"-0.00625***"</f>
        <v>-0.00625***</v>
      </c>
      <c r="HT12" t="s">
        <v>303</v>
      </c>
      <c r="HU12" t="s">
        <v>821</v>
      </c>
      <c r="HV12" t="str">
        <f>"-0.00601***"</f>
        <v>-0.00601***</v>
      </c>
      <c r="HW12" t="s">
        <v>648</v>
      </c>
      <c r="HX12" t="s">
        <v>688</v>
      </c>
      <c r="HY12" t="str">
        <f>"-0.00635***"</f>
        <v>-0.00635***</v>
      </c>
      <c r="HZ12" t="s">
        <v>2827</v>
      </c>
      <c r="IA12" t="s">
        <v>3294</v>
      </c>
      <c r="IB12" t="str">
        <f>"-0.00668***"</f>
        <v>-0.00668***</v>
      </c>
      <c r="IC12" t="s">
        <v>632</v>
      </c>
      <c r="ID12" t="s">
        <v>2847</v>
      </c>
      <c r="IE12" t="str">
        <f>"-0.00673***"</f>
        <v>-0.00673***</v>
      </c>
      <c r="IF12" t="s">
        <v>632</v>
      </c>
      <c r="IG12" t="s">
        <v>2847</v>
      </c>
      <c r="IH12" t="str">
        <f>"-0.00698***"</f>
        <v>-0.00698***</v>
      </c>
      <c r="II12" t="s">
        <v>1708</v>
      </c>
      <c r="IJ12" t="s">
        <v>1446</v>
      </c>
      <c r="IK12" t="str">
        <f>"-0.00663***"</f>
        <v>-0.00663***</v>
      </c>
      <c r="IL12" t="s">
        <v>1447</v>
      </c>
      <c r="IM12" t="s">
        <v>2847</v>
      </c>
      <c r="IN12" t="str">
        <f>"-0.00630***"</f>
        <v>-0.00630***</v>
      </c>
      <c r="IO12" t="s">
        <v>2827</v>
      </c>
      <c r="IP12" t="s">
        <v>821</v>
      </c>
      <c r="IQ12" t="str">
        <f>"-0.00612***"</f>
        <v>-0.00612***</v>
      </c>
      <c r="IR12" t="s">
        <v>676</v>
      </c>
      <c r="IS12" t="s">
        <v>1098</v>
      </c>
      <c r="IT12" t="str">
        <f>"-0.00645***"</f>
        <v>-0.00645***</v>
      </c>
      <c r="IU12" t="s">
        <v>1100</v>
      </c>
      <c r="IV12" t="s">
        <v>3294</v>
      </c>
      <c r="IW12" t="str">
        <f>"-0.00771***"</f>
        <v>-0.00771***</v>
      </c>
      <c r="IX12" t="s">
        <v>3560</v>
      </c>
      <c r="IY12" t="s">
        <v>1101</v>
      </c>
      <c r="IZ12" t="str">
        <f>"-0.00759***"</f>
        <v>-0.00759***</v>
      </c>
      <c r="JA12" t="s">
        <v>1113</v>
      </c>
      <c r="JB12" t="s">
        <v>3565</v>
      </c>
      <c r="JC12" t="str">
        <f>"-0.00747***"</f>
        <v>-0.00747***</v>
      </c>
      <c r="JD12" t="s">
        <v>1079</v>
      </c>
      <c r="JE12" t="s">
        <v>823</v>
      </c>
      <c r="JF12" t="str">
        <f>"-0.00770***"</f>
        <v>-0.00770***</v>
      </c>
      <c r="JG12" t="s">
        <v>3560</v>
      </c>
      <c r="JH12" t="s">
        <v>1101</v>
      </c>
      <c r="JI12" t="str">
        <f>"-0.00770***"</f>
        <v>-0.00770***</v>
      </c>
      <c r="JJ12" t="s">
        <v>3560</v>
      </c>
      <c r="JK12" t="s">
        <v>1101</v>
      </c>
      <c r="JL12" t="str">
        <f>"-0.00746***"</f>
        <v>-0.00746***</v>
      </c>
      <c r="JM12" t="s">
        <v>965</v>
      </c>
      <c r="JN12" t="s">
        <v>823</v>
      </c>
      <c r="JO12" t="str">
        <f>"-0.00870***"</f>
        <v>-0.00870***</v>
      </c>
      <c r="JP12" t="s">
        <v>2836</v>
      </c>
      <c r="JQ12" t="s">
        <v>3293</v>
      </c>
      <c r="JR12" t="str">
        <f>"-0.00952***"</f>
        <v>-0.00952***</v>
      </c>
      <c r="JS12" t="s">
        <v>3577</v>
      </c>
      <c r="JT12" t="s">
        <v>3292</v>
      </c>
      <c r="JU12" t="str">
        <f>"-0.00835***"</f>
        <v>-0.00835***</v>
      </c>
      <c r="JV12" t="s">
        <v>831</v>
      </c>
      <c r="JW12" t="s">
        <v>4476</v>
      </c>
      <c r="JX12" t="str">
        <f>"-0.0102***"</f>
        <v>-0.0102***</v>
      </c>
      <c r="JY12" t="s">
        <v>514</v>
      </c>
      <c r="JZ12" t="s">
        <v>4477</v>
      </c>
      <c r="KA12" t="str">
        <f>"-0.00829***"</f>
        <v>-0.00829***</v>
      </c>
      <c r="KB12" t="s">
        <v>1114</v>
      </c>
      <c r="KC12" t="s">
        <v>4476</v>
      </c>
      <c r="KD12" t="str">
        <f>"-0.00939***"</f>
        <v>-0.00939***</v>
      </c>
      <c r="KE12" t="s">
        <v>3577</v>
      </c>
      <c r="KF12" t="s">
        <v>4478</v>
      </c>
      <c r="KG12" t="str">
        <f>"-0.00979***"</f>
        <v>-0.00979***</v>
      </c>
      <c r="KH12" t="s">
        <v>1041</v>
      </c>
      <c r="KI12" t="s">
        <v>893</v>
      </c>
      <c r="KJ12" t="str">
        <f>"-0.00945***"</f>
        <v>-0.00945***</v>
      </c>
      <c r="KK12" t="s">
        <v>3300</v>
      </c>
      <c r="KL12" t="s">
        <v>845</v>
      </c>
    </row>
    <row r="13" spans="1:298" x14ac:dyDescent="0.2">
      <c r="A13" t="str">
        <f>"ppi"</f>
        <v>ppi</v>
      </c>
      <c r="B13" t="str">
        <f>"-0.00420***"</f>
        <v>-0.00420***</v>
      </c>
      <c r="C13" t="s">
        <v>686</v>
      </c>
      <c r="D13" t="s">
        <v>1201</v>
      </c>
      <c r="E13" t="str">
        <f>"-0.00474***"</f>
        <v>-0.00474***</v>
      </c>
      <c r="F13" t="s">
        <v>1010</v>
      </c>
      <c r="G13" t="s">
        <v>1500</v>
      </c>
      <c r="H13" t="str">
        <f>"-0.00440***"</f>
        <v>-0.00440***</v>
      </c>
      <c r="I13" t="s">
        <v>1159</v>
      </c>
      <c r="J13" t="s">
        <v>1504</v>
      </c>
      <c r="K13" t="str">
        <f>"-0.00415***"</f>
        <v>-0.00415***</v>
      </c>
      <c r="L13" t="s">
        <v>1118</v>
      </c>
      <c r="M13" t="s">
        <v>1502</v>
      </c>
      <c r="N13" t="str">
        <f>"-0.00373***"</f>
        <v>-0.00373***</v>
      </c>
      <c r="O13" t="s">
        <v>910</v>
      </c>
      <c r="P13" t="s">
        <v>949</v>
      </c>
      <c r="Q13" t="str">
        <f>"-0.00372***"</f>
        <v>-0.00372***</v>
      </c>
      <c r="R13" t="s">
        <v>1505</v>
      </c>
      <c r="S13" t="s">
        <v>949</v>
      </c>
      <c r="T13" t="str">
        <f>"-0.00357***"</f>
        <v>-0.00357***</v>
      </c>
      <c r="U13" t="s">
        <v>666</v>
      </c>
      <c r="V13" t="s">
        <v>1201</v>
      </c>
      <c r="W13" t="str">
        <f>"-0.00364***"</f>
        <v>-0.00364***</v>
      </c>
      <c r="X13" t="s">
        <v>666</v>
      </c>
      <c r="Y13" t="s">
        <v>1503</v>
      </c>
      <c r="Z13" t="str">
        <f>"-0.00337***"</f>
        <v>-0.00337***</v>
      </c>
      <c r="AA13" t="s">
        <v>670</v>
      </c>
      <c r="AB13" t="s">
        <v>705</v>
      </c>
      <c r="AC13" t="str">
        <f>"-0.00285***"</f>
        <v>-0.00285***</v>
      </c>
      <c r="AD13" t="s">
        <v>700</v>
      </c>
      <c r="AE13" t="s">
        <v>1507</v>
      </c>
      <c r="AF13" t="str">
        <f>"-0.00294***"</f>
        <v>-0.00294***</v>
      </c>
      <c r="AG13" t="s">
        <v>919</v>
      </c>
      <c r="AH13" t="s">
        <v>1506</v>
      </c>
      <c r="AI13" t="str">
        <f>"-0.00288***"</f>
        <v>-0.00288***</v>
      </c>
      <c r="AJ13" t="s">
        <v>700</v>
      </c>
      <c r="AK13" t="s">
        <v>1506</v>
      </c>
      <c r="AL13" t="str">
        <f>"-0.00271***"</f>
        <v>-0.00271***</v>
      </c>
      <c r="AM13" t="s">
        <v>703</v>
      </c>
      <c r="AN13" t="s">
        <v>1507</v>
      </c>
      <c r="AO13" t="str">
        <f>"-0.00261***"</f>
        <v>-0.00261***</v>
      </c>
      <c r="AP13" t="s">
        <v>677</v>
      </c>
      <c r="AQ13" t="s">
        <v>1508</v>
      </c>
      <c r="AR13" t="str">
        <f>"-0.00221***"</f>
        <v>-0.00221***</v>
      </c>
      <c r="AS13" t="s">
        <v>911</v>
      </c>
      <c r="AT13" t="s">
        <v>1509</v>
      </c>
      <c r="AU13" t="str">
        <f>"-0.00217***"</f>
        <v>-0.00217***</v>
      </c>
      <c r="AV13" t="s">
        <v>911</v>
      </c>
      <c r="AW13" t="s">
        <v>1509</v>
      </c>
      <c r="AX13" t="str">
        <f>"-0.00199***"</f>
        <v>-0.00199***</v>
      </c>
      <c r="AY13" t="s">
        <v>1012</v>
      </c>
      <c r="AZ13" t="s">
        <v>1511</v>
      </c>
      <c r="BA13" t="str">
        <f>"-0.00209***"</f>
        <v>-0.00209***</v>
      </c>
      <c r="BB13" t="s">
        <v>945</v>
      </c>
      <c r="BC13" t="s">
        <v>1510</v>
      </c>
      <c r="BD13" t="str">
        <f>"-0.00203***"</f>
        <v>-0.00203***</v>
      </c>
      <c r="BE13" t="s">
        <v>1012</v>
      </c>
      <c r="BF13" t="s">
        <v>1510</v>
      </c>
      <c r="BG13" t="str">
        <f>"-0.00202***"</f>
        <v>-0.00202***</v>
      </c>
      <c r="BH13" t="s">
        <v>1012</v>
      </c>
      <c r="BI13" t="s">
        <v>1510</v>
      </c>
      <c r="BJ13" t="str">
        <f>"-0.00204***"</f>
        <v>-0.00204***</v>
      </c>
      <c r="BK13" t="s">
        <v>1012</v>
      </c>
      <c r="BL13" t="s">
        <v>1510</v>
      </c>
      <c r="BM13" t="str">
        <f>"-0.00212***"</f>
        <v>-0.00212***</v>
      </c>
      <c r="BN13" t="s">
        <v>945</v>
      </c>
      <c r="BO13" t="s">
        <v>1509</v>
      </c>
      <c r="BP13" t="str">
        <f>"-0.00211***"</f>
        <v>-0.00211***</v>
      </c>
      <c r="BQ13" t="s">
        <v>945</v>
      </c>
      <c r="BR13" t="s">
        <v>1509</v>
      </c>
      <c r="BS13" t="str">
        <f>"-0.00219***"</f>
        <v>-0.00219***</v>
      </c>
      <c r="BT13" t="s">
        <v>945</v>
      </c>
      <c r="BU13" t="s">
        <v>1509</v>
      </c>
      <c r="BV13" t="str">
        <f>"-0.00212***"</f>
        <v>-0.00212***</v>
      </c>
      <c r="BW13" t="s">
        <v>945</v>
      </c>
      <c r="BX13" t="s">
        <v>1509</v>
      </c>
      <c r="BY13" t="str">
        <f>"-0.00212***"</f>
        <v>-0.00212***</v>
      </c>
      <c r="BZ13" t="s">
        <v>945</v>
      </c>
      <c r="CA13" t="s">
        <v>1509</v>
      </c>
      <c r="CB13" t="str">
        <f>"-0.00220***"</f>
        <v>-0.00220***</v>
      </c>
      <c r="CC13" t="s">
        <v>911</v>
      </c>
      <c r="CD13" t="s">
        <v>1509</v>
      </c>
      <c r="CE13" t="str">
        <f>"-0.00218***"</f>
        <v>-0.00218***</v>
      </c>
      <c r="CF13" t="s">
        <v>945</v>
      </c>
      <c r="CG13" t="s">
        <v>1509</v>
      </c>
      <c r="CH13" t="str">
        <f>"-0.00225***"</f>
        <v>-0.00225***</v>
      </c>
      <c r="CI13" t="s">
        <v>911</v>
      </c>
      <c r="CJ13" t="s">
        <v>962</v>
      </c>
      <c r="CK13" t="str">
        <f>"-0.00252***"</f>
        <v>-0.00252***</v>
      </c>
      <c r="CL13" t="s">
        <v>920</v>
      </c>
      <c r="CM13" t="s">
        <v>1508</v>
      </c>
      <c r="CN13" t="str">
        <f>"-0.00255***"</f>
        <v>-0.00255***</v>
      </c>
      <c r="CO13" t="s">
        <v>920</v>
      </c>
      <c r="CP13" t="s">
        <v>1507</v>
      </c>
      <c r="CQ13" t="str">
        <f>"-0.00265***"</f>
        <v>-0.00265***</v>
      </c>
      <c r="CR13" t="s">
        <v>922</v>
      </c>
      <c r="CS13" t="s">
        <v>1506</v>
      </c>
      <c r="CT13" t="str">
        <f>"-0.00280***"</f>
        <v>-0.00280***</v>
      </c>
      <c r="CU13" t="s">
        <v>640</v>
      </c>
      <c r="CV13" t="s">
        <v>1115</v>
      </c>
      <c r="CW13" t="str">
        <f>"-0.00287***"</f>
        <v>-0.00287***</v>
      </c>
      <c r="CX13" t="s">
        <v>703</v>
      </c>
      <c r="CY13" t="s">
        <v>1115</v>
      </c>
      <c r="CZ13" t="str">
        <f>"-0.00301***"</f>
        <v>-0.00301***</v>
      </c>
      <c r="DA13" t="s">
        <v>700</v>
      </c>
      <c r="DB13" t="s">
        <v>1201</v>
      </c>
      <c r="DC13" t="str">
        <f>"-0.00308***"</f>
        <v>-0.00308***</v>
      </c>
      <c r="DD13" t="s">
        <v>700</v>
      </c>
      <c r="DE13" t="s">
        <v>1201</v>
      </c>
      <c r="DF13" t="str">
        <f>"-0.00311***"</f>
        <v>-0.00311***</v>
      </c>
      <c r="DG13" t="s">
        <v>919</v>
      </c>
      <c r="DH13" t="s">
        <v>949</v>
      </c>
      <c r="DI13" t="str">
        <f>"-0.00338***"</f>
        <v>-0.00338***</v>
      </c>
      <c r="DJ13" t="s">
        <v>650</v>
      </c>
      <c r="DK13" t="s">
        <v>1063</v>
      </c>
      <c r="DL13" t="str">
        <f>"-0.00353***"</f>
        <v>-0.00353***</v>
      </c>
      <c r="DM13" t="s">
        <v>1515</v>
      </c>
      <c r="DN13" t="s">
        <v>1502</v>
      </c>
      <c r="DO13" t="str">
        <f>"-0.00357***"</f>
        <v>-0.00357***</v>
      </c>
      <c r="DP13" t="s">
        <v>3295</v>
      </c>
      <c r="DQ13" t="s">
        <v>1504</v>
      </c>
      <c r="DR13" t="str">
        <f>"-0.00372***"</f>
        <v>-0.00372***</v>
      </c>
      <c r="DS13" t="s">
        <v>670</v>
      </c>
      <c r="DT13" t="s">
        <v>1500</v>
      </c>
      <c r="DU13" t="str">
        <f>"-0.00375***"</f>
        <v>-0.00375***</v>
      </c>
      <c r="DV13" t="s">
        <v>663</v>
      </c>
      <c r="DW13" t="s">
        <v>1500</v>
      </c>
      <c r="DX13" t="str">
        <f>"-0.00380***"</f>
        <v>-0.00380***</v>
      </c>
      <c r="DY13" t="s">
        <v>663</v>
      </c>
      <c r="DZ13" t="s">
        <v>847</v>
      </c>
      <c r="EA13" t="str">
        <f>"-0.00380***"</f>
        <v>-0.00380***</v>
      </c>
      <c r="EB13" t="s">
        <v>663</v>
      </c>
      <c r="EC13" t="s">
        <v>847</v>
      </c>
      <c r="ED13" t="str">
        <f>"-0.00379***"</f>
        <v>-0.00379***</v>
      </c>
      <c r="EE13" t="s">
        <v>663</v>
      </c>
      <c r="EF13" t="s">
        <v>847</v>
      </c>
      <c r="EG13" t="str">
        <f>"-0.00390***"</f>
        <v>-0.00390***</v>
      </c>
      <c r="EH13" t="s">
        <v>666</v>
      </c>
      <c r="EI13" t="s">
        <v>1111</v>
      </c>
      <c r="EJ13" t="str">
        <f>"-0.00397***"</f>
        <v>-0.00397***</v>
      </c>
      <c r="EK13" t="s">
        <v>666</v>
      </c>
      <c r="EL13" t="s">
        <v>1111</v>
      </c>
      <c r="EM13" t="str">
        <f>"-0.00392***"</f>
        <v>-0.00392***</v>
      </c>
      <c r="EN13" t="s">
        <v>666</v>
      </c>
      <c r="EO13" t="s">
        <v>1111</v>
      </c>
      <c r="EP13" t="str">
        <f>"-0.00405***"</f>
        <v>-0.00405***</v>
      </c>
      <c r="EQ13" t="s">
        <v>693</v>
      </c>
      <c r="ER13" t="s">
        <v>825</v>
      </c>
      <c r="ES13" t="str">
        <f>"-0.00414***"</f>
        <v>-0.00414***</v>
      </c>
      <c r="ET13" t="s">
        <v>1505</v>
      </c>
      <c r="EU13" t="s">
        <v>960</v>
      </c>
      <c r="EV13" t="str">
        <f>"-0.00420***"</f>
        <v>-0.00420***</v>
      </c>
      <c r="EW13" t="s">
        <v>910</v>
      </c>
      <c r="EX13" t="s">
        <v>960</v>
      </c>
      <c r="EY13" t="str">
        <f>"-0.00438***"</f>
        <v>-0.00438***</v>
      </c>
      <c r="EZ13" t="s">
        <v>1451</v>
      </c>
      <c r="FA13" t="s">
        <v>1448</v>
      </c>
      <c r="FB13" t="str">
        <f>"-0.00462***"</f>
        <v>-0.00462***</v>
      </c>
      <c r="FC13" t="s">
        <v>1118</v>
      </c>
      <c r="FD13" t="s">
        <v>1501</v>
      </c>
      <c r="FE13" t="str">
        <f>"-0.00491***"</f>
        <v>-0.00491***</v>
      </c>
      <c r="FF13" t="s">
        <v>1514</v>
      </c>
      <c r="FG13" t="s">
        <v>3272</v>
      </c>
      <c r="FH13" t="str">
        <f>"-0.00492***"</f>
        <v>-0.00492***</v>
      </c>
      <c r="FI13" t="s">
        <v>1514</v>
      </c>
      <c r="FJ13" t="s">
        <v>3272</v>
      </c>
      <c r="FK13" t="str">
        <f>"-0.00498***"</f>
        <v>-0.00498***</v>
      </c>
      <c r="FL13" t="s">
        <v>1159</v>
      </c>
      <c r="FM13" t="s">
        <v>808</v>
      </c>
      <c r="FN13" t="str">
        <f>"-0.00501***"</f>
        <v>-0.00501***</v>
      </c>
      <c r="FO13" t="s">
        <v>1159</v>
      </c>
      <c r="FP13" t="s">
        <v>808</v>
      </c>
      <c r="FQ13" t="str">
        <f>"-0.00505***"</f>
        <v>-0.00505***</v>
      </c>
      <c r="FR13" t="s">
        <v>1159</v>
      </c>
      <c r="FS13" t="s">
        <v>819</v>
      </c>
      <c r="FT13" t="str">
        <f>"-0.00520***"</f>
        <v>-0.00520***</v>
      </c>
      <c r="FU13" t="s">
        <v>1120</v>
      </c>
      <c r="FV13" t="s">
        <v>814</v>
      </c>
      <c r="FW13" t="str">
        <f>"-0.00504***"</f>
        <v>-0.00504***</v>
      </c>
      <c r="FX13" t="s">
        <v>1159</v>
      </c>
      <c r="FY13" t="s">
        <v>819</v>
      </c>
      <c r="FZ13" t="str">
        <f>"-0.00498***"</f>
        <v>-0.00498***</v>
      </c>
      <c r="GA13" t="s">
        <v>1159</v>
      </c>
      <c r="GB13" t="s">
        <v>808</v>
      </c>
      <c r="GC13" t="str">
        <f>"-0.00527***"</f>
        <v>-0.00527***</v>
      </c>
      <c r="GD13" t="s">
        <v>654</v>
      </c>
      <c r="GE13" t="s">
        <v>688</v>
      </c>
      <c r="GF13" t="str">
        <f>"-0.00560***"</f>
        <v>-0.00560***</v>
      </c>
      <c r="GG13" t="s">
        <v>974</v>
      </c>
      <c r="GH13" t="s">
        <v>821</v>
      </c>
      <c r="GI13" t="str">
        <f>"-0.00579***"</f>
        <v>-0.00579***</v>
      </c>
      <c r="GJ13" t="s">
        <v>897</v>
      </c>
      <c r="GK13" t="s">
        <v>822</v>
      </c>
      <c r="GL13" t="str">
        <f>"-0.00594***"</f>
        <v>-0.00594***</v>
      </c>
      <c r="GM13" t="s">
        <v>908</v>
      </c>
      <c r="GN13" t="s">
        <v>2847</v>
      </c>
      <c r="GO13" t="str">
        <f>"-0.00601***"</f>
        <v>-0.00601***</v>
      </c>
      <c r="GP13" t="s">
        <v>967</v>
      </c>
      <c r="GQ13" t="s">
        <v>3562</v>
      </c>
      <c r="GR13" t="str">
        <f>"-0.00626***"</f>
        <v>-0.00626***</v>
      </c>
      <c r="GS13" t="s">
        <v>1450</v>
      </c>
      <c r="GT13" t="s">
        <v>3652</v>
      </c>
      <c r="GU13" t="str">
        <f>"-0.00627***"</f>
        <v>-0.00627***</v>
      </c>
      <c r="GV13" t="s">
        <v>1450</v>
      </c>
      <c r="GW13" t="s">
        <v>3652</v>
      </c>
      <c r="GX13" t="str">
        <f>"-0.00613***"</f>
        <v>-0.00613***</v>
      </c>
      <c r="GY13" t="s">
        <v>1192</v>
      </c>
      <c r="GZ13" t="s">
        <v>1446</v>
      </c>
      <c r="HA13" t="str">
        <f>"-0.00621***"</f>
        <v>-0.00621***</v>
      </c>
      <c r="HB13" t="s">
        <v>1192</v>
      </c>
      <c r="HC13" t="s">
        <v>3652</v>
      </c>
      <c r="HD13" t="str">
        <f>"-0.00674***"</f>
        <v>-0.00674***</v>
      </c>
      <c r="HE13" t="s">
        <v>676</v>
      </c>
      <c r="HF13" t="s">
        <v>3565</v>
      </c>
      <c r="HG13" t="str">
        <f>"-0.00703***"</f>
        <v>-0.00703***</v>
      </c>
      <c r="HH13" t="s">
        <v>1100</v>
      </c>
      <c r="HI13" t="s">
        <v>2821</v>
      </c>
      <c r="HJ13" t="str">
        <f>"-0.00711***"</f>
        <v>-0.00711***</v>
      </c>
      <c r="HK13" t="s">
        <v>948</v>
      </c>
      <c r="HL13" t="s">
        <v>806</v>
      </c>
      <c r="HM13" t="str">
        <f>"-0.00724***"</f>
        <v>-0.00724***</v>
      </c>
      <c r="HN13" t="s">
        <v>1447</v>
      </c>
      <c r="HO13" t="s">
        <v>4476</v>
      </c>
      <c r="HP13" t="str">
        <f>"-0.00726***"</f>
        <v>-0.00726***</v>
      </c>
      <c r="HQ13" t="s">
        <v>1447</v>
      </c>
      <c r="HR13" t="s">
        <v>4476</v>
      </c>
      <c r="HS13" t="str">
        <f>"-0.00741***"</f>
        <v>-0.00741***</v>
      </c>
      <c r="HT13" t="s">
        <v>1717</v>
      </c>
      <c r="HU13" t="s">
        <v>3564</v>
      </c>
      <c r="HV13" t="str">
        <f>"-0.00701***"</f>
        <v>-0.00701***</v>
      </c>
      <c r="HW13" t="s">
        <v>1100</v>
      </c>
      <c r="HX13" t="s">
        <v>2821</v>
      </c>
      <c r="HY13" t="str">
        <f>"-0.00736***"</f>
        <v>-0.00736***</v>
      </c>
      <c r="HZ13" t="s">
        <v>1717</v>
      </c>
      <c r="IA13" t="s">
        <v>3564</v>
      </c>
      <c r="IB13" t="str">
        <f>"-0.00763***"</f>
        <v>-0.00763***</v>
      </c>
      <c r="IC13" t="s">
        <v>793</v>
      </c>
      <c r="ID13" t="s">
        <v>3293</v>
      </c>
      <c r="IE13" t="str">
        <f>"-0.00791***"</f>
        <v>-0.00791***</v>
      </c>
      <c r="IF13" t="s">
        <v>644</v>
      </c>
      <c r="IG13" t="s">
        <v>1273</v>
      </c>
      <c r="IH13" t="str">
        <f>"-0.00820***"</f>
        <v>-0.00820***</v>
      </c>
      <c r="II13" t="s">
        <v>1079</v>
      </c>
      <c r="IJ13" t="s">
        <v>3580</v>
      </c>
      <c r="IK13" t="str">
        <f>"-0.00790***"</f>
        <v>-0.00790***</v>
      </c>
      <c r="IL13" t="s">
        <v>644</v>
      </c>
      <c r="IM13" t="s">
        <v>1273</v>
      </c>
      <c r="IN13" t="str">
        <f>"-0.00761***"</f>
        <v>-0.00761***</v>
      </c>
      <c r="IO13" t="s">
        <v>793</v>
      </c>
      <c r="IP13" t="s">
        <v>3293</v>
      </c>
      <c r="IQ13" t="str">
        <f>"-0.00701***"</f>
        <v>-0.00701***</v>
      </c>
      <c r="IR13" t="s">
        <v>1100</v>
      </c>
      <c r="IS13" t="s">
        <v>3572</v>
      </c>
      <c r="IT13" t="str">
        <f>"-0.00735***"</f>
        <v>-0.00735***</v>
      </c>
      <c r="IU13" t="s">
        <v>1717</v>
      </c>
      <c r="IV13" t="s">
        <v>4476</v>
      </c>
      <c r="IW13" t="str">
        <f>"-0.00902***"</f>
        <v>-0.00902***</v>
      </c>
      <c r="IX13" t="s">
        <v>1114</v>
      </c>
      <c r="IY13" t="s">
        <v>4477</v>
      </c>
      <c r="IZ13" t="str">
        <f>"-0.00883***"</f>
        <v>-0.00883***</v>
      </c>
      <c r="JA13" t="s">
        <v>3291</v>
      </c>
      <c r="JB13" t="s">
        <v>3592</v>
      </c>
      <c r="JC13" t="str">
        <f>"-0.00871***"</f>
        <v>-0.00871***</v>
      </c>
      <c r="JD13" t="s">
        <v>301</v>
      </c>
      <c r="JE13" t="s">
        <v>1245</v>
      </c>
      <c r="JF13" t="str">
        <f>"-0.00879***"</f>
        <v>-0.00879***</v>
      </c>
      <c r="JG13" t="s">
        <v>3291</v>
      </c>
      <c r="JH13" t="s">
        <v>1245</v>
      </c>
      <c r="JI13" t="str">
        <f>"-0.00848***"</f>
        <v>-0.00848***</v>
      </c>
      <c r="JJ13" t="s">
        <v>641</v>
      </c>
      <c r="JK13" t="s">
        <v>3292</v>
      </c>
      <c r="JL13" t="str">
        <f>"-0.00814***"</f>
        <v>-0.00814***</v>
      </c>
      <c r="JM13" t="s">
        <v>1079</v>
      </c>
      <c r="JN13" t="s">
        <v>845</v>
      </c>
      <c r="JO13" t="str">
        <f>"-0.00941***"</f>
        <v>-0.00941***</v>
      </c>
      <c r="JP13" t="s">
        <v>2836</v>
      </c>
      <c r="JQ13" t="s">
        <v>4479</v>
      </c>
      <c r="JR13" t="str">
        <f>"-0.0107***"</f>
        <v>-0.0107***</v>
      </c>
      <c r="JS13" t="s">
        <v>1041</v>
      </c>
      <c r="JT13" t="s">
        <v>833</v>
      </c>
      <c r="JU13" t="str">
        <f>"-0.00968***"</f>
        <v>-0.00968***</v>
      </c>
      <c r="JV13" t="s">
        <v>2816</v>
      </c>
      <c r="JW13" t="s">
        <v>4480</v>
      </c>
      <c r="JX13" t="str">
        <f>"-0.0108***"</f>
        <v>-0.0108***</v>
      </c>
      <c r="JY13" t="s">
        <v>689</v>
      </c>
      <c r="JZ13" t="s">
        <v>833</v>
      </c>
      <c r="KA13" t="str">
        <f>"-0.00881***"</f>
        <v>-0.00881***</v>
      </c>
      <c r="KB13" t="s">
        <v>2838</v>
      </c>
      <c r="KC13" t="s">
        <v>4481</v>
      </c>
      <c r="KD13" t="str">
        <f>"-0.0109***"</f>
        <v>-0.0109***</v>
      </c>
      <c r="KE13" t="s">
        <v>514</v>
      </c>
      <c r="KF13" t="s">
        <v>3012</v>
      </c>
      <c r="KG13" t="str">
        <f>"-0.0103***"</f>
        <v>-0.0103***</v>
      </c>
      <c r="KH13" t="s">
        <v>1387</v>
      </c>
      <c r="KI13" t="s">
        <v>4482</v>
      </c>
      <c r="KJ13" t="str">
        <f>"-0.00873***"</f>
        <v>-0.00873***</v>
      </c>
      <c r="KK13" t="s">
        <v>3352</v>
      </c>
      <c r="KL13" t="s">
        <v>3293</v>
      </c>
    </row>
    <row r="14" spans="1:298" x14ac:dyDescent="0.2">
      <c r="A14" t="str">
        <f>"rural"</f>
        <v>rural</v>
      </c>
      <c r="B14" t="str">
        <f>"0.00915***"</f>
        <v>0.00915***</v>
      </c>
      <c r="C14" t="s">
        <v>942</v>
      </c>
      <c r="D14" t="s">
        <v>687</v>
      </c>
      <c r="E14" t="str">
        <f>"0.0106***"</f>
        <v>0.0106***</v>
      </c>
      <c r="F14" t="s">
        <v>1729</v>
      </c>
      <c r="G14" t="s">
        <v>565</v>
      </c>
      <c r="H14" t="str">
        <f>"0.00965***"</f>
        <v>0.00965***</v>
      </c>
      <c r="I14" t="s">
        <v>372</v>
      </c>
      <c r="J14" t="s">
        <v>1001</v>
      </c>
      <c r="K14" t="str">
        <f>"0.00867***"</f>
        <v>0.00867***</v>
      </c>
      <c r="L14" t="s">
        <v>942</v>
      </c>
      <c r="M14" t="s">
        <v>3257</v>
      </c>
      <c r="N14" t="str">
        <f>"0.00772***"</f>
        <v>0.00772***</v>
      </c>
      <c r="O14" t="s">
        <v>2822</v>
      </c>
      <c r="P14" t="s">
        <v>682</v>
      </c>
      <c r="Q14" t="str">
        <f>"0.00737***"</f>
        <v>0.00737***</v>
      </c>
      <c r="R14" t="s">
        <v>1073</v>
      </c>
      <c r="S14" t="s">
        <v>572</v>
      </c>
      <c r="T14" t="str">
        <f>"0.00694***"</f>
        <v>0.00694***</v>
      </c>
      <c r="U14" t="s">
        <v>3297</v>
      </c>
      <c r="V14" t="s">
        <v>575</v>
      </c>
      <c r="W14" t="str">
        <f>"0.00646***"</f>
        <v>0.00646***</v>
      </c>
      <c r="X14" t="s">
        <v>715</v>
      </c>
      <c r="Y14" t="s">
        <v>3256</v>
      </c>
      <c r="Z14" t="str">
        <f>"0.00605***"</f>
        <v>0.00605***</v>
      </c>
      <c r="AA14" t="s">
        <v>370</v>
      </c>
      <c r="AB14" t="s">
        <v>1013</v>
      </c>
      <c r="AC14" t="str">
        <f>"0.00479***"</f>
        <v>0.00479***</v>
      </c>
      <c r="AD14" t="s">
        <v>1015</v>
      </c>
      <c r="AE14" t="s">
        <v>669</v>
      </c>
      <c r="AF14" t="str">
        <f>"0.00437***"</f>
        <v>0.00437***</v>
      </c>
      <c r="AG14" t="s">
        <v>1081</v>
      </c>
      <c r="AH14" t="s">
        <v>789</v>
      </c>
      <c r="AI14" t="str">
        <f>"0.00382***"</f>
        <v>0.00382***</v>
      </c>
      <c r="AJ14" t="s">
        <v>712</v>
      </c>
      <c r="AK14" t="s">
        <v>928</v>
      </c>
      <c r="AL14" t="str">
        <f>"0.00341***"</f>
        <v>0.00341***</v>
      </c>
      <c r="AM14" t="s">
        <v>1465</v>
      </c>
      <c r="AN14" t="s">
        <v>696</v>
      </c>
      <c r="AO14" t="str">
        <f>"0.00290***"</f>
        <v>0.00290***</v>
      </c>
      <c r="AP14" t="s">
        <v>779</v>
      </c>
      <c r="AQ14" t="s">
        <v>690</v>
      </c>
      <c r="AR14" t="str">
        <f>"0.00231***"</f>
        <v>0.00231***</v>
      </c>
      <c r="AS14" t="s">
        <v>638</v>
      </c>
      <c r="AT14" t="s">
        <v>797</v>
      </c>
      <c r="AU14" t="str">
        <f>"0.00207***"</f>
        <v>0.00207***</v>
      </c>
      <c r="AV14" t="s">
        <v>1020</v>
      </c>
      <c r="AW14" t="s">
        <v>921</v>
      </c>
      <c r="AX14" t="str">
        <f>"0.00190***"</f>
        <v>0.00190***</v>
      </c>
      <c r="AY14" t="s">
        <v>679</v>
      </c>
      <c r="AZ14" t="s">
        <v>685</v>
      </c>
      <c r="BA14" t="str">
        <f>"0.00180***"</f>
        <v>0.00180***</v>
      </c>
      <c r="BB14" t="s">
        <v>986</v>
      </c>
      <c r="BC14" t="s">
        <v>800</v>
      </c>
      <c r="BD14" t="str">
        <f>"0.00166***"</f>
        <v>0.00166***</v>
      </c>
      <c r="BE14" t="s">
        <v>695</v>
      </c>
      <c r="BF14" t="s">
        <v>913</v>
      </c>
      <c r="BG14" t="str">
        <f>"0.00157***"</f>
        <v>0.00157***</v>
      </c>
      <c r="BH14" t="s">
        <v>1459</v>
      </c>
      <c r="BI14" t="s">
        <v>691</v>
      </c>
      <c r="BJ14" t="str">
        <f>"0.00153***"</f>
        <v>0.00153***</v>
      </c>
      <c r="BK14" t="s">
        <v>1459</v>
      </c>
      <c r="BL14" t="s">
        <v>691</v>
      </c>
      <c r="BM14" t="str">
        <f>"0.00146***"</f>
        <v>0.00146***</v>
      </c>
      <c r="BN14" t="s">
        <v>1488</v>
      </c>
      <c r="BO14" t="s">
        <v>588</v>
      </c>
      <c r="BP14" t="str">
        <f>"0.00142***"</f>
        <v>0.00142***</v>
      </c>
      <c r="BQ14" t="s">
        <v>1488</v>
      </c>
      <c r="BR14" t="s">
        <v>588</v>
      </c>
      <c r="BS14" t="str">
        <f>"0.00139***"</f>
        <v>0.00139***</v>
      </c>
      <c r="BT14" t="s">
        <v>1488</v>
      </c>
      <c r="BU14" t="s">
        <v>918</v>
      </c>
      <c r="BV14" t="str">
        <f>"0.00134***"</f>
        <v>0.00134***</v>
      </c>
      <c r="BW14" t="s">
        <v>718</v>
      </c>
      <c r="BX14" t="s">
        <v>918</v>
      </c>
      <c r="BY14" t="str">
        <f>"0.00133***"</f>
        <v>0.00133***</v>
      </c>
      <c r="BZ14" t="s">
        <v>718</v>
      </c>
      <c r="CA14" t="s">
        <v>918</v>
      </c>
      <c r="CB14" t="str">
        <f>"0.00127***"</f>
        <v>0.00127***</v>
      </c>
      <c r="CC14" t="s">
        <v>718</v>
      </c>
      <c r="CD14" t="s">
        <v>1083</v>
      </c>
      <c r="CE14" t="str">
        <f>"0.00123***"</f>
        <v>0.00123***</v>
      </c>
      <c r="CF14" t="s">
        <v>924</v>
      </c>
      <c r="CG14" t="s">
        <v>1067</v>
      </c>
      <c r="CH14" t="str">
        <f>"0.00123***"</f>
        <v>0.00123***</v>
      </c>
      <c r="CI14" t="s">
        <v>924</v>
      </c>
      <c r="CJ14" t="s">
        <v>1067</v>
      </c>
      <c r="CK14" t="str">
        <f>"0.00120***"</f>
        <v>0.00120***</v>
      </c>
      <c r="CL14" t="s">
        <v>924</v>
      </c>
      <c r="CM14" t="s">
        <v>1067</v>
      </c>
      <c r="CN14" t="str">
        <f>"0.00119***"</f>
        <v>0.00119***</v>
      </c>
      <c r="CO14" t="s">
        <v>924</v>
      </c>
      <c r="CP14" t="s">
        <v>1067</v>
      </c>
      <c r="CQ14" t="str">
        <f>"0.00117***"</f>
        <v>0.00117***</v>
      </c>
      <c r="CR14" t="s">
        <v>924</v>
      </c>
      <c r="CS14" t="s">
        <v>1067</v>
      </c>
      <c r="CT14" t="str">
        <f>"0.00120***"</f>
        <v>0.00120***</v>
      </c>
      <c r="CU14" t="s">
        <v>924</v>
      </c>
      <c r="CV14" t="s">
        <v>1067</v>
      </c>
      <c r="CW14" t="str">
        <f>"0.00122***"</f>
        <v>0.00122***</v>
      </c>
      <c r="CX14" t="s">
        <v>924</v>
      </c>
      <c r="CY14" t="s">
        <v>1067</v>
      </c>
      <c r="CZ14" t="str">
        <f>"0.00127***"</f>
        <v>0.00127***</v>
      </c>
      <c r="DA14" t="s">
        <v>924</v>
      </c>
      <c r="DB14" t="s">
        <v>1083</v>
      </c>
      <c r="DC14" t="str">
        <f>"0.00126***"</f>
        <v>0.00126***</v>
      </c>
      <c r="DD14" t="s">
        <v>924</v>
      </c>
      <c r="DE14" t="s">
        <v>1083</v>
      </c>
      <c r="DF14" t="str">
        <f>"0.00125***"</f>
        <v>0.00125***</v>
      </c>
      <c r="DG14" t="s">
        <v>924</v>
      </c>
      <c r="DH14" t="s">
        <v>1083</v>
      </c>
      <c r="DI14" t="str">
        <f>"0.00128***"</f>
        <v>0.00128***</v>
      </c>
      <c r="DJ14" t="s">
        <v>718</v>
      </c>
      <c r="DK14" t="s">
        <v>1083</v>
      </c>
      <c r="DL14" t="str">
        <f>"0.00127***"</f>
        <v>0.00127***</v>
      </c>
      <c r="DM14" t="s">
        <v>924</v>
      </c>
      <c r="DN14" t="s">
        <v>1083</v>
      </c>
      <c r="DO14" t="str">
        <f>"0.00128***"</f>
        <v>0.00128***</v>
      </c>
      <c r="DP14" t="s">
        <v>718</v>
      </c>
      <c r="DQ14" t="s">
        <v>1083</v>
      </c>
      <c r="DR14" t="str">
        <f>"0.00129***"</f>
        <v>0.00129***</v>
      </c>
      <c r="DS14" t="s">
        <v>718</v>
      </c>
      <c r="DT14" t="s">
        <v>1083</v>
      </c>
      <c r="DU14" t="str">
        <f>"0.00130***"</f>
        <v>0.00130***</v>
      </c>
      <c r="DV14" t="s">
        <v>718</v>
      </c>
      <c r="DW14" t="s">
        <v>1083</v>
      </c>
      <c r="DX14" t="str">
        <f>"0.00128***"</f>
        <v>0.00128***</v>
      </c>
      <c r="DY14" t="s">
        <v>924</v>
      </c>
      <c r="DZ14" t="s">
        <v>1083</v>
      </c>
      <c r="EA14" t="str">
        <f>"0.00125***"</f>
        <v>0.00125***</v>
      </c>
      <c r="EB14" t="s">
        <v>924</v>
      </c>
      <c r="EC14" t="s">
        <v>1083</v>
      </c>
      <c r="ED14" t="str">
        <f>"0.00122***"</f>
        <v>0.00122***</v>
      </c>
      <c r="EE14" t="s">
        <v>924</v>
      </c>
      <c r="EF14" t="s">
        <v>1067</v>
      </c>
      <c r="EG14" t="str">
        <f>"0.00124***"</f>
        <v>0.00124***</v>
      </c>
      <c r="EH14" t="s">
        <v>924</v>
      </c>
      <c r="EI14" t="s">
        <v>1083</v>
      </c>
      <c r="EJ14" t="str">
        <f>"0.00122***"</f>
        <v>0.00122***</v>
      </c>
      <c r="EK14" t="s">
        <v>924</v>
      </c>
      <c r="EL14" t="s">
        <v>1067</v>
      </c>
      <c r="EM14" t="str">
        <f>"0.00116***"</f>
        <v>0.00116***</v>
      </c>
      <c r="EN14" t="s">
        <v>927</v>
      </c>
      <c r="EO14" t="s">
        <v>1067</v>
      </c>
      <c r="EP14" t="str">
        <f>"0.00114***"</f>
        <v>0.00114***</v>
      </c>
      <c r="EQ14" t="s">
        <v>927</v>
      </c>
      <c r="ER14" t="s">
        <v>1067</v>
      </c>
      <c r="ES14" t="str">
        <f>"0.00112***"</f>
        <v>0.00112***</v>
      </c>
      <c r="ET14" t="s">
        <v>927</v>
      </c>
      <c r="EU14" t="s">
        <v>675</v>
      </c>
      <c r="EV14" t="str">
        <f>"0.00112***"</f>
        <v>0.00112***</v>
      </c>
      <c r="EW14" t="s">
        <v>927</v>
      </c>
      <c r="EX14" t="s">
        <v>675</v>
      </c>
      <c r="EY14" t="str">
        <f>"0.00117***"</f>
        <v>0.00117***</v>
      </c>
      <c r="EZ14" t="s">
        <v>927</v>
      </c>
      <c r="FA14" t="s">
        <v>1067</v>
      </c>
      <c r="FB14" t="str">
        <f>"0.00121***"</f>
        <v>0.00121***</v>
      </c>
      <c r="FC14" t="s">
        <v>924</v>
      </c>
      <c r="FD14" t="s">
        <v>1067</v>
      </c>
      <c r="FE14" t="str">
        <f>"0.00121***"</f>
        <v>0.00121***</v>
      </c>
      <c r="FF14" t="s">
        <v>924</v>
      </c>
      <c r="FG14" t="s">
        <v>1067</v>
      </c>
      <c r="FH14" t="str">
        <f>"0.00121***"</f>
        <v>0.00121***</v>
      </c>
      <c r="FI14" t="s">
        <v>924</v>
      </c>
      <c r="FJ14" t="s">
        <v>1067</v>
      </c>
      <c r="FK14" t="str">
        <f>"0.00119***"</f>
        <v>0.00119***</v>
      </c>
      <c r="FL14" t="s">
        <v>924</v>
      </c>
      <c r="FM14" t="s">
        <v>1067</v>
      </c>
      <c r="FN14" t="str">
        <f>"0.00113***"</f>
        <v>0.00113***</v>
      </c>
      <c r="FO14" t="s">
        <v>927</v>
      </c>
      <c r="FP14" t="s">
        <v>675</v>
      </c>
      <c r="FQ14" t="str">
        <f>"0.00111***"</f>
        <v>0.00111***</v>
      </c>
      <c r="FR14" t="s">
        <v>927</v>
      </c>
      <c r="FS14" t="s">
        <v>675</v>
      </c>
      <c r="FT14" t="str">
        <f>"0.00114***"</f>
        <v>0.00114***</v>
      </c>
      <c r="FU14" t="s">
        <v>927</v>
      </c>
      <c r="FV14" t="s">
        <v>1067</v>
      </c>
      <c r="FW14" t="str">
        <f>"0.00109***"</f>
        <v>0.00109***</v>
      </c>
      <c r="FX14" t="s">
        <v>927</v>
      </c>
      <c r="FY14" t="s">
        <v>675</v>
      </c>
      <c r="FZ14" t="str">
        <f>"0.00109***"</f>
        <v>0.00109***</v>
      </c>
      <c r="GA14" t="s">
        <v>927</v>
      </c>
      <c r="GB14" t="s">
        <v>675</v>
      </c>
      <c r="GC14" t="str">
        <f>"0.00109***"</f>
        <v>0.00109***</v>
      </c>
      <c r="GD14" t="s">
        <v>927</v>
      </c>
      <c r="GE14" t="s">
        <v>675</v>
      </c>
      <c r="GF14" t="str">
        <f>"0.00109***"</f>
        <v>0.00109***</v>
      </c>
      <c r="GG14" t="s">
        <v>927</v>
      </c>
      <c r="GH14" t="s">
        <v>675</v>
      </c>
      <c r="GI14" t="str">
        <f>"0.00108***"</f>
        <v>0.00108***</v>
      </c>
      <c r="GJ14" t="s">
        <v>927</v>
      </c>
      <c r="GK14" t="s">
        <v>675</v>
      </c>
      <c r="GL14" t="str">
        <f>"0.00112***"</f>
        <v>0.00112***</v>
      </c>
      <c r="GM14" t="s">
        <v>927</v>
      </c>
      <c r="GN14" t="s">
        <v>675</v>
      </c>
      <c r="GO14" t="str">
        <f>"0.00116***"</f>
        <v>0.00116***</v>
      </c>
      <c r="GP14" t="s">
        <v>927</v>
      </c>
      <c r="GQ14" t="s">
        <v>1067</v>
      </c>
      <c r="GR14" t="str">
        <f>"0.00112***"</f>
        <v>0.00112***</v>
      </c>
      <c r="GS14" t="s">
        <v>927</v>
      </c>
      <c r="GT14" t="s">
        <v>675</v>
      </c>
      <c r="GU14" t="str">
        <f>"0.00109***"</f>
        <v>0.00109***</v>
      </c>
      <c r="GV14" t="s">
        <v>927</v>
      </c>
      <c r="GW14" t="s">
        <v>675</v>
      </c>
      <c r="GX14" t="str">
        <f>"0.00110***"</f>
        <v>0.00110***</v>
      </c>
      <c r="GY14" t="s">
        <v>927</v>
      </c>
      <c r="GZ14" t="s">
        <v>675</v>
      </c>
      <c r="HA14" t="str">
        <f>"0.00114***"</f>
        <v>0.00114***</v>
      </c>
      <c r="HB14" t="s">
        <v>927</v>
      </c>
      <c r="HC14" t="s">
        <v>1067</v>
      </c>
      <c r="HD14" t="str">
        <f>"0.00126***"</f>
        <v>0.00126***</v>
      </c>
      <c r="HE14" t="s">
        <v>924</v>
      </c>
      <c r="HF14" t="s">
        <v>1083</v>
      </c>
      <c r="HG14" t="str">
        <f>"0.00132***"</f>
        <v>0.00132***</v>
      </c>
      <c r="HH14" t="s">
        <v>718</v>
      </c>
      <c r="HI14" t="s">
        <v>918</v>
      </c>
      <c r="HJ14" t="str">
        <f>"0.00125***"</f>
        <v>0.00125***</v>
      </c>
      <c r="HK14" t="s">
        <v>924</v>
      </c>
      <c r="HL14" t="s">
        <v>1083</v>
      </c>
      <c r="HM14" t="str">
        <f>"0.00129***"</f>
        <v>0.00129***</v>
      </c>
      <c r="HN14" t="s">
        <v>924</v>
      </c>
      <c r="HO14" t="s">
        <v>1083</v>
      </c>
      <c r="HP14" t="str">
        <f>"0.00129***"</f>
        <v>0.00129***</v>
      </c>
      <c r="HQ14" t="s">
        <v>924</v>
      </c>
      <c r="HR14" t="s">
        <v>1083</v>
      </c>
      <c r="HS14" t="str">
        <f>"0.00128***"</f>
        <v>0.00128***</v>
      </c>
      <c r="HT14" t="s">
        <v>924</v>
      </c>
      <c r="HU14" t="s">
        <v>1083</v>
      </c>
      <c r="HV14" t="str">
        <f>"0.00121***"</f>
        <v>0.00121***</v>
      </c>
      <c r="HW14" t="s">
        <v>924</v>
      </c>
      <c r="HX14" t="s">
        <v>1083</v>
      </c>
      <c r="HY14" t="str">
        <f>"0.00124***"</f>
        <v>0.00124***</v>
      </c>
      <c r="HZ14" t="s">
        <v>924</v>
      </c>
      <c r="IA14" t="s">
        <v>1083</v>
      </c>
      <c r="IB14" t="str">
        <f>"0.00118***"</f>
        <v>0.00118***</v>
      </c>
      <c r="IC14" t="s">
        <v>927</v>
      </c>
      <c r="ID14" t="s">
        <v>1067</v>
      </c>
      <c r="IE14" t="str">
        <f>"0.00115***"</f>
        <v>0.00115***</v>
      </c>
      <c r="IF14" t="s">
        <v>927</v>
      </c>
      <c r="IG14" t="s">
        <v>1067</v>
      </c>
      <c r="IH14" t="str">
        <f>"0.00111***"</f>
        <v>0.00111***</v>
      </c>
      <c r="II14" t="s">
        <v>927</v>
      </c>
      <c r="IJ14" t="s">
        <v>1067</v>
      </c>
      <c r="IK14" t="str">
        <f>"0.00106***"</f>
        <v>0.00106***</v>
      </c>
      <c r="IL14" t="s">
        <v>926</v>
      </c>
      <c r="IM14" t="s">
        <v>675</v>
      </c>
      <c r="IN14" t="str">
        <f>"0.000963***"</f>
        <v>0.000963***</v>
      </c>
      <c r="IO14" t="s">
        <v>730</v>
      </c>
      <c r="IP14" t="s">
        <v>936</v>
      </c>
      <c r="IQ14" t="str">
        <f>"0.000892***"</f>
        <v>0.000892***</v>
      </c>
      <c r="IR14" t="s">
        <v>730</v>
      </c>
      <c r="IS14" t="s">
        <v>934</v>
      </c>
      <c r="IT14" t="str">
        <f>"0.000779***"</f>
        <v>0.000779***</v>
      </c>
      <c r="IU14" t="s">
        <v>923</v>
      </c>
      <c r="IV14" t="s">
        <v>937</v>
      </c>
      <c r="IW14" t="str">
        <f>"0.000930***"</f>
        <v>0.000930***</v>
      </c>
      <c r="IX14" t="s">
        <v>730</v>
      </c>
      <c r="IY14" t="s">
        <v>936</v>
      </c>
      <c r="IZ14" t="str">
        <f>"0.000940***"</f>
        <v>0.000940***</v>
      </c>
      <c r="JA14" t="s">
        <v>730</v>
      </c>
      <c r="JB14" t="s">
        <v>936</v>
      </c>
      <c r="JC14" t="str">
        <f>"0.000880***"</f>
        <v>0.000880***</v>
      </c>
      <c r="JD14" t="s">
        <v>923</v>
      </c>
      <c r="JE14" t="s">
        <v>934</v>
      </c>
      <c r="JF14" t="str">
        <f>"0.000908***"</f>
        <v>0.000908***</v>
      </c>
      <c r="JG14" t="s">
        <v>923</v>
      </c>
      <c r="JH14" t="s">
        <v>936</v>
      </c>
      <c r="JI14" t="str">
        <f>"0.000826***"</f>
        <v>0.000826***</v>
      </c>
      <c r="JJ14" t="s">
        <v>923</v>
      </c>
      <c r="JK14" t="s">
        <v>934</v>
      </c>
      <c r="JL14" t="str">
        <f>"0.000780***"</f>
        <v>0.000780***</v>
      </c>
      <c r="JM14" t="s">
        <v>719</v>
      </c>
      <c r="JN14" t="s">
        <v>937</v>
      </c>
      <c r="JO14" t="str">
        <f>"0.000817***"</f>
        <v>0.000817***</v>
      </c>
      <c r="JP14" t="s">
        <v>719</v>
      </c>
      <c r="JQ14" t="s">
        <v>934</v>
      </c>
      <c r="JR14" t="str">
        <f>"0.000877***"</f>
        <v>0.000877***</v>
      </c>
      <c r="JS14" t="s">
        <v>719</v>
      </c>
      <c r="JT14" t="s">
        <v>936</v>
      </c>
      <c r="JU14" t="str">
        <f>"0.000733***"</f>
        <v>0.000733***</v>
      </c>
      <c r="JV14" t="s">
        <v>683</v>
      </c>
      <c r="JW14" t="s">
        <v>937</v>
      </c>
      <c r="JX14" t="str">
        <f>"0.000745***"</f>
        <v>0.000745***</v>
      </c>
      <c r="JY14" t="s">
        <v>683</v>
      </c>
      <c r="JZ14" t="s">
        <v>934</v>
      </c>
      <c r="KA14" t="str">
        <f>"0.000558***"</f>
        <v>0.000558***</v>
      </c>
      <c r="KB14" t="s">
        <v>722</v>
      </c>
      <c r="KC14" t="s">
        <v>938</v>
      </c>
      <c r="KD14" t="str">
        <f>"0.000740***"</f>
        <v>0.000740***</v>
      </c>
      <c r="KE14" t="s">
        <v>708</v>
      </c>
      <c r="KF14" t="s">
        <v>936</v>
      </c>
      <c r="KG14" t="str">
        <f>"0.000513*"</f>
        <v>0.000513*</v>
      </c>
      <c r="KH14" t="s">
        <v>979</v>
      </c>
      <c r="KI14" t="s">
        <v>937</v>
      </c>
      <c r="KJ14" t="str">
        <f>"0.000692*"</f>
        <v>0.000692*</v>
      </c>
      <c r="KK14" t="s">
        <v>736</v>
      </c>
      <c r="KL14" t="s">
        <v>675</v>
      </c>
    </row>
    <row r="15" spans="1:298" x14ac:dyDescent="0.2">
      <c r="A15" t="str">
        <f>"formal"</f>
        <v>formal</v>
      </c>
      <c r="B15" t="str">
        <f>"-0.0129***"</f>
        <v>-0.0129***</v>
      </c>
      <c r="C15" t="s">
        <v>1233</v>
      </c>
      <c r="D15" t="s">
        <v>849</v>
      </c>
      <c r="E15" t="str">
        <f>"-0.0183***"</f>
        <v>-0.0183***</v>
      </c>
      <c r="F15" t="s">
        <v>3023</v>
      </c>
      <c r="G15" t="s">
        <v>4483</v>
      </c>
      <c r="H15" t="str">
        <f>"-0.0193***"</f>
        <v>-0.0193***</v>
      </c>
      <c r="I15" t="s">
        <v>1095</v>
      </c>
      <c r="J15" t="s">
        <v>1133</v>
      </c>
      <c r="K15" t="str">
        <f>"-0.0201***"</f>
        <v>-0.0201***</v>
      </c>
      <c r="L15" t="s">
        <v>495</v>
      </c>
      <c r="M15" t="s">
        <v>4484</v>
      </c>
      <c r="N15" t="str">
        <f>"-0.0201***"</f>
        <v>-0.0201***</v>
      </c>
      <c r="O15" t="s">
        <v>3676</v>
      </c>
      <c r="P15" t="s">
        <v>4484</v>
      </c>
      <c r="Q15" t="str">
        <f>"-0.0220***"</f>
        <v>-0.0220***</v>
      </c>
      <c r="R15" t="s">
        <v>836</v>
      </c>
      <c r="S15" t="s">
        <v>3576</v>
      </c>
      <c r="T15" t="str">
        <f>"-0.0220***"</f>
        <v>-0.0220***</v>
      </c>
      <c r="U15" t="s">
        <v>836</v>
      </c>
      <c r="V15" t="s">
        <v>3576</v>
      </c>
      <c r="W15" t="str">
        <f>"-0.0213***"</f>
        <v>-0.0213***</v>
      </c>
      <c r="X15" t="s">
        <v>547</v>
      </c>
      <c r="Y15" t="s">
        <v>4485</v>
      </c>
      <c r="Z15" t="str">
        <f>"-0.0216***"</f>
        <v>-0.0216***</v>
      </c>
      <c r="AA15" t="s">
        <v>552</v>
      </c>
      <c r="AB15" t="s">
        <v>853</v>
      </c>
      <c r="AC15" t="str">
        <f>"-0.0175***"</f>
        <v>-0.0175***</v>
      </c>
      <c r="AD15" t="s">
        <v>4486</v>
      </c>
      <c r="AE15" t="s">
        <v>4487</v>
      </c>
      <c r="AF15" t="str">
        <f>"-0.0170***"</f>
        <v>-0.0170***</v>
      </c>
      <c r="AG15" t="s">
        <v>1055</v>
      </c>
      <c r="AH15" t="s">
        <v>1307</v>
      </c>
      <c r="AI15" t="str">
        <f>"-0.0159***"</f>
        <v>-0.0159***</v>
      </c>
      <c r="AJ15" t="s">
        <v>3548</v>
      </c>
      <c r="AK15" t="s">
        <v>1093</v>
      </c>
      <c r="AL15" t="str">
        <f>"-0.0143***"</f>
        <v>-0.0143***</v>
      </c>
      <c r="AM15" t="s">
        <v>510</v>
      </c>
      <c r="AN15" t="s">
        <v>4488</v>
      </c>
      <c r="AO15" t="str">
        <f>"-0.0124***"</f>
        <v>-0.0124***</v>
      </c>
      <c r="AP15" t="s">
        <v>4489</v>
      </c>
      <c r="AQ15" t="s">
        <v>891</v>
      </c>
      <c r="AR15" t="str">
        <f>"-0.0100***"</f>
        <v>-0.0100***</v>
      </c>
      <c r="AS15" t="s">
        <v>3577</v>
      </c>
      <c r="AT15" t="s">
        <v>4480</v>
      </c>
      <c r="AU15" t="str">
        <f>"-0.00891***"</f>
        <v>-0.00891***</v>
      </c>
      <c r="AV15" t="s">
        <v>796</v>
      </c>
      <c r="AW15" t="s">
        <v>893</v>
      </c>
      <c r="AX15" t="str">
        <f>"-0.00835***"</f>
        <v>-0.00835***</v>
      </c>
      <c r="AY15" t="s">
        <v>3299</v>
      </c>
      <c r="AZ15" t="s">
        <v>845</v>
      </c>
      <c r="BA15" t="str">
        <f>"-0.00805***"</f>
        <v>-0.00805***</v>
      </c>
      <c r="BB15" t="s">
        <v>3560</v>
      </c>
      <c r="BC15" t="s">
        <v>3293</v>
      </c>
      <c r="BD15" t="str">
        <f>"-0.00706***"</f>
        <v>-0.00706***</v>
      </c>
      <c r="BE15" t="s">
        <v>632</v>
      </c>
      <c r="BF15" t="s">
        <v>3565</v>
      </c>
      <c r="BG15" t="str">
        <f>"-0.00651***"</f>
        <v>-0.00651***</v>
      </c>
      <c r="BH15" t="s">
        <v>303</v>
      </c>
      <c r="BI15" t="s">
        <v>3652</v>
      </c>
      <c r="BJ15" t="str">
        <f>"-0.00616***"</f>
        <v>-0.00616***</v>
      </c>
      <c r="BK15" t="s">
        <v>3270</v>
      </c>
      <c r="BL15" t="s">
        <v>2847</v>
      </c>
      <c r="BM15" t="str">
        <f>"-0.00588***"</f>
        <v>-0.00588***</v>
      </c>
      <c r="BN15" t="s">
        <v>781</v>
      </c>
      <c r="BO15" t="s">
        <v>821</v>
      </c>
      <c r="BP15" t="str">
        <f>"-0.00554***"</f>
        <v>-0.00554***</v>
      </c>
      <c r="BQ15" t="s">
        <v>3557</v>
      </c>
      <c r="BR15" t="s">
        <v>688</v>
      </c>
      <c r="BS15" t="str">
        <f>"-0.00511***"</f>
        <v>-0.00511***</v>
      </c>
      <c r="BT15" t="s">
        <v>654</v>
      </c>
      <c r="BU15" t="s">
        <v>3272</v>
      </c>
      <c r="BV15" t="str">
        <f>"-0.00473***"</f>
        <v>-0.00473***</v>
      </c>
      <c r="BW15" t="s">
        <v>1514</v>
      </c>
      <c r="BX15" t="s">
        <v>826</v>
      </c>
      <c r="BY15" t="str">
        <f>"-0.00440***"</f>
        <v>-0.00440***</v>
      </c>
      <c r="BZ15" t="s">
        <v>672</v>
      </c>
      <c r="CA15" t="s">
        <v>960</v>
      </c>
      <c r="CB15" t="str">
        <f>"-0.00418***"</f>
        <v>-0.00418***</v>
      </c>
      <c r="CC15" t="s">
        <v>1003</v>
      </c>
      <c r="CD15" t="s">
        <v>1111</v>
      </c>
      <c r="CE15" t="str">
        <f>"-0.00406***"</f>
        <v>-0.00406***</v>
      </c>
      <c r="CF15" t="s">
        <v>910</v>
      </c>
      <c r="CG15" t="s">
        <v>847</v>
      </c>
      <c r="CH15" t="str">
        <f>"-0.00391***"</f>
        <v>-0.00391***</v>
      </c>
      <c r="CI15" t="s">
        <v>693</v>
      </c>
      <c r="CJ15" t="s">
        <v>1500</v>
      </c>
      <c r="CK15" t="str">
        <f>"-0.00384***"</f>
        <v>-0.00384***</v>
      </c>
      <c r="CL15" t="s">
        <v>666</v>
      </c>
      <c r="CM15" t="s">
        <v>1504</v>
      </c>
      <c r="CN15" t="str">
        <f>"-0.00368***"</f>
        <v>-0.00368***</v>
      </c>
      <c r="CO15" t="s">
        <v>663</v>
      </c>
      <c r="CP15" t="s">
        <v>1502</v>
      </c>
      <c r="CQ15" t="str">
        <f>"-0.00345***"</f>
        <v>-0.00345***</v>
      </c>
      <c r="CR15" t="s">
        <v>3295</v>
      </c>
      <c r="CS15" t="s">
        <v>1503</v>
      </c>
      <c r="CT15" t="str">
        <f>"-0.00330***"</f>
        <v>-0.00330***</v>
      </c>
      <c r="CU15" t="s">
        <v>650</v>
      </c>
      <c r="CV15" t="s">
        <v>949</v>
      </c>
      <c r="CW15" t="str">
        <f>"-0.00317***"</f>
        <v>-0.00317***</v>
      </c>
      <c r="CX15" t="s">
        <v>1088</v>
      </c>
      <c r="CY15" t="s">
        <v>1201</v>
      </c>
      <c r="CZ15" t="str">
        <f>"-0.00307***"</f>
        <v>-0.00307***</v>
      </c>
      <c r="DA15" t="s">
        <v>919</v>
      </c>
      <c r="DB15" t="s">
        <v>705</v>
      </c>
      <c r="DC15" t="str">
        <f>"-0.00302***"</f>
        <v>-0.00302***</v>
      </c>
      <c r="DD15" t="s">
        <v>919</v>
      </c>
      <c r="DE15" t="s">
        <v>705</v>
      </c>
      <c r="DF15" t="str">
        <f>"-0.00302***"</f>
        <v>-0.00302***</v>
      </c>
      <c r="DG15" t="s">
        <v>919</v>
      </c>
      <c r="DH15" t="s">
        <v>705</v>
      </c>
      <c r="DI15" t="str">
        <f>"-0.00295***"</f>
        <v>-0.00295***</v>
      </c>
      <c r="DJ15" t="s">
        <v>700</v>
      </c>
      <c r="DK15" t="s">
        <v>1115</v>
      </c>
      <c r="DL15" t="str">
        <f>"-0.00282***"</f>
        <v>-0.00282***</v>
      </c>
      <c r="DM15" t="s">
        <v>345</v>
      </c>
      <c r="DN15" t="s">
        <v>1506</v>
      </c>
      <c r="DO15" t="str">
        <f>"-0.00262***"</f>
        <v>-0.00262***</v>
      </c>
      <c r="DP15" t="s">
        <v>677</v>
      </c>
      <c r="DQ15" t="s">
        <v>1508</v>
      </c>
      <c r="DR15" t="str">
        <f>"-0.00250***"</f>
        <v>-0.00250***</v>
      </c>
      <c r="DS15" t="s">
        <v>922</v>
      </c>
      <c r="DT15" t="s">
        <v>1452</v>
      </c>
      <c r="DU15" t="str">
        <f>"-0.00228***"</f>
        <v>-0.00228***</v>
      </c>
      <c r="DV15" t="s">
        <v>783</v>
      </c>
      <c r="DW15" t="s">
        <v>1509</v>
      </c>
      <c r="DX15" t="str">
        <f>"-0.00203***"</f>
        <v>-0.00203***</v>
      </c>
      <c r="DY15" t="s">
        <v>1012</v>
      </c>
      <c r="DZ15" t="s">
        <v>1511</v>
      </c>
      <c r="EA15" t="str">
        <f>"-0.00179***"</f>
        <v>-0.00179***</v>
      </c>
      <c r="EB15" t="s">
        <v>717</v>
      </c>
      <c r="EC15" t="s">
        <v>1089</v>
      </c>
      <c r="ED15" t="str">
        <f>"-0.00153***"</f>
        <v>-0.00153***</v>
      </c>
      <c r="EE15" t="s">
        <v>652</v>
      </c>
      <c r="EF15" t="s">
        <v>1512</v>
      </c>
      <c r="EG15" t="str">
        <f>"-0.00144***"</f>
        <v>-0.00144***</v>
      </c>
      <c r="EH15" t="s">
        <v>681</v>
      </c>
      <c r="EI15" t="s">
        <v>1513</v>
      </c>
      <c r="EJ15" t="str">
        <f>"-0.00143***"</f>
        <v>-0.00143***</v>
      </c>
      <c r="EK15" t="s">
        <v>681</v>
      </c>
      <c r="EL15" t="s">
        <v>1513</v>
      </c>
      <c r="EM15" t="str">
        <f>"-0.00137***"</f>
        <v>-0.00137***</v>
      </c>
      <c r="EN15" t="s">
        <v>720</v>
      </c>
      <c r="EO15" t="s">
        <v>1086</v>
      </c>
      <c r="EP15" t="str">
        <f>"-0.00137***"</f>
        <v>-0.00137***</v>
      </c>
      <c r="EQ15" t="s">
        <v>720</v>
      </c>
      <c r="ER15" t="s">
        <v>1513</v>
      </c>
      <c r="ES15" t="str">
        <f>"-0.00120***"</f>
        <v>-0.00120***</v>
      </c>
      <c r="ET15" t="s">
        <v>932</v>
      </c>
      <c r="EU15" t="s">
        <v>1084</v>
      </c>
      <c r="EV15" t="str">
        <f>"-0.00113***"</f>
        <v>-0.00113***</v>
      </c>
      <c r="EW15" t="s">
        <v>674</v>
      </c>
      <c r="EX15" t="s">
        <v>810</v>
      </c>
      <c r="EY15" t="str">
        <f>"-0.000990***"</f>
        <v>-0.000990***</v>
      </c>
      <c r="EZ15" t="s">
        <v>636</v>
      </c>
      <c r="FA15" t="s">
        <v>704</v>
      </c>
      <c r="FB15" t="str">
        <f>"-0.000904***"</f>
        <v>-0.000904***</v>
      </c>
      <c r="FC15" t="s">
        <v>935</v>
      </c>
      <c r="FD15" t="s">
        <v>1119</v>
      </c>
      <c r="FE15" t="str">
        <f>"-0.000777***"</f>
        <v>-0.000777***</v>
      </c>
      <c r="FF15" t="s">
        <v>435</v>
      </c>
      <c r="FG15" t="s">
        <v>1454</v>
      </c>
      <c r="FH15" t="str">
        <f>"-0.000511***"</f>
        <v>-0.000511***</v>
      </c>
      <c r="FI15" t="s">
        <v>707</v>
      </c>
      <c r="FJ15" t="s">
        <v>1116</v>
      </c>
      <c r="FK15" t="str">
        <f>"-0.000288*"</f>
        <v>-0.000288*</v>
      </c>
      <c r="FL15" t="s">
        <v>684</v>
      </c>
      <c r="FM15" t="s">
        <v>1486</v>
      </c>
      <c r="FN15" t="str">
        <f>"-0.000180"</f>
        <v>-0.000180</v>
      </c>
      <c r="FO15" t="s">
        <v>929</v>
      </c>
      <c r="FP15" t="s">
        <v>1485</v>
      </c>
      <c r="FQ15" t="str">
        <f>"-0.000132"</f>
        <v>-0.000132</v>
      </c>
      <c r="FR15" t="s">
        <v>929</v>
      </c>
      <c r="FS15" t="s">
        <v>1485</v>
      </c>
      <c r="FT15" t="str">
        <f>"-0.000183"</f>
        <v>-0.000183</v>
      </c>
      <c r="FU15" t="s">
        <v>929</v>
      </c>
      <c r="FV15" t="s">
        <v>1485</v>
      </c>
      <c r="FW15" t="str">
        <f>"-0.000105"</f>
        <v>-0.000105</v>
      </c>
      <c r="FX15" t="s">
        <v>929</v>
      </c>
      <c r="FY15" t="s">
        <v>1485</v>
      </c>
      <c r="FZ15" t="str">
        <f>"-0.000111"</f>
        <v>-0.000111</v>
      </c>
      <c r="GA15" t="s">
        <v>929</v>
      </c>
      <c r="GB15" t="s">
        <v>1485</v>
      </c>
      <c r="GC15" t="str">
        <f>"-0.000127"</f>
        <v>-0.000127</v>
      </c>
      <c r="GD15" t="s">
        <v>929</v>
      </c>
      <c r="GE15" t="s">
        <v>1485</v>
      </c>
      <c r="GF15" t="str">
        <f>"-0.000109"</f>
        <v>-0.000109</v>
      </c>
      <c r="GG15" t="s">
        <v>929</v>
      </c>
      <c r="GH15" t="s">
        <v>1456</v>
      </c>
      <c r="GI15" t="str">
        <f>"0.000000956"</f>
        <v>0.000000956</v>
      </c>
      <c r="GJ15" t="s">
        <v>786</v>
      </c>
      <c r="GK15" t="s">
        <v>661</v>
      </c>
      <c r="GL15" t="str">
        <f>"0.000229"</f>
        <v>0.000229</v>
      </c>
      <c r="GM15" t="s">
        <v>738</v>
      </c>
      <c r="GN15" t="s">
        <v>709</v>
      </c>
      <c r="GO15" t="str">
        <f>"0.000325*"</f>
        <v>0.000325*</v>
      </c>
      <c r="GP15" t="s">
        <v>979</v>
      </c>
      <c r="GQ15" t="s">
        <v>817</v>
      </c>
      <c r="GR15" t="str">
        <f>"0.000364*"</f>
        <v>0.000364*</v>
      </c>
      <c r="GS15" t="s">
        <v>736</v>
      </c>
      <c r="GT15" t="s">
        <v>1196</v>
      </c>
      <c r="GU15" t="str">
        <f>"0.000414**"</f>
        <v>0.000414**</v>
      </c>
      <c r="GV15" t="s">
        <v>736</v>
      </c>
      <c r="GW15" t="s">
        <v>1196</v>
      </c>
      <c r="GX15" t="str">
        <f>"0.000567***"</f>
        <v>0.000567***</v>
      </c>
      <c r="GY15" t="s">
        <v>708</v>
      </c>
      <c r="GZ15" t="s">
        <v>938</v>
      </c>
      <c r="HA15" t="str">
        <f>"0.000659***"</f>
        <v>0.000659***</v>
      </c>
      <c r="HB15" t="s">
        <v>708</v>
      </c>
      <c r="HC15" t="s">
        <v>937</v>
      </c>
      <c r="HD15" t="str">
        <f>"0.000746***"</f>
        <v>0.000746***</v>
      </c>
      <c r="HE15" t="s">
        <v>683</v>
      </c>
      <c r="HF15" t="s">
        <v>934</v>
      </c>
      <c r="HG15" t="str">
        <f>"0.000898***"</f>
        <v>0.000898***</v>
      </c>
      <c r="HH15" t="s">
        <v>719</v>
      </c>
      <c r="HI15" t="s">
        <v>675</v>
      </c>
      <c r="HJ15" t="str">
        <f>"0.000717***"</f>
        <v>0.000717***</v>
      </c>
      <c r="HK15" t="s">
        <v>683</v>
      </c>
      <c r="HL15" t="s">
        <v>934</v>
      </c>
      <c r="HM15" t="str">
        <f>"0.000925***"</f>
        <v>0.000925***</v>
      </c>
      <c r="HN15" t="s">
        <v>719</v>
      </c>
      <c r="HO15" t="s">
        <v>675</v>
      </c>
      <c r="HP15" t="str">
        <f>"0.000943***"</f>
        <v>0.000943***</v>
      </c>
      <c r="HQ15" t="s">
        <v>923</v>
      </c>
      <c r="HR15" t="s">
        <v>675</v>
      </c>
      <c r="HS15" t="str">
        <f>"0.000950***"</f>
        <v>0.000950***</v>
      </c>
      <c r="HT15" t="s">
        <v>923</v>
      </c>
      <c r="HU15" t="s">
        <v>675</v>
      </c>
      <c r="HV15" t="str">
        <f>"0.00111***"</f>
        <v>0.00111***</v>
      </c>
      <c r="HW15" t="s">
        <v>730</v>
      </c>
      <c r="HX15" t="s">
        <v>1083</v>
      </c>
      <c r="HY15" t="str">
        <f>"0.00112***"</f>
        <v>0.00112***</v>
      </c>
      <c r="HZ15" t="s">
        <v>730</v>
      </c>
      <c r="IA15" t="s">
        <v>1083</v>
      </c>
      <c r="IB15" t="str">
        <f>"0.00106***"</f>
        <v>0.00106***</v>
      </c>
      <c r="IC15" t="s">
        <v>923</v>
      </c>
      <c r="ID15" t="s">
        <v>1083</v>
      </c>
      <c r="IE15" t="str">
        <f>"0.000994***"</f>
        <v>0.000994***</v>
      </c>
      <c r="IF15" t="s">
        <v>719</v>
      </c>
      <c r="IG15" t="s">
        <v>1067</v>
      </c>
      <c r="IH15" t="str">
        <f>"0.000979***"</f>
        <v>0.000979***</v>
      </c>
      <c r="II15" t="s">
        <v>719</v>
      </c>
      <c r="IJ15" t="s">
        <v>1067</v>
      </c>
      <c r="IK15" t="str">
        <f>"0.00121***"</f>
        <v>0.00121***</v>
      </c>
      <c r="IL15" t="s">
        <v>730</v>
      </c>
      <c r="IM15" t="s">
        <v>588</v>
      </c>
      <c r="IN15" t="str">
        <f>"0.00114***"</f>
        <v>0.00114***</v>
      </c>
      <c r="IO15" t="s">
        <v>730</v>
      </c>
      <c r="IP15" t="s">
        <v>918</v>
      </c>
      <c r="IQ15" t="str">
        <f>"0.000925***"</f>
        <v>0.000925***</v>
      </c>
      <c r="IR15" t="s">
        <v>719</v>
      </c>
      <c r="IS15" t="s">
        <v>1067</v>
      </c>
      <c r="IT15" t="str">
        <f>"0.000795***"</f>
        <v>0.000795***</v>
      </c>
      <c r="IU15" t="s">
        <v>708</v>
      </c>
      <c r="IV15" t="s">
        <v>936</v>
      </c>
      <c r="IW15" t="str">
        <f>"0.00102***"</f>
        <v>0.00102***</v>
      </c>
      <c r="IX15" t="s">
        <v>719</v>
      </c>
      <c r="IY15" t="s">
        <v>918</v>
      </c>
      <c r="IZ15" t="str">
        <f>"0.000913**"</f>
        <v>0.000913**</v>
      </c>
      <c r="JA15" t="s">
        <v>683</v>
      </c>
      <c r="JB15" t="s">
        <v>1083</v>
      </c>
      <c r="JC15" t="str">
        <f>"0.000770**"</f>
        <v>0.000770**</v>
      </c>
      <c r="JD15" t="s">
        <v>722</v>
      </c>
      <c r="JE15" t="s">
        <v>675</v>
      </c>
      <c r="JF15" t="str">
        <f>"0.00112***"</f>
        <v>0.00112***</v>
      </c>
      <c r="JG15" t="s">
        <v>719</v>
      </c>
      <c r="JH15" t="s">
        <v>588</v>
      </c>
      <c r="JI15" t="str">
        <f>"0.00107***"</f>
        <v>0.00107***</v>
      </c>
      <c r="JJ15" t="s">
        <v>719</v>
      </c>
      <c r="JK15" t="s">
        <v>588</v>
      </c>
      <c r="JL15" t="str">
        <f>"0.000811**"</f>
        <v>0.000811**</v>
      </c>
      <c r="JM15" t="s">
        <v>722</v>
      </c>
      <c r="JN15" t="s">
        <v>1067</v>
      </c>
      <c r="JO15" t="str">
        <f>"0.00105**"</f>
        <v>0.00105**</v>
      </c>
      <c r="JP15" t="s">
        <v>683</v>
      </c>
      <c r="JQ15" t="s">
        <v>588</v>
      </c>
      <c r="JR15" t="str">
        <f>"0.00123**"</f>
        <v>0.00123**</v>
      </c>
      <c r="JS15" t="s">
        <v>683</v>
      </c>
      <c r="JT15" t="s">
        <v>912</v>
      </c>
      <c r="JU15" t="str">
        <f>"0.000930*"</f>
        <v>0.000930*</v>
      </c>
      <c r="JV15" t="s">
        <v>722</v>
      </c>
      <c r="JW15" t="s">
        <v>588</v>
      </c>
      <c r="JX15" t="str">
        <f>"0.000740"</f>
        <v>0.000740</v>
      </c>
      <c r="JY15" t="s">
        <v>1458</v>
      </c>
      <c r="JZ15" t="s">
        <v>918</v>
      </c>
      <c r="KA15" t="str">
        <f>"0.000363"</f>
        <v>0.000363</v>
      </c>
      <c r="KB15" t="s">
        <v>929</v>
      </c>
      <c r="KC15" t="s">
        <v>934</v>
      </c>
      <c r="KD15" t="str">
        <f>"0.000514"</f>
        <v>0.000514</v>
      </c>
      <c r="KE15" t="s">
        <v>347</v>
      </c>
      <c r="KF15" t="s">
        <v>918</v>
      </c>
      <c r="KG15" t="str">
        <f>"0.000927"</f>
        <v>0.000927</v>
      </c>
      <c r="KH15" t="s">
        <v>786</v>
      </c>
      <c r="KI15" t="s">
        <v>685</v>
      </c>
      <c r="KJ15" t="str">
        <f>"0.000937"</f>
        <v>0.000937</v>
      </c>
      <c r="KK15" t="s">
        <v>684</v>
      </c>
      <c r="KL15" t="s">
        <v>906</v>
      </c>
    </row>
    <row r="16" spans="1:298" x14ac:dyDescent="0.2">
      <c r="A16" t="str">
        <f>"Regi√£o"</f>
        <v>Regi√£o</v>
      </c>
      <c r="B16" t="str">
        <f>"0.0122***"</f>
        <v>0.0122***</v>
      </c>
      <c r="C16" t="s">
        <v>1498</v>
      </c>
      <c r="D16" t="s">
        <v>983</v>
      </c>
      <c r="E16" t="str">
        <f>"0.0137***"</f>
        <v>0.0137***</v>
      </c>
      <c r="F16" t="s">
        <v>1493</v>
      </c>
      <c r="G16" t="s">
        <v>528</v>
      </c>
      <c r="H16" t="str">
        <f>"0.0134***"</f>
        <v>0.0134***</v>
      </c>
      <c r="I16" t="s">
        <v>3263</v>
      </c>
      <c r="J16" t="s">
        <v>1080</v>
      </c>
      <c r="K16" t="str">
        <f>"0.0128***"</f>
        <v>0.0128***</v>
      </c>
      <c r="L16" t="s">
        <v>1497</v>
      </c>
      <c r="M16" t="s">
        <v>532</v>
      </c>
      <c r="N16" t="str">
        <f>"0.0114***"</f>
        <v>0.0114***</v>
      </c>
      <c r="O16" t="s">
        <v>1471</v>
      </c>
      <c r="P16" t="s">
        <v>1473</v>
      </c>
      <c r="Q16" t="str">
        <f>"0.0117***"</f>
        <v>0.0117***</v>
      </c>
      <c r="R16" t="s">
        <v>447</v>
      </c>
      <c r="S16" t="s">
        <v>1676</v>
      </c>
      <c r="T16" t="str">
        <f>"0.0110***"</f>
        <v>0.0110***</v>
      </c>
      <c r="U16" t="s">
        <v>372</v>
      </c>
      <c r="V16" t="s">
        <v>530</v>
      </c>
      <c r="W16" t="str">
        <f>"0.00969***"</f>
        <v>0.00969***</v>
      </c>
      <c r="X16" t="s">
        <v>445</v>
      </c>
      <c r="Y16" t="s">
        <v>1007</v>
      </c>
      <c r="Z16" t="str">
        <f>"0.0101***"</f>
        <v>0.0101***</v>
      </c>
      <c r="AA16" t="s">
        <v>944</v>
      </c>
      <c r="AB16" t="s">
        <v>941</v>
      </c>
      <c r="AC16" t="str">
        <f>"0.00794***"</f>
        <v>0.00794***</v>
      </c>
      <c r="AD16" t="s">
        <v>1470</v>
      </c>
      <c r="AE16" t="s">
        <v>3257</v>
      </c>
      <c r="AF16" t="str">
        <f>"0.00744***"</f>
        <v>0.00744***</v>
      </c>
      <c r="AG16" t="s">
        <v>1053</v>
      </c>
      <c r="AH16" t="s">
        <v>573</v>
      </c>
      <c r="AI16" t="str">
        <f>"0.00696***"</f>
        <v>0.00696***</v>
      </c>
      <c r="AJ16" t="s">
        <v>993</v>
      </c>
      <c r="AK16" t="s">
        <v>682</v>
      </c>
      <c r="AL16" t="str">
        <f>"0.00629***"</f>
        <v>0.00629***</v>
      </c>
      <c r="AM16" t="s">
        <v>1017</v>
      </c>
      <c r="AN16" t="s">
        <v>575</v>
      </c>
      <c r="AO16" t="str">
        <f>"0.00542***"</f>
        <v>0.00542***</v>
      </c>
      <c r="AP16" t="s">
        <v>724</v>
      </c>
      <c r="AQ16" t="s">
        <v>1234</v>
      </c>
      <c r="AR16" t="str">
        <f>"0.00457***"</f>
        <v>0.00457***</v>
      </c>
      <c r="AS16" t="s">
        <v>712</v>
      </c>
      <c r="AT16" t="s">
        <v>613</v>
      </c>
      <c r="AU16" t="str">
        <f>"0.00421***"</f>
        <v>0.00421***</v>
      </c>
      <c r="AV16" t="s">
        <v>1466</v>
      </c>
      <c r="AW16" t="s">
        <v>710</v>
      </c>
      <c r="AX16" t="str">
        <f>"0.00356***"</f>
        <v>0.00356***</v>
      </c>
      <c r="AY16" t="s">
        <v>1464</v>
      </c>
      <c r="AZ16" t="s">
        <v>951</v>
      </c>
      <c r="BA16" t="str">
        <f>"0.00381***"</f>
        <v>0.00381***</v>
      </c>
      <c r="BB16" t="s">
        <v>1050</v>
      </c>
      <c r="BC16" t="s">
        <v>713</v>
      </c>
      <c r="BD16" t="str">
        <f>"0.00340***"</f>
        <v>0.00340***</v>
      </c>
      <c r="BE16" t="s">
        <v>779</v>
      </c>
      <c r="BF16" t="s">
        <v>1087</v>
      </c>
      <c r="BG16" t="str">
        <f>"0.00353***"</f>
        <v>0.00353***</v>
      </c>
      <c r="BH16" t="s">
        <v>1464</v>
      </c>
      <c r="BI16" t="s">
        <v>605</v>
      </c>
      <c r="BJ16" t="str">
        <f>"0.00340***"</f>
        <v>0.00340***</v>
      </c>
      <c r="BK16" t="s">
        <v>779</v>
      </c>
      <c r="BL16" t="s">
        <v>1087</v>
      </c>
      <c r="BM16" t="str">
        <f>"0.00327***"</f>
        <v>0.00327***</v>
      </c>
      <c r="BN16" t="s">
        <v>1463</v>
      </c>
      <c r="BO16" t="s">
        <v>698</v>
      </c>
      <c r="BP16" t="str">
        <f>"0.00343***"</f>
        <v>0.00343***</v>
      </c>
      <c r="BQ16" t="s">
        <v>779</v>
      </c>
      <c r="BR16" t="s">
        <v>1087</v>
      </c>
      <c r="BS16" t="str">
        <f>"0.00325***"</f>
        <v>0.00325***</v>
      </c>
      <c r="BT16" t="s">
        <v>1463</v>
      </c>
      <c r="BU16" t="s">
        <v>584</v>
      </c>
      <c r="BV16" t="str">
        <f>"0.00330***"</f>
        <v>0.00330***</v>
      </c>
      <c r="BW16" t="s">
        <v>1463</v>
      </c>
      <c r="BX16" t="s">
        <v>698</v>
      </c>
      <c r="BY16" t="str">
        <f>"0.00318***"</f>
        <v>0.00318***</v>
      </c>
      <c r="BZ16" t="s">
        <v>1462</v>
      </c>
      <c r="CA16" t="s">
        <v>584</v>
      </c>
      <c r="CB16" t="str">
        <f>"0.00312***"</f>
        <v>0.00312***</v>
      </c>
      <c r="CC16" t="s">
        <v>1462</v>
      </c>
      <c r="CD16" t="s">
        <v>671</v>
      </c>
      <c r="CE16" t="str">
        <f>"0.00301***"</f>
        <v>0.00301***</v>
      </c>
      <c r="CF16" t="s">
        <v>1461</v>
      </c>
      <c r="CG16" t="s">
        <v>699</v>
      </c>
      <c r="CH16" t="str">
        <f>"0.00324***"</f>
        <v>0.00324***</v>
      </c>
      <c r="CI16" t="s">
        <v>1463</v>
      </c>
      <c r="CJ16" t="s">
        <v>584</v>
      </c>
      <c r="CK16" t="str">
        <f>"0.00323***"</f>
        <v>0.00323***</v>
      </c>
      <c r="CL16" t="s">
        <v>1463</v>
      </c>
      <c r="CM16" t="s">
        <v>584</v>
      </c>
      <c r="CN16" t="str">
        <f>"0.00309***"</f>
        <v>0.00309***</v>
      </c>
      <c r="CO16" t="s">
        <v>1462</v>
      </c>
      <c r="CP16" t="s">
        <v>696</v>
      </c>
      <c r="CQ16" t="str">
        <f>"0.00312***"</f>
        <v>0.00312***</v>
      </c>
      <c r="CR16" t="s">
        <v>1462</v>
      </c>
      <c r="CS16" t="s">
        <v>671</v>
      </c>
      <c r="CT16" t="str">
        <f>"0.00324***"</f>
        <v>0.00324***</v>
      </c>
      <c r="CU16" t="s">
        <v>1463</v>
      </c>
      <c r="CV16" t="s">
        <v>584</v>
      </c>
      <c r="CW16" t="str">
        <f>"0.00320***"</f>
        <v>0.00320***</v>
      </c>
      <c r="CX16" t="s">
        <v>1462</v>
      </c>
      <c r="CY16" t="s">
        <v>584</v>
      </c>
      <c r="CZ16" t="str">
        <f>"0.00343***"</f>
        <v>0.00343***</v>
      </c>
      <c r="DA16" t="s">
        <v>779</v>
      </c>
      <c r="DB16" t="s">
        <v>1087</v>
      </c>
      <c r="DC16" t="str">
        <f>"0.00335***"</f>
        <v>0.00335***</v>
      </c>
      <c r="DD16" t="s">
        <v>779</v>
      </c>
      <c r="DE16" t="s">
        <v>698</v>
      </c>
      <c r="DF16" t="str">
        <f>"0.00339***"</f>
        <v>0.00339***</v>
      </c>
      <c r="DG16" t="s">
        <v>779</v>
      </c>
      <c r="DH16" t="s">
        <v>1087</v>
      </c>
      <c r="DI16" t="str">
        <f>"0.00345***"</f>
        <v>0.00345***</v>
      </c>
      <c r="DJ16" t="s">
        <v>779</v>
      </c>
      <c r="DK16" t="s">
        <v>928</v>
      </c>
      <c r="DL16" t="str">
        <f>"0.00341***"</f>
        <v>0.00341***</v>
      </c>
      <c r="DM16" t="s">
        <v>779</v>
      </c>
      <c r="DN16" t="s">
        <v>1087</v>
      </c>
      <c r="DO16" t="str">
        <f>"0.00347***"</f>
        <v>0.00347***</v>
      </c>
      <c r="DP16" t="s">
        <v>1464</v>
      </c>
      <c r="DQ16" t="s">
        <v>928</v>
      </c>
      <c r="DR16" t="str">
        <f>"0.00348***"</f>
        <v>0.00348***</v>
      </c>
      <c r="DS16" t="s">
        <v>1464</v>
      </c>
      <c r="DT16" t="s">
        <v>928</v>
      </c>
      <c r="DU16" t="str">
        <f>"0.00334***"</f>
        <v>0.00334***</v>
      </c>
      <c r="DV16" t="s">
        <v>1463</v>
      </c>
      <c r="DW16" t="s">
        <v>698</v>
      </c>
      <c r="DX16" t="str">
        <f>"0.00339***"</f>
        <v>0.00339***</v>
      </c>
      <c r="DY16" t="s">
        <v>779</v>
      </c>
      <c r="DZ16" t="s">
        <v>1087</v>
      </c>
      <c r="EA16" t="str">
        <f>"0.00328***"</f>
        <v>0.00328***</v>
      </c>
      <c r="EB16" t="s">
        <v>1463</v>
      </c>
      <c r="EC16" t="s">
        <v>698</v>
      </c>
      <c r="ED16" t="str">
        <f>"0.00316***"</f>
        <v>0.00316***</v>
      </c>
      <c r="EE16" t="s">
        <v>1462</v>
      </c>
      <c r="EF16" t="s">
        <v>671</v>
      </c>
      <c r="EG16" t="str">
        <f>"0.00321***"</f>
        <v>0.00321***</v>
      </c>
      <c r="EH16" t="s">
        <v>1463</v>
      </c>
      <c r="EI16" t="s">
        <v>671</v>
      </c>
      <c r="EJ16" t="str">
        <f>"0.00304***"</f>
        <v>0.00304***</v>
      </c>
      <c r="EK16" t="s">
        <v>1461</v>
      </c>
      <c r="EL16" t="s">
        <v>699</v>
      </c>
      <c r="EM16" t="str">
        <f>"0.00289***"</f>
        <v>0.00289***</v>
      </c>
      <c r="EN16" t="s">
        <v>1460</v>
      </c>
      <c r="EO16" t="s">
        <v>829</v>
      </c>
      <c r="EP16" t="str">
        <f>"0.00291***"</f>
        <v>0.00291***</v>
      </c>
      <c r="EQ16" t="s">
        <v>1461</v>
      </c>
      <c r="ER16" t="s">
        <v>829</v>
      </c>
      <c r="ES16" t="str">
        <f>"0.00291***"</f>
        <v>0.00291***</v>
      </c>
      <c r="ET16" t="s">
        <v>1461</v>
      </c>
      <c r="EU16" t="s">
        <v>590</v>
      </c>
      <c r="EV16" t="str">
        <f>"0.00295***"</f>
        <v>0.00295***</v>
      </c>
      <c r="EW16" t="s">
        <v>1461</v>
      </c>
      <c r="EX16" t="s">
        <v>590</v>
      </c>
      <c r="EY16" t="str">
        <f>"0.00306***"</f>
        <v>0.00306***</v>
      </c>
      <c r="EZ16" t="s">
        <v>1462</v>
      </c>
      <c r="FA16" t="s">
        <v>699</v>
      </c>
      <c r="FB16" t="str">
        <f>"0.00321***"</f>
        <v>0.00321***</v>
      </c>
      <c r="FC16" t="s">
        <v>1463</v>
      </c>
      <c r="FD16" t="s">
        <v>671</v>
      </c>
      <c r="FE16" t="str">
        <f>"0.00318***"</f>
        <v>0.00318***</v>
      </c>
      <c r="FF16" t="s">
        <v>1463</v>
      </c>
      <c r="FG16" t="s">
        <v>671</v>
      </c>
      <c r="FH16" t="str">
        <f>"0.00308***"</f>
        <v>0.00308***</v>
      </c>
      <c r="FI16" t="s">
        <v>1462</v>
      </c>
      <c r="FJ16" t="s">
        <v>699</v>
      </c>
      <c r="FK16" t="str">
        <f>"0.00304***"</f>
        <v>0.00304***</v>
      </c>
      <c r="FL16" t="s">
        <v>1462</v>
      </c>
      <c r="FM16" t="s">
        <v>699</v>
      </c>
      <c r="FN16" t="str">
        <f>"0.00296***"</f>
        <v>0.00296***</v>
      </c>
      <c r="FO16" t="s">
        <v>1461</v>
      </c>
      <c r="FP16" t="s">
        <v>590</v>
      </c>
      <c r="FQ16" t="str">
        <f>"0.00299***"</f>
        <v>0.00299***</v>
      </c>
      <c r="FR16" t="s">
        <v>1462</v>
      </c>
      <c r="FS16" t="s">
        <v>590</v>
      </c>
      <c r="FT16" t="str">
        <f>"0.00266***"</f>
        <v>0.00266***</v>
      </c>
      <c r="FU16" t="s">
        <v>638</v>
      </c>
      <c r="FV16" t="s">
        <v>690</v>
      </c>
      <c r="FW16" t="str">
        <f>"0.00261***"</f>
        <v>0.00261***</v>
      </c>
      <c r="FX16" t="s">
        <v>638</v>
      </c>
      <c r="FY16" t="s">
        <v>907</v>
      </c>
      <c r="FZ16" t="str">
        <f>"0.00255***"</f>
        <v>0.00255***</v>
      </c>
      <c r="GA16" t="s">
        <v>449</v>
      </c>
      <c r="GB16" t="s">
        <v>907</v>
      </c>
      <c r="GC16" t="str">
        <f>"0.00258***"</f>
        <v>0.00258***</v>
      </c>
      <c r="GD16" t="s">
        <v>638</v>
      </c>
      <c r="GE16" t="s">
        <v>907</v>
      </c>
      <c r="GF16" t="str">
        <f>"0.00278***"</f>
        <v>0.00278***</v>
      </c>
      <c r="GG16" t="s">
        <v>1461</v>
      </c>
      <c r="GH16" t="s">
        <v>601</v>
      </c>
      <c r="GI16" t="str">
        <f>"0.00270***"</f>
        <v>0.00270***</v>
      </c>
      <c r="GJ16" t="s">
        <v>1460</v>
      </c>
      <c r="GK16" t="s">
        <v>690</v>
      </c>
      <c r="GL16" t="str">
        <f>"0.00266***"</f>
        <v>0.00266***</v>
      </c>
      <c r="GM16" t="s">
        <v>1460</v>
      </c>
      <c r="GN16" t="s">
        <v>690</v>
      </c>
      <c r="GO16" t="str">
        <f>"0.00264***"</f>
        <v>0.00264***</v>
      </c>
      <c r="GP16" t="s">
        <v>638</v>
      </c>
      <c r="GQ16" t="s">
        <v>907</v>
      </c>
      <c r="GR16" t="str">
        <f>"0.00263***"</f>
        <v>0.00263***</v>
      </c>
      <c r="GS16" t="s">
        <v>1460</v>
      </c>
      <c r="GT16" t="s">
        <v>907</v>
      </c>
      <c r="GU16" t="str">
        <f>"0.00244***"</f>
        <v>0.00244***</v>
      </c>
      <c r="GV16" t="s">
        <v>449</v>
      </c>
      <c r="GW16" t="s">
        <v>915</v>
      </c>
      <c r="GX16" t="str">
        <f>"0.00233***"</f>
        <v>0.00233***</v>
      </c>
      <c r="GY16" t="s">
        <v>1020</v>
      </c>
      <c r="GZ16" t="s">
        <v>716</v>
      </c>
      <c r="HA16" t="str">
        <f>"0.00226***"</f>
        <v>0.00226***</v>
      </c>
      <c r="HB16" t="s">
        <v>1020</v>
      </c>
      <c r="HC16" t="s">
        <v>701</v>
      </c>
      <c r="HD16" t="str">
        <f>"0.00242***"</f>
        <v>0.00242***</v>
      </c>
      <c r="HE16" t="s">
        <v>449</v>
      </c>
      <c r="HF16" t="s">
        <v>915</v>
      </c>
      <c r="HG16" t="str">
        <f>"0.00248***"</f>
        <v>0.00248***</v>
      </c>
      <c r="HH16" t="s">
        <v>449</v>
      </c>
      <c r="HI16" t="s">
        <v>915</v>
      </c>
      <c r="HJ16" t="str">
        <f>"0.00246***"</f>
        <v>0.00246***</v>
      </c>
      <c r="HK16" t="s">
        <v>449</v>
      </c>
      <c r="HL16" t="s">
        <v>915</v>
      </c>
      <c r="HM16" t="str">
        <f>"0.00238***"</f>
        <v>0.00238***</v>
      </c>
      <c r="HN16" t="s">
        <v>449</v>
      </c>
      <c r="HO16" t="s">
        <v>917</v>
      </c>
      <c r="HP16" t="str">
        <f>"0.00238***"</f>
        <v>0.00238***</v>
      </c>
      <c r="HQ16" t="s">
        <v>449</v>
      </c>
      <c r="HR16" t="s">
        <v>917</v>
      </c>
      <c r="HS16" t="str">
        <f>"0.00218***"</f>
        <v>0.00218***</v>
      </c>
      <c r="HT16" t="s">
        <v>679</v>
      </c>
      <c r="HU16" t="s">
        <v>797</v>
      </c>
      <c r="HV16" t="str">
        <f>"0.00212***"</f>
        <v>0.00212***</v>
      </c>
      <c r="HW16" t="s">
        <v>679</v>
      </c>
      <c r="HX16" t="s">
        <v>667</v>
      </c>
      <c r="HY16" t="str">
        <f>"0.00221***"</f>
        <v>0.00221***</v>
      </c>
      <c r="HZ16" t="s">
        <v>1020</v>
      </c>
      <c r="IA16" t="s">
        <v>797</v>
      </c>
      <c r="IB16" t="str">
        <f>"0.00225***"</f>
        <v>0.00225***</v>
      </c>
      <c r="IC16" t="s">
        <v>1020</v>
      </c>
      <c r="ID16" t="s">
        <v>701</v>
      </c>
      <c r="IE16" t="str">
        <f>"0.00223***"</f>
        <v>0.00223***</v>
      </c>
      <c r="IF16" t="s">
        <v>1020</v>
      </c>
      <c r="IG16" t="s">
        <v>701</v>
      </c>
      <c r="IH16" t="str">
        <f>"0.00222***"</f>
        <v>0.00222***</v>
      </c>
      <c r="II16" t="s">
        <v>1020</v>
      </c>
      <c r="IJ16" t="s">
        <v>701</v>
      </c>
      <c r="IK16" t="str">
        <f>"0.00204***"</f>
        <v>0.00204***</v>
      </c>
      <c r="IL16" t="s">
        <v>986</v>
      </c>
      <c r="IM16" t="s">
        <v>906</v>
      </c>
      <c r="IN16" t="str">
        <f>"0.00196***"</f>
        <v>0.00196***</v>
      </c>
      <c r="IO16" t="s">
        <v>986</v>
      </c>
      <c r="IP16" t="s">
        <v>921</v>
      </c>
      <c r="IQ16" t="str">
        <f>"0.00162***"</f>
        <v>0.00162***</v>
      </c>
      <c r="IR16" t="s">
        <v>1488</v>
      </c>
      <c r="IS16" t="s">
        <v>912</v>
      </c>
      <c r="IT16" t="str">
        <f>"0.00174***"</f>
        <v>0.00174***</v>
      </c>
      <c r="IU16" t="s">
        <v>1459</v>
      </c>
      <c r="IV16" t="s">
        <v>685</v>
      </c>
      <c r="IW16" t="str">
        <f>"0.00215***"</f>
        <v>0.00215***</v>
      </c>
      <c r="IX16" t="s">
        <v>679</v>
      </c>
      <c r="IY16" t="s">
        <v>797</v>
      </c>
      <c r="IZ16" t="str">
        <f>"0.00195***"</f>
        <v>0.00195***</v>
      </c>
      <c r="JA16" t="s">
        <v>695</v>
      </c>
      <c r="JB16" t="s">
        <v>906</v>
      </c>
      <c r="JC16" t="str">
        <f>"0.00170***"</f>
        <v>0.00170***</v>
      </c>
      <c r="JD16" t="s">
        <v>1488</v>
      </c>
      <c r="JE16" t="s">
        <v>685</v>
      </c>
      <c r="JF16" t="str">
        <f>"0.00185***"</f>
        <v>0.00185***</v>
      </c>
      <c r="JG16" t="s">
        <v>1459</v>
      </c>
      <c r="JH16" t="s">
        <v>921</v>
      </c>
      <c r="JI16" t="str">
        <f>"0.00174***"</f>
        <v>0.00174***</v>
      </c>
      <c r="JJ16" t="s">
        <v>1488</v>
      </c>
      <c r="JK16" t="s">
        <v>685</v>
      </c>
      <c r="JL16" t="str">
        <f>"0.00133***"</f>
        <v>0.00133***</v>
      </c>
      <c r="JM16" t="s">
        <v>927</v>
      </c>
      <c r="JN16" t="s">
        <v>691</v>
      </c>
      <c r="JO16" t="str">
        <f>"0.00178***"</f>
        <v>0.00178***</v>
      </c>
      <c r="JP16" t="s">
        <v>1488</v>
      </c>
      <c r="JQ16" t="s">
        <v>921</v>
      </c>
      <c r="JR16" t="str">
        <f>"0.00173***"</f>
        <v>0.00173***</v>
      </c>
      <c r="JS16" t="s">
        <v>718</v>
      </c>
      <c r="JT16" t="s">
        <v>921</v>
      </c>
      <c r="JU16" t="str">
        <f>"0.00124***"</f>
        <v>0.00124***</v>
      </c>
      <c r="JV16" t="s">
        <v>730</v>
      </c>
      <c r="JW16" t="s">
        <v>691</v>
      </c>
      <c r="JX16" t="str">
        <f>"0.00156***"</f>
        <v>0.00156***</v>
      </c>
      <c r="JY16" t="s">
        <v>926</v>
      </c>
      <c r="JZ16" t="s">
        <v>799</v>
      </c>
      <c r="KA16" t="str">
        <f>"0.000906**"</f>
        <v>0.000906**</v>
      </c>
      <c r="KB16" t="s">
        <v>708</v>
      </c>
      <c r="KC16" t="s">
        <v>1083</v>
      </c>
      <c r="KD16" t="str">
        <f>"0.000833*"</f>
        <v>0.000833*</v>
      </c>
      <c r="KE16" t="s">
        <v>736</v>
      </c>
      <c r="KF16" t="s">
        <v>1083</v>
      </c>
      <c r="KG16" t="str">
        <f>"0.000785*"</f>
        <v>0.000785*</v>
      </c>
      <c r="KH16" t="s">
        <v>736</v>
      </c>
      <c r="KI16" t="s">
        <v>1083</v>
      </c>
      <c r="KJ16" t="str">
        <f>"0.000947*"</f>
        <v>0.000947*</v>
      </c>
      <c r="KK16" t="s">
        <v>736</v>
      </c>
      <c r="KL16" t="s">
        <v>691</v>
      </c>
    </row>
    <row r="17" spans="1:298" x14ac:dyDescent="0.2">
      <c r="A17" t="str">
        <f>"Setor"</f>
        <v>Setor</v>
      </c>
      <c r="B17" t="str">
        <f>"0.0255***"</f>
        <v>0.0255***</v>
      </c>
      <c r="C17" t="s">
        <v>2881</v>
      </c>
      <c r="D17" t="s">
        <v>1649</v>
      </c>
      <c r="E17" t="str">
        <f>"0.0313***"</f>
        <v>0.0313***</v>
      </c>
      <c r="F17" t="s">
        <v>4490</v>
      </c>
      <c r="G17" t="s">
        <v>1958</v>
      </c>
      <c r="H17" t="str">
        <f>"0.0297***"</f>
        <v>0.0297***</v>
      </c>
      <c r="I17" t="s">
        <v>2882</v>
      </c>
      <c r="J17" t="s">
        <v>615</v>
      </c>
      <c r="K17" t="str">
        <f>"0.0300***"</f>
        <v>0.0300***</v>
      </c>
      <c r="L17" t="s">
        <v>4466</v>
      </c>
      <c r="M17" t="s">
        <v>2855</v>
      </c>
      <c r="N17" t="str">
        <f>"0.0265***"</f>
        <v>0.0265***</v>
      </c>
      <c r="O17" t="s">
        <v>1655</v>
      </c>
      <c r="P17" t="s">
        <v>1649</v>
      </c>
      <c r="Q17" t="str">
        <f>"0.0267***"</f>
        <v>0.0267***</v>
      </c>
      <c r="R17" t="s">
        <v>3629</v>
      </c>
      <c r="S17" t="s">
        <v>1647</v>
      </c>
      <c r="T17" t="str">
        <f>"0.0242***"</f>
        <v>0.0242***</v>
      </c>
      <c r="U17" t="s">
        <v>3158</v>
      </c>
      <c r="V17" t="s">
        <v>551</v>
      </c>
      <c r="W17" t="str">
        <f>"0.0217***"</f>
        <v>0.0217***</v>
      </c>
      <c r="X17" t="s">
        <v>4491</v>
      </c>
      <c r="Y17" t="s">
        <v>977</v>
      </c>
      <c r="Z17" t="str">
        <f>"0.0207***"</f>
        <v>0.0207***</v>
      </c>
      <c r="AA17" t="s">
        <v>770</v>
      </c>
      <c r="AB17" t="s">
        <v>744</v>
      </c>
      <c r="AC17" t="str">
        <f>"0.0158***"</f>
        <v>0.0158***</v>
      </c>
      <c r="AD17" t="s">
        <v>1476</v>
      </c>
      <c r="AE17" t="s">
        <v>1475</v>
      </c>
      <c r="AF17" t="str">
        <f>"0.0149***"</f>
        <v>0.0149***</v>
      </c>
      <c r="AG17" t="s">
        <v>1534</v>
      </c>
      <c r="AH17" t="s">
        <v>534</v>
      </c>
      <c r="AI17" t="str">
        <f>"0.0138***"</f>
        <v>0.0138***</v>
      </c>
      <c r="AJ17" t="s">
        <v>2817</v>
      </c>
      <c r="AK17" t="s">
        <v>1670</v>
      </c>
      <c r="AL17" t="str">
        <f>"0.0122***"</f>
        <v>0.0122***</v>
      </c>
      <c r="AM17" t="s">
        <v>1495</v>
      </c>
      <c r="AN17" t="s">
        <v>530</v>
      </c>
      <c r="AO17" t="str">
        <f>"0.0105***"</f>
        <v>0.0105***</v>
      </c>
      <c r="AP17" t="s">
        <v>3258</v>
      </c>
      <c r="AQ17" t="s">
        <v>731</v>
      </c>
      <c r="AR17" t="str">
        <f>"0.00821***"</f>
        <v>0.00821***</v>
      </c>
      <c r="AS17" t="s">
        <v>982</v>
      </c>
      <c r="AT17" t="s">
        <v>735</v>
      </c>
      <c r="AU17" t="str">
        <f>"0.00762***"</f>
        <v>0.00762***</v>
      </c>
      <c r="AV17" t="s">
        <v>1058</v>
      </c>
      <c r="AW17" t="s">
        <v>649</v>
      </c>
      <c r="AX17" t="str">
        <f>"0.00689***"</f>
        <v>0.00689***</v>
      </c>
      <c r="AY17" t="s">
        <v>1000</v>
      </c>
      <c r="AZ17" t="s">
        <v>581</v>
      </c>
      <c r="BA17" t="str">
        <f>"0.00661***"</f>
        <v>0.00661***</v>
      </c>
      <c r="BB17" t="s">
        <v>715</v>
      </c>
      <c r="BC17" t="s">
        <v>577</v>
      </c>
      <c r="BD17" t="str">
        <f>"0.00581***"</f>
        <v>0.00581***</v>
      </c>
      <c r="BE17" t="s">
        <v>940</v>
      </c>
      <c r="BF17" t="s">
        <v>1234</v>
      </c>
      <c r="BG17" t="str">
        <f>"0.00541***"</f>
        <v>0.00541***</v>
      </c>
      <c r="BH17" t="s">
        <v>998</v>
      </c>
      <c r="BI17" t="s">
        <v>567</v>
      </c>
      <c r="BJ17" t="str">
        <f>"0.00525***"</f>
        <v>0.00525***</v>
      </c>
      <c r="BK17" t="s">
        <v>997</v>
      </c>
      <c r="BL17" t="s">
        <v>643</v>
      </c>
      <c r="BM17" t="str">
        <f>"0.00518***"</f>
        <v>0.00518***</v>
      </c>
      <c r="BN17" t="s">
        <v>1015</v>
      </c>
      <c r="BO17" t="s">
        <v>586</v>
      </c>
      <c r="BP17" t="str">
        <f>"0.00522***"</f>
        <v>0.00522***</v>
      </c>
      <c r="BQ17" t="s">
        <v>997</v>
      </c>
      <c r="BR17" t="s">
        <v>586</v>
      </c>
      <c r="BS17" t="str">
        <f>"0.00513***"</f>
        <v>0.00513***</v>
      </c>
      <c r="BT17" t="s">
        <v>1015</v>
      </c>
      <c r="BU17" t="s">
        <v>665</v>
      </c>
      <c r="BV17" t="str">
        <f>"0.00509***"</f>
        <v>0.00509***</v>
      </c>
      <c r="BW17" t="s">
        <v>1015</v>
      </c>
      <c r="BX17" t="s">
        <v>665</v>
      </c>
      <c r="BY17" t="str">
        <f>"0.00493***"</f>
        <v>0.00493***</v>
      </c>
      <c r="BZ17" t="s">
        <v>724</v>
      </c>
      <c r="CA17" t="s">
        <v>662</v>
      </c>
      <c r="CB17" t="str">
        <f>"0.00487***"</f>
        <v>0.00487***</v>
      </c>
      <c r="CC17" t="s">
        <v>724</v>
      </c>
      <c r="CD17" t="s">
        <v>662</v>
      </c>
      <c r="CE17" t="str">
        <f>"0.00483***"</f>
        <v>0.00483***</v>
      </c>
      <c r="CF17" t="s">
        <v>1468</v>
      </c>
      <c r="CG17" t="s">
        <v>613</v>
      </c>
      <c r="CH17" t="str">
        <f>"0.00482***"</f>
        <v>0.00482***</v>
      </c>
      <c r="CI17" t="s">
        <v>724</v>
      </c>
      <c r="CJ17" t="s">
        <v>613</v>
      </c>
      <c r="CK17" t="str">
        <f>"0.00490***"</f>
        <v>0.00490***</v>
      </c>
      <c r="CL17" t="s">
        <v>1469</v>
      </c>
      <c r="CM17" t="s">
        <v>613</v>
      </c>
      <c r="CN17" t="str">
        <f>"0.00484***"</f>
        <v>0.00484***</v>
      </c>
      <c r="CO17" t="s">
        <v>724</v>
      </c>
      <c r="CP17" t="s">
        <v>613</v>
      </c>
      <c r="CQ17" t="str">
        <f>"0.00481***"</f>
        <v>0.00481***</v>
      </c>
      <c r="CR17" t="s">
        <v>724</v>
      </c>
      <c r="CS17" t="s">
        <v>592</v>
      </c>
      <c r="CT17" t="str">
        <f>"0.00476***"</f>
        <v>0.00476***</v>
      </c>
      <c r="CU17" t="s">
        <v>724</v>
      </c>
      <c r="CV17" t="s">
        <v>1560</v>
      </c>
      <c r="CW17" t="str">
        <f>"0.00499***"</f>
        <v>0.00499***</v>
      </c>
      <c r="CX17" t="s">
        <v>1015</v>
      </c>
      <c r="CY17" t="s">
        <v>662</v>
      </c>
      <c r="CZ17" t="str">
        <f>"0.00493***"</f>
        <v>0.00493***</v>
      </c>
      <c r="DA17" t="s">
        <v>1469</v>
      </c>
      <c r="DB17" t="s">
        <v>613</v>
      </c>
      <c r="DC17" t="str">
        <f>"0.00475***"</f>
        <v>0.00475***</v>
      </c>
      <c r="DD17" t="s">
        <v>1468</v>
      </c>
      <c r="DE17" t="s">
        <v>592</v>
      </c>
      <c r="DF17" t="str">
        <f>"0.00462***"</f>
        <v>0.00462***</v>
      </c>
      <c r="DG17" t="s">
        <v>1121</v>
      </c>
      <c r="DH17" t="s">
        <v>1560</v>
      </c>
      <c r="DI17" t="str">
        <f>"0.00448***"</f>
        <v>0.00448***</v>
      </c>
      <c r="DJ17" t="s">
        <v>728</v>
      </c>
      <c r="DK17" t="s">
        <v>669</v>
      </c>
      <c r="DL17" t="str">
        <f>"0.00453***"</f>
        <v>0.00453***</v>
      </c>
      <c r="DM17" t="s">
        <v>728</v>
      </c>
      <c r="DN17" t="s">
        <v>1560</v>
      </c>
      <c r="DO17" t="str">
        <f>"0.00463***"</f>
        <v>0.00463***</v>
      </c>
      <c r="DP17" t="s">
        <v>1121</v>
      </c>
      <c r="DQ17" t="s">
        <v>592</v>
      </c>
      <c r="DR17" t="str">
        <f>"0.00470***"</f>
        <v>0.00470***</v>
      </c>
      <c r="DS17" t="s">
        <v>1081</v>
      </c>
      <c r="DT17" t="s">
        <v>592</v>
      </c>
      <c r="DU17" t="str">
        <f>"0.00457***"</f>
        <v>0.00457***</v>
      </c>
      <c r="DV17" t="s">
        <v>728</v>
      </c>
      <c r="DW17" t="s">
        <v>1560</v>
      </c>
      <c r="DX17" t="str">
        <f>"0.00459***"</f>
        <v>0.00459***</v>
      </c>
      <c r="DY17" t="s">
        <v>728</v>
      </c>
      <c r="DZ17" t="s">
        <v>592</v>
      </c>
      <c r="EA17" t="str">
        <f>"0.00445***"</f>
        <v>0.00445***</v>
      </c>
      <c r="EB17" t="s">
        <v>1037</v>
      </c>
      <c r="EC17" t="s">
        <v>669</v>
      </c>
      <c r="ED17" t="str">
        <f>"0.00407***"</f>
        <v>0.00407***</v>
      </c>
      <c r="EE17" t="s">
        <v>441</v>
      </c>
      <c r="EF17" t="s">
        <v>702</v>
      </c>
      <c r="EG17" t="str">
        <f>"0.00404***"</f>
        <v>0.00404***</v>
      </c>
      <c r="EH17" t="s">
        <v>441</v>
      </c>
      <c r="EI17" t="s">
        <v>702</v>
      </c>
      <c r="EJ17" t="str">
        <f>"0.00414***"</f>
        <v>0.00414***</v>
      </c>
      <c r="EK17" t="s">
        <v>1466</v>
      </c>
      <c r="EL17" t="s">
        <v>721</v>
      </c>
      <c r="EM17" t="str">
        <f>"0.00441***"</f>
        <v>0.00441***</v>
      </c>
      <c r="EN17" t="s">
        <v>1037</v>
      </c>
      <c r="EO17" t="s">
        <v>655</v>
      </c>
      <c r="EP17" t="str">
        <f>"0.00413***"</f>
        <v>0.00413***</v>
      </c>
      <c r="EQ17" t="s">
        <v>343</v>
      </c>
      <c r="ER17" t="s">
        <v>702</v>
      </c>
      <c r="ES17" t="str">
        <f>"0.00424***"</f>
        <v>0.00424***</v>
      </c>
      <c r="ET17" t="s">
        <v>343</v>
      </c>
      <c r="EU17" t="s">
        <v>721</v>
      </c>
      <c r="EV17" t="str">
        <f>"0.00414***"</f>
        <v>0.00414***</v>
      </c>
      <c r="EW17" t="s">
        <v>1466</v>
      </c>
      <c r="EX17" t="s">
        <v>721</v>
      </c>
      <c r="EY17" t="str">
        <f>"0.00424***"</f>
        <v>0.00424***</v>
      </c>
      <c r="EZ17" t="s">
        <v>343</v>
      </c>
      <c r="FA17" t="s">
        <v>710</v>
      </c>
      <c r="FB17" t="str">
        <f>"0.00439***"</f>
        <v>0.00439***</v>
      </c>
      <c r="FC17" t="s">
        <v>712</v>
      </c>
      <c r="FD17" t="s">
        <v>669</v>
      </c>
      <c r="FE17" t="str">
        <f>"0.00450***"</f>
        <v>0.00450***</v>
      </c>
      <c r="FF17" t="s">
        <v>1037</v>
      </c>
      <c r="FG17" t="s">
        <v>1560</v>
      </c>
      <c r="FH17" t="str">
        <f>"0.00474***"</f>
        <v>0.00474***</v>
      </c>
      <c r="FI17" t="s">
        <v>1121</v>
      </c>
      <c r="FJ17" t="s">
        <v>662</v>
      </c>
      <c r="FK17" t="str">
        <f>"0.00476***"</f>
        <v>0.00476***</v>
      </c>
      <c r="FL17" t="s">
        <v>1121</v>
      </c>
      <c r="FM17" t="s">
        <v>662</v>
      </c>
      <c r="FN17" t="str">
        <f>"0.00444***"</f>
        <v>0.00444***</v>
      </c>
      <c r="FO17" t="s">
        <v>712</v>
      </c>
      <c r="FP17" t="s">
        <v>669</v>
      </c>
      <c r="FQ17" t="str">
        <f>"0.00413***"</f>
        <v>0.00413***</v>
      </c>
      <c r="FR17" t="s">
        <v>1466</v>
      </c>
      <c r="FS17" t="s">
        <v>721</v>
      </c>
      <c r="FT17" t="str">
        <f>"0.00422***"</f>
        <v>0.00422***</v>
      </c>
      <c r="FU17" t="s">
        <v>343</v>
      </c>
      <c r="FV17" t="s">
        <v>710</v>
      </c>
      <c r="FW17" t="str">
        <f>"0.00434***"</f>
        <v>0.00434***</v>
      </c>
      <c r="FX17" t="s">
        <v>712</v>
      </c>
      <c r="FY17" t="s">
        <v>655</v>
      </c>
      <c r="FZ17" t="str">
        <f>"0.00426***"</f>
        <v>0.00426***</v>
      </c>
      <c r="GA17" t="s">
        <v>343</v>
      </c>
      <c r="GB17" t="s">
        <v>710</v>
      </c>
      <c r="GC17" t="str">
        <f>"0.00416***"</f>
        <v>0.00416***</v>
      </c>
      <c r="GD17" t="s">
        <v>1466</v>
      </c>
      <c r="GE17" t="s">
        <v>721</v>
      </c>
      <c r="GF17" t="str">
        <f>"0.00439***"</f>
        <v>0.00439***</v>
      </c>
      <c r="GG17" t="s">
        <v>712</v>
      </c>
      <c r="GH17" t="s">
        <v>669</v>
      </c>
      <c r="GI17" t="str">
        <f>"0.00430***"</f>
        <v>0.00430***</v>
      </c>
      <c r="GJ17" t="s">
        <v>1466</v>
      </c>
      <c r="GK17" t="s">
        <v>655</v>
      </c>
      <c r="GL17" t="str">
        <f>"0.00417***"</f>
        <v>0.00417***</v>
      </c>
      <c r="GM17" t="s">
        <v>441</v>
      </c>
      <c r="GN17" t="s">
        <v>710</v>
      </c>
      <c r="GO17" t="str">
        <f>"0.00376***"</f>
        <v>0.00376***</v>
      </c>
      <c r="GP17" t="s">
        <v>1464</v>
      </c>
      <c r="GQ17" t="s">
        <v>1467</v>
      </c>
      <c r="GR17" t="str">
        <f>"0.00375***"</f>
        <v>0.00375***</v>
      </c>
      <c r="GS17" t="s">
        <v>1464</v>
      </c>
      <c r="GT17" t="s">
        <v>1467</v>
      </c>
      <c r="GU17" t="str">
        <f>"0.00375***"</f>
        <v>0.00375***</v>
      </c>
      <c r="GV17" t="s">
        <v>1464</v>
      </c>
      <c r="GW17" t="s">
        <v>1467</v>
      </c>
      <c r="GX17" t="str">
        <f>"0.00378***"</f>
        <v>0.00378***</v>
      </c>
      <c r="GY17" t="s">
        <v>1464</v>
      </c>
      <c r="GZ17" t="s">
        <v>1467</v>
      </c>
      <c r="HA17" t="str">
        <f>"0.00334***"</f>
        <v>0.00334***</v>
      </c>
      <c r="HB17" t="s">
        <v>1461</v>
      </c>
      <c r="HC17" t="s">
        <v>605</v>
      </c>
      <c r="HD17" t="str">
        <f>"0.00294***"</f>
        <v>0.00294***</v>
      </c>
      <c r="HE17" t="s">
        <v>679</v>
      </c>
      <c r="HF17" t="s">
        <v>584</v>
      </c>
      <c r="HG17" t="str">
        <f>"0.00273***"</f>
        <v>0.00273***</v>
      </c>
      <c r="HH17" t="s">
        <v>695</v>
      </c>
      <c r="HI17" t="s">
        <v>671</v>
      </c>
      <c r="HJ17" t="str">
        <f>"0.00229***"</f>
        <v>0.00229***</v>
      </c>
      <c r="HK17" t="s">
        <v>927</v>
      </c>
      <c r="HL17" t="s">
        <v>829</v>
      </c>
      <c r="HM17" t="str">
        <f>"0.00253***"</f>
        <v>0.00253***</v>
      </c>
      <c r="HN17" t="s">
        <v>718</v>
      </c>
      <c r="HO17" t="s">
        <v>696</v>
      </c>
      <c r="HP17" t="str">
        <f>"0.00189**"</f>
        <v>0.00189**</v>
      </c>
      <c r="HQ17" t="s">
        <v>719</v>
      </c>
      <c r="HR17" t="s">
        <v>907</v>
      </c>
      <c r="HS17" t="str">
        <f>"0.00189**"</f>
        <v>0.00189**</v>
      </c>
      <c r="HT17" t="s">
        <v>719</v>
      </c>
      <c r="HU17" t="s">
        <v>907</v>
      </c>
      <c r="HV17" t="str">
        <f>"0.00212**"</f>
        <v>0.00212**</v>
      </c>
      <c r="HW17" t="s">
        <v>730</v>
      </c>
      <c r="HX17" t="s">
        <v>601</v>
      </c>
      <c r="HY17" t="str">
        <f>"0.00166*"</f>
        <v>0.00166*</v>
      </c>
      <c r="HZ17" t="s">
        <v>722</v>
      </c>
      <c r="IA17" t="s">
        <v>915</v>
      </c>
      <c r="IB17" t="str">
        <f>"0.00129"</f>
        <v>0.00129</v>
      </c>
      <c r="IC17" t="s">
        <v>786</v>
      </c>
      <c r="ID17" t="s">
        <v>701</v>
      </c>
      <c r="IE17" t="str">
        <f>"-0.0000815"</f>
        <v>-0.0000815</v>
      </c>
      <c r="IF17" t="s">
        <v>720</v>
      </c>
      <c r="IG17" t="s">
        <v>1083</v>
      </c>
      <c r="IH17" t="str">
        <f>"-0.000490"</f>
        <v>-0.000490</v>
      </c>
      <c r="II17" t="s">
        <v>717</v>
      </c>
      <c r="IJ17" t="s">
        <v>936</v>
      </c>
      <c r="IK17" t="str">
        <f>"-0.000345"</f>
        <v>-0.000345</v>
      </c>
      <c r="IL17" t="s">
        <v>1014</v>
      </c>
      <c r="IM17" t="s">
        <v>675</v>
      </c>
      <c r="IN17" t="str">
        <f>"-0.000804"</f>
        <v>-0.000804</v>
      </c>
      <c r="IO17" t="s">
        <v>1012</v>
      </c>
      <c r="IP17" t="s">
        <v>1457</v>
      </c>
      <c r="IQ17" t="str">
        <f>"-0.000489"</f>
        <v>-0.000489</v>
      </c>
      <c r="IR17" t="s">
        <v>1014</v>
      </c>
      <c r="IS17" t="s">
        <v>934</v>
      </c>
      <c r="IT17" t="str">
        <f>"-0.00111"</f>
        <v>-0.00111</v>
      </c>
      <c r="IU17" t="s">
        <v>711</v>
      </c>
      <c r="IV17" t="s">
        <v>709</v>
      </c>
      <c r="IW17" t="str">
        <f>"-0.00286**"</f>
        <v>-0.00286**</v>
      </c>
      <c r="IX17" t="s">
        <v>1003</v>
      </c>
      <c r="IY17" t="s">
        <v>810</v>
      </c>
      <c r="IZ17" t="str">
        <f>"-0.00420***"</f>
        <v>-0.00420***</v>
      </c>
      <c r="JA17" t="s">
        <v>1010</v>
      </c>
      <c r="JB17" t="s">
        <v>1508</v>
      </c>
      <c r="JC17" t="str">
        <f>"-0.00478***"</f>
        <v>-0.00478***</v>
      </c>
      <c r="JD17" t="s">
        <v>967</v>
      </c>
      <c r="JE17" t="s">
        <v>949</v>
      </c>
      <c r="JF17" t="str">
        <f>"-0.00620***"</f>
        <v>-0.00620***</v>
      </c>
      <c r="JG17" t="s">
        <v>1717</v>
      </c>
      <c r="JH17" t="s">
        <v>1501</v>
      </c>
      <c r="JI17" t="str">
        <f>"-0.00663***"</f>
        <v>-0.00663***</v>
      </c>
      <c r="JJ17" t="s">
        <v>3298</v>
      </c>
      <c r="JK17" t="s">
        <v>819</v>
      </c>
      <c r="JL17" t="str">
        <f>"-0.00636***"</f>
        <v>-0.00636***</v>
      </c>
      <c r="JM17" t="s">
        <v>1708</v>
      </c>
      <c r="JN17" t="s">
        <v>3272</v>
      </c>
      <c r="JO17" t="str">
        <f>"-0.00800***"</f>
        <v>-0.00800***</v>
      </c>
      <c r="JP17" t="s">
        <v>628</v>
      </c>
      <c r="JQ17" t="s">
        <v>3652</v>
      </c>
      <c r="JR17" t="str">
        <f>"-0.00980***"</f>
        <v>-0.00980***</v>
      </c>
      <c r="JS17" t="s">
        <v>2841</v>
      </c>
      <c r="JT17" t="s">
        <v>1273</v>
      </c>
      <c r="JU17" t="str">
        <f>"-0.00903***"</f>
        <v>-0.00903***</v>
      </c>
      <c r="JV17" t="s">
        <v>3577</v>
      </c>
      <c r="JW17" t="s">
        <v>806</v>
      </c>
      <c r="JX17" t="str">
        <f>"-0.0108***"</f>
        <v>-0.0108***</v>
      </c>
      <c r="JY17" t="s">
        <v>3669</v>
      </c>
      <c r="JZ17" t="s">
        <v>4481</v>
      </c>
      <c r="KA17" t="str">
        <f>"-0.00948***"</f>
        <v>-0.00948***</v>
      </c>
      <c r="KB17" t="s">
        <v>689</v>
      </c>
      <c r="KC17" t="s">
        <v>3650</v>
      </c>
      <c r="KD17" t="str">
        <f>"-0.0117***"</f>
        <v>-0.0117***</v>
      </c>
      <c r="KE17" t="s">
        <v>1102</v>
      </c>
      <c r="KF17" t="s">
        <v>4477</v>
      </c>
      <c r="KG17" t="str">
        <f>"-0.0144***"</f>
        <v>-0.0144***</v>
      </c>
      <c r="KH17" t="s">
        <v>555</v>
      </c>
      <c r="KI17" t="s">
        <v>4492</v>
      </c>
      <c r="KJ17" t="str">
        <f>"-0.0152***"</f>
        <v>-0.0152***</v>
      </c>
      <c r="KK17" t="s">
        <v>1066</v>
      </c>
      <c r="KL17" t="s">
        <v>3720</v>
      </c>
    </row>
    <row r="18" spans="1:298" x14ac:dyDescent="0.2">
      <c r="A18" t="str">
        <f>"unexplained"</f>
        <v>unexplained</v>
      </c>
      <c r="B18" t="str">
        <f>""</f>
        <v/>
      </c>
      <c r="C18" t="str">
        <f>""</f>
        <v/>
      </c>
      <c r="D18" t="str">
        <f>""</f>
        <v/>
      </c>
      <c r="E18" t="str">
        <f>""</f>
        <v/>
      </c>
      <c r="F18" t="str">
        <f>""</f>
        <v/>
      </c>
      <c r="G18" t="str">
        <f>""</f>
        <v/>
      </c>
      <c r="H18" t="str">
        <f>""</f>
        <v/>
      </c>
      <c r="I18" t="str">
        <f>""</f>
        <v/>
      </c>
      <c r="J18" t="str">
        <f>""</f>
        <v/>
      </c>
      <c r="K18" t="str">
        <f>""</f>
        <v/>
      </c>
      <c r="L18" t="str">
        <f>""</f>
        <v/>
      </c>
      <c r="M18" t="str">
        <f>""</f>
        <v/>
      </c>
      <c r="N18" t="str">
        <f>""</f>
        <v/>
      </c>
      <c r="O18" t="str">
        <f>""</f>
        <v/>
      </c>
      <c r="P18" t="str">
        <f>""</f>
        <v/>
      </c>
      <c r="Q18" t="str">
        <f>""</f>
        <v/>
      </c>
      <c r="R18" t="str">
        <f>""</f>
        <v/>
      </c>
      <c r="S18" t="str">
        <f>""</f>
        <v/>
      </c>
      <c r="T18" t="str">
        <f>""</f>
        <v/>
      </c>
      <c r="U18" t="str">
        <f>""</f>
        <v/>
      </c>
      <c r="V18" t="str">
        <f>""</f>
        <v/>
      </c>
      <c r="W18" t="str">
        <f>""</f>
        <v/>
      </c>
      <c r="X18" t="str">
        <f>""</f>
        <v/>
      </c>
      <c r="Y18" t="str">
        <f>""</f>
        <v/>
      </c>
      <c r="Z18" t="str">
        <f>""</f>
        <v/>
      </c>
      <c r="AA18" t="str">
        <f>""</f>
        <v/>
      </c>
      <c r="AB18" t="str">
        <f>""</f>
        <v/>
      </c>
      <c r="AC18" t="str">
        <f>""</f>
        <v/>
      </c>
      <c r="AD18" t="str">
        <f>""</f>
        <v/>
      </c>
      <c r="AE18" t="str">
        <f>""</f>
        <v/>
      </c>
      <c r="AF18" t="str">
        <f>""</f>
        <v/>
      </c>
      <c r="AG18" t="str">
        <f>""</f>
        <v/>
      </c>
      <c r="AH18" t="str">
        <f>""</f>
        <v/>
      </c>
      <c r="AI18" t="str">
        <f>""</f>
        <v/>
      </c>
      <c r="AJ18" t="str">
        <f>""</f>
        <v/>
      </c>
      <c r="AK18" t="str">
        <f>""</f>
        <v/>
      </c>
      <c r="AL18" t="str">
        <f>""</f>
        <v/>
      </c>
      <c r="AM18" t="str">
        <f>""</f>
        <v/>
      </c>
      <c r="AN18" t="str">
        <f>""</f>
        <v/>
      </c>
      <c r="AO18" t="str">
        <f>""</f>
        <v/>
      </c>
      <c r="AP18" t="str">
        <f>""</f>
        <v/>
      </c>
      <c r="AQ18" t="str">
        <f>""</f>
        <v/>
      </c>
      <c r="AR18" t="str">
        <f>""</f>
        <v/>
      </c>
      <c r="AS18" t="str">
        <f>""</f>
        <v/>
      </c>
      <c r="AT18" t="str">
        <f>""</f>
        <v/>
      </c>
      <c r="AU18" t="str">
        <f>""</f>
        <v/>
      </c>
      <c r="AV18" t="str">
        <f>""</f>
        <v/>
      </c>
      <c r="AW18" t="str">
        <f>""</f>
        <v/>
      </c>
      <c r="AX18" t="str">
        <f>""</f>
        <v/>
      </c>
      <c r="AY18" t="str">
        <f>""</f>
        <v/>
      </c>
      <c r="AZ18" t="str">
        <f>""</f>
        <v/>
      </c>
      <c r="BA18" t="str">
        <f>""</f>
        <v/>
      </c>
      <c r="BB18" t="str">
        <f>""</f>
        <v/>
      </c>
      <c r="BC18" t="str">
        <f>""</f>
        <v/>
      </c>
      <c r="BD18" t="str">
        <f>""</f>
        <v/>
      </c>
      <c r="BE18" t="str">
        <f>""</f>
        <v/>
      </c>
      <c r="BF18" t="str">
        <f>""</f>
        <v/>
      </c>
      <c r="BG18" t="str">
        <f>""</f>
        <v/>
      </c>
      <c r="BH18" t="str">
        <f>""</f>
        <v/>
      </c>
      <c r="BI18" t="str">
        <f>""</f>
        <v/>
      </c>
      <c r="BJ18" t="str">
        <f>""</f>
        <v/>
      </c>
      <c r="BK18" t="str">
        <f>""</f>
        <v/>
      </c>
      <c r="BL18" t="str">
        <f>""</f>
        <v/>
      </c>
      <c r="BM18" t="str">
        <f>""</f>
        <v/>
      </c>
      <c r="BN18" t="str">
        <f>""</f>
        <v/>
      </c>
      <c r="BO18" t="str">
        <f>""</f>
        <v/>
      </c>
      <c r="BP18" t="str">
        <f>""</f>
        <v/>
      </c>
      <c r="BQ18" t="str">
        <f>""</f>
        <v/>
      </c>
      <c r="BR18" t="str">
        <f>""</f>
        <v/>
      </c>
      <c r="BS18" t="str">
        <f>""</f>
        <v/>
      </c>
      <c r="BT18" t="str">
        <f>""</f>
        <v/>
      </c>
      <c r="BU18" t="str">
        <f>""</f>
        <v/>
      </c>
      <c r="BV18" t="str">
        <f>""</f>
        <v/>
      </c>
      <c r="BW18" t="str">
        <f>""</f>
        <v/>
      </c>
      <c r="BX18" t="str">
        <f>""</f>
        <v/>
      </c>
      <c r="BY18" t="str">
        <f>""</f>
        <v/>
      </c>
      <c r="BZ18" t="str">
        <f>""</f>
        <v/>
      </c>
      <c r="CA18" t="str">
        <f>""</f>
        <v/>
      </c>
      <c r="CB18" t="str">
        <f>""</f>
        <v/>
      </c>
      <c r="CC18" t="str">
        <f>""</f>
        <v/>
      </c>
      <c r="CD18" t="str">
        <f>""</f>
        <v/>
      </c>
      <c r="CE18" t="str">
        <f>""</f>
        <v/>
      </c>
      <c r="CF18" t="str">
        <f>""</f>
        <v/>
      </c>
      <c r="CG18" t="str">
        <f>""</f>
        <v/>
      </c>
      <c r="CH18" t="str">
        <f>""</f>
        <v/>
      </c>
      <c r="CI18" t="str">
        <f>""</f>
        <v/>
      </c>
      <c r="CJ18" t="str">
        <f>""</f>
        <v/>
      </c>
      <c r="CK18" t="str">
        <f>""</f>
        <v/>
      </c>
      <c r="CL18" t="str">
        <f>""</f>
        <v/>
      </c>
      <c r="CM18" t="str">
        <f>""</f>
        <v/>
      </c>
      <c r="CN18" t="str">
        <f>""</f>
        <v/>
      </c>
      <c r="CO18" t="str">
        <f>""</f>
        <v/>
      </c>
      <c r="CP18" t="str">
        <f>""</f>
        <v/>
      </c>
      <c r="CQ18" t="str">
        <f>""</f>
        <v/>
      </c>
      <c r="CR18" t="str">
        <f>""</f>
        <v/>
      </c>
      <c r="CS18" t="str">
        <f>""</f>
        <v/>
      </c>
      <c r="CT18" t="str">
        <f>""</f>
        <v/>
      </c>
      <c r="CU18" t="str">
        <f>""</f>
        <v/>
      </c>
      <c r="CV18" t="str">
        <f>""</f>
        <v/>
      </c>
      <c r="CW18" t="str">
        <f>""</f>
        <v/>
      </c>
      <c r="CX18" t="str">
        <f>""</f>
        <v/>
      </c>
      <c r="CY18" t="str">
        <f>""</f>
        <v/>
      </c>
      <c r="CZ18" t="str">
        <f>""</f>
        <v/>
      </c>
      <c r="DA18" t="str">
        <f>""</f>
        <v/>
      </c>
      <c r="DB18" t="str">
        <f>""</f>
        <v/>
      </c>
      <c r="DC18" t="str">
        <f>""</f>
        <v/>
      </c>
      <c r="DD18" t="str">
        <f>""</f>
        <v/>
      </c>
      <c r="DE18" t="str">
        <f>""</f>
        <v/>
      </c>
      <c r="DF18" t="str">
        <f>""</f>
        <v/>
      </c>
      <c r="DG18" t="str">
        <f>""</f>
        <v/>
      </c>
      <c r="DH18" t="str">
        <f>""</f>
        <v/>
      </c>
      <c r="DI18" t="str">
        <f>""</f>
        <v/>
      </c>
      <c r="DJ18" t="str">
        <f>""</f>
        <v/>
      </c>
      <c r="DK18" t="str">
        <f>""</f>
        <v/>
      </c>
      <c r="DL18" t="str">
        <f>""</f>
        <v/>
      </c>
      <c r="DM18" t="str">
        <f>""</f>
        <v/>
      </c>
      <c r="DN18" t="str">
        <f>""</f>
        <v/>
      </c>
      <c r="DO18" t="str">
        <f>""</f>
        <v/>
      </c>
      <c r="DP18" t="str">
        <f>""</f>
        <v/>
      </c>
      <c r="DQ18" t="str">
        <f>""</f>
        <v/>
      </c>
      <c r="DR18" t="str">
        <f>""</f>
        <v/>
      </c>
      <c r="DS18" t="str">
        <f>""</f>
        <v/>
      </c>
      <c r="DT18" t="str">
        <f>""</f>
        <v/>
      </c>
      <c r="DU18" t="str">
        <f>""</f>
        <v/>
      </c>
      <c r="DV18" t="str">
        <f>""</f>
        <v/>
      </c>
      <c r="DW18" t="str">
        <f>""</f>
        <v/>
      </c>
      <c r="DX18" t="str">
        <f>""</f>
        <v/>
      </c>
      <c r="DY18" t="str">
        <f>""</f>
        <v/>
      </c>
      <c r="DZ18" t="str">
        <f>""</f>
        <v/>
      </c>
      <c r="EA18" t="str">
        <f>""</f>
        <v/>
      </c>
      <c r="EB18" t="str">
        <f>""</f>
        <v/>
      </c>
      <c r="EC18" t="str">
        <f>""</f>
        <v/>
      </c>
      <c r="ED18" t="str">
        <f>""</f>
        <v/>
      </c>
      <c r="EE18" t="str">
        <f>""</f>
        <v/>
      </c>
      <c r="EF18" t="str">
        <f>""</f>
        <v/>
      </c>
      <c r="EG18" t="str">
        <f>""</f>
        <v/>
      </c>
      <c r="EH18" t="str">
        <f>""</f>
        <v/>
      </c>
      <c r="EI18" t="str">
        <f>""</f>
        <v/>
      </c>
      <c r="EJ18" t="str">
        <f>""</f>
        <v/>
      </c>
      <c r="EK18" t="str">
        <f>""</f>
        <v/>
      </c>
      <c r="EL18" t="str">
        <f>""</f>
        <v/>
      </c>
      <c r="EM18" t="str">
        <f>""</f>
        <v/>
      </c>
      <c r="EN18" t="str">
        <f>""</f>
        <v/>
      </c>
      <c r="EO18" t="str">
        <f>""</f>
        <v/>
      </c>
      <c r="EP18" t="str">
        <f>""</f>
        <v/>
      </c>
      <c r="EQ18" t="str">
        <f>""</f>
        <v/>
      </c>
      <c r="ER18" t="str">
        <f>""</f>
        <v/>
      </c>
      <c r="ES18" t="str">
        <f>""</f>
        <v/>
      </c>
      <c r="ET18" t="str">
        <f>""</f>
        <v/>
      </c>
      <c r="EU18" t="str">
        <f>""</f>
        <v/>
      </c>
      <c r="EV18" t="str">
        <f>""</f>
        <v/>
      </c>
      <c r="EW18" t="str">
        <f>""</f>
        <v/>
      </c>
      <c r="EX18" t="str">
        <f>""</f>
        <v/>
      </c>
      <c r="EY18" t="str">
        <f>""</f>
        <v/>
      </c>
      <c r="EZ18" t="str">
        <f>""</f>
        <v/>
      </c>
      <c r="FA18" t="str">
        <f>""</f>
        <v/>
      </c>
      <c r="FB18" t="str">
        <f>""</f>
        <v/>
      </c>
      <c r="FC18" t="str">
        <f>""</f>
        <v/>
      </c>
      <c r="FD18" t="str">
        <f>""</f>
        <v/>
      </c>
      <c r="FE18" t="str">
        <f>""</f>
        <v/>
      </c>
      <c r="FF18" t="str">
        <f>""</f>
        <v/>
      </c>
      <c r="FG18" t="str">
        <f>""</f>
        <v/>
      </c>
      <c r="FH18" t="str">
        <f>""</f>
        <v/>
      </c>
      <c r="FI18" t="str">
        <f>""</f>
        <v/>
      </c>
      <c r="FJ18" t="str">
        <f>""</f>
        <v/>
      </c>
      <c r="FK18" t="str">
        <f>""</f>
        <v/>
      </c>
      <c r="FL18" t="str">
        <f>""</f>
        <v/>
      </c>
      <c r="FM18" t="str">
        <f>""</f>
        <v/>
      </c>
      <c r="FN18" t="str">
        <f>""</f>
        <v/>
      </c>
      <c r="FO18" t="str">
        <f>""</f>
        <v/>
      </c>
      <c r="FP18" t="str">
        <f>""</f>
        <v/>
      </c>
      <c r="FQ18" t="str">
        <f>""</f>
        <v/>
      </c>
      <c r="FR18" t="str">
        <f>""</f>
        <v/>
      </c>
      <c r="FS18" t="str">
        <f>""</f>
        <v/>
      </c>
      <c r="FT18" t="str">
        <f>""</f>
        <v/>
      </c>
      <c r="FU18" t="str">
        <f>""</f>
        <v/>
      </c>
      <c r="FV18" t="str">
        <f>""</f>
        <v/>
      </c>
      <c r="FW18" t="str">
        <f>""</f>
        <v/>
      </c>
      <c r="FX18" t="str">
        <f>""</f>
        <v/>
      </c>
      <c r="FY18" t="str">
        <f>""</f>
        <v/>
      </c>
      <c r="FZ18" t="str">
        <f>""</f>
        <v/>
      </c>
      <c r="GA18" t="str">
        <f>""</f>
        <v/>
      </c>
      <c r="GB18" t="str">
        <f>""</f>
        <v/>
      </c>
      <c r="GC18" t="str">
        <f>""</f>
        <v/>
      </c>
      <c r="GD18" t="str">
        <f>""</f>
        <v/>
      </c>
      <c r="GE18" t="str">
        <f>""</f>
        <v/>
      </c>
      <c r="GF18" t="str">
        <f>""</f>
        <v/>
      </c>
      <c r="GG18" t="str">
        <f>""</f>
        <v/>
      </c>
      <c r="GH18" t="str">
        <f>""</f>
        <v/>
      </c>
      <c r="GI18" t="str">
        <f>""</f>
        <v/>
      </c>
      <c r="GJ18" t="str">
        <f>""</f>
        <v/>
      </c>
      <c r="GK18" t="str">
        <f>""</f>
        <v/>
      </c>
      <c r="GL18" t="str">
        <f>""</f>
        <v/>
      </c>
      <c r="GM18" t="str">
        <f>""</f>
        <v/>
      </c>
      <c r="GN18" t="str">
        <f>""</f>
        <v/>
      </c>
      <c r="GO18" t="str">
        <f>""</f>
        <v/>
      </c>
      <c r="GP18" t="str">
        <f>""</f>
        <v/>
      </c>
      <c r="GQ18" t="str">
        <f>""</f>
        <v/>
      </c>
    </row>
    <row r="19" spans="1:298" x14ac:dyDescent="0.2">
      <c r="A19" t="str">
        <f>"Educa√ß√£o"</f>
        <v>Educa√ß√£o</v>
      </c>
      <c r="B19" t="str">
        <f>"0.0229"</f>
        <v>0.0229</v>
      </c>
      <c r="C19" t="s">
        <v>4493</v>
      </c>
      <c r="D19" t="s">
        <v>4494</v>
      </c>
      <c r="E19" t="str">
        <f>"0.435*"</f>
        <v>0.435*</v>
      </c>
      <c r="F19" t="s">
        <v>4495</v>
      </c>
      <c r="G19" t="s">
        <v>4496</v>
      </c>
      <c r="H19" t="str">
        <f>"0.749***"</f>
        <v>0.749***</v>
      </c>
      <c r="I19" t="s">
        <v>4497</v>
      </c>
      <c r="J19" t="s">
        <v>4498</v>
      </c>
      <c r="K19" t="str">
        <f>"0.0297"</f>
        <v>0.0297</v>
      </c>
      <c r="L19" t="s">
        <v>4499</v>
      </c>
      <c r="M19" t="s">
        <v>4500</v>
      </c>
      <c r="N19" t="str">
        <f>"0.860***"</f>
        <v>0.860***</v>
      </c>
      <c r="O19" t="s">
        <v>4501</v>
      </c>
      <c r="P19" t="s">
        <v>4502</v>
      </c>
      <c r="Q19" t="str">
        <f>"0.273**"</f>
        <v>0.273**</v>
      </c>
      <c r="R19" t="s">
        <v>2055</v>
      </c>
      <c r="S19" t="s">
        <v>4503</v>
      </c>
      <c r="T19" t="str">
        <f>"0.465***"</f>
        <v>0.465***</v>
      </c>
      <c r="U19" t="s">
        <v>4504</v>
      </c>
      <c r="V19" t="s">
        <v>4505</v>
      </c>
      <c r="W19" t="str">
        <f>"0.356***"</f>
        <v>0.356***</v>
      </c>
      <c r="X19" t="s">
        <v>4186</v>
      </c>
      <c r="Y19" t="s">
        <v>4506</v>
      </c>
      <c r="Z19" t="str">
        <f>"0.194**"</f>
        <v>0.194**</v>
      </c>
      <c r="AA19" t="s">
        <v>2002</v>
      </c>
      <c r="AB19" t="s">
        <v>4507</v>
      </c>
      <c r="AC19" t="str">
        <f>"0.450***"</f>
        <v>0.450***</v>
      </c>
      <c r="AD19" t="s">
        <v>4508</v>
      </c>
      <c r="AE19" t="s">
        <v>4509</v>
      </c>
      <c r="AF19" t="str">
        <f>"0.361***"</f>
        <v>0.361***</v>
      </c>
      <c r="AG19" t="s">
        <v>4510</v>
      </c>
      <c r="AH19" t="s">
        <v>4511</v>
      </c>
      <c r="AI19" t="str">
        <f>"0.0209"</f>
        <v>0.0209</v>
      </c>
      <c r="AJ19" t="s">
        <v>4512</v>
      </c>
      <c r="AK19" t="s">
        <v>4513</v>
      </c>
      <c r="AL19" t="str">
        <f>"0.0889*"</f>
        <v>0.0889*</v>
      </c>
      <c r="AM19" t="s">
        <v>1663</v>
      </c>
      <c r="AN19" t="s">
        <v>4514</v>
      </c>
      <c r="AO19" t="str">
        <f>"0.0840**"</f>
        <v>0.0840**</v>
      </c>
      <c r="AP19" t="s">
        <v>1656</v>
      </c>
      <c r="AQ19" t="s">
        <v>4393</v>
      </c>
      <c r="AR19" t="str">
        <f>"0.114***"</f>
        <v>0.114***</v>
      </c>
      <c r="AS19" t="s">
        <v>1882</v>
      </c>
      <c r="AT19" t="s">
        <v>4515</v>
      </c>
      <c r="AU19" t="str">
        <f>"0.108***"</f>
        <v>0.108***</v>
      </c>
      <c r="AV19" t="s">
        <v>4516</v>
      </c>
      <c r="AW19" t="s">
        <v>3984</v>
      </c>
      <c r="AX19" t="str">
        <f>"0.0448*"</f>
        <v>0.0448*</v>
      </c>
      <c r="AY19" t="s">
        <v>1469</v>
      </c>
      <c r="AZ19" t="s">
        <v>2921</v>
      </c>
      <c r="BA19" t="str">
        <f>"0.0164"</f>
        <v>0.0164</v>
      </c>
      <c r="BB19" t="s">
        <v>1105</v>
      </c>
      <c r="BC19" t="s">
        <v>511</v>
      </c>
      <c r="BD19" t="str">
        <f>"-0.0160"</f>
        <v>-0.0160</v>
      </c>
      <c r="BE19" t="s">
        <v>4517</v>
      </c>
      <c r="BF19" t="s">
        <v>988</v>
      </c>
      <c r="BG19" t="str">
        <f>"-0.0177"</f>
        <v>-0.0177</v>
      </c>
      <c r="BH19" t="s">
        <v>872</v>
      </c>
      <c r="BI19" t="s">
        <v>740</v>
      </c>
      <c r="BJ19" t="str">
        <f>"-0.0111"</f>
        <v>-0.0111</v>
      </c>
      <c r="BK19" t="s">
        <v>535</v>
      </c>
      <c r="BL19" t="s">
        <v>2875</v>
      </c>
      <c r="BM19" t="str">
        <f>"-0.0513***"</f>
        <v>-0.0513***</v>
      </c>
      <c r="BN19" t="s">
        <v>4518</v>
      </c>
      <c r="BO19" t="s">
        <v>4519</v>
      </c>
      <c r="BP19" t="str">
        <f>"-0.0454**"</f>
        <v>-0.0454**</v>
      </c>
      <c r="BQ19" t="s">
        <v>4520</v>
      </c>
      <c r="BR19" t="s">
        <v>4521</v>
      </c>
      <c r="BS19" t="str">
        <f>"-0.0399**"</f>
        <v>-0.0399**</v>
      </c>
      <c r="BT19" t="s">
        <v>4522</v>
      </c>
      <c r="BU19" t="s">
        <v>1395</v>
      </c>
      <c r="BV19" t="str">
        <f>"-0.0355*"</f>
        <v>-0.0355*</v>
      </c>
      <c r="BW19" t="s">
        <v>4523</v>
      </c>
      <c r="BX19" t="s">
        <v>3292</v>
      </c>
      <c r="BY19" t="str">
        <f>"-0.0337*"</f>
        <v>-0.0337*</v>
      </c>
      <c r="BZ19" t="s">
        <v>879</v>
      </c>
      <c r="CA19" t="s">
        <v>3565</v>
      </c>
      <c r="CB19" t="str">
        <f>"-0.0256"</f>
        <v>-0.0256</v>
      </c>
      <c r="CC19" t="s">
        <v>4524</v>
      </c>
      <c r="CD19" t="s">
        <v>912</v>
      </c>
      <c r="CE19" t="str">
        <f>"-0.0184"</f>
        <v>-0.0184</v>
      </c>
      <c r="CF19" t="s">
        <v>475</v>
      </c>
      <c r="CG19" t="s">
        <v>4256</v>
      </c>
      <c r="CH19" t="str">
        <f>"-0.0187"</f>
        <v>-0.0187</v>
      </c>
      <c r="CI19" t="s">
        <v>4525</v>
      </c>
      <c r="CJ19" t="s">
        <v>1082</v>
      </c>
      <c r="CK19" t="str">
        <f>"-0.0198"</f>
        <v>-0.0198</v>
      </c>
      <c r="CL19" t="s">
        <v>3578</v>
      </c>
      <c r="CM19" t="s">
        <v>597</v>
      </c>
      <c r="CN19" t="str">
        <f>"-0.0180"</f>
        <v>-0.0180</v>
      </c>
      <c r="CO19" t="s">
        <v>2810</v>
      </c>
      <c r="CP19" t="s">
        <v>737</v>
      </c>
      <c r="CQ19" t="str">
        <f>"-0.0129"</f>
        <v>-0.0129</v>
      </c>
      <c r="CR19" t="s">
        <v>4526</v>
      </c>
      <c r="CS19" t="s">
        <v>1494</v>
      </c>
      <c r="CT19" t="str">
        <f>"-0.00895"</f>
        <v>-0.00895</v>
      </c>
      <c r="CU19" t="s">
        <v>861</v>
      </c>
      <c r="CV19" t="s">
        <v>956</v>
      </c>
      <c r="CW19" t="str">
        <f>"-0.00639"</f>
        <v>-0.00639</v>
      </c>
      <c r="CX19" t="s">
        <v>3554</v>
      </c>
      <c r="CY19" t="s">
        <v>977</v>
      </c>
      <c r="CZ19" t="str">
        <f>"0.0130"</f>
        <v>0.0130</v>
      </c>
      <c r="DA19" t="s">
        <v>557</v>
      </c>
      <c r="DB19" t="s">
        <v>520</v>
      </c>
      <c r="DC19" t="str">
        <f>"0.0204"</f>
        <v>0.0204</v>
      </c>
      <c r="DD19" t="s">
        <v>3300</v>
      </c>
      <c r="DE19" t="s">
        <v>500</v>
      </c>
      <c r="DF19" t="str">
        <f>"0.0122"</f>
        <v>0.0122</v>
      </c>
      <c r="DG19" t="s">
        <v>4527</v>
      </c>
      <c r="DH19" t="s">
        <v>3677</v>
      </c>
      <c r="DI19" t="str">
        <f>"-0.00494"</f>
        <v>-0.00494</v>
      </c>
      <c r="DJ19" t="s">
        <v>4528</v>
      </c>
      <c r="DK19" t="s">
        <v>549</v>
      </c>
      <c r="DL19" t="str">
        <f>"-0.0178"</f>
        <v>-0.0178</v>
      </c>
      <c r="DM19" t="s">
        <v>3046</v>
      </c>
      <c r="DN19" t="s">
        <v>972</v>
      </c>
      <c r="DO19" t="str">
        <f>"-0.0311"</f>
        <v>-0.0311</v>
      </c>
      <c r="DP19" t="s">
        <v>3685</v>
      </c>
      <c r="DQ19" t="s">
        <v>913</v>
      </c>
      <c r="DR19" t="str">
        <f>"-0.0355*"</f>
        <v>-0.0355*</v>
      </c>
      <c r="DS19" t="s">
        <v>4522</v>
      </c>
      <c r="DT19" t="s">
        <v>1506</v>
      </c>
      <c r="DU19" t="str">
        <f>"-0.0502**"</f>
        <v>-0.0502**</v>
      </c>
      <c r="DV19" t="s">
        <v>4529</v>
      </c>
      <c r="DW19" t="s">
        <v>4530</v>
      </c>
      <c r="DX19" t="str">
        <f>"-0.0535**"</f>
        <v>-0.0535**</v>
      </c>
      <c r="DY19" t="s">
        <v>4531</v>
      </c>
      <c r="DZ19" t="s">
        <v>4532</v>
      </c>
      <c r="EA19" t="str">
        <f>"-0.0541**"</f>
        <v>-0.0541**</v>
      </c>
      <c r="EB19" t="s">
        <v>4533</v>
      </c>
      <c r="EC19" t="s">
        <v>4268</v>
      </c>
      <c r="ED19" t="str">
        <f>"-0.0552***"</f>
        <v>-0.0552***</v>
      </c>
      <c r="EE19" t="s">
        <v>1185</v>
      </c>
      <c r="EF19" t="s">
        <v>3022</v>
      </c>
      <c r="EG19" t="str">
        <f>"-0.0496**"</f>
        <v>-0.0496**</v>
      </c>
      <c r="EH19" t="s">
        <v>1187</v>
      </c>
      <c r="EI19" t="s">
        <v>4530</v>
      </c>
      <c r="EJ19" t="str">
        <f>"-0.0468**"</f>
        <v>-0.0468**</v>
      </c>
      <c r="EK19" t="s">
        <v>4534</v>
      </c>
      <c r="EL19" t="s">
        <v>4535</v>
      </c>
      <c r="EM19" t="str">
        <f>"-0.0583***"</f>
        <v>-0.0583***</v>
      </c>
      <c r="EN19" t="s">
        <v>4536</v>
      </c>
      <c r="EO19" t="s">
        <v>4537</v>
      </c>
      <c r="EP19" t="str">
        <f>"-0.0560***"</f>
        <v>-0.0560***</v>
      </c>
      <c r="EQ19" t="s">
        <v>4538</v>
      </c>
      <c r="ER19" t="s">
        <v>4539</v>
      </c>
      <c r="ES19" t="str">
        <f>"-0.0680***"</f>
        <v>-0.0680***</v>
      </c>
      <c r="ET19" t="s">
        <v>4540</v>
      </c>
      <c r="EU19" t="s">
        <v>4541</v>
      </c>
      <c r="EV19" t="str">
        <f>"-0.0700***"</f>
        <v>-0.0700***</v>
      </c>
      <c r="EW19" t="s">
        <v>4542</v>
      </c>
      <c r="EX19" t="s">
        <v>4543</v>
      </c>
      <c r="EY19" t="str">
        <f>"-0.0982***"</f>
        <v>-0.0982***</v>
      </c>
      <c r="EZ19" t="s">
        <v>4544</v>
      </c>
      <c r="FA19" t="s">
        <v>3056</v>
      </c>
      <c r="FB19" t="str">
        <f>"-0.129***"</f>
        <v>-0.129***</v>
      </c>
      <c r="FC19" t="s">
        <v>3885</v>
      </c>
      <c r="FD19" t="s">
        <v>4545</v>
      </c>
      <c r="FE19" t="str">
        <f>"-0.149***"</f>
        <v>-0.149***</v>
      </c>
      <c r="FF19" t="s">
        <v>4546</v>
      </c>
      <c r="FG19" t="s">
        <v>4547</v>
      </c>
      <c r="FH19" t="str">
        <f>"-0.128***"</f>
        <v>-0.128***</v>
      </c>
      <c r="FI19" t="s">
        <v>4548</v>
      </c>
      <c r="FJ19" t="s">
        <v>4549</v>
      </c>
      <c r="FK19" t="str">
        <f>"-0.132***"</f>
        <v>-0.132***</v>
      </c>
      <c r="FL19" t="s">
        <v>4550</v>
      </c>
      <c r="FM19" t="s">
        <v>4551</v>
      </c>
      <c r="FN19" t="str">
        <f>"-0.115***"</f>
        <v>-0.115***</v>
      </c>
      <c r="FO19" t="s">
        <v>4552</v>
      </c>
      <c r="FP19" t="s">
        <v>4553</v>
      </c>
      <c r="FQ19" t="str">
        <f>"-0.0912***"</f>
        <v>-0.0912***</v>
      </c>
      <c r="FR19" t="s">
        <v>4554</v>
      </c>
      <c r="FS19" t="s">
        <v>3078</v>
      </c>
      <c r="FT19" t="str">
        <f>"-0.0809***"</f>
        <v>-0.0809***</v>
      </c>
      <c r="FU19" t="s">
        <v>4555</v>
      </c>
      <c r="FV19" t="s">
        <v>4556</v>
      </c>
      <c r="FW19" t="str">
        <f>"-0.0591**"</f>
        <v>-0.0591**</v>
      </c>
      <c r="FX19" t="s">
        <v>4557</v>
      </c>
      <c r="FY19" t="s">
        <v>3475</v>
      </c>
      <c r="FZ19" t="str">
        <f>"-0.0538**"</f>
        <v>-0.0538**</v>
      </c>
      <c r="GA19" t="s">
        <v>4558</v>
      </c>
      <c r="GB19" t="s">
        <v>4559</v>
      </c>
      <c r="GC19" t="str">
        <f>"-0.0828***"</f>
        <v>-0.0828***</v>
      </c>
      <c r="GD19" t="s">
        <v>1174</v>
      </c>
      <c r="GE19" t="s">
        <v>4560</v>
      </c>
      <c r="GF19" t="str">
        <f>"-0.119***"</f>
        <v>-0.119***</v>
      </c>
      <c r="GG19" t="s">
        <v>4561</v>
      </c>
      <c r="GH19" t="s">
        <v>4562</v>
      </c>
      <c r="GI19" t="str">
        <f>"-0.166***"</f>
        <v>-0.166***</v>
      </c>
      <c r="GJ19" t="s">
        <v>4563</v>
      </c>
      <c r="GK19" t="s">
        <v>4564</v>
      </c>
      <c r="GL19" t="str">
        <f>"-0.201***"</f>
        <v>-0.201***</v>
      </c>
      <c r="GM19" t="s">
        <v>4565</v>
      </c>
      <c r="GN19" t="s">
        <v>4566</v>
      </c>
      <c r="GO19" t="str">
        <f>"-0.216***"</f>
        <v>-0.216***</v>
      </c>
      <c r="GP19" t="s">
        <v>4567</v>
      </c>
      <c r="GQ19" t="s">
        <v>4568</v>
      </c>
      <c r="GR19" t="str">
        <f>"-0.214***"</f>
        <v>-0.214***</v>
      </c>
      <c r="GS19" t="s">
        <v>4569</v>
      </c>
      <c r="GT19" t="s">
        <v>4570</v>
      </c>
      <c r="GU19" t="str">
        <f>"-0.225***"</f>
        <v>-0.225***</v>
      </c>
      <c r="GV19" t="s">
        <v>4571</v>
      </c>
      <c r="GW19" t="s">
        <v>4572</v>
      </c>
      <c r="GX19" t="str">
        <f>"-0.233***"</f>
        <v>-0.233***</v>
      </c>
      <c r="GY19" t="s">
        <v>4573</v>
      </c>
      <c r="GZ19" t="s">
        <v>4574</v>
      </c>
      <c r="HA19" t="str">
        <f>"-0.196***"</f>
        <v>-0.196***</v>
      </c>
      <c r="HB19" t="s">
        <v>4575</v>
      </c>
      <c r="HC19" t="s">
        <v>4576</v>
      </c>
      <c r="HD19" t="str">
        <f>"-0.116***"</f>
        <v>-0.116***</v>
      </c>
      <c r="HE19" t="s">
        <v>4577</v>
      </c>
      <c r="HF19" t="s">
        <v>4578</v>
      </c>
      <c r="HG19" t="str">
        <f>"-0.0879***"</f>
        <v>-0.0879***</v>
      </c>
      <c r="HH19" t="s">
        <v>4579</v>
      </c>
      <c r="HI19" t="s">
        <v>4580</v>
      </c>
      <c r="HJ19" t="str">
        <f>"-0.117***"</f>
        <v>-0.117***</v>
      </c>
      <c r="HK19" t="s">
        <v>4581</v>
      </c>
      <c r="HL19" t="s">
        <v>4582</v>
      </c>
      <c r="HM19" t="str">
        <f>"-0.177***"</f>
        <v>-0.177***</v>
      </c>
      <c r="HN19" t="s">
        <v>4583</v>
      </c>
      <c r="HO19" t="s">
        <v>4584</v>
      </c>
      <c r="HP19" t="str">
        <f>"-0.196***"</f>
        <v>-0.196***</v>
      </c>
      <c r="HQ19" t="s">
        <v>4585</v>
      </c>
      <c r="HR19" t="s">
        <v>4586</v>
      </c>
      <c r="HS19" t="str">
        <f>"-0.212***"</f>
        <v>-0.212***</v>
      </c>
      <c r="HT19" t="s">
        <v>4587</v>
      </c>
      <c r="HU19" t="s">
        <v>4588</v>
      </c>
      <c r="HV19" t="str">
        <f>"-0.186***"</f>
        <v>-0.186***</v>
      </c>
      <c r="HW19" t="s">
        <v>4589</v>
      </c>
      <c r="HX19" t="s">
        <v>3853</v>
      </c>
      <c r="HY19" t="str">
        <f>"-0.229***"</f>
        <v>-0.229***</v>
      </c>
      <c r="HZ19" t="s">
        <v>4590</v>
      </c>
      <c r="IA19" t="s">
        <v>4591</v>
      </c>
      <c r="IB19" t="str">
        <f>"-0.286***"</f>
        <v>-0.286***</v>
      </c>
      <c r="IC19" t="s">
        <v>4592</v>
      </c>
      <c r="ID19" t="s">
        <v>4593</v>
      </c>
      <c r="IE19" t="str">
        <f>"-0.334***"</f>
        <v>-0.334***</v>
      </c>
      <c r="IF19" t="s">
        <v>4594</v>
      </c>
      <c r="IG19" t="s">
        <v>4595</v>
      </c>
      <c r="IH19" t="str">
        <f>"-0.379***"</f>
        <v>-0.379***</v>
      </c>
      <c r="II19" t="s">
        <v>4596</v>
      </c>
      <c r="IJ19" t="s">
        <v>4597</v>
      </c>
      <c r="IK19" t="str">
        <f>"-0.347***"</f>
        <v>-0.347***</v>
      </c>
      <c r="IL19" t="s">
        <v>4598</v>
      </c>
      <c r="IM19" t="s">
        <v>4599</v>
      </c>
      <c r="IN19" t="str">
        <f>"-0.213***"</f>
        <v>-0.213***</v>
      </c>
      <c r="IO19" t="s">
        <v>4600</v>
      </c>
      <c r="IP19" t="s">
        <v>4331</v>
      </c>
      <c r="IQ19" t="str">
        <f>"-0.124***"</f>
        <v>-0.124***</v>
      </c>
      <c r="IR19" t="s">
        <v>4601</v>
      </c>
      <c r="IS19" t="s">
        <v>4602</v>
      </c>
      <c r="IT19" t="str">
        <f>"-0.136***"</f>
        <v>-0.136***</v>
      </c>
      <c r="IU19" t="s">
        <v>4603</v>
      </c>
      <c r="IV19" t="s">
        <v>4604</v>
      </c>
      <c r="IW19" t="str">
        <f>"-0.400***"</f>
        <v>-0.400***</v>
      </c>
      <c r="IX19" t="s">
        <v>4605</v>
      </c>
      <c r="IY19" t="s">
        <v>4606</v>
      </c>
      <c r="IZ19" t="str">
        <f>"-0.425***"</f>
        <v>-0.425***</v>
      </c>
      <c r="JA19" t="s">
        <v>4607</v>
      </c>
      <c r="JB19" t="s">
        <v>4608</v>
      </c>
      <c r="JC19" t="str">
        <f>"-0.415***"</f>
        <v>-0.415***</v>
      </c>
      <c r="JD19" t="s">
        <v>4609</v>
      </c>
      <c r="JE19" t="s">
        <v>4610</v>
      </c>
      <c r="JF19" t="str">
        <f>"-0.359***"</f>
        <v>-0.359***</v>
      </c>
      <c r="JG19" t="s">
        <v>4611</v>
      </c>
      <c r="JH19" t="s">
        <v>4612</v>
      </c>
      <c r="JI19" t="str">
        <f>"-0.363***"</f>
        <v>-0.363***</v>
      </c>
      <c r="JJ19" t="s">
        <v>4613</v>
      </c>
      <c r="JK19" t="s">
        <v>4614</v>
      </c>
      <c r="JL19" t="str">
        <f>"-0.364***"</f>
        <v>-0.364***</v>
      </c>
      <c r="JM19" t="s">
        <v>4615</v>
      </c>
      <c r="JN19" t="s">
        <v>4616</v>
      </c>
      <c r="JO19" t="str">
        <f>"-0.503***"</f>
        <v>-0.503***</v>
      </c>
      <c r="JP19" t="s">
        <v>4617</v>
      </c>
      <c r="JQ19" t="s">
        <v>4618</v>
      </c>
      <c r="JR19" t="str">
        <f>"-0.430***"</f>
        <v>-0.430***</v>
      </c>
      <c r="JS19" t="s">
        <v>4619</v>
      </c>
      <c r="JT19" t="s">
        <v>4620</v>
      </c>
      <c r="JU19" t="str">
        <f>"-0.323***"</f>
        <v>-0.323***</v>
      </c>
      <c r="JV19" t="s">
        <v>4621</v>
      </c>
      <c r="JW19" t="s">
        <v>4622</v>
      </c>
      <c r="JX19" t="str">
        <f>"-0.413***"</f>
        <v>-0.413***</v>
      </c>
      <c r="JY19" t="s">
        <v>4623</v>
      </c>
      <c r="JZ19" t="s">
        <v>4624</v>
      </c>
      <c r="KA19" t="str">
        <f>"-0.244***"</f>
        <v>-0.244***</v>
      </c>
      <c r="KB19" t="s">
        <v>4625</v>
      </c>
      <c r="KC19" t="s">
        <v>4626</v>
      </c>
      <c r="KD19" t="str">
        <f>"-0.451***"</f>
        <v>-0.451***</v>
      </c>
      <c r="KE19" t="s">
        <v>4627</v>
      </c>
      <c r="KF19" t="s">
        <v>4628</v>
      </c>
      <c r="KG19" t="str">
        <f>"-0.279***"</f>
        <v>-0.279***</v>
      </c>
      <c r="KH19" t="s">
        <v>4629</v>
      </c>
      <c r="KI19" t="s">
        <v>4630</v>
      </c>
      <c r="KJ19" t="str">
        <f>"-0.302***"</f>
        <v>-0.302***</v>
      </c>
      <c r="KK19" t="s">
        <v>4631</v>
      </c>
      <c r="KL19" t="s">
        <v>4632</v>
      </c>
    </row>
    <row r="20" spans="1:298" x14ac:dyDescent="0.2">
      <c r="A20" t="str">
        <f>"Experi√™ncia"</f>
        <v>Experi√™ncia</v>
      </c>
      <c r="B20" t="str">
        <f>"-0.115"</f>
        <v>-0.115</v>
      </c>
      <c r="C20" t="s">
        <v>4633</v>
      </c>
      <c r="D20" t="s">
        <v>791</v>
      </c>
      <c r="E20" t="str">
        <f>"-0.0800"</f>
        <v>-0.0800</v>
      </c>
      <c r="F20" t="s">
        <v>4634</v>
      </c>
      <c r="G20" t="s">
        <v>1213</v>
      </c>
      <c r="H20" t="str">
        <f>"-0.0705"</f>
        <v>-0.0705</v>
      </c>
      <c r="I20" t="s">
        <v>4635</v>
      </c>
      <c r="J20" t="s">
        <v>1737</v>
      </c>
      <c r="K20" t="str">
        <f>"-0.237***"</f>
        <v>-0.237***</v>
      </c>
      <c r="L20" t="s">
        <v>4636</v>
      </c>
      <c r="M20" t="s">
        <v>4637</v>
      </c>
      <c r="N20" t="str">
        <f>"0.00203"</f>
        <v>0.00203</v>
      </c>
      <c r="O20" t="s">
        <v>4638</v>
      </c>
      <c r="P20" t="s">
        <v>4639</v>
      </c>
      <c r="Q20" t="str">
        <f>"-0.170***"</f>
        <v>-0.170***</v>
      </c>
      <c r="R20" t="s">
        <v>4640</v>
      </c>
      <c r="S20" t="s">
        <v>4641</v>
      </c>
      <c r="T20" t="str">
        <f>"-0.0675"</f>
        <v>-0.0675</v>
      </c>
      <c r="U20" t="s">
        <v>3371</v>
      </c>
      <c r="V20" t="s">
        <v>1494</v>
      </c>
      <c r="W20" t="str">
        <f>"-0.0479"</f>
        <v>-0.0479</v>
      </c>
      <c r="X20" t="s">
        <v>4642</v>
      </c>
      <c r="Y20" t="s">
        <v>4643</v>
      </c>
      <c r="Z20" t="str">
        <f>"-0.0872*"</f>
        <v>-0.0872*</v>
      </c>
      <c r="AA20" t="s">
        <v>4581</v>
      </c>
      <c r="AB20" t="s">
        <v>835</v>
      </c>
      <c r="AC20" t="str">
        <f>"0.0360"</f>
        <v>0.0360</v>
      </c>
      <c r="AD20" t="s">
        <v>1165</v>
      </c>
      <c r="AE20" t="s">
        <v>2013</v>
      </c>
      <c r="AF20" t="str">
        <f>"0.0607"</f>
        <v>0.0607</v>
      </c>
      <c r="AG20" t="s">
        <v>1515</v>
      </c>
      <c r="AH20" t="s">
        <v>4644</v>
      </c>
      <c r="AI20" t="str">
        <f>"-0.0652**"</f>
        <v>-0.0652**</v>
      </c>
      <c r="AJ20" t="s">
        <v>4645</v>
      </c>
      <c r="AK20" t="s">
        <v>1329</v>
      </c>
      <c r="AL20" t="str">
        <f>"-0.00332"</f>
        <v>-0.00332</v>
      </c>
      <c r="AM20" t="s">
        <v>952</v>
      </c>
      <c r="AN20" t="s">
        <v>1061</v>
      </c>
      <c r="AO20" t="str">
        <f>"0.00248"</f>
        <v>0.00248</v>
      </c>
      <c r="AP20" t="s">
        <v>4646</v>
      </c>
      <c r="AQ20" t="s">
        <v>1630</v>
      </c>
      <c r="AR20" t="str">
        <f>"0.0153"</f>
        <v>0.0153</v>
      </c>
      <c r="AS20" t="s">
        <v>3019</v>
      </c>
      <c r="AT20" t="s">
        <v>484</v>
      </c>
      <c r="AU20" t="str">
        <f>"0.0147"</f>
        <v>0.0147</v>
      </c>
      <c r="AV20" t="s">
        <v>1385</v>
      </c>
      <c r="AW20" t="s">
        <v>3677</v>
      </c>
      <c r="AX20" t="str">
        <f>"-0.0160"</f>
        <v>-0.0160</v>
      </c>
      <c r="AY20" t="s">
        <v>4647</v>
      </c>
      <c r="AZ20" t="s">
        <v>1553</v>
      </c>
      <c r="BA20" t="str">
        <f>"-0.0202"</f>
        <v>-0.0202</v>
      </c>
      <c r="BB20" t="s">
        <v>4074</v>
      </c>
      <c r="BC20" t="s">
        <v>1467</v>
      </c>
      <c r="BD20" t="str">
        <f>"-0.0265*"</f>
        <v>-0.0265*</v>
      </c>
      <c r="BE20" t="s">
        <v>3526</v>
      </c>
      <c r="BF20" t="s">
        <v>825</v>
      </c>
      <c r="BG20" t="str">
        <f>"-0.0133"</f>
        <v>-0.0133</v>
      </c>
      <c r="BH20" t="s">
        <v>1366</v>
      </c>
      <c r="BI20" t="s">
        <v>1008</v>
      </c>
      <c r="BJ20" t="str">
        <f>"-0.00743"</f>
        <v>-0.00743</v>
      </c>
      <c r="BK20" t="s">
        <v>856</v>
      </c>
      <c r="BL20" t="s">
        <v>1674</v>
      </c>
      <c r="BM20" t="str">
        <f>"-0.0341**"</f>
        <v>-0.0341**</v>
      </c>
      <c r="BN20" t="s">
        <v>4648</v>
      </c>
      <c r="BO20" t="s">
        <v>4649</v>
      </c>
      <c r="BP20" t="str">
        <f>"-0.0354***"</f>
        <v>-0.0354***</v>
      </c>
      <c r="BQ20" t="s">
        <v>3025</v>
      </c>
      <c r="BR20" t="s">
        <v>4650</v>
      </c>
      <c r="BS20" t="str">
        <f>"-0.0231*"</f>
        <v>-0.0231*</v>
      </c>
      <c r="BT20" t="s">
        <v>596</v>
      </c>
      <c r="BU20" t="s">
        <v>1201</v>
      </c>
      <c r="BV20" t="str">
        <f>"-0.0145"</f>
        <v>-0.0145</v>
      </c>
      <c r="BW20" t="s">
        <v>858</v>
      </c>
      <c r="BX20" t="s">
        <v>613</v>
      </c>
      <c r="BY20" t="str">
        <f>"-0.00811"</f>
        <v>-0.00811</v>
      </c>
      <c r="BZ20" t="s">
        <v>4651</v>
      </c>
      <c r="CA20" t="s">
        <v>739</v>
      </c>
      <c r="CB20" t="str">
        <f>"-0.00217"</f>
        <v>-0.00217</v>
      </c>
      <c r="CC20" t="s">
        <v>4652</v>
      </c>
      <c r="CD20" t="s">
        <v>988</v>
      </c>
      <c r="CE20" t="str">
        <f>"0.00260"</f>
        <v>0.00260</v>
      </c>
      <c r="CF20" t="s">
        <v>803</v>
      </c>
      <c r="CG20" t="s">
        <v>1516</v>
      </c>
      <c r="CH20" t="str">
        <f>"0.00623"</f>
        <v>0.00623</v>
      </c>
      <c r="CI20" t="s">
        <v>3669</v>
      </c>
      <c r="CJ20" t="s">
        <v>1032</v>
      </c>
      <c r="CK20" t="str">
        <f>"0.0124"</f>
        <v>0.0124</v>
      </c>
      <c r="CL20" t="s">
        <v>632</v>
      </c>
      <c r="CM20" t="s">
        <v>1033</v>
      </c>
      <c r="CN20" t="str">
        <f>"0.0278*"</f>
        <v>0.0278*</v>
      </c>
      <c r="CO20" t="s">
        <v>2822</v>
      </c>
      <c r="CP20" t="s">
        <v>515</v>
      </c>
      <c r="CQ20" t="str">
        <f>"0.0340**"</f>
        <v>0.0340**</v>
      </c>
      <c r="CR20" t="s">
        <v>1539</v>
      </c>
      <c r="CS20" t="s">
        <v>1903</v>
      </c>
      <c r="CT20" t="str">
        <f>"0.0444***"</f>
        <v>0.0444***</v>
      </c>
      <c r="CU20" t="s">
        <v>768</v>
      </c>
      <c r="CV20" t="s">
        <v>4653</v>
      </c>
      <c r="CW20" t="str">
        <f>"0.0541***"</f>
        <v>0.0541***</v>
      </c>
      <c r="CX20" t="s">
        <v>1746</v>
      </c>
      <c r="CY20" t="s">
        <v>4358</v>
      </c>
      <c r="CZ20" t="str">
        <f>"0.0695***"</f>
        <v>0.0695***</v>
      </c>
      <c r="DA20" t="s">
        <v>4654</v>
      </c>
      <c r="DB20" t="s">
        <v>1864</v>
      </c>
      <c r="DC20" t="str">
        <f>"0.0697***"</f>
        <v>0.0697***</v>
      </c>
      <c r="DD20" t="s">
        <v>4655</v>
      </c>
      <c r="DE20" t="s">
        <v>4656</v>
      </c>
      <c r="DF20" t="str">
        <f>"0.0722***"</f>
        <v>0.0722***</v>
      </c>
      <c r="DG20" t="s">
        <v>3178</v>
      </c>
      <c r="DH20" t="s">
        <v>1137</v>
      </c>
      <c r="DI20" t="str">
        <f>"0.0650***"</f>
        <v>0.0650***</v>
      </c>
      <c r="DJ20" t="s">
        <v>4657</v>
      </c>
      <c r="DK20" t="s">
        <v>1783</v>
      </c>
      <c r="DL20" t="str">
        <f>"0.0656***"</f>
        <v>0.0656***</v>
      </c>
      <c r="DM20" t="s">
        <v>4658</v>
      </c>
      <c r="DN20" t="s">
        <v>1994</v>
      </c>
      <c r="DO20" t="str">
        <f>"0.0639***"</f>
        <v>0.0639***</v>
      </c>
      <c r="DP20" t="s">
        <v>4473</v>
      </c>
      <c r="DQ20" t="s">
        <v>4659</v>
      </c>
      <c r="DR20" t="str">
        <f>"0.0638***"</f>
        <v>0.0638***</v>
      </c>
      <c r="DS20" t="s">
        <v>4660</v>
      </c>
      <c r="DT20" t="s">
        <v>278</v>
      </c>
      <c r="DU20" t="str">
        <f>"0.0465***"</f>
        <v>0.0465***</v>
      </c>
      <c r="DV20" t="s">
        <v>2814</v>
      </c>
      <c r="DW20" t="s">
        <v>1160</v>
      </c>
      <c r="DX20" t="str">
        <f>"0.0469***"</f>
        <v>0.0469***</v>
      </c>
      <c r="DY20" t="s">
        <v>4661</v>
      </c>
      <c r="DZ20" t="s">
        <v>4243</v>
      </c>
      <c r="EA20" t="str">
        <f>"0.0461***"</f>
        <v>0.0461***</v>
      </c>
      <c r="EB20" t="s">
        <v>2879</v>
      </c>
      <c r="EC20" t="s">
        <v>476</v>
      </c>
      <c r="ED20" t="str">
        <f>"0.0519***"</f>
        <v>0.0519***</v>
      </c>
      <c r="EE20" t="s">
        <v>4465</v>
      </c>
      <c r="EF20" t="s">
        <v>4662</v>
      </c>
      <c r="EG20" t="str">
        <f>"0.0500***"</f>
        <v>0.0500***</v>
      </c>
      <c r="EH20" t="s">
        <v>1650</v>
      </c>
      <c r="EI20" t="s">
        <v>4663</v>
      </c>
      <c r="EJ20" t="str">
        <f>"0.0466***"</f>
        <v>0.0466***</v>
      </c>
      <c r="EK20" t="s">
        <v>3160</v>
      </c>
      <c r="EL20" t="s">
        <v>1767</v>
      </c>
      <c r="EM20" t="str">
        <f>"0.0367**"</f>
        <v>0.0367**</v>
      </c>
      <c r="EN20" t="s">
        <v>4452</v>
      </c>
      <c r="EO20" t="s">
        <v>4664</v>
      </c>
      <c r="EP20" t="str">
        <f>"0.0425***"</f>
        <v>0.0425***</v>
      </c>
      <c r="EQ20" t="s">
        <v>1519</v>
      </c>
      <c r="ER20" t="s">
        <v>4665</v>
      </c>
      <c r="ES20" t="str">
        <f>"0.0353**"</f>
        <v>0.0353**</v>
      </c>
      <c r="ET20" t="s">
        <v>3263</v>
      </c>
      <c r="EU20" t="s">
        <v>2869</v>
      </c>
      <c r="EV20" t="str">
        <f>"0.0451***"</f>
        <v>0.0451***</v>
      </c>
      <c r="EW20" t="s">
        <v>758</v>
      </c>
      <c r="EX20" t="s">
        <v>4337</v>
      </c>
      <c r="EY20" t="str">
        <f>"0.0204"</f>
        <v>0.0204</v>
      </c>
      <c r="EZ20" t="s">
        <v>1120</v>
      </c>
      <c r="FA20" t="s">
        <v>3620</v>
      </c>
      <c r="FB20" t="str">
        <f>"0.000148"</f>
        <v>0.000148</v>
      </c>
      <c r="FC20" t="s">
        <v>3585</v>
      </c>
      <c r="FD20" t="s">
        <v>1032</v>
      </c>
      <c r="FE20" t="str">
        <f>"-0.000686"</f>
        <v>-0.000686</v>
      </c>
      <c r="FF20" t="s">
        <v>3460</v>
      </c>
      <c r="FG20" t="s">
        <v>981</v>
      </c>
      <c r="FH20" t="str">
        <f>"0.0126"</f>
        <v>0.0126</v>
      </c>
      <c r="FI20" t="s">
        <v>3544</v>
      </c>
      <c r="FJ20" t="s">
        <v>2843</v>
      </c>
      <c r="FK20" t="str">
        <f>"0.0216"</f>
        <v>0.0216</v>
      </c>
      <c r="FL20" t="s">
        <v>664</v>
      </c>
      <c r="FM20" t="s">
        <v>1161</v>
      </c>
      <c r="FN20" t="str">
        <f>"0.0382**"</f>
        <v>0.0382**</v>
      </c>
      <c r="FO20" t="s">
        <v>3260</v>
      </c>
      <c r="FP20" t="s">
        <v>470</v>
      </c>
      <c r="FQ20" t="str">
        <f>"0.0610***"</f>
        <v>0.0610***</v>
      </c>
      <c r="FR20" t="s">
        <v>4666</v>
      </c>
      <c r="FS20" t="s">
        <v>4659</v>
      </c>
      <c r="FT20" t="str">
        <f>"0.0618***"</f>
        <v>0.0618***</v>
      </c>
      <c r="FU20" t="s">
        <v>3604</v>
      </c>
      <c r="FV20" t="s">
        <v>1783</v>
      </c>
      <c r="FW20" t="str">
        <f>"0.0758***"</f>
        <v>0.0758***</v>
      </c>
      <c r="FX20" t="s">
        <v>376</v>
      </c>
      <c r="FY20" t="s">
        <v>3211</v>
      </c>
      <c r="FZ20" t="str">
        <f>"0.0826***"</f>
        <v>0.0826***</v>
      </c>
      <c r="GA20" t="s">
        <v>1987</v>
      </c>
      <c r="GB20" t="s">
        <v>4667</v>
      </c>
      <c r="GC20" t="str">
        <f>"0.0737***"</f>
        <v>0.0737***</v>
      </c>
      <c r="GD20" t="s">
        <v>4668</v>
      </c>
      <c r="GE20" t="s">
        <v>373</v>
      </c>
      <c r="GF20" t="str">
        <f>"0.0290"</f>
        <v>0.0290</v>
      </c>
      <c r="GG20" t="s">
        <v>930</v>
      </c>
      <c r="GH20" t="s">
        <v>3588</v>
      </c>
      <c r="GI20" t="str">
        <f>"-0.0137"</f>
        <v>-0.0137</v>
      </c>
      <c r="GJ20" t="s">
        <v>4526</v>
      </c>
      <c r="GK20" t="s">
        <v>526</v>
      </c>
      <c r="GL20" t="str">
        <f>"-0.0410**"</f>
        <v>-0.0410**</v>
      </c>
      <c r="GM20" t="s">
        <v>4669</v>
      </c>
      <c r="GN20" t="s">
        <v>4670</v>
      </c>
      <c r="GO20" t="str">
        <f>"-0.0502***"</f>
        <v>-0.0502***</v>
      </c>
      <c r="GP20" t="s">
        <v>1330</v>
      </c>
      <c r="GQ20" t="s">
        <v>4671</v>
      </c>
      <c r="GR20" t="str">
        <f>"-0.0502***"</f>
        <v>-0.0502***</v>
      </c>
      <c r="GS20" t="s">
        <v>4672</v>
      </c>
      <c r="GT20" t="s">
        <v>4673</v>
      </c>
      <c r="GU20" t="str">
        <f>"-0.0573***"</f>
        <v>-0.0573***</v>
      </c>
      <c r="GV20" t="s">
        <v>4674</v>
      </c>
      <c r="GW20" t="s">
        <v>4675</v>
      </c>
      <c r="GX20" t="str">
        <f>"-0.0646***"</f>
        <v>-0.0646***</v>
      </c>
      <c r="GY20" t="s">
        <v>4676</v>
      </c>
      <c r="GZ20" t="s">
        <v>1351</v>
      </c>
      <c r="HA20" t="str">
        <f>"-0.0148"</f>
        <v>-0.0148</v>
      </c>
      <c r="HB20" t="s">
        <v>477</v>
      </c>
      <c r="HC20" t="s">
        <v>740</v>
      </c>
      <c r="HD20" t="str">
        <f>"0.0902***"</f>
        <v>0.0902***</v>
      </c>
      <c r="HE20" t="s">
        <v>2903</v>
      </c>
      <c r="HF20" t="s">
        <v>4677</v>
      </c>
      <c r="HG20" t="str">
        <f>"0.128***"</f>
        <v>0.128***</v>
      </c>
      <c r="HH20" t="s">
        <v>4678</v>
      </c>
      <c r="HI20" t="s">
        <v>1827</v>
      </c>
      <c r="HJ20" t="str">
        <f>"0.102***"</f>
        <v>0.102***</v>
      </c>
      <c r="HK20" t="s">
        <v>1582</v>
      </c>
      <c r="HL20" t="s">
        <v>4679</v>
      </c>
      <c r="HM20" t="str">
        <f>"0.0630***"</f>
        <v>0.0630***</v>
      </c>
      <c r="HN20" t="s">
        <v>4680</v>
      </c>
      <c r="HO20" t="s">
        <v>4681</v>
      </c>
      <c r="HP20" t="str">
        <f>"0.0408*"</f>
        <v>0.0408*</v>
      </c>
      <c r="HQ20" t="s">
        <v>991</v>
      </c>
      <c r="HR20" t="s">
        <v>4339</v>
      </c>
      <c r="HS20" t="str">
        <f>"0.0209"</f>
        <v>0.0209</v>
      </c>
      <c r="HT20" t="s">
        <v>3499</v>
      </c>
      <c r="HU20" t="s">
        <v>4106</v>
      </c>
      <c r="HV20" t="str">
        <f>"0.0545**"</f>
        <v>0.0545**</v>
      </c>
      <c r="HW20" t="s">
        <v>1663</v>
      </c>
      <c r="HX20" t="s">
        <v>4682</v>
      </c>
      <c r="HY20" t="str">
        <f>"0.0249"</f>
        <v>0.0249</v>
      </c>
      <c r="HZ20" t="s">
        <v>689</v>
      </c>
      <c r="IA20" t="s">
        <v>4683</v>
      </c>
      <c r="IB20" t="str">
        <f>"-0.0294"</f>
        <v>-0.0294</v>
      </c>
      <c r="IC20" t="s">
        <v>463</v>
      </c>
      <c r="ID20" t="s">
        <v>1558</v>
      </c>
      <c r="IE20" t="str">
        <f>"-0.0505*"</f>
        <v>-0.0505*</v>
      </c>
      <c r="IF20" t="s">
        <v>4684</v>
      </c>
      <c r="IG20" t="s">
        <v>1106</v>
      </c>
      <c r="IH20" t="str">
        <f>"-0.0859***"</f>
        <v>-0.0859***</v>
      </c>
      <c r="II20" t="s">
        <v>4685</v>
      </c>
      <c r="IJ20" t="s">
        <v>4686</v>
      </c>
      <c r="IK20" t="str">
        <f>"-0.0609**"</f>
        <v>-0.0609**</v>
      </c>
      <c r="IL20" t="s">
        <v>4687</v>
      </c>
      <c r="IM20" t="s">
        <v>3024</v>
      </c>
      <c r="IN20" t="str">
        <f>"0.0613**"</f>
        <v>0.0613**</v>
      </c>
      <c r="IO20" t="s">
        <v>1681</v>
      </c>
      <c r="IP20" t="s">
        <v>2028</v>
      </c>
      <c r="IQ20" t="str">
        <f>"0.144***"</f>
        <v>0.144***</v>
      </c>
      <c r="IR20" t="s">
        <v>4688</v>
      </c>
      <c r="IS20" t="s">
        <v>4406</v>
      </c>
      <c r="IT20" t="str">
        <f>"0.171***"</f>
        <v>0.171***</v>
      </c>
      <c r="IU20" t="s">
        <v>4689</v>
      </c>
      <c r="IV20" t="s">
        <v>4690</v>
      </c>
      <c r="IW20" t="str">
        <f>"-0.0613*"</f>
        <v>-0.0613*</v>
      </c>
      <c r="IX20" t="s">
        <v>4279</v>
      </c>
      <c r="IY20" t="s">
        <v>4691</v>
      </c>
      <c r="IZ20" t="str">
        <f>"-0.105***"</f>
        <v>-0.105***</v>
      </c>
      <c r="JA20" t="s">
        <v>3108</v>
      </c>
      <c r="JB20" t="s">
        <v>4692</v>
      </c>
      <c r="JC20" t="str">
        <f>"-0.110***"</f>
        <v>-0.110***</v>
      </c>
      <c r="JD20" t="s">
        <v>4693</v>
      </c>
      <c r="JE20" t="s">
        <v>4694</v>
      </c>
      <c r="JF20" t="str">
        <f>"-0.0139"</f>
        <v>-0.0139</v>
      </c>
      <c r="JG20" t="s">
        <v>3382</v>
      </c>
      <c r="JH20" t="s">
        <v>4695</v>
      </c>
      <c r="JI20" t="str">
        <f>"-0.0150"</f>
        <v>-0.0150</v>
      </c>
      <c r="JJ20" t="s">
        <v>4696</v>
      </c>
      <c r="JK20" t="s">
        <v>3672</v>
      </c>
      <c r="JL20" t="str">
        <f>"-0.0442"</f>
        <v>-0.0442</v>
      </c>
      <c r="JM20" t="s">
        <v>4697</v>
      </c>
      <c r="JN20" t="s">
        <v>601</v>
      </c>
      <c r="JO20" t="str">
        <f>"-0.158***"</f>
        <v>-0.158***</v>
      </c>
      <c r="JP20" t="s">
        <v>4698</v>
      </c>
      <c r="JQ20" t="s">
        <v>4699</v>
      </c>
      <c r="JR20" t="str">
        <f>"-0.0239"</f>
        <v>-0.0239</v>
      </c>
      <c r="JS20" t="s">
        <v>3705</v>
      </c>
      <c r="JT20" t="s">
        <v>4700</v>
      </c>
      <c r="JU20" t="str">
        <f>"0.0615"</f>
        <v>0.0615</v>
      </c>
      <c r="JV20" t="s">
        <v>911</v>
      </c>
      <c r="JW20" t="s">
        <v>4701</v>
      </c>
      <c r="JX20" t="str">
        <f>"-0.0147"</f>
        <v>-0.0147</v>
      </c>
      <c r="JY20" t="s">
        <v>4702</v>
      </c>
      <c r="JZ20" t="s">
        <v>4108</v>
      </c>
      <c r="KA20" t="str">
        <f>"0.0664"</f>
        <v>0.0664</v>
      </c>
      <c r="KB20" t="s">
        <v>786</v>
      </c>
      <c r="KC20" t="s">
        <v>4703</v>
      </c>
      <c r="KD20" t="str">
        <f>"-0.163***"</f>
        <v>-0.163***</v>
      </c>
      <c r="KE20" t="s">
        <v>4704</v>
      </c>
      <c r="KF20" t="s">
        <v>4705</v>
      </c>
      <c r="KG20" t="str">
        <f>"0.0252"</f>
        <v>0.0252</v>
      </c>
      <c r="KH20" t="s">
        <v>3053</v>
      </c>
      <c r="KI20" t="s">
        <v>4706</v>
      </c>
      <c r="KJ20" t="str">
        <f>"-0.0608"</f>
        <v>-0.0608</v>
      </c>
      <c r="KK20" t="s">
        <v>4577</v>
      </c>
      <c r="KL20" t="s">
        <v>1384</v>
      </c>
    </row>
    <row r="21" spans="1:298" x14ac:dyDescent="0.2">
      <c r="A21" t="str">
        <f>"feminino"</f>
        <v>feminino</v>
      </c>
      <c r="B21" t="str">
        <f>"0.0795***"</f>
        <v>0.0795***</v>
      </c>
      <c r="C21" t="s">
        <v>4707</v>
      </c>
      <c r="D21" t="s">
        <v>1856</v>
      </c>
      <c r="E21" t="str">
        <f>"0.0685***"</f>
        <v>0.0685***</v>
      </c>
      <c r="F21" t="s">
        <v>4708</v>
      </c>
      <c r="G21" t="s">
        <v>346</v>
      </c>
      <c r="H21" t="str">
        <f>"0.0376**"</f>
        <v>0.0376**</v>
      </c>
      <c r="I21" t="s">
        <v>1062</v>
      </c>
      <c r="J21" t="s">
        <v>494</v>
      </c>
      <c r="K21" t="str">
        <f>"0.0610***"</f>
        <v>0.0610***</v>
      </c>
      <c r="L21" t="s">
        <v>295</v>
      </c>
      <c r="M21" t="s">
        <v>761</v>
      </c>
      <c r="N21" t="str">
        <f>"-0.00855"</f>
        <v>-0.00855</v>
      </c>
      <c r="O21" t="s">
        <v>852</v>
      </c>
      <c r="P21" t="s">
        <v>737</v>
      </c>
      <c r="Q21" t="str">
        <f>"0.0319***"</f>
        <v>0.0319***</v>
      </c>
      <c r="R21" t="s">
        <v>3638</v>
      </c>
      <c r="S21" t="s">
        <v>4709</v>
      </c>
      <c r="T21" t="str">
        <f>"0.00995"</f>
        <v>0.00995</v>
      </c>
      <c r="U21" t="s">
        <v>2857</v>
      </c>
      <c r="V21" t="s">
        <v>276</v>
      </c>
      <c r="W21" t="str">
        <f>"0.00447"</f>
        <v>0.00447</v>
      </c>
      <c r="X21" t="s">
        <v>1114</v>
      </c>
      <c r="Y21" t="s">
        <v>2874</v>
      </c>
      <c r="Z21" t="str">
        <f>"0.0103"</f>
        <v>0.0103</v>
      </c>
      <c r="AA21" t="s">
        <v>677</v>
      </c>
      <c r="AB21" t="s">
        <v>558</v>
      </c>
      <c r="AC21" t="str">
        <f>"-0.0162*"</f>
        <v>-0.0162*</v>
      </c>
      <c r="AD21" t="s">
        <v>4710</v>
      </c>
      <c r="AE21" t="s">
        <v>1449</v>
      </c>
      <c r="AF21" t="str">
        <f>"-0.0131*"</f>
        <v>-0.0131*</v>
      </c>
      <c r="AG21" t="s">
        <v>1716</v>
      </c>
      <c r="AH21" t="s">
        <v>1510</v>
      </c>
      <c r="AI21" t="str">
        <f>"0.00890*"</f>
        <v>0.00890*</v>
      </c>
      <c r="AJ21" t="s">
        <v>683</v>
      </c>
      <c r="AK21" t="s">
        <v>609</v>
      </c>
      <c r="AL21" t="str">
        <f>"0.000647"</f>
        <v>0.000647</v>
      </c>
      <c r="AM21" t="s">
        <v>656</v>
      </c>
      <c r="AN21" t="s">
        <v>1558</v>
      </c>
      <c r="AO21" t="str">
        <f>"-0.00178"</f>
        <v>-0.00178</v>
      </c>
      <c r="AP21" t="s">
        <v>644</v>
      </c>
      <c r="AQ21" t="s">
        <v>655</v>
      </c>
      <c r="AR21" t="str">
        <f>"-0.00434"</f>
        <v>-0.00434</v>
      </c>
      <c r="AS21" t="s">
        <v>1077</v>
      </c>
      <c r="AT21" t="s">
        <v>912</v>
      </c>
      <c r="AU21" t="str">
        <f>"-0.00387"</f>
        <v>-0.00387</v>
      </c>
      <c r="AV21" t="s">
        <v>641</v>
      </c>
      <c r="AW21" t="s">
        <v>912</v>
      </c>
      <c r="AX21" t="str">
        <f>"0.00178"</f>
        <v>0.00178</v>
      </c>
      <c r="AY21" t="s">
        <v>700</v>
      </c>
      <c r="AZ21" t="s">
        <v>1234</v>
      </c>
      <c r="BA21" t="str">
        <f>"0.00211"</f>
        <v>0.00211</v>
      </c>
      <c r="BB21" t="s">
        <v>920</v>
      </c>
      <c r="BC21" t="s">
        <v>1013</v>
      </c>
      <c r="BD21" t="str">
        <f>"0.00484*"</f>
        <v>0.00484*</v>
      </c>
      <c r="BE21" t="s">
        <v>722</v>
      </c>
      <c r="BF21" t="s">
        <v>1008</v>
      </c>
      <c r="BG21" t="str">
        <f>"0.00344"</f>
        <v>0.00344</v>
      </c>
      <c r="BH21" t="s">
        <v>435</v>
      </c>
      <c r="BI21" t="s">
        <v>657</v>
      </c>
      <c r="BJ21" t="str">
        <f>"0.00406"</f>
        <v>0.00406</v>
      </c>
      <c r="BK21" t="s">
        <v>347</v>
      </c>
      <c r="BL21" t="s">
        <v>572</v>
      </c>
      <c r="BM21" t="str">
        <f>"0.00853***"</f>
        <v>0.00853***</v>
      </c>
      <c r="BN21" t="s">
        <v>1018</v>
      </c>
      <c r="BO21" t="s">
        <v>1548</v>
      </c>
      <c r="BP21" t="str">
        <f>"0.00815***"</f>
        <v>0.00815***</v>
      </c>
      <c r="BQ21" t="s">
        <v>1469</v>
      </c>
      <c r="BR21" t="s">
        <v>1054</v>
      </c>
      <c r="BS21" t="str">
        <f>"0.00857***"</f>
        <v>0.00857***</v>
      </c>
      <c r="BT21" t="s">
        <v>1018</v>
      </c>
      <c r="BU21" t="s">
        <v>3259</v>
      </c>
      <c r="BV21" t="str">
        <f>"0.00790***"</f>
        <v>0.00790***</v>
      </c>
      <c r="BW21" t="s">
        <v>1081</v>
      </c>
      <c r="BX21" t="s">
        <v>996</v>
      </c>
      <c r="BY21" t="str">
        <f>"0.00852***"</f>
        <v>0.00852***</v>
      </c>
      <c r="BZ21" t="s">
        <v>1018</v>
      </c>
      <c r="CA21" t="s">
        <v>1548</v>
      </c>
      <c r="CB21" t="str">
        <f>"0.00880***"</f>
        <v>0.00880***</v>
      </c>
      <c r="CC21" t="s">
        <v>940</v>
      </c>
      <c r="CD21" t="s">
        <v>1492</v>
      </c>
      <c r="CE21" t="str">
        <f>"0.00833***"</f>
        <v>0.00833***</v>
      </c>
      <c r="CF21" t="s">
        <v>1015</v>
      </c>
      <c r="CG21" t="s">
        <v>565</v>
      </c>
      <c r="CH21" t="str">
        <f>"0.00808***"</f>
        <v>0.00808***</v>
      </c>
      <c r="CI21" t="s">
        <v>1468</v>
      </c>
      <c r="CJ21" t="s">
        <v>1054</v>
      </c>
      <c r="CK21" t="str">
        <f>"0.00757***"</f>
        <v>0.00757***</v>
      </c>
      <c r="CL21" t="s">
        <v>343</v>
      </c>
      <c r="CM21" t="s">
        <v>1551</v>
      </c>
      <c r="CN21" t="str">
        <f>"0.00783***"</f>
        <v>0.00783***</v>
      </c>
      <c r="CO21" t="s">
        <v>712</v>
      </c>
      <c r="CP21" t="s">
        <v>1054</v>
      </c>
      <c r="CQ21" t="str">
        <f>"0.00762**"</f>
        <v>0.00762**</v>
      </c>
      <c r="CR21" t="s">
        <v>441</v>
      </c>
      <c r="CS21" t="s">
        <v>731</v>
      </c>
      <c r="CT21" t="str">
        <f>"0.00674**"</f>
        <v>0.00674**</v>
      </c>
      <c r="CU21" t="s">
        <v>638</v>
      </c>
      <c r="CV21" t="s">
        <v>1006</v>
      </c>
      <c r="CW21" t="str">
        <f>"0.00480"</f>
        <v>0.00480</v>
      </c>
      <c r="CX21" t="s">
        <v>786</v>
      </c>
      <c r="CY21" t="s">
        <v>1005</v>
      </c>
      <c r="CZ21" t="str">
        <f>"0.00216"</f>
        <v>0.00216</v>
      </c>
      <c r="DA21" t="s">
        <v>640</v>
      </c>
      <c r="DB21" t="s">
        <v>3256</v>
      </c>
      <c r="DC21" t="str">
        <f>"0.00270"</f>
        <v>0.00270</v>
      </c>
      <c r="DD21" t="s">
        <v>783</v>
      </c>
      <c r="DE21" t="s">
        <v>575</v>
      </c>
      <c r="DF21" t="str">
        <f>"0.00335"</f>
        <v>0.00335</v>
      </c>
      <c r="DG21" t="s">
        <v>717</v>
      </c>
      <c r="DH21" t="s">
        <v>649</v>
      </c>
      <c r="DI21" t="str">
        <f>"0.00491"</f>
        <v>0.00491</v>
      </c>
      <c r="DJ21" t="s">
        <v>734</v>
      </c>
      <c r="DK21" t="s">
        <v>714</v>
      </c>
      <c r="DL21" t="str">
        <f>"0.00680*"</f>
        <v>0.00680*</v>
      </c>
      <c r="DM21" t="s">
        <v>718</v>
      </c>
      <c r="DN21" t="s">
        <v>1007</v>
      </c>
      <c r="DO21" t="str">
        <f>"0.00983***"</f>
        <v>0.00983***</v>
      </c>
      <c r="DP21" t="s">
        <v>1015</v>
      </c>
      <c r="DQ21" t="s">
        <v>947</v>
      </c>
      <c r="DR21" t="str">
        <f>"0.0128***"</f>
        <v>0.0128***</v>
      </c>
      <c r="DS21" t="s">
        <v>443</v>
      </c>
      <c r="DT21" t="s">
        <v>4454</v>
      </c>
      <c r="DU21" t="str">
        <f>"0.0154***"</f>
        <v>0.0154***</v>
      </c>
      <c r="DV21" t="s">
        <v>1550</v>
      </c>
      <c r="DW21" t="s">
        <v>3266</v>
      </c>
      <c r="DX21" t="str">
        <f>"0.0152***"</f>
        <v>0.0152***</v>
      </c>
      <c r="DY21" t="s">
        <v>1472</v>
      </c>
      <c r="DZ21" t="s">
        <v>966</v>
      </c>
      <c r="EA21" t="str">
        <f>"0.0150***"</f>
        <v>0.0150***</v>
      </c>
      <c r="EB21" t="s">
        <v>4450</v>
      </c>
      <c r="EC21" t="s">
        <v>3653</v>
      </c>
      <c r="ED21" t="str">
        <f>"0.0130***"</f>
        <v>0.0130***</v>
      </c>
      <c r="EE21" t="s">
        <v>443</v>
      </c>
      <c r="EF21" t="s">
        <v>964</v>
      </c>
      <c r="EG21" t="str">
        <f>"0.0133***"</f>
        <v>0.0133***</v>
      </c>
      <c r="EH21" t="s">
        <v>944</v>
      </c>
      <c r="EI21" t="s">
        <v>2851</v>
      </c>
      <c r="EJ21" t="str">
        <f>"0.0127***"</f>
        <v>0.0127***</v>
      </c>
      <c r="EK21" t="s">
        <v>1557</v>
      </c>
      <c r="EL21" t="s">
        <v>4454</v>
      </c>
      <c r="EM21" t="str">
        <f>"0.0132***"</f>
        <v>0.0132***</v>
      </c>
      <c r="EN21" t="s">
        <v>942</v>
      </c>
      <c r="EO21" t="s">
        <v>2851</v>
      </c>
      <c r="EP21" t="str">
        <f>"0.0108***"</f>
        <v>0.0108***</v>
      </c>
      <c r="EQ21" t="s">
        <v>727</v>
      </c>
      <c r="ER21" t="s">
        <v>1080</v>
      </c>
      <c r="ES21" t="str">
        <f>"0.0114***"</f>
        <v>0.0114***</v>
      </c>
      <c r="ET21" t="s">
        <v>1053</v>
      </c>
      <c r="EU21" t="s">
        <v>1021</v>
      </c>
      <c r="EV21" t="str">
        <f>"0.0106***"</f>
        <v>0.0106***</v>
      </c>
      <c r="EW21" t="s">
        <v>745</v>
      </c>
      <c r="EX21" t="s">
        <v>1080</v>
      </c>
      <c r="EY21" t="str">
        <f>"0.0162***"</f>
        <v>0.0162***</v>
      </c>
      <c r="EZ21" t="s">
        <v>3263</v>
      </c>
      <c r="FA21" t="s">
        <v>780</v>
      </c>
      <c r="FB21" t="str">
        <f>"0.0179***"</f>
        <v>0.0179***</v>
      </c>
      <c r="FC21" t="s">
        <v>4711</v>
      </c>
      <c r="FD21" t="s">
        <v>746</v>
      </c>
      <c r="FE21" t="str">
        <f>"0.0191***"</f>
        <v>0.0191***</v>
      </c>
      <c r="FF21" t="s">
        <v>1533</v>
      </c>
      <c r="FG21" t="s">
        <v>3532</v>
      </c>
      <c r="FH21" t="str">
        <f>"0.0157***"</f>
        <v>0.0157***</v>
      </c>
      <c r="FI21" t="s">
        <v>3258</v>
      </c>
      <c r="FJ21" t="s">
        <v>780</v>
      </c>
      <c r="FK21" t="str">
        <f>"0.0144***"</f>
        <v>0.0144***</v>
      </c>
      <c r="FL21" t="s">
        <v>1491</v>
      </c>
      <c r="FM21" t="s">
        <v>3266</v>
      </c>
      <c r="FN21" t="str">
        <f>"0.0110**"</f>
        <v>0.0110**</v>
      </c>
      <c r="FO21" t="s">
        <v>1015</v>
      </c>
      <c r="FP21" t="s">
        <v>988</v>
      </c>
      <c r="FQ21" t="str">
        <f>"0.00826*"</f>
        <v>0.00826*</v>
      </c>
      <c r="FR21" t="s">
        <v>718</v>
      </c>
      <c r="FS21" t="s">
        <v>1543</v>
      </c>
      <c r="FT21" t="str">
        <f>"0.00987**"</f>
        <v>0.00987**</v>
      </c>
      <c r="FU21" t="s">
        <v>1050</v>
      </c>
      <c r="FV21" t="s">
        <v>987</v>
      </c>
      <c r="FW21" t="str">
        <f>"0.00597"</f>
        <v>0.00597</v>
      </c>
      <c r="FX21" t="s">
        <v>636</v>
      </c>
      <c r="FY21" t="s">
        <v>4712</v>
      </c>
      <c r="FZ21" t="str">
        <f>"0.00427"</f>
        <v>0.00427</v>
      </c>
      <c r="GA21" t="s">
        <v>677</v>
      </c>
      <c r="GB21" t="s">
        <v>1075</v>
      </c>
      <c r="GC21" t="str">
        <f>"0.00908*"</f>
        <v>0.00908*</v>
      </c>
      <c r="GD21" t="s">
        <v>679</v>
      </c>
      <c r="GE21" t="s">
        <v>1494</v>
      </c>
      <c r="GF21" t="str">
        <f>"0.0184***"</f>
        <v>0.0184***</v>
      </c>
      <c r="GG21" t="s">
        <v>1024</v>
      </c>
      <c r="GH21" t="s">
        <v>2860</v>
      </c>
      <c r="GI21" t="str">
        <f>"0.0246***"</f>
        <v>0.0246***</v>
      </c>
      <c r="GJ21" t="s">
        <v>4713</v>
      </c>
      <c r="GK21" t="s">
        <v>1942</v>
      </c>
      <c r="GL21" t="str">
        <f>"0.0313***"</f>
        <v>0.0313***</v>
      </c>
      <c r="GM21" t="s">
        <v>1947</v>
      </c>
      <c r="GN21" t="s">
        <v>771</v>
      </c>
      <c r="GO21" t="str">
        <f>"0.0320***"</f>
        <v>0.0320***</v>
      </c>
      <c r="GP21" t="s">
        <v>1226</v>
      </c>
      <c r="GQ21" t="s">
        <v>1219</v>
      </c>
      <c r="GR21" t="str">
        <f>"0.0309***"</f>
        <v>0.0309***</v>
      </c>
      <c r="GS21" t="s">
        <v>3629</v>
      </c>
      <c r="GT21" t="s">
        <v>1934</v>
      </c>
      <c r="GU21" t="str">
        <f>"0.0301***"</f>
        <v>0.0301***</v>
      </c>
      <c r="GV21" t="s">
        <v>1656</v>
      </c>
      <c r="GW21" t="s">
        <v>1035</v>
      </c>
      <c r="GX21" t="str">
        <f>"0.0287***"</f>
        <v>0.0287***</v>
      </c>
      <c r="GY21" t="s">
        <v>1733</v>
      </c>
      <c r="GZ21" t="s">
        <v>3672</v>
      </c>
      <c r="HA21" t="str">
        <f>"0.0198***"</f>
        <v>0.0198***</v>
      </c>
      <c r="HB21" t="s">
        <v>2817</v>
      </c>
      <c r="HC21" t="s">
        <v>549</v>
      </c>
      <c r="HD21" t="str">
        <f>"0.00243"</f>
        <v>0.00243</v>
      </c>
      <c r="HE21" t="s">
        <v>781</v>
      </c>
      <c r="HF21" t="s">
        <v>633</v>
      </c>
      <c r="HG21" t="str">
        <f>"-0.00353"</f>
        <v>-0.00353</v>
      </c>
      <c r="HH21" t="s">
        <v>3646</v>
      </c>
      <c r="HI21" t="s">
        <v>567</v>
      </c>
      <c r="HJ21" t="str">
        <f>"0.000969"</f>
        <v>0.000969</v>
      </c>
      <c r="HK21" t="s">
        <v>1079</v>
      </c>
      <c r="HL21" t="s">
        <v>1490</v>
      </c>
      <c r="HM21" t="str">
        <f>"0.0123*"</f>
        <v>0.0123*</v>
      </c>
      <c r="HN21" t="s">
        <v>1461</v>
      </c>
      <c r="HO21" t="s">
        <v>1030</v>
      </c>
      <c r="HP21" t="str">
        <f>"0.0177***"</f>
        <v>0.0177***</v>
      </c>
      <c r="HQ21" t="s">
        <v>1728</v>
      </c>
      <c r="HR21" t="s">
        <v>1952</v>
      </c>
      <c r="HS21" t="str">
        <f>"0.0187***"</f>
        <v>0.0187***</v>
      </c>
      <c r="HT21" t="s">
        <v>1729</v>
      </c>
      <c r="HU21" t="s">
        <v>3163</v>
      </c>
      <c r="HV21" t="str">
        <f>"0.00785"</f>
        <v>0.00785</v>
      </c>
      <c r="HW21" t="s">
        <v>1012</v>
      </c>
      <c r="HX21" t="s">
        <v>658</v>
      </c>
      <c r="HY21" t="str">
        <f>"0.0113*"</f>
        <v>0.0113*</v>
      </c>
      <c r="HZ21" t="s">
        <v>923</v>
      </c>
      <c r="IA21" t="s">
        <v>3269</v>
      </c>
      <c r="IB21" t="str">
        <f>"0.0226***"</f>
        <v>0.0226***</v>
      </c>
      <c r="IC21" t="s">
        <v>4452</v>
      </c>
      <c r="ID21" t="s">
        <v>1640</v>
      </c>
      <c r="IE21" t="str">
        <f>"0.0249***"</f>
        <v>0.0249***</v>
      </c>
      <c r="IF21" t="s">
        <v>1476</v>
      </c>
      <c r="IG21" t="s">
        <v>3672</v>
      </c>
      <c r="IH21" t="str">
        <f>"0.0325***"</f>
        <v>0.0325***</v>
      </c>
      <c r="II21" t="s">
        <v>1659</v>
      </c>
      <c r="IJ21" t="s">
        <v>4714</v>
      </c>
      <c r="IK21" t="str">
        <f>"0.0256***"</f>
        <v>0.0256***</v>
      </c>
      <c r="IL21" t="s">
        <v>976</v>
      </c>
      <c r="IM21" t="s">
        <v>3473</v>
      </c>
      <c r="IN21" t="str">
        <f>"0.00235"</f>
        <v>0.00235</v>
      </c>
      <c r="IO21" t="s">
        <v>301</v>
      </c>
      <c r="IP21" t="s">
        <v>971</v>
      </c>
      <c r="IQ21" t="str">
        <f>"-0.0176*"</f>
        <v>-0.0176*</v>
      </c>
      <c r="IR21" t="s">
        <v>838</v>
      </c>
      <c r="IS21" t="s">
        <v>3271</v>
      </c>
      <c r="IT21" t="str">
        <f>"-0.0244**"</f>
        <v>-0.0244**</v>
      </c>
      <c r="IU21" t="s">
        <v>894</v>
      </c>
      <c r="IV21" t="s">
        <v>4715</v>
      </c>
      <c r="IW21" t="str">
        <f>"0.0232**"</f>
        <v>0.0232**</v>
      </c>
      <c r="IX21" t="s">
        <v>1554</v>
      </c>
      <c r="IY21" t="s">
        <v>1194</v>
      </c>
      <c r="IZ21" t="str">
        <f>"0.0342***"</f>
        <v>0.0342***</v>
      </c>
      <c r="JA21" t="s">
        <v>1221</v>
      </c>
      <c r="JB21" t="s">
        <v>1618</v>
      </c>
      <c r="JC21" t="str">
        <f>"0.0333***"</f>
        <v>0.0333***</v>
      </c>
      <c r="JD21" t="s">
        <v>4491</v>
      </c>
      <c r="JE21" t="s">
        <v>3138</v>
      </c>
      <c r="JF21" t="str">
        <f>"0.0101"</f>
        <v>0.0101</v>
      </c>
      <c r="JG21" t="s">
        <v>1450</v>
      </c>
      <c r="JH21" t="s">
        <v>551</v>
      </c>
      <c r="JI21" t="str">
        <f>"0.0147"</f>
        <v>0.0147</v>
      </c>
      <c r="JJ21" t="s">
        <v>640</v>
      </c>
      <c r="JK21" t="s">
        <v>3360</v>
      </c>
      <c r="JL21" t="str">
        <f>"0.0184*"</f>
        <v>0.0184*</v>
      </c>
      <c r="JM21" t="s">
        <v>695</v>
      </c>
      <c r="JN21" t="s">
        <v>3636</v>
      </c>
      <c r="JO21" t="str">
        <f>"0.0413***"</f>
        <v>0.0413***</v>
      </c>
      <c r="JP21" t="s">
        <v>768</v>
      </c>
      <c r="JQ21" t="s">
        <v>1899</v>
      </c>
      <c r="JR21" t="str">
        <f>"0.00164"</f>
        <v>0.00164</v>
      </c>
      <c r="JS21" t="s">
        <v>1092</v>
      </c>
      <c r="JT21" t="s">
        <v>1032</v>
      </c>
      <c r="JU21" t="str">
        <f>"-0.0277*"</f>
        <v>-0.0277*</v>
      </c>
      <c r="JV21" t="s">
        <v>471</v>
      </c>
      <c r="JW21" t="s">
        <v>1452</v>
      </c>
      <c r="JX21" t="str">
        <f>"0.00304"</f>
        <v>0.00304</v>
      </c>
      <c r="JY21" t="s">
        <v>4716</v>
      </c>
      <c r="JZ21" t="s">
        <v>553</v>
      </c>
      <c r="KA21" t="str">
        <f>"-0.0364*"</f>
        <v>-0.0364*</v>
      </c>
      <c r="KB21" t="s">
        <v>1710</v>
      </c>
      <c r="KC21" t="s">
        <v>3292</v>
      </c>
      <c r="KD21" t="str">
        <f>"0.0162"</f>
        <v>0.0162</v>
      </c>
      <c r="KE21" t="s">
        <v>1385</v>
      </c>
      <c r="KF21" t="s">
        <v>3145</v>
      </c>
      <c r="KG21" t="str">
        <f>"-0.0284"</f>
        <v>-0.0284</v>
      </c>
      <c r="KH21" t="s">
        <v>4717</v>
      </c>
      <c r="KI21" t="s">
        <v>1190</v>
      </c>
      <c r="KJ21" t="str">
        <f>"0.0419"</f>
        <v>0.0419</v>
      </c>
      <c r="KK21" t="s">
        <v>686</v>
      </c>
      <c r="KL21" t="s">
        <v>1776</v>
      </c>
    </row>
    <row r="22" spans="1:298" x14ac:dyDescent="0.2">
      <c r="A22" t="str">
        <f>"ppi"</f>
        <v>ppi</v>
      </c>
      <c r="B22" t="str">
        <f>"0.0221"</f>
        <v>0.0221</v>
      </c>
      <c r="C22" t="s">
        <v>663</v>
      </c>
      <c r="D22" t="s">
        <v>484</v>
      </c>
      <c r="E22" t="str">
        <f>"0.0133"</f>
        <v>0.0133</v>
      </c>
      <c r="F22" t="s">
        <v>4718</v>
      </c>
      <c r="G22" t="s">
        <v>1193</v>
      </c>
      <c r="H22" t="str">
        <f>"0.0153"</f>
        <v>0.0153</v>
      </c>
      <c r="I22" t="s">
        <v>788</v>
      </c>
      <c r="J22" t="s">
        <v>3622</v>
      </c>
      <c r="K22" t="str">
        <f>"0.0287**"</f>
        <v>0.0287**</v>
      </c>
      <c r="L22" t="s">
        <v>775</v>
      </c>
      <c r="M22" t="s">
        <v>765</v>
      </c>
      <c r="N22" t="str">
        <f>"0.00596"</f>
        <v>0.00596</v>
      </c>
      <c r="O22" t="s">
        <v>790</v>
      </c>
      <c r="P22" t="s">
        <v>989</v>
      </c>
      <c r="Q22" t="str">
        <f>"0.0153"</f>
        <v>0.0153</v>
      </c>
      <c r="R22" t="s">
        <v>697</v>
      </c>
      <c r="S22" t="s">
        <v>4719</v>
      </c>
      <c r="T22" t="str">
        <f>"0.00646"</f>
        <v>0.00646</v>
      </c>
      <c r="U22" t="s">
        <v>3561</v>
      </c>
      <c r="V22" t="s">
        <v>563</v>
      </c>
      <c r="W22" t="str">
        <f>"0.0130"</f>
        <v>0.0130</v>
      </c>
      <c r="X22" t="s">
        <v>1451</v>
      </c>
      <c r="Y22" t="s">
        <v>1730</v>
      </c>
      <c r="Z22" t="str">
        <f>"0.0171*"</f>
        <v>0.0171*</v>
      </c>
      <c r="AA22" t="s">
        <v>683</v>
      </c>
      <c r="AB22" t="s">
        <v>1690</v>
      </c>
      <c r="AC22" t="str">
        <f>"0.00752"</f>
        <v>0.00752</v>
      </c>
      <c r="AD22" t="s">
        <v>948</v>
      </c>
      <c r="AE22" t="s">
        <v>2830</v>
      </c>
      <c r="AF22" t="str">
        <f>"0.0104"</f>
        <v>0.0104</v>
      </c>
      <c r="AG22" t="s">
        <v>1515</v>
      </c>
      <c r="AH22" t="s">
        <v>1658</v>
      </c>
      <c r="AI22" t="str">
        <f>"0.0188***"</f>
        <v>0.0188***</v>
      </c>
      <c r="AJ22" t="s">
        <v>1048</v>
      </c>
      <c r="AK22" t="s">
        <v>1945</v>
      </c>
      <c r="AL22" t="str">
        <f>"0.0150**"</f>
        <v>0.0150**</v>
      </c>
      <c r="AM22" t="s">
        <v>993</v>
      </c>
      <c r="AN22" t="s">
        <v>1128</v>
      </c>
      <c r="AO22" t="str">
        <f>"0.0155***"</f>
        <v>0.0155***</v>
      </c>
      <c r="AP22" t="s">
        <v>980</v>
      </c>
      <c r="AQ22" t="s">
        <v>977</v>
      </c>
      <c r="AR22" t="str">
        <f>"0.0124**"</f>
        <v>0.0124**</v>
      </c>
      <c r="AS22" t="s">
        <v>745</v>
      </c>
      <c r="AT22" t="s">
        <v>999</v>
      </c>
      <c r="AU22" t="str">
        <f>"0.0107**"</f>
        <v>0.0107**</v>
      </c>
      <c r="AV22" t="s">
        <v>728</v>
      </c>
      <c r="AW22" t="s">
        <v>3264</v>
      </c>
      <c r="AX22" t="str">
        <f>"0.00913**"</f>
        <v>0.00913**</v>
      </c>
      <c r="AY22" t="s">
        <v>1050</v>
      </c>
      <c r="AZ22" t="s">
        <v>947</v>
      </c>
      <c r="BA22" t="str">
        <f>"0.0112***"</f>
        <v>0.0112***</v>
      </c>
      <c r="BB22" t="s">
        <v>370</v>
      </c>
      <c r="BC22" t="s">
        <v>609</v>
      </c>
      <c r="BD22" t="str">
        <f>"0.0103***"</f>
        <v>0.0103***</v>
      </c>
      <c r="BE22" t="s">
        <v>940</v>
      </c>
      <c r="BF22" t="s">
        <v>1669</v>
      </c>
      <c r="BG22" t="str">
        <f>"0.00937**"</f>
        <v>0.00937**</v>
      </c>
      <c r="BH22" t="s">
        <v>724</v>
      </c>
      <c r="BI22" t="s">
        <v>526</v>
      </c>
      <c r="BJ22" t="str">
        <f>"0.00862**"</f>
        <v>0.00862**</v>
      </c>
      <c r="BK22" t="s">
        <v>343</v>
      </c>
      <c r="BL22" t="s">
        <v>530</v>
      </c>
      <c r="BM22" t="str">
        <f>"0.0117***"</f>
        <v>0.0117***</v>
      </c>
      <c r="BN22" t="s">
        <v>980</v>
      </c>
      <c r="BO22" t="s">
        <v>1080</v>
      </c>
      <c r="BP22" t="str">
        <f>"0.00986***"</f>
        <v>0.00986***</v>
      </c>
      <c r="BQ22" t="s">
        <v>646</v>
      </c>
      <c r="BR22" t="s">
        <v>972</v>
      </c>
      <c r="BS22" t="str">
        <f>"0.0114***"</f>
        <v>0.0114***</v>
      </c>
      <c r="BT22" t="s">
        <v>1559</v>
      </c>
      <c r="BU22" t="s">
        <v>1540</v>
      </c>
      <c r="BV22" t="str">
        <f>"0.0102***"</f>
        <v>0.0102***</v>
      </c>
      <c r="BW22" t="s">
        <v>370</v>
      </c>
      <c r="BX22" t="s">
        <v>1190</v>
      </c>
      <c r="BY22" t="str">
        <f>"0.00916***"</f>
        <v>0.00916***</v>
      </c>
      <c r="BZ22" t="s">
        <v>1015</v>
      </c>
      <c r="CA22" t="s">
        <v>642</v>
      </c>
      <c r="CB22" t="str">
        <f>"0.00999***"</f>
        <v>0.00999***</v>
      </c>
      <c r="CC22" t="s">
        <v>727</v>
      </c>
      <c r="CD22" t="s">
        <v>740</v>
      </c>
      <c r="CE22" t="str">
        <f>"0.00842**"</f>
        <v>0.00842**</v>
      </c>
      <c r="CF22" t="s">
        <v>712</v>
      </c>
      <c r="CG22" t="s">
        <v>2828</v>
      </c>
      <c r="CH22" t="str">
        <f>"0.00853**"</f>
        <v>0.00853**</v>
      </c>
      <c r="CI22" t="s">
        <v>712</v>
      </c>
      <c r="CJ22" t="s">
        <v>943</v>
      </c>
      <c r="CK22" t="str">
        <f>"0.0106***"</f>
        <v>0.0106***</v>
      </c>
      <c r="CL22" t="s">
        <v>1028</v>
      </c>
      <c r="CM22" t="s">
        <v>1669</v>
      </c>
      <c r="CN22" t="str">
        <f>"0.00875**"</f>
        <v>0.00875**</v>
      </c>
      <c r="CO22" t="s">
        <v>343</v>
      </c>
      <c r="CP22" t="s">
        <v>1473</v>
      </c>
      <c r="CQ22" t="str">
        <f>"0.00801**"</f>
        <v>0.00801**</v>
      </c>
      <c r="CR22" t="s">
        <v>1462</v>
      </c>
      <c r="CS22" t="s">
        <v>943</v>
      </c>
      <c r="CT22" t="str">
        <f>"0.00750*"</f>
        <v>0.00750*</v>
      </c>
      <c r="CU22" t="s">
        <v>679</v>
      </c>
      <c r="CV22" t="s">
        <v>1547</v>
      </c>
      <c r="CW22" t="str">
        <f>"0.00423"</f>
        <v>0.00423</v>
      </c>
      <c r="CX22" t="s">
        <v>652</v>
      </c>
      <c r="CY22" t="s">
        <v>3556</v>
      </c>
      <c r="CZ22" t="str">
        <f>"0.00213"</f>
        <v>0.00213</v>
      </c>
      <c r="DA22" t="s">
        <v>663</v>
      </c>
      <c r="DB22" t="s">
        <v>572</v>
      </c>
      <c r="DC22" t="str">
        <f>"0.00201"</f>
        <v>0.00201</v>
      </c>
      <c r="DD22" t="s">
        <v>693</v>
      </c>
      <c r="DE22" t="s">
        <v>582</v>
      </c>
      <c r="DF22" t="str">
        <f>"-0.000683"</f>
        <v>-0.000683</v>
      </c>
      <c r="DG22" t="s">
        <v>648</v>
      </c>
      <c r="DH22" t="s">
        <v>791</v>
      </c>
      <c r="DI22" t="str">
        <f>"0.00432"</f>
        <v>0.00432</v>
      </c>
      <c r="DJ22" t="s">
        <v>911</v>
      </c>
      <c r="DK22" t="s">
        <v>1490</v>
      </c>
      <c r="DL22" t="str">
        <f>"0.00572"</f>
        <v>0.00572</v>
      </c>
      <c r="DM22" t="s">
        <v>636</v>
      </c>
      <c r="DN22" t="s">
        <v>522</v>
      </c>
      <c r="DO22" t="str">
        <f>"0.00363"</f>
        <v>0.00363</v>
      </c>
      <c r="DP22" t="s">
        <v>345</v>
      </c>
      <c r="DQ22" t="s">
        <v>1553</v>
      </c>
      <c r="DR22" t="str">
        <f>"0.00457"</f>
        <v>0.00457</v>
      </c>
      <c r="DS22" t="s">
        <v>911</v>
      </c>
      <c r="DT22" t="s">
        <v>633</v>
      </c>
      <c r="DU22" t="str">
        <f>"0.00384"</f>
        <v>0.00384</v>
      </c>
      <c r="DV22" t="s">
        <v>345</v>
      </c>
      <c r="DW22" t="s">
        <v>687</v>
      </c>
      <c r="DX22" t="str">
        <f>"0.00275"</f>
        <v>0.00275</v>
      </c>
      <c r="DY22" t="s">
        <v>693</v>
      </c>
      <c r="DZ22" t="s">
        <v>726</v>
      </c>
      <c r="EA22" t="str">
        <f>"0.000811"</f>
        <v>0.000811</v>
      </c>
      <c r="EB22" t="s">
        <v>3557</v>
      </c>
      <c r="EC22" t="s">
        <v>575</v>
      </c>
      <c r="ED22" t="str">
        <f>"0.00136"</f>
        <v>0.00136</v>
      </c>
      <c r="EE22" t="s">
        <v>1120</v>
      </c>
      <c r="EF22" t="s">
        <v>582</v>
      </c>
      <c r="EG22" t="str">
        <f>"0.00192"</f>
        <v>0.00192</v>
      </c>
      <c r="EH22" t="s">
        <v>1002</v>
      </c>
      <c r="EI22" t="s">
        <v>694</v>
      </c>
      <c r="EJ22" t="str">
        <f>"0.00340"</f>
        <v>0.00340</v>
      </c>
      <c r="EK22" t="s">
        <v>1515</v>
      </c>
      <c r="EL22" t="s">
        <v>3651</v>
      </c>
      <c r="EM22" t="str">
        <f>"0.000331"</f>
        <v>0.000331</v>
      </c>
      <c r="EN22" t="s">
        <v>1450</v>
      </c>
      <c r="EO22" t="s">
        <v>577</v>
      </c>
      <c r="EP22" t="str">
        <f>"0.000911"</f>
        <v>0.000911</v>
      </c>
      <c r="EQ22" t="s">
        <v>897</v>
      </c>
      <c r="ER22" t="s">
        <v>725</v>
      </c>
      <c r="ES22" t="str">
        <f>"-0.000868"</f>
        <v>-0.000868</v>
      </c>
      <c r="ET22" t="s">
        <v>1195</v>
      </c>
      <c r="EU22" t="s">
        <v>680</v>
      </c>
      <c r="EV22" t="str">
        <f>"-0.00285"</f>
        <v>-0.00285</v>
      </c>
      <c r="EW22" t="s">
        <v>1077</v>
      </c>
      <c r="EX22" t="s">
        <v>1467</v>
      </c>
      <c r="EY22" t="str">
        <f>"-0.00241"</f>
        <v>-0.00241</v>
      </c>
      <c r="EZ22" t="s">
        <v>831</v>
      </c>
      <c r="FA22" t="s">
        <v>669</v>
      </c>
      <c r="FB22" t="str">
        <f>"0.00247"</f>
        <v>0.00247</v>
      </c>
      <c r="FC22" t="s">
        <v>1159</v>
      </c>
      <c r="FD22" t="s">
        <v>714</v>
      </c>
      <c r="FE22" t="str">
        <f>"0.00372"</f>
        <v>0.00372</v>
      </c>
      <c r="FF22" t="s">
        <v>1505</v>
      </c>
      <c r="FG22" t="s">
        <v>739</v>
      </c>
      <c r="FH22" t="str">
        <f>"-0.000916"</f>
        <v>-0.000916</v>
      </c>
      <c r="FI22" t="s">
        <v>349</v>
      </c>
      <c r="FJ22" t="s">
        <v>577</v>
      </c>
      <c r="FK22" t="str">
        <f>"0.000721"</f>
        <v>0.000721</v>
      </c>
      <c r="FL22" t="s">
        <v>1100</v>
      </c>
      <c r="FM22" t="s">
        <v>1009</v>
      </c>
      <c r="FN22" t="str">
        <f>"-0.00368"</f>
        <v>-0.00368</v>
      </c>
      <c r="FO22" t="s">
        <v>689</v>
      </c>
      <c r="FP22" t="s">
        <v>789</v>
      </c>
      <c r="FQ22" t="str">
        <f>"-0.00659"</f>
        <v>-0.00659</v>
      </c>
      <c r="FR22" t="s">
        <v>1385</v>
      </c>
      <c r="FS22" t="s">
        <v>799</v>
      </c>
      <c r="FT22" t="str">
        <f>"-0.00452"</f>
        <v>-0.00452</v>
      </c>
      <c r="FU22" t="s">
        <v>3593</v>
      </c>
      <c r="FV22" t="s">
        <v>1087</v>
      </c>
      <c r="FW22" t="str">
        <f>"-0.00951*"</f>
        <v>-0.00951*</v>
      </c>
      <c r="FX22" t="s">
        <v>3555</v>
      </c>
      <c r="FY22" t="s">
        <v>815</v>
      </c>
      <c r="FZ22" t="str">
        <f>"-0.0124**"</f>
        <v>-0.0124**</v>
      </c>
      <c r="GA22" t="s">
        <v>3023</v>
      </c>
      <c r="GB22" t="s">
        <v>1500</v>
      </c>
      <c r="GC22" t="str">
        <f>"-0.00857"</f>
        <v>-0.00857</v>
      </c>
      <c r="GD22" t="s">
        <v>3019</v>
      </c>
      <c r="GE22" t="s">
        <v>1196</v>
      </c>
      <c r="GF22" t="str">
        <f>"-0.00109"</f>
        <v>-0.00109</v>
      </c>
      <c r="GG22" t="s">
        <v>796</v>
      </c>
      <c r="GH22" t="s">
        <v>597</v>
      </c>
      <c r="GI22" t="str">
        <f>"0.00435"</f>
        <v>0.00435</v>
      </c>
      <c r="GJ22" t="s">
        <v>1003</v>
      </c>
      <c r="GK22" t="s">
        <v>1016</v>
      </c>
      <c r="GL22" t="str">
        <f>"0.00926*"</f>
        <v>0.00926*</v>
      </c>
      <c r="GM22" t="s">
        <v>979</v>
      </c>
      <c r="GN22" t="s">
        <v>984</v>
      </c>
      <c r="GO22" t="str">
        <f>"0.00706"</f>
        <v>0.00706</v>
      </c>
      <c r="GP22" t="s">
        <v>639</v>
      </c>
      <c r="GQ22" t="s">
        <v>2788</v>
      </c>
      <c r="GR22" t="str">
        <f>"0.0172***"</f>
        <v>0.0172***</v>
      </c>
      <c r="GS22" t="s">
        <v>297</v>
      </c>
      <c r="GT22" t="s">
        <v>4071</v>
      </c>
      <c r="GU22" t="str">
        <f>"0.0200***"</f>
        <v>0.0200***</v>
      </c>
      <c r="GV22" t="s">
        <v>1024</v>
      </c>
      <c r="GW22" t="s">
        <v>3536</v>
      </c>
      <c r="GX22" t="str">
        <f>"0.0137**"</f>
        <v>0.0137**</v>
      </c>
      <c r="GY22" t="s">
        <v>1017</v>
      </c>
      <c r="GZ22" t="s">
        <v>1481</v>
      </c>
      <c r="HA22" t="str">
        <f>"0.00670"</f>
        <v>0.00670</v>
      </c>
      <c r="HB22" t="s">
        <v>640</v>
      </c>
      <c r="HC22" t="s">
        <v>1023</v>
      </c>
      <c r="HD22" t="str">
        <f>"-0.00550"</f>
        <v>-0.00550</v>
      </c>
      <c r="HE22" t="s">
        <v>790</v>
      </c>
      <c r="HF22" t="s">
        <v>613</v>
      </c>
      <c r="HG22" t="str">
        <f>"-0.0139*"</f>
        <v>-0.0139*</v>
      </c>
      <c r="HH22" t="s">
        <v>1064</v>
      </c>
      <c r="HI22" t="s">
        <v>1511</v>
      </c>
      <c r="HJ22" t="str">
        <f>"-0.0129*"</f>
        <v>-0.0129*</v>
      </c>
      <c r="HK22" t="s">
        <v>1217</v>
      </c>
      <c r="HL22" t="s">
        <v>1454</v>
      </c>
      <c r="HM22" t="str">
        <f>"-0.00810"</f>
        <v>-0.00810</v>
      </c>
      <c r="HN22" t="s">
        <v>1065</v>
      </c>
      <c r="HO22" t="s">
        <v>584</v>
      </c>
      <c r="HP22" t="str">
        <f>"-0.00623"</f>
        <v>-0.00623</v>
      </c>
      <c r="HQ22" t="s">
        <v>501</v>
      </c>
      <c r="HR22" t="s">
        <v>592</v>
      </c>
      <c r="HS22" t="str">
        <f>"0.000247"</f>
        <v>0.000247</v>
      </c>
      <c r="HT22" t="s">
        <v>1112</v>
      </c>
      <c r="HU22" t="s">
        <v>996</v>
      </c>
      <c r="HV22" t="str">
        <f>"-0.0131*"</f>
        <v>-0.0131*</v>
      </c>
      <c r="HW22" t="s">
        <v>1217</v>
      </c>
      <c r="HX22" t="s">
        <v>1084</v>
      </c>
      <c r="HY22" t="str">
        <f>"-0.00912"</f>
        <v>-0.00912</v>
      </c>
      <c r="HZ22" t="s">
        <v>809</v>
      </c>
      <c r="IA22" t="s">
        <v>690</v>
      </c>
      <c r="IB22" t="str">
        <f>"-0.00540"</f>
        <v>-0.00540</v>
      </c>
      <c r="IC22" t="s">
        <v>501</v>
      </c>
      <c r="ID22" t="s">
        <v>3256</v>
      </c>
      <c r="IE22" t="str">
        <f>"-0.00146"</f>
        <v>-0.00146</v>
      </c>
      <c r="IF22" t="s">
        <v>4489</v>
      </c>
      <c r="IG22" t="s">
        <v>794</v>
      </c>
      <c r="IH22" t="str">
        <f>"0.00790"</f>
        <v>0.00790</v>
      </c>
      <c r="II22" t="s">
        <v>1002</v>
      </c>
      <c r="IJ22" t="s">
        <v>966</v>
      </c>
      <c r="IK22" t="str">
        <f>"0.00333"</f>
        <v>0.00333</v>
      </c>
      <c r="IL22" t="s">
        <v>3299</v>
      </c>
      <c r="IM22" t="s">
        <v>2788</v>
      </c>
      <c r="IN22" t="str">
        <f>"-0.0138"</f>
        <v>-0.0138</v>
      </c>
      <c r="IO22" t="s">
        <v>4720</v>
      </c>
      <c r="IP22" t="s">
        <v>1485</v>
      </c>
      <c r="IQ22" t="str">
        <f>"-0.0346***"</f>
        <v>-0.0346***</v>
      </c>
      <c r="IR22" t="s">
        <v>3526</v>
      </c>
      <c r="IS22" t="s">
        <v>839</v>
      </c>
      <c r="IT22" t="str">
        <f>"-0.0423***"</f>
        <v>-0.0423***</v>
      </c>
      <c r="IU22" t="s">
        <v>4721</v>
      </c>
      <c r="IV22" t="s">
        <v>4722</v>
      </c>
      <c r="IW22" t="str">
        <f>"-0.00696"</f>
        <v>-0.00696</v>
      </c>
      <c r="IX22" t="s">
        <v>805</v>
      </c>
      <c r="IY22" t="s">
        <v>573</v>
      </c>
      <c r="IZ22" t="str">
        <f>"-0.000272"</f>
        <v>-0.000272</v>
      </c>
      <c r="JA22" t="s">
        <v>4267</v>
      </c>
      <c r="JB22" t="s">
        <v>947</v>
      </c>
      <c r="JC22" t="str">
        <f>"0.00307"</f>
        <v>0.00307</v>
      </c>
      <c r="JD22" t="s">
        <v>1041</v>
      </c>
      <c r="JE22" t="s">
        <v>1535</v>
      </c>
      <c r="JF22" t="str">
        <f>"-0.0298**"</f>
        <v>-0.0298**</v>
      </c>
      <c r="JG22" t="s">
        <v>598</v>
      </c>
      <c r="JH22" t="s">
        <v>4723</v>
      </c>
      <c r="JI22" t="str">
        <f>"-0.0308***"</f>
        <v>-0.0308***</v>
      </c>
      <c r="JJ22" t="s">
        <v>4724</v>
      </c>
      <c r="JK22" t="s">
        <v>4670</v>
      </c>
      <c r="JL22" t="str">
        <f>"-0.0206*"</f>
        <v>-0.0206*</v>
      </c>
      <c r="JM22" t="s">
        <v>4725</v>
      </c>
      <c r="JN22" t="s">
        <v>825</v>
      </c>
      <c r="JO22" t="str">
        <f>"-0.00170"</f>
        <v>-0.00170</v>
      </c>
      <c r="JP22" t="s">
        <v>4527</v>
      </c>
      <c r="JQ22" t="s">
        <v>534</v>
      </c>
      <c r="JR22" t="str">
        <f>"-0.0270*"</f>
        <v>-0.0270*</v>
      </c>
      <c r="JS22" t="s">
        <v>523</v>
      </c>
      <c r="JT22" t="s">
        <v>949</v>
      </c>
      <c r="JU22" t="str">
        <f>"-0.0412**"</f>
        <v>-0.0412**</v>
      </c>
      <c r="JV22" t="s">
        <v>4726</v>
      </c>
      <c r="JW22" t="s">
        <v>2812</v>
      </c>
      <c r="JX22" t="str">
        <f>"-0.0393**"</f>
        <v>-0.0393**</v>
      </c>
      <c r="JY22" t="s">
        <v>3700</v>
      </c>
      <c r="JZ22" t="s">
        <v>1395</v>
      </c>
      <c r="KA22" t="str">
        <f>"-0.0628***"</f>
        <v>-0.0628***</v>
      </c>
      <c r="KB22" t="s">
        <v>3003</v>
      </c>
      <c r="KC22" t="s">
        <v>1409</v>
      </c>
      <c r="KD22" t="str">
        <f>"-0.0177"</f>
        <v>-0.0177</v>
      </c>
      <c r="KE22" t="s">
        <v>531</v>
      </c>
      <c r="KF22" t="s">
        <v>1001</v>
      </c>
      <c r="KG22" t="str">
        <f>"-0.0618**"</f>
        <v>-0.0618**</v>
      </c>
      <c r="KH22" t="s">
        <v>1344</v>
      </c>
      <c r="KI22" t="s">
        <v>4727</v>
      </c>
      <c r="KJ22" t="str">
        <f>"-0.0369"</f>
        <v>-0.0369</v>
      </c>
      <c r="KK22" t="s">
        <v>4672</v>
      </c>
      <c r="KL22" t="s">
        <v>951</v>
      </c>
    </row>
    <row r="23" spans="1:298" x14ac:dyDescent="0.2">
      <c r="A23" t="str">
        <f>"rural"</f>
        <v>rural</v>
      </c>
      <c r="B23" t="str">
        <f>"0.0324***"</f>
        <v>0.0324***</v>
      </c>
      <c r="C23" t="s">
        <v>2878</v>
      </c>
      <c r="D23" t="s">
        <v>617</v>
      </c>
      <c r="E23" t="str">
        <f>"0.0111"</f>
        <v>0.0111</v>
      </c>
      <c r="F23" t="s">
        <v>345</v>
      </c>
      <c r="G23" t="s">
        <v>563</v>
      </c>
      <c r="H23" t="str">
        <f>"-0.00558"</f>
        <v>-0.00558</v>
      </c>
      <c r="I23" t="s">
        <v>4728</v>
      </c>
      <c r="J23" t="s">
        <v>594</v>
      </c>
      <c r="K23" t="str">
        <f>"0.0195***"</f>
        <v>0.0195***</v>
      </c>
      <c r="L23" t="s">
        <v>1474</v>
      </c>
      <c r="M23" t="s">
        <v>546</v>
      </c>
      <c r="N23" t="str">
        <f>"-0.0129*"</f>
        <v>-0.0129*</v>
      </c>
      <c r="O23" t="s">
        <v>497</v>
      </c>
      <c r="P23" t="s">
        <v>1063</v>
      </c>
      <c r="Q23" t="str">
        <f>"0.00346"</f>
        <v>0.00346</v>
      </c>
      <c r="R23" t="s">
        <v>914</v>
      </c>
      <c r="S23" t="s">
        <v>946</v>
      </c>
      <c r="T23" t="str">
        <f>"-0.00243"</f>
        <v>-0.00243</v>
      </c>
      <c r="U23" t="s">
        <v>3291</v>
      </c>
      <c r="V23" t="s">
        <v>702</v>
      </c>
      <c r="W23" t="str">
        <f>"-0.00215"</f>
        <v>-0.00215</v>
      </c>
      <c r="X23" t="s">
        <v>3298</v>
      </c>
      <c r="Y23" t="s">
        <v>605</v>
      </c>
      <c r="Z23" t="str">
        <f>"0.00138"</f>
        <v>0.00138</v>
      </c>
      <c r="AA23" t="s">
        <v>1505</v>
      </c>
      <c r="AB23" t="s">
        <v>1004</v>
      </c>
      <c r="AC23" t="str">
        <f>"-0.00867**"</f>
        <v>-0.00867**</v>
      </c>
      <c r="AD23" t="s">
        <v>816</v>
      </c>
      <c r="AE23" t="s">
        <v>1500</v>
      </c>
      <c r="AF23" t="str">
        <f>"-0.00626*"</f>
        <v>-0.00626*</v>
      </c>
      <c r="AG23" t="s">
        <v>2816</v>
      </c>
      <c r="AH23" t="s">
        <v>812</v>
      </c>
      <c r="AI23" t="str">
        <f>"0.00507**"</f>
        <v>0.00507**</v>
      </c>
      <c r="AJ23" t="s">
        <v>695</v>
      </c>
      <c r="AK23" t="s">
        <v>582</v>
      </c>
      <c r="AL23" t="str">
        <f>"0.00246"</f>
        <v>0.00246</v>
      </c>
      <c r="AM23" t="s">
        <v>931</v>
      </c>
      <c r="AN23" t="s">
        <v>592</v>
      </c>
      <c r="AO23" t="str">
        <f>"0.00174"</f>
        <v>0.00174</v>
      </c>
      <c r="AP23" t="s">
        <v>935</v>
      </c>
      <c r="AQ23" t="s">
        <v>951</v>
      </c>
      <c r="AR23" t="str">
        <f>"-0.000730"</f>
        <v>-0.000730</v>
      </c>
      <c r="AS23" t="s">
        <v>345</v>
      </c>
      <c r="AT23" t="s">
        <v>913</v>
      </c>
      <c r="AU23" t="str">
        <f>"-0.000618"</f>
        <v>-0.000618</v>
      </c>
      <c r="AV23" t="s">
        <v>922</v>
      </c>
      <c r="AW23" t="s">
        <v>588</v>
      </c>
      <c r="AX23" t="str">
        <f>"0.000513"</f>
        <v>0.000513</v>
      </c>
      <c r="AY23" t="s">
        <v>932</v>
      </c>
      <c r="AZ23" t="s">
        <v>667</v>
      </c>
      <c r="BA23" t="str">
        <f>"0.00115"</f>
        <v>0.00115</v>
      </c>
      <c r="BB23" t="s">
        <v>707</v>
      </c>
      <c r="BC23" t="s">
        <v>915</v>
      </c>
      <c r="BD23" t="str">
        <f>"0.00177*"</f>
        <v>0.00177*</v>
      </c>
      <c r="BE23" t="s">
        <v>979</v>
      </c>
      <c r="BF23" t="s">
        <v>601</v>
      </c>
      <c r="BG23" t="str">
        <f>"0.00132"</f>
        <v>0.00132</v>
      </c>
      <c r="BH23" t="s">
        <v>929</v>
      </c>
      <c r="BI23" t="s">
        <v>917</v>
      </c>
      <c r="BJ23" t="str">
        <f>"0.00168*"</f>
        <v>0.00168*</v>
      </c>
      <c r="BK23" t="s">
        <v>736</v>
      </c>
      <c r="BL23" t="s">
        <v>907</v>
      </c>
      <c r="BM23" t="str">
        <f>"0.00238**"</f>
        <v>0.00238**</v>
      </c>
      <c r="BN23" t="s">
        <v>927</v>
      </c>
      <c r="BO23" t="s">
        <v>699</v>
      </c>
      <c r="BP23" t="str">
        <f>"0.00218**"</f>
        <v>0.00218**</v>
      </c>
      <c r="BQ23" t="s">
        <v>730</v>
      </c>
      <c r="BR23" t="s">
        <v>829</v>
      </c>
      <c r="BS23" t="str">
        <f>"0.00215**"</f>
        <v>0.00215**</v>
      </c>
      <c r="BT23" t="s">
        <v>730</v>
      </c>
      <c r="BU23" t="s">
        <v>603</v>
      </c>
      <c r="BV23" t="str">
        <f>"0.00195**"</f>
        <v>0.00195**</v>
      </c>
      <c r="BW23" t="s">
        <v>719</v>
      </c>
      <c r="BX23" t="s">
        <v>690</v>
      </c>
      <c r="BY23" t="str">
        <f>"0.00180*"</f>
        <v>0.00180*</v>
      </c>
      <c r="BZ23" t="s">
        <v>683</v>
      </c>
      <c r="CA23" t="s">
        <v>692</v>
      </c>
      <c r="CB23" t="str">
        <f>"0.00138"</f>
        <v>0.00138</v>
      </c>
      <c r="CC23" t="s">
        <v>930</v>
      </c>
      <c r="CD23" t="s">
        <v>701</v>
      </c>
      <c r="CE23" t="str">
        <f>"0.000763"</f>
        <v>0.000763</v>
      </c>
      <c r="CF23" t="s">
        <v>684</v>
      </c>
      <c r="CG23" t="s">
        <v>685</v>
      </c>
      <c r="CH23" t="str">
        <f>"0.000606"</f>
        <v>0.000606</v>
      </c>
      <c r="CI23" t="s">
        <v>707</v>
      </c>
      <c r="CJ23" t="s">
        <v>912</v>
      </c>
      <c r="CK23" t="str">
        <f>"-0.000544"</f>
        <v>-0.000544</v>
      </c>
      <c r="CL23" t="s">
        <v>1014</v>
      </c>
      <c r="CM23" t="s">
        <v>938</v>
      </c>
      <c r="CN23" t="str">
        <f>"-0.000954"</f>
        <v>-0.000954</v>
      </c>
      <c r="CO23" t="s">
        <v>1012</v>
      </c>
      <c r="CP23" t="s">
        <v>709</v>
      </c>
      <c r="CQ23" t="str">
        <f>"-0.000943"</f>
        <v>-0.000943</v>
      </c>
      <c r="CR23" t="s">
        <v>1012</v>
      </c>
      <c r="CS23" t="s">
        <v>709</v>
      </c>
      <c r="CT23" t="str">
        <f>"-0.000546"</f>
        <v>-0.000546</v>
      </c>
      <c r="CU23" t="s">
        <v>1014</v>
      </c>
      <c r="CV23" t="s">
        <v>938</v>
      </c>
      <c r="CW23" t="str">
        <f>"-0.000551"</f>
        <v>-0.000551</v>
      </c>
      <c r="CX23" t="s">
        <v>933</v>
      </c>
      <c r="CY23" t="s">
        <v>937</v>
      </c>
      <c r="CZ23" t="str">
        <f>"-0.000626"</f>
        <v>-0.000626</v>
      </c>
      <c r="DA23" t="s">
        <v>717</v>
      </c>
      <c r="DB23" t="s">
        <v>937</v>
      </c>
      <c r="DC23" t="str">
        <f>"-0.000680"</f>
        <v>-0.000680</v>
      </c>
      <c r="DD23" t="s">
        <v>639</v>
      </c>
      <c r="DE23" t="s">
        <v>938</v>
      </c>
      <c r="DF23" t="str">
        <f>"-0.000780"</f>
        <v>-0.000780</v>
      </c>
      <c r="DG23" t="s">
        <v>1012</v>
      </c>
      <c r="DH23" t="s">
        <v>1457</v>
      </c>
      <c r="DI23" t="str">
        <f>"-0.000356"</f>
        <v>-0.000356</v>
      </c>
      <c r="DJ23" t="s">
        <v>1014</v>
      </c>
      <c r="DK23" t="s">
        <v>675</v>
      </c>
      <c r="DL23" t="str">
        <f>"0.0000786"</f>
        <v>0.0000786</v>
      </c>
      <c r="DM23" t="s">
        <v>916</v>
      </c>
      <c r="DN23" t="s">
        <v>588</v>
      </c>
      <c r="DO23" t="str">
        <f>"0.000410"</f>
        <v>0.000410</v>
      </c>
      <c r="DP23" t="s">
        <v>935</v>
      </c>
      <c r="DQ23" t="s">
        <v>800</v>
      </c>
      <c r="DR23" t="str">
        <f>"0.000750"</f>
        <v>0.000750</v>
      </c>
      <c r="DS23" t="s">
        <v>931</v>
      </c>
      <c r="DT23" t="s">
        <v>921</v>
      </c>
      <c r="DU23" t="str">
        <f>"0.000598"</f>
        <v>0.000598</v>
      </c>
      <c r="DV23" t="s">
        <v>435</v>
      </c>
      <c r="DW23" t="s">
        <v>799</v>
      </c>
      <c r="DX23" t="str">
        <f>"0.000648"</f>
        <v>0.000648</v>
      </c>
      <c r="DY23" t="s">
        <v>647</v>
      </c>
      <c r="DZ23" t="s">
        <v>799</v>
      </c>
      <c r="EA23" t="str">
        <f>"0.000704"</f>
        <v>0.000704</v>
      </c>
      <c r="EB23" t="s">
        <v>931</v>
      </c>
      <c r="EC23" t="s">
        <v>921</v>
      </c>
      <c r="ED23" t="str">
        <f>"0.000502"</f>
        <v>0.000502</v>
      </c>
      <c r="EE23" t="s">
        <v>435</v>
      </c>
      <c r="EF23" t="s">
        <v>800</v>
      </c>
      <c r="EG23" t="str">
        <f>"0.000666"</f>
        <v>0.000666</v>
      </c>
      <c r="EH23" t="s">
        <v>647</v>
      </c>
      <c r="EI23" t="s">
        <v>799</v>
      </c>
      <c r="EJ23" t="str">
        <f>"0.000689"</f>
        <v>0.000689</v>
      </c>
      <c r="EK23" t="s">
        <v>931</v>
      </c>
      <c r="EL23" t="s">
        <v>799</v>
      </c>
      <c r="EM23" t="str">
        <f>"0.000264"</f>
        <v>0.000264</v>
      </c>
      <c r="EN23" t="s">
        <v>674</v>
      </c>
      <c r="EO23" t="s">
        <v>913</v>
      </c>
      <c r="EP23" t="str">
        <f>"-0.0000133"</f>
        <v>-0.0000133</v>
      </c>
      <c r="EQ23" t="s">
        <v>916</v>
      </c>
      <c r="ER23" t="s">
        <v>918</v>
      </c>
      <c r="ES23" t="str">
        <f>"-0.000480"</f>
        <v>-0.000480</v>
      </c>
      <c r="ET23" t="s">
        <v>933</v>
      </c>
      <c r="EU23" t="s">
        <v>936</v>
      </c>
      <c r="EV23" t="str">
        <f>"-0.000777"</f>
        <v>-0.000777</v>
      </c>
      <c r="EW23" t="s">
        <v>945</v>
      </c>
      <c r="EX23" t="s">
        <v>938</v>
      </c>
      <c r="EY23" t="str">
        <f>"-0.000340"</f>
        <v>-0.000340</v>
      </c>
      <c r="EZ23" t="s">
        <v>933</v>
      </c>
      <c r="FA23" t="s">
        <v>1067</v>
      </c>
      <c r="FB23" t="str">
        <f>"0.000387"</f>
        <v>0.000387</v>
      </c>
      <c r="FC23" t="s">
        <v>674</v>
      </c>
      <c r="FD23" t="s">
        <v>800</v>
      </c>
      <c r="FE23" t="str">
        <f>"0.000464"</f>
        <v>0.000464</v>
      </c>
      <c r="FF23" t="s">
        <v>636</v>
      </c>
      <c r="FG23" t="s">
        <v>685</v>
      </c>
      <c r="FH23" t="str">
        <f>"0.000289"</f>
        <v>0.000289</v>
      </c>
      <c r="FI23" t="s">
        <v>932</v>
      </c>
      <c r="FJ23" t="s">
        <v>800</v>
      </c>
      <c r="FK23" t="str">
        <f>"0.000466"</f>
        <v>0.000466</v>
      </c>
      <c r="FL23" t="s">
        <v>636</v>
      </c>
      <c r="FM23" t="s">
        <v>799</v>
      </c>
      <c r="FN23" t="str">
        <f>"0.000202"</f>
        <v>0.000202</v>
      </c>
      <c r="FO23" t="s">
        <v>916</v>
      </c>
      <c r="FP23" t="s">
        <v>912</v>
      </c>
      <c r="FQ23" t="str">
        <f>"0.0000392"</f>
        <v>0.0000392</v>
      </c>
      <c r="FR23" t="s">
        <v>681</v>
      </c>
      <c r="FS23" t="s">
        <v>913</v>
      </c>
      <c r="FT23" t="str">
        <f>"0.000226"</f>
        <v>0.000226</v>
      </c>
      <c r="FU23" t="s">
        <v>916</v>
      </c>
      <c r="FV23" t="s">
        <v>800</v>
      </c>
      <c r="FW23" t="str">
        <f>"0.0000777"</f>
        <v>0.0000777</v>
      </c>
      <c r="FX23" t="s">
        <v>681</v>
      </c>
      <c r="FY23" t="s">
        <v>913</v>
      </c>
      <c r="FZ23" t="str">
        <f>"0.0000784"</f>
        <v>0.0000784</v>
      </c>
      <c r="GA23" t="s">
        <v>681</v>
      </c>
      <c r="GB23" t="s">
        <v>913</v>
      </c>
      <c r="GC23" t="str">
        <f>"0.000485"</f>
        <v>0.000485</v>
      </c>
      <c r="GD23" t="s">
        <v>674</v>
      </c>
      <c r="GE23" t="s">
        <v>799</v>
      </c>
      <c r="GF23" t="str">
        <f>"0.000954"</f>
        <v>0.000954</v>
      </c>
      <c r="GG23" t="s">
        <v>931</v>
      </c>
      <c r="GH23" t="s">
        <v>701</v>
      </c>
      <c r="GI23" t="str">
        <f>"0.00167"</f>
        <v>0.00167</v>
      </c>
      <c r="GJ23" t="s">
        <v>1458</v>
      </c>
      <c r="GK23" t="s">
        <v>601</v>
      </c>
      <c r="GL23" t="str">
        <f>"0.00219*"</f>
        <v>0.00219*</v>
      </c>
      <c r="GM23" t="s">
        <v>683</v>
      </c>
      <c r="GN23" t="s">
        <v>696</v>
      </c>
      <c r="GO23" t="str">
        <f>"0.00265**"</f>
        <v>0.00265**</v>
      </c>
      <c r="GP23" t="s">
        <v>926</v>
      </c>
      <c r="GQ23" t="s">
        <v>928</v>
      </c>
      <c r="GR23" t="str">
        <f>"0.00272**"</f>
        <v>0.00272**</v>
      </c>
      <c r="GS23" t="s">
        <v>927</v>
      </c>
      <c r="GT23" t="s">
        <v>928</v>
      </c>
      <c r="GU23" t="str">
        <f>"0.00205*"</f>
        <v>0.00205*</v>
      </c>
      <c r="GV23" t="s">
        <v>708</v>
      </c>
      <c r="GW23" t="s">
        <v>590</v>
      </c>
      <c r="GX23" t="str">
        <f>"0.00272**"</f>
        <v>0.00272**</v>
      </c>
      <c r="GY23" t="s">
        <v>924</v>
      </c>
      <c r="GZ23" t="s">
        <v>928</v>
      </c>
      <c r="HA23" t="str">
        <f>"0.00256**"</f>
        <v>0.00256**</v>
      </c>
      <c r="HB23" t="s">
        <v>730</v>
      </c>
      <c r="HC23" t="s">
        <v>1087</v>
      </c>
      <c r="HD23" t="str">
        <f>"0.00147"</f>
        <v>0.00147</v>
      </c>
      <c r="HE23" t="s">
        <v>734</v>
      </c>
      <c r="HF23" t="s">
        <v>603</v>
      </c>
      <c r="HG23" t="str">
        <f>"0.00181"</f>
        <v>0.00181</v>
      </c>
      <c r="HH23" t="s">
        <v>347</v>
      </c>
      <c r="HI23" t="s">
        <v>671</v>
      </c>
      <c r="HJ23" t="str">
        <f>"0.00129"</f>
        <v>0.00129</v>
      </c>
      <c r="HK23" t="s">
        <v>647</v>
      </c>
      <c r="HL23" t="s">
        <v>603</v>
      </c>
      <c r="HM23" t="str">
        <f>"0.00198"</f>
        <v>0.00198</v>
      </c>
      <c r="HN23" t="s">
        <v>786</v>
      </c>
      <c r="HO23" t="s">
        <v>584</v>
      </c>
      <c r="HP23" t="str">
        <f>"0.00250*"</f>
        <v>0.00250*</v>
      </c>
      <c r="HQ23" t="s">
        <v>708</v>
      </c>
      <c r="HR23" t="s">
        <v>951</v>
      </c>
      <c r="HS23" t="str">
        <f>"0.00340**"</f>
        <v>0.00340**</v>
      </c>
      <c r="HT23" t="s">
        <v>1488</v>
      </c>
      <c r="HU23" t="s">
        <v>669</v>
      </c>
      <c r="HV23" t="str">
        <f>"0.00320**"</f>
        <v>0.00320**</v>
      </c>
      <c r="HW23" t="s">
        <v>924</v>
      </c>
      <c r="HX23" t="s">
        <v>710</v>
      </c>
      <c r="HY23" t="str">
        <f>"0.00330**"</f>
        <v>0.00330**</v>
      </c>
      <c r="HZ23" t="s">
        <v>924</v>
      </c>
      <c r="IA23" t="s">
        <v>669</v>
      </c>
      <c r="IB23" t="str">
        <f>"0.00252*"</f>
        <v>0.00252*</v>
      </c>
      <c r="IC23" t="s">
        <v>722</v>
      </c>
      <c r="ID23" t="s">
        <v>925</v>
      </c>
      <c r="IE23" t="str">
        <f>"0.00229"</f>
        <v>0.00229</v>
      </c>
      <c r="IF23" t="s">
        <v>930</v>
      </c>
      <c r="IG23" t="s">
        <v>605</v>
      </c>
      <c r="IH23" t="str">
        <f>"0.00219"</f>
        <v>0.00219</v>
      </c>
      <c r="II23" t="s">
        <v>1458</v>
      </c>
      <c r="IJ23" t="s">
        <v>928</v>
      </c>
      <c r="IK23" t="str">
        <f>"0.00226"</f>
        <v>0.00226</v>
      </c>
      <c r="IL23" t="s">
        <v>930</v>
      </c>
      <c r="IM23" t="s">
        <v>928</v>
      </c>
      <c r="IN23" t="str">
        <f>"0.000852"</f>
        <v>0.000852</v>
      </c>
      <c r="IO23" t="s">
        <v>932</v>
      </c>
      <c r="IP23" t="s">
        <v>692</v>
      </c>
      <c r="IQ23" t="str">
        <f>"-0.000577"</f>
        <v>-0.000577</v>
      </c>
      <c r="IR23" t="s">
        <v>677</v>
      </c>
      <c r="IS23" t="s">
        <v>912</v>
      </c>
      <c r="IT23" t="str">
        <f>"-0.00184"</f>
        <v>-0.00184</v>
      </c>
      <c r="IU23" t="s">
        <v>693</v>
      </c>
      <c r="IV23" t="s">
        <v>938</v>
      </c>
      <c r="IW23" t="str">
        <f>"0.000191"</f>
        <v>0.000191</v>
      </c>
      <c r="IX23" t="s">
        <v>911</v>
      </c>
      <c r="IY23" t="s">
        <v>917</v>
      </c>
      <c r="IZ23" t="str">
        <f>"0.000790"</f>
        <v>0.000790</v>
      </c>
      <c r="JA23" t="s">
        <v>652</v>
      </c>
      <c r="JB23" t="s">
        <v>601</v>
      </c>
      <c r="JC23" t="str">
        <f>"0.00113"</f>
        <v>0.00113</v>
      </c>
      <c r="JD23" t="s">
        <v>674</v>
      </c>
      <c r="JE23" t="s">
        <v>829</v>
      </c>
      <c r="JF23" t="str">
        <f>"0.000645"</f>
        <v>0.000645</v>
      </c>
      <c r="JG23" t="s">
        <v>639</v>
      </c>
      <c r="JH23" t="s">
        <v>601</v>
      </c>
      <c r="JI23" t="str">
        <f>"-0.000141"</f>
        <v>-0.000141</v>
      </c>
      <c r="JJ23" t="s">
        <v>677</v>
      </c>
      <c r="JK23" t="s">
        <v>701</v>
      </c>
      <c r="JL23" t="str">
        <f>"-0.000843"</f>
        <v>-0.000843</v>
      </c>
      <c r="JM23" t="s">
        <v>919</v>
      </c>
      <c r="JN23" t="s">
        <v>913</v>
      </c>
      <c r="JO23" t="str">
        <f>"0.0000166"</f>
        <v>0.0000166</v>
      </c>
      <c r="JP23" t="s">
        <v>920</v>
      </c>
      <c r="JQ23" t="s">
        <v>917</v>
      </c>
      <c r="JR23" t="str">
        <f>"-0.00189"</f>
        <v>-0.00189</v>
      </c>
      <c r="JS23" t="s">
        <v>1514</v>
      </c>
      <c r="JT23" t="s">
        <v>913</v>
      </c>
      <c r="JU23" t="str">
        <f>"-0.00320"</f>
        <v>-0.00320</v>
      </c>
      <c r="JV23" t="s">
        <v>781</v>
      </c>
      <c r="JW23" t="s">
        <v>709</v>
      </c>
      <c r="JX23" t="str">
        <f>"-0.00326"</f>
        <v>-0.00326</v>
      </c>
      <c r="JY23" t="s">
        <v>648</v>
      </c>
      <c r="JZ23" t="s">
        <v>938</v>
      </c>
      <c r="KA23" t="str">
        <f>"-0.00420*"</f>
        <v>-0.00420*</v>
      </c>
      <c r="KB23" t="s">
        <v>948</v>
      </c>
      <c r="KC23" t="s">
        <v>970</v>
      </c>
      <c r="KD23" t="str">
        <f>"-0.00334"</f>
        <v>-0.00334</v>
      </c>
      <c r="KE23" t="s">
        <v>303</v>
      </c>
      <c r="KF23" t="s">
        <v>937</v>
      </c>
      <c r="KG23" t="str">
        <f>"-0.00479"</f>
        <v>-0.00479</v>
      </c>
      <c r="KH23" t="s">
        <v>831</v>
      </c>
      <c r="KI23" t="s">
        <v>1457</v>
      </c>
      <c r="KJ23" t="str">
        <f>"-0.000481"</f>
        <v>-0.000481</v>
      </c>
      <c r="KK23" t="s">
        <v>1450</v>
      </c>
      <c r="KL23" t="s">
        <v>791</v>
      </c>
    </row>
    <row r="24" spans="1:298" x14ac:dyDescent="0.2">
      <c r="A24" t="str">
        <f>"formal"</f>
        <v>formal</v>
      </c>
      <c r="B24" t="str">
        <f>"-0.0715***"</f>
        <v>-0.0715***</v>
      </c>
      <c r="C24" t="s">
        <v>4729</v>
      </c>
      <c r="D24" t="s">
        <v>4730</v>
      </c>
      <c r="E24" t="str">
        <f>"-0.0300*"</f>
        <v>-0.0300*</v>
      </c>
      <c r="F24" t="s">
        <v>3683</v>
      </c>
      <c r="G24" t="s">
        <v>847</v>
      </c>
      <c r="H24" t="str">
        <f>"0.0347**"</f>
        <v>0.0347**</v>
      </c>
      <c r="I24" t="s">
        <v>4451</v>
      </c>
      <c r="J24" t="s">
        <v>4731</v>
      </c>
      <c r="K24" t="str">
        <f>"-0.108***"</f>
        <v>-0.108***</v>
      </c>
      <c r="L24" t="s">
        <v>3807</v>
      </c>
      <c r="M24" t="s">
        <v>1143</v>
      </c>
      <c r="N24" t="str">
        <f>"0.104***"</f>
        <v>0.104***</v>
      </c>
      <c r="O24" t="s">
        <v>4035</v>
      </c>
      <c r="P24" t="s">
        <v>4732</v>
      </c>
      <c r="Q24" t="str">
        <f>"-0.0486***"</f>
        <v>-0.0486***</v>
      </c>
      <c r="R24" t="s">
        <v>463</v>
      </c>
      <c r="S24" t="s">
        <v>4733</v>
      </c>
      <c r="T24" t="str">
        <f>"0.0270**"</f>
        <v>0.0270**</v>
      </c>
      <c r="U24" t="s">
        <v>1554</v>
      </c>
      <c r="V24" t="s">
        <v>1921</v>
      </c>
      <c r="W24" t="str">
        <f>"0.0232*"</f>
        <v>0.0232*</v>
      </c>
      <c r="X24" t="s">
        <v>993</v>
      </c>
      <c r="Y24" t="s">
        <v>1625</v>
      </c>
      <c r="Z24" t="str">
        <f>"-0.0102"</f>
        <v>-0.0102</v>
      </c>
      <c r="AA24" t="s">
        <v>1176</v>
      </c>
      <c r="AB24" t="s">
        <v>567</v>
      </c>
      <c r="AC24" t="str">
        <f>"0.115***"</f>
        <v>0.115***</v>
      </c>
      <c r="AD24" t="s">
        <v>1775</v>
      </c>
      <c r="AE24" t="s">
        <v>4734</v>
      </c>
      <c r="AF24" t="str">
        <f>"0.103***"</f>
        <v>0.103***</v>
      </c>
      <c r="AG24" t="s">
        <v>2926</v>
      </c>
      <c r="AH24" t="s">
        <v>1813</v>
      </c>
      <c r="AI24" t="str">
        <f>"-0.0341***"</f>
        <v>-0.0341***</v>
      </c>
      <c r="AJ24" t="s">
        <v>895</v>
      </c>
      <c r="AK24" t="s">
        <v>4539</v>
      </c>
      <c r="AL24" t="str">
        <f>"0.0162**"</f>
        <v>0.0162**</v>
      </c>
      <c r="AM24" t="s">
        <v>1000</v>
      </c>
      <c r="AN24" t="s">
        <v>2872</v>
      </c>
      <c r="AO24" t="str">
        <f>"0.0346***"</f>
        <v>0.0346***</v>
      </c>
      <c r="AP24" t="s">
        <v>1650</v>
      </c>
      <c r="AQ24" t="s">
        <v>4714</v>
      </c>
      <c r="AR24" t="str">
        <f>"0.0545***"</f>
        <v>0.0545***</v>
      </c>
      <c r="AS24" t="s">
        <v>4353</v>
      </c>
      <c r="AT24" t="s">
        <v>1157</v>
      </c>
      <c r="AU24" t="str">
        <f>"0.0371***"</f>
        <v>0.0371***</v>
      </c>
      <c r="AV24" t="s">
        <v>4735</v>
      </c>
      <c r="AW24" t="s">
        <v>1149</v>
      </c>
      <c r="AX24" t="str">
        <f>"0.0139***"</f>
        <v>0.0139***</v>
      </c>
      <c r="AY24" t="s">
        <v>1556</v>
      </c>
      <c r="AZ24" t="s">
        <v>2875</v>
      </c>
      <c r="BA24" t="str">
        <f>"0.00336"</f>
        <v>0.00336</v>
      </c>
      <c r="BB24" t="s">
        <v>640</v>
      </c>
      <c r="BC24" t="s">
        <v>1005</v>
      </c>
      <c r="BD24" t="str">
        <f>"-0.00113"</f>
        <v>-0.00113</v>
      </c>
      <c r="BE24" t="s">
        <v>1117</v>
      </c>
      <c r="BF24" t="s">
        <v>713</v>
      </c>
      <c r="BG24" t="str">
        <f>"-0.00380"</f>
        <v>-0.00380</v>
      </c>
      <c r="BH24" t="s">
        <v>3299</v>
      </c>
      <c r="BI24" t="s">
        <v>685</v>
      </c>
      <c r="BJ24" t="str">
        <f>"-0.0110***"</f>
        <v>-0.0110***</v>
      </c>
      <c r="BK24" t="s">
        <v>790</v>
      </c>
      <c r="BL24" t="s">
        <v>2847</v>
      </c>
      <c r="BM24" t="str">
        <f>"-0.0252***"</f>
        <v>-0.0252***</v>
      </c>
      <c r="BN24" t="s">
        <v>1177</v>
      </c>
      <c r="BO24" t="s">
        <v>839</v>
      </c>
      <c r="BP24" t="str">
        <f>"-0.0176***"</f>
        <v>-0.0176***</v>
      </c>
      <c r="BQ24" t="s">
        <v>2823</v>
      </c>
      <c r="BR24" t="s">
        <v>1104</v>
      </c>
      <c r="BS24" t="str">
        <f>"-0.00533"</f>
        <v>-0.00533</v>
      </c>
      <c r="BT24" t="s">
        <v>3352</v>
      </c>
      <c r="BU24" t="s">
        <v>661</v>
      </c>
      <c r="BV24" t="str">
        <f>"0.00510"</f>
        <v>0.00510</v>
      </c>
      <c r="BW24" t="s">
        <v>347</v>
      </c>
      <c r="BX24" t="s">
        <v>1553</v>
      </c>
      <c r="BY24" t="str">
        <f>"0.0138***"</f>
        <v>0.0138***</v>
      </c>
      <c r="BZ24" t="s">
        <v>1048</v>
      </c>
      <c r="CA24" t="s">
        <v>2874</v>
      </c>
      <c r="CB24" t="str">
        <f>"0.0159***"</f>
        <v>0.0159***</v>
      </c>
      <c r="CC24" t="s">
        <v>1496</v>
      </c>
      <c r="CD24" t="s">
        <v>787</v>
      </c>
      <c r="CE24" t="str">
        <f>"0.0141***"</f>
        <v>0.0141***</v>
      </c>
      <c r="CF24" t="s">
        <v>447</v>
      </c>
      <c r="CG24" t="s">
        <v>1520</v>
      </c>
      <c r="CH24" t="str">
        <f>"0.0144***"</f>
        <v>0.0144***</v>
      </c>
      <c r="CI24" t="s">
        <v>1729</v>
      </c>
      <c r="CJ24" t="s">
        <v>4736</v>
      </c>
      <c r="CK24" t="str">
        <f>"0.0101***"</f>
        <v>0.0101***</v>
      </c>
      <c r="CL24" t="s">
        <v>745</v>
      </c>
      <c r="CM24" t="s">
        <v>607</v>
      </c>
      <c r="CN24" t="str">
        <f>"0.0186***"</f>
        <v>0.0186***</v>
      </c>
      <c r="CO24" t="s">
        <v>1534</v>
      </c>
      <c r="CP24" t="s">
        <v>1126</v>
      </c>
      <c r="CQ24" t="str">
        <f>"0.0167***"</f>
        <v>0.0167***</v>
      </c>
      <c r="CR24" t="s">
        <v>1545</v>
      </c>
      <c r="CS24" t="s">
        <v>1678</v>
      </c>
      <c r="CT24" t="str">
        <f>"0.0133***"</f>
        <v>0.0133***</v>
      </c>
      <c r="CU24" t="s">
        <v>942</v>
      </c>
      <c r="CV24" t="s">
        <v>1232</v>
      </c>
      <c r="CW24" t="str">
        <f>"0.0151***"</f>
        <v>0.0151***</v>
      </c>
      <c r="CX24" t="s">
        <v>3258</v>
      </c>
      <c r="CY24" t="s">
        <v>787</v>
      </c>
      <c r="CZ24" t="str">
        <f>"0.0181***"</f>
        <v>0.0181***</v>
      </c>
      <c r="DA24" t="s">
        <v>4711</v>
      </c>
      <c r="DB24" t="s">
        <v>3154</v>
      </c>
      <c r="DC24" t="str">
        <f>"0.0118***"</f>
        <v>0.0118***</v>
      </c>
      <c r="DD24" t="s">
        <v>370</v>
      </c>
      <c r="DE24" t="s">
        <v>4454</v>
      </c>
      <c r="DF24" t="str">
        <f>"0.00703*"</f>
        <v>0.00703*</v>
      </c>
      <c r="DG24" t="s">
        <v>736</v>
      </c>
      <c r="DH24" t="s">
        <v>1056</v>
      </c>
      <c r="DI24" t="str">
        <f>"0.00696"</f>
        <v>0.00696</v>
      </c>
      <c r="DJ24" t="s">
        <v>738</v>
      </c>
      <c r="DK24" t="s">
        <v>1056</v>
      </c>
      <c r="DL24" t="str">
        <f>"0.0112**"</f>
        <v>0.0112**</v>
      </c>
      <c r="DM24" t="s">
        <v>1015</v>
      </c>
      <c r="DN24" t="s">
        <v>1130</v>
      </c>
      <c r="DO24" t="str">
        <f>"0.0136***"</f>
        <v>0.0136***</v>
      </c>
      <c r="DP24" t="s">
        <v>2822</v>
      </c>
      <c r="DQ24" t="s">
        <v>2875</v>
      </c>
      <c r="DR24" t="str">
        <f>"0.0123**"</f>
        <v>0.0123**</v>
      </c>
      <c r="DS24" t="s">
        <v>370</v>
      </c>
      <c r="DT24" t="s">
        <v>3535</v>
      </c>
      <c r="DU24" t="str">
        <f>"0.0101**"</f>
        <v>0.0101**</v>
      </c>
      <c r="DV24" t="s">
        <v>1050</v>
      </c>
      <c r="DW24" t="s">
        <v>1021</v>
      </c>
      <c r="DX24" t="str">
        <f>"0.00935*"</f>
        <v>0.00935*</v>
      </c>
      <c r="DY24" t="s">
        <v>638</v>
      </c>
      <c r="DZ24" t="s">
        <v>1532</v>
      </c>
      <c r="EA24" t="str">
        <f>"0.0127***"</f>
        <v>0.0127***</v>
      </c>
      <c r="EB24" t="s">
        <v>1053</v>
      </c>
      <c r="EC24" t="s">
        <v>1125</v>
      </c>
      <c r="ED24" t="str">
        <f>"0.0249***"</f>
        <v>0.0249***</v>
      </c>
      <c r="EE24" t="s">
        <v>1664</v>
      </c>
      <c r="EF24" t="s">
        <v>556</v>
      </c>
      <c r="EG24" t="str">
        <f>"0.0276***"</f>
        <v>0.0276***</v>
      </c>
      <c r="EH24" t="s">
        <v>3540</v>
      </c>
      <c r="EI24" t="s">
        <v>2871</v>
      </c>
      <c r="EJ24" t="str">
        <f>"0.0180***"</f>
        <v>0.0180***</v>
      </c>
      <c r="EK24" t="s">
        <v>1474</v>
      </c>
      <c r="EL24" t="s">
        <v>635</v>
      </c>
      <c r="EM24" t="str">
        <f>"0.0162***"</f>
        <v>0.0162***</v>
      </c>
      <c r="EN24" t="s">
        <v>1729</v>
      </c>
      <c r="EO24" t="s">
        <v>559</v>
      </c>
      <c r="EP24" t="str">
        <f>"0.0126**"</f>
        <v>0.0126**</v>
      </c>
      <c r="EQ24" t="s">
        <v>991</v>
      </c>
      <c r="ER24" t="s">
        <v>985</v>
      </c>
      <c r="ES24" t="str">
        <f>"0.0142***"</f>
        <v>0.0142***</v>
      </c>
      <c r="ET24" t="s">
        <v>980</v>
      </c>
      <c r="EU24" t="s">
        <v>2840</v>
      </c>
      <c r="EV24" t="str">
        <f>"0.00995*"</f>
        <v>0.00995*</v>
      </c>
      <c r="EW24" t="s">
        <v>1461</v>
      </c>
      <c r="EX24" t="s">
        <v>536</v>
      </c>
      <c r="EY24" t="str">
        <f>"0.0131**"</f>
        <v>0.0131**</v>
      </c>
      <c r="EZ24" t="s">
        <v>991</v>
      </c>
      <c r="FA24" t="s">
        <v>3533</v>
      </c>
      <c r="FB24" t="str">
        <f>"0.00981*"</f>
        <v>0.00981*</v>
      </c>
      <c r="FC24" t="s">
        <v>679</v>
      </c>
      <c r="FD24" t="s">
        <v>988</v>
      </c>
      <c r="FE24" t="str">
        <f>"0.0117**"</f>
        <v>0.0117**</v>
      </c>
      <c r="FF24" t="s">
        <v>728</v>
      </c>
      <c r="FG24" t="s">
        <v>1125</v>
      </c>
      <c r="FH24" t="str">
        <f>"0.0123**"</f>
        <v>0.0123**</v>
      </c>
      <c r="FI24" t="s">
        <v>1081</v>
      </c>
      <c r="FJ24" t="s">
        <v>956</v>
      </c>
      <c r="FK24" t="str">
        <f>"0.0201***"</f>
        <v>0.0201***</v>
      </c>
      <c r="FL24" t="s">
        <v>1544</v>
      </c>
      <c r="FM24" t="s">
        <v>989</v>
      </c>
      <c r="FN24" t="str">
        <f>"0.0250***"</f>
        <v>0.0250***</v>
      </c>
      <c r="FO24" t="s">
        <v>4737</v>
      </c>
      <c r="FP24" t="s">
        <v>1068</v>
      </c>
      <c r="FQ24" t="str">
        <f>"0.0185***"</f>
        <v>0.0185***</v>
      </c>
      <c r="FR24" t="s">
        <v>1549</v>
      </c>
      <c r="FS24" t="s">
        <v>551</v>
      </c>
      <c r="FT24" t="str">
        <f>"0.0181***"</f>
        <v>0.0181***</v>
      </c>
      <c r="FU24" t="s">
        <v>1498</v>
      </c>
      <c r="FV24" t="s">
        <v>959</v>
      </c>
      <c r="FW24" t="str">
        <f>"0.0156***"</f>
        <v>0.0156***</v>
      </c>
      <c r="FX24" t="s">
        <v>980</v>
      </c>
      <c r="FY24" t="s">
        <v>1658</v>
      </c>
      <c r="FZ24" t="str">
        <f>"0.0145**"</f>
        <v>0.0145**</v>
      </c>
      <c r="GA24" t="s">
        <v>1053</v>
      </c>
      <c r="GB24" t="s">
        <v>744</v>
      </c>
      <c r="GC24" t="str">
        <f>"0.00879"</f>
        <v>0.00879</v>
      </c>
      <c r="GD24" t="s">
        <v>929</v>
      </c>
      <c r="GE24" t="s">
        <v>988</v>
      </c>
      <c r="GF24" t="str">
        <f>"0.00410"</f>
        <v>0.00410</v>
      </c>
      <c r="GG24" t="s">
        <v>672</v>
      </c>
      <c r="GH24" t="s">
        <v>1547</v>
      </c>
      <c r="GI24" t="str">
        <f>"0.00178"</f>
        <v>0.00178</v>
      </c>
      <c r="GJ24" t="s">
        <v>656</v>
      </c>
      <c r="GK24" t="s">
        <v>737</v>
      </c>
      <c r="GL24" t="str">
        <f>"0.00163"</f>
        <v>0.00163</v>
      </c>
      <c r="GM24" t="s">
        <v>676</v>
      </c>
      <c r="GN24" t="s">
        <v>3651</v>
      </c>
      <c r="GO24" t="str">
        <f>"0.00728"</f>
        <v>0.00728</v>
      </c>
      <c r="GP24" t="s">
        <v>1014</v>
      </c>
      <c r="GQ24" t="s">
        <v>1023</v>
      </c>
      <c r="GR24" t="str">
        <f>"0.0135**"</f>
        <v>0.0135**</v>
      </c>
      <c r="GS24" t="s">
        <v>1018</v>
      </c>
      <c r="GT24" t="s">
        <v>780</v>
      </c>
      <c r="GU24" t="str">
        <f>"0.0185***"</f>
        <v>0.0185***</v>
      </c>
      <c r="GV24" t="s">
        <v>1472</v>
      </c>
      <c r="GW24" t="s">
        <v>1952</v>
      </c>
      <c r="GX24" t="str">
        <f>"0.0290***"</f>
        <v>0.0290***</v>
      </c>
      <c r="GY24" t="s">
        <v>1661</v>
      </c>
      <c r="GZ24" t="s">
        <v>3543</v>
      </c>
      <c r="HA24" t="str">
        <f>"0.0318***"</f>
        <v>0.0318***</v>
      </c>
      <c r="HB24" t="s">
        <v>3153</v>
      </c>
      <c r="HC24" t="s">
        <v>1193</v>
      </c>
      <c r="HD24" t="str">
        <f>"0.0366***"</f>
        <v>0.0366***</v>
      </c>
      <c r="HE24" t="s">
        <v>1648</v>
      </c>
      <c r="HF24" t="s">
        <v>4709</v>
      </c>
      <c r="HG24" t="str">
        <f>"0.0390***"</f>
        <v>0.0390***</v>
      </c>
      <c r="HH24" t="s">
        <v>1943</v>
      </c>
      <c r="HI24" t="s">
        <v>1907</v>
      </c>
      <c r="HJ24" t="str">
        <f>"0.0238***"</f>
        <v>0.0238***</v>
      </c>
      <c r="HK24" t="s">
        <v>4711</v>
      </c>
      <c r="HL24" t="s">
        <v>3672</v>
      </c>
      <c r="HM24" t="str">
        <f>"0.0343***"</f>
        <v>0.0343***</v>
      </c>
      <c r="HN24" t="s">
        <v>3153</v>
      </c>
      <c r="HO24" t="s">
        <v>3639</v>
      </c>
      <c r="HP24" t="str">
        <f>"0.0349***"</f>
        <v>0.0349***</v>
      </c>
      <c r="HQ24" t="s">
        <v>3465</v>
      </c>
      <c r="HR24" t="s">
        <v>4738</v>
      </c>
      <c r="HS24" t="str">
        <f>"0.0325***"</f>
        <v>0.0325***</v>
      </c>
      <c r="HT24" t="s">
        <v>3155</v>
      </c>
      <c r="HU24" t="s">
        <v>4352</v>
      </c>
      <c r="HV24" t="str">
        <f>"0.0334***"</f>
        <v>0.0334***</v>
      </c>
      <c r="HW24" t="s">
        <v>2814</v>
      </c>
      <c r="HX24" t="s">
        <v>1622</v>
      </c>
      <c r="HY24" t="str">
        <f>"0.0449***"</f>
        <v>0.0449***</v>
      </c>
      <c r="HZ24" t="s">
        <v>4739</v>
      </c>
      <c r="IA24" t="s">
        <v>4740</v>
      </c>
      <c r="IB24" t="str">
        <f>"0.0337***"</f>
        <v>0.0337***</v>
      </c>
      <c r="IC24" t="s">
        <v>3159</v>
      </c>
      <c r="ID24" t="s">
        <v>3620</v>
      </c>
      <c r="IE24" t="str">
        <f>"0.0310***"</f>
        <v>0.0310***</v>
      </c>
      <c r="IF24" t="s">
        <v>1664</v>
      </c>
      <c r="IG24" t="s">
        <v>3671</v>
      </c>
      <c r="IH24" t="str">
        <f>"0.0315***"</f>
        <v>0.0315***</v>
      </c>
      <c r="II24" t="s">
        <v>1677</v>
      </c>
      <c r="IJ24" t="s">
        <v>1765</v>
      </c>
      <c r="IK24" t="str">
        <f>"0.0415***"</f>
        <v>0.0415***</v>
      </c>
      <c r="IL24" t="s">
        <v>4741</v>
      </c>
      <c r="IM24" t="s">
        <v>3699</v>
      </c>
      <c r="IN24" t="str">
        <f>"0.0372***"</f>
        <v>0.0372***</v>
      </c>
      <c r="IO24" t="s">
        <v>3465</v>
      </c>
      <c r="IP24" t="s">
        <v>1913</v>
      </c>
      <c r="IQ24" t="str">
        <f>"0.0394***"</f>
        <v>0.0394***</v>
      </c>
      <c r="IR24" t="s">
        <v>1947</v>
      </c>
      <c r="IS24" t="s">
        <v>3699</v>
      </c>
      <c r="IT24" t="str">
        <f>"0.0323***"</f>
        <v>0.0323***</v>
      </c>
      <c r="IU24" t="s">
        <v>1480</v>
      </c>
      <c r="IV24" t="s">
        <v>1161</v>
      </c>
      <c r="IW24" t="str">
        <f>"0.0296**"</f>
        <v>0.0296**</v>
      </c>
      <c r="IX24" t="s">
        <v>3643</v>
      </c>
      <c r="IY24" t="s">
        <v>3171</v>
      </c>
      <c r="IZ24" t="str">
        <f>"0.0251**"</f>
        <v>0.0251**</v>
      </c>
      <c r="JA24" t="s">
        <v>1129</v>
      </c>
      <c r="JB24" t="s">
        <v>3450</v>
      </c>
      <c r="JC24" t="str">
        <f>"0.0372***"</f>
        <v>0.0372***</v>
      </c>
      <c r="JD24" t="s">
        <v>1681</v>
      </c>
      <c r="JE24" t="s">
        <v>4742</v>
      </c>
      <c r="JF24" t="str">
        <f>"0.0538***"</f>
        <v>0.0538***</v>
      </c>
      <c r="JG24" t="s">
        <v>1633</v>
      </c>
      <c r="JH24" t="s">
        <v>1870</v>
      </c>
      <c r="JI24" t="str">
        <f>"0.0467***"</f>
        <v>0.0467***</v>
      </c>
      <c r="JJ24" t="s">
        <v>4680</v>
      </c>
      <c r="JK24" t="s">
        <v>3469</v>
      </c>
      <c r="JL24" t="str">
        <f>"0.0468***"</f>
        <v>0.0468***</v>
      </c>
      <c r="JM24" t="s">
        <v>1693</v>
      </c>
      <c r="JN24" t="s">
        <v>4743</v>
      </c>
      <c r="JO24" t="str">
        <f>"0.0514***"</f>
        <v>0.0514***</v>
      </c>
      <c r="JP24" t="s">
        <v>4744</v>
      </c>
      <c r="JQ24" t="s">
        <v>3189</v>
      </c>
      <c r="JR24" t="str">
        <f>"0.0626***"</f>
        <v>0.0626***</v>
      </c>
      <c r="JS24" t="s">
        <v>4348</v>
      </c>
      <c r="JT24" t="s">
        <v>3455</v>
      </c>
      <c r="JU24" t="str">
        <f>"0.0614***"</f>
        <v>0.0614***</v>
      </c>
      <c r="JV24" t="s">
        <v>3142</v>
      </c>
      <c r="JW24" t="s">
        <v>4745</v>
      </c>
      <c r="JX24" t="str">
        <f>"0.0640***"</f>
        <v>0.0640***</v>
      </c>
      <c r="JY24" t="s">
        <v>1636</v>
      </c>
      <c r="JZ24" t="s">
        <v>4746</v>
      </c>
      <c r="KA24" t="str">
        <f>"0.0567***"</f>
        <v>0.0567***</v>
      </c>
      <c r="KB24" t="s">
        <v>1734</v>
      </c>
      <c r="KC24" t="s">
        <v>4065</v>
      </c>
      <c r="KD24" t="str">
        <f>"0.0384*"</f>
        <v>0.0384*</v>
      </c>
      <c r="KE24" t="s">
        <v>370</v>
      </c>
      <c r="KF24" t="s">
        <v>1203</v>
      </c>
      <c r="KG24" t="str">
        <f>"0.0664**"</f>
        <v>0.0664**</v>
      </c>
      <c r="KH24" t="s">
        <v>2813</v>
      </c>
      <c r="KI24" t="s">
        <v>4747</v>
      </c>
      <c r="KJ24" t="str">
        <f>"0.0667**"</f>
        <v>0.0667**</v>
      </c>
      <c r="KK24" t="s">
        <v>4713</v>
      </c>
      <c r="KL24" t="s">
        <v>1815</v>
      </c>
    </row>
    <row r="25" spans="1:298" x14ac:dyDescent="0.2">
      <c r="A25" t="str">
        <f>"Regi√£o"</f>
        <v>Regi√£o</v>
      </c>
      <c r="B25" t="str">
        <f>"0.0323***"</f>
        <v>0.0323***</v>
      </c>
      <c r="C25" t="s">
        <v>2831</v>
      </c>
      <c r="D25" t="s">
        <v>3349</v>
      </c>
      <c r="E25" t="str">
        <f>"0.0437***"</f>
        <v>0.0437***</v>
      </c>
      <c r="F25" t="s">
        <v>4465</v>
      </c>
      <c r="G25" t="s">
        <v>3655</v>
      </c>
      <c r="H25" t="str">
        <f>"0.0368***"</f>
        <v>0.0368***</v>
      </c>
      <c r="I25" t="s">
        <v>3158</v>
      </c>
      <c r="J25" t="s">
        <v>4246</v>
      </c>
      <c r="K25" t="str">
        <f>"0.0279***"</f>
        <v>0.0279***</v>
      </c>
      <c r="L25" t="s">
        <v>1530</v>
      </c>
      <c r="M25" t="s">
        <v>3341</v>
      </c>
      <c r="N25" t="str">
        <f>"0.0531***"</f>
        <v>0.0531***</v>
      </c>
      <c r="O25" t="s">
        <v>1621</v>
      </c>
      <c r="P25" t="s">
        <v>4748</v>
      </c>
      <c r="Q25" t="str">
        <f>"0.0413***"</f>
        <v>0.0413***</v>
      </c>
      <c r="R25" t="s">
        <v>366</v>
      </c>
      <c r="S25" t="s">
        <v>4246</v>
      </c>
      <c r="T25" t="str">
        <f>"0.0334***"</f>
        <v>0.0334***</v>
      </c>
      <c r="U25" t="s">
        <v>3539</v>
      </c>
      <c r="V25" t="s">
        <v>4352</v>
      </c>
      <c r="W25" t="str">
        <f>"0.0238***"</f>
        <v>0.0238***</v>
      </c>
      <c r="X25" t="s">
        <v>1071</v>
      </c>
      <c r="Y25" t="s">
        <v>1230</v>
      </c>
      <c r="Z25" t="str">
        <f>"0.0228***"</f>
        <v>0.0228***</v>
      </c>
      <c r="AA25" t="s">
        <v>1026</v>
      </c>
      <c r="AB25" t="s">
        <v>1942</v>
      </c>
      <c r="AC25" t="str">
        <f>"0.0200***"</f>
        <v>0.0200***</v>
      </c>
      <c r="AD25" t="s">
        <v>3262</v>
      </c>
      <c r="AE25" t="s">
        <v>544</v>
      </c>
      <c r="AF25" t="str">
        <f>"0.0151***"</f>
        <v>0.0151***</v>
      </c>
      <c r="AG25" t="s">
        <v>942</v>
      </c>
      <c r="AH25" t="s">
        <v>3156</v>
      </c>
      <c r="AI25" t="str">
        <f>"0.00336"</f>
        <v>0.00336</v>
      </c>
      <c r="AJ25" t="s">
        <v>945</v>
      </c>
      <c r="AK25" t="s">
        <v>694</v>
      </c>
      <c r="AL25" t="str">
        <f>"0.0168***"</f>
        <v>0.0168***</v>
      </c>
      <c r="AM25" t="s">
        <v>3637</v>
      </c>
      <c r="AN25" t="s">
        <v>1072</v>
      </c>
      <c r="AO25" t="str">
        <f>"0.00246"</f>
        <v>0.00246</v>
      </c>
      <c r="AP25" t="s">
        <v>945</v>
      </c>
      <c r="AQ25" t="s">
        <v>3256</v>
      </c>
      <c r="AR25" t="str">
        <f>"0.00436*"</f>
        <v>0.00436*</v>
      </c>
      <c r="AS25" t="s">
        <v>979</v>
      </c>
      <c r="AT25" t="s">
        <v>582</v>
      </c>
      <c r="AU25" t="str">
        <f>"0.00810***"</f>
        <v>0.00810***</v>
      </c>
      <c r="AV25" t="s">
        <v>997</v>
      </c>
      <c r="AW25" t="s">
        <v>739</v>
      </c>
      <c r="AX25" t="str">
        <f>"-0.000764"</f>
        <v>-0.000764</v>
      </c>
      <c r="AY25" t="s">
        <v>663</v>
      </c>
      <c r="AZ25" t="s">
        <v>701</v>
      </c>
      <c r="BA25" t="str">
        <f>"0.00457**"</f>
        <v>0.00457**</v>
      </c>
      <c r="BB25" t="s">
        <v>1488</v>
      </c>
      <c r="BC25" t="s">
        <v>733</v>
      </c>
      <c r="BD25" t="str">
        <f>"0.00261"</f>
        <v>0.00261</v>
      </c>
      <c r="BE25" t="s">
        <v>347</v>
      </c>
      <c r="BF25" t="s">
        <v>1560</v>
      </c>
      <c r="BG25" t="str">
        <f>"0.00185"</f>
        <v>0.00185</v>
      </c>
      <c r="BH25" t="s">
        <v>935</v>
      </c>
      <c r="BI25" t="s">
        <v>713</v>
      </c>
      <c r="BJ25" t="str">
        <f>"0.00320*"</f>
        <v>0.00320*</v>
      </c>
      <c r="BK25" t="s">
        <v>722</v>
      </c>
      <c r="BL25" t="s">
        <v>665</v>
      </c>
      <c r="BM25" t="str">
        <f>"0.000198"</f>
        <v>0.000198</v>
      </c>
      <c r="BN25" t="s">
        <v>911</v>
      </c>
      <c r="BO25" t="s">
        <v>917</v>
      </c>
      <c r="BP25" t="str">
        <f>"-0.00200"</f>
        <v>-0.00200</v>
      </c>
      <c r="BQ25" t="s">
        <v>910</v>
      </c>
      <c r="BR25" t="s">
        <v>1457</v>
      </c>
      <c r="BS25" t="str">
        <f>"-0.00521***"</f>
        <v>-0.00521***</v>
      </c>
      <c r="BT25" t="s">
        <v>1100</v>
      </c>
      <c r="BU25" t="s">
        <v>1115</v>
      </c>
      <c r="BV25" t="str">
        <f>"0.00437**"</f>
        <v>0.00437**</v>
      </c>
      <c r="BW25" t="s">
        <v>679</v>
      </c>
      <c r="BX25" t="s">
        <v>594</v>
      </c>
      <c r="BY25" t="str">
        <f>"-0.00297*"</f>
        <v>-0.00297*</v>
      </c>
      <c r="BZ25" t="s">
        <v>1159</v>
      </c>
      <c r="CA25" t="s">
        <v>1116</v>
      </c>
      <c r="CB25" t="str">
        <f>"-0.000786"</f>
        <v>-0.000786</v>
      </c>
      <c r="CC25" t="s">
        <v>700</v>
      </c>
      <c r="CD25" t="s">
        <v>912</v>
      </c>
      <c r="CE25" t="str">
        <f>"-0.00205"</f>
        <v>-0.00205</v>
      </c>
      <c r="CF25" t="s">
        <v>910</v>
      </c>
      <c r="CG25" t="s">
        <v>1196</v>
      </c>
      <c r="CH25" t="str">
        <f>"0.00445**"</f>
        <v>0.00445**</v>
      </c>
      <c r="CI25" t="s">
        <v>679</v>
      </c>
      <c r="CJ25" t="s">
        <v>653</v>
      </c>
      <c r="CK25" t="str">
        <f>"0.00659***"</f>
        <v>0.00659***</v>
      </c>
      <c r="CL25" t="s">
        <v>1468</v>
      </c>
      <c r="CM25" t="s">
        <v>1008</v>
      </c>
      <c r="CN25" t="str">
        <f>"0.00558***"</f>
        <v>0.00558***</v>
      </c>
      <c r="CO25" t="s">
        <v>729</v>
      </c>
      <c r="CP25" t="s">
        <v>572</v>
      </c>
      <c r="CQ25" t="str">
        <f>"0.000970"</f>
        <v>0.000970</v>
      </c>
      <c r="CR25" t="s">
        <v>933</v>
      </c>
      <c r="CS25" t="s">
        <v>696</v>
      </c>
      <c r="CT25" t="str">
        <f>"0.00396*"</f>
        <v>0.00396*</v>
      </c>
      <c r="CU25" t="s">
        <v>927</v>
      </c>
      <c r="CV25" t="s">
        <v>1013</v>
      </c>
      <c r="CW25" t="str">
        <f>"0.000147"</f>
        <v>0.000147</v>
      </c>
      <c r="CX25" t="s">
        <v>677</v>
      </c>
      <c r="CY25" t="s">
        <v>690</v>
      </c>
      <c r="CZ25" t="str">
        <f>"0.00245"</f>
        <v>0.00245</v>
      </c>
      <c r="DA25" t="s">
        <v>647</v>
      </c>
      <c r="DB25" t="s">
        <v>592</v>
      </c>
      <c r="DC25" t="str">
        <f>"0.00277"</f>
        <v>0.00277</v>
      </c>
      <c r="DD25" t="s">
        <v>734</v>
      </c>
      <c r="DE25" t="s">
        <v>665</v>
      </c>
      <c r="DF25" t="str">
        <f>"-0.00131"</f>
        <v>-0.00131</v>
      </c>
      <c r="DG25" t="s">
        <v>910</v>
      </c>
      <c r="DH25" t="s">
        <v>685</v>
      </c>
      <c r="DI25" t="str">
        <f>"-0.00190"</f>
        <v>-0.00190</v>
      </c>
      <c r="DJ25" t="s">
        <v>741</v>
      </c>
      <c r="DK25" t="s">
        <v>588</v>
      </c>
      <c r="DL25" t="str">
        <f>"0.00419*"</f>
        <v>0.00419*</v>
      </c>
      <c r="DM25" t="s">
        <v>923</v>
      </c>
      <c r="DN25" t="s">
        <v>577</v>
      </c>
      <c r="DO25" t="str">
        <f>"0.00262"</f>
        <v>0.00262</v>
      </c>
      <c r="DP25" t="s">
        <v>647</v>
      </c>
      <c r="DQ25" t="s">
        <v>586</v>
      </c>
      <c r="DR25" t="str">
        <f>"0.00399*"</f>
        <v>0.00399*</v>
      </c>
      <c r="DS25" t="s">
        <v>708</v>
      </c>
      <c r="DT25" t="s">
        <v>579</v>
      </c>
      <c r="DU25" t="str">
        <f>"-0.0000705"</f>
        <v>-0.0000705</v>
      </c>
      <c r="DV25" t="s">
        <v>1088</v>
      </c>
      <c r="DW25" t="s">
        <v>829</v>
      </c>
      <c r="DX25" t="str">
        <f>"-0.000597"</f>
        <v>-0.000597</v>
      </c>
      <c r="DY25" t="s">
        <v>914</v>
      </c>
      <c r="DZ25" t="s">
        <v>692</v>
      </c>
      <c r="EA25" t="str">
        <f>"-0.00142"</f>
        <v>-0.00142</v>
      </c>
      <c r="EB25" t="s">
        <v>672</v>
      </c>
      <c r="EC25" t="s">
        <v>921</v>
      </c>
      <c r="ED25" t="str">
        <f>"0.000601"</f>
        <v>0.000601</v>
      </c>
      <c r="EE25" t="s">
        <v>640</v>
      </c>
      <c r="EF25" t="s">
        <v>1087</v>
      </c>
      <c r="EG25" t="str">
        <f>"0.000562"</f>
        <v>0.000562</v>
      </c>
      <c r="EH25" t="s">
        <v>640</v>
      </c>
      <c r="EI25" t="s">
        <v>698</v>
      </c>
      <c r="EJ25" t="str">
        <f>"-0.000524"</f>
        <v>-0.000524</v>
      </c>
      <c r="EK25" t="s">
        <v>663</v>
      </c>
      <c r="EL25" t="s">
        <v>907</v>
      </c>
      <c r="EM25" t="str">
        <f>"0.00117"</f>
        <v>0.00117</v>
      </c>
      <c r="EN25" t="s">
        <v>911</v>
      </c>
      <c r="EO25" t="s">
        <v>1467</v>
      </c>
      <c r="EP25" t="str">
        <f>"0.00462*"</f>
        <v>0.00462*</v>
      </c>
      <c r="EQ25" t="s">
        <v>926</v>
      </c>
      <c r="ER25" t="s">
        <v>570</v>
      </c>
      <c r="ES25" t="str">
        <f>"0.00166"</f>
        <v>0.00166</v>
      </c>
      <c r="ET25" t="s">
        <v>639</v>
      </c>
      <c r="EU25" t="s">
        <v>669</v>
      </c>
      <c r="EV25" t="str">
        <f>"0.00210"</f>
        <v>0.00210</v>
      </c>
      <c r="EW25" t="s">
        <v>652</v>
      </c>
      <c r="EX25" t="s">
        <v>791</v>
      </c>
      <c r="EY25" t="str">
        <f>"0.0000403"</f>
        <v>0.0000403</v>
      </c>
      <c r="EZ25" t="s">
        <v>3295</v>
      </c>
      <c r="FA25" t="s">
        <v>671</v>
      </c>
      <c r="FB25" t="str">
        <f>"0.000509"</f>
        <v>0.000509</v>
      </c>
      <c r="FC25" t="s">
        <v>697</v>
      </c>
      <c r="FD25" t="s">
        <v>951</v>
      </c>
      <c r="FE25" t="str">
        <f>"0.000896"</f>
        <v>0.000896</v>
      </c>
      <c r="FF25" t="s">
        <v>345</v>
      </c>
      <c r="FG25" t="s">
        <v>702</v>
      </c>
      <c r="FH25" t="str">
        <f>"0.00265"</f>
        <v>0.00265</v>
      </c>
      <c r="FI25" t="s">
        <v>681</v>
      </c>
      <c r="FJ25" t="s">
        <v>1013</v>
      </c>
      <c r="FK25" t="str">
        <f>"0.00194"</f>
        <v>0.00194</v>
      </c>
      <c r="FL25" t="s">
        <v>945</v>
      </c>
      <c r="FM25" t="s">
        <v>643</v>
      </c>
      <c r="FN25" t="str">
        <f>"0.00144"</f>
        <v>0.00144</v>
      </c>
      <c r="FO25" t="s">
        <v>677</v>
      </c>
      <c r="FP25" t="s">
        <v>662</v>
      </c>
      <c r="FQ25" t="str">
        <f>"0.00171"</f>
        <v>0.00171</v>
      </c>
      <c r="FR25" t="s">
        <v>920</v>
      </c>
      <c r="FS25" t="s">
        <v>586</v>
      </c>
      <c r="FT25" t="str">
        <f>"-0.00207"</f>
        <v>-0.00207</v>
      </c>
      <c r="FU25" t="s">
        <v>908</v>
      </c>
      <c r="FV25" t="s">
        <v>906</v>
      </c>
      <c r="FW25" t="str">
        <f>"0.00826***"</f>
        <v>0.00826***</v>
      </c>
      <c r="FX25" t="s">
        <v>1081</v>
      </c>
      <c r="FY25" t="s">
        <v>3259</v>
      </c>
      <c r="FZ25" t="str">
        <f>"0.00131"</f>
        <v>0.00131</v>
      </c>
      <c r="GA25" t="s">
        <v>345</v>
      </c>
      <c r="GB25" t="s">
        <v>662</v>
      </c>
      <c r="GC25" t="str">
        <f>"0.00399"</f>
        <v>0.00399</v>
      </c>
      <c r="GD25" t="s">
        <v>707</v>
      </c>
      <c r="GE25" t="s">
        <v>582</v>
      </c>
      <c r="GF25" t="str">
        <f>"0.00533*"</f>
        <v>0.00533*</v>
      </c>
      <c r="GG25" t="s">
        <v>719</v>
      </c>
      <c r="GH25" t="s">
        <v>726</v>
      </c>
      <c r="GI25" t="str">
        <f>"0.00699**"</f>
        <v>0.00699**</v>
      </c>
      <c r="GJ25" t="s">
        <v>1462</v>
      </c>
      <c r="GK25" t="s">
        <v>794</v>
      </c>
      <c r="GL25" t="str">
        <f>"0.00600*"</f>
        <v>0.00600*</v>
      </c>
      <c r="GM25" t="s">
        <v>1459</v>
      </c>
      <c r="GN25" t="s">
        <v>1553</v>
      </c>
      <c r="GO25" t="str">
        <f>"0.00153"</f>
        <v>0.00153</v>
      </c>
      <c r="GP25" t="s">
        <v>703</v>
      </c>
      <c r="GQ25" t="s">
        <v>586</v>
      </c>
      <c r="GR25" t="str">
        <f>"-0.00891***"</f>
        <v>-0.00891***</v>
      </c>
      <c r="GS25" t="s">
        <v>2819</v>
      </c>
      <c r="GT25" t="s">
        <v>3272</v>
      </c>
      <c r="GU25" t="str">
        <f>"-0.00270"</f>
        <v>-0.00270</v>
      </c>
      <c r="GV25" t="s">
        <v>648</v>
      </c>
      <c r="GW25" t="s">
        <v>912</v>
      </c>
      <c r="GX25" t="str">
        <f>"0.00562*"</f>
        <v>0.00562*</v>
      </c>
      <c r="GY25" t="s">
        <v>927</v>
      </c>
      <c r="GZ25" t="s">
        <v>3556</v>
      </c>
      <c r="HA25" t="str">
        <f>"0.00603*"</f>
        <v>0.00603*</v>
      </c>
      <c r="HB25" t="s">
        <v>927</v>
      </c>
      <c r="HC25" t="s">
        <v>687</v>
      </c>
      <c r="HD25" t="str">
        <f>"0.00416"</f>
        <v>0.00416</v>
      </c>
      <c r="HE25" t="s">
        <v>720</v>
      </c>
      <c r="HF25" t="s">
        <v>958</v>
      </c>
      <c r="HG25" t="str">
        <f>"0.00254"</f>
        <v>0.00254</v>
      </c>
      <c r="HH25" t="s">
        <v>1088</v>
      </c>
      <c r="HI25" t="s">
        <v>1558</v>
      </c>
      <c r="HJ25" t="str">
        <f>"0.00754*"</f>
        <v>0.00754*</v>
      </c>
      <c r="HK25" t="s">
        <v>1488</v>
      </c>
      <c r="HL25" t="s">
        <v>1546</v>
      </c>
      <c r="HM25" t="str">
        <f>"0.00531"</f>
        <v>0.00531</v>
      </c>
      <c r="HN25" t="s">
        <v>647</v>
      </c>
      <c r="HO25" t="s">
        <v>1075</v>
      </c>
      <c r="HP25" t="str">
        <f>"0.000625"</f>
        <v>0.000625</v>
      </c>
      <c r="HQ25" t="s">
        <v>741</v>
      </c>
      <c r="HR25" t="s">
        <v>680</v>
      </c>
      <c r="HS25" t="str">
        <f>"0.00301"</f>
        <v>0.00301</v>
      </c>
      <c r="HT25" t="s">
        <v>677</v>
      </c>
      <c r="HU25" t="s">
        <v>1082</v>
      </c>
      <c r="HV25" t="str">
        <f>"0.0105***"</f>
        <v>0.0105***</v>
      </c>
      <c r="HW25" t="s">
        <v>745</v>
      </c>
      <c r="HX25" t="s">
        <v>1540</v>
      </c>
      <c r="HY25" t="str">
        <f>"0.00680*"</f>
        <v>0.00680*</v>
      </c>
      <c r="HZ25" t="s">
        <v>683</v>
      </c>
      <c r="IA25" t="s">
        <v>4712</v>
      </c>
      <c r="IB25" t="str">
        <f>"0.0122***"</f>
        <v>0.0122***</v>
      </c>
      <c r="IC25" t="s">
        <v>1000</v>
      </c>
      <c r="ID25" t="s">
        <v>4454</v>
      </c>
      <c r="IE25" t="str">
        <f>"0.0125***"</f>
        <v>0.0125***</v>
      </c>
      <c r="IF25" t="s">
        <v>3297</v>
      </c>
      <c r="IG25" t="s">
        <v>2851</v>
      </c>
      <c r="IH25" t="str">
        <f>"-0.00103"</f>
        <v>-0.00103</v>
      </c>
      <c r="II25" t="s">
        <v>2827</v>
      </c>
      <c r="IJ25" t="s">
        <v>592</v>
      </c>
      <c r="IK25" t="str">
        <f>"0.0118***"</f>
        <v>0.0118***</v>
      </c>
      <c r="IL25" t="s">
        <v>991</v>
      </c>
      <c r="IM25" t="s">
        <v>1537</v>
      </c>
      <c r="IN25" t="str">
        <f>"0.00849*"</f>
        <v>0.00849*</v>
      </c>
      <c r="IO25" t="s">
        <v>695</v>
      </c>
      <c r="IP25" t="s">
        <v>947</v>
      </c>
      <c r="IQ25" t="str">
        <f>"0.0159***"</f>
        <v>0.0159***</v>
      </c>
      <c r="IR25" t="s">
        <v>1048</v>
      </c>
      <c r="IS25" t="s">
        <v>744</v>
      </c>
      <c r="IT25" t="str">
        <f>"0.00974*"</f>
        <v>0.00974*</v>
      </c>
      <c r="IU25" t="s">
        <v>695</v>
      </c>
      <c r="IV25" t="s">
        <v>658</v>
      </c>
      <c r="IW25" t="str">
        <f>"0.0169***"</f>
        <v>0.0169***</v>
      </c>
      <c r="IX25" t="s">
        <v>1471</v>
      </c>
      <c r="IY25" t="s">
        <v>563</v>
      </c>
      <c r="IZ25" t="str">
        <f>"0.0135**"</f>
        <v>0.0135**</v>
      </c>
      <c r="JA25" t="s">
        <v>1028</v>
      </c>
      <c r="JB25" t="s">
        <v>3269</v>
      </c>
      <c r="JC25" t="str">
        <f>"0.0161***"</f>
        <v>0.0161***</v>
      </c>
      <c r="JD25" t="s">
        <v>297</v>
      </c>
      <c r="JE25" t="s">
        <v>2818</v>
      </c>
      <c r="JF25" t="str">
        <f>"0.0165***"</f>
        <v>0.0165***</v>
      </c>
      <c r="JG25" t="s">
        <v>445</v>
      </c>
      <c r="JH25" t="s">
        <v>276</v>
      </c>
      <c r="JI25" t="str">
        <f>"0.0152**"</f>
        <v>0.0152**</v>
      </c>
      <c r="JJ25" t="s">
        <v>1053</v>
      </c>
      <c r="JK25" t="s">
        <v>561</v>
      </c>
      <c r="JL25" t="str">
        <f>"0.0153**"</f>
        <v>0.0153**</v>
      </c>
      <c r="JM25" t="s">
        <v>1073</v>
      </c>
      <c r="JN25" t="s">
        <v>977</v>
      </c>
      <c r="JO25" t="str">
        <f>"0.0263***"</f>
        <v>0.0263***</v>
      </c>
      <c r="JP25" t="s">
        <v>1522</v>
      </c>
      <c r="JQ25" t="s">
        <v>2888</v>
      </c>
      <c r="JR25" t="str">
        <f>"0.0298***"</f>
        <v>0.0298***</v>
      </c>
      <c r="JS25" t="s">
        <v>4455</v>
      </c>
      <c r="JT25" t="s">
        <v>4749</v>
      </c>
      <c r="JU25" t="str">
        <f>"0.0207**"</f>
        <v>0.0207**</v>
      </c>
      <c r="JV25" t="s">
        <v>942</v>
      </c>
      <c r="JW25" t="s">
        <v>4462</v>
      </c>
      <c r="JX25" t="str">
        <f>"0.0409***"</f>
        <v>0.0409***</v>
      </c>
      <c r="JY25" t="s">
        <v>4254</v>
      </c>
      <c r="JZ25" t="s">
        <v>2895</v>
      </c>
      <c r="KA25" t="str">
        <f>"0.0370***"</f>
        <v>0.0370***</v>
      </c>
      <c r="KB25" t="s">
        <v>3162</v>
      </c>
      <c r="KC25" t="s">
        <v>1610</v>
      </c>
      <c r="KD25" t="str">
        <f>"0.0385***"</f>
        <v>0.0385***</v>
      </c>
      <c r="KE25" t="s">
        <v>1656</v>
      </c>
      <c r="KF25" t="s">
        <v>3681</v>
      </c>
      <c r="KG25" t="str">
        <f>"0.0394***"</f>
        <v>0.0394***</v>
      </c>
      <c r="KH25" t="s">
        <v>4750</v>
      </c>
      <c r="KI25" t="s">
        <v>1606</v>
      </c>
      <c r="KJ25" t="str">
        <f>"0.0417***"</f>
        <v>0.0417***</v>
      </c>
      <c r="KK25" t="s">
        <v>1524</v>
      </c>
      <c r="KL25" t="s">
        <v>4751</v>
      </c>
    </row>
    <row r="26" spans="1:298" x14ac:dyDescent="0.2">
      <c r="A26" t="str">
        <f>"Setor"</f>
        <v>Setor</v>
      </c>
      <c r="B26" t="str">
        <f>"-0.0437*"</f>
        <v>-0.0437*</v>
      </c>
      <c r="C26" t="s">
        <v>3550</v>
      </c>
      <c r="D26" t="s">
        <v>4478</v>
      </c>
      <c r="E26" t="str">
        <f>"-0.0586*"</f>
        <v>-0.0586*</v>
      </c>
      <c r="F26" t="s">
        <v>4752</v>
      </c>
      <c r="G26" t="s">
        <v>814</v>
      </c>
      <c r="H26" t="str">
        <f>"-0.0548"</f>
        <v>-0.0548</v>
      </c>
      <c r="I26" t="s">
        <v>1255</v>
      </c>
      <c r="J26" t="s">
        <v>1690</v>
      </c>
      <c r="K26" t="str">
        <f>"-0.0910"</f>
        <v>-0.0910</v>
      </c>
      <c r="L26" t="s">
        <v>4753</v>
      </c>
      <c r="M26" t="s">
        <v>3269</v>
      </c>
      <c r="N26" t="str">
        <f>"-0.0307"</f>
        <v>-0.0307</v>
      </c>
      <c r="O26" t="s">
        <v>4754</v>
      </c>
      <c r="P26" t="s">
        <v>4755</v>
      </c>
      <c r="Q26" t="str">
        <f>"-0.0288"</f>
        <v>-0.0288</v>
      </c>
      <c r="R26" t="s">
        <v>4756</v>
      </c>
      <c r="S26" t="s">
        <v>3706</v>
      </c>
      <c r="T26" t="str">
        <f>"-0.0516"</f>
        <v>-0.0516</v>
      </c>
      <c r="U26" t="s">
        <v>4757</v>
      </c>
      <c r="V26" t="s">
        <v>4248</v>
      </c>
      <c r="W26" t="str">
        <f>"-0.0492"</f>
        <v>-0.0492</v>
      </c>
      <c r="X26" t="s">
        <v>4758</v>
      </c>
      <c r="Y26" t="s">
        <v>2889</v>
      </c>
      <c r="Z26" t="str">
        <f>"-0.0503"</f>
        <v>-0.0503</v>
      </c>
      <c r="AA26" t="s">
        <v>4759</v>
      </c>
      <c r="AB26" t="s">
        <v>1950</v>
      </c>
      <c r="AC26" t="str">
        <f>"-0.0350"</f>
        <v>-0.0350</v>
      </c>
      <c r="AD26" t="s">
        <v>4760</v>
      </c>
      <c r="AE26" t="s">
        <v>896</v>
      </c>
      <c r="AF26" t="str">
        <f>"-0.0214"</f>
        <v>-0.0214</v>
      </c>
      <c r="AG26" t="s">
        <v>4761</v>
      </c>
      <c r="AH26" t="s">
        <v>1623</v>
      </c>
      <c r="AI26" t="str">
        <f>"-0.0248"</f>
        <v>-0.0248</v>
      </c>
      <c r="AJ26" t="s">
        <v>4762</v>
      </c>
      <c r="AK26" t="s">
        <v>2877</v>
      </c>
      <c r="AL26" t="str">
        <f>"-0.0103"</f>
        <v>-0.0103</v>
      </c>
      <c r="AM26" t="s">
        <v>4763</v>
      </c>
      <c r="AN26" t="s">
        <v>615</v>
      </c>
      <c r="AO26" t="str">
        <f>"-0.00667"</f>
        <v>-0.00667</v>
      </c>
      <c r="AP26" t="s">
        <v>1391</v>
      </c>
      <c r="AQ26" t="s">
        <v>3152</v>
      </c>
      <c r="AR26" t="str">
        <f>"0.00158"</f>
        <v>0.00158</v>
      </c>
      <c r="AS26" t="s">
        <v>4764</v>
      </c>
      <c r="AT26" t="s">
        <v>615</v>
      </c>
      <c r="AU26" t="str">
        <f>"-0.000433"</f>
        <v>-0.000433</v>
      </c>
      <c r="AV26" t="s">
        <v>574</v>
      </c>
      <c r="AW26" t="s">
        <v>1952</v>
      </c>
      <c r="AX26" t="str">
        <f>"0.00229"</f>
        <v>0.00229</v>
      </c>
      <c r="AY26" t="s">
        <v>1138</v>
      </c>
      <c r="AZ26" t="s">
        <v>784</v>
      </c>
      <c r="BA26" t="str">
        <f>"-0.00110"</f>
        <v>-0.00110</v>
      </c>
      <c r="BB26" t="s">
        <v>3675</v>
      </c>
      <c r="BC26" t="s">
        <v>4456</v>
      </c>
      <c r="BD26" t="str">
        <f>"0.000126"</f>
        <v>0.000126</v>
      </c>
      <c r="BE26" t="s">
        <v>4486</v>
      </c>
      <c r="BF26" t="s">
        <v>956</v>
      </c>
      <c r="BG26" t="str">
        <f>"-0.00213"</f>
        <v>-0.00213</v>
      </c>
      <c r="BH26" t="s">
        <v>3581</v>
      </c>
      <c r="BI26" t="s">
        <v>3264</v>
      </c>
      <c r="BJ26" t="str">
        <f>"-0.00197"</f>
        <v>-0.00197</v>
      </c>
      <c r="BK26" t="s">
        <v>499</v>
      </c>
      <c r="BL26" t="s">
        <v>955</v>
      </c>
      <c r="BM26" t="str">
        <f>"-0.00321"</f>
        <v>-0.00321</v>
      </c>
      <c r="BN26" t="s">
        <v>4765</v>
      </c>
      <c r="BO26" t="s">
        <v>1675</v>
      </c>
      <c r="BP26" t="str">
        <f>"0.000634"</f>
        <v>0.000634</v>
      </c>
      <c r="BQ26" t="s">
        <v>2859</v>
      </c>
      <c r="BR26" t="s">
        <v>1130</v>
      </c>
      <c r="BS26" t="str">
        <f>"-0.000245"</f>
        <v>-0.000245</v>
      </c>
      <c r="BT26" t="s">
        <v>846</v>
      </c>
      <c r="BU26" t="s">
        <v>534</v>
      </c>
      <c r="BV26" t="str">
        <f>"0.000889"</f>
        <v>0.000889</v>
      </c>
      <c r="BW26" t="s">
        <v>801</v>
      </c>
      <c r="BX26" t="s">
        <v>658</v>
      </c>
      <c r="BY26" t="str">
        <f>"0.000951"</f>
        <v>0.000951</v>
      </c>
      <c r="BZ26" t="s">
        <v>1725</v>
      </c>
      <c r="CA26" t="s">
        <v>536</v>
      </c>
      <c r="CB26" t="str">
        <f>"0.00279"</f>
        <v>0.00279</v>
      </c>
      <c r="CC26" t="s">
        <v>3287</v>
      </c>
      <c r="CD26" t="s">
        <v>1232</v>
      </c>
      <c r="CE26" t="str">
        <f>"0.00393"</f>
        <v>0.00393</v>
      </c>
      <c r="CF26" t="s">
        <v>689</v>
      </c>
      <c r="CG26" t="s">
        <v>1479</v>
      </c>
      <c r="CH26" t="str">
        <f>"0.00210"</f>
        <v>0.00210</v>
      </c>
      <c r="CI26" t="s">
        <v>634</v>
      </c>
      <c r="CJ26" t="s">
        <v>1537</v>
      </c>
      <c r="CK26" t="str">
        <f>"0.00234"</f>
        <v>0.00234</v>
      </c>
      <c r="CL26" t="s">
        <v>3669</v>
      </c>
      <c r="CM26" t="s">
        <v>964</v>
      </c>
      <c r="CN26" t="str">
        <f>"0.00314"</f>
        <v>0.00314</v>
      </c>
      <c r="CO26" t="s">
        <v>1076</v>
      </c>
      <c r="CP26" t="s">
        <v>985</v>
      </c>
      <c r="CQ26" t="str">
        <f>"0.00277"</f>
        <v>0.00277</v>
      </c>
      <c r="CR26" t="s">
        <v>3499</v>
      </c>
      <c r="CS26" t="s">
        <v>1125</v>
      </c>
      <c r="CT26" t="str">
        <f>"0.00165"</f>
        <v>0.00165</v>
      </c>
      <c r="CU26" t="s">
        <v>798</v>
      </c>
      <c r="CV26" t="s">
        <v>2874</v>
      </c>
      <c r="CW26" t="str">
        <f>"0.00449"</f>
        <v>0.00449</v>
      </c>
      <c r="CX26" t="s">
        <v>1076</v>
      </c>
      <c r="CY26" t="s">
        <v>1481</v>
      </c>
      <c r="CZ26" t="str">
        <f>"0.00354"</f>
        <v>0.00354</v>
      </c>
      <c r="DA26" t="s">
        <v>798</v>
      </c>
      <c r="DB26" t="s">
        <v>3156</v>
      </c>
      <c r="DC26" t="str">
        <f>"0.00272"</f>
        <v>0.00272</v>
      </c>
      <c r="DD26" t="s">
        <v>1039</v>
      </c>
      <c r="DE26" t="s">
        <v>780</v>
      </c>
      <c r="DF26" t="str">
        <f>"0.00115"</f>
        <v>0.00115</v>
      </c>
      <c r="DG26" t="s">
        <v>555</v>
      </c>
      <c r="DH26" t="s">
        <v>992</v>
      </c>
      <c r="DI26" t="str">
        <f>"0.00305"</f>
        <v>0.00305</v>
      </c>
      <c r="DJ26" t="s">
        <v>1110</v>
      </c>
      <c r="DK26" t="s">
        <v>4457</v>
      </c>
      <c r="DL26" t="str">
        <f>"0.00262"</f>
        <v>0.00262</v>
      </c>
      <c r="DM26" t="s">
        <v>813</v>
      </c>
      <c r="DN26" t="s">
        <v>1660</v>
      </c>
      <c r="DO26" t="str">
        <f>"0.00381"</f>
        <v>0.00381</v>
      </c>
      <c r="DP26" t="s">
        <v>790</v>
      </c>
      <c r="DQ26" t="s">
        <v>977</v>
      </c>
      <c r="DR26" t="str">
        <f>"0.00840"</f>
        <v>0.00840</v>
      </c>
      <c r="DS26" t="s">
        <v>2833</v>
      </c>
      <c r="DT26" t="s">
        <v>3633</v>
      </c>
      <c r="DU26" t="str">
        <f>"0.00283"</f>
        <v>0.00283</v>
      </c>
      <c r="DV26" t="s">
        <v>506</v>
      </c>
      <c r="DW26" t="s">
        <v>1523</v>
      </c>
      <c r="DX26" t="str">
        <f>"0.00356"</f>
        <v>0.00356</v>
      </c>
      <c r="DY26" t="s">
        <v>555</v>
      </c>
      <c r="DZ26" t="s">
        <v>3649</v>
      </c>
      <c r="EA26" t="str">
        <f>"0.00535"</f>
        <v>0.00535</v>
      </c>
      <c r="EB26" t="s">
        <v>1039</v>
      </c>
      <c r="EC26" t="s">
        <v>549</v>
      </c>
      <c r="ED26" t="str">
        <f>"0.00748"</f>
        <v>0.00748</v>
      </c>
      <c r="EE26" t="s">
        <v>792</v>
      </c>
      <c r="EF26" t="s">
        <v>1647</v>
      </c>
      <c r="EG26" t="str">
        <f>"0.00729"</f>
        <v>0.00729</v>
      </c>
      <c r="EH26" t="s">
        <v>1078</v>
      </c>
      <c r="EI26" t="s">
        <v>3633</v>
      </c>
      <c r="EJ26" t="str">
        <f>"0.00432"</f>
        <v>0.00432</v>
      </c>
      <c r="EK26" t="s">
        <v>4728</v>
      </c>
      <c r="EL26" t="s">
        <v>959</v>
      </c>
      <c r="EM26" t="str">
        <f>"0.00446"</f>
        <v>0.00446</v>
      </c>
      <c r="EN26" t="s">
        <v>4728</v>
      </c>
      <c r="EO26" t="s">
        <v>551</v>
      </c>
      <c r="EP26" t="str">
        <f>"0.00263"</f>
        <v>0.00263</v>
      </c>
      <c r="EQ26" t="s">
        <v>3568</v>
      </c>
      <c r="ER26" t="s">
        <v>1523</v>
      </c>
      <c r="ES26" t="str">
        <f>"-0.000539"</f>
        <v>-0.000539</v>
      </c>
      <c r="ET26" t="s">
        <v>3676</v>
      </c>
      <c r="EU26" t="s">
        <v>1030</v>
      </c>
      <c r="EV26" t="str">
        <f>"-0.00241"</f>
        <v>-0.00241</v>
      </c>
      <c r="EW26" t="s">
        <v>4766</v>
      </c>
      <c r="EX26" t="s">
        <v>992</v>
      </c>
      <c r="EY26" t="str">
        <f>"-0.00221"</f>
        <v>-0.00221</v>
      </c>
      <c r="EZ26" t="s">
        <v>545</v>
      </c>
      <c r="FA26" t="s">
        <v>3269</v>
      </c>
      <c r="FB26" t="str">
        <f>"-0.00112"</f>
        <v>-0.00112</v>
      </c>
      <c r="FC26" t="s">
        <v>4766</v>
      </c>
      <c r="FD26" t="s">
        <v>538</v>
      </c>
      <c r="FE26" t="str">
        <f>"-0.000700"</f>
        <v>-0.000700</v>
      </c>
      <c r="FF26" t="s">
        <v>3585</v>
      </c>
      <c r="FG26" t="s">
        <v>561</v>
      </c>
      <c r="FH26" t="str">
        <f>"-0.000499"</f>
        <v>-0.000499</v>
      </c>
      <c r="FI26" t="s">
        <v>1390</v>
      </c>
      <c r="FJ26" t="s">
        <v>4071</v>
      </c>
      <c r="FK26" t="str">
        <f>"0.000428"</f>
        <v>0.000428</v>
      </c>
      <c r="FL26" t="s">
        <v>3591</v>
      </c>
      <c r="FM26" t="s">
        <v>1952</v>
      </c>
      <c r="FN26" t="str">
        <f>"0.000823"</f>
        <v>0.000823</v>
      </c>
      <c r="FO26" t="s">
        <v>4716</v>
      </c>
      <c r="FP26" t="s">
        <v>1653</v>
      </c>
      <c r="FQ26" t="str">
        <f>"-0.00505"</f>
        <v>-0.00505</v>
      </c>
      <c r="FR26" t="s">
        <v>469</v>
      </c>
      <c r="FS26" t="s">
        <v>1030</v>
      </c>
      <c r="FT26" t="str">
        <f>"-0.00639"</f>
        <v>-0.00639</v>
      </c>
      <c r="FU26" t="s">
        <v>4767</v>
      </c>
      <c r="FV26" t="s">
        <v>3266</v>
      </c>
      <c r="FW26" t="str">
        <f>"-0.00447"</f>
        <v>-0.00447</v>
      </c>
      <c r="FX26" t="s">
        <v>1043</v>
      </c>
      <c r="FY26" t="s">
        <v>1214</v>
      </c>
      <c r="FZ26" t="str">
        <f>"-0.00344"</f>
        <v>-0.00344</v>
      </c>
      <c r="GA26" t="s">
        <v>469</v>
      </c>
      <c r="GB26" t="s">
        <v>2880</v>
      </c>
      <c r="GC26" t="str">
        <f>"-0.00250"</f>
        <v>-0.00250</v>
      </c>
      <c r="GD26" t="s">
        <v>4768</v>
      </c>
      <c r="GE26" t="s">
        <v>4459</v>
      </c>
      <c r="GF26" t="str">
        <f>"-0.00512"</f>
        <v>-0.00512</v>
      </c>
      <c r="GG26" t="s">
        <v>858</v>
      </c>
      <c r="GH26" t="s">
        <v>3154</v>
      </c>
      <c r="GI26" t="str">
        <f>"-0.00948"</f>
        <v>-0.00948</v>
      </c>
      <c r="GJ26" t="s">
        <v>591</v>
      </c>
      <c r="GK26" t="s">
        <v>4736</v>
      </c>
      <c r="GL26" t="str">
        <f>"-0.00877"</f>
        <v>-0.00877</v>
      </c>
      <c r="GM26" t="s">
        <v>4769</v>
      </c>
      <c r="GN26" t="s">
        <v>1367</v>
      </c>
      <c r="GO26" t="str">
        <f>"-0.00780"</f>
        <v>-0.00780</v>
      </c>
      <c r="GP26" t="s">
        <v>1243</v>
      </c>
      <c r="GQ26" t="s">
        <v>3269</v>
      </c>
      <c r="GR26" t="str">
        <f>"-0.00776"</f>
        <v>-0.00776</v>
      </c>
      <c r="GS26" t="s">
        <v>4725</v>
      </c>
      <c r="GT26" t="s">
        <v>785</v>
      </c>
      <c r="GU26" t="str">
        <f>"-0.00528"</f>
        <v>-0.00528</v>
      </c>
      <c r="GV26" t="s">
        <v>4770</v>
      </c>
      <c r="GW26" t="s">
        <v>563</v>
      </c>
      <c r="GX26" t="str">
        <f>"-0.00157"</f>
        <v>-0.00157</v>
      </c>
      <c r="GY26" t="s">
        <v>1043</v>
      </c>
      <c r="GZ26" t="s">
        <v>1944</v>
      </c>
      <c r="HA26" t="str">
        <f>"-0.00200"</f>
        <v>-0.00200</v>
      </c>
      <c r="HB26" t="s">
        <v>4771</v>
      </c>
      <c r="HC26" t="s">
        <v>1642</v>
      </c>
      <c r="HD26" t="str">
        <f>"-0.00339"</f>
        <v>-0.00339</v>
      </c>
      <c r="HE26" t="s">
        <v>3342</v>
      </c>
      <c r="HF26" t="s">
        <v>1637</v>
      </c>
      <c r="HG26" t="str">
        <f>"-0.00351"</f>
        <v>-0.00351</v>
      </c>
      <c r="HH26" t="s">
        <v>4772</v>
      </c>
      <c r="HI26" t="s">
        <v>3450</v>
      </c>
      <c r="HJ26" t="str">
        <f>"-0.00822"</f>
        <v>-0.00822</v>
      </c>
      <c r="HK26" t="s">
        <v>3040</v>
      </c>
      <c r="HL26" t="s">
        <v>1194</v>
      </c>
      <c r="HM26" t="str">
        <f>"-0.00917"</f>
        <v>-0.00917</v>
      </c>
      <c r="HN26" t="s">
        <v>1396</v>
      </c>
      <c r="HO26" t="s">
        <v>1735</v>
      </c>
      <c r="HP26" t="str">
        <f>"-0.00962"</f>
        <v>-0.00962</v>
      </c>
      <c r="HQ26" t="s">
        <v>4773</v>
      </c>
      <c r="HR26" t="s">
        <v>4255</v>
      </c>
      <c r="HS26" t="str">
        <f>"0.00362"</f>
        <v>0.00362</v>
      </c>
      <c r="HT26" t="s">
        <v>2844</v>
      </c>
      <c r="HU26" t="s">
        <v>3470</v>
      </c>
      <c r="HV26" t="str">
        <f>"0.00510"</f>
        <v>0.00510</v>
      </c>
      <c r="HW26" t="s">
        <v>1243</v>
      </c>
      <c r="HX26" t="s">
        <v>1036</v>
      </c>
      <c r="HY26" t="str">
        <f>"0.00939"</f>
        <v>0.00939</v>
      </c>
      <c r="HZ26" t="s">
        <v>539</v>
      </c>
      <c r="IA26" t="s">
        <v>513</v>
      </c>
      <c r="IB26" t="str">
        <f>"0.00912"</f>
        <v>0.00912</v>
      </c>
      <c r="IC26" t="s">
        <v>2844</v>
      </c>
      <c r="ID26" t="s">
        <v>1228</v>
      </c>
      <c r="IE26" t="str">
        <f>"0.0109"</f>
        <v>0.0109</v>
      </c>
      <c r="IF26" t="s">
        <v>2844</v>
      </c>
      <c r="IG26" t="s">
        <v>492</v>
      </c>
      <c r="IH26" t="str">
        <f>"0.0107"</f>
        <v>0.0107</v>
      </c>
      <c r="II26" t="s">
        <v>591</v>
      </c>
      <c r="IJ26" t="s">
        <v>1899</v>
      </c>
      <c r="IK26" t="str">
        <f>"0.00891"</f>
        <v>0.00891</v>
      </c>
      <c r="IL26" t="s">
        <v>4774</v>
      </c>
      <c r="IM26" t="s">
        <v>2896</v>
      </c>
      <c r="IN26" t="str">
        <f>"0.00754"</f>
        <v>0.00754</v>
      </c>
      <c r="IO26" t="s">
        <v>4775</v>
      </c>
      <c r="IP26" t="s">
        <v>3647</v>
      </c>
      <c r="IQ26" t="str">
        <f>"0.00873"</f>
        <v>0.00873</v>
      </c>
      <c r="IR26" t="s">
        <v>4776</v>
      </c>
      <c r="IS26" t="s">
        <v>1990</v>
      </c>
      <c r="IT26" t="str">
        <f>"0.0141"</f>
        <v>0.0141</v>
      </c>
      <c r="IU26" t="s">
        <v>3682</v>
      </c>
      <c r="IV26" t="s">
        <v>4777</v>
      </c>
      <c r="IW26" t="str">
        <f>"0.0210"</f>
        <v>0.0210</v>
      </c>
      <c r="IX26" t="s">
        <v>525</v>
      </c>
      <c r="IY26" t="s">
        <v>4778</v>
      </c>
      <c r="IZ26" t="str">
        <f>"0.0171"</f>
        <v>0.0171</v>
      </c>
      <c r="JA26" t="s">
        <v>4517</v>
      </c>
      <c r="JB26" t="s">
        <v>4362</v>
      </c>
      <c r="JC26" t="str">
        <f>"0.00735"</f>
        <v>0.00735</v>
      </c>
      <c r="JD26" t="s">
        <v>4779</v>
      </c>
      <c r="JE26" t="s">
        <v>4780</v>
      </c>
      <c r="JF26" t="str">
        <f>"0.00523"</f>
        <v>0.00523</v>
      </c>
      <c r="JG26" t="s">
        <v>4781</v>
      </c>
      <c r="JH26" t="s">
        <v>4782</v>
      </c>
      <c r="JI26" t="str">
        <f>"-0.00307"</f>
        <v>-0.00307</v>
      </c>
      <c r="JJ26" t="s">
        <v>3376</v>
      </c>
      <c r="JK26" t="s">
        <v>1280</v>
      </c>
      <c r="JL26" t="str">
        <f>"-0.00162"</f>
        <v>-0.00162</v>
      </c>
      <c r="JM26" t="s">
        <v>4783</v>
      </c>
      <c r="JN26" t="s">
        <v>4784</v>
      </c>
      <c r="JO26" t="str">
        <f>"0.00125"</f>
        <v>0.00125</v>
      </c>
      <c r="JP26" t="s">
        <v>265</v>
      </c>
      <c r="JQ26" t="s">
        <v>2931</v>
      </c>
      <c r="JR26" t="str">
        <f>"-0.0120"</f>
        <v>-0.0120</v>
      </c>
      <c r="JS26" t="s">
        <v>4785</v>
      </c>
      <c r="JT26" t="s">
        <v>4786</v>
      </c>
      <c r="JU26" t="str">
        <f>"-0.00865"</f>
        <v>-0.00865</v>
      </c>
      <c r="JV26" t="s">
        <v>576</v>
      </c>
      <c r="JW26" t="s">
        <v>1007</v>
      </c>
      <c r="JX26" t="str">
        <f>"-0.00870"</f>
        <v>-0.00870</v>
      </c>
      <c r="JY26" t="s">
        <v>489</v>
      </c>
      <c r="JZ26" t="s">
        <v>1543</v>
      </c>
      <c r="KA26" t="str">
        <f>"-0.00860"</f>
        <v>-0.00860</v>
      </c>
      <c r="KB26" t="s">
        <v>854</v>
      </c>
      <c r="KC26" t="s">
        <v>794</v>
      </c>
      <c r="KD26" t="str">
        <f>"0.00157"</f>
        <v>0.00157</v>
      </c>
      <c r="KE26" t="s">
        <v>848</v>
      </c>
      <c r="KF26" t="s">
        <v>785</v>
      </c>
      <c r="KG26" t="str">
        <f>"-0.00441"</f>
        <v>-0.00441</v>
      </c>
      <c r="KH26" t="s">
        <v>2861</v>
      </c>
      <c r="KI26" t="s">
        <v>1520</v>
      </c>
      <c r="KJ26" t="str">
        <f>"-0.00659"</f>
        <v>-0.00659</v>
      </c>
      <c r="KK26" t="s">
        <v>576</v>
      </c>
      <c r="KL26" t="s">
        <v>1023</v>
      </c>
    </row>
    <row r="27" spans="1:298" x14ac:dyDescent="0.2">
      <c r="A27" t="str">
        <f>"_cons"</f>
        <v>_cons</v>
      </c>
      <c r="B27" t="str">
        <f>"0.227"</f>
        <v>0.227</v>
      </c>
      <c r="C27" t="s">
        <v>3001</v>
      </c>
      <c r="D27" t="s">
        <v>4787</v>
      </c>
      <c r="E27" t="str">
        <f>"-0.333"</f>
        <v>-0.333</v>
      </c>
      <c r="F27" t="s">
        <v>4788</v>
      </c>
      <c r="G27" t="s">
        <v>1928</v>
      </c>
      <c r="H27" t="str">
        <f>"-0.680***"</f>
        <v>-0.680***</v>
      </c>
      <c r="I27" t="s">
        <v>4789</v>
      </c>
      <c r="J27" t="s">
        <v>4790</v>
      </c>
      <c r="K27" t="str">
        <f>"0.361**"</f>
        <v>0.361**</v>
      </c>
      <c r="L27" t="s">
        <v>4791</v>
      </c>
      <c r="M27" t="s">
        <v>4792</v>
      </c>
      <c r="N27" t="str">
        <f>"-0.930***"</f>
        <v>-0.930***</v>
      </c>
      <c r="O27" t="s">
        <v>4793</v>
      </c>
      <c r="P27" t="s">
        <v>4794</v>
      </c>
      <c r="Q27" t="str">
        <f>"-0.0722"</f>
        <v>-0.0722</v>
      </c>
      <c r="R27" t="s">
        <v>4795</v>
      </c>
      <c r="S27" t="s">
        <v>4796</v>
      </c>
      <c r="T27" t="str">
        <f>"-0.375**"</f>
        <v>-0.375**</v>
      </c>
      <c r="U27" t="s">
        <v>4797</v>
      </c>
      <c r="V27" t="s">
        <v>4798</v>
      </c>
      <c r="W27" t="str">
        <f>"-0.270*"</f>
        <v>-0.270*</v>
      </c>
      <c r="X27" t="s">
        <v>4799</v>
      </c>
      <c r="Y27" t="s">
        <v>4800</v>
      </c>
      <c r="Z27" t="str">
        <f>"-0.0249"</f>
        <v>-0.0249</v>
      </c>
      <c r="AA27" t="s">
        <v>4801</v>
      </c>
      <c r="AB27" t="s">
        <v>4802</v>
      </c>
      <c r="AC27" t="str">
        <f>"-0.531***"</f>
        <v>-0.531***</v>
      </c>
      <c r="AD27" t="s">
        <v>4803</v>
      </c>
      <c r="AE27" t="s">
        <v>4804</v>
      </c>
      <c r="AF27" t="str">
        <f>"-0.431***"</f>
        <v>-0.431***</v>
      </c>
      <c r="AG27" t="s">
        <v>4805</v>
      </c>
      <c r="AH27" t="s">
        <v>4806</v>
      </c>
      <c r="AI27" t="str">
        <f>"0.183***"</f>
        <v>0.183***</v>
      </c>
      <c r="AJ27" t="s">
        <v>1782</v>
      </c>
      <c r="AK27" t="s">
        <v>4807</v>
      </c>
      <c r="AL27" t="str">
        <f>"-0.0434"</f>
        <v>-0.0434</v>
      </c>
      <c r="AM27" t="s">
        <v>4808</v>
      </c>
      <c r="AN27" t="s">
        <v>496</v>
      </c>
      <c r="AO27" t="str">
        <f>"-0.0471"</f>
        <v>-0.0471</v>
      </c>
      <c r="AP27" t="s">
        <v>4809</v>
      </c>
      <c r="AQ27" t="s">
        <v>3341</v>
      </c>
      <c r="AR27" t="str">
        <f>"-0.112**"</f>
        <v>-0.112**</v>
      </c>
      <c r="AS27" t="s">
        <v>4810</v>
      </c>
      <c r="AT27" t="s">
        <v>4811</v>
      </c>
      <c r="AU27" t="str">
        <f>"-0.0865*"</f>
        <v>-0.0865*</v>
      </c>
      <c r="AV27" t="s">
        <v>4812</v>
      </c>
      <c r="AW27" t="s">
        <v>3583</v>
      </c>
      <c r="AX27" t="str">
        <f>"0.0467"</f>
        <v>0.0467</v>
      </c>
      <c r="AY27" t="s">
        <v>973</v>
      </c>
      <c r="AZ27" t="s">
        <v>4813</v>
      </c>
      <c r="BA27" t="str">
        <f>"0.0846**"</f>
        <v>0.0846**</v>
      </c>
      <c r="BB27" t="s">
        <v>4471</v>
      </c>
      <c r="BC27" t="s">
        <v>4814</v>
      </c>
      <c r="BD27" t="str">
        <f>"0.131***"</f>
        <v>0.131***</v>
      </c>
      <c r="BE27" t="s">
        <v>4815</v>
      </c>
      <c r="BF27" t="s">
        <v>3332</v>
      </c>
      <c r="BG27" t="str">
        <f>"0.119***"</f>
        <v>0.119***</v>
      </c>
      <c r="BH27" t="s">
        <v>2914</v>
      </c>
      <c r="BI27" t="s">
        <v>4515</v>
      </c>
      <c r="BJ27" t="str">
        <f>"0.0976***"</f>
        <v>0.0976***</v>
      </c>
      <c r="BK27" t="s">
        <v>1739</v>
      </c>
      <c r="BL27" t="s">
        <v>4816</v>
      </c>
      <c r="BM27" t="str">
        <f>"0.197***"</f>
        <v>0.197***</v>
      </c>
      <c r="BN27" t="s">
        <v>4817</v>
      </c>
      <c r="BO27" t="s">
        <v>4818</v>
      </c>
      <c r="BP27" t="str">
        <f>"0.178***"</f>
        <v>0.178***</v>
      </c>
      <c r="BQ27" t="s">
        <v>4819</v>
      </c>
      <c r="BR27" t="s">
        <v>1842</v>
      </c>
      <c r="BS27" t="str">
        <f>"0.131***"</f>
        <v>0.131***</v>
      </c>
      <c r="BT27" t="s">
        <v>4820</v>
      </c>
      <c r="BU27" t="s">
        <v>3247</v>
      </c>
      <c r="BV27" t="str">
        <f>"0.0876***"</f>
        <v>0.0876***</v>
      </c>
      <c r="BW27" t="s">
        <v>3442</v>
      </c>
      <c r="BX27" t="s">
        <v>4821</v>
      </c>
      <c r="BY27" t="str">
        <f>"0.0626**"</f>
        <v>0.0626**</v>
      </c>
      <c r="BZ27" t="s">
        <v>1227</v>
      </c>
      <c r="CA27" t="s">
        <v>454</v>
      </c>
      <c r="CB27" t="str">
        <f>"0.0536**"</f>
        <v>0.0536**</v>
      </c>
      <c r="CC27" t="s">
        <v>1536</v>
      </c>
      <c r="CD27" t="s">
        <v>2003</v>
      </c>
      <c r="CE27" t="str">
        <f>"0.0349"</f>
        <v>0.0349</v>
      </c>
      <c r="CF27" t="s">
        <v>1451</v>
      </c>
      <c r="CG27" t="s">
        <v>1567</v>
      </c>
      <c r="CH27" t="str">
        <f>"0.0225"</f>
        <v>0.0225</v>
      </c>
      <c r="CI27" t="s">
        <v>828</v>
      </c>
      <c r="CJ27" t="s">
        <v>1603</v>
      </c>
      <c r="CK27" t="str">
        <f>"0.0158"</f>
        <v>0.0158</v>
      </c>
      <c r="CL27" t="s">
        <v>1162</v>
      </c>
      <c r="CM27" t="s">
        <v>4106</v>
      </c>
      <c r="CN27" t="str">
        <f>"-0.000202"</f>
        <v>-0.000202</v>
      </c>
      <c r="CO27" t="s">
        <v>1722</v>
      </c>
      <c r="CP27" t="s">
        <v>1193</v>
      </c>
      <c r="CQ27" t="str">
        <f>"-0.00816"</f>
        <v>-0.00816</v>
      </c>
      <c r="CR27" t="s">
        <v>3046</v>
      </c>
      <c r="CS27" t="s">
        <v>776</v>
      </c>
      <c r="CT27" t="str">
        <f>"-0.0266"</f>
        <v>-0.0266</v>
      </c>
      <c r="CU27" t="s">
        <v>4822</v>
      </c>
      <c r="CV27" t="s">
        <v>1023</v>
      </c>
      <c r="CW27" t="str">
        <f>"-0.0438"</f>
        <v>-0.0438</v>
      </c>
      <c r="CX27" t="s">
        <v>4823</v>
      </c>
      <c r="CY27" t="s">
        <v>936</v>
      </c>
      <c r="CZ27" t="str">
        <f>"-0.0580*"</f>
        <v>-0.0580*</v>
      </c>
      <c r="DA27" t="s">
        <v>4824</v>
      </c>
      <c r="DB27" t="s">
        <v>3570</v>
      </c>
      <c r="DC27" t="str">
        <f>"-0.0558*"</f>
        <v>-0.0558*</v>
      </c>
      <c r="DD27" t="s">
        <v>1373</v>
      </c>
      <c r="DE27" t="s">
        <v>4480</v>
      </c>
      <c r="DF27" t="str">
        <f>"-0.0440"</f>
        <v>-0.0440</v>
      </c>
      <c r="DG27" t="s">
        <v>4825</v>
      </c>
      <c r="DH27" t="s">
        <v>671</v>
      </c>
      <c r="DI27" t="str">
        <f>"-0.0461"</f>
        <v>-0.0461</v>
      </c>
      <c r="DJ27" t="s">
        <v>4826</v>
      </c>
      <c r="DK27" t="s">
        <v>921</v>
      </c>
      <c r="DL27" t="str">
        <f>"-0.0621*"</f>
        <v>-0.0621*</v>
      </c>
      <c r="DM27" t="s">
        <v>4827</v>
      </c>
      <c r="DN27" t="s">
        <v>4649</v>
      </c>
      <c r="DO27" t="str">
        <f>"-0.0457"</f>
        <v>-0.0457</v>
      </c>
      <c r="DP27" t="s">
        <v>275</v>
      </c>
      <c r="DQ27" t="s">
        <v>907</v>
      </c>
      <c r="DR27" t="str">
        <f>"-0.0479"</f>
        <v>-0.0479</v>
      </c>
      <c r="DS27" t="s">
        <v>4828</v>
      </c>
      <c r="DT27" t="s">
        <v>675</v>
      </c>
      <c r="DU27" t="str">
        <f>"-0.00707"</f>
        <v>-0.00707</v>
      </c>
      <c r="DV27" t="s">
        <v>4829</v>
      </c>
      <c r="DW27" t="s">
        <v>3345</v>
      </c>
      <c r="DX27" t="str">
        <f>"-0.00858"</f>
        <v>-0.00858</v>
      </c>
      <c r="DY27" t="s">
        <v>4721</v>
      </c>
      <c r="DZ27" t="s">
        <v>1632</v>
      </c>
      <c r="EA27" t="str">
        <f>"-0.00368"</f>
        <v>-0.00368</v>
      </c>
      <c r="EB27" t="s">
        <v>4830</v>
      </c>
      <c r="EC27" t="s">
        <v>502</v>
      </c>
      <c r="ED27" t="str">
        <f>"-0.0423"</f>
        <v>-0.0423</v>
      </c>
      <c r="EE27" t="s">
        <v>1328</v>
      </c>
      <c r="EF27" t="s">
        <v>1013</v>
      </c>
      <c r="EG27" t="str">
        <f>"-0.0477"</f>
        <v>-0.0477</v>
      </c>
      <c r="EH27" t="s">
        <v>606</v>
      </c>
      <c r="EI27" t="s">
        <v>1083</v>
      </c>
      <c r="EJ27" t="str">
        <f>"-0.0508*"</f>
        <v>-0.0508*</v>
      </c>
      <c r="EK27" t="s">
        <v>4831</v>
      </c>
      <c r="EL27" t="s">
        <v>1453</v>
      </c>
      <c r="EM27" t="str">
        <f>"-0.0113"</f>
        <v>-0.0113</v>
      </c>
      <c r="EN27" t="s">
        <v>4832</v>
      </c>
      <c r="EO27" t="s">
        <v>4833</v>
      </c>
      <c r="EP27" t="str">
        <f>"-0.0149"</f>
        <v>-0.0149</v>
      </c>
      <c r="EQ27" t="s">
        <v>3382</v>
      </c>
      <c r="ER27" t="s">
        <v>2864</v>
      </c>
      <c r="ES27" t="str">
        <f>"0.0153"</f>
        <v>0.0153</v>
      </c>
      <c r="ET27" t="s">
        <v>249</v>
      </c>
      <c r="EU27" t="s">
        <v>4834</v>
      </c>
      <c r="EV27" t="str">
        <f>"0.0291"</f>
        <v>0.0291</v>
      </c>
      <c r="EW27" t="s">
        <v>1097</v>
      </c>
      <c r="EX27" t="s">
        <v>1850</v>
      </c>
      <c r="EY27" t="str">
        <f>"0.0581*"</f>
        <v>0.0581*</v>
      </c>
      <c r="EZ27" t="s">
        <v>1058</v>
      </c>
      <c r="FA27" t="s">
        <v>2009</v>
      </c>
      <c r="FB27" t="str">
        <f>"0.0639*"</f>
        <v>0.0639*</v>
      </c>
      <c r="FC27" t="s">
        <v>3637</v>
      </c>
      <c r="FD27" t="s">
        <v>282</v>
      </c>
      <c r="FE27" t="str">
        <f>"0.0743**"</f>
        <v>0.0743**</v>
      </c>
      <c r="FF27" t="s">
        <v>3155</v>
      </c>
      <c r="FG27" t="s">
        <v>4835</v>
      </c>
      <c r="FH27" t="str">
        <f>"0.0690*"</f>
        <v>0.0690*</v>
      </c>
      <c r="FI27" t="s">
        <v>1531</v>
      </c>
      <c r="FJ27" t="s">
        <v>4836</v>
      </c>
      <c r="FK27" t="str">
        <f>"0.0372"</f>
        <v>0.0372</v>
      </c>
      <c r="FL27" t="s">
        <v>2820</v>
      </c>
      <c r="FM27" t="s">
        <v>1785</v>
      </c>
      <c r="FN27" t="str">
        <f>"-0.00419"</f>
        <v>-0.00419</v>
      </c>
      <c r="FO27" t="s">
        <v>3687</v>
      </c>
      <c r="FP27" t="s">
        <v>482</v>
      </c>
      <c r="FQ27" t="str">
        <f>"-0.0363"</f>
        <v>-0.0363</v>
      </c>
      <c r="FR27" t="s">
        <v>4837</v>
      </c>
      <c r="FS27" t="s">
        <v>4736</v>
      </c>
      <c r="FT27" t="str">
        <f>"-0.0591*"</f>
        <v>-0.0591*</v>
      </c>
      <c r="FU27" t="s">
        <v>4838</v>
      </c>
      <c r="FV27" t="s">
        <v>1503</v>
      </c>
      <c r="FW27" t="str">
        <f>"-0.0672*"</f>
        <v>-0.0672*</v>
      </c>
      <c r="FX27" t="s">
        <v>1417</v>
      </c>
      <c r="FY27" t="s">
        <v>3020</v>
      </c>
      <c r="FZ27" t="str">
        <f>"-0.0417"</f>
        <v>-0.0417</v>
      </c>
      <c r="GA27" t="s">
        <v>4839</v>
      </c>
      <c r="GB27" t="s">
        <v>1670</v>
      </c>
      <c r="GC27" t="str">
        <f>"-0.0308"</f>
        <v>-0.0308</v>
      </c>
      <c r="GD27" t="s">
        <v>4840</v>
      </c>
      <c r="GE27" t="s">
        <v>784</v>
      </c>
      <c r="GF27" t="str">
        <f>"0.00776"</f>
        <v>0.00776</v>
      </c>
      <c r="GG27" t="s">
        <v>1712</v>
      </c>
      <c r="GH27" t="s">
        <v>3185</v>
      </c>
      <c r="GI27" t="str">
        <f>"0.101***"</f>
        <v>0.101***</v>
      </c>
      <c r="GJ27" t="s">
        <v>4098</v>
      </c>
      <c r="GK27" t="s">
        <v>4841</v>
      </c>
      <c r="GL27" t="str">
        <f>"0.183***"</f>
        <v>0.183***</v>
      </c>
      <c r="GM27" t="s">
        <v>4842</v>
      </c>
      <c r="GN27" t="s">
        <v>4843</v>
      </c>
      <c r="GO27" t="str">
        <f>"0.177***"</f>
        <v>0.177***</v>
      </c>
      <c r="GP27" t="s">
        <v>4844</v>
      </c>
      <c r="GQ27" t="s">
        <v>4845</v>
      </c>
      <c r="GR27" t="str">
        <f>"0.133***"</f>
        <v>0.133***</v>
      </c>
      <c r="GS27" t="s">
        <v>4846</v>
      </c>
      <c r="GT27" t="s">
        <v>4847</v>
      </c>
      <c r="GU27" t="str">
        <f>"0.117***"</f>
        <v>0.117***</v>
      </c>
      <c r="GV27" t="s">
        <v>4848</v>
      </c>
      <c r="GW27" t="s">
        <v>4849</v>
      </c>
      <c r="GX27" t="str">
        <f>"0.114***"</f>
        <v>0.114***</v>
      </c>
      <c r="GY27" t="s">
        <v>1884</v>
      </c>
      <c r="GZ27" t="s">
        <v>4850</v>
      </c>
      <c r="HA27" t="str">
        <f>"0.0450"</f>
        <v>0.0450</v>
      </c>
      <c r="HB27" t="s">
        <v>1102</v>
      </c>
      <c r="HC27" t="s">
        <v>4851</v>
      </c>
      <c r="HD27" t="str">
        <f>"-0.111**"</f>
        <v>-0.111**</v>
      </c>
      <c r="HE27" t="s">
        <v>2995</v>
      </c>
      <c r="HF27" t="s">
        <v>1252</v>
      </c>
      <c r="HG27" t="str">
        <f>"-0.163***"</f>
        <v>-0.163***</v>
      </c>
      <c r="HH27" t="s">
        <v>4852</v>
      </c>
      <c r="HI27" t="s">
        <v>1286</v>
      </c>
      <c r="HJ27" t="str">
        <f>"-0.104**"</f>
        <v>-0.104**</v>
      </c>
      <c r="HK27" t="s">
        <v>2995</v>
      </c>
      <c r="HL27" t="s">
        <v>4853</v>
      </c>
      <c r="HM27" t="str">
        <f>"-0.0325"</f>
        <v>-0.0325</v>
      </c>
      <c r="HN27" t="s">
        <v>4854</v>
      </c>
      <c r="HO27" t="s">
        <v>4855</v>
      </c>
      <c r="HP27" t="str">
        <f>"0.00303"</f>
        <v>0.00303</v>
      </c>
      <c r="HQ27" t="s">
        <v>3836</v>
      </c>
      <c r="HR27" t="s">
        <v>1879</v>
      </c>
      <c r="HS27" t="str">
        <f>"-0.0110"</f>
        <v>-0.0110</v>
      </c>
      <c r="HT27" t="s">
        <v>1707</v>
      </c>
      <c r="HU27" t="s">
        <v>2869</v>
      </c>
      <c r="HV27" t="str">
        <f>"-0.00682"</f>
        <v>-0.00682</v>
      </c>
      <c r="HW27" t="s">
        <v>4856</v>
      </c>
      <c r="HX27" t="s">
        <v>4857</v>
      </c>
      <c r="HY27" t="str">
        <f>"0.0138"</f>
        <v>0.0138</v>
      </c>
      <c r="HZ27" t="s">
        <v>4858</v>
      </c>
      <c r="IA27" t="s">
        <v>4228</v>
      </c>
      <c r="IB27" t="str">
        <f>"0.0994*"</f>
        <v>0.0994*</v>
      </c>
      <c r="IC27" t="s">
        <v>3160</v>
      </c>
      <c r="ID27" t="s">
        <v>4859</v>
      </c>
      <c r="IE27" t="str">
        <f>"0.188***"</f>
        <v>0.188***</v>
      </c>
      <c r="IF27" t="s">
        <v>4860</v>
      </c>
      <c r="IG27" t="s">
        <v>4861</v>
      </c>
      <c r="IH27" t="str">
        <f>"0.209***"</f>
        <v>0.209***</v>
      </c>
      <c r="II27" t="s">
        <v>4862</v>
      </c>
      <c r="IJ27" t="s">
        <v>4863</v>
      </c>
      <c r="IK27" t="str">
        <f>"0.126**"</f>
        <v>0.126**</v>
      </c>
      <c r="IL27" t="s">
        <v>905</v>
      </c>
      <c r="IM27" t="s">
        <v>4864</v>
      </c>
      <c r="IN27" t="str">
        <f>"-0.0754"</f>
        <v>-0.0754</v>
      </c>
      <c r="IO27" t="s">
        <v>4865</v>
      </c>
      <c r="IP27" t="s">
        <v>572</v>
      </c>
      <c r="IQ27" t="str">
        <f>"-0.171***"</f>
        <v>-0.171***</v>
      </c>
      <c r="IR27" t="s">
        <v>4866</v>
      </c>
      <c r="IS27" t="s">
        <v>4867</v>
      </c>
      <c r="IT27" t="str">
        <f>"-0.158**"</f>
        <v>-0.158**</v>
      </c>
      <c r="IU27" t="s">
        <v>4868</v>
      </c>
      <c r="IV27" t="s">
        <v>3496</v>
      </c>
      <c r="IW27" t="str">
        <f>"0.198***"</f>
        <v>0.198***</v>
      </c>
      <c r="IX27" t="s">
        <v>3484</v>
      </c>
      <c r="IY27" t="s">
        <v>260</v>
      </c>
      <c r="IZ27" t="str">
        <f>"0.261***"</f>
        <v>0.261***</v>
      </c>
      <c r="JA27" t="s">
        <v>4869</v>
      </c>
      <c r="JB27" t="s">
        <v>4870</v>
      </c>
      <c r="JC27" t="str">
        <f>"0.201***"</f>
        <v>0.201***</v>
      </c>
      <c r="JD27" t="s">
        <v>3212</v>
      </c>
      <c r="JE27" t="s">
        <v>4871</v>
      </c>
      <c r="JF27" t="str">
        <f>"0.106"</f>
        <v>0.106</v>
      </c>
      <c r="JG27" t="s">
        <v>1717</v>
      </c>
      <c r="JH27" t="s">
        <v>4872</v>
      </c>
      <c r="JI27" t="str">
        <f>"0.117"</f>
        <v>0.117</v>
      </c>
      <c r="JJ27" t="s">
        <v>1012</v>
      </c>
      <c r="JK27" t="s">
        <v>4873</v>
      </c>
      <c r="JL27" t="str">
        <f>"0.181**"</f>
        <v>0.181**</v>
      </c>
      <c r="JM27" t="s">
        <v>4227</v>
      </c>
      <c r="JN27" t="s">
        <v>4874</v>
      </c>
      <c r="JO27" t="str">
        <f>"0.284***"</f>
        <v>0.284***</v>
      </c>
      <c r="JP27" t="s">
        <v>4875</v>
      </c>
      <c r="JQ27" t="s">
        <v>4876</v>
      </c>
      <c r="JR27" t="str">
        <f>"0.141"</f>
        <v>0.141</v>
      </c>
      <c r="JS27" t="s">
        <v>4877</v>
      </c>
      <c r="JT27" t="s">
        <v>4878</v>
      </c>
      <c r="JU27" t="str">
        <f>"0.00416"</f>
        <v>0.00416</v>
      </c>
      <c r="JV27" t="s">
        <v>4879</v>
      </c>
      <c r="JW27" t="s">
        <v>4880</v>
      </c>
      <c r="JX27" t="str">
        <f>"0.0949"</f>
        <v>0.0949</v>
      </c>
      <c r="JY27" t="s">
        <v>469</v>
      </c>
      <c r="JZ27" t="s">
        <v>4881</v>
      </c>
      <c r="KA27" t="str">
        <f>"-0.00802"</f>
        <v>-0.00802</v>
      </c>
      <c r="KB27" t="s">
        <v>4882</v>
      </c>
      <c r="KC27" t="s">
        <v>4883</v>
      </c>
      <c r="KD27" t="str">
        <f>"0.342***"</f>
        <v>0.342***</v>
      </c>
      <c r="KE27" t="s">
        <v>4884</v>
      </c>
      <c r="KF27" t="s">
        <v>4885</v>
      </c>
      <c r="KG27" t="str">
        <f>"-0.00794"</f>
        <v>-0.00794</v>
      </c>
      <c r="KH27" t="s">
        <v>4886</v>
      </c>
      <c r="KI27" t="s">
        <v>4887</v>
      </c>
      <c r="KJ27" t="str">
        <f>"0.0367"</f>
        <v>0.0367</v>
      </c>
      <c r="KK27" t="s">
        <v>4752</v>
      </c>
      <c r="KL27" t="s">
        <v>4888</v>
      </c>
    </row>
    <row r="28" spans="1:298" x14ac:dyDescent="0.2">
      <c r="A28" t="str">
        <f>"N"</f>
        <v>N</v>
      </c>
      <c r="B28" t="str">
        <f>""</f>
        <v/>
      </c>
      <c r="C28" t="str">
        <f>""</f>
        <v/>
      </c>
      <c r="D28" t="str">
        <f>""</f>
        <v/>
      </c>
      <c r="E28" t="str">
        <f>""</f>
        <v/>
      </c>
      <c r="F28" t="str">
        <f>""</f>
        <v/>
      </c>
      <c r="G28" t="str">
        <f>""</f>
        <v/>
      </c>
      <c r="H28" t="str">
        <f>""</f>
        <v/>
      </c>
      <c r="I28" t="str">
        <f>""</f>
        <v/>
      </c>
      <c r="J28" t="str">
        <f>""</f>
        <v/>
      </c>
      <c r="K28" t="str">
        <f>""</f>
        <v/>
      </c>
      <c r="L28" t="str">
        <f>""</f>
        <v/>
      </c>
      <c r="M28" t="str">
        <f>""</f>
        <v/>
      </c>
      <c r="N28" t="str">
        <f>""</f>
        <v/>
      </c>
      <c r="O28" t="str">
        <f>""</f>
        <v/>
      </c>
      <c r="P28" t="str">
        <f>""</f>
        <v/>
      </c>
      <c r="Q28" t="str">
        <f>""</f>
        <v/>
      </c>
      <c r="R28" t="str">
        <f>""</f>
        <v/>
      </c>
      <c r="S28" t="str">
        <f>""</f>
        <v/>
      </c>
      <c r="T28" t="str">
        <f>""</f>
        <v/>
      </c>
      <c r="U28" t="str">
        <f>""</f>
        <v/>
      </c>
      <c r="V28" t="str">
        <f>""</f>
        <v/>
      </c>
      <c r="W28" t="str">
        <f>""</f>
        <v/>
      </c>
      <c r="X28" t="str">
        <f>""</f>
        <v/>
      </c>
      <c r="Y28" t="str">
        <f>""</f>
        <v/>
      </c>
      <c r="Z28" t="str">
        <f>""</f>
        <v/>
      </c>
      <c r="AA28" t="str">
        <f>""</f>
        <v/>
      </c>
      <c r="AB28" t="str">
        <f>""</f>
        <v/>
      </c>
      <c r="AC28" t="str">
        <f>""</f>
        <v/>
      </c>
      <c r="AD28" t="str">
        <f>""</f>
        <v/>
      </c>
      <c r="AE28" t="str">
        <f>""</f>
        <v/>
      </c>
      <c r="AF28" t="str">
        <f>""</f>
        <v/>
      </c>
      <c r="AG28" t="str">
        <f>""</f>
        <v/>
      </c>
      <c r="AH28" t="str">
        <f>""</f>
        <v/>
      </c>
      <c r="AI28" t="str">
        <f>""</f>
        <v/>
      </c>
      <c r="AJ28" t="str">
        <f>""</f>
        <v/>
      </c>
      <c r="AK28" t="str">
        <f>""</f>
        <v/>
      </c>
      <c r="AL28" t="str">
        <f>""</f>
        <v/>
      </c>
      <c r="AM28" t="str">
        <f>""</f>
        <v/>
      </c>
      <c r="AN28" t="str">
        <f>""</f>
        <v/>
      </c>
      <c r="AO28" t="str">
        <f>""</f>
        <v/>
      </c>
      <c r="AP28" t="str">
        <f>""</f>
        <v/>
      </c>
      <c r="AQ28" t="str">
        <f>""</f>
        <v/>
      </c>
      <c r="AR28" t="str">
        <f>""</f>
        <v/>
      </c>
      <c r="AS28" t="str">
        <f>""</f>
        <v/>
      </c>
      <c r="AT28" t="str">
        <f>""</f>
        <v/>
      </c>
      <c r="AU28" t="str">
        <f>""</f>
        <v/>
      </c>
      <c r="AV28" t="str">
        <f>""</f>
        <v/>
      </c>
      <c r="AW28" t="str">
        <f>""</f>
        <v/>
      </c>
      <c r="AX28" t="str">
        <f>""</f>
        <v/>
      </c>
      <c r="AY28" t="str">
        <f>""</f>
        <v/>
      </c>
      <c r="AZ28" t="str">
        <f>""</f>
        <v/>
      </c>
      <c r="BA28" t="str">
        <f>""</f>
        <v/>
      </c>
      <c r="BB28" t="str">
        <f>""</f>
        <v/>
      </c>
      <c r="BC28" t="str">
        <f>""</f>
        <v/>
      </c>
      <c r="BD28" t="str">
        <f>""</f>
        <v/>
      </c>
      <c r="BE28" t="str">
        <f>""</f>
        <v/>
      </c>
      <c r="BF28" t="str">
        <f>""</f>
        <v/>
      </c>
      <c r="BG28" t="str">
        <f>""</f>
        <v/>
      </c>
      <c r="BH28" t="str">
        <f>""</f>
        <v/>
      </c>
      <c r="BI28" t="str">
        <f>""</f>
        <v/>
      </c>
      <c r="BJ28" t="str">
        <f>""</f>
        <v/>
      </c>
      <c r="BK28" t="str">
        <f>""</f>
        <v/>
      </c>
      <c r="BL28" t="str">
        <f>""</f>
        <v/>
      </c>
      <c r="BM28" t="str">
        <f>""</f>
        <v/>
      </c>
      <c r="BN28" t="str">
        <f>""</f>
        <v/>
      </c>
      <c r="BO28" t="str">
        <f>""</f>
        <v/>
      </c>
      <c r="BP28" t="str">
        <f>""</f>
        <v/>
      </c>
      <c r="BQ28" t="str">
        <f>""</f>
        <v/>
      </c>
      <c r="BR28" t="str">
        <f>""</f>
        <v/>
      </c>
      <c r="BS28" t="str">
        <f>""</f>
        <v/>
      </c>
      <c r="BT28" t="str">
        <f>""</f>
        <v/>
      </c>
      <c r="BU28" t="str">
        <f>""</f>
        <v/>
      </c>
      <c r="BV28" t="str">
        <f>""</f>
        <v/>
      </c>
      <c r="BW28" t="str">
        <f>""</f>
        <v/>
      </c>
      <c r="BX28" t="str">
        <f>""</f>
        <v/>
      </c>
      <c r="BY28" t="str">
        <f>""</f>
        <v/>
      </c>
      <c r="BZ28" t="str">
        <f>""</f>
        <v/>
      </c>
      <c r="CA28" t="str">
        <f>""</f>
        <v/>
      </c>
      <c r="CB28" t="str">
        <f>""</f>
        <v/>
      </c>
      <c r="CC28" t="str">
        <f>""</f>
        <v/>
      </c>
      <c r="CD28" t="str">
        <f>""</f>
        <v/>
      </c>
      <c r="CE28" t="str">
        <f>""</f>
        <v/>
      </c>
      <c r="CF28" t="str">
        <f>""</f>
        <v/>
      </c>
      <c r="CG28" t="str">
        <f>""</f>
        <v/>
      </c>
      <c r="CH28" t="str">
        <f>""</f>
        <v/>
      </c>
      <c r="CI28" t="str">
        <f>""</f>
        <v/>
      </c>
      <c r="CJ28" t="str">
        <f>""</f>
        <v/>
      </c>
      <c r="CK28" t="str">
        <f>""</f>
        <v/>
      </c>
      <c r="CL28" t="str">
        <f>""</f>
        <v/>
      </c>
      <c r="CM28" t="str">
        <f>""</f>
        <v/>
      </c>
      <c r="CN28" t="str">
        <f>""</f>
        <v/>
      </c>
      <c r="CO28" t="str">
        <f>""</f>
        <v/>
      </c>
      <c r="CP28" t="str">
        <f>""</f>
        <v/>
      </c>
      <c r="CQ28" t="str">
        <f>""</f>
        <v/>
      </c>
      <c r="CR28" t="str">
        <f>""</f>
        <v/>
      </c>
      <c r="CS28" t="str">
        <f>""</f>
        <v/>
      </c>
      <c r="CT28" t="str">
        <f>""</f>
        <v/>
      </c>
      <c r="CU28" t="str">
        <f>""</f>
        <v/>
      </c>
      <c r="CV28" t="str">
        <f>""</f>
        <v/>
      </c>
      <c r="CW28" t="str">
        <f>""</f>
        <v/>
      </c>
      <c r="CX28" t="str">
        <f>""</f>
        <v/>
      </c>
      <c r="CY28" t="str">
        <f>""</f>
        <v/>
      </c>
      <c r="CZ28" t="str">
        <f>""</f>
        <v/>
      </c>
      <c r="DA28" t="str">
        <f>""</f>
        <v/>
      </c>
      <c r="DB28" t="str">
        <f>""</f>
        <v/>
      </c>
      <c r="DC28" t="str">
        <f>""</f>
        <v/>
      </c>
      <c r="DD28" t="str">
        <f>""</f>
        <v/>
      </c>
      <c r="DE28" t="str">
        <f>""</f>
        <v/>
      </c>
      <c r="DF28" t="str">
        <f>""</f>
        <v/>
      </c>
      <c r="DG28" t="str">
        <f>""</f>
        <v/>
      </c>
      <c r="DH28" t="str">
        <f>""</f>
        <v/>
      </c>
      <c r="DI28" t="str">
        <f>""</f>
        <v/>
      </c>
      <c r="DJ28" t="str">
        <f>""</f>
        <v/>
      </c>
      <c r="DK28" t="str">
        <f>""</f>
        <v/>
      </c>
      <c r="DL28" t="str">
        <f>""</f>
        <v/>
      </c>
      <c r="DM28" t="str">
        <f>""</f>
        <v/>
      </c>
      <c r="DN28" t="str">
        <f>""</f>
        <v/>
      </c>
      <c r="DO28" t="str">
        <f>""</f>
        <v/>
      </c>
      <c r="DP28" t="str">
        <f>""</f>
        <v/>
      </c>
      <c r="DQ28" t="str">
        <f>""</f>
        <v/>
      </c>
      <c r="DR28" t="str">
        <f>""</f>
        <v/>
      </c>
      <c r="DS28" t="str">
        <f>""</f>
        <v/>
      </c>
      <c r="DT28" t="str">
        <f>""</f>
        <v/>
      </c>
      <c r="DU28" t="str">
        <f>""</f>
        <v/>
      </c>
      <c r="DV28" t="str">
        <f>""</f>
        <v/>
      </c>
      <c r="DW28" t="str">
        <f>""</f>
        <v/>
      </c>
      <c r="DX28" t="str">
        <f>""</f>
        <v/>
      </c>
      <c r="DY28" t="str">
        <f>""</f>
        <v/>
      </c>
      <c r="DZ28" t="str">
        <f>""</f>
        <v/>
      </c>
      <c r="EA28" t="str">
        <f>""</f>
        <v/>
      </c>
      <c r="EB28" t="str">
        <f>""</f>
        <v/>
      </c>
      <c r="EC28" t="str">
        <f>""</f>
        <v/>
      </c>
      <c r="ED28" t="str">
        <f>""</f>
        <v/>
      </c>
      <c r="EE28" t="str">
        <f>""</f>
        <v/>
      </c>
      <c r="EF28" t="str">
        <f>""</f>
        <v/>
      </c>
      <c r="EG28" t="str">
        <f>""</f>
        <v/>
      </c>
      <c r="EH28" t="str">
        <f>""</f>
        <v/>
      </c>
      <c r="EI28" t="str">
        <f>""</f>
        <v/>
      </c>
      <c r="EJ28" t="str">
        <f>""</f>
        <v/>
      </c>
      <c r="EK28" t="str">
        <f>""</f>
        <v/>
      </c>
      <c r="EL28" t="str">
        <f>""</f>
        <v/>
      </c>
      <c r="EM28" t="str">
        <f>""</f>
        <v/>
      </c>
      <c r="EN28" t="str">
        <f>""</f>
        <v/>
      </c>
      <c r="EO28" t="str">
        <f>""</f>
        <v/>
      </c>
      <c r="EP28" t="str">
        <f>""</f>
        <v/>
      </c>
      <c r="EQ28" t="str">
        <f>""</f>
        <v/>
      </c>
      <c r="ER28" t="str">
        <f>""</f>
        <v/>
      </c>
      <c r="ES28" t="str">
        <f>""</f>
        <v/>
      </c>
      <c r="ET28" t="str">
        <f>""</f>
        <v/>
      </c>
      <c r="EU28" t="str">
        <f>""</f>
        <v/>
      </c>
      <c r="EV28" t="str">
        <f>""</f>
        <v/>
      </c>
      <c r="EW28" t="str">
        <f>""</f>
        <v/>
      </c>
      <c r="EX28" t="str">
        <f>""</f>
        <v/>
      </c>
      <c r="EY28" t="str">
        <f>""</f>
        <v/>
      </c>
      <c r="EZ28" t="str">
        <f>""</f>
        <v/>
      </c>
      <c r="FA28" t="str">
        <f>""</f>
        <v/>
      </c>
      <c r="FB28" t="str">
        <f>""</f>
        <v/>
      </c>
      <c r="FC28" t="str">
        <f>""</f>
        <v/>
      </c>
      <c r="FD28" t="str">
        <f>""</f>
        <v/>
      </c>
      <c r="FE28" t="str">
        <f>""</f>
        <v/>
      </c>
      <c r="FF28" t="str">
        <f>""</f>
        <v/>
      </c>
      <c r="FG28" t="str">
        <f>""</f>
        <v/>
      </c>
      <c r="FH28" t="str">
        <f>""</f>
        <v/>
      </c>
      <c r="FI28" t="str">
        <f>""</f>
        <v/>
      </c>
      <c r="FJ28" t="str">
        <f>""</f>
        <v/>
      </c>
      <c r="FK28" t="str">
        <f>""</f>
        <v/>
      </c>
      <c r="FL28" t="str">
        <f>""</f>
        <v/>
      </c>
      <c r="FM28" t="str">
        <f>""</f>
        <v/>
      </c>
      <c r="FN28" t="str">
        <f>""</f>
        <v/>
      </c>
      <c r="FO28" t="str">
        <f>""</f>
        <v/>
      </c>
      <c r="FP28" t="str">
        <f>""</f>
        <v/>
      </c>
      <c r="FQ28" t="str">
        <f>""</f>
        <v/>
      </c>
      <c r="FR28" t="str">
        <f>""</f>
        <v/>
      </c>
      <c r="FS28" t="str">
        <f>""</f>
        <v/>
      </c>
      <c r="FT28" t="str">
        <f>""</f>
        <v/>
      </c>
      <c r="FU28" t="str">
        <f>""</f>
        <v/>
      </c>
      <c r="FV28" t="str">
        <f>""</f>
        <v/>
      </c>
      <c r="FW28" t="str">
        <f>""</f>
        <v/>
      </c>
      <c r="FX28" t="str">
        <f>""</f>
        <v/>
      </c>
      <c r="FY28" t="str">
        <f>""</f>
        <v/>
      </c>
      <c r="FZ28" t="str">
        <f>""</f>
        <v/>
      </c>
      <c r="GA28" t="str">
        <f>""</f>
        <v/>
      </c>
      <c r="GB28" t="str">
        <f>""</f>
        <v/>
      </c>
      <c r="GC28" t="str">
        <f>""</f>
        <v/>
      </c>
      <c r="GD28" t="str">
        <f>""</f>
        <v/>
      </c>
      <c r="GE28" t="str">
        <f>""</f>
        <v/>
      </c>
      <c r="GF28" t="str">
        <f>""</f>
        <v/>
      </c>
      <c r="GG28" t="str">
        <f>""</f>
        <v/>
      </c>
      <c r="GH28" t="str">
        <f>""</f>
        <v/>
      </c>
      <c r="GI28" t="str">
        <f>""</f>
        <v/>
      </c>
      <c r="GJ28" t="str">
        <f>""</f>
        <v/>
      </c>
      <c r="GK28" t="str">
        <f>""</f>
        <v/>
      </c>
      <c r="GL28" t="str">
        <f>""</f>
        <v/>
      </c>
      <c r="GM28" t="str">
        <f>""</f>
        <v/>
      </c>
      <c r="GN28" t="str">
        <f>""</f>
        <v/>
      </c>
      <c r="GO28" t="str">
        <f>""</f>
        <v/>
      </c>
      <c r="GP28" t="str">
        <f>""</f>
        <v/>
      </c>
      <c r="GQ28" t="str">
        <f>""</f>
        <v/>
      </c>
    </row>
    <row r="29" spans="1:298" x14ac:dyDescent="0.2">
      <c r="A29" t="str">
        <f>"95% confidence intervals in brackets"</f>
        <v>95% confidence intervals in brackets</v>
      </c>
    </row>
    <row r="30" spans="1:298" x14ac:dyDescent="0.2">
      <c r="A30" t="s">
        <v>243</v>
      </c>
      <c r="B30" t="s">
        <v>242</v>
      </c>
      <c r="C30" t="s">
        <v>241</v>
      </c>
    </row>
    <row r="35" spans="1:100" x14ac:dyDescent="0.2">
      <c r="A35" t="s">
        <v>229</v>
      </c>
      <c r="B35">
        <v>0.2424</v>
      </c>
      <c r="C35">
        <v>0.1515</v>
      </c>
      <c r="D35">
        <v>0.14360000000000001</v>
      </c>
      <c r="E35">
        <v>0.1787</v>
      </c>
      <c r="F35">
        <v>0.1191</v>
      </c>
      <c r="G35">
        <v>0.1308</v>
      </c>
      <c r="H35">
        <v>0.1263</v>
      </c>
      <c r="I35">
        <v>0.1265</v>
      </c>
      <c r="J35">
        <v>0.15160000000000001</v>
      </c>
      <c r="K35">
        <v>9.8500000000000004E-2</v>
      </c>
      <c r="L35">
        <v>0.13880000000000001</v>
      </c>
      <c r="M35">
        <v>0.17649999999999999</v>
      </c>
      <c r="N35">
        <v>0.13830000000000001</v>
      </c>
      <c r="O35">
        <v>0.13719999999999999</v>
      </c>
      <c r="P35">
        <v>0.1298</v>
      </c>
      <c r="Q35">
        <v>0.12909999999999999</v>
      </c>
      <c r="R35">
        <v>0.14349999999999999</v>
      </c>
      <c r="S35">
        <v>0.14369999999999999</v>
      </c>
      <c r="T35">
        <v>0.1484</v>
      </c>
      <c r="U35">
        <v>0.14050000000000001</v>
      </c>
      <c r="V35">
        <v>0.12609999999999999</v>
      </c>
      <c r="W35">
        <v>0.14960000000000001</v>
      </c>
      <c r="X35">
        <v>0.14380000000000001</v>
      </c>
      <c r="Y35">
        <v>0.12559999999999999</v>
      </c>
      <c r="Z35">
        <v>0.11609999999999999</v>
      </c>
      <c r="AA35">
        <v>0.10059999999999999</v>
      </c>
      <c r="AB35">
        <v>0.11310000000000001</v>
      </c>
      <c r="AC35">
        <v>0.1026</v>
      </c>
      <c r="AD35">
        <v>0.1</v>
      </c>
      <c r="AE35">
        <v>9.8799999999999999E-2</v>
      </c>
      <c r="AF35">
        <v>0.10829999999999999</v>
      </c>
      <c r="AG35">
        <v>0.10639999999999999</v>
      </c>
      <c r="AH35">
        <v>0.1021</v>
      </c>
      <c r="AI35">
        <v>9.6199999999999994E-2</v>
      </c>
      <c r="AJ35">
        <v>0.11899999999999999</v>
      </c>
      <c r="AK35">
        <v>0.12479999999999999</v>
      </c>
      <c r="AL35">
        <v>0.1207</v>
      </c>
      <c r="AM35">
        <v>0.10639999999999999</v>
      </c>
      <c r="AN35">
        <v>9.4899999999999998E-2</v>
      </c>
      <c r="AO35">
        <v>0.1033</v>
      </c>
      <c r="AP35">
        <v>0.108</v>
      </c>
      <c r="AQ35">
        <v>0.10970000000000001</v>
      </c>
      <c r="AR35">
        <v>0.106</v>
      </c>
      <c r="AS35">
        <v>0.113</v>
      </c>
      <c r="AT35">
        <v>9.4700000000000006E-2</v>
      </c>
      <c r="AU35">
        <v>9.7000000000000003E-2</v>
      </c>
      <c r="AV35">
        <v>8.1299999999999997E-2</v>
      </c>
      <c r="AW35">
        <v>9.9599999999999994E-2</v>
      </c>
      <c r="AX35">
        <v>0.1013</v>
      </c>
      <c r="AY35">
        <v>0.11</v>
      </c>
      <c r="AZ35">
        <v>0.12570000000000001</v>
      </c>
      <c r="BA35">
        <v>0.1162</v>
      </c>
      <c r="BB35">
        <v>8.3400000000000002E-2</v>
      </c>
      <c r="BC35">
        <v>8.3599999999999994E-2</v>
      </c>
      <c r="BD35">
        <v>0.11</v>
      </c>
      <c r="BE35">
        <v>9.3899999999999997E-2</v>
      </c>
      <c r="BF35">
        <v>8.2199999999999995E-2</v>
      </c>
      <c r="BG35">
        <v>7.8E-2</v>
      </c>
      <c r="BH35">
        <v>6.5000000000000002E-2</v>
      </c>
      <c r="BI35">
        <v>9.4100000000000003E-2</v>
      </c>
      <c r="BJ35">
        <v>0.12130000000000001</v>
      </c>
      <c r="BK35">
        <v>0.10639999999999999</v>
      </c>
      <c r="BL35">
        <v>8.2000000000000003E-2</v>
      </c>
      <c r="BM35">
        <v>9.8799999999999999E-2</v>
      </c>
      <c r="BN35">
        <v>0.1353</v>
      </c>
      <c r="BO35">
        <v>0.10879999999999999</v>
      </c>
      <c r="BP35">
        <v>7.22E-2</v>
      </c>
      <c r="BQ35">
        <v>5.3699999999999998E-2</v>
      </c>
      <c r="BR35">
        <v>5.2299999999999999E-2</v>
      </c>
      <c r="BS35">
        <v>6.0100000000000001E-2</v>
      </c>
      <c r="BT35">
        <v>6.8900000000000003E-2</v>
      </c>
      <c r="BU35">
        <v>7.8299999999999995E-2</v>
      </c>
      <c r="BV35">
        <v>7.7299999999999994E-2</v>
      </c>
      <c r="BW35">
        <v>8.1100000000000005E-2</v>
      </c>
      <c r="BX35">
        <v>7.8299999999999995E-2</v>
      </c>
      <c r="BY35">
        <v>4.9000000000000002E-2</v>
      </c>
      <c r="BZ35">
        <v>9.6600000000000005E-2</v>
      </c>
      <c r="CA35">
        <v>7.3099999999999998E-2</v>
      </c>
      <c r="CB35">
        <v>6.7400000000000002E-2</v>
      </c>
      <c r="CC35">
        <v>0.1012</v>
      </c>
      <c r="CD35">
        <v>5.3499999999999999E-2</v>
      </c>
      <c r="CE35">
        <v>2.81E-2</v>
      </c>
      <c r="CF35">
        <v>1.7399999999999999E-2</v>
      </c>
      <c r="CG35">
        <v>5.5300000000000002E-2</v>
      </c>
      <c r="CH35">
        <v>6.9699999999999998E-2</v>
      </c>
      <c r="CI35">
        <v>7.4899999999999994E-2</v>
      </c>
      <c r="CJ35">
        <v>7.0599999999999996E-2</v>
      </c>
      <c r="CK35">
        <v>1.0699999999999999E-2</v>
      </c>
      <c r="CL35">
        <v>3.09E-2</v>
      </c>
      <c r="CM35">
        <v>1.9699999999999999E-2</v>
      </c>
      <c r="CN35">
        <v>5.0599999999999999E-2</v>
      </c>
      <c r="CO35">
        <v>-8.0000000000000002E-3</v>
      </c>
      <c r="CP35">
        <v>1.11E-2</v>
      </c>
      <c r="CQ35">
        <v>-2.3699999999999999E-2</v>
      </c>
      <c r="CR35">
        <v>-1.5599999999999999E-2</v>
      </c>
      <c r="CS35">
        <v>-5.3E-3</v>
      </c>
      <c r="CT35">
        <v>3.3799999999999997E-2</v>
      </c>
      <c r="CU35">
        <v>-4.5499999999999999E-2</v>
      </c>
      <c r="CV35">
        <v>-4.1500000000000002E-2</v>
      </c>
    </row>
    <row r="36" spans="1:100" x14ac:dyDescent="0.2">
      <c r="A36" t="s">
        <v>228</v>
      </c>
      <c r="B36">
        <v>0.2918</v>
      </c>
      <c r="C36">
        <v>0.2049</v>
      </c>
      <c r="D36">
        <v>0.19370000000000001</v>
      </c>
      <c r="E36">
        <v>0.2155</v>
      </c>
      <c r="F36">
        <v>0.16220000000000001</v>
      </c>
      <c r="G36">
        <v>0.1666</v>
      </c>
      <c r="H36">
        <v>0.16270000000000001</v>
      </c>
      <c r="I36">
        <v>0.16020000000000001</v>
      </c>
      <c r="J36">
        <v>0.1827</v>
      </c>
      <c r="K36">
        <v>0.12759999999999999</v>
      </c>
      <c r="L36">
        <v>0.1656</v>
      </c>
      <c r="M36">
        <v>0.19639999999999999</v>
      </c>
      <c r="N36">
        <v>0.15740000000000001</v>
      </c>
      <c r="O36">
        <v>0.15429999999999999</v>
      </c>
      <c r="P36">
        <v>0.14480000000000001</v>
      </c>
      <c r="Q36">
        <v>0.14280000000000001</v>
      </c>
      <c r="R36">
        <v>0.15570000000000001</v>
      </c>
      <c r="S36">
        <v>0.15540000000000001</v>
      </c>
      <c r="T36">
        <v>0.15909999999999999</v>
      </c>
      <c r="U36">
        <v>0.151</v>
      </c>
      <c r="V36">
        <v>0.13650000000000001</v>
      </c>
      <c r="W36">
        <v>0.1593</v>
      </c>
      <c r="X36">
        <v>0.15359999999999999</v>
      </c>
      <c r="Y36">
        <v>0.13539999999999999</v>
      </c>
      <c r="Z36">
        <v>0.1258</v>
      </c>
      <c r="AA36">
        <v>0.1103</v>
      </c>
      <c r="AB36">
        <v>0.12280000000000001</v>
      </c>
      <c r="AC36">
        <v>0.1125</v>
      </c>
      <c r="AD36">
        <v>0.1099</v>
      </c>
      <c r="AE36">
        <v>0.1089</v>
      </c>
      <c r="AF36">
        <v>0.1188</v>
      </c>
      <c r="AG36">
        <v>0.1171</v>
      </c>
      <c r="AH36">
        <v>0.11310000000000001</v>
      </c>
      <c r="AI36">
        <v>0.1077</v>
      </c>
      <c r="AJ36">
        <v>0.13109999999999999</v>
      </c>
      <c r="AK36">
        <v>0.1371</v>
      </c>
      <c r="AL36">
        <v>0.1333</v>
      </c>
      <c r="AM36">
        <v>0.1193</v>
      </c>
      <c r="AN36">
        <v>0.108</v>
      </c>
      <c r="AO36">
        <v>0.11650000000000001</v>
      </c>
      <c r="AP36">
        <v>0.12139999999999999</v>
      </c>
      <c r="AQ36">
        <v>0.1234</v>
      </c>
      <c r="AR36">
        <v>0.1197</v>
      </c>
      <c r="AS36">
        <v>0.1268</v>
      </c>
      <c r="AT36">
        <v>0.1085</v>
      </c>
      <c r="AU36">
        <v>0.1108</v>
      </c>
      <c r="AV36">
        <v>9.5100000000000004E-2</v>
      </c>
      <c r="AW36">
        <v>0.11360000000000001</v>
      </c>
      <c r="AX36">
        <v>0.1154</v>
      </c>
      <c r="AY36">
        <v>0.1244</v>
      </c>
      <c r="AZ36">
        <v>0.1406</v>
      </c>
      <c r="BA36">
        <v>0.13139999999999999</v>
      </c>
      <c r="BB36">
        <v>9.8900000000000002E-2</v>
      </c>
      <c r="BC36">
        <v>9.9500000000000005E-2</v>
      </c>
      <c r="BD36">
        <v>0.12659999999999999</v>
      </c>
      <c r="BE36">
        <v>0.1105</v>
      </c>
      <c r="BF36">
        <v>9.9099999999999994E-2</v>
      </c>
      <c r="BG36">
        <v>9.5100000000000004E-2</v>
      </c>
      <c r="BH36">
        <v>8.2199999999999995E-2</v>
      </c>
      <c r="BI36">
        <v>0.11169999999999999</v>
      </c>
      <c r="BJ36">
        <v>0.1391</v>
      </c>
      <c r="BK36">
        <v>0.12429999999999999</v>
      </c>
      <c r="BL36">
        <v>0.10009999999999999</v>
      </c>
      <c r="BM36">
        <v>0.1167</v>
      </c>
      <c r="BN36">
        <v>0.1532</v>
      </c>
      <c r="BO36">
        <v>0.12690000000000001</v>
      </c>
      <c r="BP36">
        <v>9.0200000000000002E-2</v>
      </c>
      <c r="BQ36">
        <v>7.17E-2</v>
      </c>
      <c r="BR36">
        <v>7.0400000000000004E-2</v>
      </c>
      <c r="BS36">
        <v>7.9600000000000004E-2</v>
      </c>
      <c r="BT36">
        <v>9.1499999999999998E-2</v>
      </c>
      <c r="BU36">
        <v>0.1026</v>
      </c>
      <c r="BV36">
        <v>0.1018</v>
      </c>
      <c r="BW36">
        <v>0.1055</v>
      </c>
      <c r="BX36">
        <v>0.1023</v>
      </c>
      <c r="BY36">
        <v>7.2900000000000006E-2</v>
      </c>
      <c r="BZ36">
        <v>0.121</v>
      </c>
      <c r="CA36">
        <v>9.8299999999999998E-2</v>
      </c>
      <c r="CB36">
        <v>9.3200000000000005E-2</v>
      </c>
      <c r="CC36">
        <v>0.1278</v>
      </c>
      <c r="CD36">
        <v>8.0399999999999999E-2</v>
      </c>
      <c r="CE36">
        <v>5.4600000000000003E-2</v>
      </c>
      <c r="CF36">
        <v>4.5400000000000003E-2</v>
      </c>
      <c r="CG36">
        <v>8.5699999999999998E-2</v>
      </c>
      <c r="CH36">
        <v>0.10249999999999999</v>
      </c>
      <c r="CI36">
        <v>0.1087</v>
      </c>
      <c r="CJ36">
        <v>0.10290000000000001</v>
      </c>
      <c r="CK36">
        <v>4.2099999999999999E-2</v>
      </c>
      <c r="CL36">
        <v>6.7400000000000002E-2</v>
      </c>
      <c r="CM36">
        <v>5.7099999999999998E-2</v>
      </c>
      <c r="CN36">
        <v>8.5500000000000007E-2</v>
      </c>
      <c r="CO36">
        <v>3.04E-2</v>
      </c>
      <c r="CP36">
        <v>6.0699999999999997E-2</v>
      </c>
      <c r="CQ36">
        <v>2.64E-2</v>
      </c>
      <c r="CR36">
        <v>4.19E-2</v>
      </c>
      <c r="CS36">
        <v>5.0200000000000002E-2</v>
      </c>
      <c r="CT36">
        <v>9.2700000000000005E-2</v>
      </c>
      <c r="CU36">
        <v>3.5299999999999998E-2</v>
      </c>
      <c r="CV36">
        <v>4.1099999999999998E-2</v>
      </c>
    </row>
    <row r="37" spans="1:100" x14ac:dyDescent="0.2">
      <c r="A37" t="s">
        <v>231</v>
      </c>
      <c r="B37">
        <v>6.9800000000000001E-2</v>
      </c>
      <c r="C37">
        <v>9.7500000000000003E-2</v>
      </c>
      <c r="D37">
        <v>9.6100000000000005E-2</v>
      </c>
      <c r="E37">
        <v>9.5000000000000001E-2</v>
      </c>
      <c r="F37">
        <v>8.8499999999999995E-2</v>
      </c>
      <c r="G37">
        <v>9.3700000000000006E-2</v>
      </c>
      <c r="H37">
        <v>9.0300000000000005E-2</v>
      </c>
      <c r="I37">
        <v>8.3299999999999999E-2</v>
      </c>
      <c r="J37">
        <v>8.5500000000000007E-2</v>
      </c>
      <c r="K37">
        <v>6.9400000000000003E-2</v>
      </c>
      <c r="L37">
        <v>6.7699999999999996E-2</v>
      </c>
      <c r="M37">
        <v>6.4299999999999996E-2</v>
      </c>
      <c r="N37">
        <v>5.9499999999999997E-2</v>
      </c>
      <c r="O37">
        <v>5.5599999999999997E-2</v>
      </c>
      <c r="P37">
        <v>4.8099999999999997E-2</v>
      </c>
      <c r="Q37">
        <v>4.4999999999999998E-2</v>
      </c>
      <c r="R37">
        <v>4.3700000000000003E-2</v>
      </c>
      <c r="S37">
        <v>4.3999999999999997E-2</v>
      </c>
      <c r="T37">
        <v>4.3499999999999997E-2</v>
      </c>
      <c r="U37">
        <v>4.4299999999999999E-2</v>
      </c>
      <c r="V37">
        <v>4.4499999999999998E-2</v>
      </c>
      <c r="W37">
        <v>4.58E-2</v>
      </c>
      <c r="X37">
        <v>4.7199999999999999E-2</v>
      </c>
      <c r="Y37">
        <v>4.8599999999999997E-2</v>
      </c>
      <c r="Z37">
        <v>0.05</v>
      </c>
      <c r="AA37">
        <v>5.0500000000000003E-2</v>
      </c>
      <c r="AB37">
        <v>5.11E-2</v>
      </c>
      <c r="AC37">
        <v>5.1999999999999998E-2</v>
      </c>
      <c r="AD37">
        <v>5.3800000000000001E-2</v>
      </c>
      <c r="AE37">
        <v>5.5899999999999998E-2</v>
      </c>
      <c r="AF37">
        <v>5.8000000000000003E-2</v>
      </c>
      <c r="AG37">
        <v>6.0699999999999997E-2</v>
      </c>
      <c r="AH37">
        <v>6.3100000000000003E-2</v>
      </c>
      <c r="AI37">
        <v>6.6500000000000004E-2</v>
      </c>
      <c r="AJ37">
        <v>6.9500000000000006E-2</v>
      </c>
      <c r="AK37">
        <v>7.1800000000000003E-2</v>
      </c>
      <c r="AL37">
        <v>7.4399999999999994E-2</v>
      </c>
      <c r="AM37">
        <v>7.8299999999999995E-2</v>
      </c>
      <c r="AN37">
        <v>8.14E-2</v>
      </c>
      <c r="AO37">
        <v>8.5099999999999995E-2</v>
      </c>
      <c r="AP37">
        <v>8.7599999999999997E-2</v>
      </c>
      <c r="AQ37">
        <v>9.06E-2</v>
      </c>
      <c r="AR37">
        <v>9.3100000000000002E-2</v>
      </c>
      <c r="AS37">
        <v>9.4299999999999995E-2</v>
      </c>
      <c r="AT37">
        <v>9.5299999999999996E-2</v>
      </c>
      <c r="AU37">
        <v>9.5899999999999999E-2</v>
      </c>
      <c r="AV37">
        <v>9.6600000000000005E-2</v>
      </c>
      <c r="AW37">
        <v>9.98E-2</v>
      </c>
      <c r="AX37">
        <v>0.10100000000000001</v>
      </c>
      <c r="AY37">
        <v>0.105</v>
      </c>
      <c r="AZ37">
        <v>0.1079</v>
      </c>
      <c r="BA37">
        <v>0.1145</v>
      </c>
      <c r="BB37">
        <v>0.1216</v>
      </c>
      <c r="BC37">
        <v>0.12659999999999999</v>
      </c>
      <c r="BD37">
        <v>0.1303</v>
      </c>
      <c r="BE37">
        <v>0.13250000000000001</v>
      </c>
      <c r="BF37">
        <v>0.1321</v>
      </c>
      <c r="BG37">
        <v>0.13109999999999999</v>
      </c>
      <c r="BH37">
        <v>0.13139999999999999</v>
      </c>
      <c r="BI37">
        <v>0.1323</v>
      </c>
      <c r="BJ37">
        <v>0.13350000000000001</v>
      </c>
      <c r="BK37">
        <v>0.13850000000000001</v>
      </c>
      <c r="BL37">
        <v>0.14499999999999999</v>
      </c>
      <c r="BM37">
        <v>0.15049999999999999</v>
      </c>
      <c r="BN37">
        <v>0.155</v>
      </c>
      <c r="BO37">
        <v>0.15870000000000001</v>
      </c>
      <c r="BP37">
        <v>0.15870000000000001</v>
      </c>
      <c r="BQ37">
        <v>0.159</v>
      </c>
      <c r="BR37">
        <v>0.16020000000000001</v>
      </c>
      <c r="BS37">
        <v>0.1646</v>
      </c>
      <c r="BT37">
        <v>0.17460000000000001</v>
      </c>
      <c r="BU37">
        <v>0.1837</v>
      </c>
      <c r="BV37">
        <v>0.18840000000000001</v>
      </c>
      <c r="BW37">
        <v>0.1951</v>
      </c>
      <c r="BX37">
        <v>0.19450000000000001</v>
      </c>
      <c r="BY37">
        <v>0.19350000000000001</v>
      </c>
      <c r="BZ37">
        <v>0.192</v>
      </c>
      <c r="CA37">
        <v>0.2016</v>
      </c>
      <c r="CB37">
        <v>0.21290000000000001</v>
      </c>
      <c r="CC37">
        <v>0.2218</v>
      </c>
      <c r="CD37">
        <v>0.23</v>
      </c>
      <c r="CE37">
        <v>0.2205</v>
      </c>
      <c r="CF37">
        <v>0.20669999999999999</v>
      </c>
      <c r="CG37">
        <v>0.20200000000000001</v>
      </c>
      <c r="CH37">
        <v>0.21210000000000001</v>
      </c>
      <c r="CI37">
        <v>0.25969999999999999</v>
      </c>
      <c r="CJ37">
        <v>0.25419999999999998</v>
      </c>
      <c r="CK37">
        <v>0.24099999999999999</v>
      </c>
      <c r="CL37">
        <v>0.24779999999999999</v>
      </c>
      <c r="CM37">
        <v>0.24540000000000001</v>
      </c>
      <c r="CN37">
        <v>0.2273</v>
      </c>
      <c r="CO37">
        <v>0.25740000000000002</v>
      </c>
      <c r="CP37">
        <v>0.28210000000000002</v>
      </c>
      <c r="CQ37">
        <v>0.2447</v>
      </c>
      <c r="CR37">
        <v>0.27479999999999999</v>
      </c>
      <c r="CS37">
        <v>0.2145</v>
      </c>
      <c r="CT37">
        <v>0.2455</v>
      </c>
      <c r="CU37">
        <v>0.23280000000000001</v>
      </c>
      <c r="CV37">
        <v>0.20019999999999999</v>
      </c>
    </row>
    <row r="38" spans="1:100" x14ac:dyDescent="0.2">
      <c r="A38" t="s">
        <v>230</v>
      </c>
      <c r="B38">
        <v>9.0700000000000003E-2</v>
      </c>
      <c r="C38">
        <v>0.1201</v>
      </c>
      <c r="D38">
        <v>0.1167</v>
      </c>
      <c r="E38">
        <v>0.1145</v>
      </c>
      <c r="F38">
        <v>0.10639999999999999</v>
      </c>
      <c r="G38">
        <v>0.1123</v>
      </c>
      <c r="H38">
        <v>0.1082</v>
      </c>
      <c r="I38">
        <v>0.1</v>
      </c>
      <c r="J38">
        <v>0.1022</v>
      </c>
      <c r="K38">
        <v>8.2900000000000001E-2</v>
      </c>
      <c r="L38">
        <v>8.0699999999999994E-2</v>
      </c>
      <c r="M38">
        <v>7.6399999999999996E-2</v>
      </c>
      <c r="N38">
        <v>7.0300000000000001E-2</v>
      </c>
      <c r="O38">
        <v>6.54E-2</v>
      </c>
      <c r="P38">
        <v>5.62E-2</v>
      </c>
      <c r="Q38">
        <v>5.2400000000000002E-2</v>
      </c>
      <c r="R38">
        <v>5.0599999999999999E-2</v>
      </c>
      <c r="S38">
        <v>5.0900000000000001E-2</v>
      </c>
      <c r="T38">
        <v>0.05</v>
      </c>
      <c r="U38">
        <v>5.0700000000000002E-2</v>
      </c>
      <c r="V38">
        <v>5.0700000000000002E-2</v>
      </c>
      <c r="W38">
        <v>5.1900000000000002E-2</v>
      </c>
      <c r="X38">
        <v>5.33E-2</v>
      </c>
      <c r="Y38">
        <v>5.4600000000000003E-2</v>
      </c>
      <c r="Z38">
        <v>5.6000000000000001E-2</v>
      </c>
      <c r="AA38">
        <v>5.6399999999999999E-2</v>
      </c>
      <c r="AB38">
        <v>5.7000000000000002E-2</v>
      </c>
      <c r="AC38">
        <v>5.79E-2</v>
      </c>
      <c r="AD38">
        <v>5.9700000000000003E-2</v>
      </c>
      <c r="AE38">
        <v>6.1800000000000001E-2</v>
      </c>
      <c r="AF38">
        <v>6.4100000000000004E-2</v>
      </c>
      <c r="AG38">
        <v>6.6799999999999998E-2</v>
      </c>
      <c r="AH38">
        <v>6.93E-2</v>
      </c>
      <c r="AI38">
        <v>7.2900000000000006E-2</v>
      </c>
      <c r="AJ38">
        <v>7.6200000000000004E-2</v>
      </c>
      <c r="AK38">
        <v>7.8600000000000003E-2</v>
      </c>
      <c r="AL38">
        <v>8.14E-2</v>
      </c>
      <c r="AM38">
        <v>8.5599999999999996E-2</v>
      </c>
      <c r="AN38">
        <v>8.8800000000000004E-2</v>
      </c>
      <c r="AO38">
        <v>9.2700000000000005E-2</v>
      </c>
      <c r="AP38">
        <v>9.5399999999999999E-2</v>
      </c>
      <c r="AQ38">
        <v>9.8599999999999993E-2</v>
      </c>
      <c r="AR38">
        <v>0.1011</v>
      </c>
      <c r="AS38">
        <v>0.1024</v>
      </c>
      <c r="AT38">
        <v>0.1033</v>
      </c>
      <c r="AU38">
        <v>0.104</v>
      </c>
      <c r="AV38">
        <v>0.1047</v>
      </c>
      <c r="AW38">
        <v>0.108</v>
      </c>
      <c r="AX38">
        <v>0.10929999999999999</v>
      </c>
      <c r="AY38">
        <v>0.11360000000000001</v>
      </c>
      <c r="AZ38">
        <v>0.1167</v>
      </c>
      <c r="BA38">
        <v>0.1237</v>
      </c>
      <c r="BB38">
        <v>0.1313</v>
      </c>
      <c r="BC38">
        <v>0.1366</v>
      </c>
      <c r="BD38">
        <v>0.14050000000000001</v>
      </c>
      <c r="BE38">
        <v>0.1429</v>
      </c>
      <c r="BF38">
        <v>0.1424</v>
      </c>
      <c r="BG38">
        <v>0.1414</v>
      </c>
      <c r="BH38">
        <v>0.14169999999999999</v>
      </c>
      <c r="BI38">
        <v>0.1426</v>
      </c>
      <c r="BJ38">
        <v>0.14399999999999999</v>
      </c>
      <c r="BK38">
        <v>0.14940000000000001</v>
      </c>
      <c r="BL38">
        <v>0.15640000000000001</v>
      </c>
      <c r="BM38">
        <v>0.1623</v>
      </c>
      <c r="BN38">
        <v>0.16719999999999999</v>
      </c>
      <c r="BO38">
        <v>0.1711</v>
      </c>
      <c r="BP38">
        <v>0.17119999999999999</v>
      </c>
      <c r="BQ38">
        <v>0.17150000000000001</v>
      </c>
      <c r="BR38">
        <v>0.17280000000000001</v>
      </c>
      <c r="BS38">
        <v>0.17760000000000001</v>
      </c>
      <c r="BT38">
        <v>0.1885</v>
      </c>
      <c r="BU38">
        <v>0.1983</v>
      </c>
      <c r="BV38">
        <v>0.20349999999999999</v>
      </c>
      <c r="BW38">
        <v>0.2107</v>
      </c>
      <c r="BX38">
        <v>0.2104</v>
      </c>
      <c r="BY38">
        <v>0.20930000000000001</v>
      </c>
      <c r="BZ38">
        <v>0.20760000000000001</v>
      </c>
      <c r="CA38">
        <v>0.21820000000000001</v>
      </c>
      <c r="CB38">
        <v>0.23050000000000001</v>
      </c>
      <c r="CC38">
        <v>0.2404</v>
      </c>
      <c r="CD38">
        <v>0.24940000000000001</v>
      </c>
      <c r="CE38">
        <v>0.23930000000000001</v>
      </c>
      <c r="CF38">
        <v>0.22450000000000001</v>
      </c>
      <c r="CG38">
        <v>0.21929999999999999</v>
      </c>
      <c r="CH38">
        <v>0.23050000000000001</v>
      </c>
      <c r="CI38">
        <v>0.28249999999999997</v>
      </c>
      <c r="CJ38">
        <v>0.27700000000000002</v>
      </c>
      <c r="CK38">
        <v>0.26290000000000002</v>
      </c>
      <c r="CL38">
        <v>0.2707</v>
      </c>
      <c r="CM38">
        <v>0.26829999999999998</v>
      </c>
      <c r="CN38">
        <v>0.249</v>
      </c>
      <c r="CO38">
        <v>0.28249999999999997</v>
      </c>
      <c r="CP38">
        <v>0.31040000000000001</v>
      </c>
      <c r="CQ38">
        <v>0.2702</v>
      </c>
      <c r="CR38">
        <v>0.30459999999999998</v>
      </c>
      <c r="CS38">
        <v>0.23930000000000001</v>
      </c>
      <c r="CT38">
        <v>0.27650000000000002</v>
      </c>
      <c r="CU38">
        <v>0.26669999999999999</v>
      </c>
      <c r="CV38">
        <v>0.23910000000000001</v>
      </c>
    </row>
    <row r="39" spans="1:100" x14ac:dyDescent="0.2">
      <c r="A39" t="s">
        <v>233</v>
      </c>
      <c r="B39">
        <v>0.16339999999999999</v>
      </c>
      <c r="C39">
        <v>4.4400000000000002E-2</v>
      </c>
      <c r="D39">
        <v>3.9E-2</v>
      </c>
      <c r="E39">
        <v>7.5399999999999995E-2</v>
      </c>
      <c r="F39">
        <v>2.3400000000000001E-2</v>
      </c>
      <c r="G39">
        <v>2.9499999999999998E-2</v>
      </c>
      <c r="H39">
        <v>2.8899999999999999E-2</v>
      </c>
      <c r="I39">
        <v>3.6499999999999998E-2</v>
      </c>
      <c r="J39">
        <v>5.9400000000000001E-2</v>
      </c>
      <c r="K39">
        <v>2.3900000000000001E-2</v>
      </c>
      <c r="L39">
        <v>6.6100000000000006E-2</v>
      </c>
      <c r="M39">
        <v>0.10730000000000001</v>
      </c>
      <c r="N39">
        <v>7.4499999999999997E-2</v>
      </c>
      <c r="O39">
        <v>7.7799999999999994E-2</v>
      </c>
      <c r="P39">
        <v>7.8600000000000003E-2</v>
      </c>
      <c r="Q39">
        <v>8.14E-2</v>
      </c>
      <c r="R39">
        <v>9.7100000000000006E-2</v>
      </c>
      <c r="S39">
        <v>9.7000000000000003E-2</v>
      </c>
      <c r="T39">
        <v>0.1023</v>
      </c>
      <c r="U39">
        <v>9.3700000000000006E-2</v>
      </c>
      <c r="V39">
        <v>7.9200000000000007E-2</v>
      </c>
      <c r="W39">
        <v>0.1014</v>
      </c>
      <c r="X39">
        <v>9.4200000000000006E-2</v>
      </c>
      <c r="Y39">
        <v>7.4700000000000003E-2</v>
      </c>
      <c r="Z39">
        <v>6.3700000000000007E-2</v>
      </c>
      <c r="AA39">
        <v>4.7899999999999998E-2</v>
      </c>
      <c r="AB39">
        <v>5.9700000000000003E-2</v>
      </c>
      <c r="AC39">
        <v>4.8399999999999999E-2</v>
      </c>
      <c r="AD39">
        <v>4.3900000000000002E-2</v>
      </c>
      <c r="AE39">
        <v>4.07E-2</v>
      </c>
      <c r="AF39">
        <v>4.8000000000000001E-2</v>
      </c>
      <c r="AG39">
        <v>4.3400000000000001E-2</v>
      </c>
      <c r="AH39">
        <v>3.6700000000000003E-2</v>
      </c>
      <c r="AI39">
        <v>2.7300000000000001E-2</v>
      </c>
      <c r="AJ39">
        <v>4.7E-2</v>
      </c>
      <c r="AK39">
        <v>5.04E-2</v>
      </c>
      <c r="AL39">
        <v>4.36E-2</v>
      </c>
      <c r="AM39">
        <v>2.53E-2</v>
      </c>
      <c r="AN39">
        <v>1.0699999999999999E-2</v>
      </c>
      <c r="AO39">
        <v>1.5299999999999999E-2</v>
      </c>
      <c r="AP39">
        <v>1.7399999999999999E-2</v>
      </c>
      <c r="AQ39">
        <v>1.6E-2</v>
      </c>
      <c r="AR39">
        <v>9.7999999999999997E-3</v>
      </c>
      <c r="AS39">
        <v>1.55E-2</v>
      </c>
      <c r="AT39">
        <v>-3.7000000000000002E-3</v>
      </c>
      <c r="AU39">
        <v>-2E-3</v>
      </c>
      <c r="AV39">
        <v>-1.8499999999999999E-2</v>
      </c>
      <c r="AW39">
        <v>-3.3999999999999998E-3</v>
      </c>
      <c r="AX39">
        <v>-2.8999999999999998E-3</v>
      </c>
      <c r="AY39">
        <v>1.6999999999999999E-3</v>
      </c>
      <c r="AZ39">
        <v>1.4500000000000001E-2</v>
      </c>
      <c r="BA39">
        <v>-1.8E-3</v>
      </c>
      <c r="BB39">
        <v>-4.2099999999999999E-2</v>
      </c>
      <c r="BC39">
        <v>-4.6899999999999997E-2</v>
      </c>
      <c r="BD39">
        <v>-2.4199999999999999E-2</v>
      </c>
      <c r="BE39">
        <v>-4.2700000000000002E-2</v>
      </c>
      <c r="BF39">
        <v>-5.3800000000000001E-2</v>
      </c>
      <c r="BG39">
        <v>-5.7000000000000002E-2</v>
      </c>
      <c r="BH39">
        <v>-7.0300000000000001E-2</v>
      </c>
      <c r="BI39">
        <v>-4.2099999999999999E-2</v>
      </c>
      <c r="BJ39">
        <v>-1.6199999999999999E-2</v>
      </c>
      <c r="BK39">
        <v>-3.6299999999999999E-2</v>
      </c>
      <c r="BL39">
        <v>-6.7500000000000004E-2</v>
      </c>
      <c r="BM39">
        <v>-5.6500000000000002E-2</v>
      </c>
      <c r="BN39">
        <v>-2.47E-2</v>
      </c>
      <c r="BO39">
        <v>-5.5100000000000003E-2</v>
      </c>
      <c r="BP39">
        <v>-9.1700000000000004E-2</v>
      </c>
      <c r="BQ39">
        <v>-0.1105</v>
      </c>
      <c r="BR39">
        <v>-0.1132</v>
      </c>
      <c r="BS39">
        <v>-0.10979999999999999</v>
      </c>
      <c r="BT39">
        <v>-0.1111</v>
      </c>
      <c r="BU39">
        <v>-0.111</v>
      </c>
      <c r="BV39">
        <v>-0.1171</v>
      </c>
      <c r="BW39">
        <v>-0.1203</v>
      </c>
      <c r="BX39">
        <v>-0.1227</v>
      </c>
      <c r="BY39">
        <v>-0.151</v>
      </c>
      <c r="BZ39">
        <v>-0.1019</v>
      </c>
      <c r="CA39">
        <v>-0.13550000000000001</v>
      </c>
      <c r="CB39">
        <v>-0.1532</v>
      </c>
      <c r="CC39">
        <v>-0.1288</v>
      </c>
      <c r="CD39">
        <v>-0.18529999999999999</v>
      </c>
      <c r="CE39">
        <v>-0.20100000000000001</v>
      </c>
      <c r="CF39">
        <v>-0.19719999999999999</v>
      </c>
      <c r="CG39">
        <v>-0.154</v>
      </c>
      <c r="CH39">
        <v>-0.15040000000000001</v>
      </c>
      <c r="CI39">
        <v>-0.1958</v>
      </c>
      <c r="CJ39">
        <v>-0.1951</v>
      </c>
      <c r="CK39">
        <v>-0.2414</v>
      </c>
      <c r="CL39">
        <v>-0.22839999999999999</v>
      </c>
      <c r="CM39">
        <v>-0.23749999999999999</v>
      </c>
      <c r="CN39">
        <v>-0.18820000000000001</v>
      </c>
      <c r="CO39">
        <v>-0.27950000000000003</v>
      </c>
      <c r="CP39">
        <v>-0.28670000000000001</v>
      </c>
      <c r="CQ39">
        <v>-0.28239999999999998</v>
      </c>
      <c r="CR39">
        <v>-0.308</v>
      </c>
      <c r="CS39">
        <v>-0.23449999999999999</v>
      </c>
      <c r="CT39">
        <v>-0.23250000000000001</v>
      </c>
      <c r="CU39">
        <v>-0.30120000000000002</v>
      </c>
      <c r="CV39">
        <v>-0.27179999999999999</v>
      </c>
    </row>
    <row r="40" spans="1:100" x14ac:dyDescent="0.2">
      <c r="A40" t="s">
        <v>232</v>
      </c>
      <c r="B40">
        <v>0.21029999999999999</v>
      </c>
      <c r="C40">
        <v>9.4399999999999998E-2</v>
      </c>
      <c r="D40">
        <v>8.5599999999999996E-2</v>
      </c>
      <c r="E40">
        <v>0.10920000000000001</v>
      </c>
      <c r="F40">
        <v>6.2899999999999998E-2</v>
      </c>
      <c r="G40">
        <v>6.2E-2</v>
      </c>
      <c r="H40">
        <v>6.1600000000000002E-2</v>
      </c>
      <c r="I40">
        <v>6.6799999999999998E-2</v>
      </c>
      <c r="J40">
        <v>8.72E-2</v>
      </c>
      <c r="K40">
        <v>4.99E-2</v>
      </c>
      <c r="L40">
        <v>8.9899999999999994E-2</v>
      </c>
      <c r="M40">
        <v>0.1249</v>
      </c>
      <c r="N40">
        <v>9.1300000000000006E-2</v>
      </c>
      <c r="O40">
        <v>9.2700000000000005E-2</v>
      </c>
      <c r="P40">
        <v>9.1700000000000004E-2</v>
      </c>
      <c r="Q40">
        <v>9.3299999999999994E-2</v>
      </c>
      <c r="R40">
        <v>0.1077</v>
      </c>
      <c r="S40">
        <v>0.1072</v>
      </c>
      <c r="T40">
        <v>0.11169999999999999</v>
      </c>
      <c r="U40">
        <v>0.10290000000000001</v>
      </c>
      <c r="V40">
        <v>8.8200000000000001E-2</v>
      </c>
      <c r="W40">
        <v>0.1099</v>
      </c>
      <c r="X40">
        <v>0.1027</v>
      </c>
      <c r="Y40">
        <v>8.3199999999999996E-2</v>
      </c>
      <c r="Z40">
        <v>7.22E-2</v>
      </c>
      <c r="AA40">
        <v>5.6300000000000003E-2</v>
      </c>
      <c r="AB40">
        <v>6.8199999999999997E-2</v>
      </c>
      <c r="AC40">
        <v>5.6899999999999999E-2</v>
      </c>
      <c r="AD40">
        <v>5.2499999999999998E-2</v>
      </c>
      <c r="AE40">
        <v>4.9399999999999999E-2</v>
      </c>
      <c r="AF40">
        <v>5.7099999999999998E-2</v>
      </c>
      <c r="AG40">
        <v>5.2699999999999997E-2</v>
      </c>
      <c r="AH40">
        <v>4.6199999999999998E-2</v>
      </c>
      <c r="AI40">
        <v>3.7199999999999997E-2</v>
      </c>
      <c r="AJ40">
        <v>5.74E-2</v>
      </c>
      <c r="AK40">
        <v>6.1100000000000002E-2</v>
      </c>
      <c r="AL40">
        <v>5.45E-2</v>
      </c>
      <c r="AM40">
        <v>3.6499999999999998E-2</v>
      </c>
      <c r="AN40">
        <v>2.1999999999999999E-2</v>
      </c>
      <c r="AO40">
        <v>2.6700000000000002E-2</v>
      </c>
      <c r="AP40">
        <v>2.9000000000000001E-2</v>
      </c>
      <c r="AQ40">
        <v>2.7900000000000001E-2</v>
      </c>
      <c r="AR40">
        <v>2.1600000000000001E-2</v>
      </c>
      <c r="AS40">
        <v>2.75E-2</v>
      </c>
      <c r="AT40">
        <v>8.2000000000000007E-3</v>
      </c>
      <c r="AU40">
        <v>0.01</v>
      </c>
      <c r="AV40">
        <v>-6.4999999999999997E-3</v>
      </c>
      <c r="AW40">
        <v>8.8000000000000005E-3</v>
      </c>
      <c r="AX40">
        <v>9.2999999999999992E-3</v>
      </c>
      <c r="AY40">
        <v>1.41E-2</v>
      </c>
      <c r="AZ40">
        <v>2.7199999999999998E-2</v>
      </c>
      <c r="BA40">
        <v>1.12E-2</v>
      </c>
      <c r="BB40">
        <v>-2.87E-2</v>
      </c>
      <c r="BC40">
        <v>-3.3099999999999997E-2</v>
      </c>
      <c r="BD40">
        <v>-0.01</v>
      </c>
      <c r="BE40">
        <v>-2.8400000000000002E-2</v>
      </c>
      <c r="BF40">
        <v>-3.9300000000000002E-2</v>
      </c>
      <c r="BG40">
        <v>-4.2299999999999997E-2</v>
      </c>
      <c r="BH40">
        <v>-5.5500000000000001E-2</v>
      </c>
      <c r="BI40">
        <v>-2.7E-2</v>
      </c>
      <c r="BJ40">
        <v>-8.9999999999999998E-4</v>
      </c>
      <c r="BK40">
        <v>-2.0899999999999998E-2</v>
      </c>
      <c r="BL40">
        <v>-5.1799999999999999E-2</v>
      </c>
      <c r="BM40">
        <v>-4.0899999999999999E-2</v>
      </c>
      <c r="BN40">
        <v>-8.9999999999999993E-3</v>
      </c>
      <c r="BO40">
        <v>-3.9100000000000003E-2</v>
      </c>
      <c r="BP40">
        <v>-7.5800000000000006E-2</v>
      </c>
      <c r="BQ40">
        <v>-9.4600000000000004E-2</v>
      </c>
      <c r="BR40">
        <v>-9.7199999999999995E-2</v>
      </c>
      <c r="BS40">
        <v>-9.2700000000000005E-2</v>
      </c>
      <c r="BT40">
        <v>-9.1600000000000001E-2</v>
      </c>
      <c r="BU40">
        <v>-0.09</v>
      </c>
      <c r="BV40">
        <v>-9.5699999999999993E-2</v>
      </c>
      <c r="BW40">
        <v>-9.8900000000000002E-2</v>
      </c>
      <c r="BX40">
        <v>-0.10150000000000001</v>
      </c>
      <c r="BY40">
        <v>-0.12989999999999999</v>
      </c>
      <c r="BZ40">
        <v>-8.0199999999999994E-2</v>
      </c>
      <c r="CA40">
        <v>-0.1129</v>
      </c>
      <c r="CB40">
        <v>-0.12970000000000001</v>
      </c>
      <c r="CC40">
        <v>-0.10440000000000001</v>
      </c>
      <c r="CD40">
        <v>-0.16020000000000001</v>
      </c>
      <c r="CE40">
        <v>-0.17610000000000001</v>
      </c>
      <c r="CF40">
        <v>-0.17119999999999999</v>
      </c>
      <c r="CG40">
        <v>-0.1263</v>
      </c>
      <c r="CH40">
        <v>-0.12</v>
      </c>
      <c r="CI40">
        <v>-0.1628</v>
      </c>
      <c r="CJ40">
        <v>-0.16259999999999999</v>
      </c>
      <c r="CK40">
        <v>-0.20960000000000001</v>
      </c>
      <c r="CL40">
        <v>-0.1918</v>
      </c>
      <c r="CM40">
        <v>-0.19950000000000001</v>
      </c>
      <c r="CN40">
        <v>-0.152</v>
      </c>
      <c r="CO40">
        <v>-0.2379</v>
      </c>
      <c r="CP40">
        <v>-0.23400000000000001</v>
      </c>
      <c r="CQ40">
        <v>-0.22969999999999999</v>
      </c>
      <c r="CR40">
        <v>-0.245</v>
      </c>
      <c r="CS40">
        <v>-0.17430000000000001</v>
      </c>
      <c r="CT40">
        <v>-0.16300000000000001</v>
      </c>
      <c r="CU40">
        <v>-0.20849999999999999</v>
      </c>
      <c r="CV40">
        <v>-0.16800000000000001</v>
      </c>
    </row>
    <row r="43" spans="1:100" x14ac:dyDescent="0.2">
      <c r="A43" t="s">
        <v>5909</v>
      </c>
      <c r="B43">
        <v>4.4499999999999998E-2</v>
      </c>
      <c r="C43">
        <v>6.5699999999999995E-2</v>
      </c>
      <c r="D43">
        <v>6.4500000000000002E-2</v>
      </c>
      <c r="E43">
        <v>6.3799999999999996E-2</v>
      </c>
      <c r="F43">
        <v>6.1899999999999997E-2</v>
      </c>
      <c r="G43">
        <v>6.7299999999999999E-2</v>
      </c>
      <c r="H43">
        <v>6.7000000000000004E-2</v>
      </c>
      <c r="I43">
        <v>6.3799999999999996E-2</v>
      </c>
      <c r="J43">
        <v>6.6400000000000001E-2</v>
      </c>
      <c r="K43">
        <v>5.4800000000000001E-2</v>
      </c>
      <c r="L43">
        <v>5.4399999999999997E-2</v>
      </c>
      <c r="M43">
        <v>5.1999999999999998E-2</v>
      </c>
      <c r="N43">
        <v>4.82E-2</v>
      </c>
      <c r="O43">
        <v>4.5499999999999999E-2</v>
      </c>
      <c r="P43">
        <v>3.9600000000000003E-2</v>
      </c>
      <c r="Q43">
        <v>3.6700000000000003E-2</v>
      </c>
      <c r="R43">
        <v>3.6200000000000003E-2</v>
      </c>
      <c r="S43">
        <v>3.6400000000000002E-2</v>
      </c>
      <c r="T43">
        <v>3.6200000000000003E-2</v>
      </c>
      <c r="U43">
        <v>3.6700000000000003E-2</v>
      </c>
      <c r="V43">
        <v>3.6999999999999998E-2</v>
      </c>
      <c r="W43">
        <v>3.8199999999999998E-2</v>
      </c>
      <c r="X43">
        <v>3.9E-2</v>
      </c>
      <c r="Y43">
        <v>4.02E-2</v>
      </c>
      <c r="Z43">
        <v>4.0899999999999999E-2</v>
      </c>
      <c r="AA43">
        <v>4.1300000000000003E-2</v>
      </c>
      <c r="AB43">
        <v>4.1799999999999997E-2</v>
      </c>
      <c r="AC43">
        <v>4.2700000000000002E-2</v>
      </c>
      <c r="AD43">
        <v>4.3999999999999997E-2</v>
      </c>
      <c r="AE43">
        <v>4.6100000000000002E-2</v>
      </c>
      <c r="AF43">
        <v>4.82E-2</v>
      </c>
      <c r="AG43">
        <v>5.04E-2</v>
      </c>
      <c r="AH43">
        <v>5.2499999999999998E-2</v>
      </c>
      <c r="AI43">
        <v>5.5199999999999999E-2</v>
      </c>
      <c r="AJ43">
        <v>5.7799999999999997E-2</v>
      </c>
      <c r="AK43">
        <v>6.0100000000000001E-2</v>
      </c>
      <c r="AL43">
        <v>6.25E-2</v>
      </c>
      <c r="AM43">
        <v>6.6199999999999995E-2</v>
      </c>
      <c r="AN43">
        <v>6.8900000000000003E-2</v>
      </c>
      <c r="AO43">
        <v>7.1800000000000003E-2</v>
      </c>
      <c r="AP43">
        <v>7.3999999999999996E-2</v>
      </c>
      <c r="AQ43">
        <v>7.6700000000000004E-2</v>
      </c>
      <c r="AR43">
        <v>7.8600000000000003E-2</v>
      </c>
      <c r="AS43">
        <v>7.9699999999999993E-2</v>
      </c>
      <c r="AT43">
        <v>8.0799999999999997E-2</v>
      </c>
      <c r="AU43">
        <v>8.14E-2</v>
      </c>
      <c r="AV43">
        <v>8.2100000000000006E-2</v>
      </c>
      <c r="AW43">
        <v>8.4699999999999998E-2</v>
      </c>
      <c r="AX43">
        <v>8.6199999999999999E-2</v>
      </c>
      <c r="AY43">
        <v>8.9599999999999999E-2</v>
      </c>
      <c r="AZ43">
        <v>9.2299999999999993E-2</v>
      </c>
      <c r="BA43">
        <v>9.7900000000000001E-2</v>
      </c>
      <c r="BB43">
        <v>0.1041</v>
      </c>
      <c r="BC43">
        <v>0.1085</v>
      </c>
      <c r="BD43">
        <v>0.1113</v>
      </c>
      <c r="BE43">
        <v>0.1133</v>
      </c>
      <c r="BF43">
        <v>0.1132</v>
      </c>
      <c r="BG43">
        <v>0.11269999999999999</v>
      </c>
      <c r="BH43">
        <v>0.1133</v>
      </c>
      <c r="BI43">
        <v>0.1139</v>
      </c>
      <c r="BJ43">
        <v>0.1152</v>
      </c>
      <c r="BK43">
        <v>0.1202</v>
      </c>
      <c r="BL43">
        <v>0.126</v>
      </c>
      <c r="BM43">
        <v>0.13100000000000001</v>
      </c>
      <c r="BN43">
        <v>0.1351</v>
      </c>
      <c r="BO43">
        <v>0.13880000000000001</v>
      </c>
      <c r="BP43">
        <v>0.13919999999999999</v>
      </c>
      <c r="BQ43">
        <v>0.1396</v>
      </c>
      <c r="BR43">
        <v>0.14050000000000001</v>
      </c>
      <c r="BS43">
        <v>0.1449</v>
      </c>
      <c r="BT43">
        <v>0.15440000000000001</v>
      </c>
      <c r="BU43">
        <v>0.1628</v>
      </c>
      <c r="BV43">
        <v>0.16769999999999999</v>
      </c>
      <c r="BW43">
        <v>0.1736</v>
      </c>
      <c r="BX43">
        <v>0.1739</v>
      </c>
      <c r="BY43">
        <v>0.17330000000000001</v>
      </c>
      <c r="BZ43">
        <v>0.1714</v>
      </c>
      <c r="CA43">
        <v>0.18090000000000001</v>
      </c>
      <c r="CB43">
        <v>0.19170000000000001</v>
      </c>
      <c r="CC43">
        <v>0.20150000000000001</v>
      </c>
      <c r="CD43">
        <v>0.2094</v>
      </c>
      <c r="CE43">
        <v>0.20069999999999999</v>
      </c>
      <c r="CF43">
        <v>0.1888</v>
      </c>
      <c r="CG43">
        <v>0.18390000000000001</v>
      </c>
      <c r="CH43">
        <v>0.19409999999999999</v>
      </c>
      <c r="CI43">
        <v>0.23880000000000001</v>
      </c>
      <c r="CJ43">
        <v>0.23519999999999999</v>
      </c>
      <c r="CK43">
        <v>0.22450000000000001</v>
      </c>
      <c r="CL43">
        <v>0.23139999999999999</v>
      </c>
      <c r="CM43">
        <v>0.22989999999999999</v>
      </c>
      <c r="CN43">
        <v>0.2135</v>
      </c>
      <c r="CO43">
        <v>0.24229999999999999</v>
      </c>
      <c r="CP43">
        <v>0.26669999999999999</v>
      </c>
      <c r="CQ43">
        <v>0.23269999999999999</v>
      </c>
      <c r="CR43">
        <v>0.26179999999999998</v>
      </c>
      <c r="CS43">
        <v>0.20630000000000001</v>
      </c>
      <c r="CT43">
        <v>0.23630000000000001</v>
      </c>
      <c r="CU43">
        <v>0.22559999999999999</v>
      </c>
      <c r="CV43">
        <v>0.19450000000000001</v>
      </c>
    </row>
    <row r="44" spans="1:100" x14ac:dyDescent="0.2">
      <c r="A44" t="s">
        <v>5910</v>
      </c>
      <c r="B44">
        <v>5.8799999999999998E-2</v>
      </c>
      <c r="C44">
        <v>7.9500000000000001E-2</v>
      </c>
      <c r="D44">
        <v>7.6100000000000001E-2</v>
      </c>
      <c r="E44">
        <v>7.4099999999999999E-2</v>
      </c>
      <c r="F44">
        <v>7.0999999999999994E-2</v>
      </c>
      <c r="G44">
        <v>7.6499999999999999E-2</v>
      </c>
      <c r="H44">
        <v>7.5600000000000001E-2</v>
      </c>
      <c r="I44">
        <v>7.1599999999999997E-2</v>
      </c>
      <c r="J44">
        <v>7.4099999999999999E-2</v>
      </c>
      <c r="K44">
        <v>6.0999999999999999E-2</v>
      </c>
      <c r="L44">
        <v>6.0299999999999999E-2</v>
      </c>
      <c r="M44">
        <v>5.74E-2</v>
      </c>
      <c r="N44">
        <v>5.3100000000000001E-2</v>
      </c>
      <c r="O44">
        <v>0.05</v>
      </c>
      <c r="P44">
        <v>4.3400000000000001E-2</v>
      </c>
      <c r="Q44">
        <v>4.0099999999999997E-2</v>
      </c>
      <c r="R44">
        <v>3.95E-2</v>
      </c>
      <c r="S44">
        <v>3.9699999999999999E-2</v>
      </c>
      <c r="T44">
        <v>3.9399999999999998E-2</v>
      </c>
      <c r="U44">
        <v>3.9800000000000002E-2</v>
      </c>
      <c r="V44">
        <v>4.02E-2</v>
      </c>
      <c r="W44">
        <v>4.1300000000000003E-2</v>
      </c>
      <c r="X44">
        <v>4.2200000000000001E-2</v>
      </c>
      <c r="Y44">
        <v>4.3400000000000001E-2</v>
      </c>
      <c r="Z44">
        <v>4.4200000000000003E-2</v>
      </c>
      <c r="AA44">
        <v>4.4600000000000001E-2</v>
      </c>
      <c r="AB44">
        <v>4.5100000000000001E-2</v>
      </c>
      <c r="AC44">
        <v>4.6100000000000002E-2</v>
      </c>
      <c r="AD44">
        <v>4.7500000000000001E-2</v>
      </c>
      <c r="AE44">
        <v>4.9599999999999998E-2</v>
      </c>
      <c r="AF44">
        <v>5.1799999999999999E-2</v>
      </c>
      <c r="AG44">
        <v>5.4199999999999998E-2</v>
      </c>
      <c r="AH44">
        <v>5.6399999999999999E-2</v>
      </c>
      <c r="AI44">
        <v>5.9299999999999999E-2</v>
      </c>
      <c r="AJ44">
        <v>6.2100000000000002E-2</v>
      </c>
      <c r="AK44">
        <v>6.4600000000000005E-2</v>
      </c>
      <c r="AL44">
        <v>6.7100000000000007E-2</v>
      </c>
      <c r="AM44">
        <v>7.1099999999999997E-2</v>
      </c>
      <c r="AN44">
        <v>7.3999999999999996E-2</v>
      </c>
      <c r="AO44">
        <v>7.7200000000000005E-2</v>
      </c>
      <c r="AP44">
        <v>7.9500000000000001E-2</v>
      </c>
      <c r="AQ44">
        <v>8.2299999999999998E-2</v>
      </c>
      <c r="AR44">
        <v>8.4400000000000003E-2</v>
      </c>
      <c r="AS44">
        <v>8.5500000000000007E-2</v>
      </c>
      <c r="AT44">
        <v>8.6699999999999999E-2</v>
      </c>
      <c r="AU44">
        <v>8.7400000000000005E-2</v>
      </c>
      <c r="AV44">
        <v>8.8200000000000001E-2</v>
      </c>
      <c r="AW44">
        <v>9.0899999999999995E-2</v>
      </c>
      <c r="AX44">
        <v>9.2600000000000002E-2</v>
      </c>
      <c r="AY44">
        <v>9.6199999999999994E-2</v>
      </c>
      <c r="AZ44">
        <v>9.9199999999999997E-2</v>
      </c>
      <c r="BA44">
        <v>0.1052</v>
      </c>
      <c r="BB44">
        <v>0.1118</v>
      </c>
      <c r="BC44">
        <v>0.11650000000000001</v>
      </c>
      <c r="BD44">
        <v>0.1196</v>
      </c>
      <c r="BE44">
        <v>0.1217</v>
      </c>
      <c r="BF44">
        <v>0.1217</v>
      </c>
      <c r="BG44">
        <v>0.1212</v>
      </c>
      <c r="BH44">
        <v>0.12180000000000001</v>
      </c>
      <c r="BI44">
        <v>0.1226</v>
      </c>
      <c r="BJ44">
        <v>0.124</v>
      </c>
      <c r="BK44">
        <v>0.12939999999999999</v>
      </c>
      <c r="BL44">
        <v>0.1356</v>
      </c>
      <c r="BM44">
        <v>0.1411</v>
      </c>
      <c r="BN44">
        <v>0.14549999999999999</v>
      </c>
      <c r="BO44">
        <v>0.14949999999999999</v>
      </c>
      <c r="BP44">
        <v>0.15010000000000001</v>
      </c>
      <c r="BQ44">
        <v>0.15049999999999999</v>
      </c>
      <c r="BR44">
        <v>0.1515</v>
      </c>
      <c r="BS44">
        <v>0.15640000000000001</v>
      </c>
      <c r="BT44">
        <v>0.16669999999999999</v>
      </c>
      <c r="BU44">
        <v>0.1757</v>
      </c>
      <c r="BV44">
        <v>0.1812</v>
      </c>
      <c r="BW44">
        <v>0.18759999999999999</v>
      </c>
      <c r="BX44">
        <v>0.18809999999999999</v>
      </c>
      <c r="BY44">
        <v>0.1875</v>
      </c>
      <c r="BZ44">
        <v>0.1855</v>
      </c>
      <c r="CA44">
        <v>0.19589999999999999</v>
      </c>
      <c r="CB44">
        <v>0.2077</v>
      </c>
      <c r="CC44">
        <v>0.2185</v>
      </c>
      <c r="CD44">
        <v>0.22720000000000001</v>
      </c>
      <c r="CE44">
        <v>0.21779999999999999</v>
      </c>
      <c r="CF44">
        <v>0.2051</v>
      </c>
      <c r="CG44">
        <v>0.19989999999999999</v>
      </c>
      <c r="CH44">
        <v>0.2112</v>
      </c>
      <c r="CI44">
        <v>0.2601</v>
      </c>
      <c r="CJ44">
        <v>0.25640000000000002</v>
      </c>
      <c r="CK44">
        <v>0.24490000000000001</v>
      </c>
      <c r="CL44">
        <v>0.25280000000000002</v>
      </c>
      <c r="CM44">
        <v>0.25140000000000001</v>
      </c>
      <c r="CN44">
        <v>0.23380000000000001</v>
      </c>
      <c r="CO44">
        <v>0.26569999999999999</v>
      </c>
      <c r="CP44">
        <v>0.29330000000000001</v>
      </c>
      <c r="CQ44">
        <v>0.25650000000000001</v>
      </c>
      <c r="CR44">
        <v>0.2898</v>
      </c>
      <c r="CS44">
        <v>0.2296</v>
      </c>
      <c r="CT44">
        <v>0.2651</v>
      </c>
      <c r="CU44">
        <v>0.25719999999999998</v>
      </c>
      <c r="CV44">
        <v>0.23069999999999999</v>
      </c>
    </row>
    <row r="45" spans="1:100" x14ac:dyDescent="0.2">
      <c r="A45" t="s">
        <v>5911</v>
      </c>
      <c r="B45">
        <v>2.5000000000000001E-3</v>
      </c>
      <c r="C45">
        <v>8.6E-3</v>
      </c>
      <c r="D45">
        <v>1.17E-2</v>
      </c>
      <c r="E45">
        <v>1.2699999999999999E-2</v>
      </c>
      <c r="F45">
        <v>1.2999999999999999E-2</v>
      </c>
      <c r="G45">
        <v>1.4800000000000001E-2</v>
      </c>
      <c r="H45">
        <v>1.4500000000000001E-2</v>
      </c>
      <c r="I45">
        <v>1.38E-2</v>
      </c>
      <c r="J45">
        <v>1.4200000000000001E-2</v>
      </c>
      <c r="K45">
        <v>1.1900000000000001E-2</v>
      </c>
      <c r="L45">
        <v>1.17E-2</v>
      </c>
      <c r="M45">
        <v>1.11E-2</v>
      </c>
      <c r="N45">
        <v>1.04E-2</v>
      </c>
      <c r="O45">
        <v>9.7999999999999997E-3</v>
      </c>
      <c r="P45">
        <v>8.5000000000000006E-3</v>
      </c>
      <c r="Q45">
        <v>8.0999999999999996E-3</v>
      </c>
      <c r="R45">
        <v>8.0000000000000002E-3</v>
      </c>
      <c r="S45">
        <v>8.0000000000000002E-3</v>
      </c>
      <c r="T45">
        <v>7.9000000000000008E-3</v>
      </c>
      <c r="U45">
        <v>7.9000000000000008E-3</v>
      </c>
      <c r="V45">
        <v>7.9000000000000008E-3</v>
      </c>
      <c r="W45">
        <v>8.0999999999999996E-3</v>
      </c>
      <c r="X45">
        <v>8.2000000000000007E-3</v>
      </c>
      <c r="Y45">
        <v>8.3000000000000001E-3</v>
      </c>
      <c r="Z45">
        <v>8.6E-3</v>
      </c>
      <c r="AA45">
        <v>8.6E-3</v>
      </c>
      <c r="AB45">
        <v>8.8000000000000005E-3</v>
      </c>
      <c r="AC45">
        <v>8.8999999999999999E-3</v>
      </c>
      <c r="AD45">
        <v>9.1000000000000004E-3</v>
      </c>
      <c r="AE45">
        <v>9.4000000000000004E-3</v>
      </c>
      <c r="AF45">
        <v>9.7000000000000003E-3</v>
      </c>
      <c r="AG45">
        <v>0.01</v>
      </c>
      <c r="AH45">
        <v>1.03E-2</v>
      </c>
      <c r="AI45">
        <v>1.09E-2</v>
      </c>
      <c r="AJ45">
        <v>1.1299999999999999E-2</v>
      </c>
      <c r="AK45">
        <v>1.1599999999999999E-2</v>
      </c>
      <c r="AL45">
        <v>1.21E-2</v>
      </c>
      <c r="AM45">
        <v>1.26E-2</v>
      </c>
      <c r="AN45">
        <v>1.3100000000000001E-2</v>
      </c>
      <c r="AO45">
        <v>1.37E-2</v>
      </c>
      <c r="AP45">
        <v>1.41E-2</v>
      </c>
      <c r="AQ45">
        <v>1.46E-2</v>
      </c>
      <c r="AR45">
        <v>1.49E-2</v>
      </c>
      <c r="AS45">
        <v>1.5100000000000001E-2</v>
      </c>
      <c r="AT45">
        <v>1.5100000000000001E-2</v>
      </c>
      <c r="AU45">
        <v>1.52E-2</v>
      </c>
      <c r="AV45">
        <v>1.5299999999999999E-2</v>
      </c>
      <c r="AW45">
        <v>1.5800000000000002E-2</v>
      </c>
      <c r="AX45">
        <v>1.5900000000000001E-2</v>
      </c>
      <c r="AY45">
        <v>1.6400000000000001E-2</v>
      </c>
      <c r="AZ45">
        <v>1.67E-2</v>
      </c>
      <c r="BA45">
        <v>1.77E-2</v>
      </c>
      <c r="BB45">
        <v>1.8599999999999998E-2</v>
      </c>
      <c r="BC45">
        <v>1.9300000000000001E-2</v>
      </c>
      <c r="BD45">
        <v>1.9699999999999999E-2</v>
      </c>
      <c r="BE45">
        <v>1.9900000000000001E-2</v>
      </c>
      <c r="BF45">
        <v>1.9800000000000002E-2</v>
      </c>
      <c r="BG45">
        <v>1.9599999999999999E-2</v>
      </c>
      <c r="BH45">
        <v>1.9599999999999999E-2</v>
      </c>
      <c r="BI45">
        <v>1.9599999999999999E-2</v>
      </c>
      <c r="BJ45">
        <v>1.9699999999999999E-2</v>
      </c>
      <c r="BK45">
        <v>2.01E-2</v>
      </c>
      <c r="BL45">
        <v>2.0899999999999998E-2</v>
      </c>
      <c r="BM45">
        <v>2.1600000000000001E-2</v>
      </c>
      <c r="BN45">
        <v>2.2100000000000002E-2</v>
      </c>
      <c r="BO45">
        <v>2.24E-2</v>
      </c>
      <c r="BP45">
        <v>2.2200000000000001E-2</v>
      </c>
      <c r="BQ45">
        <v>2.23E-2</v>
      </c>
      <c r="BR45">
        <v>2.23E-2</v>
      </c>
      <c r="BS45">
        <v>2.2700000000000001E-2</v>
      </c>
      <c r="BT45">
        <v>2.4E-2</v>
      </c>
      <c r="BU45">
        <v>2.5100000000000001E-2</v>
      </c>
      <c r="BV45">
        <v>2.5700000000000001E-2</v>
      </c>
      <c r="BW45">
        <v>2.63E-2</v>
      </c>
      <c r="BX45">
        <v>2.6100000000000002E-2</v>
      </c>
      <c r="BY45">
        <v>2.5899999999999999E-2</v>
      </c>
      <c r="BZ45">
        <v>2.5399999999999999E-2</v>
      </c>
      <c r="CA45">
        <v>2.6499999999999999E-2</v>
      </c>
      <c r="CB45">
        <v>2.7900000000000001E-2</v>
      </c>
      <c r="CC45">
        <v>2.8799999999999999E-2</v>
      </c>
      <c r="CD45">
        <v>2.9899999999999999E-2</v>
      </c>
      <c r="CE45">
        <v>2.8500000000000001E-2</v>
      </c>
      <c r="CF45">
        <v>2.6800000000000001E-2</v>
      </c>
      <c r="CG45">
        <v>2.64E-2</v>
      </c>
      <c r="CH45">
        <v>2.76E-2</v>
      </c>
      <c r="CI45">
        <v>3.39E-2</v>
      </c>
      <c r="CJ45">
        <v>3.3399999999999999E-2</v>
      </c>
      <c r="CK45">
        <v>3.1699999999999999E-2</v>
      </c>
      <c r="CL45">
        <v>3.27E-2</v>
      </c>
      <c r="CM45">
        <v>3.2199999999999999E-2</v>
      </c>
      <c r="CN45">
        <v>3.0499999999999999E-2</v>
      </c>
      <c r="CO45">
        <v>3.49E-2</v>
      </c>
      <c r="CP45">
        <v>3.85E-2</v>
      </c>
      <c r="CQ45">
        <v>3.3599999999999998E-2</v>
      </c>
      <c r="CR45">
        <v>3.85E-2</v>
      </c>
      <c r="CS45">
        <v>3.04E-2</v>
      </c>
      <c r="CT45">
        <v>3.61E-2</v>
      </c>
      <c r="CU45">
        <v>3.61E-2</v>
      </c>
      <c r="CV45">
        <v>3.3000000000000002E-2</v>
      </c>
    </row>
    <row r="46" spans="1:100" x14ac:dyDescent="0.2">
      <c r="A46" t="s">
        <v>5912</v>
      </c>
      <c r="B46">
        <v>8.3999999999999995E-3</v>
      </c>
      <c r="C46">
        <v>1.43E-2</v>
      </c>
      <c r="D46">
        <v>1.6899999999999998E-2</v>
      </c>
      <c r="E46">
        <v>1.7299999999999999E-2</v>
      </c>
      <c r="F46">
        <v>1.7100000000000001E-2</v>
      </c>
      <c r="G46">
        <v>1.9099999999999999E-2</v>
      </c>
      <c r="H46">
        <v>1.8499999999999999E-2</v>
      </c>
      <c r="I46">
        <v>1.7600000000000001E-2</v>
      </c>
      <c r="J46">
        <v>1.7899999999999999E-2</v>
      </c>
      <c r="K46">
        <v>1.49E-2</v>
      </c>
      <c r="L46">
        <v>1.46E-2</v>
      </c>
      <c r="M46">
        <v>1.38E-2</v>
      </c>
      <c r="N46">
        <v>1.29E-2</v>
      </c>
      <c r="O46">
        <v>1.2E-2</v>
      </c>
      <c r="P46">
        <v>1.04E-2</v>
      </c>
      <c r="Q46">
        <v>9.9000000000000008E-3</v>
      </c>
      <c r="R46">
        <v>9.7000000000000003E-3</v>
      </c>
      <c r="S46">
        <v>9.7000000000000003E-3</v>
      </c>
      <c r="T46">
        <v>9.5999999999999992E-3</v>
      </c>
      <c r="U46">
        <v>9.5999999999999992E-3</v>
      </c>
      <c r="V46">
        <v>9.4999999999999998E-3</v>
      </c>
      <c r="W46">
        <v>9.7000000000000003E-3</v>
      </c>
      <c r="X46">
        <v>9.7999999999999997E-3</v>
      </c>
      <c r="Y46">
        <v>0.01</v>
      </c>
      <c r="Z46">
        <v>1.03E-2</v>
      </c>
      <c r="AA46">
        <v>1.03E-2</v>
      </c>
      <c r="AB46">
        <v>1.0500000000000001E-2</v>
      </c>
      <c r="AC46">
        <v>1.0699999999999999E-2</v>
      </c>
      <c r="AD46">
        <v>1.09E-2</v>
      </c>
      <c r="AE46">
        <v>1.1299999999999999E-2</v>
      </c>
      <c r="AF46">
        <v>1.1599999999999999E-2</v>
      </c>
      <c r="AG46">
        <v>1.2E-2</v>
      </c>
      <c r="AH46">
        <v>1.23E-2</v>
      </c>
      <c r="AI46">
        <v>1.2999999999999999E-2</v>
      </c>
      <c r="AJ46">
        <v>1.35E-2</v>
      </c>
      <c r="AK46">
        <v>1.38E-2</v>
      </c>
      <c r="AL46">
        <v>1.44E-2</v>
      </c>
      <c r="AM46">
        <v>1.5100000000000001E-2</v>
      </c>
      <c r="AN46">
        <v>1.5599999999999999E-2</v>
      </c>
      <c r="AO46">
        <v>1.6299999999999999E-2</v>
      </c>
      <c r="AP46">
        <v>1.6799999999999999E-2</v>
      </c>
      <c r="AQ46">
        <v>1.7399999999999999E-2</v>
      </c>
      <c r="AR46">
        <v>1.78E-2</v>
      </c>
      <c r="AS46">
        <v>1.7999999999999999E-2</v>
      </c>
      <c r="AT46">
        <v>1.7999999999999999E-2</v>
      </c>
      <c r="AU46">
        <v>1.8100000000000002E-2</v>
      </c>
      <c r="AV46">
        <v>1.8200000000000001E-2</v>
      </c>
      <c r="AW46">
        <v>1.8700000000000001E-2</v>
      </c>
      <c r="AX46">
        <v>1.89E-2</v>
      </c>
      <c r="AY46">
        <v>1.95E-2</v>
      </c>
      <c r="AZ46">
        <v>1.9900000000000001E-2</v>
      </c>
      <c r="BA46">
        <v>2.1000000000000001E-2</v>
      </c>
      <c r="BB46">
        <v>2.2100000000000002E-2</v>
      </c>
      <c r="BC46">
        <v>2.29E-2</v>
      </c>
      <c r="BD46">
        <v>2.3400000000000001E-2</v>
      </c>
      <c r="BE46">
        <v>2.3699999999999999E-2</v>
      </c>
      <c r="BF46">
        <v>2.35E-2</v>
      </c>
      <c r="BG46">
        <v>2.3199999999999998E-2</v>
      </c>
      <c r="BH46">
        <v>2.3300000000000001E-2</v>
      </c>
      <c r="BI46">
        <v>2.3199999999999998E-2</v>
      </c>
      <c r="BJ46">
        <v>2.3400000000000001E-2</v>
      </c>
      <c r="BK46">
        <v>2.3900000000000001E-2</v>
      </c>
      <c r="BL46">
        <v>2.4799999999999999E-2</v>
      </c>
      <c r="BM46">
        <v>2.5700000000000001E-2</v>
      </c>
      <c r="BN46">
        <v>2.63E-2</v>
      </c>
      <c r="BO46">
        <v>2.6599999999999999E-2</v>
      </c>
      <c r="BP46">
        <v>2.64E-2</v>
      </c>
      <c r="BQ46">
        <v>2.6499999999999999E-2</v>
      </c>
      <c r="BR46">
        <v>2.6499999999999999E-2</v>
      </c>
      <c r="BS46">
        <v>2.69E-2</v>
      </c>
      <c r="BT46">
        <v>2.8500000000000001E-2</v>
      </c>
      <c r="BU46">
        <v>2.98E-2</v>
      </c>
      <c r="BV46">
        <v>3.0499999999999999E-2</v>
      </c>
      <c r="BW46">
        <v>3.1300000000000001E-2</v>
      </c>
      <c r="BX46">
        <v>3.1E-2</v>
      </c>
      <c r="BY46">
        <v>3.0800000000000001E-2</v>
      </c>
      <c r="BZ46">
        <v>3.0200000000000001E-2</v>
      </c>
      <c r="CA46">
        <v>3.15E-2</v>
      </c>
      <c r="CB46">
        <v>3.32E-2</v>
      </c>
      <c r="CC46">
        <v>3.4200000000000001E-2</v>
      </c>
      <c r="CD46">
        <v>3.5499999999999997E-2</v>
      </c>
      <c r="CE46">
        <v>3.39E-2</v>
      </c>
      <c r="CF46">
        <v>3.1899999999999998E-2</v>
      </c>
      <c r="CG46">
        <v>3.1399999999999997E-2</v>
      </c>
      <c r="CH46">
        <v>3.2899999999999999E-2</v>
      </c>
      <c r="CI46">
        <v>4.0399999999999998E-2</v>
      </c>
      <c r="CJ46">
        <v>3.9800000000000002E-2</v>
      </c>
      <c r="CK46">
        <v>3.7900000000000003E-2</v>
      </c>
      <c r="CL46">
        <v>3.9100000000000003E-2</v>
      </c>
      <c r="CM46">
        <v>3.8600000000000002E-2</v>
      </c>
      <c r="CN46">
        <v>3.6600000000000001E-2</v>
      </c>
      <c r="CO46">
        <v>4.19E-2</v>
      </c>
      <c r="CP46">
        <v>4.6300000000000001E-2</v>
      </c>
      <c r="CQ46">
        <v>4.0500000000000001E-2</v>
      </c>
      <c r="CR46">
        <v>4.6600000000000003E-2</v>
      </c>
      <c r="CS46">
        <v>3.6999999999999998E-2</v>
      </c>
      <c r="CT46">
        <v>4.4200000000000003E-2</v>
      </c>
      <c r="CU46">
        <v>4.4900000000000002E-2</v>
      </c>
      <c r="CV46">
        <v>4.2599999999999999E-2</v>
      </c>
    </row>
    <row r="47" spans="1:100" x14ac:dyDescent="0.2">
      <c r="A47" t="s">
        <v>5913</v>
      </c>
      <c r="B47">
        <v>-8.5000000000000006E-3</v>
      </c>
      <c r="C47">
        <v>-9.9000000000000008E-3</v>
      </c>
      <c r="D47">
        <v>-9.1000000000000004E-3</v>
      </c>
      <c r="E47">
        <v>-8.0999999999999996E-3</v>
      </c>
      <c r="F47">
        <v>-7.3000000000000001E-3</v>
      </c>
      <c r="G47">
        <v>-7.3000000000000001E-3</v>
      </c>
      <c r="H47">
        <v>-6.4000000000000003E-3</v>
      </c>
      <c r="I47">
        <v>-5.7000000000000002E-3</v>
      </c>
      <c r="J47">
        <v>-5.4000000000000003E-3</v>
      </c>
      <c r="K47">
        <v>-4.1000000000000003E-3</v>
      </c>
      <c r="L47">
        <v>-3.8E-3</v>
      </c>
      <c r="M47">
        <v>-3.3999999999999998E-3</v>
      </c>
      <c r="N47">
        <v>-3.0000000000000001E-3</v>
      </c>
      <c r="O47">
        <v>-2.5999999999999999E-3</v>
      </c>
      <c r="P47">
        <v>-2.0999999999999999E-3</v>
      </c>
      <c r="Q47">
        <v>-2E-3</v>
      </c>
      <c r="R47">
        <v>-1.9E-3</v>
      </c>
      <c r="S47">
        <v>-1.9E-3</v>
      </c>
      <c r="T47">
        <v>-1.9E-3</v>
      </c>
      <c r="U47">
        <v>-1.9E-3</v>
      </c>
      <c r="V47">
        <v>-2E-3</v>
      </c>
      <c r="W47">
        <v>-2.0999999999999999E-3</v>
      </c>
      <c r="X47">
        <v>-2.2000000000000001E-3</v>
      </c>
      <c r="Y47">
        <v>-2.3E-3</v>
      </c>
      <c r="Z47">
        <v>-2.3E-3</v>
      </c>
      <c r="AA47">
        <v>-2.3999999999999998E-3</v>
      </c>
      <c r="AB47">
        <v>-2.5000000000000001E-3</v>
      </c>
      <c r="AC47">
        <v>-2.5999999999999999E-3</v>
      </c>
      <c r="AD47">
        <v>-2.7000000000000001E-3</v>
      </c>
      <c r="AE47">
        <v>-2.8E-3</v>
      </c>
      <c r="AF47">
        <v>-3.0000000000000001E-3</v>
      </c>
      <c r="AG47">
        <v>-3.2000000000000002E-3</v>
      </c>
      <c r="AH47">
        <v>-3.3E-3</v>
      </c>
      <c r="AI47">
        <v>-3.5000000000000001E-3</v>
      </c>
      <c r="AJ47">
        <v>-3.7000000000000002E-3</v>
      </c>
      <c r="AK47">
        <v>-3.8999999999999998E-3</v>
      </c>
      <c r="AL47">
        <v>-4.0000000000000001E-3</v>
      </c>
      <c r="AM47">
        <v>-4.1999999999999997E-3</v>
      </c>
      <c r="AN47">
        <v>-4.4000000000000003E-3</v>
      </c>
      <c r="AO47">
        <v>-4.7000000000000002E-3</v>
      </c>
      <c r="AP47">
        <v>-4.8999999999999998E-3</v>
      </c>
      <c r="AQ47">
        <v>-5.0000000000000001E-3</v>
      </c>
      <c r="AR47">
        <v>-5.1000000000000004E-3</v>
      </c>
      <c r="AS47">
        <v>-5.1000000000000004E-3</v>
      </c>
      <c r="AT47">
        <v>-5.1000000000000004E-3</v>
      </c>
      <c r="AU47">
        <v>-5.1999999999999998E-3</v>
      </c>
      <c r="AV47">
        <v>-5.1999999999999998E-3</v>
      </c>
      <c r="AW47">
        <v>-5.3E-3</v>
      </c>
      <c r="AX47">
        <v>-5.4000000000000003E-3</v>
      </c>
      <c r="AY47">
        <v>-5.5999999999999999E-3</v>
      </c>
      <c r="AZ47">
        <v>-5.7000000000000002E-3</v>
      </c>
      <c r="BA47">
        <v>-6.0000000000000001E-3</v>
      </c>
      <c r="BB47">
        <v>-6.3E-3</v>
      </c>
      <c r="BC47">
        <v>-6.4999999999999997E-3</v>
      </c>
      <c r="BD47">
        <v>-6.4999999999999997E-3</v>
      </c>
      <c r="BE47">
        <v>-6.6E-3</v>
      </c>
      <c r="BF47">
        <v>-6.4999999999999997E-3</v>
      </c>
      <c r="BG47">
        <v>-6.4000000000000003E-3</v>
      </c>
      <c r="BH47">
        <v>-6.4000000000000003E-3</v>
      </c>
      <c r="BI47">
        <v>-6.3E-3</v>
      </c>
      <c r="BJ47">
        <v>-6.4000000000000003E-3</v>
      </c>
      <c r="BK47">
        <v>-6.4999999999999997E-3</v>
      </c>
      <c r="BL47">
        <v>-6.7999999999999996E-3</v>
      </c>
      <c r="BM47">
        <v>-6.7999999999999996E-3</v>
      </c>
      <c r="BN47">
        <v>-7.0000000000000001E-3</v>
      </c>
      <c r="BO47">
        <v>-7.0000000000000001E-3</v>
      </c>
      <c r="BP47">
        <v>-6.8999999999999999E-3</v>
      </c>
      <c r="BQ47">
        <v>-6.8999999999999999E-3</v>
      </c>
      <c r="BR47">
        <v>-6.7999999999999996E-3</v>
      </c>
      <c r="BS47">
        <v>-6.8999999999999999E-3</v>
      </c>
      <c r="BT47">
        <v>-7.3000000000000001E-3</v>
      </c>
      <c r="BU47">
        <v>-7.4999999999999997E-3</v>
      </c>
      <c r="BV47">
        <v>-7.6E-3</v>
      </c>
      <c r="BW47">
        <v>-7.9000000000000008E-3</v>
      </c>
      <c r="BX47">
        <v>-7.7999999999999996E-3</v>
      </c>
      <c r="BY47">
        <v>-7.7000000000000002E-3</v>
      </c>
      <c r="BZ47">
        <v>-7.4000000000000003E-3</v>
      </c>
      <c r="CA47">
        <v>-7.7999999999999996E-3</v>
      </c>
      <c r="CB47">
        <v>-8.3000000000000001E-3</v>
      </c>
      <c r="CC47">
        <v>-8.3000000000000001E-3</v>
      </c>
      <c r="CD47">
        <v>-8.6E-3</v>
      </c>
      <c r="CE47">
        <v>-8.2000000000000007E-3</v>
      </c>
      <c r="CF47">
        <v>-7.7999999999999996E-3</v>
      </c>
      <c r="CG47">
        <v>-7.6E-3</v>
      </c>
      <c r="CH47">
        <v>-8.0000000000000002E-3</v>
      </c>
      <c r="CI47">
        <v>-9.4999999999999998E-3</v>
      </c>
      <c r="CJ47">
        <v>-9.4000000000000004E-3</v>
      </c>
      <c r="CK47">
        <v>-9.2999999999999992E-3</v>
      </c>
      <c r="CL47">
        <v>-9.4999999999999998E-3</v>
      </c>
      <c r="CM47">
        <v>-9.4999999999999998E-3</v>
      </c>
      <c r="CN47">
        <v>-9.1999999999999998E-3</v>
      </c>
      <c r="CO47">
        <v>-1.0800000000000001E-2</v>
      </c>
      <c r="CP47">
        <v>-1.18E-2</v>
      </c>
      <c r="CQ47">
        <v>-1.04E-2</v>
      </c>
      <c r="CR47">
        <v>-1.2699999999999999E-2</v>
      </c>
      <c r="CS47">
        <v>-1.03E-2</v>
      </c>
      <c r="CT47">
        <v>-1.18E-2</v>
      </c>
      <c r="CU47">
        <v>-1.23E-2</v>
      </c>
      <c r="CV47">
        <v>-1.2E-2</v>
      </c>
    </row>
    <row r="48" spans="1:100" x14ac:dyDescent="0.2">
      <c r="A48" t="s">
        <v>5914</v>
      </c>
      <c r="B48">
        <v>-4.8999999999999998E-3</v>
      </c>
      <c r="C48">
        <v>-5.8999999999999999E-3</v>
      </c>
      <c r="D48">
        <v>-5.4999999999999997E-3</v>
      </c>
      <c r="E48">
        <v>-4.8999999999999998E-3</v>
      </c>
      <c r="F48">
        <v>-4.4000000000000003E-3</v>
      </c>
      <c r="G48">
        <v>-4.4000000000000003E-3</v>
      </c>
      <c r="H48">
        <v>-3.8999999999999998E-3</v>
      </c>
      <c r="I48">
        <v>-3.3999999999999998E-3</v>
      </c>
      <c r="J48">
        <v>-3.3E-3</v>
      </c>
      <c r="K48">
        <v>-2.5000000000000001E-3</v>
      </c>
      <c r="L48">
        <v>-2.3E-3</v>
      </c>
      <c r="M48">
        <v>-2E-3</v>
      </c>
      <c r="N48">
        <v>-1.8E-3</v>
      </c>
      <c r="O48">
        <v>-1.5E-3</v>
      </c>
      <c r="P48">
        <v>-1.2999999999999999E-3</v>
      </c>
      <c r="Q48">
        <v>-1.1999999999999999E-3</v>
      </c>
      <c r="R48">
        <v>-1.1999999999999999E-3</v>
      </c>
      <c r="S48">
        <v>-1.1000000000000001E-3</v>
      </c>
      <c r="T48">
        <v>-1.1000000000000001E-3</v>
      </c>
      <c r="U48">
        <v>-1.1999999999999999E-3</v>
      </c>
      <c r="V48">
        <v>-1.1999999999999999E-3</v>
      </c>
      <c r="W48">
        <v>-1.2999999999999999E-3</v>
      </c>
      <c r="X48">
        <v>-1.2999999999999999E-3</v>
      </c>
      <c r="Y48">
        <v>-1.4E-3</v>
      </c>
      <c r="Z48">
        <v>-1.4E-3</v>
      </c>
      <c r="AA48">
        <v>-1.5E-3</v>
      </c>
      <c r="AB48">
        <v>-1.5E-3</v>
      </c>
      <c r="AC48">
        <v>-1.6000000000000001E-3</v>
      </c>
      <c r="AD48">
        <v>-1.6999999999999999E-3</v>
      </c>
      <c r="AE48">
        <v>-1.8E-3</v>
      </c>
      <c r="AF48">
        <v>-1.9E-3</v>
      </c>
      <c r="AG48">
        <v>-2E-3</v>
      </c>
      <c r="AH48">
        <v>-2E-3</v>
      </c>
      <c r="AI48">
        <v>-2.2000000000000001E-3</v>
      </c>
      <c r="AJ48">
        <v>-2.3E-3</v>
      </c>
      <c r="AK48">
        <v>-2.3999999999999998E-3</v>
      </c>
      <c r="AL48">
        <v>-2.5000000000000001E-3</v>
      </c>
      <c r="AM48">
        <v>-2.5999999999999999E-3</v>
      </c>
      <c r="AN48">
        <v>-2.7000000000000001E-3</v>
      </c>
      <c r="AO48">
        <v>-2.8999999999999998E-3</v>
      </c>
      <c r="AP48">
        <v>-3.0000000000000001E-3</v>
      </c>
      <c r="AQ48">
        <v>-3.0999999999999999E-3</v>
      </c>
      <c r="AR48">
        <v>-3.2000000000000002E-3</v>
      </c>
      <c r="AS48">
        <v>-3.2000000000000002E-3</v>
      </c>
      <c r="AT48">
        <v>-3.2000000000000002E-3</v>
      </c>
      <c r="AU48">
        <v>-3.2000000000000002E-3</v>
      </c>
      <c r="AV48">
        <v>-3.2000000000000002E-3</v>
      </c>
      <c r="AW48">
        <v>-3.3E-3</v>
      </c>
      <c r="AX48">
        <v>-3.3999999999999998E-3</v>
      </c>
      <c r="AY48">
        <v>-3.5000000000000001E-3</v>
      </c>
      <c r="AZ48">
        <v>-3.5999999999999999E-3</v>
      </c>
      <c r="BA48">
        <v>-3.8E-3</v>
      </c>
      <c r="BB48">
        <v>-3.8999999999999998E-3</v>
      </c>
      <c r="BC48">
        <v>-4.0000000000000001E-3</v>
      </c>
      <c r="BD48">
        <v>-4.1000000000000003E-3</v>
      </c>
      <c r="BE48">
        <v>-4.1000000000000003E-3</v>
      </c>
      <c r="BF48">
        <v>-4.1000000000000003E-3</v>
      </c>
      <c r="BG48">
        <v>-4.0000000000000001E-3</v>
      </c>
      <c r="BH48">
        <v>-4.0000000000000001E-3</v>
      </c>
      <c r="BI48">
        <v>-3.8999999999999998E-3</v>
      </c>
      <c r="BJ48">
        <v>-4.0000000000000001E-3</v>
      </c>
      <c r="BK48">
        <v>-4.0000000000000001E-3</v>
      </c>
      <c r="BL48">
        <v>-4.1999999999999997E-3</v>
      </c>
      <c r="BM48">
        <v>-4.1999999999999997E-3</v>
      </c>
      <c r="BN48">
        <v>-4.3E-3</v>
      </c>
      <c r="BO48">
        <v>-4.3E-3</v>
      </c>
      <c r="BP48">
        <v>-4.3E-3</v>
      </c>
      <c r="BQ48">
        <v>-4.3E-3</v>
      </c>
      <c r="BR48">
        <v>-4.1999999999999997E-3</v>
      </c>
      <c r="BS48">
        <v>-4.3E-3</v>
      </c>
      <c r="BT48">
        <v>-4.4999999999999997E-3</v>
      </c>
      <c r="BU48">
        <v>-4.7000000000000002E-3</v>
      </c>
      <c r="BV48">
        <v>-4.7000000000000002E-3</v>
      </c>
      <c r="BW48">
        <v>-4.8999999999999998E-3</v>
      </c>
      <c r="BX48">
        <v>-4.7999999999999996E-3</v>
      </c>
      <c r="BY48">
        <v>-4.7999999999999996E-3</v>
      </c>
      <c r="BZ48">
        <v>-4.5999999999999999E-3</v>
      </c>
      <c r="CA48">
        <v>-4.8999999999999998E-3</v>
      </c>
      <c r="CB48">
        <v>-5.1000000000000004E-3</v>
      </c>
      <c r="CC48">
        <v>-5.1000000000000004E-3</v>
      </c>
      <c r="CD48">
        <v>-5.3E-3</v>
      </c>
      <c r="CE48">
        <v>-5.1000000000000004E-3</v>
      </c>
      <c r="CF48">
        <v>-4.7999999999999996E-3</v>
      </c>
      <c r="CG48">
        <v>-4.7000000000000002E-3</v>
      </c>
      <c r="CH48">
        <v>-4.8999999999999998E-3</v>
      </c>
      <c r="CI48">
        <v>-5.8999999999999999E-3</v>
      </c>
      <c r="CJ48">
        <v>-5.7999999999999996E-3</v>
      </c>
      <c r="CK48">
        <v>-5.7000000000000002E-3</v>
      </c>
      <c r="CL48">
        <v>-5.8999999999999999E-3</v>
      </c>
      <c r="CM48">
        <v>-5.8999999999999999E-3</v>
      </c>
      <c r="CN48">
        <v>-5.7000000000000002E-3</v>
      </c>
      <c r="CO48">
        <v>-6.6E-3</v>
      </c>
      <c r="CP48">
        <v>-7.1999999999999998E-3</v>
      </c>
      <c r="CQ48">
        <v>-6.3E-3</v>
      </c>
      <c r="CR48">
        <v>-7.7000000000000002E-3</v>
      </c>
      <c r="CS48">
        <v>-6.3E-3</v>
      </c>
      <c r="CT48">
        <v>-7.0000000000000001E-3</v>
      </c>
      <c r="CU48">
        <v>-7.3000000000000001E-3</v>
      </c>
      <c r="CV48">
        <v>-6.8999999999999999E-3</v>
      </c>
    </row>
    <row r="49" spans="1:100" x14ac:dyDescent="0.2">
      <c r="A49" t="s">
        <v>5915</v>
      </c>
      <c r="B49">
        <v>-5.7999999999999996E-3</v>
      </c>
      <c r="C49">
        <v>-6.3E-3</v>
      </c>
      <c r="D49">
        <v>-5.7000000000000002E-3</v>
      </c>
      <c r="E49">
        <v>-5.3E-3</v>
      </c>
      <c r="F49">
        <v>-4.7999999999999996E-3</v>
      </c>
      <c r="G49">
        <v>-4.7000000000000002E-3</v>
      </c>
      <c r="H49">
        <v>-4.4999999999999997E-3</v>
      </c>
      <c r="I49">
        <v>-4.4999999999999997E-3</v>
      </c>
      <c r="J49">
        <v>-4.1999999999999997E-3</v>
      </c>
      <c r="K49">
        <v>-3.5000000000000001E-3</v>
      </c>
      <c r="L49">
        <v>-3.5999999999999999E-3</v>
      </c>
      <c r="M49">
        <v>-3.5000000000000001E-3</v>
      </c>
      <c r="N49">
        <v>-3.3E-3</v>
      </c>
      <c r="O49">
        <v>-3.0999999999999999E-3</v>
      </c>
      <c r="P49">
        <v>-2.5999999999999999E-3</v>
      </c>
      <c r="Q49">
        <v>-2.5999999999999999E-3</v>
      </c>
      <c r="R49">
        <v>-2.3999999999999998E-3</v>
      </c>
      <c r="S49">
        <v>-2.5000000000000001E-3</v>
      </c>
      <c r="T49">
        <v>-2.3999999999999998E-3</v>
      </c>
      <c r="U49">
        <v>-2.3999999999999998E-3</v>
      </c>
      <c r="V49">
        <v>-2.3999999999999998E-3</v>
      </c>
      <c r="W49">
        <v>-2.5000000000000001E-3</v>
      </c>
      <c r="X49">
        <v>-2.5000000000000001E-3</v>
      </c>
      <c r="Y49">
        <v>-2.5000000000000001E-3</v>
      </c>
      <c r="Z49">
        <v>-2.5000000000000001E-3</v>
      </c>
      <c r="AA49">
        <v>-2.5000000000000001E-3</v>
      </c>
      <c r="AB49">
        <v>-2.5999999999999999E-3</v>
      </c>
      <c r="AC49">
        <v>-2.5000000000000001E-3</v>
      </c>
      <c r="AD49">
        <v>-2.5999999999999999E-3</v>
      </c>
      <c r="AE49">
        <v>-2.8999999999999998E-3</v>
      </c>
      <c r="AF49">
        <v>-2.8999999999999998E-3</v>
      </c>
      <c r="AG49">
        <v>-3.0000000000000001E-3</v>
      </c>
      <c r="AH49">
        <v>-3.2000000000000002E-3</v>
      </c>
      <c r="AI49">
        <v>-3.3E-3</v>
      </c>
      <c r="AJ49">
        <v>-3.5000000000000001E-3</v>
      </c>
      <c r="AK49">
        <v>-3.5000000000000001E-3</v>
      </c>
      <c r="AL49">
        <v>-3.5999999999999999E-3</v>
      </c>
      <c r="AM49">
        <v>-3.8999999999999998E-3</v>
      </c>
      <c r="AN49">
        <v>-4.0000000000000001E-3</v>
      </c>
      <c r="AO49">
        <v>-4.1000000000000003E-3</v>
      </c>
      <c r="AP49">
        <v>-4.1999999999999997E-3</v>
      </c>
      <c r="AQ49">
        <v>-4.3E-3</v>
      </c>
      <c r="AR49">
        <v>-4.3E-3</v>
      </c>
      <c r="AS49">
        <v>-4.3E-3</v>
      </c>
      <c r="AT49">
        <v>-4.3E-3</v>
      </c>
      <c r="AU49">
        <v>-4.4999999999999997E-3</v>
      </c>
      <c r="AV49">
        <v>-4.4999999999999997E-3</v>
      </c>
      <c r="AW49">
        <v>-4.4999999999999997E-3</v>
      </c>
      <c r="AX49">
        <v>-4.5999999999999999E-3</v>
      </c>
      <c r="AY49">
        <v>-4.7000000000000002E-3</v>
      </c>
      <c r="AZ49">
        <v>-4.7999999999999996E-3</v>
      </c>
      <c r="BA49">
        <v>-5.0000000000000001E-3</v>
      </c>
      <c r="BB49">
        <v>-5.3E-3</v>
      </c>
      <c r="BC49">
        <v>-5.5999999999999999E-3</v>
      </c>
      <c r="BD49">
        <v>-5.5999999999999999E-3</v>
      </c>
      <c r="BE49">
        <v>-5.7000000000000002E-3</v>
      </c>
      <c r="BF49">
        <v>-5.7000000000000002E-3</v>
      </c>
      <c r="BG49">
        <v>-5.7000000000000002E-3</v>
      </c>
      <c r="BH49">
        <v>-5.8999999999999999E-3</v>
      </c>
      <c r="BI49">
        <v>-5.7000000000000002E-3</v>
      </c>
      <c r="BJ49">
        <v>-5.7000000000000002E-3</v>
      </c>
      <c r="BK49">
        <v>-6.0000000000000001E-3</v>
      </c>
      <c r="BL49">
        <v>-6.4000000000000003E-3</v>
      </c>
      <c r="BM49">
        <v>-6.6E-3</v>
      </c>
      <c r="BN49">
        <v>-6.7000000000000002E-3</v>
      </c>
      <c r="BO49">
        <v>-6.7999999999999996E-3</v>
      </c>
      <c r="BP49">
        <v>-7.1000000000000004E-3</v>
      </c>
      <c r="BQ49">
        <v>-7.1000000000000004E-3</v>
      </c>
      <c r="BR49">
        <v>-7.0000000000000001E-3</v>
      </c>
      <c r="BS49">
        <v>-7.0000000000000001E-3</v>
      </c>
      <c r="BT49">
        <v>-7.6E-3</v>
      </c>
      <c r="BU49">
        <v>-8.0000000000000002E-3</v>
      </c>
      <c r="BV49">
        <v>-8.0999999999999996E-3</v>
      </c>
      <c r="BW49">
        <v>-8.2000000000000007E-3</v>
      </c>
      <c r="BX49">
        <v>-8.2000000000000007E-3</v>
      </c>
      <c r="BY49">
        <v>-8.3999999999999995E-3</v>
      </c>
      <c r="BZ49">
        <v>-8.0000000000000002E-3</v>
      </c>
      <c r="CA49">
        <v>-8.3999999999999995E-3</v>
      </c>
      <c r="CB49">
        <v>-8.6999999999999994E-3</v>
      </c>
      <c r="CC49">
        <v>-8.9999999999999993E-3</v>
      </c>
      <c r="CD49">
        <v>-9.2999999999999992E-3</v>
      </c>
      <c r="CE49">
        <v>-8.9999999999999993E-3</v>
      </c>
      <c r="CF49">
        <v>-8.6999999999999994E-3</v>
      </c>
      <c r="CG49">
        <v>-8.0000000000000002E-3</v>
      </c>
      <c r="CH49">
        <v>-8.3999999999999995E-3</v>
      </c>
      <c r="CI49">
        <v>-1.03E-2</v>
      </c>
      <c r="CJ49">
        <v>-1.01E-2</v>
      </c>
      <c r="CK49">
        <v>-0.01</v>
      </c>
      <c r="CL49">
        <v>-1.01E-2</v>
      </c>
      <c r="CM49">
        <v>-9.7000000000000003E-3</v>
      </c>
      <c r="CN49">
        <v>-9.2999999999999992E-3</v>
      </c>
      <c r="CO49">
        <v>-1.0800000000000001E-2</v>
      </c>
      <c r="CP49">
        <v>-1.23E-2</v>
      </c>
      <c r="CQ49">
        <v>-1.12E-2</v>
      </c>
      <c r="CR49">
        <v>-1.2500000000000001E-2</v>
      </c>
      <c r="CS49">
        <v>-1.0200000000000001E-2</v>
      </c>
      <c r="CT49">
        <v>-1.2699999999999999E-2</v>
      </c>
      <c r="CU49">
        <v>-1.2200000000000001E-2</v>
      </c>
      <c r="CV49">
        <v>-1.09E-2</v>
      </c>
    </row>
    <row r="50" spans="1:100" x14ac:dyDescent="0.2">
      <c r="A50" t="s">
        <v>5916</v>
      </c>
      <c r="B50">
        <v>-2.5999999999999999E-3</v>
      </c>
      <c r="C50">
        <v>-3.2000000000000002E-3</v>
      </c>
      <c r="D50">
        <v>-3.0999999999999999E-3</v>
      </c>
      <c r="E50">
        <v>-3.0000000000000001E-3</v>
      </c>
      <c r="F50">
        <v>-2.7000000000000001E-3</v>
      </c>
      <c r="G50">
        <v>-2.7000000000000001E-3</v>
      </c>
      <c r="H50">
        <v>-2.5999999999999999E-3</v>
      </c>
      <c r="I50">
        <v>-2.8E-3</v>
      </c>
      <c r="J50">
        <v>-2.5000000000000001E-3</v>
      </c>
      <c r="K50">
        <v>-2.2000000000000001E-3</v>
      </c>
      <c r="L50">
        <v>-2.3E-3</v>
      </c>
      <c r="M50">
        <v>-2.3E-3</v>
      </c>
      <c r="N50">
        <v>-2.2000000000000001E-3</v>
      </c>
      <c r="O50">
        <v>-2.0999999999999999E-3</v>
      </c>
      <c r="P50">
        <v>-1.8E-3</v>
      </c>
      <c r="Q50">
        <v>-1.8E-3</v>
      </c>
      <c r="R50">
        <v>-1.6000000000000001E-3</v>
      </c>
      <c r="S50">
        <v>-1.6999999999999999E-3</v>
      </c>
      <c r="T50">
        <v>-1.6999999999999999E-3</v>
      </c>
      <c r="U50">
        <v>-1.6999999999999999E-3</v>
      </c>
      <c r="V50">
        <v>-1.6999999999999999E-3</v>
      </c>
      <c r="W50">
        <v>-1.8E-3</v>
      </c>
      <c r="X50">
        <v>-1.8E-3</v>
      </c>
      <c r="Y50">
        <v>-1.8E-3</v>
      </c>
      <c r="Z50">
        <v>-1.8E-3</v>
      </c>
      <c r="AA50">
        <v>-1.8E-3</v>
      </c>
      <c r="AB50">
        <v>-1.8E-3</v>
      </c>
      <c r="AC50">
        <v>-1.8E-3</v>
      </c>
      <c r="AD50">
        <v>-1.9E-3</v>
      </c>
      <c r="AE50">
        <v>-2.0999999999999999E-3</v>
      </c>
      <c r="AF50">
        <v>-2.2000000000000001E-3</v>
      </c>
      <c r="AG50">
        <v>-2.3E-3</v>
      </c>
      <c r="AH50">
        <v>-2.3999999999999998E-3</v>
      </c>
      <c r="AI50">
        <v>-2.3999999999999998E-3</v>
      </c>
      <c r="AJ50">
        <v>-2.5999999999999999E-3</v>
      </c>
      <c r="AK50">
        <v>-2.5999999999999999E-3</v>
      </c>
      <c r="AL50">
        <v>-2.7000000000000001E-3</v>
      </c>
      <c r="AM50">
        <v>-2.8999999999999998E-3</v>
      </c>
      <c r="AN50">
        <v>-3.0000000000000001E-3</v>
      </c>
      <c r="AO50">
        <v>-3.0999999999999999E-3</v>
      </c>
      <c r="AP50">
        <v>-3.2000000000000002E-3</v>
      </c>
      <c r="AQ50">
        <v>-3.2000000000000002E-3</v>
      </c>
      <c r="AR50">
        <v>-3.3E-3</v>
      </c>
      <c r="AS50">
        <v>-3.3E-3</v>
      </c>
      <c r="AT50">
        <v>-3.3E-3</v>
      </c>
      <c r="AU50">
        <v>-3.3999999999999998E-3</v>
      </c>
      <c r="AV50">
        <v>-3.3999999999999998E-3</v>
      </c>
      <c r="AW50">
        <v>-3.3999999999999998E-3</v>
      </c>
      <c r="AX50">
        <v>-3.5000000000000001E-3</v>
      </c>
      <c r="AY50">
        <v>-3.5999999999999999E-3</v>
      </c>
      <c r="AZ50">
        <v>-3.5999999999999999E-3</v>
      </c>
      <c r="BA50">
        <v>-3.8E-3</v>
      </c>
      <c r="BB50">
        <v>-4.0000000000000001E-3</v>
      </c>
      <c r="BC50">
        <v>-4.1999999999999997E-3</v>
      </c>
      <c r="BD50">
        <v>-4.1999999999999997E-3</v>
      </c>
      <c r="BE50">
        <v>-4.3E-3</v>
      </c>
      <c r="BF50">
        <v>-4.3E-3</v>
      </c>
      <c r="BG50">
        <v>-4.4000000000000003E-3</v>
      </c>
      <c r="BH50">
        <v>-4.4999999999999997E-3</v>
      </c>
      <c r="BI50">
        <v>-4.4000000000000003E-3</v>
      </c>
      <c r="BJ50">
        <v>-4.3E-3</v>
      </c>
      <c r="BK50">
        <v>-4.5999999999999999E-3</v>
      </c>
      <c r="BL50">
        <v>-4.7999999999999996E-3</v>
      </c>
      <c r="BM50">
        <v>-5.0000000000000001E-3</v>
      </c>
      <c r="BN50">
        <v>-5.1000000000000004E-3</v>
      </c>
      <c r="BO50">
        <v>-5.1999999999999998E-3</v>
      </c>
      <c r="BP50">
        <v>-5.4000000000000003E-3</v>
      </c>
      <c r="BQ50">
        <v>-5.4000000000000003E-3</v>
      </c>
      <c r="BR50">
        <v>-5.3E-3</v>
      </c>
      <c r="BS50">
        <v>-5.4000000000000003E-3</v>
      </c>
      <c r="BT50">
        <v>-5.7999999999999996E-3</v>
      </c>
      <c r="BU50">
        <v>-6.1000000000000004E-3</v>
      </c>
      <c r="BV50">
        <v>-6.1999999999999998E-3</v>
      </c>
      <c r="BW50">
        <v>-6.3E-3</v>
      </c>
      <c r="BX50">
        <v>-6.3E-3</v>
      </c>
      <c r="BY50">
        <v>-6.4000000000000003E-3</v>
      </c>
      <c r="BZ50">
        <v>-6.1000000000000004E-3</v>
      </c>
      <c r="CA50">
        <v>-6.4000000000000003E-3</v>
      </c>
      <c r="CB50">
        <v>-6.6E-3</v>
      </c>
      <c r="CC50">
        <v>-6.7999999999999996E-3</v>
      </c>
      <c r="CD50">
        <v>-7.1000000000000004E-3</v>
      </c>
      <c r="CE50">
        <v>-6.7999999999999996E-3</v>
      </c>
      <c r="CF50">
        <v>-6.6E-3</v>
      </c>
      <c r="CG50">
        <v>-6.0000000000000001E-3</v>
      </c>
      <c r="CH50">
        <v>-6.3E-3</v>
      </c>
      <c r="CI50">
        <v>-7.7000000000000002E-3</v>
      </c>
      <c r="CJ50">
        <v>-7.6E-3</v>
      </c>
      <c r="CK50">
        <v>-7.4999999999999997E-3</v>
      </c>
      <c r="CL50">
        <v>-7.4999999999999997E-3</v>
      </c>
      <c r="CM50">
        <v>-7.1999999999999998E-3</v>
      </c>
      <c r="CN50">
        <v>-6.8999999999999999E-3</v>
      </c>
      <c r="CO50">
        <v>-8.0000000000000002E-3</v>
      </c>
      <c r="CP50">
        <v>-9.1000000000000004E-3</v>
      </c>
      <c r="CQ50">
        <v>-8.2000000000000007E-3</v>
      </c>
      <c r="CR50">
        <v>-9.1000000000000004E-3</v>
      </c>
      <c r="CS50">
        <v>-7.4000000000000003E-3</v>
      </c>
      <c r="CT50">
        <v>-8.9999999999999993E-3</v>
      </c>
      <c r="CU50">
        <v>-8.3000000000000001E-3</v>
      </c>
      <c r="CV50">
        <v>-6.6E-3</v>
      </c>
    </row>
    <row r="51" spans="1:100" x14ac:dyDescent="0.2">
      <c r="A51" t="s">
        <v>5917</v>
      </c>
      <c r="B51">
        <v>7.1999999999999998E-3</v>
      </c>
      <c r="C51">
        <v>8.6999999999999994E-3</v>
      </c>
      <c r="D51">
        <v>7.9000000000000008E-3</v>
      </c>
      <c r="E51">
        <v>7.1999999999999998E-3</v>
      </c>
      <c r="F51">
        <v>6.4000000000000003E-3</v>
      </c>
      <c r="G51">
        <v>6.1000000000000004E-3</v>
      </c>
      <c r="H51">
        <v>5.7999999999999996E-3</v>
      </c>
      <c r="I51">
        <v>5.4000000000000003E-3</v>
      </c>
      <c r="J51">
        <v>5.0000000000000001E-3</v>
      </c>
      <c r="K51">
        <v>4.0000000000000001E-3</v>
      </c>
      <c r="L51">
        <v>3.5999999999999999E-3</v>
      </c>
      <c r="M51">
        <v>3.2000000000000002E-3</v>
      </c>
      <c r="N51">
        <v>2.8E-3</v>
      </c>
      <c r="O51">
        <v>2.3999999999999998E-3</v>
      </c>
      <c r="P51">
        <v>1.9E-3</v>
      </c>
      <c r="Q51">
        <v>1.6999999999999999E-3</v>
      </c>
      <c r="R51">
        <v>1.6000000000000001E-3</v>
      </c>
      <c r="S51">
        <v>1.5E-3</v>
      </c>
      <c r="T51">
        <v>1.4E-3</v>
      </c>
      <c r="U51">
        <v>1.2999999999999999E-3</v>
      </c>
      <c r="V51">
        <v>1.2999999999999999E-3</v>
      </c>
      <c r="W51">
        <v>1.1999999999999999E-3</v>
      </c>
      <c r="X51">
        <v>1.1999999999999999E-3</v>
      </c>
      <c r="Y51">
        <v>1.1999999999999999E-3</v>
      </c>
      <c r="Z51">
        <v>1.1000000000000001E-3</v>
      </c>
      <c r="AA51">
        <v>1.1000000000000001E-3</v>
      </c>
      <c r="AB51">
        <v>1.1000000000000001E-3</v>
      </c>
      <c r="AC51">
        <v>1E-3</v>
      </c>
      <c r="AD51">
        <v>1E-3</v>
      </c>
      <c r="AE51">
        <v>1E-3</v>
      </c>
      <c r="AF51">
        <v>1E-3</v>
      </c>
      <c r="AG51">
        <v>1E-3</v>
      </c>
      <c r="AH51">
        <v>1E-3</v>
      </c>
      <c r="AI51">
        <v>1E-3</v>
      </c>
      <c r="AJ51">
        <v>1E-3</v>
      </c>
      <c r="AK51">
        <v>1E-3</v>
      </c>
      <c r="AL51">
        <v>1E-3</v>
      </c>
      <c r="AM51">
        <v>1.1000000000000001E-3</v>
      </c>
      <c r="AN51">
        <v>1E-3</v>
      </c>
      <c r="AO51">
        <v>1.1000000000000001E-3</v>
      </c>
      <c r="AP51">
        <v>1.1000000000000001E-3</v>
      </c>
      <c r="AQ51">
        <v>1.1000000000000001E-3</v>
      </c>
      <c r="AR51">
        <v>1E-3</v>
      </c>
      <c r="AS51">
        <v>1E-3</v>
      </c>
      <c r="AT51">
        <v>1E-3</v>
      </c>
      <c r="AU51">
        <v>1E-3</v>
      </c>
      <c r="AV51">
        <v>1E-3</v>
      </c>
      <c r="AW51">
        <v>8.9999999999999998E-4</v>
      </c>
      <c r="AX51">
        <v>8.9999999999999998E-4</v>
      </c>
      <c r="AY51">
        <v>8.9999999999999998E-4</v>
      </c>
      <c r="AZ51">
        <v>8.9999999999999998E-4</v>
      </c>
      <c r="BA51">
        <v>8.9999999999999998E-4</v>
      </c>
      <c r="BB51">
        <v>1E-3</v>
      </c>
      <c r="BC51">
        <v>1E-3</v>
      </c>
      <c r="BD51">
        <v>1E-3</v>
      </c>
      <c r="BE51">
        <v>1E-3</v>
      </c>
      <c r="BF51">
        <v>8.9999999999999998E-4</v>
      </c>
      <c r="BG51">
        <v>8.9999999999999998E-4</v>
      </c>
      <c r="BH51">
        <v>8.9999999999999998E-4</v>
      </c>
      <c r="BI51">
        <v>8.9999999999999998E-4</v>
      </c>
      <c r="BJ51">
        <v>8.9999999999999998E-4</v>
      </c>
      <c r="BK51">
        <v>8.9999999999999998E-4</v>
      </c>
      <c r="BL51">
        <v>8.9999999999999998E-4</v>
      </c>
      <c r="BM51">
        <v>8.9999999999999998E-4</v>
      </c>
      <c r="BN51">
        <v>8.9999999999999998E-4</v>
      </c>
      <c r="BO51">
        <v>8.9999999999999998E-4</v>
      </c>
      <c r="BP51">
        <v>8.9999999999999998E-4</v>
      </c>
      <c r="BQ51">
        <v>8.9999999999999998E-4</v>
      </c>
      <c r="BR51">
        <v>8.9999999999999998E-4</v>
      </c>
      <c r="BS51">
        <v>8.9999999999999998E-4</v>
      </c>
      <c r="BT51">
        <v>1E-3</v>
      </c>
      <c r="BU51">
        <v>1.1000000000000001E-3</v>
      </c>
      <c r="BV51">
        <v>1E-3</v>
      </c>
      <c r="BW51">
        <v>1E-3</v>
      </c>
      <c r="BX51">
        <v>1E-3</v>
      </c>
      <c r="BY51">
        <v>1E-3</v>
      </c>
      <c r="BZ51">
        <v>1E-3</v>
      </c>
      <c r="CA51">
        <v>1E-3</v>
      </c>
      <c r="CB51">
        <v>8.9999999999999998E-4</v>
      </c>
      <c r="CC51">
        <v>8.9999999999999998E-4</v>
      </c>
      <c r="CD51">
        <v>8.9999999999999998E-4</v>
      </c>
      <c r="CE51">
        <v>8.0000000000000004E-4</v>
      </c>
      <c r="CF51">
        <v>6.9999999999999999E-4</v>
      </c>
      <c r="CG51">
        <v>6.9999999999999999E-4</v>
      </c>
      <c r="CH51">
        <v>5.9999999999999995E-4</v>
      </c>
      <c r="CI51">
        <v>6.9999999999999999E-4</v>
      </c>
      <c r="CJ51">
        <v>6.9999999999999999E-4</v>
      </c>
      <c r="CK51">
        <v>5.9999999999999995E-4</v>
      </c>
      <c r="CL51">
        <v>5.9999999999999995E-4</v>
      </c>
      <c r="CM51">
        <v>5.9999999999999995E-4</v>
      </c>
      <c r="CN51">
        <v>5.0000000000000001E-4</v>
      </c>
      <c r="CO51">
        <v>5.0000000000000001E-4</v>
      </c>
      <c r="CP51">
        <v>5.0000000000000001E-4</v>
      </c>
      <c r="CQ51">
        <v>4.0000000000000002E-4</v>
      </c>
      <c r="CR51">
        <v>4.0000000000000002E-4</v>
      </c>
      <c r="CS51">
        <v>2.0000000000000001E-4</v>
      </c>
      <c r="CT51">
        <v>2.9999999999999997E-4</v>
      </c>
      <c r="CU51">
        <v>0</v>
      </c>
      <c r="CV51">
        <v>1E-4</v>
      </c>
    </row>
    <row r="52" spans="1:100" x14ac:dyDescent="0.2">
      <c r="A52" t="s">
        <v>5918</v>
      </c>
      <c r="B52">
        <v>1.11E-2</v>
      </c>
      <c r="C52">
        <v>1.26E-2</v>
      </c>
      <c r="D52">
        <v>1.14E-2</v>
      </c>
      <c r="E52">
        <v>1.0200000000000001E-2</v>
      </c>
      <c r="F52">
        <v>8.9999999999999993E-3</v>
      </c>
      <c r="G52">
        <v>8.6E-3</v>
      </c>
      <c r="H52">
        <v>8.0999999999999996E-3</v>
      </c>
      <c r="I52">
        <v>7.4999999999999997E-3</v>
      </c>
      <c r="J52">
        <v>7.1000000000000004E-3</v>
      </c>
      <c r="K52">
        <v>5.5999999999999999E-3</v>
      </c>
      <c r="L52">
        <v>5.1000000000000004E-3</v>
      </c>
      <c r="M52">
        <v>4.4999999999999997E-3</v>
      </c>
      <c r="N52">
        <v>4.0000000000000001E-3</v>
      </c>
      <c r="O52">
        <v>3.3999999999999998E-3</v>
      </c>
      <c r="P52">
        <v>2.7000000000000001E-3</v>
      </c>
      <c r="Q52">
        <v>2.3999999999999998E-3</v>
      </c>
      <c r="R52">
        <v>2.2000000000000001E-3</v>
      </c>
      <c r="S52">
        <v>2.0999999999999999E-3</v>
      </c>
      <c r="T52">
        <v>1.9E-3</v>
      </c>
      <c r="U52">
        <v>1.8E-3</v>
      </c>
      <c r="V52">
        <v>1.8E-3</v>
      </c>
      <c r="W52">
        <v>1.6999999999999999E-3</v>
      </c>
      <c r="X52">
        <v>1.6999999999999999E-3</v>
      </c>
      <c r="Y52">
        <v>1.6000000000000001E-3</v>
      </c>
      <c r="Z52">
        <v>1.6000000000000001E-3</v>
      </c>
      <c r="AA52">
        <v>1.6000000000000001E-3</v>
      </c>
      <c r="AB52">
        <v>1.5E-3</v>
      </c>
      <c r="AC52">
        <v>1.4E-3</v>
      </c>
      <c r="AD52">
        <v>1.4E-3</v>
      </c>
      <c r="AE52">
        <v>1.4E-3</v>
      </c>
      <c r="AF52">
        <v>1.4E-3</v>
      </c>
      <c r="AG52">
        <v>1.4E-3</v>
      </c>
      <c r="AH52">
        <v>1.4E-3</v>
      </c>
      <c r="AI52">
        <v>1.4E-3</v>
      </c>
      <c r="AJ52">
        <v>1.5E-3</v>
      </c>
      <c r="AK52">
        <v>1.5E-3</v>
      </c>
      <c r="AL52">
        <v>1.5E-3</v>
      </c>
      <c r="AM52">
        <v>1.5E-3</v>
      </c>
      <c r="AN52">
        <v>1.5E-3</v>
      </c>
      <c r="AO52">
        <v>1.5E-3</v>
      </c>
      <c r="AP52">
        <v>1.5E-3</v>
      </c>
      <c r="AQ52">
        <v>1.5E-3</v>
      </c>
      <c r="AR52">
        <v>1.5E-3</v>
      </c>
      <c r="AS52">
        <v>1.5E-3</v>
      </c>
      <c r="AT52">
        <v>1.4E-3</v>
      </c>
      <c r="AU52">
        <v>1.5E-3</v>
      </c>
      <c r="AV52">
        <v>1.4E-3</v>
      </c>
      <c r="AW52">
        <v>1.4E-3</v>
      </c>
      <c r="AX52">
        <v>1.4E-3</v>
      </c>
      <c r="AY52">
        <v>1.2999999999999999E-3</v>
      </c>
      <c r="AZ52">
        <v>1.2999999999999999E-3</v>
      </c>
      <c r="BA52">
        <v>1.4E-3</v>
      </c>
      <c r="BB52">
        <v>1.4E-3</v>
      </c>
      <c r="BC52">
        <v>1.4E-3</v>
      </c>
      <c r="BD52">
        <v>1.4E-3</v>
      </c>
      <c r="BE52">
        <v>1.4E-3</v>
      </c>
      <c r="BF52">
        <v>1.2999999999999999E-3</v>
      </c>
      <c r="BG52">
        <v>1.2999999999999999E-3</v>
      </c>
      <c r="BH52">
        <v>1.4E-3</v>
      </c>
      <c r="BI52">
        <v>1.2999999999999999E-3</v>
      </c>
      <c r="BJ52">
        <v>1.2999999999999999E-3</v>
      </c>
      <c r="BK52">
        <v>1.2999999999999999E-3</v>
      </c>
      <c r="BL52">
        <v>1.2999999999999999E-3</v>
      </c>
      <c r="BM52">
        <v>1.2999999999999999E-3</v>
      </c>
      <c r="BN52">
        <v>1.2999999999999999E-3</v>
      </c>
      <c r="BO52">
        <v>1.4E-3</v>
      </c>
      <c r="BP52">
        <v>1.2999999999999999E-3</v>
      </c>
      <c r="BQ52">
        <v>1.2999999999999999E-3</v>
      </c>
      <c r="BR52">
        <v>1.2999999999999999E-3</v>
      </c>
      <c r="BS52">
        <v>1.4E-3</v>
      </c>
      <c r="BT52">
        <v>1.5E-3</v>
      </c>
      <c r="BU52">
        <v>1.6000000000000001E-3</v>
      </c>
      <c r="BV52">
        <v>1.5E-3</v>
      </c>
      <c r="BW52">
        <v>1.5E-3</v>
      </c>
      <c r="BX52">
        <v>1.5E-3</v>
      </c>
      <c r="BY52">
        <v>1.5E-3</v>
      </c>
      <c r="BZ52">
        <v>1.5E-3</v>
      </c>
      <c r="CA52">
        <v>1.5E-3</v>
      </c>
      <c r="CB52">
        <v>1.4E-3</v>
      </c>
      <c r="CC52">
        <v>1.4E-3</v>
      </c>
      <c r="CD52">
        <v>1.4E-3</v>
      </c>
      <c r="CE52">
        <v>1.2999999999999999E-3</v>
      </c>
      <c r="CF52">
        <v>1.1999999999999999E-3</v>
      </c>
      <c r="CG52">
        <v>1.1000000000000001E-3</v>
      </c>
      <c r="CH52">
        <v>1E-3</v>
      </c>
      <c r="CI52">
        <v>1.1999999999999999E-3</v>
      </c>
      <c r="CJ52">
        <v>1.1999999999999999E-3</v>
      </c>
      <c r="CK52">
        <v>1.1000000000000001E-3</v>
      </c>
      <c r="CL52">
        <v>1.1999999999999999E-3</v>
      </c>
      <c r="CM52">
        <v>1.1000000000000001E-3</v>
      </c>
      <c r="CN52">
        <v>1E-3</v>
      </c>
      <c r="CO52">
        <v>1.1000000000000001E-3</v>
      </c>
      <c r="CP52">
        <v>1.1999999999999999E-3</v>
      </c>
      <c r="CQ52">
        <v>1E-3</v>
      </c>
      <c r="CR52">
        <v>1.1000000000000001E-3</v>
      </c>
      <c r="CS52">
        <v>8.9999999999999998E-4</v>
      </c>
      <c r="CT52">
        <v>1.1999999999999999E-3</v>
      </c>
      <c r="CU52">
        <v>1E-3</v>
      </c>
      <c r="CV52">
        <v>1.2999999999999999E-3</v>
      </c>
    </row>
    <row r="53" spans="1:100" x14ac:dyDescent="0.2">
      <c r="A53" t="s">
        <v>5919</v>
      </c>
      <c r="B53">
        <v>-1.5299999999999999E-2</v>
      </c>
      <c r="C53">
        <v>-2.1600000000000001E-2</v>
      </c>
      <c r="D53">
        <v>-2.2700000000000001E-2</v>
      </c>
      <c r="E53">
        <v>-2.3699999999999999E-2</v>
      </c>
      <c r="F53">
        <v>-2.3599999999999999E-2</v>
      </c>
      <c r="G53">
        <v>-2.58E-2</v>
      </c>
      <c r="H53">
        <v>-2.58E-2</v>
      </c>
      <c r="I53">
        <v>-2.5100000000000001E-2</v>
      </c>
      <c r="J53">
        <v>-2.5399999999999999E-2</v>
      </c>
      <c r="K53">
        <v>-2.06E-2</v>
      </c>
      <c r="L53">
        <v>-0.02</v>
      </c>
      <c r="M53">
        <v>-1.8700000000000001E-2</v>
      </c>
      <c r="N53">
        <v>-1.6799999999999999E-2</v>
      </c>
      <c r="O53">
        <v>-1.46E-2</v>
      </c>
      <c r="P53">
        <v>-1.18E-2</v>
      </c>
      <c r="Q53">
        <v>-1.0500000000000001E-2</v>
      </c>
      <c r="R53">
        <v>-9.7999999999999997E-3</v>
      </c>
      <c r="S53">
        <v>-9.4999999999999998E-3</v>
      </c>
      <c r="T53">
        <v>-8.3000000000000001E-3</v>
      </c>
      <c r="U53">
        <v>-7.7000000000000002E-3</v>
      </c>
      <c r="V53">
        <v>-7.3000000000000001E-3</v>
      </c>
      <c r="W53">
        <v>-6.8999999999999999E-3</v>
      </c>
      <c r="X53">
        <v>-6.4999999999999997E-3</v>
      </c>
      <c r="Y53">
        <v>-6.0000000000000001E-3</v>
      </c>
      <c r="Z53">
        <v>-5.5999999999999999E-3</v>
      </c>
      <c r="AA53">
        <v>-5.1999999999999998E-3</v>
      </c>
      <c r="AB53">
        <v>-4.8999999999999998E-3</v>
      </c>
      <c r="AC53">
        <v>-4.7999999999999996E-3</v>
      </c>
      <c r="AD53">
        <v>-4.5999999999999999E-3</v>
      </c>
      <c r="AE53">
        <v>-4.4999999999999997E-3</v>
      </c>
      <c r="AF53">
        <v>-4.3E-3</v>
      </c>
      <c r="AG53">
        <v>-4.1000000000000003E-3</v>
      </c>
      <c r="AH53">
        <v>-3.8999999999999998E-3</v>
      </c>
      <c r="AI53">
        <v>-3.8E-3</v>
      </c>
      <c r="AJ53">
        <v>-3.5999999999999999E-3</v>
      </c>
      <c r="AK53">
        <v>-3.5999999999999999E-3</v>
      </c>
      <c r="AL53">
        <v>-3.5999999999999999E-3</v>
      </c>
      <c r="AM53">
        <v>-3.5000000000000001E-3</v>
      </c>
      <c r="AN53">
        <v>-3.3999999999999998E-3</v>
      </c>
      <c r="AO53">
        <v>-3.0999999999999999E-3</v>
      </c>
      <c r="AP53">
        <v>-3.0000000000000001E-3</v>
      </c>
      <c r="AQ53">
        <v>-2.7000000000000001E-3</v>
      </c>
      <c r="AR53">
        <v>-2.3999999999999998E-3</v>
      </c>
      <c r="AS53">
        <v>-2.2000000000000001E-3</v>
      </c>
      <c r="AT53">
        <v>-1.9E-3</v>
      </c>
      <c r="AU53">
        <v>-1.8E-3</v>
      </c>
      <c r="AV53">
        <v>-1.8E-3</v>
      </c>
      <c r="AW53">
        <v>-1.6999999999999999E-3</v>
      </c>
      <c r="AX53">
        <v>-1.6999999999999999E-3</v>
      </c>
      <c r="AY53">
        <v>-1.5E-3</v>
      </c>
      <c r="AZ53">
        <v>-1.4E-3</v>
      </c>
      <c r="BA53">
        <v>-1.2999999999999999E-3</v>
      </c>
      <c r="BB53">
        <v>-1.1999999999999999E-3</v>
      </c>
      <c r="BC53">
        <v>-1.1000000000000001E-3</v>
      </c>
      <c r="BD53">
        <v>-8.0000000000000004E-4</v>
      </c>
      <c r="BE53">
        <v>-5.9999999999999995E-4</v>
      </c>
      <c r="BF53">
        <v>-4.0000000000000002E-4</v>
      </c>
      <c r="BG53">
        <v>-4.0000000000000002E-4</v>
      </c>
      <c r="BH53">
        <v>-4.0000000000000002E-4</v>
      </c>
      <c r="BI53">
        <v>-4.0000000000000002E-4</v>
      </c>
      <c r="BJ53">
        <v>-4.0000000000000002E-4</v>
      </c>
      <c r="BK53">
        <v>-4.0000000000000002E-4</v>
      </c>
      <c r="BL53">
        <v>-4.0000000000000002E-4</v>
      </c>
      <c r="BM53">
        <v>-2.9999999999999997E-4</v>
      </c>
      <c r="BN53">
        <v>-1E-4</v>
      </c>
      <c r="BO53">
        <v>0</v>
      </c>
      <c r="BP53">
        <v>1E-4</v>
      </c>
      <c r="BQ53">
        <v>1E-4</v>
      </c>
      <c r="BR53">
        <v>2.9999999999999997E-4</v>
      </c>
      <c r="BS53">
        <v>2.9999999999999997E-4</v>
      </c>
      <c r="BT53">
        <v>4.0000000000000002E-4</v>
      </c>
      <c r="BU53">
        <v>5.0000000000000001E-4</v>
      </c>
      <c r="BV53">
        <v>4.0000000000000002E-4</v>
      </c>
      <c r="BW53">
        <v>5.0000000000000001E-4</v>
      </c>
      <c r="BX53">
        <v>5.9999999999999995E-4</v>
      </c>
      <c r="BY53">
        <v>5.9999999999999995E-4</v>
      </c>
      <c r="BZ53">
        <v>6.9999999999999999E-4</v>
      </c>
      <c r="CA53">
        <v>6.9999999999999999E-4</v>
      </c>
      <c r="CB53">
        <v>5.9999999999999995E-4</v>
      </c>
      <c r="CC53">
        <v>5.0000000000000001E-4</v>
      </c>
      <c r="CD53">
        <v>5.0000000000000001E-4</v>
      </c>
      <c r="CE53">
        <v>6.9999999999999999E-4</v>
      </c>
      <c r="CF53">
        <v>6.9999999999999999E-4</v>
      </c>
      <c r="CG53">
        <v>5.0000000000000001E-4</v>
      </c>
      <c r="CH53">
        <v>2.9999999999999997E-4</v>
      </c>
      <c r="CI53">
        <v>5.0000000000000001E-4</v>
      </c>
      <c r="CJ53">
        <v>4.0000000000000002E-4</v>
      </c>
      <c r="CK53">
        <v>2.0000000000000001E-4</v>
      </c>
      <c r="CL53">
        <v>5.0000000000000001E-4</v>
      </c>
      <c r="CM53">
        <v>5.0000000000000001E-4</v>
      </c>
      <c r="CN53">
        <v>2.0000000000000001E-4</v>
      </c>
      <c r="CO53">
        <v>4.0000000000000002E-4</v>
      </c>
      <c r="CP53">
        <v>4.0000000000000002E-4</v>
      </c>
      <c r="CQ53">
        <v>2.0000000000000001E-4</v>
      </c>
      <c r="CR53">
        <v>-2.0000000000000001E-4</v>
      </c>
      <c r="CS53">
        <v>-4.0000000000000002E-4</v>
      </c>
      <c r="CT53">
        <v>-5.0000000000000001E-4</v>
      </c>
      <c r="CU53">
        <v>-2.9999999999999997E-4</v>
      </c>
      <c r="CV53">
        <v>-5.9999999999999995E-4</v>
      </c>
    </row>
    <row r="54" spans="1:100" x14ac:dyDescent="0.2">
      <c r="A54" t="s">
        <v>5920</v>
      </c>
      <c r="B54">
        <v>-1.0500000000000001E-2</v>
      </c>
      <c r="C54">
        <v>-1.49E-2</v>
      </c>
      <c r="D54">
        <v>-1.5800000000000002E-2</v>
      </c>
      <c r="E54">
        <v>-1.6500000000000001E-2</v>
      </c>
      <c r="F54">
        <v>-1.6500000000000001E-2</v>
      </c>
      <c r="G54">
        <v>-1.8100000000000002E-2</v>
      </c>
      <c r="H54">
        <v>-1.8100000000000002E-2</v>
      </c>
      <c r="I54">
        <v>-1.7500000000000002E-2</v>
      </c>
      <c r="J54">
        <v>-1.78E-2</v>
      </c>
      <c r="K54">
        <v>-1.44E-2</v>
      </c>
      <c r="L54">
        <v>-1.4E-2</v>
      </c>
      <c r="M54">
        <v>-1.3100000000000001E-2</v>
      </c>
      <c r="N54">
        <v>-1.17E-2</v>
      </c>
      <c r="O54">
        <v>-1.0200000000000001E-2</v>
      </c>
      <c r="P54">
        <v>-8.2000000000000007E-3</v>
      </c>
      <c r="Q54">
        <v>-7.3000000000000001E-3</v>
      </c>
      <c r="R54">
        <v>-6.8999999999999999E-3</v>
      </c>
      <c r="S54">
        <v>-6.6E-3</v>
      </c>
      <c r="T54">
        <v>-5.7999999999999996E-3</v>
      </c>
      <c r="U54">
        <v>-5.4000000000000003E-3</v>
      </c>
      <c r="V54">
        <v>-5.1000000000000004E-3</v>
      </c>
      <c r="W54">
        <v>-4.7999999999999996E-3</v>
      </c>
      <c r="X54">
        <v>-4.5999999999999999E-3</v>
      </c>
      <c r="Y54">
        <v>-4.1999999999999997E-3</v>
      </c>
      <c r="Z54">
        <v>-3.8999999999999998E-3</v>
      </c>
      <c r="AA54">
        <v>-3.5999999999999999E-3</v>
      </c>
      <c r="AB54">
        <v>-3.3999999999999998E-3</v>
      </c>
      <c r="AC54">
        <v>-3.3E-3</v>
      </c>
      <c r="AD54">
        <v>-3.2000000000000002E-3</v>
      </c>
      <c r="AE54">
        <v>-3.0999999999999999E-3</v>
      </c>
      <c r="AF54">
        <v>-3.0000000000000001E-3</v>
      </c>
      <c r="AG54">
        <v>-2.8E-3</v>
      </c>
      <c r="AH54">
        <v>-2.7000000000000001E-3</v>
      </c>
      <c r="AI54">
        <v>-2.5999999999999999E-3</v>
      </c>
      <c r="AJ54">
        <v>-2.5000000000000001E-3</v>
      </c>
      <c r="AK54">
        <v>-2.5000000000000001E-3</v>
      </c>
      <c r="AL54">
        <v>-2.5000000000000001E-3</v>
      </c>
      <c r="AM54">
        <v>-2.3999999999999998E-3</v>
      </c>
      <c r="AN54">
        <v>-2.3E-3</v>
      </c>
      <c r="AO54">
        <v>-2.0999999999999999E-3</v>
      </c>
      <c r="AP54">
        <v>-2E-3</v>
      </c>
      <c r="AQ54">
        <v>-1.8E-3</v>
      </c>
      <c r="AR54">
        <v>-1.6000000000000001E-3</v>
      </c>
      <c r="AS54">
        <v>-1.4E-3</v>
      </c>
      <c r="AT54">
        <v>-1.1999999999999999E-3</v>
      </c>
      <c r="AU54">
        <v>-1.1000000000000001E-3</v>
      </c>
      <c r="AV54">
        <v>-1.1000000000000001E-3</v>
      </c>
      <c r="AW54">
        <v>-1E-3</v>
      </c>
      <c r="AX54">
        <v>-1.1000000000000001E-3</v>
      </c>
      <c r="AY54">
        <v>-8.9999999999999998E-4</v>
      </c>
      <c r="AZ54">
        <v>-8.0000000000000004E-4</v>
      </c>
      <c r="BA54">
        <v>-6.9999999999999999E-4</v>
      </c>
      <c r="BB54">
        <v>-5.9999999999999995E-4</v>
      </c>
      <c r="BC54">
        <v>-5.0000000000000001E-4</v>
      </c>
      <c r="BD54">
        <v>-2.0000000000000001E-4</v>
      </c>
      <c r="BE54">
        <v>0</v>
      </c>
      <c r="BF54">
        <v>1E-4</v>
      </c>
      <c r="BG54">
        <v>1E-4</v>
      </c>
      <c r="BH54">
        <v>1E-4</v>
      </c>
      <c r="BI54">
        <v>1E-4</v>
      </c>
      <c r="BJ54">
        <v>1E-4</v>
      </c>
      <c r="BK54">
        <v>1E-4</v>
      </c>
      <c r="BL54">
        <v>2.0000000000000001E-4</v>
      </c>
      <c r="BM54">
        <v>2.9999999999999997E-4</v>
      </c>
      <c r="BN54">
        <v>5.0000000000000001E-4</v>
      </c>
      <c r="BO54">
        <v>5.9999999999999995E-4</v>
      </c>
      <c r="BP54">
        <v>6.9999999999999999E-4</v>
      </c>
      <c r="BQ54">
        <v>6.9999999999999999E-4</v>
      </c>
      <c r="BR54">
        <v>8.9999999999999998E-4</v>
      </c>
      <c r="BS54">
        <v>1E-3</v>
      </c>
      <c r="BT54">
        <v>1.1000000000000001E-3</v>
      </c>
      <c r="BU54">
        <v>1.2999999999999999E-3</v>
      </c>
      <c r="BV54">
        <v>1.1000000000000001E-3</v>
      </c>
      <c r="BW54">
        <v>1.2999999999999999E-3</v>
      </c>
      <c r="BX54">
        <v>1.2999999999999999E-3</v>
      </c>
      <c r="BY54">
        <v>1.2999999999999999E-3</v>
      </c>
      <c r="BZ54">
        <v>1.5E-3</v>
      </c>
      <c r="CA54">
        <v>1.5E-3</v>
      </c>
      <c r="CB54">
        <v>1.5E-3</v>
      </c>
      <c r="CC54">
        <v>1.4E-3</v>
      </c>
      <c r="CD54">
        <v>1.4E-3</v>
      </c>
      <c r="CE54">
        <v>1.6999999999999999E-3</v>
      </c>
      <c r="CF54">
        <v>1.6000000000000001E-3</v>
      </c>
      <c r="CG54">
        <v>1.4E-3</v>
      </c>
      <c r="CH54">
        <v>1.1999999999999999E-3</v>
      </c>
      <c r="CI54">
        <v>1.6000000000000001E-3</v>
      </c>
      <c r="CJ54">
        <v>1.5E-3</v>
      </c>
      <c r="CK54">
        <v>1.2999999999999999E-3</v>
      </c>
      <c r="CL54">
        <v>1.6999999999999999E-3</v>
      </c>
      <c r="CM54">
        <v>1.6999999999999999E-3</v>
      </c>
      <c r="CN54">
        <v>1.4E-3</v>
      </c>
      <c r="CO54">
        <v>1.6999999999999999E-3</v>
      </c>
      <c r="CP54">
        <v>2E-3</v>
      </c>
      <c r="CQ54">
        <v>1.6999999999999999E-3</v>
      </c>
      <c r="CR54">
        <v>1.6000000000000001E-3</v>
      </c>
      <c r="CS54">
        <v>1.1000000000000001E-3</v>
      </c>
      <c r="CT54">
        <v>1.6000000000000001E-3</v>
      </c>
      <c r="CU54">
        <v>2.2000000000000001E-3</v>
      </c>
      <c r="CV54">
        <v>2.5000000000000001E-3</v>
      </c>
    </row>
    <row r="55" spans="1:100" x14ac:dyDescent="0.2">
      <c r="A55" t="s">
        <v>5921</v>
      </c>
      <c r="B55">
        <v>9.1999999999999998E-3</v>
      </c>
      <c r="C55">
        <v>1.0200000000000001E-2</v>
      </c>
      <c r="D55">
        <v>9.9000000000000008E-3</v>
      </c>
      <c r="E55">
        <v>9.4000000000000004E-3</v>
      </c>
      <c r="F55">
        <v>8.3000000000000001E-3</v>
      </c>
      <c r="G55">
        <v>8.5000000000000006E-3</v>
      </c>
      <c r="H55">
        <v>7.9000000000000008E-3</v>
      </c>
      <c r="I55">
        <v>6.8999999999999999E-3</v>
      </c>
      <c r="J55">
        <v>7.3000000000000001E-3</v>
      </c>
      <c r="K55">
        <v>5.7000000000000002E-3</v>
      </c>
      <c r="L55">
        <v>5.3E-3</v>
      </c>
      <c r="M55">
        <v>4.8999999999999998E-3</v>
      </c>
      <c r="N55">
        <v>4.4999999999999997E-3</v>
      </c>
      <c r="O55">
        <v>3.8E-3</v>
      </c>
      <c r="P55">
        <v>3.2000000000000002E-3</v>
      </c>
      <c r="Q55">
        <v>3.0000000000000001E-3</v>
      </c>
      <c r="R55">
        <v>2.5000000000000001E-3</v>
      </c>
      <c r="S55">
        <v>2.7000000000000001E-3</v>
      </c>
      <c r="T55">
        <v>2.3999999999999998E-3</v>
      </c>
      <c r="U55">
        <v>2.5000000000000001E-3</v>
      </c>
      <c r="V55">
        <v>2.3999999999999998E-3</v>
      </c>
      <c r="W55">
        <v>2.3E-3</v>
      </c>
      <c r="X55">
        <v>2.3999999999999998E-3</v>
      </c>
      <c r="Y55">
        <v>2.3E-3</v>
      </c>
      <c r="Z55">
        <v>2.3E-3</v>
      </c>
      <c r="AA55">
        <v>2.2000000000000001E-3</v>
      </c>
      <c r="AB55">
        <v>2.2000000000000001E-3</v>
      </c>
      <c r="AC55">
        <v>2.0999999999999999E-3</v>
      </c>
      <c r="AD55">
        <v>2.3E-3</v>
      </c>
      <c r="AE55">
        <v>2.3E-3</v>
      </c>
      <c r="AF55">
        <v>2.2000000000000001E-3</v>
      </c>
      <c r="AG55">
        <v>2.2000000000000001E-3</v>
      </c>
      <c r="AH55">
        <v>2.3E-3</v>
      </c>
      <c r="AI55">
        <v>2.2000000000000001E-3</v>
      </c>
      <c r="AJ55">
        <v>2.3999999999999998E-3</v>
      </c>
      <c r="AK55">
        <v>2.3999999999999998E-3</v>
      </c>
      <c r="AL55">
        <v>2.3999999999999998E-3</v>
      </c>
      <c r="AM55">
        <v>2.3999999999999998E-3</v>
      </c>
      <c r="AN55">
        <v>2.3999999999999998E-3</v>
      </c>
      <c r="AO55">
        <v>2.5000000000000001E-3</v>
      </c>
      <c r="AP55">
        <v>2.5000000000000001E-3</v>
      </c>
      <c r="AQ55">
        <v>2.3E-3</v>
      </c>
      <c r="AR55">
        <v>2.3999999999999998E-3</v>
      </c>
      <c r="AS55">
        <v>2.3E-3</v>
      </c>
      <c r="AT55">
        <v>2.2000000000000001E-3</v>
      </c>
      <c r="AU55">
        <v>2.3E-3</v>
      </c>
      <c r="AV55">
        <v>2.0999999999999999E-3</v>
      </c>
      <c r="AW55">
        <v>2E-3</v>
      </c>
      <c r="AX55">
        <v>2.0999999999999999E-3</v>
      </c>
      <c r="AY55">
        <v>2.0999999999999999E-3</v>
      </c>
      <c r="AZ55">
        <v>2.0999999999999999E-3</v>
      </c>
      <c r="BA55">
        <v>2.2000000000000001E-3</v>
      </c>
      <c r="BB55">
        <v>2.3E-3</v>
      </c>
      <c r="BC55">
        <v>2.3E-3</v>
      </c>
      <c r="BD55">
        <v>2.2000000000000001E-3</v>
      </c>
      <c r="BE55">
        <v>2.2000000000000001E-3</v>
      </c>
      <c r="BF55">
        <v>2.0999999999999999E-3</v>
      </c>
      <c r="BG55">
        <v>2.2000000000000001E-3</v>
      </c>
      <c r="BH55">
        <v>1.9E-3</v>
      </c>
      <c r="BI55">
        <v>1.9E-3</v>
      </c>
      <c r="BJ55">
        <v>1.8E-3</v>
      </c>
      <c r="BK55">
        <v>1.9E-3</v>
      </c>
      <c r="BL55">
        <v>2.0999999999999999E-3</v>
      </c>
      <c r="BM55">
        <v>2E-3</v>
      </c>
      <c r="BN55">
        <v>2E-3</v>
      </c>
      <c r="BO55">
        <v>1.9E-3</v>
      </c>
      <c r="BP55">
        <v>2E-3</v>
      </c>
      <c r="BQ55">
        <v>1.8E-3</v>
      </c>
      <c r="BR55">
        <v>1.6999999999999999E-3</v>
      </c>
      <c r="BS55">
        <v>1.6999999999999999E-3</v>
      </c>
      <c r="BT55">
        <v>1.8E-3</v>
      </c>
      <c r="BU55">
        <v>1.8E-3</v>
      </c>
      <c r="BV55">
        <v>1.8E-3</v>
      </c>
      <c r="BW55">
        <v>1.8E-3</v>
      </c>
      <c r="BX55">
        <v>1.8E-3</v>
      </c>
      <c r="BY55">
        <v>1.6000000000000001E-3</v>
      </c>
      <c r="BZ55">
        <v>1.6000000000000001E-3</v>
      </c>
      <c r="CA55">
        <v>1.6999999999999999E-3</v>
      </c>
      <c r="CB55">
        <v>1.6999999999999999E-3</v>
      </c>
      <c r="CC55">
        <v>1.6999999999999999E-3</v>
      </c>
      <c r="CD55">
        <v>1.6999999999999999E-3</v>
      </c>
      <c r="CE55">
        <v>1.5E-3</v>
      </c>
      <c r="CF55">
        <v>1.5E-3</v>
      </c>
      <c r="CG55">
        <v>1.1999999999999999E-3</v>
      </c>
      <c r="CH55">
        <v>1.2999999999999999E-3</v>
      </c>
      <c r="CI55">
        <v>1.6000000000000001E-3</v>
      </c>
      <c r="CJ55">
        <v>1.4E-3</v>
      </c>
      <c r="CK55">
        <v>1.1999999999999999E-3</v>
      </c>
      <c r="CL55">
        <v>1.2999999999999999E-3</v>
      </c>
      <c r="CM55">
        <v>1.1999999999999999E-3</v>
      </c>
      <c r="CN55">
        <v>8.9999999999999998E-4</v>
      </c>
      <c r="CO55">
        <v>1.1999999999999999E-3</v>
      </c>
      <c r="CP55">
        <v>1.1000000000000001E-3</v>
      </c>
      <c r="CQ55">
        <v>6.9999999999999999E-4</v>
      </c>
      <c r="CR55">
        <v>8.0000000000000004E-4</v>
      </c>
      <c r="CS55">
        <v>2.9999999999999997E-4</v>
      </c>
      <c r="CT55">
        <v>1E-4</v>
      </c>
      <c r="CU55">
        <v>1E-4</v>
      </c>
      <c r="CV55">
        <v>1E-4</v>
      </c>
    </row>
    <row r="56" spans="1:100" x14ac:dyDescent="0.2">
      <c r="A56" t="s">
        <v>5922</v>
      </c>
      <c r="B56">
        <v>1.5299999999999999E-2</v>
      </c>
      <c r="C56">
        <v>1.7299999999999999E-2</v>
      </c>
      <c r="D56">
        <v>1.6899999999999998E-2</v>
      </c>
      <c r="E56">
        <v>1.6199999999999999E-2</v>
      </c>
      <c r="F56">
        <v>1.44E-2</v>
      </c>
      <c r="G56">
        <v>1.49E-2</v>
      </c>
      <c r="H56">
        <v>1.41E-2</v>
      </c>
      <c r="I56">
        <v>1.2500000000000001E-2</v>
      </c>
      <c r="J56">
        <v>1.2999999999999999E-2</v>
      </c>
      <c r="K56">
        <v>1.0200000000000001E-2</v>
      </c>
      <c r="L56">
        <v>9.5999999999999992E-3</v>
      </c>
      <c r="M56">
        <v>8.9999999999999993E-3</v>
      </c>
      <c r="N56">
        <v>8.0999999999999996E-3</v>
      </c>
      <c r="O56">
        <v>7.0000000000000001E-3</v>
      </c>
      <c r="P56">
        <v>5.8999999999999999E-3</v>
      </c>
      <c r="Q56">
        <v>5.4000000000000003E-3</v>
      </c>
      <c r="R56">
        <v>4.7000000000000002E-3</v>
      </c>
      <c r="S56">
        <v>4.8999999999999998E-3</v>
      </c>
      <c r="T56">
        <v>4.4000000000000003E-3</v>
      </c>
      <c r="U56">
        <v>4.5999999999999999E-3</v>
      </c>
      <c r="V56">
        <v>4.4000000000000003E-3</v>
      </c>
      <c r="W56">
        <v>4.3E-3</v>
      </c>
      <c r="X56">
        <v>4.4000000000000003E-3</v>
      </c>
      <c r="Y56">
        <v>4.1999999999999997E-3</v>
      </c>
      <c r="Z56">
        <v>4.3E-3</v>
      </c>
      <c r="AA56">
        <v>4.1999999999999997E-3</v>
      </c>
      <c r="AB56">
        <v>4.1000000000000003E-3</v>
      </c>
      <c r="AC56">
        <v>3.8999999999999998E-3</v>
      </c>
      <c r="AD56">
        <v>4.1999999999999997E-3</v>
      </c>
      <c r="AE56">
        <v>4.1999999999999997E-3</v>
      </c>
      <c r="AF56">
        <v>4.0000000000000001E-3</v>
      </c>
      <c r="AG56">
        <v>4.1000000000000003E-3</v>
      </c>
      <c r="AH56">
        <v>4.1999999999999997E-3</v>
      </c>
      <c r="AI56">
        <v>4.1999999999999997E-3</v>
      </c>
      <c r="AJ56">
        <v>4.4000000000000003E-3</v>
      </c>
      <c r="AK56">
        <v>4.3E-3</v>
      </c>
      <c r="AL56">
        <v>4.4000000000000003E-3</v>
      </c>
      <c r="AM56">
        <v>4.4999999999999997E-3</v>
      </c>
      <c r="AN56">
        <v>4.4000000000000003E-3</v>
      </c>
      <c r="AO56">
        <v>4.4999999999999997E-3</v>
      </c>
      <c r="AP56">
        <v>4.4999999999999997E-3</v>
      </c>
      <c r="AQ56">
        <v>4.3E-3</v>
      </c>
      <c r="AR56">
        <v>4.4000000000000003E-3</v>
      </c>
      <c r="AS56">
        <v>4.3E-3</v>
      </c>
      <c r="AT56">
        <v>4.1000000000000003E-3</v>
      </c>
      <c r="AU56">
        <v>4.1000000000000003E-3</v>
      </c>
      <c r="AV56">
        <v>3.8999999999999998E-3</v>
      </c>
      <c r="AW56">
        <v>3.7000000000000002E-3</v>
      </c>
      <c r="AX56">
        <v>3.7000000000000002E-3</v>
      </c>
      <c r="AY56">
        <v>3.8E-3</v>
      </c>
      <c r="AZ56">
        <v>3.8E-3</v>
      </c>
      <c r="BA56">
        <v>3.8999999999999998E-3</v>
      </c>
      <c r="BB56">
        <v>4.1000000000000003E-3</v>
      </c>
      <c r="BC56">
        <v>4.1000000000000003E-3</v>
      </c>
      <c r="BD56">
        <v>3.8999999999999998E-3</v>
      </c>
      <c r="BE56">
        <v>3.8999999999999998E-3</v>
      </c>
      <c r="BF56">
        <v>3.8E-3</v>
      </c>
      <c r="BG56">
        <v>3.8E-3</v>
      </c>
      <c r="BH56">
        <v>3.3999999999999998E-3</v>
      </c>
      <c r="BI56">
        <v>3.3E-3</v>
      </c>
      <c r="BJ56">
        <v>3.3E-3</v>
      </c>
      <c r="BK56">
        <v>3.3E-3</v>
      </c>
      <c r="BL56">
        <v>3.5000000000000001E-3</v>
      </c>
      <c r="BM56">
        <v>3.3999999999999998E-3</v>
      </c>
      <c r="BN56">
        <v>3.3999999999999998E-3</v>
      </c>
      <c r="BO56">
        <v>3.3E-3</v>
      </c>
      <c r="BP56">
        <v>3.3E-3</v>
      </c>
      <c r="BQ56">
        <v>3.0999999999999999E-3</v>
      </c>
      <c r="BR56">
        <v>2.8999999999999998E-3</v>
      </c>
      <c r="BS56">
        <v>2.8E-3</v>
      </c>
      <c r="BT56">
        <v>3.0999999999999999E-3</v>
      </c>
      <c r="BU56">
        <v>3.0999999999999999E-3</v>
      </c>
      <c r="BV56">
        <v>3.0999999999999999E-3</v>
      </c>
      <c r="BW56">
        <v>3.0000000000000001E-3</v>
      </c>
      <c r="BX56">
        <v>3.0000000000000001E-3</v>
      </c>
      <c r="BY56">
        <v>2.7000000000000001E-3</v>
      </c>
      <c r="BZ56">
        <v>2.5999999999999999E-3</v>
      </c>
      <c r="CA56">
        <v>2.7000000000000001E-3</v>
      </c>
      <c r="CB56">
        <v>2.8E-3</v>
      </c>
      <c r="CC56">
        <v>2.8E-3</v>
      </c>
      <c r="CD56">
        <v>2.8E-3</v>
      </c>
      <c r="CE56">
        <v>2.5000000000000001E-3</v>
      </c>
      <c r="CF56">
        <v>2.3999999999999998E-3</v>
      </c>
      <c r="CG56">
        <v>2E-3</v>
      </c>
      <c r="CH56">
        <v>2.2000000000000001E-3</v>
      </c>
      <c r="CI56">
        <v>2.7000000000000001E-3</v>
      </c>
      <c r="CJ56">
        <v>2.5000000000000001E-3</v>
      </c>
      <c r="CK56">
        <v>2.2000000000000001E-3</v>
      </c>
      <c r="CL56">
        <v>2.3999999999999998E-3</v>
      </c>
      <c r="CM56">
        <v>2.2000000000000001E-3</v>
      </c>
      <c r="CN56">
        <v>1.8E-3</v>
      </c>
      <c r="CO56">
        <v>2.3999999999999998E-3</v>
      </c>
      <c r="CP56">
        <v>2.3999999999999998E-3</v>
      </c>
      <c r="CQ56">
        <v>1.8E-3</v>
      </c>
      <c r="CR56">
        <v>2.3E-3</v>
      </c>
      <c r="CS56">
        <v>1.5E-3</v>
      </c>
      <c r="CT56">
        <v>1.5E-3</v>
      </c>
      <c r="CU56">
        <v>1.5E-3</v>
      </c>
      <c r="CV56">
        <v>1.8E-3</v>
      </c>
    </row>
    <row r="57" spans="1:100" x14ac:dyDescent="0.2">
      <c r="A57" t="s">
        <v>5923</v>
      </c>
      <c r="B57">
        <v>2.1299999999999999E-2</v>
      </c>
      <c r="C57">
        <v>2.69E-2</v>
      </c>
      <c r="D57">
        <v>2.58E-2</v>
      </c>
      <c r="E57">
        <v>2.64E-2</v>
      </c>
      <c r="F57">
        <v>2.3199999999999998E-2</v>
      </c>
      <c r="G57">
        <v>2.3400000000000001E-2</v>
      </c>
      <c r="H57">
        <v>2.1100000000000001E-2</v>
      </c>
      <c r="I57">
        <v>1.8700000000000001E-2</v>
      </c>
      <c r="J57">
        <v>1.77E-2</v>
      </c>
      <c r="K57">
        <v>1.35E-2</v>
      </c>
      <c r="L57">
        <v>1.2699999999999999E-2</v>
      </c>
      <c r="M57">
        <v>1.17E-2</v>
      </c>
      <c r="N57">
        <v>1.03E-2</v>
      </c>
      <c r="O57">
        <v>8.8000000000000005E-3</v>
      </c>
      <c r="P57">
        <v>6.7999999999999996E-3</v>
      </c>
      <c r="Q57">
        <v>6.3E-3</v>
      </c>
      <c r="R57">
        <v>5.5999999999999999E-3</v>
      </c>
      <c r="S57">
        <v>5.4000000000000003E-3</v>
      </c>
      <c r="T57">
        <v>4.5999999999999999E-3</v>
      </c>
      <c r="U57">
        <v>4.1999999999999997E-3</v>
      </c>
      <c r="V57">
        <v>4.1000000000000003E-3</v>
      </c>
      <c r="W57">
        <v>4.0000000000000001E-3</v>
      </c>
      <c r="X57">
        <v>4.1000000000000003E-3</v>
      </c>
      <c r="Y57">
        <v>4.0000000000000001E-3</v>
      </c>
      <c r="Z57">
        <v>4.0000000000000001E-3</v>
      </c>
      <c r="AA57">
        <v>3.8E-3</v>
      </c>
      <c r="AB57">
        <v>3.8E-3</v>
      </c>
      <c r="AC57">
        <v>3.7000000000000002E-3</v>
      </c>
      <c r="AD57">
        <v>3.8E-3</v>
      </c>
      <c r="AE57">
        <v>3.8999999999999998E-3</v>
      </c>
      <c r="AF57">
        <v>3.8E-3</v>
      </c>
      <c r="AG57">
        <v>3.8E-3</v>
      </c>
      <c r="AH57">
        <v>3.8E-3</v>
      </c>
      <c r="AI57">
        <v>4.0000000000000001E-3</v>
      </c>
      <c r="AJ57">
        <v>3.8999999999999998E-3</v>
      </c>
      <c r="AK57">
        <v>3.7000000000000002E-3</v>
      </c>
      <c r="AL57">
        <v>3.5000000000000001E-3</v>
      </c>
      <c r="AM57">
        <v>3.3999999999999998E-3</v>
      </c>
      <c r="AN57">
        <v>3.3999999999999998E-3</v>
      </c>
      <c r="AO57">
        <v>3.5000000000000001E-3</v>
      </c>
      <c r="AP57">
        <v>3.5999999999999999E-3</v>
      </c>
      <c r="AQ57">
        <v>3.3999999999999998E-3</v>
      </c>
      <c r="AR57">
        <v>3.3999999999999998E-3</v>
      </c>
      <c r="AS57">
        <v>3.3E-3</v>
      </c>
      <c r="AT57">
        <v>2.8999999999999998E-3</v>
      </c>
      <c r="AU57">
        <v>2.8999999999999998E-3</v>
      </c>
      <c r="AV57">
        <v>3.0000000000000001E-3</v>
      </c>
      <c r="AW57">
        <v>3.3E-3</v>
      </c>
      <c r="AX57">
        <v>3.0999999999999999E-3</v>
      </c>
      <c r="AY57">
        <v>3.0999999999999999E-3</v>
      </c>
      <c r="AZ57">
        <v>3.0000000000000001E-3</v>
      </c>
      <c r="BA57">
        <v>3.0999999999999999E-3</v>
      </c>
      <c r="BB57">
        <v>3.2000000000000002E-3</v>
      </c>
      <c r="BC57">
        <v>3.3E-3</v>
      </c>
      <c r="BD57">
        <v>3.5000000000000001E-3</v>
      </c>
      <c r="BE57">
        <v>3.5000000000000001E-3</v>
      </c>
      <c r="BF57">
        <v>3.2000000000000002E-3</v>
      </c>
      <c r="BG57">
        <v>3.0000000000000001E-3</v>
      </c>
      <c r="BH57">
        <v>3.0999999999999999E-3</v>
      </c>
      <c r="BI57">
        <v>3.2000000000000002E-3</v>
      </c>
      <c r="BJ57">
        <v>3.0999999999999999E-3</v>
      </c>
      <c r="BK57">
        <v>3.0000000000000001E-3</v>
      </c>
      <c r="BL57">
        <v>3.2000000000000002E-3</v>
      </c>
      <c r="BM57">
        <v>3.0000000000000001E-3</v>
      </c>
      <c r="BN57">
        <v>2.8999999999999998E-3</v>
      </c>
      <c r="BO57">
        <v>2.5000000000000001E-3</v>
      </c>
      <c r="BP57">
        <v>2.5000000000000001E-3</v>
      </c>
      <c r="BQ57">
        <v>2.5000000000000001E-3</v>
      </c>
      <c r="BR57">
        <v>2.5000000000000001E-3</v>
      </c>
      <c r="BS57">
        <v>2.0999999999999999E-3</v>
      </c>
      <c r="BT57">
        <v>1.6000000000000001E-3</v>
      </c>
      <c r="BU57">
        <v>1.4E-3</v>
      </c>
      <c r="BV57">
        <v>8.9999999999999998E-4</v>
      </c>
      <c r="BW57">
        <v>1.1000000000000001E-3</v>
      </c>
      <c r="BX57">
        <v>5.0000000000000001E-4</v>
      </c>
      <c r="BY57">
        <v>5.0000000000000001E-4</v>
      </c>
      <c r="BZ57">
        <v>6.9999999999999999E-4</v>
      </c>
      <c r="CA57">
        <v>2.0000000000000001E-4</v>
      </c>
      <c r="CB57">
        <v>-2.9999999999999997E-4</v>
      </c>
      <c r="CC57">
        <v>-1.6999999999999999E-3</v>
      </c>
      <c r="CD57">
        <v>-2.2000000000000001E-3</v>
      </c>
      <c r="CE57">
        <v>-2E-3</v>
      </c>
      <c r="CF57">
        <v>-2.3999999999999998E-3</v>
      </c>
      <c r="CG57">
        <v>-2E-3</v>
      </c>
      <c r="CH57">
        <v>-2.8E-3</v>
      </c>
      <c r="CI57">
        <v>-4.8999999999999998E-3</v>
      </c>
      <c r="CJ57">
        <v>-6.3E-3</v>
      </c>
      <c r="CK57">
        <v>-6.7999999999999996E-3</v>
      </c>
      <c r="CL57">
        <v>-8.3999999999999995E-3</v>
      </c>
      <c r="CM57">
        <v>-8.8999999999999999E-3</v>
      </c>
      <c r="CN57">
        <v>-8.6E-3</v>
      </c>
      <c r="CO57">
        <v>-1.06E-2</v>
      </c>
      <c r="CP57">
        <v>-1.2800000000000001E-2</v>
      </c>
      <c r="CQ57">
        <v>-1.18E-2</v>
      </c>
      <c r="CR57">
        <v>-1.4200000000000001E-2</v>
      </c>
      <c r="CS57">
        <v>-1.2500000000000001E-2</v>
      </c>
      <c r="CT57">
        <v>-1.5699999999999999E-2</v>
      </c>
      <c r="CU57">
        <v>-1.9E-2</v>
      </c>
      <c r="CV57">
        <v>-2.0899999999999998E-2</v>
      </c>
    </row>
    <row r="58" spans="1:100" x14ac:dyDescent="0.2">
      <c r="A58" t="s">
        <v>5924</v>
      </c>
      <c r="B58">
        <v>2.9700000000000001E-2</v>
      </c>
      <c r="C58">
        <v>3.56E-2</v>
      </c>
      <c r="D58">
        <v>3.3500000000000002E-2</v>
      </c>
      <c r="E58">
        <v>3.3700000000000001E-2</v>
      </c>
      <c r="F58">
        <v>2.9700000000000001E-2</v>
      </c>
      <c r="G58">
        <v>0.03</v>
      </c>
      <c r="H58">
        <v>2.7400000000000001E-2</v>
      </c>
      <c r="I58">
        <v>2.46E-2</v>
      </c>
      <c r="J58">
        <v>2.3599999999999999E-2</v>
      </c>
      <c r="K58">
        <v>1.8200000000000001E-2</v>
      </c>
      <c r="L58">
        <v>1.7100000000000001E-2</v>
      </c>
      <c r="M58">
        <v>1.5900000000000001E-2</v>
      </c>
      <c r="N58">
        <v>1.41E-2</v>
      </c>
      <c r="O58">
        <v>1.23E-2</v>
      </c>
      <c r="P58">
        <v>9.7000000000000003E-3</v>
      </c>
      <c r="Q58">
        <v>8.8999999999999999E-3</v>
      </c>
      <c r="R58">
        <v>8.2000000000000007E-3</v>
      </c>
      <c r="S58">
        <v>7.7999999999999996E-3</v>
      </c>
      <c r="T58">
        <v>7.0000000000000001E-3</v>
      </c>
      <c r="U58">
        <v>6.6E-3</v>
      </c>
      <c r="V58">
        <v>6.4000000000000003E-3</v>
      </c>
      <c r="W58">
        <v>6.3E-3</v>
      </c>
      <c r="X58">
        <v>6.3E-3</v>
      </c>
      <c r="Y58">
        <v>6.1999999999999998E-3</v>
      </c>
      <c r="Z58">
        <v>6.1999999999999998E-3</v>
      </c>
      <c r="AA58">
        <v>6.0000000000000001E-3</v>
      </c>
      <c r="AB58">
        <v>6.0000000000000001E-3</v>
      </c>
      <c r="AC58">
        <v>5.8999999999999999E-3</v>
      </c>
      <c r="AD58">
        <v>5.8999999999999999E-3</v>
      </c>
      <c r="AE58">
        <v>5.8999999999999999E-3</v>
      </c>
      <c r="AF58">
        <v>5.8999999999999999E-3</v>
      </c>
      <c r="AG58">
        <v>5.7999999999999996E-3</v>
      </c>
      <c r="AH58">
        <v>5.7000000000000002E-3</v>
      </c>
      <c r="AI58">
        <v>6.0000000000000001E-3</v>
      </c>
      <c r="AJ58">
        <v>5.8999999999999999E-3</v>
      </c>
      <c r="AK58">
        <v>5.7999999999999996E-3</v>
      </c>
      <c r="AL58">
        <v>5.7000000000000002E-3</v>
      </c>
      <c r="AM58">
        <v>5.5999999999999999E-3</v>
      </c>
      <c r="AN58">
        <v>5.7000000000000002E-3</v>
      </c>
      <c r="AO58">
        <v>5.7999999999999996E-3</v>
      </c>
      <c r="AP58">
        <v>5.7999999999999996E-3</v>
      </c>
      <c r="AQ58">
        <v>5.7000000000000002E-3</v>
      </c>
      <c r="AR58">
        <v>5.7999999999999996E-3</v>
      </c>
      <c r="AS58">
        <v>5.5999999999999999E-3</v>
      </c>
      <c r="AT58">
        <v>5.1999999999999998E-3</v>
      </c>
      <c r="AU58">
        <v>5.1999999999999998E-3</v>
      </c>
      <c r="AV58">
        <v>5.3E-3</v>
      </c>
      <c r="AW58">
        <v>5.4999999999999997E-3</v>
      </c>
      <c r="AX58">
        <v>5.1999999999999998E-3</v>
      </c>
      <c r="AY58">
        <v>5.3E-3</v>
      </c>
      <c r="AZ58">
        <v>5.3E-3</v>
      </c>
      <c r="BA58">
        <v>5.4000000000000003E-3</v>
      </c>
      <c r="BB58">
        <v>5.5999999999999999E-3</v>
      </c>
      <c r="BC58">
        <v>5.7000000000000002E-3</v>
      </c>
      <c r="BD58">
        <v>6.0000000000000001E-3</v>
      </c>
      <c r="BE58">
        <v>6.0000000000000001E-3</v>
      </c>
      <c r="BF58">
        <v>5.5999999999999999E-3</v>
      </c>
      <c r="BG58">
        <v>5.3E-3</v>
      </c>
      <c r="BH58">
        <v>5.4000000000000003E-3</v>
      </c>
      <c r="BI58">
        <v>5.4999999999999997E-3</v>
      </c>
      <c r="BJ58">
        <v>5.4000000000000003E-3</v>
      </c>
      <c r="BK58">
        <v>5.3E-3</v>
      </c>
      <c r="BL58">
        <v>5.5999999999999999E-3</v>
      </c>
      <c r="BM58">
        <v>5.4999999999999997E-3</v>
      </c>
      <c r="BN58">
        <v>5.4000000000000003E-3</v>
      </c>
      <c r="BO58">
        <v>5.0000000000000001E-3</v>
      </c>
      <c r="BP58">
        <v>5.0000000000000001E-3</v>
      </c>
      <c r="BQ58">
        <v>5.0000000000000001E-3</v>
      </c>
      <c r="BR58">
        <v>5.0000000000000001E-3</v>
      </c>
      <c r="BS58">
        <v>4.5999999999999999E-3</v>
      </c>
      <c r="BT58">
        <v>4.1999999999999997E-3</v>
      </c>
      <c r="BU58">
        <v>4.1000000000000003E-3</v>
      </c>
      <c r="BV58">
        <v>3.7000000000000002E-3</v>
      </c>
      <c r="BW58">
        <v>4.0000000000000001E-3</v>
      </c>
      <c r="BX58">
        <v>3.3E-3</v>
      </c>
      <c r="BY58">
        <v>3.3E-3</v>
      </c>
      <c r="BZ58">
        <v>3.5000000000000001E-3</v>
      </c>
      <c r="CA58">
        <v>3.0999999999999999E-3</v>
      </c>
      <c r="CB58">
        <v>2.8E-3</v>
      </c>
      <c r="CC58">
        <v>1.5E-3</v>
      </c>
      <c r="CD58">
        <v>1.1999999999999999E-3</v>
      </c>
      <c r="CE58">
        <v>1.2999999999999999E-3</v>
      </c>
      <c r="CF58">
        <v>8.0000000000000004E-4</v>
      </c>
      <c r="CG58">
        <v>1.1000000000000001E-3</v>
      </c>
      <c r="CH58">
        <v>5.0000000000000001E-4</v>
      </c>
      <c r="CI58">
        <v>-8.0000000000000004E-4</v>
      </c>
      <c r="CJ58">
        <v>-2.0999999999999999E-3</v>
      </c>
      <c r="CK58">
        <v>-2.7000000000000001E-3</v>
      </c>
      <c r="CL58">
        <v>-4.0000000000000001E-3</v>
      </c>
      <c r="CM58">
        <v>-4.4000000000000003E-3</v>
      </c>
      <c r="CN58">
        <v>-4.1999999999999997E-3</v>
      </c>
      <c r="CO58">
        <v>-5.4000000000000003E-3</v>
      </c>
      <c r="CP58">
        <v>-6.7999999999999996E-3</v>
      </c>
      <c r="CQ58">
        <v>-6.1999999999999998E-3</v>
      </c>
      <c r="CR58">
        <v>-7.4000000000000003E-3</v>
      </c>
      <c r="CS58">
        <v>-6.4999999999999997E-3</v>
      </c>
      <c r="CT58">
        <v>-7.7000000000000002E-3</v>
      </c>
      <c r="CU58">
        <v>-9.7000000000000003E-3</v>
      </c>
      <c r="CV58">
        <v>-9.4000000000000004E-3</v>
      </c>
    </row>
    <row r="61" spans="1:100" x14ac:dyDescent="0.2">
      <c r="A61" t="s">
        <v>5909</v>
      </c>
      <c r="B61">
        <v>-0.28699999999999998</v>
      </c>
      <c r="C61">
        <v>0.1007</v>
      </c>
      <c r="D61">
        <v>0.44990000000000002</v>
      </c>
      <c r="E61">
        <v>-0.1615</v>
      </c>
      <c r="F61">
        <v>0.625</v>
      </c>
      <c r="G61">
        <v>9.8500000000000004E-2</v>
      </c>
      <c r="H61">
        <v>0.29210000000000003</v>
      </c>
      <c r="I61">
        <v>0.20669999999999999</v>
      </c>
      <c r="J61">
        <v>6.4600000000000005E-2</v>
      </c>
      <c r="K61">
        <v>0.32919999999999999</v>
      </c>
      <c r="L61">
        <v>0.25340000000000001</v>
      </c>
      <c r="M61">
        <v>-5.3900000000000003E-2</v>
      </c>
      <c r="N61">
        <v>1.83E-2</v>
      </c>
      <c r="O61">
        <v>2.2599999999999999E-2</v>
      </c>
      <c r="P61">
        <v>6.0699999999999997E-2</v>
      </c>
      <c r="Q61">
        <v>6.0900000000000003E-2</v>
      </c>
      <c r="R61">
        <v>3.8999999999999998E-3</v>
      </c>
      <c r="S61">
        <v>-2.18E-2</v>
      </c>
      <c r="T61">
        <v>-5.0099999999999999E-2</v>
      </c>
      <c r="U61">
        <v>-5.0599999999999999E-2</v>
      </c>
      <c r="V61">
        <v>-4.2900000000000001E-2</v>
      </c>
      <c r="W61">
        <v>-8.0500000000000002E-2</v>
      </c>
      <c r="X61">
        <v>-7.4499999999999997E-2</v>
      </c>
      <c r="Y61">
        <v>-6.8699999999999997E-2</v>
      </c>
      <c r="Z61">
        <v>-6.3899999999999998E-2</v>
      </c>
      <c r="AA61">
        <v>-6.1499999999999999E-2</v>
      </c>
      <c r="AB61">
        <v>-5.3199999999999997E-2</v>
      </c>
      <c r="AC61">
        <v>-4.5999999999999999E-2</v>
      </c>
      <c r="AD61">
        <v>-4.6399999999999997E-2</v>
      </c>
      <c r="AE61">
        <v>-4.7899999999999998E-2</v>
      </c>
      <c r="AF61">
        <v>-4.7E-2</v>
      </c>
      <c r="AG61">
        <v>-4.2299999999999997E-2</v>
      </c>
      <c r="AH61">
        <v>-3.8800000000000001E-2</v>
      </c>
      <c r="AI61">
        <v>-3.7400000000000003E-2</v>
      </c>
      <c r="AJ61">
        <v>-1.95E-2</v>
      </c>
      <c r="AK61">
        <v>-1.2E-2</v>
      </c>
      <c r="AL61">
        <v>-2.0500000000000001E-2</v>
      </c>
      <c r="AM61">
        <v>-3.78E-2</v>
      </c>
      <c r="AN61">
        <v>-5.0700000000000002E-2</v>
      </c>
      <c r="AO61">
        <v>-6.4199999999999993E-2</v>
      </c>
      <c r="AP61">
        <v>-6.8699999999999997E-2</v>
      </c>
      <c r="AQ61">
        <v>-8.3500000000000005E-2</v>
      </c>
      <c r="AR61">
        <v>-8.6699999999999999E-2</v>
      </c>
      <c r="AS61">
        <v>-8.72E-2</v>
      </c>
      <c r="AT61">
        <v>-8.7999999999999995E-2</v>
      </c>
      <c r="AU61">
        <v>-8.2299999999999998E-2</v>
      </c>
      <c r="AV61">
        <v>-7.9500000000000001E-2</v>
      </c>
      <c r="AW61">
        <v>-9.0999999999999998E-2</v>
      </c>
      <c r="AX61">
        <v>-8.8800000000000004E-2</v>
      </c>
      <c r="AY61">
        <v>-0.1014</v>
      </c>
      <c r="AZ61">
        <v>-0.1042</v>
      </c>
      <c r="BA61">
        <v>-0.1328</v>
      </c>
      <c r="BB61">
        <v>-0.1643</v>
      </c>
      <c r="BC61">
        <v>-0.1847</v>
      </c>
      <c r="BD61">
        <v>-0.1651</v>
      </c>
      <c r="BE61">
        <v>-0.16869999999999999</v>
      </c>
      <c r="BF61">
        <v>-0.15190000000000001</v>
      </c>
      <c r="BG61">
        <v>-0.12820000000000001</v>
      </c>
      <c r="BH61">
        <v>-0.1179</v>
      </c>
      <c r="BI61">
        <v>-9.6799999999999997E-2</v>
      </c>
      <c r="BJ61">
        <v>-9.1200000000000003E-2</v>
      </c>
      <c r="BK61">
        <v>-0.1202</v>
      </c>
      <c r="BL61">
        <v>-0.15640000000000001</v>
      </c>
      <c r="BM61">
        <v>-0.20230000000000001</v>
      </c>
      <c r="BN61">
        <v>-0.2369</v>
      </c>
      <c r="BO61">
        <v>-0.25259999999999999</v>
      </c>
      <c r="BP61">
        <v>-0.2487</v>
      </c>
      <c r="BQ61">
        <v>-0.2596</v>
      </c>
      <c r="BR61">
        <v>-0.26640000000000003</v>
      </c>
      <c r="BS61">
        <v>-0.2329</v>
      </c>
      <c r="BT61">
        <v>-0.15890000000000001</v>
      </c>
      <c r="BU61">
        <v>-0.13320000000000001</v>
      </c>
      <c r="BV61">
        <v>-0.16239999999999999</v>
      </c>
      <c r="BW61">
        <v>-0.22120000000000001</v>
      </c>
      <c r="BX61">
        <v>-0.2394</v>
      </c>
      <c r="BY61">
        <v>-0.25519999999999998</v>
      </c>
      <c r="BZ61">
        <v>-0.22969999999999999</v>
      </c>
      <c r="CA61">
        <v>-0.27439999999999998</v>
      </c>
      <c r="CB61">
        <v>-0.33160000000000001</v>
      </c>
      <c r="CC61">
        <v>-0.38030000000000003</v>
      </c>
      <c r="CD61">
        <v>-0.42630000000000001</v>
      </c>
      <c r="CE61">
        <v>-0.3931</v>
      </c>
      <c r="CF61">
        <v>-0.2576</v>
      </c>
      <c r="CG61">
        <v>-0.1711</v>
      </c>
      <c r="CH61">
        <v>-0.18759999999999999</v>
      </c>
      <c r="CI61">
        <v>-0.45190000000000002</v>
      </c>
      <c r="CJ61">
        <v>-0.4753</v>
      </c>
      <c r="CK61">
        <v>-0.46300000000000002</v>
      </c>
      <c r="CL61">
        <v>-0.41620000000000001</v>
      </c>
      <c r="CM61">
        <v>-0.42230000000000001</v>
      </c>
      <c r="CN61">
        <v>-0.41959999999999997</v>
      </c>
      <c r="CO61">
        <v>-0.56410000000000005</v>
      </c>
      <c r="CP61">
        <v>-0.5111</v>
      </c>
      <c r="CQ61">
        <v>-0.40670000000000001</v>
      </c>
      <c r="CR61">
        <v>-0.5081</v>
      </c>
      <c r="CS61">
        <v>-0.33689999999999998</v>
      </c>
      <c r="CT61">
        <v>-0.55589999999999995</v>
      </c>
      <c r="CU61">
        <v>-0.43730000000000002</v>
      </c>
      <c r="CV61">
        <v>-0.41170000000000001</v>
      </c>
    </row>
    <row r="62" spans="1:100" x14ac:dyDescent="0.2">
      <c r="A62" t="s">
        <v>5910</v>
      </c>
      <c r="B62">
        <v>0.33279999999999998</v>
      </c>
      <c r="C62">
        <v>0.76919999999999999</v>
      </c>
      <c r="D62">
        <v>1.0487</v>
      </c>
      <c r="E62">
        <v>0.22090000000000001</v>
      </c>
      <c r="F62">
        <v>1.0943000000000001</v>
      </c>
      <c r="G62">
        <v>0.4476</v>
      </c>
      <c r="H62">
        <v>0.63780000000000003</v>
      </c>
      <c r="I62">
        <v>0.50539999999999996</v>
      </c>
      <c r="J62">
        <v>0.32400000000000001</v>
      </c>
      <c r="K62">
        <v>0.57089999999999996</v>
      </c>
      <c r="L62">
        <v>0.46820000000000001</v>
      </c>
      <c r="M62">
        <v>9.5799999999999996E-2</v>
      </c>
      <c r="N62">
        <v>0.15939999999999999</v>
      </c>
      <c r="O62">
        <v>0.14549999999999999</v>
      </c>
      <c r="P62">
        <v>0.16639999999999999</v>
      </c>
      <c r="Q62">
        <v>0.15540000000000001</v>
      </c>
      <c r="R62">
        <v>8.5800000000000001E-2</v>
      </c>
      <c r="S62">
        <v>5.4600000000000003E-2</v>
      </c>
      <c r="T62">
        <v>1.7999999999999999E-2</v>
      </c>
      <c r="U62">
        <v>1.52E-2</v>
      </c>
      <c r="V62">
        <v>2.0799999999999999E-2</v>
      </c>
      <c r="W62">
        <v>-2.2100000000000002E-2</v>
      </c>
      <c r="X62">
        <v>-1.6299999999999999E-2</v>
      </c>
      <c r="Y62">
        <v>-1.11E-2</v>
      </c>
      <c r="Z62">
        <v>-7.1999999999999998E-3</v>
      </c>
      <c r="AA62">
        <v>-5.7999999999999996E-3</v>
      </c>
      <c r="AB62">
        <v>2E-3</v>
      </c>
      <c r="AC62">
        <v>9.2999999999999992E-3</v>
      </c>
      <c r="AD62">
        <v>9.1000000000000004E-3</v>
      </c>
      <c r="AE62">
        <v>8.3000000000000001E-3</v>
      </c>
      <c r="AF62">
        <v>1.0999999999999999E-2</v>
      </c>
      <c r="AG62">
        <v>1.6500000000000001E-2</v>
      </c>
      <c r="AH62">
        <v>2.0899999999999998E-2</v>
      </c>
      <c r="AI62">
        <v>2.46E-2</v>
      </c>
      <c r="AJ62">
        <v>4.5400000000000003E-2</v>
      </c>
      <c r="AK62">
        <v>5.28E-2</v>
      </c>
      <c r="AL62">
        <v>4.4900000000000002E-2</v>
      </c>
      <c r="AM62">
        <v>2.7900000000000001E-2</v>
      </c>
      <c r="AN62">
        <v>1.5100000000000001E-2</v>
      </c>
      <c r="AO62">
        <v>1.9E-3</v>
      </c>
      <c r="AP62">
        <v>-2.3E-3</v>
      </c>
      <c r="AQ62">
        <v>-1.6899999999999998E-2</v>
      </c>
      <c r="AR62">
        <v>-2.0299999999999999E-2</v>
      </c>
      <c r="AS62">
        <v>-2.0899999999999998E-2</v>
      </c>
      <c r="AT62">
        <v>-2.24E-2</v>
      </c>
      <c r="AU62">
        <v>-1.6899999999999998E-2</v>
      </c>
      <c r="AV62">
        <v>-1.4200000000000001E-2</v>
      </c>
      <c r="AW62">
        <v>-2.5600000000000001E-2</v>
      </c>
      <c r="AX62">
        <v>-2.3099999999999999E-2</v>
      </c>
      <c r="AY62">
        <v>-3.4599999999999999E-2</v>
      </c>
      <c r="AZ62">
        <v>-3.5900000000000001E-2</v>
      </c>
      <c r="BA62">
        <v>-6.3600000000000004E-2</v>
      </c>
      <c r="BB62">
        <v>-9.4299999999999995E-2</v>
      </c>
      <c r="BC62">
        <v>-0.1132</v>
      </c>
      <c r="BD62">
        <v>-9.1200000000000003E-2</v>
      </c>
      <c r="BE62">
        <v>-9.6299999999999997E-2</v>
      </c>
      <c r="BF62">
        <v>-7.8700000000000006E-2</v>
      </c>
      <c r="BG62">
        <v>-5.4199999999999998E-2</v>
      </c>
      <c r="BH62">
        <v>-4.3900000000000002E-2</v>
      </c>
      <c r="BI62">
        <v>-2.1499999999999998E-2</v>
      </c>
      <c r="BJ62">
        <v>-1.6400000000000001E-2</v>
      </c>
      <c r="BK62">
        <v>-4.5400000000000003E-2</v>
      </c>
      <c r="BL62">
        <v>-8.1600000000000006E-2</v>
      </c>
      <c r="BM62">
        <v>-0.1295</v>
      </c>
      <c r="BN62">
        <v>-0.16470000000000001</v>
      </c>
      <c r="BO62">
        <v>-0.18</v>
      </c>
      <c r="BP62">
        <v>-0.17910000000000001</v>
      </c>
      <c r="BQ62">
        <v>-0.19040000000000001</v>
      </c>
      <c r="BR62">
        <v>-0.1986</v>
      </c>
      <c r="BS62">
        <v>-0.1598</v>
      </c>
      <c r="BT62">
        <v>-7.3499999999999996E-2</v>
      </c>
      <c r="BU62">
        <v>-4.2599999999999999E-2</v>
      </c>
      <c r="BV62">
        <v>-7.0900000000000005E-2</v>
      </c>
      <c r="BW62">
        <v>-0.13200000000000001</v>
      </c>
      <c r="BX62">
        <v>-0.15229999999999999</v>
      </c>
      <c r="BY62">
        <v>-0.16839999999999999</v>
      </c>
      <c r="BZ62">
        <v>-0.14169999999999999</v>
      </c>
      <c r="CA62">
        <v>-0.18459999999999999</v>
      </c>
      <c r="CB62">
        <v>-0.2407</v>
      </c>
      <c r="CC62">
        <v>-0.28739999999999999</v>
      </c>
      <c r="CD62">
        <v>-0.33250000000000002</v>
      </c>
      <c r="CE62">
        <v>-0.30109999999999998</v>
      </c>
      <c r="CF62">
        <v>-0.16800000000000001</v>
      </c>
      <c r="CG62">
        <v>-7.6200000000000004E-2</v>
      </c>
      <c r="CH62">
        <v>-8.4599999999999995E-2</v>
      </c>
      <c r="CI62">
        <v>-0.34810000000000002</v>
      </c>
      <c r="CJ62">
        <v>-0.3755</v>
      </c>
      <c r="CK62">
        <v>-0.36630000000000001</v>
      </c>
      <c r="CL62">
        <v>-0.30120000000000002</v>
      </c>
      <c r="CM62">
        <v>-0.30370000000000003</v>
      </c>
      <c r="CN62">
        <v>-0.30809999999999998</v>
      </c>
      <c r="CO62">
        <v>-0.44290000000000002</v>
      </c>
      <c r="CP62">
        <v>-0.34939999999999999</v>
      </c>
      <c r="CQ62">
        <v>-0.23960000000000001</v>
      </c>
      <c r="CR62">
        <v>-0.31869999999999998</v>
      </c>
      <c r="CS62">
        <v>-0.15210000000000001</v>
      </c>
      <c r="CT62">
        <v>-0.34560000000000002</v>
      </c>
      <c r="CU62">
        <v>-0.1198</v>
      </c>
      <c r="CV62">
        <v>-0.19259999999999999</v>
      </c>
    </row>
    <row r="63" spans="1:100" x14ac:dyDescent="0.2">
      <c r="A63" t="s">
        <v>5911</v>
      </c>
      <c r="B63">
        <v>-0.23519999999999999</v>
      </c>
      <c r="C63">
        <v>-0.2084</v>
      </c>
      <c r="D63">
        <v>-0.1953</v>
      </c>
      <c r="E63">
        <v>-0.32390000000000002</v>
      </c>
      <c r="F63">
        <v>-9.7500000000000003E-2</v>
      </c>
      <c r="G63">
        <v>-0.25330000000000003</v>
      </c>
      <c r="H63">
        <v>-0.1515</v>
      </c>
      <c r="I63">
        <v>-0.1338</v>
      </c>
      <c r="J63">
        <v>-0.16239999999999999</v>
      </c>
      <c r="K63">
        <v>-3.5200000000000002E-2</v>
      </c>
      <c r="L63">
        <v>-4.0000000000000001E-3</v>
      </c>
      <c r="M63">
        <v>-0.1106</v>
      </c>
      <c r="N63">
        <v>-4.6699999999999998E-2</v>
      </c>
      <c r="O63">
        <v>-3.5799999999999998E-2</v>
      </c>
      <c r="P63">
        <v>-1.7899999999999999E-2</v>
      </c>
      <c r="Q63">
        <v>-1.55E-2</v>
      </c>
      <c r="R63">
        <v>-4.2799999999999998E-2</v>
      </c>
      <c r="S63">
        <v>-4.5499999999999999E-2</v>
      </c>
      <c r="T63">
        <v>-4.9500000000000002E-2</v>
      </c>
      <c r="U63">
        <v>-3.61E-2</v>
      </c>
      <c r="V63">
        <v>-2.9600000000000001E-2</v>
      </c>
      <c r="W63">
        <v>-5.4699999999999999E-2</v>
      </c>
      <c r="X63">
        <v>-5.5899999999999998E-2</v>
      </c>
      <c r="Y63">
        <v>-4.3700000000000003E-2</v>
      </c>
      <c r="Z63">
        <v>-3.5000000000000003E-2</v>
      </c>
      <c r="AA63">
        <v>-2.8299999999999999E-2</v>
      </c>
      <c r="AB63">
        <v>-2.24E-2</v>
      </c>
      <c r="AC63">
        <v>-1.78E-2</v>
      </c>
      <c r="AD63">
        <v>-1.4200000000000001E-2</v>
      </c>
      <c r="AE63">
        <v>-8.3000000000000001E-3</v>
      </c>
      <c r="AF63">
        <v>6.4000000000000003E-3</v>
      </c>
      <c r="AG63">
        <v>1.21E-2</v>
      </c>
      <c r="AH63">
        <v>2.23E-2</v>
      </c>
      <c r="AI63">
        <v>3.1099999999999999E-2</v>
      </c>
      <c r="AJ63">
        <v>4.5400000000000003E-2</v>
      </c>
      <c r="AK63">
        <v>4.5199999999999997E-2</v>
      </c>
      <c r="AL63">
        <v>4.7399999999999998E-2</v>
      </c>
      <c r="AM63">
        <v>3.9899999999999998E-2</v>
      </c>
      <c r="AN63">
        <v>4.0399999999999998E-2</v>
      </c>
      <c r="AO63">
        <v>3.85E-2</v>
      </c>
      <c r="AP63">
        <v>3.8399999999999997E-2</v>
      </c>
      <c r="AQ63">
        <v>2.1000000000000001E-2</v>
      </c>
      <c r="AR63">
        <v>2.1499999999999998E-2</v>
      </c>
      <c r="AS63">
        <v>2.0799999999999999E-2</v>
      </c>
      <c r="AT63">
        <v>2.6800000000000001E-2</v>
      </c>
      <c r="AU63">
        <v>2.5000000000000001E-2</v>
      </c>
      <c r="AV63">
        <v>2.1600000000000001E-2</v>
      </c>
      <c r="AW63">
        <v>1.1599999999999999E-2</v>
      </c>
      <c r="AX63">
        <v>1.7399999999999999E-2</v>
      </c>
      <c r="AY63">
        <v>9.9000000000000008E-3</v>
      </c>
      <c r="AZ63">
        <v>1.9199999999999998E-2</v>
      </c>
      <c r="BA63">
        <v>-5.8999999999999999E-3</v>
      </c>
      <c r="BB63">
        <v>-2.64E-2</v>
      </c>
      <c r="BC63">
        <v>-2.7900000000000001E-2</v>
      </c>
      <c r="BD63">
        <v>-1.54E-2</v>
      </c>
      <c r="BE63">
        <v>-6.1999999999999998E-3</v>
      </c>
      <c r="BF63">
        <v>1.01E-2</v>
      </c>
      <c r="BG63">
        <v>3.2599999999999997E-2</v>
      </c>
      <c r="BH63">
        <v>3.3599999999999998E-2</v>
      </c>
      <c r="BI63">
        <v>4.7300000000000002E-2</v>
      </c>
      <c r="BJ63">
        <v>5.3900000000000003E-2</v>
      </c>
      <c r="BK63">
        <v>4.48E-2</v>
      </c>
      <c r="BL63">
        <v>0</v>
      </c>
      <c r="BM63">
        <v>-4.2299999999999997E-2</v>
      </c>
      <c r="BN63">
        <v>-6.9500000000000006E-2</v>
      </c>
      <c r="BO63">
        <v>-7.9000000000000001E-2</v>
      </c>
      <c r="BP63">
        <v>-7.8399999999999997E-2</v>
      </c>
      <c r="BQ63">
        <v>-8.5400000000000004E-2</v>
      </c>
      <c r="BR63">
        <v>-9.2600000000000002E-2</v>
      </c>
      <c r="BS63">
        <v>-4.48E-2</v>
      </c>
      <c r="BT63">
        <v>5.5800000000000002E-2</v>
      </c>
      <c r="BU63">
        <v>9.0999999999999998E-2</v>
      </c>
      <c r="BV63">
        <v>6.4799999999999996E-2</v>
      </c>
      <c r="BW63">
        <v>2.6599999999999999E-2</v>
      </c>
      <c r="BX63">
        <v>5.1000000000000004E-3</v>
      </c>
      <c r="BY63">
        <v>-1.4500000000000001E-2</v>
      </c>
      <c r="BZ63">
        <v>1.83E-2</v>
      </c>
      <c r="CA63">
        <v>-1.2500000000000001E-2</v>
      </c>
      <c r="CB63">
        <v>-6.7599999999999993E-2</v>
      </c>
      <c r="CC63">
        <v>-8.9700000000000002E-2</v>
      </c>
      <c r="CD63">
        <v>-0.12529999999999999</v>
      </c>
      <c r="CE63">
        <v>-9.9599999999999994E-2</v>
      </c>
      <c r="CF63">
        <v>2.07E-2</v>
      </c>
      <c r="CG63">
        <v>9.9699999999999997E-2</v>
      </c>
      <c r="CH63">
        <v>0.1241</v>
      </c>
      <c r="CI63">
        <v>-0.10979999999999999</v>
      </c>
      <c r="CJ63">
        <v>-0.152</v>
      </c>
      <c r="CK63">
        <v>-0.15429999999999999</v>
      </c>
      <c r="CL63">
        <v>-6.4500000000000002E-2</v>
      </c>
      <c r="CM63">
        <v>-6.6299999999999998E-2</v>
      </c>
      <c r="CN63">
        <v>-9.1899999999999996E-2</v>
      </c>
      <c r="CO63">
        <v>-0.20930000000000001</v>
      </c>
      <c r="CP63">
        <v>-8.9300000000000004E-2</v>
      </c>
      <c r="CQ63">
        <v>-2.5999999999999999E-3</v>
      </c>
      <c r="CR63">
        <v>-8.6400000000000005E-2</v>
      </c>
      <c r="CS63">
        <v>-2.9999999999999997E-4</v>
      </c>
      <c r="CT63">
        <v>-0.23430000000000001</v>
      </c>
      <c r="CU63">
        <v>-6.88E-2</v>
      </c>
      <c r="CV63">
        <v>-0.15890000000000001</v>
      </c>
    </row>
    <row r="64" spans="1:100" x14ac:dyDescent="0.2">
      <c r="A64" t="s">
        <v>5912</v>
      </c>
      <c r="B64">
        <v>6.1000000000000004E-3</v>
      </c>
      <c r="C64">
        <v>4.8300000000000003E-2</v>
      </c>
      <c r="D64">
        <v>5.4300000000000001E-2</v>
      </c>
      <c r="E64">
        <v>-0.15010000000000001</v>
      </c>
      <c r="F64">
        <v>0.1016</v>
      </c>
      <c r="G64">
        <v>-8.6300000000000002E-2</v>
      </c>
      <c r="H64">
        <v>1.6500000000000001E-2</v>
      </c>
      <c r="I64">
        <v>3.7999999999999999E-2</v>
      </c>
      <c r="J64">
        <v>-1.2E-2</v>
      </c>
      <c r="K64">
        <v>0.1072</v>
      </c>
      <c r="L64">
        <v>0.12529999999999999</v>
      </c>
      <c r="M64">
        <v>-1.9800000000000002E-2</v>
      </c>
      <c r="N64">
        <v>0.04</v>
      </c>
      <c r="O64">
        <v>4.0800000000000003E-2</v>
      </c>
      <c r="P64">
        <v>4.8599999999999997E-2</v>
      </c>
      <c r="Q64">
        <v>4.4900000000000002E-2</v>
      </c>
      <c r="R64">
        <v>1.0699999999999999E-2</v>
      </c>
      <c r="S64">
        <v>5.0000000000000001E-3</v>
      </c>
      <c r="T64">
        <v>-3.5000000000000001E-3</v>
      </c>
      <c r="U64">
        <v>9.4999999999999998E-3</v>
      </c>
      <c r="V64">
        <v>1.4800000000000001E-2</v>
      </c>
      <c r="W64">
        <v>-1.34E-2</v>
      </c>
      <c r="X64">
        <v>-1.4800000000000001E-2</v>
      </c>
      <c r="Y64">
        <v>-2.5999999999999999E-3</v>
      </c>
      <c r="Z64">
        <v>5.8999999999999999E-3</v>
      </c>
      <c r="AA64">
        <v>1.21E-2</v>
      </c>
      <c r="AB64">
        <v>1.7999999999999999E-2</v>
      </c>
      <c r="AC64">
        <v>2.3E-2</v>
      </c>
      <c r="AD64">
        <v>2.6700000000000002E-2</v>
      </c>
      <c r="AE64">
        <v>3.3099999999999997E-2</v>
      </c>
      <c r="AF64">
        <v>4.9299999999999997E-2</v>
      </c>
      <c r="AG64">
        <v>5.5800000000000002E-2</v>
      </c>
      <c r="AH64">
        <v>6.6500000000000004E-2</v>
      </c>
      <c r="AI64">
        <v>7.7200000000000005E-2</v>
      </c>
      <c r="AJ64">
        <v>9.3600000000000003E-2</v>
      </c>
      <c r="AK64">
        <v>9.4299999999999995E-2</v>
      </c>
      <c r="AL64">
        <v>9.7000000000000003E-2</v>
      </c>
      <c r="AM64">
        <v>9.01E-2</v>
      </c>
      <c r="AN64">
        <v>9.0899999999999995E-2</v>
      </c>
      <c r="AO64">
        <v>8.9300000000000004E-2</v>
      </c>
      <c r="AP64">
        <v>8.9099999999999999E-2</v>
      </c>
      <c r="AQ64">
        <v>7.1900000000000006E-2</v>
      </c>
      <c r="AR64">
        <v>7.22E-2</v>
      </c>
      <c r="AS64">
        <v>7.1400000000000005E-2</v>
      </c>
      <c r="AT64">
        <v>7.6899999999999996E-2</v>
      </c>
      <c r="AU64">
        <v>7.4999999999999997E-2</v>
      </c>
      <c r="AV64">
        <v>7.1499999999999994E-2</v>
      </c>
      <c r="AW64">
        <v>6.1699999999999998E-2</v>
      </c>
      <c r="AX64">
        <v>6.7599999999999993E-2</v>
      </c>
      <c r="AY64">
        <v>6.08E-2</v>
      </c>
      <c r="AZ64">
        <v>7.0999999999999994E-2</v>
      </c>
      <c r="BA64">
        <v>4.6800000000000001E-2</v>
      </c>
      <c r="BB64">
        <v>2.6700000000000002E-2</v>
      </c>
      <c r="BC64">
        <v>2.6499999999999999E-2</v>
      </c>
      <c r="BD64">
        <v>4.07E-2</v>
      </c>
      <c r="BE64">
        <v>4.9399999999999999E-2</v>
      </c>
      <c r="BF64">
        <v>6.6199999999999995E-2</v>
      </c>
      <c r="BG64">
        <v>8.9300000000000004E-2</v>
      </c>
      <c r="BH64">
        <v>9.01E-2</v>
      </c>
      <c r="BI64">
        <v>0.10440000000000001</v>
      </c>
      <c r="BJ64">
        <v>0.1114</v>
      </c>
      <c r="BK64">
        <v>0.1026</v>
      </c>
      <c r="BL64">
        <v>5.8099999999999999E-2</v>
      </c>
      <c r="BM64">
        <v>1.4999999999999999E-2</v>
      </c>
      <c r="BN64">
        <v>-1.2500000000000001E-2</v>
      </c>
      <c r="BO64">
        <v>-2.1399999999999999E-2</v>
      </c>
      <c r="BP64">
        <v>-2.1999999999999999E-2</v>
      </c>
      <c r="BQ64">
        <v>-2.92E-2</v>
      </c>
      <c r="BR64">
        <v>-3.6600000000000001E-2</v>
      </c>
      <c r="BS64">
        <v>1.52E-2</v>
      </c>
      <c r="BT64">
        <v>0.1246</v>
      </c>
      <c r="BU64">
        <v>0.16520000000000001</v>
      </c>
      <c r="BV64">
        <v>0.1394</v>
      </c>
      <c r="BW64">
        <v>9.9400000000000002E-2</v>
      </c>
      <c r="BX64">
        <v>7.6499999999999999E-2</v>
      </c>
      <c r="BY64">
        <v>5.6399999999999999E-2</v>
      </c>
      <c r="BZ64">
        <v>9.0800000000000006E-2</v>
      </c>
      <c r="CA64">
        <v>6.2300000000000001E-2</v>
      </c>
      <c r="CB64">
        <v>8.8000000000000005E-3</v>
      </c>
      <c r="CC64">
        <v>-1.1299999999999999E-2</v>
      </c>
      <c r="CD64">
        <v>-4.6399999999999997E-2</v>
      </c>
      <c r="CE64">
        <v>-2.2200000000000001E-2</v>
      </c>
      <c r="CF64">
        <v>0.10199999999999999</v>
      </c>
      <c r="CG64">
        <v>0.1875</v>
      </c>
      <c r="CH64">
        <v>0.21859999999999999</v>
      </c>
      <c r="CI64">
        <v>-1.2800000000000001E-2</v>
      </c>
      <c r="CJ64">
        <v>-5.8900000000000001E-2</v>
      </c>
      <c r="CK64">
        <v>-6.6400000000000001E-2</v>
      </c>
      <c r="CL64">
        <v>3.6700000000000003E-2</v>
      </c>
      <c r="CM64">
        <v>3.6200000000000003E-2</v>
      </c>
      <c r="CN64">
        <v>3.5000000000000001E-3</v>
      </c>
      <c r="CO64">
        <v>-0.1065</v>
      </c>
      <c r="CP64">
        <v>4.1399999999999999E-2</v>
      </c>
      <c r="CQ64">
        <v>0.12570000000000001</v>
      </c>
      <c r="CR64">
        <v>5.7000000000000002E-2</v>
      </c>
      <c r="CS64">
        <v>0.13320000000000001</v>
      </c>
      <c r="CT64">
        <v>-9.0800000000000006E-2</v>
      </c>
      <c r="CU64">
        <v>0.1192</v>
      </c>
      <c r="CV64">
        <v>3.7199999999999997E-2</v>
      </c>
    </row>
    <row r="65" spans="1:100" x14ac:dyDescent="0.2">
      <c r="A65" t="s">
        <v>5913</v>
      </c>
      <c r="B65">
        <v>5.33E-2</v>
      </c>
      <c r="C65">
        <v>4.2099999999999999E-2</v>
      </c>
      <c r="D65">
        <v>1.3899999999999999E-2</v>
      </c>
      <c r="E65">
        <v>4.3900000000000002E-2</v>
      </c>
      <c r="F65">
        <v>-2.81E-2</v>
      </c>
      <c r="G65">
        <v>1.5900000000000001E-2</v>
      </c>
      <c r="H65">
        <v>-6.1000000000000004E-3</v>
      </c>
      <c r="I65">
        <v>-1.03E-2</v>
      </c>
      <c r="J65">
        <v>-3.0999999999999999E-3</v>
      </c>
      <c r="K65">
        <v>-2.87E-2</v>
      </c>
      <c r="L65">
        <v>-2.46E-2</v>
      </c>
      <c r="M65">
        <v>4.0000000000000002E-4</v>
      </c>
      <c r="N65">
        <v>-7.4999999999999997E-3</v>
      </c>
      <c r="O65">
        <v>-8.9999999999999993E-3</v>
      </c>
      <c r="P65">
        <v>-1.0699999999999999E-2</v>
      </c>
      <c r="Q65">
        <v>-9.7000000000000003E-3</v>
      </c>
      <c r="R65">
        <v>-3.5000000000000001E-3</v>
      </c>
      <c r="S65">
        <v>-2.8999999999999998E-3</v>
      </c>
      <c r="T65">
        <v>2.0000000000000001E-4</v>
      </c>
      <c r="U65">
        <v>-1.1000000000000001E-3</v>
      </c>
      <c r="V65">
        <v>-5.0000000000000001E-4</v>
      </c>
      <c r="W65">
        <v>4.3E-3</v>
      </c>
      <c r="X65">
        <v>3.8999999999999998E-3</v>
      </c>
      <c r="Y65">
        <v>4.3E-3</v>
      </c>
      <c r="Z65">
        <v>3.5999999999999999E-3</v>
      </c>
      <c r="AA65">
        <v>4.3E-3</v>
      </c>
      <c r="AB65">
        <v>4.5999999999999999E-3</v>
      </c>
      <c r="AC65">
        <v>4.0000000000000001E-3</v>
      </c>
      <c r="AD65">
        <v>3.7000000000000002E-3</v>
      </c>
      <c r="AE65">
        <v>3.0999999999999999E-3</v>
      </c>
      <c r="AF65">
        <v>3.2000000000000002E-3</v>
      </c>
      <c r="AG65">
        <v>2.8999999999999998E-3</v>
      </c>
      <c r="AH65">
        <v>1.9E-3</v>
      </c>
      <c r="AI65">
        <v>-2.9999999999999997E-4</v>
      </c>
      <c r="AJ65">
        <v>-3.2000000000000002E-3</v>
      </c>
      <c r="AK65">
        <v>-2.7000000000000001E-3</v>
      </c>
      <c r="AL65">
        <v>-2.2000000000000001E-3</v>
      </c>
      <c r="AM65">
        <v>-6.9999999999999999E-4</v>
      </c>
      <c r="AN65">
        <v>1.1000000000000001E-3</v>
      </c>
      <c r="AO65">
        <v>4.0000000000000001E-3</v>
      </c>
      <c r="AP65">
        <v>7.0000000000000001E-3</v>
      </c>
      <c r="AQ65">
        <v>9.4999999999999998E-3</v>
      </c>
      <c r="AR65">
        <v>9.2999999999999992E-3</v>
      </c>
      <c r="AS65">
        <v>9.1000000000000004E-3</v>
      </c>
      <c r="AT65">
        <v>7.0000000000000001E-3</v>
      </c>
      <c r="AU65">
        <v>7.3000000000000001E-3</v>
      </c>
      <c r="AV65">
        <v>6.7000000000000002E-3</v>
      </c>
      <c r="AW65">
        <v>7.1999999999999998E-3</v>
      </c>
      <c r="AX65">
        <v>4.7999999999999996E-3</v>
      </c>
      <c r="AY65">
        <v>5.3E-3</v>
      </c>
      <c r="AZ65">
        <v>4.4000000000000003E-3</v>
      </c>
      <c r="BA65">
        <v>9.9000000000000008E-3</v>
      </c>
      <c r="BB65">
        <v>1.14E-2</v>
      </c>
      <c r="BC65">
        <v>1.2500000000000001E-2</v>
      </c>
      <c r="BD65">
        <v>8.8000000000000005E-3</v>
      </c>
      <c r="BE65">
        <v>7.4999999999999997E-3</v>
      </c>
      <c r="BF65">
        <v>4.0000000000000001E-3</v>
      </c>
      <c r="BG65">
        <v>1.1000000000000001E-3</v>
      </c>
      <c r="BH65">
        <v>2.7000000000000001E-3</v>
      </c>
      <c r="BI65">
        <v>-1.2999999999999999E-3</v>
      </c>
      <c r="BJ65">
        <v>-3.0999999999999999E-3</v>
      </c>
      <c r="BK65">
        <v>1.6000000000000001E-3</v>
      </c>
      <c r="BL65">
        <v>1.0800000000000001E-2</v>
      </c>
      <c r="BM65">
        <v>1.7100000000000001E-2</v>
      </c>
      <c r="BN65">
        <v>2.3800000000000002E-2</v>
      </c>
      <c r="BO65">
        <v>2.4500000000000001E-2</v>
      </c>
      <c r="BP65">
        <v>2.3400000000000001E-2</v>
      </c>
      <c r="BQ65">
        <v>2.2599999999999999E-2</v>
      </c>
      <c r="BR65">
        <v>2.12E-2</v>
      </c>
      <c r="BS65">
        <v>1.17E-2</v>
      </c>
      <c r="BT65">
        <v>-6.8999999999999999E-3</v>
      </c>
      <c r="BU65">
        <v>-1.3599999999999999E-2</v>
      </c>
      <c r="BV65">
        <v>-9.2999999999999992E-3</v>
      </c>
      <c r="BW65">
        <v>2.0999999999999999E-3</v>
      </c>
      <c r="BX65">
        <v>7.7000000000000002E-3</v>
      </c>
      <c r="BY65">
        <v>8.6999999999999994E-3</v>
      </c>
      <c r="BZ65">
        <v>-2.3999999999999998E-3</v>
      </c>
      <c r="CA65">
        <v>5.9999999999999995E-4</v>
      </c>
      <c r="CB65">
        <v>1.1599999999999999E-2</v>
      </c>
      <c r="CC65">
        <v>1.35E-2</v>
      </c>
      <c r="CD65">
        <v>2.0899999999999998E-2</v>
      </c>
      <c r="CE65">
        <v>1.4E-2</v>
      </c>
      <c r="CF65">
        <v>-0.01</v>
      </c>
      <c r="CG65">
        <v>-3.1099999999999999E-2</v>
      </c>
      <c r="CH65">
        <v>-3.9199999999999999E-2</v>
      </c>
      <c r="CI65">
        <v>7.7999999999999996E-3</v>
      </c>
      <c r="CJ65">
        <v>1.9300000000000001E-2</v>
      </c>
      <c r="CK65">
        <v>1.8700000000000001E-2</v>
      </c>
      <c r="CL65">
        <v>-7.1000000000000004E-3</v>
      </c>
      <c r="CM65">
        <v>-3.2000000000000002E-3</v>
      </c>
      <c r="CN65">
        <v>1.4E-3</v>
      </c>
      <c r="CO65">
        <v>2.23E-2</v>
      </c>
      <c r="CP65">
        <v>-2.3400000000000001E-2</v>
      </c>
      <c r="CQ65">
        <v>-5.33E-2</v>
      </c>
      <c r="CR65">
        <v>-2.69E-2</v>
      </c>
      <c r="CS65">
        <v>-6.5600000000000006E-2</v>
      </c>
      <c r="CT65">
        <v>-1.55E-2</v>
      </c>
      <c r="CU65">
        <v>-7.2300000000000003E-2</v>
      </c>
      <c r="CV65">
        <v>-5.7999999999999996E-3</v>
      </c>
    </row>
    <row r="66" spans="1:100" x14ac:dyDescent="0.2">
      <c r="A66" t="s">
        <v>5914</v>
      </c>
      <c r="B66">
        <v>0.1056</v>
      </c>
      <c r="C66">
        <v>9.5000000000000001E-2</v>
      </c>
      <c r="D66">
        <v>6.1199999999999997E-2</v>
      </c>
      <c r="E66">
        <v>7.8100000000000003E-2</v>
      </c>
      <c r="F66">
        <v>1.0999999999999999E-2</v>
      </c>
      <c r="G66">
        <v>4.8000000000000001E-2</v>
      </c>
      <c r="H66">
        <v>2.5999999999999999E-2</v>
      </c>
      <c r="I66">
        <v>1.9300000000000001E-2</v>
      </c>
      <c r="J66">
        <v>2.3699999999999999E-2</v>
      </c>
      <c r="K66">
        <v>-3.7000000000000002E-3</v>
      </c>
      <c r="L66">
        <v>-1.6999999999999999E-3</v>
      </c>
      <c r="M66">
        <v>1.7399999999999999E-2</v>
      </c>
      <c r="N66">
        <v>8.8000000000000005E-3</v>
      </c>
      <c r="O66">
        <v>5.4999999999999997E-3</v>
      </c>
      <c r="P66">
        <v>2E-3</v>
      </c>
      <c r="Q66">
        <v>2E-3</v>
      </c>
      <c r="R66">
        <v>7.0000000000000001E-3</v>
      </c>
      <c r="S66">
        <v>7.1000000000000004E-3</v>
      </c>
      <c r="T66">
        <v>9.4999999999999998E-3</v>
      </c>
      <c r="U66">
        <v>8.0000000000000002E-3</v>
      </c>
      <c r="V66">
        <v>8.6E-3</v>
      </c>
      <c r="W66">
        <v>1.2800000000000001E-2</v>
      </c>
      <c r="X66">
        <v>1.24E-2</v>
      </c>
      <c r="Y66">
        <v>1.29E-2</v>
      </c>
      <c r="Z66">
        <v>1.2200000000000001E-2</v>
      </c>
      <c r="AA66">
        <v>1.2800000000000001E-2</v>
      </c>
      <c r="AB66">
        <v>1.3100000000000001E-2</v>
      </c>
      <c r="AC66">
        <v>1.26E-2</v>
      </c>
      <c r="AD66">
        <v>1.24E-2</v>
      </c>
      <c r="AE66">
        <v>1.2E-2</v>
      </c>
      <c r="AF66">
        <v>1.24E-2</v>
      </c>
      <c r="AG66">
        <v>1.23E-2</v>
      </c>
      <c r="AH66">
        <v>1.15E-2</v>
      </c>
      <c r="AI66">
        <v>9.9000000000000008E-3</v>
      </c>
      <c r="AJ66">
        <v>7.4999999999999997E-3</v>
      </c>
      <c r="AK66">
        <v>8.0999999999999996E-3</v>
      </c>
      <c r="AL66">
        <v>8.8999999999999999E-3</v>
      </c>
      <c r="AM66">
        <v>1.06E-2</v>
      </c>
      <c r="AN66">
        <v>1.2500000000000001E-2</v>
      </c>
      <c r="AO66">
        <v>1.5599999999999999E-2</v>
      </c>
      <c r="AP66">
        <v>1.8700000000000001E-2</v>
      </c>
      <c r="AQ66">
        <v>2.1399999999999999E-2</v>
      </c>
      <c r="AR66">
        <v>2.12E-2</v>
      </c>
      <c r="AS66">
        <v>2.1000000000000001E-2</v>
      </c>
      <c r="AT66">
        <v>1.89E-2</v>
      </c>
      <c r="AU66">
        <v>1.9199999999999998E-2</v>
      </c>
      <c r="AV66">
        <v>1.8700000000000001E-2</v>
      </c>
      <c r="AW66">
        <v>1.9199999999999998E-2</v>
      </c>
      <c r="AX66">
        <v>1.6899999999999998E-2</v>
      </c>
      <c r="AY66">
        <v>1.7500000000000002E-2</v>
      </c>
      <c r="AZ66">
        <v>1.6899999999999998E-2</v>
      </c>
      <c r="BA66">
        <v>2.2599999999999999E-2</v>
      </c>
      <c r="BB66">
        <v>2.4400000000000002E-2</v>
      </c>
      <c r="BC66">
        <v>2.58E-2</v>
      </c>
      <c r="BD66">
        <v>2.2599999999999999E-2</v>
      </c>
      <c r="BE66">
        <v>2.1399999999999999E-2</v>
      </c>
      <c r="BF66">
        <v>1.7999999999999999E-2</v>
      </c>
      <c r="BG66">
        <v>1.54E-2</v>
      </c>
      <c r="BH66">
        <v>1.7000000000000001E-2</v>
      </c>
      <c r="BI66">
        <v>1.32E-2</v>
      </c>
      <c r="BJ66">
        <v>1.1599999999999999E-2</v>
      </c>
      <c r="BK66">
        <v>1.6500000000000001E-2</v>
      </c>
      <c r="BL66">
        <v>2.5899999999999999E-2</v>
      </c>
      <c r="BM66">
        <v>3.2099999999999997E-2</v>
      </c>
      <c r="BN66">
        <v>3.8800000000000001E-2</v>
      </c>
      <c r="BO66">
        <v>3.9600000000000003E-2</v>
      </c>
      <c r="BP66">
        <v>3.8399999999999997E-2</v>
      </c>
      <c r="BQ66">
        <v>3.7600000000000001E-2</v>
      </c>
      <c r="BR66">
        <v>3.6200000000000003E-2</v>
      </c>
      <c r="BS66">
        <v>2.7900000000000001E-2</v>
      </c>
      <c r="BT66">
        <v>1.18E-2</v>
      </c>
      <c r="BU66">
        <v>6.6E-3</v>
      </c>
      <c r="BV66">
        <v>1.12E-2</v>
      </c>
      <c r="BW66">
        <v>2.2499999999999999E-2</v>
      </c>
      <c r="BX66">
        <v>2.7699999999999999E-2</v>
      </c>
      <c r="BY66">
        <v>2.86E-2</v>
      </c>
      <c r="BZ66">
        <v>1.8100000000000002E-2</v>
      </c>
      <c r="CA66">
        <v>2.1899999999999999E-2</v>
      </c>
      <c r="CB66">
        <v>3.3599999999999998E-2</v>
      </c>
      <c r="CC66">
        <v>3.6200000000000003E-2</v>
      </c>
      <c r="CD66">
        <v>4.41E-2</v>
      </c>
      <c r="CE66">
        <v>3.7100000000000001E-2</v>
      </c>
      <c r="CF66">
        <v>1.47E-2</v>
      </c>
      <c r="CG66">
        <v>-4.1000000000000003E-3</v>
      </c>
      <c r="CH66">
        <v>-9.5999999999999992E-3</v>
      </c>
      <c r="CI66">
        <v>3.8600000000000002E-2</v>
      </c>
      <c r="CJ66">
        <v>4.9099999999999998E-2</v>
      </c>
      <c r="CK66">
        <v>4.7800000000000002E-2</v>
      </c>
      <c r="CL66">
        <v>2.7400000000000001E-2</v>
      </c>
      <c r="CM66">
        <v>3.27E-2</v>
      </c>
      <c r="CN66">
        <v>3.5299999999999998E-2</v>
      </c>
      <c r="CO66">
        <v>6.0299999999999999E-2</v>
      </c>
      <c r="CP66">
        <v>2.6700000000000002E-2</v>
      </c>
      <c r="CQ66">
        <v>-2E-3</v>
      </c>
      <c r="CR66">
        <v>3.3000000000000002E-2</v>
      </c>
      <c r="CS66">
        <v>-7.1999999999999998E-3</v>
      </c>
      <c r="CT66">
        <v>4.7899999999999998E-2</v>
      </c>
      <c r="CU66">
        <v>1.55E-2</v>
      </c>
      <c r="CV66">
        <v>8.9599999999999999E-2</v>
      </c>
    </row>
    <row r="67" spans="1:100" x14ac:dyDescent="0.2">
      <c r="A67" t="s">
        <v>5915</v>
      </c>
      <c r="B67">
        <v>-4.3E-3</v>
      </c>
      <c r="C67">
        <v>-1.5100000000000001E-2</v>
      </c>
      <c r="D67">
        <v>-1.15E-2</v>
      </c>
      <c r="E67">
        <v>8.9999999999999993E-3</v>
      </c>
      <c r="F67">
        <v>-1.6899999999999998E-2</v>
      </c>
      <c r="G67">
        <v>-3.7000000000000002E-3</v>
      </c>
      <c r="H67">
        <v>-1.26E-2</v>
      </c>
      <c r="I67">
        <v>-5.0000000000000001E-3</v>
      </c>
      <c r="J67">
        <v>4.0000000000000002E-4</v>
      </c>
      <c r="K67">
        <v>-8.0999999999999996E-3</v>
      </c>
      <c r="L67">
        <v>-4.0000000000000001E-3</v>
      </c>
      <c r="M67">
        <v>8.2000000000000007E-3</v>
      </c>
      <c r="N67">
        <v>4.8999999999999998E-3</v>
      </c>
      <c r="O67">
        <v>6.4999999999999997E-3</v>
      </c>
      <c r="P67">
        <v>4.4000000000000003E-3</v>
      </c>
      <c r="Q67">
        <v>3.3999999999999998E-3</v>
      </c>
      <c r="R67">
        <v>2.7000000000000001E-3</v>
      </c>
      <c r="S67">
        <v>5.0000000000000001E-3</v>
      </c>
      <c r="T67">
        <v>4.5999999999999999E-3</v>
      </c>
      <c r="U67">
        <v>3.8E-3</v>
      </c>
      <c r="V67">
        <v>3.0999999999999999E-3</v>
      </c>
      <c r="W67">
        <v>6.4999999999999997E-3</v>
      </c>
      <c r="X67">
        <v>4.7000000000000002E-3</v>
      </c>
      <c r="Y67">
        <v>6.1999999999999998E-3</v>
      </c>
      <c r="Z67">
        <v>5.0000000000000001E-3</v>
      </c>
      <c r="AA67">
        <v>4.0000000000000001E-3</v>
      </c>
      <c r="AB67">
        <v>4.7999999999999996E-3</v>
      </c>
      <c r="AC67">
        <v>3.2000000000000002E-3</v>
      </c>
      <c r="AD67">
        <v>3.2000000000000002E-3</v>
      </c>
      <c r="AE67">
        <v>5.1999999999999998E-3</v>
      </c>
      <c r="AF67">
        <v>3.0999999999999999E-3</v>
      </c>
      <c r="AG67">
        <v>2.2000000000000001E-3</v>
      </c>
      <c r="AH67">
        <v>1.6000000000000001E-3</v>
      </c>
      <c r="AI67">
        <v>-1.9E-3</v>
      </c>
      <c r="AJ67">
        <v>-4.3E-3</v>
      </c>
      <c r="AK67">
        <v>-4.5999999999999999E-3</v>
      </c>
      <c r="AL67">
        <v>-7.4000000000000003E-3</v>
      </c>
      <c r="AM67">
        <v>-2.5999999999999999E-3</v>
      </c>
      <c r="AN67">
        <v>-1.2999999999999999E-3</v>
      </c>
      <c r="AO67">
        <v>-3.3999999999999998E-3</v>
      </c>
      <c r="AP67">
        <v>-2.5999999999999999E-3</v>
      </c>
      <c r="AQ67">
        <v>-3.3999999999999998E-3</v>
      </c>
      <c r="AR67">
        <v>-4.5999999999999999E-3</v>
      </c>
      <c r="AS67">
        <v>-6.4999999999999997E-3</v>
      </c>
      <c r="AT67">
        <v>-5.8999999999999999E-3</v>
      </c>
      <c r="AU67">
        <v>-5.4000000000000003E-3</v>
      </c>
      <c r="AV67">
        <v>-4.0000000000000001E-3</v>
      </c>
      <c r="AW67">
        <v>-7.1000000000000004E-3</v>
      </c>
      <c r="AX67">
        <v>-6.6E-3</v>
      </c>
      <c r="AY67">
        <v>-8.5000000000000006E-3</v>
      </c>
      <c r="AZ67">
        <v>-1.0699999999999999E-2</v>
      </c>
      <c r="BA67">
        <v>-1.04E-2</v>
      </c>
      <c r="BB67">
        <v>-5.7000000000000002E-3</v>
      </c>
      <c r="BC67">
        <v>-4.7000000000000002E-3</v>
      </c>
      <c r="BD67">
        <v>-9.5999999999999992E-3</v>
      </c>
      <c r="BE67">
        <v>-8.0000000000000002E-3</v>
      </c>
      <c r="BF67">
        <v>-1.2500000000000001E-2</v>
      </c>
      <c r="BG67">
        <v>-1.55E-2</v>
      </c>
      <c r="BH67">
        <v>-1.35E-2</v>
      </c>
      <c r="BI67">
        <v>-1.8599999999999998E-2</v>
      </c>
      <c r="BJ67">
        <v>-2.1600000000000001E-2</v>
      </c>
      <c r="BK67">
        <v>-1.7899999999999999E-2</v>
      </c>
      <c r="BL67">
        <v>-1.0500000000000001E-2</v>
      </c>
      <c r="BM67">
        <v>-4.8999999999999998E-3</v>
      </c>
      <c r="BN67">
        <v>0</v>
      </c>
      <c r="BO67">
        <v>-2.3E-3</v>
      </c>
      <c r="BP67">
        <v>8.0000000000000002E-3</v>
      </c>
      <c r="BQ67">
        <v>1.0800000000000001E-2</v>
      </c>
      <c r="BR67">
        <v>4.4999999999999997E-3</v>
      </c>
      <c r="BS67">
        <v>-3.2000000000000002E-3</v>
      </c>
      <c r="BT67">
        <v>-1.6899999999999998E-2</v>
      </c>
      <c r="BU67">
        <v>-2.6100000000000002E-2</v>
      </c>
      <c r="BV67">
        <v>-2.53E-2</v>
      </c>
      <c r="BW67">
        <v>-2.0400000000000001E-2</v>
      </c>
      <c r="BX67">
        <v>-1.83E-2</v>
      </c>
      <c r="BY67">
        <v>-1.17E-2</v>
      </c>
      <c r="BZ67">
        <v>-2.53E-2</v>
      </c>
      <c r="CA67">
        <v>-2.1700000000000001E-2</v>
      </c>
      <c r="CB67">
        <v>-1.83E-2</v>
      </c>
      <c r="CC67">
        <v>-1.46E-2</v>
      </c>
      <c r="CD67">
        <v>-5.4000000000000003E-3</v>
      </c>
      <c r="CE67">
        <v>-9.7999999999999997E-3</v>
      </c>
      <c r="CF67">
        <v>-2.7699999999999999E-2</v>
      </c>
      <c r="CG67">
        <v>-4.9500000000000002E-2</v>
      </c>
      <c r="CH67">
        <v>-5.8400000000000001E-2</v>
      </c>
      <c r="CI67">
        <v>-2.35E-2</v>
      </c>
      <c r="CJ67">
        <v>-1.6199999999999999E-2</v>
      </c>
      <c r="CK67">
        <v>-1.23E-2</v>
      </c>
      <c r="CL67">
        <v>-4.7699999999999999E-2</v>
      </c>
      <c r="CM67">
        <v>-4.9099999999999998E-2</v>
      </c>
      <c r="CN67">
        <v>-3.7699999999999997E-2</v>
      </c>
      <c r="CO67">
        <v>-2.0500000000000001E-2</v>
      </c>
      <c r="CP67">
        <v>-5.1400000000000001E-2</v>
      </c>
      <c r="CQ67">
        <v>-6.5699999999999995E-2</v>
      </c>
      <c r="CR67">
        <v>-6.7500000000000004E-2</v>
      </c>
      <c r="CS67">
        <v>-8.9899999999999994E-2</v>
      </c>
      <c r="CT67">
        <v>-4.6800000000000001E-2</v>
      </c>
      <c r="CU67">
        <v>-0.10249999999999999</v>
      </c>
      <c r="CV67">
        <v>-7.8399999999999997E-2</v>
      </c>
    </row>
    <row r="68" spans="1:100" x14ac:dyDescent="0.2">
      <c r="A68" t="s">
        <v>5916</v>
      </c>
      <c r="B68">
        <v>4.8599999999999997E-2</v>
      </c>
      <c r="C68">
        <v>4.1700000000000001E-2</v>
      </c>
      <c r="D68">
        <v>4.2099999999999999E-2</v>
      </c>
      <c r="E68">
        <v>4.8399999999999999E-2</v>
      </c>
      <c r="F68">
        <v>2.8799999999999999E-2</v>
      </c>
      <c r="G68">
        <v>3.4299999999999997E-2</v>
      </c>
      <c r="H68">
        <v>2.5600000000000001E-2</v>
      </c>
      <c r="I68">
        <v>3.1099999999999999E-2</v>
      </c>
      <c r="J68">
        <v>3.39E-2</v>
      </c>
      <c r="K68">
        <v>2.3199999999999998E-2</v>
      </c>
      <c r="L68">
        <v>2.47E-2</v>
      </c>
      <c r="M68">
        <v>2.93E-2</v>
      </c>
      <c r="N68">
        <v>2.5100000000000001E-2</v>
      </c>
      <c r="O68">
        <v>2.46E-2</v>
      </c>
      <c r="P68">
        <v>2.0299999999999999E-2</v>
      </c>
      <c r="Q68">
        <v>1.7899999999999999E-2</v>
      </c>
      <c r="R68">
        <v>1.5599999999999999E-2</v>
      </c>
      <c r="S68">
        <v>1.7399999999999999E-2</v>
      </c>
      <c r="T68">
        <v>1.6E-2</v>
      </c>
      <c r="U68">
        <v>1.4999999999999999E-2</v>
      </c>
      <c r="V68">
        <v>1.41E-2</v>
      </c>
      <c r="W68">
        <v>1.6899999999999998E-2</v>
      </c>
      <c r="X68">
        <v>1.5100000000000001E-2</v>
      </c>
      <c r="Y68">
        <v>1.67E-2</v>
      </c>
      <c r="Z68">
        <v>1.55E-2</v>
      </c>
      <c r="AA68">
        <v>1.43E-2</v>
      </c>
      <c r="AB68">
        <v>1.52E-2</v>
      </c>
      <c r="AC68">
        <v>1.37E-2</v>
      </c>
      <c r="AD68">
        <v>1.38E-2</v>
      </c>
      <c r="AE68">
        <v>1.6E-2</v>
      </c>
      <c r="AF68">
        <v>1.44E-2</v>
      </c>
      <c r="AG68">
        <v>1.38E-2</v>
      </c>
      <c r="AH68">
        <v>1.34E-2</v>
      </c>
      <c r="AI68">
        <v>1.04E-2</v>
      </c>
      <c r="AJ68">
        <v>8.6E-3</v>
      </c>
      <c r="AK68">
        <v>8.6999999999999994E-3</v>
      </c>
      <c r="AL68">
        <v>6.1000000000000004E-3</v>
      </c>
      <c r="AM68">
        <v>1.12E-2</v>
      </c>
      <c r="AN68">
        <v>1.2699999999999999E-2</v>
      </c>
      <c r="AO68">
        <v>1.0699999999999999E-2</v>
      </c>
      <c r="AP68">
        <v>1.18E-2</v>
      </c>
      <c r="AQ68">
        <v>1.11E-2</v>
      </c>
      <c r="AR68">
        <v>1.01E-2</v>
      </c>
      <c r="AS68">
        <v>8.0999999999999996E-3</v>
      </c>
      <c r="AT68">
        <v>8.6999999999999994E-3</v>
      </c>
      <c r="AU68">
        <v>9.1999999999999998E-3</v>
      </c>
      <c r="AV68">
        <v>1.0800000000000001E-2</v>
      </c>
      <c r="AW68">
        <v>7.7999999999999996E-3</v>
      </c>
      <c r="AX68">
        <v>8.3999999999999995E-3</v>
      </c>
      <c r="AY68">
        <v>6.7999999999999996E-3</v>
      </c>
      <c r="AZ68">
        <v>5.0000000000000001E-3</v>
      </c>
      <c r="BA68">
        <v>5.5999999999999999E-3</v>
      </c>
      <c r="BB68">
        <v>1.06E-2</v>
      </c>
      <c r="BC68">
        <v>1.21E-2</v>
      </c>
      <c r="BD68">
        <v>7.7999999999999996E-3</v>
      </c>
      <c r="BE68">
        <v>9.4000000000000004E-3</v>
      </c>
      <c r="BF68">
        <v>5.1000000000000004E-3</v>
      </c>
      <c r="BG68">
        <v>2.3E-3</v>
      </c>
      <c r="BH68">
        <v>4.4000000000000003E-3</v>
      </c>
      <c r="BI68">
        <v>-4.0000000000000002E-4</v>
      </c>
      <c r="BJ68">
        <v>-3.2000000000000002E-3</v>
      </c>
      <c r="BK68">
        <v>6.9999999999999999E-4</v>
      </c>
      <c r="BL68">
        <v>8.3000000000000001E-3</v>
      </c>
      <c r="BM68">
        <v>1.3599999999999999E-2</v>
      </c>
      <c r="BN68">
        <v>1.8499999999999999E-2</v>
      </c>
      <c r="BO68">
        <v>1.6400000000000001E-2</v>
      </c>
      <c r="BP68">
        <v>2.64E-2</v>
      </c>
      <c r="BQ68">
        <v>2.92E-2</v>
      </c>
      <c r="BR68">
        <v>2.29E-2</v>
      </c>
      <c r="BS68">
        <v>1.66E-2</v>
      </c>
      <c r="BT68">
        <v>5.8999999999999999E-3</v>
      </c>
      <c r="BU68">
        <v>-1.6000000000000001E-3</v>
      </c>
      <c r="BV68">
        <v>-5.0000000000000001E-4</v>
      </c>
      <c r="BW68">
        <v>4.1999999999999997E-3</v>
      </c>
      <c r="BX68">
        <v>5.7999999999999996E-3</v>
      </c>
      <c r="BY68">
        <v>1.2200000000000001E-2</v>
      </c>
      <c r="BZ68">
        <v>-8.9999999999999998E-4</v>
      </c>
      <c r="CA68">
        <v>3.3999999999999998E-3</v>
      </c>
      <c r="CB68">
        <v>7.4999999999999997E-3</v>
      </c>
      <c r="CC68">
        <v>1.17E-2</v>
      </c>
      <c r="CD68">
        <v>2.12E-2</v>
      </c>
      <c r="CE68">
        <v>1.6400000000000001E-2</v>
      </c>
      <c r="CF68">
        <v>1E-4</v>
      </c>
      <c r="CG68">
        <v>-1.9699999999999999E-2</v>
      </c>
      <c r="CH68">
        <v>-2.6100000000000002E-2</v>
      </c>
      <c r="CI68">
        <v>9.5999999999999992E-3</v>
      </c>
      <c r="CJ68">
        <v>1.5599999999999999E-2</v>
      </c>
      <c r="CK68">
        <v>1.84E-2</v>
      </c>
      <c r="CL68">
        <v>-1.1900000000000001E-2</v>
      </c>
      <c r="CM68">
        <v>-1.2500000000000001E-2</v>
      </c>
      <c r="CN68">
        <v>-3.5000000000000001E-3</v>
      </c>
      <c r="CO68">
        <v>1.7100000000000001E-2</v>
      </c>
      <c r="CP68">
        <v>-2.7000000000000001E-3</v>
      </c>
      <c r="CQ68">
        <v>-1.67E-2</v>
      </c>
      <c r="CR68">
        <v>-1.11E-2</v>
      </c>
      <c r="CS68">
        <v>-3.5700000000000003E-2</v>
      </c>
      <c r="CT68">
        <v>1.14E-2</v>
      </c>
      <c r="CU68">
        <v>-2.1100000000000001E-2</v>
      </c>
      <c r="CV68">
        <v>4.7000000000000002E-3</v>
      </c>
    </row>
    <row r="69" spans="1:100" x14ac:dyDescent="0.2">
      <c r="A69" t="s">
        <v>5917</v>
      </c>
      <c r="B69">
        <v>1.8599999999999998E-2</v>
      </c>
      <c r="C69">
        <v>-3.3999999999999998E-3</v>
      </c>
      <c r="D69">
        <v>-1.84E-2</v>
      </c>
      <c r="E69">
        <v>1.06E-2</v>
      </c>
      <c r="F69">
        <v>-2.29E-2</v>
      </c>
      <c r="G69">
        <v>-4.4000000000000003E-3</v>
      </c>
      <c r="H69">
        <v>-1.01E-2</v>
      </c>
      <c r="I69">
        <v>-8.8999999999999999E-3</v>
      </c>
      <c r="J69">
        <v>-4.7000000000000002E-3</v>
      </c>
      <c r="K69">
        <v>-1.41E-2</v>
      </c>
      <c r="L69">
        <v>-1.12E-2</v>
      </c>
      <c r="M69">
        <v>1.4E-3</v>
      </c>
      <c r="N69">
        <v>-8.9999999999999998E-4</v>
      </c>
      <c r="O69">
        <v>-1.1999999999999999E-3</v>
      </c>
      <c r="P69">
        <v>-3.3999999999999998E-3</v>
      </c>
      <c r="Q69">
        <v>-3.0000000000000001E-3</v>
      </c>
      <c r="R69">
        <v>-1.5E-3</v>
      </c>
      <c r="S69">
        <v>-8.0000000000000004E-4</v>
      </c>
      <c r="T69">
        <v>0</v>
      </c>
      <c r="U69">
        <v>-4.0000000000000002E-4</v>
      </c>
      <c r="V69">
        <v>1E-4</v>
      </c>
      <c r="W69">
        <v>8.9999999999999998E-4</v>
      </c>
      <c r="X69">
        <v>6.9999999999999999E-4</v>
      </c>
      <c r="Y69">
        <v>6.9999999999999999E-4</v>
      </c>
      <c r="Z69">
        <v>5.0000000000000001E-4</v>
      </c>
      <c r="AA69">
        <v>4.0000000000000002E-4</v>
      </c>
      <c r="AB69">
        <v>0</v>
      </c>
      <c r="AC69">
        <v>-5.9999999999999995E-4</v>
      </c>
      <c r="AD69">
        <v>-8.0000000000000004E-4</v>
      </c>
      <c r="AE69">
        <v>-2E-3</v>
      </c>
      <c r="AF69">
        <v>-2.3999999999999998E-3</v>
      </c>
      <c r="AG69">
        <v>-2.3999999999999998E-3</v>
      </c>
      <c r="AH69">
        <v>-2E-3</v>
      </c>
      <c r="AI69">
        <v>-2.0999999999999999E-3</v>
      </c>
      <c r="AJ69">
        <v>-2.2000000000000001E-3</v>
      </c>
      <c r="AK69">
        <v>-2.3E-3</v>
      </c>
      <c r="AL69">
        <v>-2.3999999999999998E-3</v>
      </c>
      <c r="AM69">
        <v>-2E-3</v>
      </c>
      <c r="AN69">
        <v>-1.6000000000000001E-3</v>
      </c>
      <c r="AO69">
        <v>-1.1999999999999999E-3</v>
      </c>
      <c r="AP69">
        <v>-8.9999999999999998E-4</v>
      </c>
      <c r="AQ69">
        <v>-1.1000000000000001E-3</v>
      </c>
      <c r="AR69">
        <v>-1E-3</v>
      </c>
      <c r="AS69">
        <v>-8.9999999999999998E-4</v>
      </c>
      <c r="AT69">
        <v>-1.1000000000000001E-3</v>
      </c>
      <c r="AU69">
        <v>-1E-3</v>
      </c>
      <c r="AV69">
        <v>-8.9999999999999998E-4</v>
      </c>
      <c r="AW69">
        <v>-1.4E-3</v>
      </c>
      <c r="AX69">
        <v>-1.6000000000000001E-3</v>
      </c>
      <c r="AY69">
        <v>-2.0999999999999999E-3</v>
      </c>
      <c r="AZ69">
        <v>-2.5000000000000001E-3</v>
      </c>
      <c r="BA69">
        <v>-2.0999999999999999E-3</v>
      </c>
      <c r="BB69">
        <v>-1.4E-3</v>
      </c>
      <c r="BC69">
        <v>-1.2999999999999999E-3</v>
      </c>
      <c r="BD69">
        <v>-1.5E-3</v>
      </c>
      <c r="BE69">
        <v>-1.2999999999999999E-3</v>
      </c>
      <c r="BF69">
        <v>-1.6000000000000001E-3</v>
      </c>
      <c r="BG69">
        <v>-1.8E-3</v>
      </c>
      <c r="BH69">
        <v>-1.6000000000000001E-3</v>
      </c>
      <c r="BI69">
        <v>-1.8E-3</v>
      </c>
      <c r="BJ69">
        <v>-1.8E-3</v>
      </c>
      <c r="BK69">
        <v>-1.4E-3</v>
      </c>
      <c r="BL69">
        <v>-8.9999999999999998E-4</v>
      </c>
      <c r="BM69">
        <v>-2.0000000000000001E-4</v>
      </c>
      <c r="BN69">
        <v>4.0000000000000002E-4</v>
      </c>
      <c r="BO69">
        <v>8.0000000000000004E-4</v>
      </c>
      <c r="BP69">
        <v>8.9999999999999998E-4</v>
      </c>
      <c r="BQ69">
        <v>2.9999999999999997E-4</v>
      </c>
      <c r="BR69">
        <v>1E-3</v>
      </c>
      <c r="BS69">
        <v>6.9999999999999999E-4</v>
      </c>
      <c r="BT69">
        <v>-6.9999999999999999E-4</v>
      </c>
      <c r="BU69">
        <v>-5.0000000000000001E-4</v>
      </c>
      <c r="BV69">
        <v>-1E-3</v>
      </c>
      <c r="BW69">
        <v>-2.9999999999999997E-4</v>
      </c>
      <c r="BX69">
        <v>2.9999999999999997E-4</v>
      </c>
      <c r="BY69">
        <v>1.1999999999999999E-3</v>
      </c>
      <c r="BZ69">
        <v>1E-3</v>
      </c>
      <c r="CA69">
        <v>1E-3</v>
      </c>
      <c r="CB69">
        <v>2.0000000000000001E-4</v>
      </c>
      <c r="CC69">
        <v>0</v>
      </c>
      <c r="CD69">
        <v>-2.0000000000000001E-4</v>
      </c>
      <c r="CE69">
        <v>0</v>
      </c>
      <c r="CF69">
        <v>-1.5E-3</v>
      </c>
      <c r="CG69">
        <v>-3.0999999999999999E-3</v>
      </c>
      <c r="CH69">
        <v>-4.5999999999999999E-3</v>
      </c>
      <c r="CI69">
        <v>-2.5999999999999999E-3</v>
      </c>
      <c r="CJ69">
        <v>-1.9E-3</v>
      </c>
      <c r="CK69">
        <v>-1.4E-3</v>
      </c>
      <c r="CL69">
        <v>-2.3E-3</v>
      </c>
      <c r="CM69">
        <v>-3.0999999999999999E-3</v>
      </c>
      <c r="CN69">
        <v>-3.5999999999999999E-3</v>
      </c>
      <c r="CO69">
        <v>-2.8999999999999998E-3</v>
      </c>
      <c r="CP69">
        <v>-5.5999999999999999E-3</v>
      </c>
      <c r="CQ69">
        <v>-6.8999999999999999E-3</v>
      </c>
      <c r="CR69">
        <v>-7.4000000000000003E-3</v>
      </c>
      <c r="CS69">
        <v>-8.0999999999999996E-3</v>
      </c>
      <c r="CT69">
        <v>-7.7000000000000002E-3</v>
      </c>
      <c r="CU69">
        <v>-1.04E-2</v>
      </c>
      <c r="CV69">
        <v>-7.1000000000000004E-3</v>
      </c>
    </row>
    <row r="70" spans="1:100" x14ac:dyDescent="0.2">
      <c r="A70" t="s">
        <v>5918</v>
      </c>
      <c r="B70">
        <v>4.6300000000000001E-2</v>
      </c>
      <c r="C70">
        <v>2.5600000000000001E-2</v>
      </c>
      <c r="D70">
        <v>7.1999999999999998E-3</v>
      </c>
      <c r="E70">
        <v>2.8400000000000002E-2</v>
      </c>
      <c r="F70">
        <v>-2.8999999999999998E-3</v>
      </c>
      <c r="G70">
        <v>1.1299999999999999E-2</v>
      </c>
      <c r="H70">
        <v>5.1999999999999998E-3</v>
      </c>
      <c r="I70">
        <v>4.5999999999999999E-3</v>
      </c>
      <c r="J70">
        <v>7.4000000000000003E-3</v>
      </c>
      <c r="K70">
        <v>-3.2000000000000002E-3</v>
      </c>
      <c r="L70">
        <v>-1.2999999999999999E-3</v>
      </c>
      <c r="M70">
        <v>8.6999999999999994E-3</v>
      </c>
      <c r="N70">
        <v>5.7999999999999996E-3</v>
      </c>
      <c r="O70">
        <v>4.7000000000000002E-3</v>
      </c>
      <c r="P70">
        <v>1.9E-3</v>
      </c>
      <c r="Q70">
        <v>1.6999999999999999E-3</v>
      </c>
      <c r="R70">
        <v>2.5999999999999999E-3</v>
      </c>
      <c r="S70">
        <v>3.0999999999999999E-3</v>
      </c>
      <c r="T70">
        <v>3.5000000000000001E-3</v>
      </c>
      <c r="U70">
        <v>3.0000000000000001E-3</v>
      </c>
      <c r="V70">
        <v>3.3E-3</v>
      </c>
      <c r="W70">
        <v>3.8999999999999998E-3</v>
      </c>
      <c r="X70">
        <v>3.7000000000000002E-3</v>
      </c>
      <c r="Y70">
        <v>3.5999999999999999E-3</v>
      </c>
      <c r="Z70">
        <v>3.3999999999999998E-3</v>
      </c>
      <c r="AA70">
        <v>3.2000000000000002E-3</v>
      </c>
      <c r="AB70">
        <v>2.8E-3</v>
      </c>
      <c r="AC70">
        <v>2.2000000000000001E-3</v>
      </c>
      <c r="AD70">
        <v>2E-3</v>
      </c>
      <c r="AE70">
        <v>8.9999999999999998E-4</v>
      </c>
      <c r="AF70">
        <v>5.0000000000000001E-4</v>
      </c>
      <c r="AG70">
        <v>5.0000000000000001E-4</v>
      </c>
      <c r="AH70">
        <v>8.9999999999999998E-4</v>
      </c>
      <c r="AI70">
        <v>1E-3</v>
      </c>
      <c r="AJ70">
        <v>1E-3</v>
      </c>
      <c r="AK70">
        <v>8.9999999999999998E-4</v>
      </c>
      <c r="AL70">
        <v>8.0000000000000004E-4</v>
      </c>
      <c r="AM70">
        <v>1.2999999999999999E-3</v>
      </c>
      <c r="AN70">
        <v>1.6999999999999999E-3</v>
      </c>
      <c r="AO70">
        <v>2.0999999999999999E-3</v>
      </c>
      <c r="AP70">
        <v>2.3999999999999998E-3</v>
      </c>
      <c r="AQ70">
        <v>2.3E-3</v>
      </c>
      <c r="AR70">
        <v>2.3E-3</v>
      </c>
      <c r="AS70">
        <v>2.3999999999999998E-3</v>
      </c>
      <c r="AT70">
        <v>2.0999999999999999E-3</v>
      </c>
      <c r="AU70">
        <v>2.3E-3</v>
      </c>
      <c r="AV70">
        <v>2.3E-3</v>
      </c>
      <c r="AW70">
        <v>1.9E-3</v>
      </c>
      <c r="AX70">
        <v>1.6000000000000001E-3</v>
      </c>
      <c r="AY70">
        <v>1.1999999999999999E-3</v>
      </c>
      <c r="AZ70">
        <v>8.9999999999999998E-4</v>
      </c>
      <c r="BA70">
        <v>1.4E-3</v>
      </c>
      <c r="BB70">
        <v>2.0999999999999999E-3</v>
      </c>
      <c r="BC70">
        <v>2.2000000000000001E-3</v>
      </c>
      <c r="BD70">
        <v>2.0999999999999999E-3</v>
      </c>
      <c r="BE70">
        <v>2.3E-3</v>
      </c>
      <c r="BF70">
        <v>2E-3</v>
      </c>
      <c r="BG70">
        <v>1.9E-3</v>
      </c>
      <c r="BH70">
        <v>2.0999999999999999E-3</v>
      </c>
      <c r="BI70">
        <v>1.9E-3</v>
      </c>
      <c r="BJ70">
        <v>1.9E-3</v>
      </c>
      <c r="BK70">
        <v>2.3E-3</v>
      </c>
      <c r="BL70">
        <v>2.8E-3</v>
      </c>
      <c r="BM70">
        <v>3.5000000000000001E-3</v>
      </c>
      <c r="BN70">
        <v>4.0000000000000001E-3</v>
      </c>
      <c r="BO70">
        <v>4.4999999999999997E-3</v>
      </c>
      <c r="BP70">
        <v>4.4999999999999997E-3</v>
      </c>
      <c r="BQ70">
        <v>3.8E-3</v>
      </c>
      <c r="BR70">
        <v>4.4999999999999997E-3</v>
      </c>
      <c r="BS70">
        <v>4.4000000000000003E-3</v>
      </c>
      <c r="BT70">
        <v>3.5999999999999999E-3</v>
      </c>
      <c r="BU70">
        <v>4.1000000000000003E-3</v>
      </c>
      <c r="BV70">
        <v>3.5999999999999999E-3</v>
      </c>
      <c r="BW70">
        <v>4.1999999999999997E-3</v>
      </c>
      <c r="BX70">
        <v>4.7000000000000002E-3</v>
      </c>
      <c r="BY70">
        <v>5.5999999999999999E-3</v>
      </c>
      <c r="BZ70">
        <v>5.4000000000000003E-3</v>
      </c>
      <c r="CA70">
        <v>5.5999999999999999E-3</v>
      </c>
      <c r="CB70">
        <v>4.7999999999999996E-3</v>
      </c>
      <c r="CC70">
        <v>4.5999999999999999E-3</v>
      </c>
      <c r="CD70">
        <v>4.4999999999999997E-3</v>
      </c>
      <c r="CE70">
        <v>4.4999999999999997E-3</v>
      </c>
      <c r="CF70">
        <v>3.2000000000000002E-3</v>
      </c>
      <c r="CG70">
        <v>2E-3</v>
      </c>
      <c r="CH70">
        <v>8.9999999999999998E-4</v>
      </c>
      <c r="CI70">
        <v>3.0000000000000001E-3</v>
      </c>
      <c r="CJ70">
        <v>3.5000000000000001E-3</v>
      </c>
      <c r="CK70">
        <v>3.7000000000000002E-3</v>
      </c>
      <c r="CL70">
        <v>3.5000000000000001E-3</v>
      </c>
      <c r="CM70">
        <v>2.8E-3</v>
      </c>
      <c r="CN70">
        <v>1.9E-3</v>
      </c>
      <c r="CO70">
        <v>3.0000000000000001E-3</v>
      </c>
      <c r="CP70">
        <v>1.9E-3</v>
      </c>
      <c r="CQ70">
        <v>5.0000000000000001E-4</v>
      </c>
      <c r="CR70">
        <v>8.9999999999999998E-4</v>
      </c>
      <c r="CS70">
        <v>-2.9999999999999997E-4</v>
      </c>
      <c r="CT70">
        <v>1E-3</v>
      </c>
      <c r="CU70">
        <v>8.0000000000000004E-4</v>
      </c>
      <c r="CV70">
        <v>6.1000000000000004E-3</v>
      </c>
    </row>
    <row r="71" spans="1:100" x14ac:dyDescent="0.2">
      <c r="A71" t="s">
        <v>5919</v>
      </c>
      <c r="B71">
        <v>-9.64E-2</v>
      </c>
      <c r="C71">
        <v>-5.67E-2</v>
      </c>
      <c r="D71">
        <v>9.7000000000000003E-3</v>
      </c>
      <c r="E71">
        <v>-0.1268</v>
      </c>
      <c r="F71">
        <v>8.2199999999999995E-2</v>
      </c>
      <c r="G71">
        <v>-6.7599999999999993E-2</v>
      </c>
      <c r="H71">
        <v>7.7999999999999996E-3</v>
      </c>
      <c r="I71">
        <v>4.8999999999999998E-3</v>
      </c>
      <c r="J71">
        <v>-2.7099999999999999E-2</v>
      </c>
      <c r="K71">
        <v>9.8699999999999996E-2</v>
      </c>
      <c r="L71">
        <v>8.8099999999999998E-2</v>
      </c>
      <c r="M71">
        <v>-4.5199999999999997E-2</v>
      </c>
      <c r="N71">
        <v>5.5999999999999999E-3</v>
      </c>
      <c r="O71">
        <v>2.5000000000000001E-2</v>
      </c>
      <c r="P71">
        <v>4.6100000000000002E-2</v>
      </c>
      <c r="Q71">
        <v>2.9399999999999999E-2</v>
      </c>
      <c r="R71">
        <v>7.1000000000000004E-3</v>
      </c>
      <c r="S71">
        <v>-3.2000000000000002E-3</v>
      </c>
      <c r="T71">
        <v>-7.1999999999999998E-3</v>
      </c>
      <c r="U71">
        <v>-9.7999999999999997E-3</v>
      </c>
      <c r="V71">
        <v>-1.6899999999999998E-2</v>
      </c>
      <c r="W71">
        <v>-3.0700000000000002E-2</v>
      </c>
      <c r="X71">
        <v>-2.3199999999999998E-2</v>
      </c>
      <c r="Y71">
        <v>-1.09E-2</v>
      </c>
      <c r="Z71">
        <v>-5.0000000000000001E-4</v>
      </c>
      <c r="AA71">
        <v>8.2000000000000007E-3</v>
      </c>
      <c r="AB71">
        <v>1.04E-2</v>
      </c>
      <c r="AC71">
        <v>8.5000000000000006E-3</v>
      </c>
      <c r="AD71">
        <v>8.6999999999999994E-3</v>
      </c>
      <c r="AE71">
        <v>4.4000000000000003E-3</v>
      </c>
      <c r="AF71">
        <v>1.2699999999999999E-2</v>
      </c>
      <c r="AG71">
        <v>1.0699999999999999E-2</v>
      </c>
      <c r="AH71">
        <v>7.1999999999999998E-3</v>
      </c>
      <c r="AI71">
        <v>8.8000000000000005E-3</v>
      </c>
      <c r="AJ71">
        <v>1.14E-2</v>
      </c>
      <c r="AK71">
        <v>5.0000000000000001E-3</v>
      </c>
      <c r="AL71">
        <v>1E-4</v>
      </c>
      <c r="AM71">
        <v>-1E-4</v>
      </c>
      <c r="AN71">
        <v>4.0000000000000001E-3</v>
      </c>
      <c r="AO71">
        <v>6.4000000000000003E-3</v>
      </c>
      <c r="AP71">
        <v>5.0000000000000001E-3</v>
      </c>
      <c r="AQ71">
        <v>2.7000000000000001E-3</v>
      </c>
      <c r="AR71">
        <v>1.9E-3</v>
      </c>
      <c r="AS71">
        <v>5.3E-3</v>
      </c>
      <c r="AT71">
        <v>1.7500000000000002E-2</v>
      </c>
      <c r="AU71">
        <v>2.0199999999999999E-2</v>
      </c>
      <c r="AV71">
        <v>1.06E-2</v>
      </c>
      <c r="AW71">
        <v>8.6999999999999994E-3</v>
      </c>
      <c r="AX71">
        <v>5.1000000000000004E-3</v>
      </c>
      <c r="AY71">
        <v>6.4999999999999997E-3</v>
      </c>
      <c r="AZ71">
        <v>2.0999999999999999E-3</v>
      </c>
      <c r="BA71">
        <v>5.1000000000000004E-3</v>
      </c>
      <c r="BB71">
        <v>1.6000000000000001E-3</v>
      </c>
      <c r="BC71">
        <v>3.3999999999999998E-3</v>
      </c>
      <c r="BD71">
        <v>3.5999999999999999E-3</v>
      </c>
      <c r="BE71">
        <v>1.15E-2</v>
      </c>
      <c r="BF71">
        <v>1.6199999999999999E-2</v>
      </c>
      <c r="BG71">
        <v>9.5999999999999992E-3</v>
      </c>
      <c r="BH71">
        <v>9.1999999999999998E-3</v>
      </c>
      <c r="BI71">
        <v>6.4999999999999997E-3</v>
      </c>
      <c r="BJ71">
        <v>5.3E-3</v>
      </c>
      <c r="BK71">
        <v>-4.0000000000000002E-4</v>
      </c>
      <c r="BL71">
        <v>-5.1999999999999998E-3</v>
      </c>
      <c r="BM71">
        <v>-7.4999999999999997E-3</v>
      </c>
      <c r="BN71">
        <v>-7.6E-3</v>
      </c>
      <c r="BO71">
        <v>-2E-3</v>
      </c>
      <c r="BP71">
        <v>4.3E-3</v>
      </c>
      <c r="BQ71">
        <v>9.2999999999999992E-3</v>
      </c>
      <c r="BR71">
        <v>1.9800000000000002E-2</v>
      </c>
      <c r="BS71">
        <v>2.1999999999999999E-2</v>
      </c>
      <c r="BT71">
        <v>2.52E-2</v>
      </c>
      <c r="BU71">
        <v>2.6700000000000002E-2</v>
      </c>
      <c r="BV71">
        <v>1.14E-2</v>
      </c>
      <c r="BW71">
        <v>2.1999999999999999E-2</v>
      </c>
      <c r="BX71">
        <v>2.2800000000000001E-2</v>
      </c>
      <c r="BY71">
        <v>2.0500000000000001E-2</v>
      </c>
      <c r="BZ71">
        <v>2.1000000000000001E-2</v>
      </c>
      <c r="CA71">
        <v>3.2099999999999997E-2</v>
      </c>
      <c r="CB71">
        <v>2.06E-2</v>
      </c>
      <c r="CC71">
        <v>1.7500000000000002E-2</v>
      </c>
      <c r="CD71">
        <v>1.78E-2</v>
      </c>
      <c r="CE71">
        <v>2.8000000000000001E-2</v>
      </c>
      <c r="CF71">
        <v>2.2800000000000001E-2</v>
      </c>
      <c r="CG71">
        <v>2.3800000000000002E-2</v>
      </c>
      <c r="CH71">
        <v>1.5299999999999999E-2</v>
      </c>
      <c r="CI71">
        <v>1.1900000000000001E-2</v>
      </c>
      <c r="CJ71">
        <v>8.0999999999999996E-3</v>
      </c>
      <c r="CK71">
        <v>2.07E-2</v>
      </c>
      <c r="CL71">
        <v>3.44E-2</v>
      </c>
      <c r="CM71">
        <v>2.6599999999999999E-2</v>
      </c>
      <c r="CN71">
        <v>2.8400000000000002E-2</v>
      </c>
      <c r="CO71">
        <v>3.1E-2</v>
      </c>
      <c r="CP71">
        <v>3.6200000000000003E-2</v>
      </c>
      <c r="CQ71">
        <v>3.4799999999999998E-2</v>
      </c>
      <c r="CR71">
        <v>3.3300000000000003E-2</v>
      </c>
      <c r="CS71">
        <v>2.7699999999999999E-2</v>
      </c>
      <c r="CT71">
        <v>5.0000000000000001E-3</v>
      </c>
      <c r="CU71">
        <v>2.01E-2</v>
      </c>
      <c r="CV71">
        <v>1.7100000000000001E-2</v>
      </c>
    </row>
    <row r="72" spans="1:100" x14ac:dyDescent="0.2">
      <c r="A72" t="s">
        <v>5920</v>
      </c>
      <c r="B72">
        <v>-4.6600000000000003E-2</v>
      </c>
      <c r="C72">
        <v>-3.3E-3</v>
      </c>
      <c r="D72">
        <v>5.96E-2</v>
      </c>
      <c r="E72">
        <v>-8.8800000000000004E-2</v>
      </c>
      <c r="F72">
        <v>0.1265</v>
      </c>
      <c r="G72">
        <v>-2.9700000000000001E-2</v>
      </c>
      <c r="H72">
        <v>4.6199999999999998E-2</v>
      </c>
      <c r="I72">
        <v>4.1500000000000002E-2</v>
      </c>
      <c r="J72">
        <v>6.6E-3</v>
      </c>
      <c r="K72">
        <v>0.13039999999999999</v>
      </c>
      <c r="L72">
        <v>0.1176</v>
      </c>
      <c r="M72">
        <v>-2.3099999999999999E-2</v>
      </c>
      <c r="N72">
        <v>2.6800000000000001E-2</v>
      </c>
      <c r="O72">
        <v>4.41E-2</v>
      </c>
      <c r="P72">
        <v>6.2899999999999998E-2</v>
      </c>
      <c r="Q72">
        <v>4.4699999999999997E-2</v>
      </c>
      <c r="R72">
        <v>2.0799999999999999E-2</v>
      </c>
      <c r="S72">
        <v>9.9000000000000008E-3</v>
      </c>
      <c r="T72">
        <v>4.8999999999999998E-3</v>
      </c>
      <c r="U72">
        <v>2.2000000000000001E-3</v>
      </c>
      <c r="V72">
        <v>-5.1000000000000004E-3</v>
      </c>
      <c r="W72">
        <v>-1.9699999999999999E-2</v>
      </c>
      <c r="X72">
        <v>-1.21E-2</v>
      </c>
      <c r="Y72">
        <v>2.9999999999999997E-4</v>
      </c>
      <c r="Z72">
        <v>1.0699999999999999E-2</v>
      </c>
      <c r="AA72">
        <v>1.9300000000000001E-2</v>
      </c>
      <c r="AB72">
        <v>2.1499999999999998E-2</v>
      </c>
      <c r="AC72">
        <v>1.9699999999999999E-2</v>
      </c>
      <c r="AD72">
        <v>0.02</v>
      </c>
      <c r="AE72">
        <v>1.5800000000000002E-2</v>
      </c>
      <c r="AF72">
        <v>2.4500000000000001E-2</v>
      </c>
      <c r="AG72">
        <v>2.2700000000000001E-2</v>
      </c>
      <c r="AH72">
        <v>1.9400000000000001E-2</v>
      </c>
      <c r="AI72">
        <v>2.1499999999999998E-2</v>
      </c>
      <c r="AJ72">
        <v>2.4799999999999999E-2</v>
      </c>
      <c r="AK72">
        <v>1.8700000000000001E-2</v>
      </c>
      <c r="AL72">
        <v>1.4E-2</v>
      </c>
      <c r="AM72">
        <v>1.4E-2</v>
      </c>
      <c r="AN72">
        <v>1.83E-2</v>
      </c>
      <c r="AO72">
        <v>2.0799999999999999E-2</v>
      </c>
      <c r="AP72">
        <v>1.9599999999999999E-2</v>
      </c>
      <c r="AQ72">
        <v>1.7500000000000002E-2</v>
      </c>
      <c r="AR72">
        <v>1.6799999999999999E-2</v>
      </c>
      <c r="AS72">
        <v>2.01E-2</v>
      </c>
      <c r="AT72">
        <v>3.2399999999999998E-2</v>
      </c>
      <c r="AU72">
        <v>3.5000000000000003E-2</v>
      </c>
      <c r="AV72">
        <v>2.5499999999999998E-2</v>
      </c>
      <c r="AW72">
        <v>2.3800000000000002E-2</v>
      </c>
      <c r="AX72">
        <v>2.0199999999999999E-2</v>
      </c>
      <c r="AY72">
        <v>2.18E-2</v>
      </c>
      <c r="AZ72">
        <v>1.78E-2</v>
      </c>
      <c r="BA72">
        <v>2.1100000000000001E-2</v>
      </c>
      <c r="BB72">
        <v>1.7999999999999999E-2</v>
      </c>
      <c r="BC72">
        <v>2.01E-2</v>
      </c>
      <c r="BD72">
        <v>2.0899999999999998E-2</v>
      </c>
      <c r="BE72">
        <v>2.8799999999999999E-2</v>
      </c>
      <c r="BF72">
        <v>3.3799999999999997E-2</v>
      </c>
      <c r="BG72">
        <v>2.7400000000000001E-2</v>
      </c>
      <c r="BH72">
        <v>2.7099999999999999E-2</v>
      </c>
      <c r="BI72">
        <v>2.47E-2</v>
      </c>
      <c r="BJ72">
        <v>2.3599999999999999E-2</v>
      </c>
      <c r="BK72">
        <v>1.7999999999999999E-2</v>
      </c>
      <c r="BL72">
        <v>1.34E-2</v>
      </c>
      <c r="BM72">
        <v>1.0999999999999999E-2</v>
      </c>
      <c r="BN72">
        <v>1.0800000000000001E-2</v>
      </c>
      <c r="BO72">
        <v>1.66E-2</v>
      </c>
      <c r="BP72">
        <v>2.2599999999999999E-2</v>
      </c>
      <c r="BQ72">
        <v>2.7699999999999999E-2</v>
      </c>
      <c r="BR72">
        <v>3.8199999999999998E-2</v>
      </c>
      <c r="BS72">
        <v>4.1700000000000001E-2</v>
      </c>
      <c r="BT72">
        <v>4.8000000000000001E-2</v>
      </c>
      <c r="BU72">
        <v>5.1200000000000002E-2</v>
      </c>
      <c r="BV72">
        <v>3.6200000000000003E-2</v>
      </c>
      <c r="BW72">
        <v>4.6600000000000003E-2</v>
      </c>
      <c r="BX72">
        <v>4.7100000000000003E-2</v>
      </c>
      <c r="BY72">
        <v>4.4600000000000001E-2</v>
      </c>
      <c r="BZ72">
        <v>4.5699999999999998E-2</v>
      </c>
      <c r="CA72">
        <v>5.7700000000000001E-2</v>
      </c>
      <c r="CB72">
        <v>4.6800000000000001E-2</v>
      </c>
      <c r="CC72">
        <v>4.4499999999999998E-2</v>
      </c>
      <c r="CD72">
        <v>4.5100000000000001E-2</v>
      </c>
      <c r="CE72">
        <v>5.5E-2</v>
      </c>
      <c r="CF72">
        <v>5.16E-2</v>
      </c>
      <c r="CG72">
        <v>5.5E-2</v>
      </c>
      <c r="CH72">
        <v>4.9399999999999999E-2</v>
      </c>
      <c r="CI72">
        <v>4.7300000000000002E-2</v>
      </c>
      <c r="CJ72">
        <v>4.2200000000000001E-2</v>
      </c>
      <c r="CK72">
        <v>5.3800000000000001E-2</v>
      </c>
      <c r="CL72">
        <v>7.3300000000000004E-2</v>
      </c>
      <c r="CM72">
        <v>6.6900000000000001E-2</v>
      </c>
      <c r="CN72">
        <v>6.5100000000000005E-2</v>
      </c>
      <c r="CO72">
        <v>7.1800000000000003E-2</v>
      </c>
      <c r="CP72">
        <v>8.8900000000000007E-2</v>
      </c>
      <c r="CQ72">
        <v>8.7900000000000006E-2</v>
      </c>
      <c r="CR72">
        <v>9.4700000000000006E-2</v>
      </c>
      <c r="CS72">
        <v>8.5699999999999998E-2</v>
      </c>
      <c r="CT72">
        <v>7.17E-2</v>
      </c>
      <c r="CU72">
        <v>0.1128</v>
      </c>
      <c r="CV72">
        <v>0.1162</v>
      </c>
    </row>
    <row r="73" spans="1:100" x14ac:dyDescent="0.2">
      <c r="A73" t="s">
        <v>5921</v>
      </c>
      <c r="B73">
        <v>1.7999999999999999E-2</v>
      </c>
      <c r="C73">
        <v>2.6800000000000001E-2</v>
      </c>
      <c r="D73">
        <v>2.1100000000000001E-2</v>
      </c>
      <c r="E73">
        <v>1.6500000000000001E-2</v>
      </c>
      <c r="F73">
        <v>3.95E-2</v>
      </c>
      <c r="G73">
        <v>3.0099999999999998E-2</v>
      </c>
      <c r="H73">
        <v>2.2200000000000001E-2</v>
      </c>
      <c r="I73">
        <v>1.3599999999999999E-2</v>
      </c>
      <c r="J73">
        <v>1.34E-2</v>
      </c>
      <c r="K73">
        <v>1.1299999999999999E-2</v>
      </c>
      <c r="L73">
        <v>7.1999999999999998E-3</v>
      </c>
      <c r="M73">
        <v>-2.5000000000000001E-3</v>
      </c>
      <c r="N73">
        <v>1.12E-2</v>
      </c>
      <c r="O73">
        <v>-2.5000000000000001E-3</v>
      </c>
      <c r="P73">
        <v>0</v>
      </c>
      <c r="Q73">
        <v>4.1000000000000003E-3</v>
      </c>
      <c r="R73">
        <v>-4.3E-3</v>
      </c>
      <c r="S73">
        <v>1.1999999999999999E-3</v>
      </c>
      <c r="T73">
        <v>-5.0000000000000001E-4</v>
      </c>
      <c r="U73">
        <v>-1.1999999999999999E-3</v>
      </c>
      <c r="V73">
        <v>2.0000000000000001E-4</v>
      </c>
      <c r="W73">
        <v>-2.5999999999999999E-3</v>
      </c>
      <c r="X73">
        <v>-4.7999999999999996E-3</v>
      </c>
      <c r="Y73">
        <v>-8.0000000000000002E-3</v>
      </c>
      <c r="Z73">
        <v>1.6000000000000001E-3</v>
      </c>
      <c r="AA73">
        <v>-5.7000000000000002E-3</v>
      </c>
      <c r="AB73">
        <v>-3.5000000000000001E-3</v>
      </c>
      <c r="AC73">
        <v>-4.7999999999999996E-3</v>
      </c>
      <c r="AD73">
        <v>1.6000000000000001E-3</v>
      </c>
      <c r="AE73">
        <v>3.7000000000000002E-3</v>
      </c>
      <c r="AF73">
        <v>2.5999999999999999E-3</v>
      </c>
      <c r="AG73">
        <v>-2.0999999999999999E-3</v>
      </c>
      <c r="AH73">
        <v>8.9999999999999998E-4</v>
      </c>
      <c r="AI73">
        <v>-3.0999999999999999E-3</v>
      </c>
      <c r="AJ73">
        <v>-1E-3</v>
      </c>
      <c r="AK73">
        <v>-6.9999999999999999E-4</v>
      </c>
      <c r="AL73">
        <v>-4.7999999999999996E-3</v>
      </c>
      <c r="AM73">
        <v>-5.4999999999999997E-3</v>
      </c>
      <c r="AN73">
        <v>5.9999999999999995E-4</v>
      </c>
      <c r="AO73">
        <v>-1E-3</v>
      </c>
      <c r="AP73">
        <v>2.9999999999999997E-4</v>
      </c>
      <c r="AQ73">
        <v>-3.8E-3</v>
      </c>
      <c r="AR73">
        <v>-4.4000000000000003E-3</v>
      </c>
      <c r="AS73">
        <v>-5.1999999999999998E-3</v>
      </c>
      <c r="AT73">
        <v>-3.2000000000000002E-3</v>
      </c>
      <c r="AU73">
        <v>-3.2000000000000002E-3</v>
      </c>
      <c r="AV73">
        <v>-4.3E-3</v>
      </c>
      <c r="AW73">
        <v>-2.5999999999999999E-3</v>
      </c>
      <c r="AX73">
        <v>8.0000000000000004E-4</v>
      </c>
      <c r="AY73">
        <v>-2.3E-3</v>
      </c>
      <c r="AZ73">
        <v>-1.9E-3</v>
      </c>
      <c r="BA73">
        <v>-4.1000000000000003E-3</v>
      </c>
      <c r="BB73">
        <v>-3.7000000000000002E-3</v>
      </c>
      <c r="BC73">
        <v>-3.3999999999999998E-3</v>
      </c>
      <c r="BD73">
        <v>-1.8E-3</v>
      </c>
      <c r="BE73">
        <v>-2.5000000000000001E-3</v>
      </c>
      <c r="BF73">
        <v>-3.0999999999999999E-3</v>
      </c>
      <c r="BG73">
        <v>-2.8999999999999998E-3</v>
      </c>
      <c r="BH73">
        <v>-6.7000000000000002E-3</v>
      </c>
      <c r="BI73">
        <v>3.5999999999999999E-3</v>
      </c>
      <c r="BJ73">
        <v>-3.3999999999999998E-3</v>
      </c>
      <c r="BK73">
        <v>-8.0000000000000004E-4</v>
      </c>
      <c r="BL73">
        <v>5.0000000000000001E-4</v>
      </c>
      <c r="BM73">
        <v>2.2000000000000001E-3</v>
      </c>
      <c r="BN73">
        <v>1.2999999999999999E-3</v>
      </c>
      <c r="BO73">
        <v>-3.3E-3</v>
      </c>
      <c r="BP73">
        <v>-1.37E-2</v>
      </c>
      <c r="BQ73">
        <v>-7.4000000000000003E-3</v>
      </c>
      <c r="BR73">
        <v>8.9999999999999998E-4</v>
      </c>
      <c r="BS73">
        <v>8.9999999999999998E-4</v>
      </c>
      <c r="BT73">
        <v>-1.6999999999999999E-3</v>
      </c>
      <c r="BU73">
        <v>-3.8E-3</v>
      </c>
      <c r="BV73">
        <v>1.1999999999999999E-3</v>
      </c>
      <c r="BW73">
        <v>-1E-3</v>
      </c>
      <c r="BX73">
        <v>-5.4999999999999997E-3</v>
      </c>
      <c r="BY73">
        <v>-3.0999999999999999E-3</v>
      </c>
      <c r="BZ73">
        <v>4.4000000000000003E-3</v>
      </c>
      <c r="CA73">
        <v>4.0000000000000002E-4</v>
      </c>
      <c r="CB73">
        <v>5.5999999999999999E-3</v>
      </c>
      <c r="CC73">
        <v>5.7999999999999996E-3</v>
      </c>
      <c r="CD73">
        <v>-7.7999999999999996E-3</v>
      </c>
      <c r="CE73">
        <v>5.1000000000000004E-3</v>
      </c>
      <c r="CF73">
        <v>1.4E-3</v>
      </c>
      <c r="CG73">
        <v>8.2000000000000007E-3</v>
      </c>
      <c r="CH73">
        <v>1.4E-3</v>
      </c>
      <c r="CI73">
        <v>8.3000000000000001E-3</v>
      </c>
      <c r="CJ73">
        <v>5.1999999999999998E-3</v>
      </c>
      <c r="CK73">
        <v>8.0000000000000002E-3</v>
      </c>
      <c r="CL73">
        <v>6.8999999999999999E-3</v>
      </c>
      <c r="CM73">
        <v>5.3E-3</v>
      </c>
      <c r="CN73">
        <v>6.1000000000000004E-3</v>
      </c>
      <c r="CO73">
        <v>1.6E-2</v>
      </c>
      <c r="CP73">
        <v>1.6400000000000001E-2</v>
      </c>
      <c r="CQ73">
        <v>7.1999999999999998E-3</v>
      </c>
      <c r="CR73">
        <v>2.53E-2</v>
      </c>
      <c r="CS73">
        <v>2.1899999999999999E-2</v>
      </c>
      <c r="CT73">
        <v>2.2599999999999999E-2</v>
      </c>
      <c r="CU73">
        <v>1.8100000000000002E-2</v>
      </c>
      <c r="CV73">
        <v>1.8800000000000001E-2</v>
      </c>
    </row>
    <row r="74" spans="1:100" x14ac:dyDescent="0.2">
      <c r="A74" t="s">
        <v>5922</v>
      </c>
      <c r="B74">
        <v>4.65E-2</v>
      </c>
      <c r="C74">
        <v>6.0499999999999998E-2</v>
      </c>
      <c r="D74">
        <v>5.2499999999999998E-2</v>
      </c>
      <c r="E74">
        <v>3.9199999999999999E-2</v>
      </c>
      <c r="F74">
        <v>6.6699999999999995E-2</v>
      </c>
      <c r="G74">
        <v>5.2499999999999998E-2</v>
      </c>
      <c r="H74">
        <v>4.4600000000000001E-2</v>
      </c>
      <c r="I74">
        <v>3.4099999999999998E-2</v>
      </c>
      <c r="J74">
        <v>3.2099999999999997E-2</v>
      </c>
      <c r="K74">
        <v>2.87E-2</v>
      </c>
      <c r="L74">
        <v>2.3099999999999999E-2</v>
      </c>
      <c r="M74">
        <v>9.1999999999999998E-3</v>
      </c>
      <c r="N74">
        <v>2.24E-2</v>
      </c>
      <c r="O74">
        <v>7.4999999999999997E-3</v>
      </c>
      <c r="P74">
        <v>8.6999999999999994E-3</v>
      </c>
      <c r="Q74">
        <v>1.21E-2</v>
      </c>
      <c r="R74">
        <v>2.8E-3</v>
      </c>
      <c r="S74">
        <v>7.9000000000000008E-3</v>
      </c>
      <c r="T74">
        <v>5.7000000000000002E-3</v>
      </c>
      <c r="U74">
        <v>4.8999999999999998E-3</v>
      </c>
      <c r="V74">
        <v>6.1999999999999998E-3</v>
      </c>
      <c r="W74">
        <v>3.0000000000000001E-3</v>
      </c>
      <c r="X74">
        <v>8.0000000000000004E-4</v>
      </c>
      <c r="Y74">
        <v>-2.3999999999999998E-3</v>
      </c>
      <c r="Z74">
        <v>7.1999999999999998E-3</v>
      </c>
      <c r="AA74">
        <v>-2.0000000000000001E-4</v>
      </c>
      <c r="AB74">
        <v>2E-3</v>
      </c>
      <c r="AC74">
        <v>6.9999999999999999E-4</v>
      </c>
      <c r="AD74">
        <v>7.3000000000000001E-3</v>
      </c>
      <c r="AE74">
        <v>9.4999999999999998E-3</v>
      </c>
      <c r="AF74">
        <v>8.6E-3</v>
      </c>
      <c r="AG74">
        <v>4.0000000000000001E-3</v>
      </c>
      <c r="AH74">
        <v>7.1000000000000004E-3</v>
      </c>
      <c r="AI74">
        <v>3.3999999999999998E-3</v>
      </c>
      <c r="AJ74">
        <v>5.7999999999999996E-3</v>
      </c>
      <c r="AK74">
        <v>6.1999999999999998E-3</v>
      </c>
      <c r="AL74">
        <v>2.2000000000000001E-3</v>
      </c>
      <c r="AM74">
        <v>1.6999999999999999E-3</v>
      </c>
      <c r="AN74">
        <v>7.7999999999999996E-3</v>
      </c>
      <c r="AO74">
        <v>6.3E-3</v>
      </c>
      <c r="AP74">
        <v>7.7000000000000002E-3</v>
      </c>
      <c r="AQ74">
        <v>3.7000000000000002E-3</v>
      </c>
      <c r="AR74">
        <v>3.2000000000000002E-3</v>
      </c>
      <c r="AS74">
        <v>2.3999999999999998E-3</v>
      </c>
      <c r="AT74">
        <v>4.4000000000000003E-3</v>
      </c>
      <c r="AU74">
        <v>4.3E-3</v>
      </c>
      <c r="AV74">
        <v>3.3E-3</v>
      </c>
      <c r="AW74">
        <v>5.0000000000000001E-3</v>
      </c>
      <c r="AX74">
        <v>8.5000000000000006E-3</v>
      </c>
      <c r="AY74">
        <v>5.5999999999999999E-3</v>
      </c>
      <c r="AZ74">
        <v>6.1000000000000004E-3</v>
      </c>
      <c r="BA74">
        <v>4.1000000000000003E-3</v>
      </c>
      <c r="BB74">
        <v>4.7000000000000002E-3</v>
      </c>
      <c r="BC74">
        <v>5.1999999999999998E-3</v>
      </c>
      <c r="BD74">
        <v>7.1000000000000004E-3</v>
      </c>
      <c r="BE74">
        <v>6.4000000000000003E-3</v>
      </c>
      <c r="BF74">
        <v>6.0000000000000001E-3</v>
      </c>
      <c r="BG74">
        <v>6.3E-3</v>
      </c>
      <c r="BH74">
        <v>2.5000000000000001E-3</v>
      </c>
      <c r="BI74">
        <v>1.29E-2</v>
      </c>
      <c r="BJ74">
        <v>6.0000000000000001E-3</v>
      </c>
      <c r="BK74">
        <v>8.6999999999999994E-3</v>
      </c>
      <c r="BL74">
        <v>1.01E-2</v>
      </c>
      <c r="BM74">
        <v>1.17E-2</v>
      </c>
      <c r="BN74">
        <v>1.0699999999999999E-2</v>
      </c>
      <c r="BO74">
        <v>6.3E-3</v>
      </c>
      <c r="BP74">
        <v>-4.1999999999999997E-3</v>
      </c>
      <c r="BQ74">
        <v>2E-3</v>
      </c>
      <c r="BR74">
        <v>1.04E-2</v>
      </c>
      <c r="BS74">
        <v>1.11E-2</v>
      </c>
      <c r="BT74">
        <v>0.01</v>
      </c>
      <c r="BU74">
        <v>8.8000000000000005E-3</v>
      </c>
      <c r="BV74">
        <v>1.3899999999999999E-2</v>
      </c>
      <c r="BW74">
        <v>1.1599999999999999E-2</v>
      </c>
      <c r="BX74">
        <v>6.7999999999999996E-3</v>
      </c>
      <c r="BY74">
        <v>9.1000000000000004E-3</v>
      </c>
      <c r="BZ74">
        <v>1.67E-2</v>
      </c>
      <c r="CA74">
        <v>1.32E-2</v>
      </c>
      <c r="CB74">
        <v>1.8700000000000001E-2</v>
      </c>
      <c r="CC74">
        <v>1.9199999999999998E-2</v>
      </c>
      <c r="CD74">
        <v>5.7999999999999996E-3</v>
      </c>
      <c r="CE74">
        <v>1.8599999999999998E-2</v>
      </c>
      <c r="CF74">
        <v>1.5599999999999999E-2</v>
      </c>
      <c r="CG74">
        <v>2.3599999999999999E-2</v>
      </c>
      <c r="CH74">
        <v>1.8100000000000002E-2</v>
      </c>
      <c r="CI74">
        <v>2.5600000000000001E-2</v>
      </c>
      <c r="CJ74">
        <v>2.1899999999999999E-2</v>
      </c>
      <c r="CK74">
        <v>2.4299999999999999E-2</v>
      </c>
      <c r="CL74">
        <v>2.5999999999999999E-2</v>
      </c>
      <c r="CM74">
        <v>2.5000000000000001E-2</v>
      </c>
      <c r="CN74">
        <v>2.46E-2</v>
      </c>
      <c r="CO74">
        <v>3.6600000000000001E-2</v>
      </c>
      <c r="CP74">
        <v>4.3200000000000002E-2</v>
      </c>
      <c r="CQ74">
        <v>3.4200000000000001E-2</v>
      </c>
      <c r="CR74">
        <v>5.6500000000000002E-2</v>
      </c>
      <c r="CS74">
        <v>5.1999999999999998E-2</v>
      </c>
      <c r="CT74">
        <v>5.4399999999999997E-2</v>
      </c>
      <c r="CU74">
        <v>6.0699999999999997E-2</v>
      </c>
      <c r="CV74">
        <v>6.4699999999999994E-2</v>
      </c>
    </row>
    <row r="75" spans="1:100" x14ac:dyDescent="0.2">
      <c r="A75" t="s">
        <v>5923</v>
      </c>
      <c r="B75">
        <v>-8.0299999999999996E-2</v>
      </c>
      <c r="C75">
        <v>-0.11269999999999999</v>
      </c>
      <c r="D75">
        <v>-0.14349999999999999</v>
      </c>
      <c r="E75">
        <v>-0.2039</v>
      </c>
      <c r="F75">
        <v>-0.15870000000000001</v>
      </c>
      <c r="G75">
        <v>-0.13070000000000001</v>
      </c>
      <c r="H75">
        <v>-0.15590000000000001</v>
      </c>
      <c r="I75">
        <v>-0.13730000000000001</v>
      </c>
      <c r="J75">
        <v>-0.12809999999999999</v>
      </c>
      <c r="K75">
        <v>-0.1018</v>
      </c>
      <c r="L75">
        <v>-8.6099999999999996E-2</v>
      </c>
      <c r="M75">
        <v>-7.1599999999999997E-2</v>
      </c>
      <c r="N75">
        <v>-5.4100000000000002E-2</v>
      </c>
      <c r="O75">
        <v>-4.4499999999999998E-2</v>
      </c>
      <c r="P75">
        <v>-3.0300000000000001E-2</v>
      </c>
      <c r="Q75">
        <v>-2.86E-2</v>
      </c>
      <c r="R75">
        <v>-2.2499999999999999E-2</v>
      </c>
      <c r="S75">
        <v>-2.4299999999999999E-2</v>
      </c>
      <c r="T75">
        <v>-2.06E-2</v>
      </c>
      <c r="U75">
        <v>-2.2200000000000001E-2</v>
      </c>
      <c r="V75">
        <v>-2.12E-2</v>
      </c>
      <c r="W75">
        <v>-2.1000000000000001E-2</v>
      </c>
      <c r="X75">
        <v>-1.7100000000000001E-2</v>
      </c>
      <c r="Y75">
        <v>-1.7600000000000001E-2</v>
      </c>
      <c r="Z75">
        <v>-1.6299999999999999E-2</v>
      </c>
      <c r="AA75">
        <v>-1.5900000000000001E-2</v>
      </c>
      <c r="AB75">
        <v>-1.38E-2</v>
      </c>
      <c r="AC75">
        <v>-1.2500000000000001E-2</v>
      </c>
      <c r="AD75">
        <v>-1.44E-2</v>
      </c>
      <c r="AE75">
        <v>-1.4200000000000001E-2</v>
      </c>
      <c r="AF75">
        <v>-1.3899999999999999E-2</v>
      </c>
      <c r="AG75">
        <v>-1.4500000000000001E-2</v>
      </c>
      <c r="AH75">
        <v>-1.6E-2</v>
      </c>
      <c r="AI75">
        <v>-1.3899999999999999E-2</v>
      </c>
      <c r="AJ75">
        <v>-1.6E-2</v>
      </c>
      <c r="AK75">
        <v>-1.72E-2</v>
      </c>
      <c r="AL75">
        <v>-1.9E-2</v>
      </c>
      <c r="AM75">
        <v>-1.7299999999999999E-2</v>
      </c>
      <c r="AN75">
        <v>-1.7999999999999999E-2</v>
      </c>
      <c r="AO75">
        <v>-1.6899999999999998E-2</v>
      </c>
      <c r="AP75">
        <v>-1.2999999999999999E-2</v>
      </c>
      <c r="AQ75">
        <v>-1.9599999999999999E-2</v>
      </c>
      <c r="AR75">
        <v>-1.9E-2</v>
      </c>
      <c r="AS75">
        <v>-1.72E-2</v>
      </c>
      <c r="AT75">
        <v>-1.4999999999999999E-2</v>
      </c>
      <c r="AU75">
        <v>-1.52E-2</v>
      </c>
      <c r="AV75">
        <v>-1.84E-2</v>
      </c>
      <c r="AW75">
        <v>-1.84E-2</v>
      </c>
      <c r="AX75">
        <v>-2.01E-2</v>
      </c>
      <c r="AY75">
        <v>-2.3599999999999999E-2</v>
      </c>
      <c r="AZ75">
        <v>-2.6200000000000001E-2</v>
      </c>
      <c r="BA75">
        <v>-2.63E-2</v>
      </c>
      <c r="BB75">
        <v>-2.6200000000000001E-2</v>
      </c>
      <c r="BC75">
        <v>-2.64E-2</v>
      </c>
      <c r="BD75">
        <v>-2.7400000000000001E-2</v>
      </c>
      <c r="BE75">
        <v>-2.6800000000000001E-2</v>
      </c>
      <c r="BF75">
        <v>-2.69E-2</v>
      </c>
      <c r="BG75">
        <v>-3.2599999999999997E-2</v>
      </c>
      <c r="BH75">
        <v>-3.4200000000000001E-2</v>
      </c>
      <c r="BI75">
        <v>-3.3099999999999997E-2</v>
      </c>
      <c r="BJ75">
        <v>-3.2599999999999997E-2</v>
      </c>
      <c r="BK75">
        <v>-3.1899999999999998E-2</v>
      </c>
      <c r="BL75">
        <v>-3.5000000000000003E-2</v>
      </c>
      <c r="BM75">
        <v>-3.8899999999999997E-2</v>
      </c>
      <c r="BN75">
        <v>-3.8100000000000002E-2</v>
      </c>
      <c r="BO75">
        <v>-3.7499999999999999E-2</v>
      </c>
      <c r="BP75">
        <v>-3.7699999999999997E-2</v>
      </c>
      <c r="BQ75">
        <v>-3.6200000000000003E-2</v>
      </c>
      <c r="BR75">
        <v>-3.3099999999999997E-2</v>
      </c>
      <c r="BS75">
        <v>-3.6600000000000001E-2</v>
      </c>
      <c r="BT75">
        <v>-4.4900000000000002E-2</v>
      </c>
      <c r="BU75">
        <v>-4.9200000000000001E-2</v>
      </c>
      <c r="BV75">
        <v>-5.5E-2</v>
      </c>
      <c r="BW75">
        <v>-5.5599999999999997E-2</v>
      </c>
      <c r="BX75">
        <v>-5.57E-2</v>
      </c>
      <c r="BY75">
        <v>-3.7100000000000001E-2</v>
      </c>
      <c r="BZ75">
        <v>-3.7499999999999999E-2</v>
      </c>
      <c r="CA75">
        <v>-3.5099999999999999E-2</v>
      </c>
      <c r="CB75">
        <v>-3.7100000000000001E-2</v>
      </c>
      <c r="CC75">
        <v>-3.7100000000000001E-2</v>
      </c>
      <c r="CD75">
        <v>-3.8899999999999997E-2</v>
      </c>
      <c r="CE75">
        <v>-4.07E-2</v>
      </c>
      <c r="CF75">
        <v>-4.7399999999999998E-2</v>
      </c>
      <c r="CG75">
        <v>-5.28E-2</v>
      </c>
      <c r="CH75">
        <v>-5.4300000000000001E-2</v>
      </c>
      <c r="CI75">
        <v>-4.8500000000000001E-2</v>
      </c>
      <c r="CJ75">
        <v>-5.0099999999999999E-2</v>
      </c>
      <c r="CK75">
        <v>-5.96E-2</v>
      </c>
      <c r="CL75">
        <v>-7.7299999999999994E-2</v>
      </c>
      <c r="CM75">
        <v>-9.0700000000000003E-2</v>
      </c>
      <c r="CN75">
        <v>-8.7499999999999994E-2</v>
      </c>
      <c r="CO75">
        <v>-9.5899999999999999E-2</v>
      </c>
      <c r="CP75">
        <v>-0.1479</v>
      </c>
      <c r="CQ75">
        <v>-2.98E-2</v>
      </c>
      <c r="CR75">
        <v>-3.2800000000000003E-2</v>
      </c>
      <c r="CS75">
        <v>-2.8899999999999999E-2</v>
      </c>
      <c r="CT75">
        <v>-1.9099999999999999E-2</v>
      </c>
      <c r="CU75">
        <v>-2.8500000000000001E-2</v>
      </c>
      <c r="CV75">
        <v>-2.98E-2</v>
      </c>
    </row>
    <row r="76" spans="1:100" x14ac:dyDescent="0.2">
      <c r="A76" t="s">
        <v>5924</v>
      </c>
      <c r="B76">
        <v>-7.0000000000000001E-3</v>
      </c>
      <c r="C76">
        <v>-4.4999999999999997E-3</v>
      </c>
      <c r="D76">
        <v>3.39E-2</v>
      </c>
      <c r="E76">
        <v>2.1899999999999999E-2</v>
      </c>
      <c r="F76">
        <v>9.7299999999999998E-2</v>
      </c>
      <c r="G76">
        <v>7.3099999999999998E-2</v>
      </c>
      <c r="H76">
        <v>5.2699999999999997E-2</v>
      </c>
      <c r="I76">
        <v>3.9E-2</v>
      </c>
      <c r="J76">
        <v>2.76E-2</v>
      </c>
      <c r="K76">
        <v>3.1699999999999999E-2</v>
      </c>
      <c r="L76">
        <v>4.3400000000000001E-2</v>
      </c>
      <c r="M76">
        <v>2.1999999999999999E-2</v>
      </c>
      <c r="N76">
        <v>3.3500000000000002E-2</v>
      </c>
      <c r="O76">
        <v>3.1199999999999999E-2</v>
      </c>
      <c r="P76">
        <v>3.3500000000000002E-2</v>
      </c>
      <c r="Q76">
        <v>2.7699999999999999E-2</v>
      </c>
      <c r="R76">
        <v>2.7E-2</v>
      </c>
      <c r="S76">
        <v>2.2100000000000002E-2</v>
      </c>
      <c r="T76">
        <v>2.0899999999999998E-2</v>
      </c>
      <c r="U76">
        <v>1.7899999999999999E-2</v>
      </c>
      <c r="V76">
        <v>1.72E-2</v>
      </c>
      <c r="W76">
        <v>1.46E-2</v>
      </c>
      <c r="X76">
        <v>1.83E-2</v>
      </c>
      <c r="Y76">
        <v>1.7100000000000001E-2</v>
      </c>
      <c r="Z76">
        <v>1.8100000000000002E-2</v>
      </c>
      <c r="AA76">
        <v>1.78E-2</v>
      </c>
      <c r="AB76">
        <v>1.9400000000000001E-2</v>
      </c>
      <c r="AC76">
        <v>2.0400000000000001E-2</v>
      </c>
      <c r="AD76">
        <v>1.8599999999999998E-2</v>
      </c>
      <c r="AE76">
        <v>1.89E-2</v>
      </c>
      <c r="AF76">
        <v>2.0199999999999999E-2</v>
      </c>
      <c r="AG76">
        <v>2.01E-2</v>
      </c>
      <c r="AH76">
        <v>1.9300000000000001E-2</v>
      </c>
      <c r="AI76">
        <v>2.29E-2</v>
      </c>
      <c r="AJ76">
        <v>2.3099999999999999E-2</v>
      </c>
      <c r="AK76">
        <v>2.2599999999999999E-2</v>
      </c>
      <c r="AL76">
        <v>2.1299999999999999E-2</v>
      </c>
      <c r="AM76">
        <v>2.3400000000000001E-2</v>
      </c>
      <c r="AN76">
        <v>2.3300000000000001E-2</v>
      </c>
      <c r="AO76">
        <v>2.46E-2</v>
      </c>
      <c r="AP76">
        <v>2.98E-2</v>
      </c>
      <c r="AQ76">
        <v>2.53E-2</v>
      </c>
      <c r="AR76">
        <v>2.6100000000000002E-2</v>
      </c>
      <c r="AS76">
        <v>2.7900000000000001E-2</v>
      </c>
      <c r="AT76">
        <v>0.03</v>
      </c>
      <c r="AU76">
        <v>2.98E-2</v>
      </c>
      <c r="AV76">
        <v>2.7099999999999999E-2</v>
      </c>
      <c r="AW76">
        <v>2.7400000000000001E-2</v>
      </c>
      <c r="AX76">
        <v>2.53E-2</v>
      </c>
      <c r="AY76">
        <v>2.2499999999999999E-2</v>
      </c>
      <c r="AZ76">
        <v>2.1299999999999999E-2</v>
      </c>
      <c r="BA76">
        <v>2.1899999999999999E-2</v>
      </c>
      <c r="BB76">
        <v>2.4E-2</v>
      </c>
      <c r="BC76">
        <v>2.5000000000000001E-2</v>
      </c>
      <c r="BD76">
        <v>2.64E-2</v>
      </c>
      <c r="BE76">
        <v>2.7699999999999999E-2</v>
      </c>
      <c r="BF76">
        <v>2.8500000000000001E-2</v>
      </c>
      <c r="BG76">
        <v>2.2499999999999999E-2</v>
      </c>
      <c r="BH76">
        <v>2.1399999999999999E-2</v>
      </c>
      <c r="BI76">
        <v>2.4199999999999999E-2</v>
      </c>
      <c r="BJ76">
        <v>2.5700000000000001E-2</v>
      </c>
      <c r="BK76">
        <v>2.69E-2</v>
      </c>
      <c r="BL76">
        <v>2.4799999999999999E-2</v>
      </c>
      <c r="BM76">
        <v>0.02</v>
      </c>
      <c r="BN76">
        <v>2.06E-2</v>
      </c>
      <c r="BO76">
        <v>2.1899999999999999E-2</v>
      </c>
      <c r="BP76">
        <v>2.2200000000000001E-2</v>
      </c>
      <c r="BQ76">
        <v>2.5600000000000001E-2</v>
      </c>
      <c r="BR76">
        <v>2.9899999999999999E-2</v>
      </c>
      <c r="BS76">
        <v>3.2599999999999997E-2</v>
      </c>
      <c r="BT76">
        <v>3.8100000000000002E-2</v>
      </c>
      <c r="BU76">
        <v>4.2200000000000001E-2</v>
      </c>
      <c r="BV76">
        <v>3.8600000000000002E-2</v>
      </c>
      <c r="BW76">
        <v>3.73E-2</v>
      </c>
      <c r="BX76">
        <v>3.6499999999999998E-2</v>
      </c>
      <c r="BY76">
        <v>4.4400000000000002E-2</v>
      </c>
      <c r="BZ76">
        <v>4.7699999999999999E-2</v>
      </c>
      <c r="CA76">
        <v>5.3900000000000003E-2</v>
      </c>
      <c r="CB76">
        <v>5.5300000000000002E-2</v>
      </c>
      <c r="CC76">
        <v>5.8900000000000001E-2</v>
      </c>
      <c r="CD76">
        <v>6.0299999999999999E-2</v>
      </c>
      <c r="CE76">
        <v>5.8500000000000003E-2</v>
      </c>
      <c r="CF76">
        <v>6.25E-2</v>
      </c>
      <c r="CG76">
        <v>7.0300000000000001E-2</v>
      </c>
      <c r="CH76">
        <v>8.2400000000000001E-2</v>
      </c>
      <c r="CI76">
        <v>9.0499999999999997E-2</v>
      </c>
      <c r="CJ76">
        <v>8.4400000000000003E-2</v>
      </c>
      <c r="CK76">
        <v>7.4300000000000005E-2</v>
      </c>
      <c r="CL76">
        <v>8.77E-2</v>
      </c>
      <c r="CM76">
        <v>8.4599999999999995E-2</v>
      </c>
      <c r="CN76">
        <v>8.43E-2</v>
      </c>
      <c r="CO76">
        <v>9.8400000000000001E-2</v>
      </c>
      <c r="CP76">
        <v>0.1239</v>
      </c>
      <c r="CQ76">
        <v>1.2500000000000001E-2</v>
      </c>
      <c r="CR76">
        <v>1.54E-2</v>
      </c>
      <c r="CS76">
        <v>1.17E-2</v>
      </c>
      <c r="CT76">
        <v>2.2200000000000001E-2</v>
      </c>
      <c r="CU76">
        <v>1.9699999999999999E-2</v>
      </c>
      <c r="CV76">
        <v>1.66E-2</v>
      </c>
    </row>
    <row r="77" spans="1:100" x14ac:dyDescent="0.2">
      <c r="A77" t="s">
        <v>5925</v>
      </c>
      <c r="B77">
        <v>-0.1147</v>
      </c>
      <c r="C77">
        <v>-0.70689999999999997</v>
      </c>
      <c r="D77">
        <v>-1.0263</v>
      </c>
      <c r="E77">
        <v>0.11700000000000001</v>
      </c>
      <c r="F77">
        <v>-1.2232000000000001</v>
      </c>
      <c r="G77">
        <v>-0.29809999999999998</v>
      </c>
      <c r="H77">
        <v>-0.60099999999999998</v>
      </c>
      <c r="I77">
        <v>-0.47549999999999998</v>
      </c>
      <c r="J77">
        <v>-0.2044</v>
      </c>
      <c r="K77">
        <v>-0.69689999999999996</v>
      </c>
      <c r="L77">
        <v>-0.58099999999999996</v>
      </c>
      <c r="M77">
        <v>7.8399999999999997E-2</v>
      </c>
      <c r="N77">
        <v>-0.14249999999999999</v>
      </c>
      <c r="O77">
        <v>-0.13339999999999999</v>
      </c>
      <c r="P77">
        <v>-0.1857</v>
      </c>
      <c r="Q77">
        <v>-0.1527</v>
      </c>
      <c r="R77">
        <v>-1.0999999999999999E-2</v>
      </c>
      <c r="S77">
        <v>3.0499999999999999E-2</v>
      </c>
      <c r="T77">
        <v>8.2600000000000007E-2</v>
      </c>
      <c r="U77">
        <v>7.2099999999999997E-2</v>
      </c>
      <c r="V77">
        <v>5.1999999999999998E-2</v>
      </c>
      <c r="W77">
        <v>0.15459999999999999</v>
      </c>
      <c r="X77">
        <v>0.1363</v>
      </c>
      <c r="Y77">
        <v>8.9300000000000004E-2</v>
      </c>
      <c r="Z77">
        <v>4.6699999999999998E-2</v>
      </c>
      <c r="AA77">
        <v>2.2499999999999999E-2</v>
      </c>
      <c r="AB77">
        <v>1.37E-2</v>
      </c>
      <c r="AC77">
        <v>-5.0000000000000001E-3</v>
      </c>
      <c r="AD77">
        <v>-1.7500000000000002E-2</v>
      </c>
      <c r="AE77">
        <v>-2.4799999999999999E-2</v>
      </c>
      <c r="AF77">
        <v>-4.2099999999999999E-2</v>
      </c>
      <c r="AG77">
        <v>-5.0700000000000002E-2</v>
      </c>
      <c r="AH77">
        <v>-6.9900000000000004E-2</v>
      </c>
      <c r="AI77">
        <v>-8.8700000000000001E-2</v>
      </c>
      <c r="AJ77">
        <v>-0.1052</v>
      </c>
      <c r="AK77">
        <v>-0.10340000000000001</v>
      </c>
      <c r="AL77">
        <v>-9.2200000000000004E-2</v>
      </c>
      <c r="AM77">
        <v>-9.4600000000000004E-2</v>
      </c>
      <c r="AN77">
        <v>-0.1108</v>
      </c>
      <c r="AO77">
        <v>-9.4700000000000006E-2</v>
      </c>
      <c r="AP77">
        <v>-9.7000000000000003E-2</v>
      </c>
      <c r="AQ77">
        <v>-5.6899999999999999E-2</v>
      </c>
      <c r="AR77">
        <v>-5.8400000000000001E-2</v>
      </c>
      <c r="AS77">
        <v>-5.3400000000000003E-2</v>
      </c>
      <c r="AT77">
        <v>-9.1600000000000001E-2</v>
      </c>
      <c r="AU77">
        <v>-9.69E-2</v>
      </c>
      <c r="AV77">
        <v>-0.1002</v>
      </c>
      <c r="AW77">
        <v>-6.08E-2</v>
      </c>
      <c r="AX77">
        <v>-6.4500000000000002E-2</v>
      </c>
      <c r="AY77">
        <v>-3.4700000000000002E-2</v>
      </c>
      <c r="AZ77">
        <v>-2.1899999999999999E-2</v>
      </c>
      <c r="BA77">
        <v>6.3E-3</v>
      </c>
      <c r="BB77">
        <v>1.12E-2</v>
      </c>
      <c r="BC77">
        <v>2.0500000000000001E-2</v>
      </c>
      <c r="BD77">
        <v>1.32E-2</v>
      </c>
      <c r="BE77">
        <v>-1.8100000000000002E-2</v>
      </c>
      <c r="BF77">
        <v>-6.0100000000000001E-2</v>
      </c>
      <c r="BG77">
        <v>-9.2700000000000005E-2</v>
      </c>
      <c r="BH77">
        <v>-0.1154</v>
      </c>
      <c r="BI77">
        <v>-0.1246</v>
      </c>
      <c r="BJ77">
        <v>-9.9199999999999997E-2</v>
      </c>
      <c r="BK77">
        <v>-8.8499999999999995E-2</v>
      </c>
      <c r="BL77">
        <v>-5.0299999999999997E-2</v>
      </c>
      <c r="BM77">
        <v>4.3999999999999997E-2</v>
      </c>
      <c r="BN77">
        <v>0.1268</v>
      </c>
      <c r="BO77">
        <v>0.1197</v>
      </c>
      <c r="BP77">
        <v>7.6999999999999999E-2</v>
      </c>
      <c r="BQ77">
        <v>6.0999999999999999E-2</v>
      </c>
      <c r="BR77">
        <v>5.7799999999999997E-2</v>
      </c>
      <c r="BS77">
        <v>-1.5699999999999999E-2</v>
      </c>
      <c r="BT77">
        <v>-0.18229999999999999</v>
      </c>
      <c r="BU77">
        <v>-0.24</v>
      </c>
      <c r="BV77">
        <v>-0.18229999999999999</v>
      </c>
      <c r="BW77">
        <v>-0.1089</v>
      </c>
      <c r="BX77">
        <v>-7.22E-2</v>
      </c>
      <c r="BY77">
        <v>-8.2900000000000001E-2</v>
      </c>
      <c r="BZ77">
        <v>-8.0699999999999994E-2</v>
      </c>
      <c r="CA77">
        <v>-6.2300000000000001E-2</v>
      </c>
      <c r="CB77">
        <v>2.1600000000000001E-2</v>
      </c>
      <c r="CC77">
        <v>0.1077</v>
      </c>
      <c r="CD77">
        <v>0.1275</v>
      </c>
      <c r="CE77">
        <v>4.5699999999999998E-2</v>
      </c>
      <c r="CF77">
        <v>-0.15939999999999999</v>
      </c>
      <c r="CG77">
        <v>-0.26279999999999998</v>
      </c>
      <c r="CH77">
        <v>-0.25800000000000001</v>
      </c>
      <c r="CI77">
        <v>9.6699999999999994E-2</v>
      </c>
      <c r="CJ77">
        <v>0.16400000000000001</v>
      </c>
      <c r="CK77">
        <v>0.1062</v>
      </c>
      <c r="CL77">
        <v>-8.3999999999999995E-3</v>
      </c>
      <c r="CM77">
        <v>-2.3999999999999998E-3</v>
      </c>
      <c r="CN77">
        <v>6.6100000000000006E-2</v>
      </c>
      <c r="CO77">
        <v>0.1573</v>
      </c>
      <c r="CP77">
        <v>-3.2199999999999999E-2</v>
      </c>
      <c r="CQ77">
        <v>-0.10920000000000001</v>
      </c>
      <c r="CR77">
        <v>-3.2599999999999997E-2</v>
      </c>
      <c r="CS77">
        <v>-0.12989999999999999</v>
      </c>
      <c r="CT77">
        <v>0.21190000000000001</v>
      </c>
      <c r="CU77">
        <v>-0.19520000000000001</v>
      </c>
      <c r="CV77">
        <v>-0.11269999999999999</v>
      </c>
    </row>
    <row r="78" spans="1:100" x14ac:dyDescent="0.2">
      <c r="A78" t="s">
        <v>5926</v>
      </c>
      <c r="B78">
        <v>0.56930000000000003</v>
      </c>
      <c r="C78">
        <v>3.9899999999999998E-2</v>
      </c>
      <c r="D78">
        <v>-0.33460000000000001</v>
      </c>
      <c r="E78">
        <v>0.60560000000000003</v>
      </c>
      <c r="F78">
        <v>-0.63619999999999999</v>
      </c>
      <c r="G78">
        <v>0.1537</v>
      </c>
      <c r="H78">
        <v>-0.1489</v>
      </c>
      <c r="I78">
        <v>-6.3899999999999998E-2</v>
      </c>
      <c r="J78">
        <v>0.1547</v>
      </c>
      <c r="K78">
        <v>-0.36570000000000003</v>
      </c>
      <c r="L78">
        <v>-0.28100000000000003</v>
      </c>
      <c r="M78">
        <v>0.28810000000000002</v>
      </c>
      <c r="N78">
        <v>5.5599999999999997E-2</v>
      </c>
      <c r="O78">
        <v>3.9199999999999999E-2</v>
      </c>
      <c r="P78">
        <v>-3.7400000000000003E-2</v>
      </c>
      <c r="Q78">
        <v>-2.0199999999999999E-2</v>
      </c>
      <c r="R78">
        <v>0.1045</v>
      </c>
      <c r="S78">
        <v>0.13869999999999999</v>
      </c>
      <c r="T78">
        <v>0.1794</v>
      </c>
      <c r="U78">
        <v>0.16639999999999999</v>
      </c>
      <c r="V78">
        <v>0.14319999999999999</v>
      </c>
      <c r="W78">
        <v>0.23849999999999999</v>
      </c>
      <c r="X78">
        <v>0.21990000000000001</v>
      </c>
      <c r="Y78">
        <v>0.1719</v>
      </c>
      <c r="Z78">
        <v>0.12839999999999999</v>
      </c>
      <c r="AA78">
        <v>0.1028</v>
      </c>
      <c r="AB78">
        <v>9.3399999999999997E-2</v>
      </c>
      <c r="AC78">
        <v>7.4800000000000005E-2</v>
      </c>
      <c r="AD78">
        <v>6.2600000000000003E-2</v>
      </c>
      <c r="AE78">
        <v>5.6399999999999999E-2</v>
      </c>
      <c r="AF78">
        <v>4.1700000000000001E-2</v>
      </c>
      <c r="AG78">
        <v>3.44E-2</v>
      </c>
      <c r="AH78">
        <v>1.66E-2</v>
      </c>
      <c r="AI78">
        <v>1.1999999999999999E-3</v>
      </c>
      <c r="AJ78">
        <v>-1.0800000000000001E-2</v>
      </c>
      <c r="AK78">
        <v>-8.2000000000000007E-3</v>
      </c>
      <c r="AL78">
        <v>4.1000000000000003E-3</v>
      </c>
      <c r="AM78">
        <v>2.3999999999999998E-3</v>
      </c>
      <c r="AN78">
        <v>-1.34E-2</v>
      </c>
      <c r="AO78">
        <v>3.3E-3</v>
      </c>
      <c r="AP78">
        <v>1.2999999999999999E-3</v>
      </c>
      <c r="AQ78">
        <v>4.2799999999999998E-2</v>
      </c>
      <c r="AR78">
        <v>4.1200000000000001E-2</v>
      </c>
      <c r="AS78">
        <v>4.5999999999999999E-2</v>
      </c>
      <c r="AT78">
        <v>7.1000000000000004E-3</v>
      </c>
      <c r="AU78">
        <v>1.5E-3</v>
      </c>
      <c r="AV78">
        <v>-1.5E-3</v>
      </c>
      <c r="AW78">
        <v>3.8300000000000001E-2</v>
      </c>
      <c r="AX78">
        <v>3.4599999999999999E-2</v>
      </c>
      <c r="AY78">
        <v>6.5199999999999994E-2</v>
      </c>
      <c r="AZ78">
        <v>8.0199999999999994E-2</v>
      </c>
      <c r="BA78">
        <v>0.1099</v>
      </c>
      <c r="BB78">
        <v>0.1166</v>
      </c>
      <c r="BC78">
        <v>0.12820000000000001</v>
      </c>
      <c r="BD78">
        <v>0.12479999999999999</v>
      </c>
      <c r="BE78">
        <v>9.2600000000000002E-2</v>
      </c>
      <c r="BF78">
        <v>5.1700000000000003E-2</v>
      </c>
      <c r="BG78">
        <v>0.02</v>
      </c>
      <c r="BH78">
        <v>-2.8E-3</v>
      </c>
      <c r="BI78">
        <v>-9.7999999999999997E-3</v>
      </c>
      <c r="BJ78">
        <v>1.5900000000000001E-2</v>
      </c>
      <c r="BK78">
        <v>2.7E-2</v>
      </c>
      <c r="BL78">
        <v>6.5799999999999997E-2</v>
      </c>
      <c r="BM78">
        <v>0.1578</v>
      </c>
      <c r="BN78">
        <v>0.23980000000000001</v>
      </c>
      <c r="BO78">
        <v>0.2336</v>
      </c>
      <c r="BP78">
        <v>0.18859999999999999</v>
      </c>
      <c r="BQ78">
        <v>0.17330000000000001</v>
      </c>
      <c r="BR78">
        <v>0.16980000000000001</v>
      </c>
      <c r="BS78">
        <v>0.1057</v>
      </c>
      <c r="BT78">
        <v>-3.9899999999999998E-2</v>
      </c>
      <c r="BU78">
        <v>-8.6199999999999999E-2</v>
      </c>
      <c r="BV78">
        <v>-2.6499999999999999E-2</v>
      </c>
      <c r="BW78">
        <v>4.3799999999999999E-2</v>
      </c>
      <c r="BX78">
        <v>7.8299999999999995E-2</v>
      </c>
      <c r="BY78">
        <v>6.08E-2</v>
      </c>
      <c r="BZ78">
        <v>6.7000000000000004E-2</v>
      </c>
      <c r="CA78">
        <v>8.9899999999999994E-2</v>
      </c>
      <c r="CB78">
        <v>0.1772</v>
      </c>
      <c r="CC78">
        <v>0.2676</v>
      </c>
      <c r="CD78">
        <v>0.29010000000000002</v>
      </c>
      <c r="CE78">
        <v>0.20649999999999999</v>
      </c>
      <c r="CF78">
        <v>8.6E-3</v>
      </c>
      <c r="CG78">
        <v>-0.08</v>
      </c>
      <c r="CH78">
        <v>-5.8099999999999999E-2</v>
      </c>
      <c r="CI78">
        <v>0.29930000000000001</v>
      </c>
      <c r="CJ78">
        <v>0.35899999999999999</v>
      </c>
      <c r="CK78">
        <v>0.29649999999999999</v>
      </c>
      <c r="CL78">
        <v>0.22040000000000001</v>
      </c>
      <c r="CM78">
        <v>0.23619999999999999</v>
      </c>
      <c r="CN78">
        <v>0.29509999999999997</v>
      </c>
      <c r="CO78">
        <v>0.41089999999999999</v>
      </c>
      <c r="CP78">
        <v>0.31369999999999998</v>
      </c>
      <c r="CQ78">
        <v>0.11749999999999999</v>
      </c>
      <c r="CR78">
        <v>0.22239999999999999</v>
      </c>
      <c r="CS78">
        <v>0.1138</v>
      </c>
      <c r="CT78">
        <v>0.47210000000000002</v>
      </c>
      <c r="CU78">
        <v>0.17929999999999999</v>
      </c>
      <c r="CV78">
        <v>0.1862</v>
      </c>
    </row>
  </sheetData>
  <pageMargins left="0.78740157499999996" right="0.78740157499999996" top="0.984251969" bottom="0.984251969" header="0.4921259845" footer="0.492125984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737F2-6926-9A40-8FFD-88327B667A17}">
  <sheetPr codeName="Planilha15"/>
  <dimension ref="A1:KL78"/>
  <sheetViews>
    <sheetView topLeftCell="A31" workbookViewId="0">
      <selection activeCell="A35" sqref="A35:A78"/>
    </sheetView>
  </sheetViews>
  <sheetFormatPr baseColWidth="10" defaultRowHeight="16" x14ac:dyDescent="0.2"/>
  <sheetData>
    <row r="1" spans="1:298" x14ac:dyDescent="0.2">
      <c r="A1" t="str">
        <f>""</f>
        <v/>
      </c>
      <c r="B1" t="str">
        <f>"(1)"</f>
        <v>(1)</v>
      </c>
      <c r="C1" t="str">
        <f>""</f>
        <v/>
      </c>
      <c r="D1" t="str">
        <f>"(2)"</f>
        <v>(2)</v>
      </c>
      <c r="E1" t="str">
        <f>""</f>
        <v/>
      </c>
      <c r="F1" t="str">
        <f>"(3)"</f>
        <v>(3)</v>
      </c>
      <c r="G1" t="str">
        <f>""</f>
        <v/>
      </c>
      <c r="H1" t="str">
        <f>"(4)"</f>
        <v>(4)</v>
      </c>
      <c r="I1" t="str">
        <f>""</f>
        <v/>
      </c>
      <c r="J1" t="str">
        <f>"(5)"</f>
        <v>(5)</v>
      </c>
      <c r="K1" t="str">
        <f>""</f>
        <v/>
      </c>
      <c r="L1" t="str">
        <f>"(6)"</f>
        <v>(6)</v>
      </c>
      <c r="M1" t="str">
        <f>""</f>
        <v/>
      </c>
      <c r="N1" t="str">
        <f>"(7)"</f>
        <v>(7)</v>
      </c>
      <c r="O1" t="str">
        <f>""</f>
        <v/>
      </c>
      <c r="P1" t="str">
        <f>"(8)"</f>
        <v>(8)</v>
      </c>
      <c r="Q1" t="str">
        <f>""</f>
        <v/>
      </c>
      <c r="R1" t="str">
        <f>"(9)"</f>
        <v>(9)</v>
      </c>
      <c r="S1" t="str">
        <f>""</f>
        <v/>
      </c>
      <c r="T1" t="str">
        <f>"(10)"</f>
        <v>(10)</v>
      </c>
      <c r="U1" t="str">
        <f>""</f>
        <v/>
      </c>
      <c r="V1" t="str">
        <f>"(11)"</f>
        <v>(11)</v>
      </c>
      <c r="W1" t="str">
        <f>""</f>
        <v/>
      </c>
      <c r="X1" t="str">
        <f>"(12)"</f>
        <v>(12)</v>
      </c>
      <c r="Y1" t="str">
        <f>""</f>
        <v/>
      </c>
      <c r="Z1" t="str">
        <f>"(13)"</f>
        <v>(13)</v>
      </c>
      <c r="AA1" t="str">
        <f>""</f>
        <v/>
      </c>
      <c r="AB1" t="str">
        <f>"(14)"</f>
        <v>(14)</v>
      </c>
      <c r="AC1" t="str">
        <f>""</f>
        <v/>
      </c>
      <c r="AD1" t="str">
        <f>"(15)"</f>
        <v>(15)</v>
      </c>
      <c r="AE1" t="str">
        <f>""</f>
        <v/>
      </c>
      <c r="AF1" t="str">
        <f>"(16)"</f>
        <v>(16)</v>
      </c>
      <c r="AG1" t="str">
        <f>""</f>
        <v/>
      </c>
      <c r="AH1" t="str">
        <f>"(17)"</f>
        <v>(17)</v>
      </c>
      <c r="AI1" t="str">
        <f>""</f>
        <v/>
      </c>
      <c r="AJ1" t="str">
        <f>"(18)"</f>
        <v>(18)</v>
      </c>
      <c r="AK1" t="str">
        <f>""</f>
        <v/>
      </c>
      <c r="AL1" t="str">
        <f>"(19)"</f>
        <v>(19)</v>
      </c>
      <c r="AM1" t="str">
        <f>""</f>
        <v/>
      </c>
      <c r="AN1" t="str">
        <f>"(20)"</f>
        <v>(20)</v>
      </c>
      <c r="AO1" t="str">
        <f>""</f>
        <v/>
      </c>
      <c r="AP1" t="str">
        <f>"(21)"</f>
        <v>(21)</v>
      </c>
      <c r="AQ1" t="str">
        <f>""</f>
        <v/>
      </c>
      <c r="AR1" t="str">
        <f>"(22)"</f>
        <v>(22)</v>
      </c>
      <c r="AS1" t="str">
        <f>""</f>
        <v/>
      </c>
      <c r="AT1" t="str">
        <f>"(23)"</f>
        <v>(23)</v>
      </c>
      <c r="AU1" t="str">
        <f>""</f>
        <v/>
      </c>
      <c r="AV1" t="str">
        <f>"(24)"</f>
        <v>(24)</v>
      </c>
      <c r="AW1" t="str">
        <f>""</f>
        <v/>
      </c>
      <c r="AX1" t="str">
        <f>"(25)"</f>
        <v>(25)</v>
      </c>
      <c r="AY1" t="str">
        <f>""</f>
        <v/>
      </c>
      <c r="AZ1" t="str">
        <f>"(26)"</f>
        <v>(26)</v>
      </c>
      <c r="BA1" t="str">
        <f>""</f>
        <v/>
      </c>
      <c r="BB1" t="str">
        <f>"(27)"</f>
        <v>(27)</v>
      </c>
      <c r="BC1" t="str">
        <f>""</f>
        <v/>
      </c>
      <c r="BD1" t="str">
        <f>"(28)"</f>
        <v>(28)</v>
      </c>
      <c r="BE1" t="str">
        <f>""</f>
        <v/>
      </c>
      <c r="BF1" t="str">
        <f>"(29)"</f>
        <v>(29)</v>
      </c>
      <c r="BG1" t="str">
        <f>""</f>
        <v/>
      </c>
      <c r="BH1" t="str">
        <f>"(30)"</f>
        <v>(30)</v>
      </c>
      <c r="BI1" t="str">
        <f>""</f>
        <v/>
      </c>
      <c r="BJ1" t="str">
        <f>"(31)"</f>
        <v>(31)</v>
      </c>
      <c r="BK1" t="str">
        <f>""</f>
        <v/>
      </c>
      <c r="BL1" t="str">
        <f>"(32)"</f>
        <v>(32)</v>
      </c>
      <c r="BM1" t="str">
        <f>""</f>
        <v/>
      </c>
      <c r="BN1" t="str">
        <f>"(33)"</f>
        <v>(33)</v>
      </c>
      <c r="BO1" t="str">
        <f>""</f>
        <v/>
      </c>
      <c r="BP1" t="str">
        <f>"(34)"</f>
        <v>(34)</v>
      </c>
      <c r="BQ1" t="str">
        <f>""</f>
        <v/>
      </c>
      <c r="BR1" t="str">
        <f>"(35)"</f>
        <v>(35)</v>
      </c>
      <c r="BS1" t="str">
        <f>""</f>
        <v/>
      </c>
      <c r="BT1" t="str">
        <f>"(36)"</f>
        <v>(36)</v>
      </c>
      <c r="BU1" t="str">
        <f>""</f>
        <v/>
      </c>
      <c r="BV1" t="str">
        <f>"(37)"</f>
        <v>(37)</v>
      </c>
      <c r="BW1" t="str">
        <f>""</f>
        <v/>
      </c>
      <c r="BX1" t="str">
        <f>"(38)"</f>
        <v>(38)</v>
      </c>
      <c r="BY1" t="str">
        <f>""</f>
        <v/>
      </c>
      <c r="BZ1" t="str">
        <f>"(39)"</f>
        <v>(39)</v>
      </c>
      <c r="CA1" t="str">
        <f>""</f>
        <v/>
      </c>
      <c r="CB1" t="str">
        <f>"(40)"</f>
        <v>(40)</v>
      </c>
      <c r="CC1" t="str">
        <f>""</f>
        <v/>
      </c>
      <c r="CD1" t="str">
        <f>"(41)"</f>
        <v>(41)</v>
      </c>
      <c r="CE1" t="str">
        <f>""</f>
        <v/>
      </c>
      <c r="CF1" t="str">
        <f>"(42)"</f>
        <v>(42)</v>
      </c>
      <c r="CG1" t="str">
        <f>""</f>
        <v/>
      </c>
      <c r="CH1" t="str">
        <f>"(43)"</f>
        <v>(43)</v>
      </c>
      <c r="CI1" t="str">
        <f>""</f>
        <v/>
      </c>
      <c r="CJ1" t="str">
        <f>"(44)"</f>
        <v>(44)</v>
      </c>
      <c r="CK1" t="str">
        <f>""</f>
        <v/>
      </c>
      <c r="CL1" t="str">
        <f>"(45)"</f>
        <v>(45)</v>
      </c>
      <c r="CM1" t="str">
        <f>""</f>
        <v/>
      </c>
      <c r="CN1" t="str">
        <f>"(46)"</f>
        <v>(46)</v>
      </c>
      <c r="CO1" t="str">
        <f>""</f>
        <v/>
      </c>
      <c r="CP1" t="str">
        <f>"(47)"</f>
        <v>(47)</v>
      </c>
      <c r="CQ1" t="str">
        <f>""</f>
        <v/>
      </c>
      <c r="CR1" t="str">
        <f>"(48)"</f>
        <v>(48)</v>
      </c>
      <c r="CS1" t="str">
        <f>""</f>
        <v/>
      </c>
      <c r="CT1" t="str">
        <f>"(49)"</f>
        <v>(49)</v>
      </c>
      <c r="CU1" t="str">
        <f>""</f>
        <v/>
      </c>
      <c r="CV1" t="str">
        <f>"(50)"</f>
        <v>(50)</v>
      </c>
      <c r="CW1" t="str">
        <f>""</f>
        <v/>
      </c>
      <c r="CX1" t="str">
        <f>"(51)"</f>
        <v>(51)</v>
      </c>
      <c r="CY1" t="str">
        <f>""</f>
        <v/>
      </c>
      <c r="CZ1" t="str">
        <f>"(52)"</f>
        <v>(52)</v>
      </c>
      <c r="DA1" t="str">
        <f>""</f>
        <v/>
      </c>
      <c r="DB1" t="str">
        <f>"(53)"</f>
        <v>(53)</v>
      </c>
      <c r="DC1" t="str">
        <f>""</f>
        <v/>
      </c>
      <c r="DD1" t="str">
        <f>"(54)"</f>
        <v>(54)</v>
      </c>
      <c r="DE1" t="str">
        <f>""</f>
        <v/>
      </c>
      <c r="DF1" t="str">
        <f>"(55)"</f>
        <v>(55)</v>
      </c>
      <c r="DG1" t="str">
        <f>""</f>
        <v/>
      </c>
      <c r="DH1" t="str">
        <f>"(56)"</f>
        <v>(56)</v>
      </c>
      <c r="DI1" t="str">
        <f>""</f>
        <v/>
      </c>
      <c r="DJ1" t="str">
        <f>"(57)"</f>
        <v>(57)</v>
      </c>
      <c r="DK1" t="str">
        <f>""</f>
        <v/>
      </c>
      <c r="DL1" t="str">
        <f>"(58)"</f>
        <v>(58)</v>
      </c>
      <c r="DM1" t="str">
        <f>""</f>
        <v/>
      </c>
      <c r="DN1" t="str">
        <f>"(59)"</f>
        <v>(59)</v>
      </c>
      <c r="DO1" t="str">
        <f>""</f>
        <v/>
      </c>
      <c r="DP1" t="str">
        <f>"(60)"</f>
        <v>(60)</v>
      </c>
      <c r="DQ1" t="str">
        <f>""</f>
        <v/>
      </c>
      <c r="DR1" t="str">
        <f>"(61)"</f>
        <v>(61)</v>
      </c>
      <c r="DS1" t="str">
        <f>""</f>
        <v/>
      </c>
      <c r="DT1" t="str">
        <f>"(62)"</f>
        <v>(62)</v>
      </c>
      <c r="DU1" t="str">
        <f>""</f>
        <v/>
      </c>
      <c r="DV1" t="str">
        <f>"(63)"</f>
        <v>(63)</v>
      </c>
      <c r="DW1" t="str">
        <f>""</f>
        <v/>
      </c>
      <c r="DX1" t="str">
        <f>"(64)"</f>
        <v>(64)</v>
      </c>
      <c r="DY1" t="str">
        <f>""</f>
        <v/>
      </c>
      <c r="DZ1" t="str">
        <f>"(65)"</f>
        <v>(65)</v>
      </c>
      <c r="EA1" t="str">
        <f>""</f>
        <v/>
      </c>
      <c r="EB1" t="str">
        <f>"(66)"</f>
        <v>(66)</v>
      </c>
      <c r="EC1" t="str">
        <f>""</f>
        <v/>
      </c>
      <c r="ED1" t="str">
        <f>"(67)"</f>
        <v>(67)</v>
      </c>
      <c r="EE1" t="str">
        <f>""</f>
        <v/>
      </c>
      <c r="EF1" t="str">
        <f>"(68)"</f>
        <v>(68)</v>
      </c>
      <c r="EG1" t="str">
        <f>""</f>
        <v/>
      </c>
      <c r="EH1" t="str">
        <f>"(69)"</f>
        <v>(69)</v>
      </c>
      <c r="EI1" t="str">
        <f>""</f>
        <v/>
      </c>
      <c r="EJ1" t="str">
        <f>"(70)"</f>
        <v>(70)</v>
      </c>
      <c r="EK1" t="str">
        <f>""</f>
        <v/>
      </c>
      <c r="EL1" t="str">
        <f>"(71)"</f>
        <v>(71)</v>
      </c>
      <c r="EM1" t="str">
        <f>""</f>
        <v/>
      </c>
      <c r="EN1" t="str">
        <f>"(72)"</f>
        <v>(72)</v>
      </c>
      <c r="EO1" t="str">
        <f>""</f>
        <v/>
      </c>
      <c r="EP1" t="str">
        <f>"(73)"</f>
        <v>(73)</v>
      </c>
      <c r="EQ1" t="str">
        <f>""</f>
        <v/>
      </c>
      <c r="ER1" t="str">
        <f>"(74)"</f>
        <v>(74)</v>
      </c>
      <c r="ES1" t="str">
        <f>""</f>
        <v/>
      </c>
      <c r="ET1" t="str">
        <f>"(75)"</f>
        <v>(75)</v>
      </c>
      <c r="EU1" t="str">
        <f>""</f>
        <v/>
      </c>
      <c r="EV1" t="str">
        <f>"(76)"</f>
        <v>(76)</v>
      </c>
      <c r="EW1" t="str">
        <f>""</f>
        <v/>
      </c>
      <c r="EX1" t="str">
        <f>"(77)"</f>
        <v>(77)</v>
      </c>
      <c r="EY1" t="str">
        <f>""</f>
        <v/>
      </c>
      <c r="EZ1" t="str">
        <f>"(78)"</f>
        <v>(78)</v>
      </c>
      <c r="FA1" t="str">
        <f>""</f>
        <v/>
      </c>
      <c r="FB1" t="str">
        <f>"(79)"</f>
        <v>(79)</v>
      </c>
      <c r="FC1" t="str">
        <f>""</f>
        <v/>
      </c>
      <c r="FD1" t="str">
        <f>"(80)"</f>
        <v>(80)</v>
      </c>
      <c r="FE1" t="str">
        <f>""</f>
        <v/>
      </c>
      <c r="FF1" t="str">
        <f>"(81)"</f>
        <v>(81)</v>
      </c>
      <c r="FG1" t="str">
        <f>""</f>
        <v/>
      </c>
      <c r="FH1" t="str">
        <f>"(82)"</f>
        <v>(82)</v>
      </c>
      <c r="FI1" t="str">
        <f>""</f>
        <v/>
      </c>
      <c r="FJ1" t="str">
        <f>"(83)"</f>
        <v>(83)</v>
      </c>
      <c r="FK1" t="str">
        <f>""</f>
        <v/>
      </c>
      <c r="FL1" t="str">
        <f>"(84)"</f>
        <v>(84)</v>
      </c>
      <c r="FM1" t="str">
        <f>""</f>
        <v/>
      </c>
      <c r="FN1" t="str">
        <f>"(85)"</f>
        <v>(85)</v>
      </c>
      <c r="FO1" t="str">
        <f>""</f>
        <v/>
      </c>
      <c r="FP1" t="str">
        <f>"(86)"</f>
        <v>(86)</v>
      </c>
      <c r="FQ1" t="str">
        <f>""</f>
        <v/>
      </c>
      <c r="FR1" t="str">
        <f>"(87)"</f>
        <v>(87)</v>
      </c>
      <c r="FS1" t="str">
        <f>""</f>
        <v/>
      </c>
      <c r="FT1" t="str">
        <f>"(88)"</f>
        <v>(88)</v>
      </c>
      <c r="FU1" t="str">
        <f>""</f>
        <v/>
      </c>
      <c r="FV1" t="str">
        <f>"(89)"</f>
        <v>(89)</v>
      </c>
      <c r="FW1" t="str">
        <f>""</f>
        <v/>
      </c>
      <c r="FX1" t="str">
        <f>"(90)"</f>
        <v>(90)</v>
      </c>
      <c r="FY1" t="str">
        <f>""</f>
        <v/>
      </c>
      <c r="FZ1" t="str">
        <f>"(91)"</f>
        <v>(91)</v>
      </c>
      <c r="GA1" t="str">
        <f>""</f>
        <v/>
      </c>
      <c r="GB1" t="str">
        <f>"(92)"</f>
        <v>(92)</v>
      </c>
      <c r="GC1" t="str">
        <f>""</f>
        <v/>
      </c>
      <c r="GD1" t="str">
        <f>"(93)"</f>
        <v>(93)</v>
      </c>
      <c r="GE1" t="str">
        <f>""</f>
        <v/>
      </c>
      <c r="GF1" t="str">
        <f>"(94)"</f>
        <v>(94)</v>
      </c>
      <c r="GG1" t="str">
        <f>""</f>
        <v/>
      </c>
      <c r="GH1" t="str">
        <f>"(95)"</f>
        <v>(95)</v>
      </c>
      <c r="GI1" t="str">
        <f>""</f>
        <v/>
      </c>
      <c r="GJ1" t="str">
        <f>"(96)"</f>
        <v>(96)</v>
      </c>
      <c r="GK1" t="str">
        <f>""</f>
        <v/>
      </c>
      <c r="GL1" t="str">
        <f>"(97)"</f>
        <v>(97)</v>
      </c>
      <c r="GM1" t="str">
        <f>""</f>
        <v/>
      </c>
      <c r="GN1" t="str">
        <f>"(98)"</f>
        <v>(98)</v>
      </c>
      <c r="GO1" t="str">
        <f>""</f>
        <v/>
      </c>
      <c r="GP1" t="str">
        <f>"(99)"</f>
        <v>(99)</v>
      </c>
      <c r="GQ1" t="str">
        <f>""</f>
        <v/>
      </c>
    </row>
    <row r="2" spans="1:298" x14ac:dyDescent="0.2">
      <c r="A2" t="str">
        <f>""</f>
        <v/>
      </c>
      <c r="B2" t="str">
        <f>"lsalh_efet"</f>
        <v>lsalh_efet</v>
      </c>
      <c r="C2" t="str">
        <f>""</f>
        <v/>
      </c>
      <c r="D2" t="str">
        <f>"lsalh_efet"</f>
        <v>lsalh_efet</v>
      </c>
      <c r="E2" t="str">
        <f>""</f>
        <v/>
      </c>
      <c r="F2" t="str">
        <f>"lsalh_efet"</f>
        <v>lsalh_efet</v>
      </c>
      <c r="G2" t="str">
        <f>""</f>
        <v/>
      </c>
      <c r="H2" t="str">
        <f>"lsalh_efet"</f>
        <v>lsalh_efet</v>
      </c>
      <c r="I2" t="str">
        <f>""</f>
        <v/>
      </c>
      <c r="J2" t="str">
        <f>"lsalh_efet"</f>
        <v>lsalh_efet</v>
      </c>
      <c r="K2" t="str">
        <f>""</f>
        <v/>
      </c>
      <c r="L2" t="str">
        <f>"lsalh_efet"</f>
        <v>lsalh_efet</v>
      </c>
      <c r="M2" t="str">
        <f>""</f>
        <v/>
      </c>
      <c r="N2" t="str">
        <f>"lsalh_efet"</f>
        <v>lsalh_efet</v>
      </c>
      <c r="O2" t="str">
        <f>""</f>
        <v/>
      </c>
      <c r="P2" t="str">
        <f>"lsalh_efet"</f>
        <v>lsalh_efet</v>
      </c>
      <c r="Q2" t="str">
        <f>""</f>
        <v/>
      </c>
      <c r="R2" t="str">
        <f>"lsalh_efet"</f>
        <v>lsalh_efet</v>
      </c>
      <c r="S2" t="str">
        <f>""</f>
        <v/>
      </c>
      <c r="T2" t="str">
        <f>"lsalh_efet"</f>
        <v>lsalh_efet</v>
      </c>
      <c r="U2" t="str">
        <f>""</f>
        <v/>
      </c>
      <c r="V2" t="str">
        <f>"lsalh_efet"</f>
        <v>lsalh_efet</v>
      </c>
      <c r="W2" t="str">
        <f>""</f>
        <v/>
      </c>
      <c r="X2" t="str">
        <f>"lsalh_efet"</f>
        <v>lsalh_efet</v>
      </c>
      <c r="Y2" t="str">
        <f>""</f>
        <v/>
      </c>
      <c r="Z2" t="str">
        <f>"lsalh_efet"</f>
        <v>lsalh_efet</v>
      </c>
      <c r="AA2" t="str">
        <f>""</f>
        <v/>
      </c>
      <c r="AB2" t="str">
        <f>"lsalh_efet"</f>
        <v>lsalh_efet</v>
      </c>
      <c r="AC2" t="str">
        <f>""</f>
        <v/>
      </c>
      <c r="AD2" t="str">
        <f>"lsalh_efet"</f>
        <v>lsalh_efet</v>
      </c>
      <c r="AE2" t="str">
        <f>""</f>
        <v/>
      </c>
      <c r="AF2" t="str">
        <f>"lsalh_efet"</f>
        <v>lsalh_efet</v>
      </c>
      <c r="AG2" t="str">
        <f>""</f>
        <v/>
      </c>
      <c r="AH2" t="str">
        <f>"lsalh_efet"</f>
        <v>lsalh_efet</v>
      </c>
      <c r="AI2" t="str">
        <f>""</f>
        <v/>
      </c>
      <c r="AJ2" t="str">
        <f>"lsalh_efet"</f>
        <v>lsalh_efet</v>
      </c>
      <c r="AK2" t="str">
        <f>""</f>
        <v/>
      </c>
      <c r="AL2" t="str">
        <f>"lsalh_efet"</f>
        <v>lsalh_efet</v>
      </c>
      <c r="AM2" t="str">
        <f>""</f>
        <v/>
      </c>
      <c r="AN2" t="str">
        <f>"lsalh_efet"</f>
        <v>lsalh_efet</v>
      </c>
      <c r="AO2" t="str">
        <f>""</f>
        <v/>
      </c>
      <c r="AP2" t="str">
        <f>"lsalh_efet"</f>
        <v>lsalh_efet</v>
      </c>
      <c r="AQ2" t="str">
        <f>""</f>
        <v/>
      </c>
      <c r="AR2" t="str">
        <f>"lsalh_efet"</f>
        <v>lsalh_efet</v>
      </c>
      <c r="AS2" t="str">
        <f>""</f>
        <v/>
      </c>
      <c r="AT2" t="str">
        <f>"lsalh_efet"</f>
        <v>lsalh_efet</v>
      </c>
      <c r="AU2" t="str">
        <f>""</f>
        <v/>
      </c>
      <c r="AV2" t="str">
        <f>"lsalh_efet"</f>
        <v>lsalh_efet</v>
      </c>
      <c r="AW2" t="str">
        <f>""</f>
        <v/>
      </c>
      <c r="AX2" t="str">
        <f>"lsalh_efet"</f>
        <v>lsalh_efet</v>
      </c>
      <c r="AY2" t="str">
        <f>""</f>
        <v/>
      </c>
      <c r="AZ2" t="str">
        <f>"lsalh_efet"</f>
        <v>lsalh_efet</v>
      </c>
      <c r="BA2" t="str">
        <f>""</f>
        <v/>
      </c>
      <c r="BB2" t="str">
        <f>"lsalh_efet"</f>
        <v>lsalh_efet</v>
      </c>
      <c r="BC2" t="str">
        <f>""</f>
        <v/>
      </c>
      <c r="BD2" t="str">
        <f>"lsalh_efet"</f>
        <v>lsalh_efet</v>
      </c>
      <c r="BE2" t="str">
        <f>""</f>
        <v/>
      </c>
      <c r="BF2" t="str">
        <f>"lsalh_efet"</f>
        <v>lsalh_efet</v>
      </c>
      <c r="BG2" t="str">
        <f>""</f>
        <v/>
      </c>
      <c r="BH2" t="str">
        <f>"lsalh_efet"</f>
        <v>lsalh_efet</v>
      </c>
      <c r="BI2" t="str">
        <f>""</f>
        <v/>
      </c>
      <c r="BJ2" t="str">
        <f>"lsalh_efet"</f>
        <v>lsalh_efet</v>
      </c>
      <c r="BK2" t="str">
        <f>""</f>
        <v/>
      </c>
      <c r="BL2" t="str">
        <f>"lsalh_efet"</f>
        <v>lsalh_efet</v>
      </c>
      <c r="BM2" t="str">
        <f>""</f>
        <v/>
      </c>
      <c r="BN2" t="str">
        <f>"lsalh_efet"</f>
        <v>lsalh_efet</v>
      </c>
      <c r="BO2" t="str">
        <f>""</f>
        <v/>
      </c>
      <c r="BP2" t="str">
        <f>"lsalh_efet"</f>
        <v>lsalh_efet</v>
      </c>
      <c r="BQ2" t="str">
        <f>""</f>
        <v/>
      </c>
      <c r="BR2" t="str">
        <f>"lsalh_efet"</f>
        <v>lsalh_efet</v>
      </c>
      <c r="BS2" t="str">
        <f>""</f>
        <v/>
      </c>
      <c r="BT2" t="str">
        <f>"lsalh_efet"</f>
        <v>lsalh_efet</v>
      </c>
      <c r="BU2" t="str">
        <f>""</f>
        <v/>
      </c>
      <c r="BV2" t="str">
        <f>"lsalh_efet"</f>
        <v>lsalh_efet</v>
      </c>
      <c r="BW2" t="str">
        <f>""</f>
        <v/>
      </c>
      <c r="BX2" t="str">
        <f>"lsalh_efet"</f>
        <v>lsalh_efet</v>
      </c>
      <c r="BY2" t="str">
        <f>""</f>
        <v/>
      </c>
      <c r="BZ2" t="str">
        <f>"lsalh_efet"</f>
        <v>lsalh_efet</v>
      </c>
      <c r="CA2" t="str">
        <f>""</f>
        <v/>
      </c>
      <c r="CB2" t="str">
        <f>"lsalh_efet"</f>
        <v>lsalh_efet</v>
      </c>
      <c r="CC2" t="str">
        <f>""</f>
        <v/>
      </c>
      <c r="CD2" t="str">
        <f>"lsalh_efet"</f>
        <v>lsalh_efet</v>
      </c>
      <c r="CE2" t="str">
        <f>""</f>
        <v/>
      </c>
      <c r="CF2" t="str">
        <f>"lsalh_efet"</f>
        <v>lsalh_efet</v>
      </c>
      <c r="CG2" t="str">
        <f>""</f>
        <v/>
      </c>
      <c r="CH2" t="str">
        <f>"lsalh_efet"</f>
        <v>lsalh_efet</v>
      </c>
      <c r="CI2" t="str">
        <f>""</f>
        <v/>
      </c>
      <c r="CJ2" t="str">
        <f>"lsalh_efet"</f>
        <v>lsalh_efet</v>
      </c>
      <c r="CK2" t="str">
        <f>""</f>
        <v/>
      </c>
      <c r="CL2" t="str">
        <f>"lsalh_efet"</f>
        <v>lsalh_efet</v>
      </c>
      <c r="CM2" t="str">
        <f>""</f>
        <v/>
      </c>
      <c r="CN2" t="str">
        <f>"lsalh_efet"</f>
        <v>lsalh_efet</v>
      </c>
      <c r="CO2" t="str">
        <f>""</f>
        <v/>
      </c>
      <c r="CP2" t="str">
        <f>"lsalh_efet"</f>
        <v>lsalh_efet</v>
      </c>
      <c r="CQ2" t="str">
        <f>""</f>
        <v/>
      </c>
      <c r="CR2" t="str">
        <f>"lsalh_efet"</f>
        <v>lsalh_efet</v>
      </c>
      <c r="CS2" t="str">
        <f>""</f>
        <v/>
      </c>
      <c r="CT2" t="str">
        <f>"lsalh_efet"</f>
        <v>lsalh_efet</v>
      </c>
      <c r="CU2" t="str">
        <f>""</f>
        <v/>
      </c>
      <c r="CV2" t="str">
        <f>"lsalh_efet"</f>
        <v>lsalh_efet</v>
      </c>
      <c r="CW2" t="str">
        <f>""</f>
        <v/>
      </c>
      <c r="CX2" t="str">
        <f>"lsalh_efet"</f>
        <v>lsalh_efet</v>
      </c>
      <c r="CY2" t="str">
        <f>""</f>
        <v/>
      </c>
      <c r="CZ2" t="str">
        <f>"lsalh_efet"</f>
        <v>lsalh_efet</v>
      </c>
      <c r="DA2" t="str">
        <f>""</f>
        <v/>
      </c>
      <c r="DB2" t="str">
        <f>"lsalh_efet"</f>
        <v>lsalh_efet</v>
      </c>
      <c r="DC2" t="str">
        <f>""</f>
        <v/>
      </c>
      <c r="DD2" t="str">
        <f>"lsalh_efet"</f>
        <v>lsalh_efet</v>
      </c>
      <c r="DE2" t="str">
        <f>""</f>
        <v/>
      </c>
      <c r="DF2" t="str">
        <f>"lsalh_efet"</f>
        <v>lsalh_efet</v>
      </c>
      <c r="DG2" t="str">
        <f>""</f>
        <v/>
      </c>
      <c r="DH2" t="str">
        <f>"lsalh_efet"</f>
        <v>lsalh_efet</v>
      </c>
      <c r="DI2" t="str">
        <f>""</f>
        <v/>
      </c>
      <c r="DJ2" t="str">
        <f>"lsalh_efet"</f>
        <v>lsalh_efet</v>
      </c>
      <c r="DK2" t="str">
        <f>""</f>
        <v/>
      </c>
      <c r="DL2" t="str">
        <f>"lsalh_efet"</f>
        <v>lsalh_efet</v>
      </c>
      <c r="DM2" t="str">
        <f>""</f>
        <v/>
      </c>
      <c r="DN2" t="str">
        <f>"lsalh_efet"</f>
        <v>lsalh_efet</v>
      </c>
      <c r="DO2" t="str">
        <f>""</f>
        <v/>
      </c>
      <c r="DP2" t="str">
        <f>"lsalh_efet"</f>
        <v>lsalh_efet</v>
      </c>
      <c r="DQ2" t="str">
        <f>""</f>
        <v/>
      </c>
      <c r="DR2" t="str">
        <f>"lsalh_efet"</f>
        <v>lsalh_efet</v>
      </c>
      <c r="DS2" t="str">
        <f>""</f>
        <v/>
      </c>
      <c r="DT2" t="str">
        <f>"lsalh_efet"</f>
        <v>lsalh_efet</v>
      </c>
      <c r="DU2" t="str">
        <f>""</f>
        <v/>
      </c>
      <c r="DV2" t="str">
        <f>"lsalh_efet"</f>
        <v>lsalh_efet</v>
      </c>
      <c r="DW2" t="str">
        <f>""</f>
        <v/>
      </c>
      <c r="DX2" t="str">
        <f>"lsalh_efet"</f>
        <v>lsalh_efet</v>
      </c>
      <c r="DY2" t="str">
        <f>""</f>
        <v/>
      </c>
      <c r="DZ2" t="str">
        <f>"lsalh_efet"</f>
        <v>lsalh_efet</v>
      </c>
      <c r="EA2" t="str">
        <f>""</f>
        <v/>
      </c>
      <c r="EB2" t="str">
        <f>"lsalh_efet"</f>
        <v>lsalh_efet</v>
      </c>
      <c r="EC2" t="str">
        <f>""</f>
        <v/>
      </c>
      <c r="ED2" t="str">
        <f>"lsalh_efet"</f>
        <v>lsalh_efet</v>
      </c>
      <c r="EE2" t="str">
        <f>""</f>
        <v/>
      </c>
      <c r="EF2" t="str">
        <f>"lsalh_efet"</f>
        <v>lsalh_efet</v>
      </c>
      <c r="EG2" t="str">
        <f>""</f>
        <v/>
      </c>
      <c r="EH2" t="str">
        <f>"lsalh_efet"</f>
        <v>lsalh_efet</v>
      </c>
      <c r="EI2" t="str">
        <f>""</f>
        <v/>
      </c>
      <c r="EJ2" t="str">
        <f>"lsalh_efet"</f>
        <v>lsalh_efet</v>
      </c>
      <c r="EK2" t="str">
        <f>""</f>
        <v/>
      </c>
      <c r="EL2" t="str">
        <f>"lsalh_efet"</f>
        <v>lsalh_efet</v>
      </c>
      <c r="EM2" t="str">
        <f>""</f>
        <v/>
      </c>
      <c r="EN2" t="str">
        <f>"lsalh_efet"</f>
        <v>lsalh_efet</v>
      </c>
      <c r="EO2" t="str">
        <f>""</f>
        <v/>
      </c>
      <c r="EP2" t="str">
        <f>"lsalh_efet"</f>
        <v>lsalh_efet</v>
      </c>
      <c r="EQ2" t="str">
        <f>""</f>
        <v/>
      </c>
      <c r="ER2" t="str">
        <f>"lsalh_efet"</f>
        <v>lsalh_efet</v>
      </c>
      <c r="ES2" t="str">
        <f>""</f>
        <v/>
      </c>
      <c r="ET2" t="str">
        <f>"lsalh_efet"</f>
        <v>lsalh_efet</v>
      </c>
      <c r="EU2" t="str">
        <f>""</f>
        <v/>
      </c>
      <c r="EV2" t="str">
        <f>"lsalh_efet"</f>
        <v>lsalh_efet</v>
      </c>
      <c r="EW2" t="str">
        <f>""</f>
        <v/>
      </c>
      <c r="EX2" t="str">
        <f>"lsalh_efet"</f>
        <v>lsalh_efet</v>
      </c>
      <c r="EY2" t="str">
        <f>""</f>
        <v/>
      </c>
      <c r="EZ2" t="str">
        <f>"lsalh_efet"</f>
        <v>lsalh_efet</v>
      </c>
      <c r="FA2" t="str">
        <f>""</f>
        <v/>
      </c>
      <c r="FB2" t="str">
        <f>"lsalh_efet"</f>
        <v>lsalh_efet</v>
      </c>
      <c r="FC2" t="str">
        <f>""</f>
        <v/>
      </c>
      <c r="FD2" t="str">
        <f>"lsalh_efet"</f>
        <v>lsalh_efet</v>
      </c>
      <c r="FE2" t="str">
        <f>""</f>
        <v/>
      </c>
      <c r="FF2" t="str">
        <f>"lsalh_efet"</f>
        <v>lsalh_efet</v>
      </c>
      <c r="FG2" t="str">
        <f>""</f>
        <v/>
      </c>
      <c r="FH2" t="str">
        <f>"lsalh_efet"</f>
        <v>lsalh_efet</v>
      </c>
      <c r="FI2" t="str">
        <f>""</f>
        <v/>
      </c>
      <c r="FJ2" t="str">
        <f>"lsalh_efet"</f>
        <v>lsalh_efet</v>
      </c>
      <c r="FK2" t="str">
        <f>""</f>
        <v/>
      </c>
      <c r="FL2" t="str">
        <f>"lsalh_efet"</f>
        <v>lsalh_efet</v>
      </c>
      <c r="FM2" t="str">
        <f>""</f>
        <v/>
      </c>
      <c r="FN2" t="str">
        <f>"lsalh_efet"</f>
        <v>lsalh_efet</v>
      </c>
      <c r="FO2" t="str">
        <f>""</f>
        <v/>
      </c>
      <c r="FP2" t="str">
        <f>"lsalh_efet"</f>
        <v>lsalh_efet</v>
      </c>
      <c r="FQ2" t="str">
        <f>""</f>
        <v/>
      </c>
      <c r="FR2" t="str">
        <f>"lsalh_efet"</f>
        <v>lsalh_efet</v>
      </c>
      <c r="FS2" t="str">
        <f>""</f>
        <v/>
      </c>
      <c r="FT2" t="str">
        <f>"lsalh_efet"</f>
        <v>lsalh_efet</v>
      </c>
      <c r="FU2" t="str">
        <f>""</f>
        <v/>
      </c>
      <c r="FV2" t="str">
        <f>"lsalh_efet"</f>
        <v>lsalh_efet</v>
      </c>
      <c r="FW2" t="str">
        <f>""</f>
        <v/>
      </c>
      <c r="FX2" t="str">
        <f>"lsalh_efet"</f>
        <v>lsalh_efet</v>
      </c>
      <c r="FY2" t="str">
        <f>""</f>
        <v/>
      </c>
      <c r="FZ2" t="str">
        <f>"lsalh_efet"</f>
        <v>lsalh_efet</v>
      </c>
      <c r="GA2" t="str">
        <f>""</f>
        <v/>
      </c>
      <c r="GB2" t="str">
        <f>"lsalh_efet"</f>
        <v>lsalh_efet</v>
      </c>
      <c r="GC2" t="str">
        <f>""</f>
        <v/>
      </c>
      <c r="GD2" t="str">
        <f>"lsalh_efet"</f>
        <v>lsalh_efet</v>
      </c>
      <c r="GE2" t="str">
        <f>""</f>
        <v/>
      </c>
      <c r="GF2" t="str">
        <f>"lsalh_efet"</f>
        <v>lsalh_efet</v>
      </c>
      <c r="GG2" t="str">
        <f>""</f>
        <v/>
      </c>
      <c r="GH2" t="str">
        <f>"lsalh_efet"</f>
        <v>lsalh_efet</v>
      </c>
      <c r="GI2" t="str">
        <f>""</f>
        <v/>
      </c>
      <c r="GJ2" t="str">
        <f>"lsalh_efet"</f>
        <v>lsalh_efet</v>
      </c>
      <c r="GK2" t="str">
        <f>""</f>
        <v/>
      </c>
      <c r="GL2" t="str">
        <f>"lsalh_efet"</f>
        <v>lsalh_efet</v>
      </c>
      <c r="GM2" t="str">
        <f>""</f>
        <v/>
      </c>
      <c r="GN2" t="str">
        <f>"lsalh_efet"</f>
        <v>lsalh_efet</v>
      </c>
      <c r="GO2" t="str">
        <f>""</f>
        <v/>
      </c>
      <c r="GP2" t="str">
        <f>"lsalh_efet"</f>
        <v>lsalh_efet</v>
      </c>
      <c r="GQ2" t="str">
        <f>""</f>
        <v/>
      </c>
    </row>
    <row r="3" spans="1:298" x14ac:dyDescent="0.2">
      <c r="A3" t="str">
        <f>"overall"</f>
        <v>overall</v>
      </c>
      <c r="B3" t="str">
        <f>""</f>
        <v/>
      </c>
      <c r="C3" t="str">
        <f>""</f>
        <v/>
      </c>
      <c r="D3" t="str">
        <f>""</f>
        <v/>
      </c>
      <c r="E3" t="str">
        <f>""</f>
        <v/>
      </c>
      <c r="F3" t="str">
        <f>""</f>
        <v/>
      </c>
      <c r="G3" t="str">
        <f>""</f>
        <v/>
      </c>
      <c r="H3" t="str">
        <f>""</f>
        <v/>
      </c>
      <c r="I3" t="str">
        <f>""</f>
        <v/>
      </c>
      <c r="J3" t="str">
        <f>""</f>
        <v/>
      </c>
      <c r="K3" t="str">
        <f>""</f>
        <v/>
      </c>
      <c r="L3" t="str">
        <f>""</f>
        <v/>
      </c>
      <c r="M3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t="str">
        <f>""</f>
        <v/>
      </c>
      <c r="S3" t="str">
        <f>""</f>
        <v/>
      </c>
      <c r="T3" t="str">
        <f>""</f>
        <v/>
      </c>
      <c r="U3" t="str">
        <f>""</f>
        <v/>
      </c>
      <c r="V3" t="str">
        <f>""</f>
        <v/>
      </c>
      <c r="W3" t="str">
        <f>""</f>
        <v/>
      </c>
      <c r="X3" t="str">
        <f>""</f>
        <v/>
      </c>
      <c r="Y3" t="str">
        <f>""</f>
        <v/>
      </c>
      <c r="Z3" t="str">
        <f>""</f>
        <v/>
      </c>
      <c r="AA3" t="str">
        <f>""</f>
        <v/>
      </c>
      <c r="AB3" t="str">
        <f>""</f>
        <v/>
      </c>
      <c r="AC3" t="str">
        <f>""</f>
        <v/>
      </c>
      <c r="AD3" t="str">
        <f>""</f>
        <v/>
      </c>
      <c r="AE3" t="str">
        <f>""</f>
        <v/>
      </c>
      <c r="AF3" t="str">
        <f>""</f>
        <v/>
      </c>
      <c r="AG3" t="str">
        <f>""</f>
        <v/>
      </c>
      <c r="AH3" t="str">
        <f>""</f>
        <v/>
      </c>
      <c r="AI3" t="str">
        <f>""</f>
        <v/>
      </c>
      <c r="AJ3" t="str">
        <f>""</f>
        <v/>
      </c>
      <c r="AK3" t="str">
        <f>""</f>
        <v/>
      </c>
      <c r="AL3" t="str">
        <f>""</f>
        <v/>
      </c>
      <c r="AM3" t="str">
        <f>""</f>
        <v/>
      </c>
      <c r="AN3" t="str">
        <f>""</f>
        <v/>
      </c>
      <c r="AO3" t="str">
        <f>""</f>
        <v/>
      </c>
      <c r="AP3" t="str">
        <f>""</f>
        <v/>
      </c>
      <c r="AQ3" t="str">
        <f>""</f>
        <v/>
      </c>
      <c r="AR3" t="str">
        <f>""</f>
        <v/>
      </c>
      <c r="AS3" t="str">
        <f>""</f>
        <v/>
      </c>
      <c r="AT3" t="str">
        <f>""</f>
        <v/>
      </c>
      <c r="AU3" t="str">
        <f>""</f>
        <v/>
      </c>
      <c r="AV3" t="str">
        <f>""</f>
        <v/>
      </c>
      <c r="AW3" t="str">
        <f>""</f>
        <v/>
      </c>
      <c r="AX3" t="str">
        <f>""</f>
        <v/>
      </c>
      <c r="AY3" t="str">
        <f>""</f>
        <v/>
      </c>
      <c r="AZ3" t="str">
        <f>""</f>
        <v/>
      </c>
      <c r="BA3" t="str">
        <f>""</f>
        <v/>
      </c>
      <c r="BB3" t="str">
        <f>""</f>
        <v/>
      </c>
      <c r="BC3" t="str">
        <f>""</f>
        <v/>
      </c>
      <c r="BD3" t="str">
        <f>""</f>
        <v/>
      </c>
      <c r="BE3" t="str">
        <f>""</f>
        <v/>
      </c>
      <c r="BF3" t="str">
        <f>""</f>
        <v/>
      </c>
      <c r="BG3" t="str">
        <f>""</f>
        <v/>
      </c>
      <c r="BH3" t="str">
        <f>""</f>
        <v/>
      </c>
      <c r="BI3" t="str">
        <f>""</f>
        <v/>
      </c>
      <c r="BJ3" t="str">
        <f>""</f>
        <v/>
      </c>
      <c r="BK3" t="str">
        <f>""</f>
        <v/>
      </c>
      <c r="BL3" t="str">
        <f>""</f>
        <v/>
      </c>
      <c r="BM3" t="str">
        <f>""</f>
        <v/>
      </c>
      <c r="BN3" t="str">
        <f>""</f>
        <v/>
      </c>
      <c r="BO3" t="str">
        <f>""</f>
        <v/>
      </c>
      <c r="BP3" t="str">
        <f>""</f>
        <v/>
      </c>
      <c r="BQ3" t="str">
        <f>""</f>
        <v/>
      </c>
      <c r="BR3" t="str">
        <f>""</f>
        <v/>
      </c>
      <c r="BS3" t="str">
        <f>""</f>
        <v/>
      </c>
      <c r="BT3" t="str">
        <f>""</f>
        <v/>
      </c>
      <c r="BU3" t="str">
        <f>""</f>
        <v/>
      </c>
      <c r="BV3" t="str">
        <f>""</f>
        <v/>
      </c>
      <c r="BW3" t="str">
        <f>""</f>
        <v/>
      </c>
      <c r="BX3" t="str">
        <f>""</f>
        <v/>
      </c>
      <c r="BY3" t="str">
        <f>""</f>
        <v/>
      </c>
      <c r="BZ3" t="str">
        <f>""</f>
        <v/>
      </c>
      <c r="CA3" t="str">
        <f>""</f>
        <v/>
      </c>
      <c r="CB3" t="str">
        <f>""</f>
        <v/>
      </c>
      <c r="CC3" t="str">
        <f>""</f>
        <v/>
      </c>
      <c r="CD3" t="str">
        <f>""</f>
        <v/>
      </c>
      <c r="CE3" t="str">
        <f>""</f>
        <v/>
      </c>
      <c r="CF3" t="str">
        <f>""</f>
        <v/>
      </c>
      <c r="CG3" t="str">
        <f>""</f>
        <v/>
      </c>
      <c r="CH3" t="str">
        <f>""</f>
        <v/>
      </c>
      <c r="CI3" t="str">
        <f>""</f>
        <v/>
      </c>
      <c r="CJ3" t="str">
        <f>""</f>
        <v/>
      </c>
      <c r="CK3" t="str">
        <f>""</f>
        <v/>
      </c>
      <c r="CL3" t="str">
        <f>""</f>
        <v/>
      </c>
      <c r="CM3" t="str">
        <f>""</f>
        <v/>
      </c>
      <c r="CN3" t="str">
        <f>""</f>
        <v/>
      </c>
      <c r="CO3" t="str">
        <f>""</f>
        <v/>
      </c>
      <c r="CP3" t="str">
        <f>""</f>
        <v/>
      </c>
      <c r="CQ3" t="str">
        <f>""</f>
        <v/>
      </c>
      <c r="CR3" t="str">
        <f>""</f>
        <v/>
      </c>
      <c r="CS3" t="str">
        <f>""</f>
        <v/>
      </c>
      <c r="CT3" t="str">
        <f>""</f>
        <v/>
      </c>
      <c r="CU3" t="str">
        <f>""</f>
        <v/>
      </c>
      <c r="CV3" t="str">
        <f>""</f>
        <v/>
      </c>
      <c r="CW3" t="str">
        <f>""</f>
        <v/>
      </c>
      <c r="CX3" t="str">
        <f>""</f>
        <v/>
      </c>
      <c r="CY3" t="str">
        <f>""</f>
        <v/>
      </c>
      <c r="CZ3" t="str">
        <f>""</f>
        <v/>
      </c>
      <c r="DA3" t="str">
        <f>""</f>
        <v/>
      </c>
      <c r="DB3" t="str">
        <f>""</f>
        <v/>
      </c>
      <c r="DC3" t="str">
        <f>""</f>
        <v/>
      </c>
      <c r="DD3" t="str">
        <f>""</f>
        <v/>
      </c>
      <c r="DE3" t="str">
        <f>""</f>
        <v/>
      </c>
      <c r="DF3" t="str">
        <f>""</f>
        <v/>
      </c>
      <c r="DG3" t="str">
        <f>""</f>
        <v/>
      </c>
      <c r="DH3" t="str">
        <f>""</f>
        <v/>
      </c>
      <c r="DI3" t="str">
        <f>""</f>
        <v/>
      </c>
      <c r="DJ3" t="str">
        <f>""</f>
        <v/>
      </c>
      <c r="DK3" t="str">
        <f>""</f>
        <v/>
      </c>
      <c r="DL3" t="str">
        <f>""</f>
        <v/>
      </c>
      <c r="DM3" t="str">
        <f>""</f>
        <v/>
      </c>
      <c r="DN3" t="str">
        <f>""</f>
        <v/>
      </c>
      <c r="DO3" t="str">
        <f>""</f>
        <v/>
      </c>
      <c r="DP3" t="str">
        <f>""</f>
        <v/>
      </c>
      <c r="DQ3" t="str">
        <f>""</f>
        <v/>
      </c>
      <c r="DR3" t="str">
        <f>""</f>
        <v/>
      </c>
      <c r="DS3" t="str">
        <f>""</f>
        <v/>
      </c>
      <c r="DT3" t="str">
        <f>""</f>
        <v/>
      </c>
      <c r="DU3" t="str">
        <f>""</f>
        <v/>
      </c>
      <c r="DV3" t="str">
        <f>""</f>
        <v/>
      </c>
      <c r="DW3" t="str">
        <f>""</f>
        <v/>
      </c>
      <c r="DX3" t="str">
        <f>""</f>
        <v/>
      </c>
      <c r="DY3" t="str">
        <f>""</f>
        <v/>
      </c>
      <c r="DZ3" t="str">
        <f>""</f>
        <v/>
      </c>
      <c r="EA3" t="str">
        <f>""</f>
        <v/>
      </c>
      <c r="EB3" t="str">
        <f>""</f>
        <v/>
      </c>
      <c r="EC3" t="str">
        <f>""</f>
        <v/>
      </c>
      <c r="ED3" t="str">
        <f>""</f>
        <v/>
      </c>
      <c r="EE3" t="str">
        <f>""</f>
        <v/>
      </c>
      <c r="EF3" t="str">
        <f>""</f>
        <v/>
      </c>
      <c r="EG3" t="str">
        <f>""</f>
        <v/>
      </c>
      <c r="EH3" t="str">
        <f>""</f>
        <v/>
      </c>
      <c r="EI3" t="str">
        <f>""</f>
        <v/>
      </c>
      <c r="EJ3" t="str">
        <f>""</f>
        <v/>
      </c>
      <c r="EK3" t="str">
        <f>""</f>
        <v/>
      </c>
      <c r="EL3" t="str">
        <f>""</f>
        <v/>
      </c>
      <c r="EM3" t="str">
        <f>""</f>
        <v/>
      </c>
      <c r="EN3" t="str">
        <f>""</f>
        <v/>
      </c>
      <c r="EO3" t="str">
        <f>""</f>
        <v/>
      </c>
      <c r="EP3" t="str">
        <f>""</f>
        <v/>
      </c>
      <c r="EQ3" t="str">
        <f>""</f>
        <v/>
      </c>
      <c r="ER3" t="str">
        <f>""</f>
        <v/>
      </c>
      <c r="ES3" t="str">
        <f>""</f>
        <v/>
      </c>
      <c r="ET3" t="str">
        <f>""</f>
        <v/>
      </c>
      <c r="EU3" t="str">
        <f>""</f>
        <v/>
      </c>
      <c r="EV3" t="str">
        <f>""</f>
        <v/>
      </c>
      <c r="EW3" t="str">
        <f>""</f>
        <v/>
      </c>
      <c r="EX3" t="str">
        <f>""</f>
        <v/>
      </c>
      <c r="EY3" t="str">
        <f>""</f>
        <v/>
      </c>
      <c r="EZ3" t="str">
        <f>""</f>
        <v/>
      </c>
      <c r="FA3" t="str">
        <f>""</f>
        <v/>
      </c>
      <c r="FB3" t="str">
        <f>""</f>
        <v/>
      </c>
      <c r="FC3" t="str">
        <f>""</f>
        <v/>
      </c>
      <c r="FD3" t="str">
        <f>""</f>
        <v/>
      </c>
      <c r="FE3" t="str">
        <f>""</f>
        <v/>
      </c>
      <c r="FF3" t="str">
        <f>""</f>
        <v/>
      </c>
      <c r="FG3" t="str">
        <f>""</f>
        <v/>
      </c>
      <c r="FH3" t="str">
        <f>""</f>
        <v/>
      </c>
      <c r="FI3" t="str">
        <f>""</f>
        <v/>
      </c>
      <c r="FJ3" t="str">
        <f>""</f>
        <v/>
      </c>
      <c r="FK3" t="str">
        <f>""</f>
        <v/>
      </c>
      <c r="FL3" t="str">
        <f>""</f>
        <v/>
      </c>
      <c r="FM3" t="str">
        <f>""</f>
        <v/>
      </c>
      <c r="FN3" t="str">
        <f>""</f>
        <v/>
      </c>
      <c r="FO3" t="str">
        <f>""</f>
        <v/>
      </c>
      <c r="FP3" t="str">
        <f>""</f>
        <v/>
      </c>
      <c r="FQ3" t="str">
        <f>""</f>
        <v/>
      </c>
      <c r="FR3" t="str">
        <f>""</f>
        <v/>
      </c>
      <c r="FS3" t="str">
        <f>""</f>
        <v/>
      </c>
      <c r="FT3" t="str">
        <f>""</f>
        <v/>
      </c>
      <c r="FU3" t="str">
        <f>""</f>
        <v/>
      </c>
      <c r="FV3" t="str">
        <f>""</f>
        <v/>
      </c>
      <c r="FW3" t="str">
        <f>""</f>
        <v/>
      </c>
      <c r="FX3" t="str">
        <f>""</f>
        <v/>
      </c>
      <c r="FY3" t="str">
        <f>""</f>
        <v/>
      </c>
      <c r="FZ3" t="str">
        <f>""</f>
        <v/>
      </c>
      <c r="GA3" t="str">
        <f>""</f>
        <v/>
      </c>
      <c r="GB3" t="str">
        <f>""</f>
        <v/>
      </c>
      <c r="GC3" t="str">
        <f>""</f>
        <v/>
      </c>
      <c r="GD3" t="str">
        <f>""</f>
        <v/>
      </c>
      <c r="GE3" t="str">
        <f>""</f>
        <v/>
      </c>
      <c r="GF3" t="str">
        <f>""</f>
        <v/>
      </c>
      <c r="GG3" t="str">
        <f>""</f>
        <v/>
      </c>
      <c r="GH3" t="str">
        <f>""</f>
        <v/>
      </c>
      <c r="GI3" t="str">
        <f>""</f>
        <v/>
      </c>
      <c r="GJ3" t="str">
        <f>""</f>
        <v/>
      </c>
      <c r="GK3" t="str">
        <f>""</f>
        <v/>
      </c>
      <c r="GL3" t="str">
        <f>""</f>
        <v/>
      </c>
      <c r="GM3" t="str">
        <f>""</f>
        <v/>
      </c>
      <c r="GN3" t="str">
        <f>""</f>
        <v/>
      </c>
      <c r="GO3" t="str">
        <f>""</f>
        <v/>
      </c>
      <c r="GP3" t="str">
        <f>""</f>
        <v/>
      </c>
      <c r="GQ3" t="str">
        <f>""</f>
        <v/>
      </c>
    </row>
    <row r="4" spans="1:298" x14ac:dyDescent="0.2">
      <c r="A4" t="str">
        <f>"group_1"</f>
        <v>group_1</v>
      </c>
      <c r="B4" t="str">
        <f>"0.0236***"</f>
        <v>0.0236***</v>
      </c>
      <c r="C4" t="s">
        <v>3628</v>
      </c>
      <c r="D4" t="s">
        <v>1231</v>
      </c>
      <c r="E4" t="str">
        <f>"0.0949***"</f>
        <v>0.0949***</v>
      </c>
      <c r="F4" t="s">
        <v>4889</v>
      </c>
      <c r="G4" t="s">
        <v>4681</v>
      </c>
      <c r="H4" t="str">
        <f>"0.166***"</f>
        <v>0.166***</v>
      </c>
      <c r="I4" t="s">
        <v>4890</v>
      </c>
      <c r="J4" t="s">
        <v>4891</v>
      </c>
      <c r="K4" t="str">
        <f>"0.371***"</f>
        <v>0.371***</v>
      </c>
      <c r="L4" t="s">
        <v>4892</v>
      </c>
      <c r="M4" t="s">
        <v>4893</v>
      </c>
      <c r="N4" t="str">
        <f>"0.660***"</f>
        <v>0.660***</v>
      </c>
      <c r="O4" t="s">
        <v>4894</v>
      </c>
      <c r="P4" t="s">
        <v>4895</v>
      </c>
      <c r="Q4" t="str">
        <f>"0.841***"</f>
        <v>0.841***</v>
      </c>
      <c r="R4" t="s">
        <v>4896</v>
      </c>
      <c r="S4" t="s">
        <v>4897</v>
      </c>
      <c r="T4" t="str">
        <f>"0.973***"</f>
        <v>0.973***</v>
      </c>
      <c r="U4" t="s">
        <v>4898</v>
      </c>
      <c r="V4" t="s">
        <v>4899</v>
      </c>
      <c r="W4" t="str">
        <f>"1.067***"</f>
        <v>1.067***</v>
      </c>
      <c r="X4" t="s">
        <v>4900</v>
      </c>
      <c r="Y4" t="s">
        <v>4901</v>
      </c>
      <c r="Z4" t="str">
        <f>"1.178***"</f>
        <v>1.178***</v>
      </c>
      <c r="AA4" t="s">
        <v>4902</v>
      </c>
      <c r="AB4" t="s">
        <v>4903</v>
      </c>
      <c r="AC4" t="str">
        <f>"1.248***"</f>
        <v>1.248***</v>
      </c>
      <c r="AD4" t="s">
        <v>4904</v>
      </c>
      <c r="AE4" t="s">
        <v>4905</v>
      </c>
      <c r="AF4" t="str">
        <f>"1.354***"</f>
        <v>1.354***</v>
      </c>
      <c r="AG4" t="s">
        <v>4906</v>
      </c>
      <c r="AH4" t="s">
        <v>4907</v>
      </c>
      <c r="AI4" t="str">
        <f>"1.401***"</f>
        <v>1.401***</v>
      </c>
      <c r="AJ4" t="s">
        <v>4908</v>
      </c>
      <c r="AK4" t="s">
        <v>4909</v>
      </c>
      <c r="AL4" t="str">
        <f>"1.473***"</f>
        <v>1.473***</v>
      </c>
      <c r="AM4" t="s">
        <v>4910</v>
      </c>
      <c r="AN4" t="s">
        <v>4911</v>
      </c>
      <c r="AO4" t="str">
        <f>"1.541***"</f>
        <v>1.541***</v>
      </c>
      <c r="AP4" t="s">
        <v>4912</v>
      </c>
      <c r="AQ4" t="s">
        <v>4913</v>
      </c>
      <c r="AR4" t="str">
        <f>"1.539***"</f>
        <v>1.539***</v>
      </c>
      <c r="AS4" t="s">
        <v>4914</v>
      </c>
      <c r="AT4" t="s">
        <v>4915</v>
      </c>
      <c r="AU4" t="str">
        <f>"1.619***"</f>
        <v>1.619***</v>
      </c>
      <c r="AV4" t="s">
        <v>4916</v>
      </c>
      <c r="AW4" t="s">
        <v>4917</v>
      </c>
      <c r="AX4" t="str">
        <f>"1.661***"</f>
        <v>1.661***</v>
      </c>
      <c r="AY4" t="s">
        <v>4918</v>
      </c>
      <c r="AZ4" t="s">
        <v>4919</v>
      </c>
      <c r="BA4" t="str">
        <f>"1.672***"</f>
        <v>1.672***</v>
      </c>
      <c r="BB4" t="s">
        <v>4920</v>
      </c>
      <c r="BC4" t="s">
        <v>4921</v>
      </c>
      <c r="BD4" t="str">
        <f>"1.707***"</f>
        <v>1.707***</v>
      </c>
      <c r="BE4" t="s">
        <v>2550</v>
      </c>
      <c r="BF4" t="s">
        <v>4922</v>
      </c>
      <c r="BG4" t="str">
        <f>"1.755***"</f>
        <v>1.755***</v>
      </c>
      <c r="BH4" t="s">
        <v>4923</v>
      </c>
      <c r="BI4" t="s">
        <v>4924</v>
      </c>
      <c r="BJ4" t="str">
        <f>"1.768***"</f>
        <v>1.768***</v>
      </c>
      <c r="BK4" t="s">
        <v>4925</v>
      </c>
      <c r="BL4" t="s">
        <v>4926</v>
      </c>
      <c r="BM4" t="str">
        <f>"1.757***"</f>
        <v>1.757***</v>
      </c>
      <c r="BN4" t="s">
        <v>4927</v>
      </c>
      <c r="BO4" t="s">
        <v>4928</v>
      </c>
      <c r="BP4" t="str">
        <f>"1.759***"</f>
        <v>1.759***</v>
      </c>
      <c r="BQ4" t="s">
        <v>4929</v>
      </c>
      <c r="BR4" t="s">
        <v>4930</v>
      </c>
      <c r="BS4" t="str">
        <f>"1.758***"</f>
        <v>1.758***</v>
      </c>
      <c r="BT4" t="s">
        <v>4931</v>
      </c>
      <c r="BU4" t="s">
        <v>4932</v>
      </c>
      <c r="BV4" t="str">
        <f>"1.798***"</f>
        <v>1.798***</v>
      </c>
      <c r="BW4" t="s">
        <v>4933</v>
      </c>
      <c r="BX4" t="s">
        <v>4934</v>
      </c>
      <c r="BY4" t="str">
        <f>"1.803***"</f>
        <v>1.803***</v>
      </c>
      <c r="BZ4" t="s">
        <v>4935</v>
      </c>
      <c r="CA4" t="s">
        <v>4936</v>
      </c>
      <c r="CB4" t="str">
        <f>"1.837***"</f>
        <v>1.837***</v>
      </c>
      <c r="CC4" t="s">
        <v>4937</v>
      </c>
      <c r="CD4" t="s">
        <v>4938</v>
      </c>
      <c r="CE4" t="str">
        <f>"1.845***"</f>
        <v>1.845***</v>
      </c>
      <c r="CF4" t="s">
        <v>4939</v>
      </c>
      <c r="CG4" t="s">
        <v>4940</v>
      </c>
      <c r="CH4" t="str">
        <f>"1.859***"</f>
        <v>1.859***</v>
      </c>
      <c r="CI4" t="s">
        <v>4941</v>
      </c>
      <c r="CJ4" t="s">
        <v>4942</v>
      </c>
      <c r="CK4" t="str">
        <f>"1.853***"</f>
        <v>1.853***</v>
      </c>
      <c r="CL4" t="s">
        <v>4943</v>
      </c>
      <c r="CM4" t="s">
        <v>4944</v>
      </c>
      <c r="CN4" t="str">
        <f>"1.855***"</f>
        <v>1.855***</v>
      </c>
      <c r="CO4" t="s">
        <v>4945</v>
      </c>
      <c r="CP4" t="s">
        <v>4946</v>
      </c>
      <c r="CQ4" t="str">
        <f>"1.902***"</f>
        <v>1.902***</v>
      </c>
      <c r="CR4" t="s">
        <v>4947</v>
      </c>
      <c r="CS4" t="s">
        <v>4948</v>
      </c>
      <c r="CT4" t="str">
        <f>"1.925***"</f>
        <v>1.925***</v>
      </c>
      <c r="CU4" t="s">
        <v>4949</v>
      </c>
      <c r="CV4" t="s">
        <v>4950</v>
      </c>
      <c r="CW4" t="str">
        <f>"1.947***"</f>
        <v>1.947***</v>
      </c>
      <c r="CX4" t="s">
        <v>4951</v>
      </c>
      <c r="CY4" t="s">
        <v>4952</v>
      </c>
      <c r="CZ4" t="str">
        <f>"1.941***"</f>
        <v>1.941***</v>
      </c>
      <c r="DA4" t="s">
        <v>4953</v>
      </c>
      <c r="DB4" t="s">
        <v>4954</v>
      </c>
      <c r="DC4" t="str">
        <f>"1.961***"</f>
        <v>1.961***</v>
      </c>
      <c r="DD4" t="s">
        <v>4955</v>
      </c>
      <c r="DE4" t="s">
        <v>4956</v>
      </c>
      <c r="DF4" t="str">
        <f>"1.987***"</f>
        <v>1.987***</v>
      </c>
      <c r="DG4" t="s">
        <v>2592</v>
      </c>
      <c r="DH4" t="s">
        <v>4957</v>
      </c>
      <c r="DI4" t="str">
        <f>"2.020***"</f>
        <v>2.020***</v>
      </c>
      <c r="DJ4" t="s">
        <v>4958</v>
      </c>
      <c r="DK4" t="s">
        <v>4959</v>
      </c>
      <c r="DL4" t="str">
        <f>"2.046***"</f>
        <v>2.046***</v>
      </c>
      <c r="DM4" t="s">
        <v>4960</v>
      </c>
      <c r="DN4" t="s">
        <v>4961</v>
      </c>
      <c r="DO4" t="str">
        <f>"2.046***"</f>
        <v>2.046***</v>
      </c>
      <c r="DP4" t="s">
        <v>4962</v>
      </c>
      <c r="DQ4" t="s">
        <v>4963</v>
      </c>
      <c r="DR4" t="str">
        <f>"2.068***"</f>
        <v>2.068***</v>
      </c>
      <c r="DS4" t="s">
        <v>4964</v>
      </c>
      <c r="DT4" t="s">
        <v>4965</v>
      </c>
      <c r="DU4" t="str">
        <f>"2.081***"</f>
        <v>2.081***</v>
      </c>
      <c r="DV4" t="s">
        <v>4966</v>
      </c>
      <c r="DW4" t="s">
        <v>4967</v>
      </c>
      <c r="DX4" t="str">
        <f>"2.095***"</f>
        <v>2.095***</v>
      </c>
      <c r="DY4" t="s">
        <v>4968</v>
      </c>
      <c r="DZ4" t="s">
        <v>4969</v>
      </c>
      <c r="EA4" t="str">
        <f>"2.132***"</f>
        <v>2.132***</v>
      </c>
      <c r="EB4" t="s">
        <v>4970</v>
      </c>
      <c r="EC4" t="s">
        <v>4971</v>
      </c>
      <c r="ED4" t="str">
        <f>"2.140***"</f>
        <v>2.140***</v>
      </c>
      <c r="EE4" t="s">
        <v>4972</v>
      </c>
      <c r="EF4" t="s">
        <v>4973</v>
      </c>
      <c r="EG4" t="str">
        <f>"2.165***"</f>
        <v>2.165***</v>
      </c>
      <c r="EH4" t="s">
        <v>4974</v>
      </c>
      <c r="EI4" t="s">
        <v>4975</v>
      </c>
      <c r="EJ4" t="str">
        <f>"2.163***"</f>
        <v>2.163***</v>
      </c>
      <c r="EK4" t="s">
        <v>4976</v>
      </c>
      <c r="EL4" t="s">
        <v>4977</v>
      </c>
      <c r="EM4" t="str">
        <f>"2.168***"</f>
        <v>2.168***</v>
      </c>
      <c r="EN4" t="s">
        <v>4978</v>
      </c>
      <c r="EO4" t="s">
        <v>4979</v>
      </c>
      <c r="EP4" t="str">
        <f>"2.216***"</f>
        <v>2.216***</v>
      </c>
      <c r="EQ4" t="s">
        <v>4980</v>
      </c>
      <c r="ER4" t="s">
        <v>4981</v>
      </c>
      <c r="ES4" t="str">
        <f>"2.227***"</f>
        <v>2.227***</v>
      </c>
      <c r="ET4" t="s">
        <v>4982</v>
      </c>
      <c r="EU4" t="s">
        <v>4983</v>
      </c>
      <c r="EV4" t="str">
        <f>"2.232***"</f>
        <v>2.232***</v>
      </c>
      <c r="EW4" t="s">
        <v>4984</v>
      </c>
      <c r="EX4" t="s">
        <v>4985</v>
      </c>
      <c r="EY4" t="str">
        <f>"2.265***"</f>
        <v>2.265***</v>
      </c>
      <c r="EZ4" t="s">
        <v>4986</v>
      </c>
      <c r="FA4" t="s">
        <v>4987</v>
      </c>
      <c r="FB4" t="str">
        <f>"2.276***"</f>
        <v>2.276***</v>
      </c>
      <c r="FC4" t="s">
        <v>4988</v>
      </c>
      <c r="FD4" t="s">
        <v>4989</v>
      </c>
      <c r="FE4" t="str">
        <f>"2.312***"</f>
        <v>2.312***</v>
      </c>
      <c r="FF4" t="s">
        <v>4990</v>
      </c>
      <c r="FG4" t="s">
        <v>4991</v>
      </c>
      <c r="FH4" t="str">
        <f>"2.349***"</f>
        <v>2.349***</v>
      </c>
      <c r="FI4" t="s">
        <v>4992</v>
      </c>
      <c r="FJ4" t="s">
        <v>4993</v>
      </c>
      <c r="FK4" t="str">
        <f>"2.358***"</f>
        <v>2.358***</v>
      </c>
      <c r="FL4" t="s">
        <v>4994</v>
      </c>
      <c r="FM4" t="s">
        <v>4995</v>
      </c>
      <c r="FN4" t="str">
        <f>"2.358***"</f>
        <v>2.358***</v>
      </c>
      <c r="FO4" t="s">
        <v>4996</v>
      </c>
      <c r="FP4" t="s">
        <v>4997</v>
      </c>
      <c r="FQ4" t="str">
        <f>"2.399***"</f>
        <v>2.399***</v>
      </c>
      <c r="FR4" t="s">
        <v>4998</v>
      </c>
      <c r="FS4" t="s">
        <v>4999</v>
      </c>
      <c r="FT4" t="str">
        <f>"2.448***"</f>
        <v>2.448***</v>
      </c>
      <c r="FU4" t="s">
        <v>5000</v>
      </c>
      <c r="FV4" t="s">
        <v>5001</v>
      </c>
      <c r="FW4" t="str">
        <f>"2.462***"</f>
        <v>2.462***</v>
      </c>
      <c r="FX4" t="s">
        <v>5002</v>
      </c>
      <c r="FY4" t="s">
        <v>5003</v>
      </c>
      <c r="FZ4" t="str">
        <f>"2.453***"</f>
        <v>2.453***</v>
      </c>
      <c r="GA4" t="s">
        <v>5004</v>
      </c>
      <c r="GB4" t="s">
        <v>5005</v>
      </c>
      <c r="GC4" t="str">
        <f>"2.456***"</f>
        <v>2.456***</v>
      </c>
      <c r="GD4" t="s">
        <v>5006</v>
      </c>
      <c r="GE4" t="s">
        <v>5007</v>
      </c>
      <c r="GF4" t="str">
        <f>"2.454***"</f>
        <v>2.454***</v>
      </c>
      <c r="GG4" t="s">
        <v>5008</v>
      </c>
      <c r="GH4" t="s">
        <v>5009</v>
      </c>
      <c r="GI4" t="str">
        <f>"2.495***"</f>
        <v>2.495***</v>
      </c>
      <c r="GJ4" t="s">
        <v>5010</v>
      </c>
      <c r="GK4" t="s">
        <v>5011</v>
      </c>
      <c r="GL4" t="str">
        <f>"2.537***"</f>
        <v>2.537***</v>
      </c>
      <c r="GM4" t="s">
        <v>5012</v>
      </c>
      <c r="GN4" t="s">
        <v>5013</v>
      </c>
      <c r="GO4" t="str">
        <f>"2.556***"</f>
        <v>2.556***</v>
      </c>
      <c r="GP4" t="s">
        <v>5014</v>
      </c>
      <c r="GQ4" t="s">
        <v>5015</v>
      </c>
      <c r="GR4" t="str">
        <f>"2.579***"</f>
        <v>2.579***</v>
      </c>
      <c r="GS4" t="s">
        <v>5016</v>
      </c>
      <c r="GT4" t="s">
        <v>5017</v>
      </c>
      <c r="GU4" t="str">
        <f>"2.605***"</f>
        <v>2.605***</v>
      </c>
      <c r="GV4" t="s">
        <v>5018</v>
      </c>
      <c r="GW4" t="s">
        <v>5019</v>
      </c>
      <c r="GX4" t="str">
        <f>"2.633***"</f>
        <v>2.633***</v>
      </c>
      <c r="GY4" t="s">
        <v>5020</v>
      </c>
      <c r="GZ4" t="s">
        <v>5021</v>
      </c>
      <c r="HA4" t="str">
        <f>"2.681***"</f>
        <v>2.681***</v>
      </c>
      <c r="HB4" t="s">
        <v>5022</v>
      </c>
      <c r="HC4" t="s">
        <v>5023</v>
      </c>
      <c r="HD4" t="str">
        <f>"2.676***"</f>
        <v>2.676***</v>
      </c>
      <c r="HE4" t="s">
        <v>5024</v>
      </c>
      <c r="HF4" t="s">
        <v>5025</v>
      </c>
      <c r="HG4" t="str">
        <f>"2.738***"</f>
        <v>2.738***</v>
      </c>
      <c r="HH4" t="s">
        <v>5026</v>
      </c>
      <c r="HI4" t="s">
        <v>5027</v>
      </c>
      <c r="HJ4" t="str">
        <f>"2.763***"</f>
        <v>2.763***</v>
      </c>
      <c r="HK4" t="s">
        <v>5028</v>
      </c>
      <c r="HL4" t="s">
        <v>5029</v>
      </c>
      <c r="HM4" t="str">
        <f>"2.778***"</f>
        <v>2.778***</v>
      </c>
      <c r="HN4" t="s">
        <v>5030</v>
      </c>
      <c r="HO4" t="s">
        <v>5031</v>
      </c>
      <c r="HP4" t="str">
        <f>"2.824***"</f>
        <v>2.824***</v>
      </c>
      <c r="HQ4" t="s">
        <v>5032</v>
      </c>
      <c r="HR4" t="s">
        <v>5033</v>
      </c>
      <c r="HS4" t="str">
        <f>"2.866***"</f>
        <v>2.866***</v>
      </c>
      <c r="HT4" t="s">
        <v>5034</v>
      </c>
      <c r="HU4" t="s">
        <v>5035</v>
      </c>
      <c r="HV4" t="str">
        <f>"2.856***"</f>
        <v>2.856***</v>
      </c>
      <c r="HW4" t="s">
        <v>5036</v>
      </c>
      <c r="HX4" t="s">
        <v>5037</v>
      </c>
      <c r="HY4" t="str">
        <f>"2.899***"</f>
        <v>2.899***</v>
      </c>
      <c r="HZ4" t="s">
        <v>5038</v>
      </c>
      <c r="IA4" t="s">
        <v>5039</v>
      </c>
      <c r="IB4" t="str">
        <f>"2.935***"</f>
        <v>2.935***</v>
      </c>
      <c r="IC4" t="s">
        <v>5040</v>
      </c>
      <c r="ID4" t="s">
        <v>5041</v>
      </c>
      <c r="IE4" t="str">
        <f>"2.972***"</f>
        <v>2.972***</v>
      </c>
      <c r="IF4" t="s">
        <v>5042</v>
      </c>
      <c r="IG4" t="s">
        <v>5043</v>
      </c>
      <c r="IH4" t="str">
        <f>"3.026***"</f>
        <v>3.026***</v>
      </c>
      <c r="II4" t="s">
        <v>5044</v>
      </c>
      <c r="IJ4" t="s">
        <v>5045</v>
      </c>
      <c r="IK4" t="str">
        <f>"3.074***"</f>
        <v>3.074***</v>
      </c>
      <c r="IL4" t="s">
        <v>5046</v>
      </c>
      <c r="IM4" t="s">
        <v>5047</v>
      </c>
      <c r="IN4" t="str">
        <f>"3.150***"</f>
        <v>3.150***</v>
      </c>
      <c r="IO4" t="s">
        <v>5048</v>
      </c>
      <c r="IP4" t="s">
        <v>5049</v>
      </c>
      <c r="IQ4" t="str">
        <f>"3.144***"</f>
        <v>3.144***</v>
      </c>
      <c r="IR4" t="s">
        <v>5050</v>
      </c>
      <c r="IS4" t="s">
        <v>5051</v>
      </c>
      <c r="IT4" t="str">
        <f>"3.181***"</f>
        <v>3.181***</v>
      </c>
      <c r="IU4" t="s">
        <v>5052</v>
      </c>
      <c r="IV4" t="s">
        <v>5053</v>
      </c>
      <c r="IW4" t="str">
        <f>"3.250***"</f>
        <v>3.250***</v>
      </c>
      <c r="IX4" t="s">
        <v>5054</v>
      </c>
      <c r="IY4" t="s">
        <v>5055</v>
      </c>
      <c r="IZ4" t="str">
        <f>"3.300***"</f>
        <v>3.300***</v>
      </c>
      <c r="JA4" t="s">
        <v>5056</v>
      </c>
      <c r="JB4" t="s">
        <v>5057</v>
      </c>
      <c r="JC4" t="str">
        <f>"3.378***"</f>
        <v>3.378***</v>
      </c>
      <c r="JD4" t="s">
        <v>5058</v>
      </c>
      <c r="JE4" t="s">
        <v>5059</v>
      </c>
      <c r="JF4" t="str">
        <f>"3.396***"</f>
        <v>3.396***</v>
      </c>
      <c r="JG4" t="s">
        <v>5060</v>
      </c>
      <c r="JH4" t="s">
        <v>5061</v>
      </c>
      <c r="JI4" t="str">
        <f>"3.464***"</f>
        <v>3.464***</v>
      </c>
      <c r="JJ4" t="s">
        <v>5062</v>
      </c>
      <c r="JK4" t="s">
        <v>5063</v>
      </c>
      <c r="JL4" t="str">
        <f>"3.549***"</f>
        <v>3.549***</v>
      </c>
      <c r="JM4" t="s">
        <v>5064</v>
      </c>
      <c r="JN4" t="s">
        <v>5065</v>
      </c>
      <c r="JO4" t="str">
        <f>"3.628***"</f>
        <v>3.628***</v>
      </c>
      <c r="JP4" t="s">
        <v>5066</v>
      </c>
      <c r="JQ4" t="s">
        <v>5067</v>
      </c>
      <c r="JR4" t="str">
        <f>"3.704***"</f>
        <v>3.704***</v>
      </c>
      <c r="JS4" t="s">
        <v>5068</v>
      </c>
      <c r="JT4" t="s">
        <v>5069</v>
      </c>
      <c r="JU4" t="str">
        <f>"3.856***"</f>
        <v>3.856***</v>
      </c>
      <c r="JV4" t="s">
        <v>5070</v>
      </c>
      <c r="JW4" t="s">
        <v>5071</v>
      </c>
      <c r="JX4" t="str">
        <f>"3.955***"</f>
        <v>3.955***</v>
      </c>
      <c r="JY4" t="s">
        <v>5072</v>
      </c>
      <c r="JZ4" t="s">
        <v>5073</v>
      </c>
      <c r="KA4" t="str">
        <f>"4.062***"</f>
        <v>4.062***</v>
      </c>
      <c r="KB4" t="s">
        <v>5074</v>
      </c>
      <c r="KC4" t="s">
        <v>5075</v>
      </c>
      <c r="KD4" t="str">
        <f>"4.283***"</f>
        <v>4.283***</v>
      </c>
      <c r="KE4" t="s">
        <v>5076</v>
      </c>
      <c r="KF4" t="s">
        <v>5077</v>
      </c>
      <c r="KG4" t="str">
        <f>"4.530***"</f>
        <v>4.530***</v>
      </c>
      <c r="KH4" t="s">
        <v>5078</v>
      </c>
      <c r="KI4" t="s">
        <v>5079</v>
      </c>
      <c r="KJ4" t="str">
        <f>"4.864***"</f>
        <v>4.864***</v>
      </c>
      <c r="KK4" t="s">
        <v>5080</v>
      </c>
      <c r="KL4" t="s">
        <v>5081</v>
      </c>
    </row>
    <row r="5" spans="1:298" x14ac:dyDescent="0.2">
      <c r="A5" t="str">
        <f>"group_2"</f>
        <v>group_2</v>
      </c>
      <c r="B5" t="str">
        <f>"0.0205***"</f>
        <v>0.0205***</v>
      </c>
      <c r="C5" t="s">
        <v>1664</v>
      </c>
      <c r="D5" t="s">
        <v>744</v>
      </c>
      <c r="E5" t="str">
        <f>"0.0884***"</f>
        <v>0.0884***</v>
      </c>
      <c r="F5" t="s">
        <v>5082</v>
      </c>
      <c r="G5" t="s">
        <v>5083</v>
      </c>
      <c r="H5" t="str">
        <f>"0.156***"</f>
        <v>0.156***</v>
      </c>
      <c r="I5" t="s">
        <v>5084</v>
      </c>
      <c r="J5" t="s">
        <v>3991</v>
      </c>
      <c r="K5" t="str">
        <f>"0.285***"</f>
        <v>0.285***</v>
      </c>
      <c r="L5" t="s">
        <v>5085</v>
      </c>
      <c r="M5" t="s">
        <v>5086</v>
      </c>
      <c r="N5" t="str">
        <f>"0.603***"</f>
        <v>0.603***</v>
      </c>
      <c r="O5" t="s">
        <v>5087</v>
      </c>
      <c r="P5" t="s">
        <v>5088</v>
      </c>
      <c r="Q5" t="str">
        <f>"0.822***"</f>
        <v>0.822***</v>
      </c>
      <c r="R5" t="s">
        <v>5089</v>
      </c>
      <c r="S5" t="s">
        <v>5090</v>
      </c>
      <c r="T5" t="str">
        <f>"0.908***"</f>
        <v>0.908***</v>
      </c>
      <c r="U5" t="s">
        <v>5091</v>
      </c>
      <c r="V5" t="s">
        <v>5092</v>
      </c>
      <c r="W5" t="str">
        <f>"1.107***"</f>
        <v>1.107***</v>
      </c>
      <c r="X5" t="s">
        <v>5093</v>
      </c>
      <c r="Y5" t="s">
        <v>5094</v>
      </c>
      <c r="Z5" t="str">
        <f>"1.173***"</f>
        <v>1.173***</v>
      </c>
      <c r="AA5" t="s">
        <v>5095</v>
      </c>
      <c r="AB5" t="s">
        <v>5096</v>
      </c>
      <c r="AC5" t="str">
        <f>"1.290***"</f>
        <v>1.290***</v>
      </c>
      <c r="AD5" t="s">
        <v>5097</v>
      </c>
      <c r="AE5" t="s">
        <v>5098</v>
      </c>
      <c r="AF5" t="str">
        <f>"1.354***"</f>
        <v>1.354***</v>
      </c>
      <c r="AG5" t="s">
        <v>5099</v>
      </c>
      <c r="AH5" t="s">
        <v>5100</v>
      </c>
      <c r="AI5" t="str">
        <f>"1.411***"</f>
        <v>1.411***</v>
      </c>
      <c r="AJ5" t="s">
        <v>5101</v>
      </c>
      <c r="AK5" t="s">
        <v>5102</v>
      </c>
      <c r="AL5" t="str">
        <f>"1.487***"</f>
        <v>1.487***</v>
      </c>
      <c r="AM5" t="s">
        <v>5103</v>
      </c>
      <c r="AN5" t="s">
        <v>5104</v>
      </c>
      <c r="AO5" t="str">
        <f>"1.578***"</f>
        <v>1.578***</v>
      </c>
      <c r="AP5" t="s">
        <v>5105</v>
      </c>
      <c r="AQ5" t="s">
        <v>5106</v>
      </c>
      <c r="AR5" t="str">
        <f>"1.588***"</f>
        <v>1.588***</v>
      </c>
      <c r="AS5" t="s">
        <v>5107</v>
      </c>
      <c r="AT5" t="s">
        <v>5108</v>
      </c>
      <c r="AU5" t="str">
        <f>"1.619***"</f>
        <v>1.619***</v>
      </c>
      <c r="AV5" t="s">
        <v>5109</v>
      </c>
      <c r="AW5" t="s">
        <v>5110</v>
      </c>
      <c r="AX5" t="str">
        <f>"1.662***"</f>
        <v>1.662***</v>
      </c>
      <c r="AY5" t="s">
        <v>5111</v>
      </c>
      <c r="AZ5" t="s">
        <v>5112</v>
      </c>
      <c r="BA5" t="str">
        <f>"1.699***"</f>
        <v>1.699***</v>
      </c>
      <c r="BB5" t="s">
        <v>5113</v>
      </c>
      <c r="BC5" t="s">
        <v>5114</v>
      </c>
      <c r="BD5" t="str">
        <f>"1.717***"</f>
        <v>1.717***</v>
      </c>
      <c r="BE5" t="s">
        <v>5115</v>
      </c>
      <c r="BF5" t="s">
        <v>5116</v>
      </c>
      <c r="BG5" t="str">
        <f>"1.748***"</f>
        <v>1.748***</v>
      </c>
      <c r="BH5" t="s">
        <v>5117</v>
      </c>
      <c r="BI5" t="s">
        <v>5118</v>
      </c>
      <c r="BJ5" t="str">
        <f>"1.757***"</f>
        <v>1.757***</v>
      </c>
      <c r="BK5" t="s">
        <v>5119</v>
      </c>
      <c r="BL5" t="s">
        <v>5120</v>
      </c>
      <c r="BM5" t="str">
        <f>"1.796***"</f>
        <v>1.796***</v>
      </c>
      <c r="BN5" t="s">
        <v>5121</v>
      </c>
      <c r="BO5" t="s">
        <v>5122</v>
      </c>
      <c r="BP5" t="str">
        <f>"1.802***"</f>
        <v>1.802***</v>
      </c>
      <c r="BQ5" t="s">
        <v>5123</v>
      </c>
      <c r="BR5" t="s">
        <v>5124</v>
      </c>
      <c r="BS5" t="str">
        <f>"1.804***"</f>
        <v>1.804***</v>
      </c>
      <c r="BT5" t="s">
        <v>5125</v>
      </c>
      <c r="BU5" t="s">
        <v>5126</v>
      </c>
      <c r="BV5" t="str">
        <f>"1.809***"</f>
        <v>1.809***</v>
      </c>
      <c r="BW5" t="s">
        <v>5127</v>
      </c>
      <c r="BX5" t="s">
        <v>5128</v>
      </c>
      <c r="BY5" t="str">
        <f>"1.834***"</f>
        <v>1.834***</v>
      </c>
      <c r="BZ5" t="s">
        <v>5129</v>
      </c>
      <c r="CA5" t="s">
        <v>5130</v>
      </c>
      <c r="CB5" t="str">
        <f>"1.845***"</f>
        <v>1.845***</v>
      </c>
      <c r="CC5" t="s">
        <v>5131</v>
      </c>
      <c r="CD5" t="s">
        <v>5132</v>
      </c>
      <c r="CE5" t="str">
        <f>"1.856***"</f>
        <v>1.856***</v>
      </c>
      <c r="CF5" t="s">
        <v>5133</v>
      </c>
      <c r="CG5" t="s">
        <v>5134</v>
      </c>
      <c r="CH5" t="str">
        <f>"1.877***"</f>
        <v>1.877***</v>
      </c>
      <c r="CI5" t="s">
        <v>5135</v>
      </c>
      <c r="CJ5" t="s">
        <v>5136</v>
      </c>
      <c r="CK5" t="str">
        <f>"1.889***"</f>
        <v>1.889***</v>
      </c>
      <c r="CL5" t="s">
        <v>5137</v>
      </c>
      <c r="CM5" t="s">
        <v>5138</v>
      </c>
      <c r="CN5" t="str">
        <f>"1.903***"</f>
        <v>1.903***</v>
      </c>
      <c r="CO5" t="s">
        <v>5139</v>
      </c>
      <c r="CP5" t="s">
        <v>5140</v>
      </c>
      <c r="CQ5" t="str">
        <f>"1.942***"</f>
        <v>1.942***</v>
      </c>
      <c r="CR5" t="s">
        <v>5141</v>
      </c>
      <c r="CS5" t="s">
        <v>5142</v>
      </c>
      <c r="CT5" t="str">
        <f>"1.969***"</f>
        <v>1.969***</v>
      </c>
      <c r="CU5" t="s">
        <v>5143</v>
      </c>
      <c r="CV5" t="s">
        <v>5144</v>
      </c>
      <c r="CW5" t="str">
        <f>"1.986***"</f>
        <v>1.986***</v>
      </c>
      <c r="CX5" t="s">
        <v>5145</v>
      </c>
      <c r="CY5" t="s">
        <v>5146</v>
      </c>
      <c r="CZ5" t="str">
        <f>"1.987***"</f>
        <v>1.987***</v>
      </c>
      <c r="DA5" t="s">
        <v>5147</v>
      </c>
      <c r="DB5" t="s">
        <v>5148</v>
      </c>
      <c r="DC5" t="str">
        <f>"2.001***"</f>
        <v>2.001***</v>
      </c>
      <c r="DD5" t="s">
        <v>5149</v>
      </c>
      <c r="DE5" t="s">
        <v>5150</v>
      </c>
      <c r="DF5" t="str">
        <f>"2.027***"</f>
        <v>2.027***</v>
      </c>
      <c r="DG5" t="s">
        <v>5151</v>
      </c>
      <c r="DH5" t="s">
        <v>5152</v>
      </c>
      <c r="DI5" t="str">
        <f>"2.050***"</f>
        <v>2.050***</v>
      </c>
      <c r="DJ5" t="s">
        <v>5153</v>
      </c>
      <c r="DK5" t="s">
        <v>5154</v>
      </c>
      <c r="DL5" t="str">
        <f>"2.071***"</f>
        <v>2.071***</v>
      </c>
      <c r="DM5" t="s">
        <v>5155</v>
      </c>
      <c r="DN5" t="s">
        <v>5156</v>
      </c>
      <c r="DO5" t="str">
        <f>"2.089***"</f>
        <v>2.089***</v>
      </c>
      <c r="DP5" t="s">
        <v>5157</v>
      </c>
      <c r="DQ5" t="s">
        <v>5158</v>
      </c>
      <c r="DR5" t="str">
        <f>"2.107***"</f>
        <v>2.107***</v>
      </c>
      <c r="DS5" t="s">
        <v>5159</v>
      </c>
      <c r="DT5" t="s">
        <v>5160</v>
      </c>
      <c r="DU5" t="str">
        <f>"2.114***"</f>
        <v>2.114***</v>
      </c>
      <c r="DV5" t="s">
        <v>5161</v>
      </c>
      <c r="DW5" t="s">
        <v>5162</v>
      </c>
      <c r="DX5" t="str">
        <f>"2.136***"</f>
        <v>2.136***</v>
      </c>
      <c r="DY5" t="s">
        <v>5163</v>
      </c>
      <c r="DZ5" t="s">
        <v>5164</v>
      </c>
      <c r="EA5" t="str">
        <f>"2.156***"</f>
        <v>2.156***</v>
      </c>
      <c r="EB5" t="s">
        <v>5165</v>
      </c>
      <c r="EC5" t="s">
        <v>5166</v>
      </c>
      <c r="ED5" t="str">
        <f>"2.178***"</f>
        <v>2.178***</v>
      </c>
      <c r="EE5" t="s">
        <v>5167</v>
      </c>
      <c r="EF5" t="s">
        <v>5168</v>
      </c>
      <c r="EG5" t="str">
        <f>"2.206***"</f>
        <v>2.206***</v>
      </c>
      <c r="EH5" t="s">
        <v>5169</v>
      </c>
      <c r="EI5" t="s">
        <v>5170</v>
      </c>
      <c r="EJ5" t="str">
        <f>"2.209***"</f>
        <v>2.209***</v>
      </c>
      <c r="EK5" t="s">
        <v>5171</v>
      </c>
      <c r="EL5" t="s">
        <v>5172</v>
      </c>
      <c r="EM5" t="str">
        <f>"2.219***"</f>
        <v>2.219***</v>
      </c>
      <c r="EN5" t="s">
        <v>5173</v>
      </c>
      <c r="EO5" t="s">
        <v>5174</v>
      </c>
      <c r="EP5" t="str">
        <f>"2.264***"</f>
        <v>2.264***</v>
      </c>
      <c r="EQ5" t="s">
        <v>5175</v>
      </c>
      <c r="ER5" t="s">
        <v>5176</v>
      </c>
      <c r="ES5" t="str">
        <f>"2.273***"</f>
        <v>2.273***</v>
      </c>
      <c r="ET5" t="s">
        <v>5177</v>
      </c>
      <c r="EU5" t="s">
        <v>5178</v>
      </c>
      <c r="EV5" t="str">
        <f>"2.288***"</f>
        <v>2.288***</v>
      </c>
      <c r="EW5" t="s">
        <v>5179</v>
      </c>
      <c r="EX5" t="s">
        <v>5180</v>
      </c>
      <c r="EY5" t="str">
        <f>"2.310***"</f>
        <v>2.310***</v>
      </c>
      <c r="EZ5" t="s">
        <v>5181</v>
      </c>
      <c r="FA5" t="s">
        <v>5182</v>
      </c>
      <c r="FB5" t="str">
        <f>"2.320***"</f>
        <v>2.320***</v>
      </c>
      <c r="FC5" t="s">
        <v>5183</v>
      </c>
      <c r="FD5" t="s">
        <v>5184</v>
      </c>
      <c r="FE5" t="str">
        <f>"2.351***"</f>
        <v>2.351***</v>
      </c>
      <c r="FF5" t="s">
        <v>5185</v>
      </c>
      <c r="FG5" t="s">
        <v>5186</v>
      </c>
      <c r="FH5" t="str">
        <f>"2.388***"</f>
        <v>2.388***</v>
      </c>
      <c r="FI5" t="s">
        <v>5187</v>
      </c>
      <c r="FJ5" t="s">
        <v>5188</v>
      </c>
      <c r="FK5" t="str">
        <f>"2.399***"</f>
        <v>2.399***</v>
      </c>
      <c r="FL5" t="s">
        <v>5189</v>
      </c>
      <c r="FM5" t="s">
        <v>5190</v>
      </c>
      <c r="FN5" t="str">
        <f>"2.404***"</f>
        <v>2.404***</v>
      </c>
      <c r="FO5" t="s">
        <v>5191</v>
      </c>
      <c r="FP5" t="s">
        <v>5192</v>
      </c>
      <c r="FQ5" t="str">
        <f>"2.433***"</f>
        <v>2.433***</v>
      </c>
      <c r="FR5" t="s">
        <v>5193</v>
      </c>
      <c r="FS5" t="s">
        <v>5194</v>
      </c>
      <c r="FT5" t="str">
        <f>"2.491***"</f>
        <v>2.491***</v>
      </c>
      <c r="FU5" t="s">
        <v>5195</v>
      </c>
      <c r="FV5" t="s">
        <v>5196</v>
      </c>
      <c r="FW5" t="str">
        <f>"2.498***"</f>
        <v>2.498***</v>
      </c>
      <c r="FX5" t="s">
        <v>5197</v>
      </c>
      <c r="FY5" t="s">
        <v>5198</v>
      </c>
      <c r="FZ5" t="str">
        <f>"2.497***"</f>
        <v>2.497***</v>
      </c>
      <c r="GA5" t="s">
        <v>5199</v>
      </c>
      <c r="GB5" t="s">
        <v>5200</v>
      </c>
      <c r="GC5" t="str">
        <f>"2.497***"</f>
        <v>2.497***</v>
      </c>
      <c r="GD5" t="s">
        <v>5201</v>
      </c>
      <c r="GE5" t="s">
        <v>5202</v>
      </c>
      <c r="GF5" t="str">
        <f>"2.507***"</f>
        <v>2.507***</v>
      </c>
      <c r="GG5" t="s">
        <v>5203</v>
      </c>
      <c r="GH5" t="s">
        <v>5204</v>
      </c>
      <c r="GI5" t="str">
        <f>"2.538***"</f>
        <v>2.538***</v>
      </c>
      <c r="GJ5" t="s">
        <v>5205</v>
      </c>
      <c r="GK5" t="s">
        <v>5206</v>
      </c>
      <c r="GL5" t="str">
        <f>"2.576***"</f>
        <v>2.576***</v>
      </c>
      <c r="GM5" t="s">
        <v>5207</v>
      </c>
      <c r="GN5" t="s">
        <v>5208</v>
      </c>
      <c r="GO5" t="str">
        <f>"2.604***"</f>
        <v>2.604***</v>
      </c>
      <c r="GP5" t="s">
        <v>5209</v>
      </c>
      <c r="GQ5" t="s">
        <v>5210</v>
      </c>
      <c r="GR5" t="str">
        <f>"2.628***"</f>
        <v>2.628***</v>
      </c>
      <c r="GS5" t="s">
        <v>5211</v>
      </c>
      <c r="GT5" t="s">
        <v>5212</v>
      </c>
      <c r="GU5" t="str">
        <f>"2.673***"</f>
        <v>2.673***</v>
      </c>
      <c r="GV5" t="s">
        <v>5213</v>
      </c>
      <c r="GW5" t="s">
        <v>5214</v>
      </c>
      <c r="GX5" t="str">
        <f>"2.697***"</f>
        <v>2.697***</v>
      </c>
      <c r="GY5" t="s">
        <v>5215</v>
      </c>
      <c r="GZ5" t="s">
        <v>5216</v>
      </c>
      <c r="HA5" t="str">
        <f>"2.728***"</f>
        <v>2.728***</v>
      </c>
      <c r="HB5" t="s">
        <v>5217</v>
      </c>
      <c r="HC5" t="s">
        <v>5218</v>
      </c>
      <c r="HD5" t="str">
        <f>"2.726***"</f>
        <v>2.726***</v>
      </c>
      <c r="HE5" t="s">
        <v>5219</v>
      </c>
      <c r="HF5" t="s">
        <v>5220</v>
      </c>
      <c r="HG5" t="str">
        <f>"2.777***"</f>
        <v>2.777***</v>
      </c>
      <c r="HH5" t="s">
        <v>5221</v>
      </c>
      <c r="HI5" t="s">
        <v>5222</v>
      </c>
      <c r="HJ5" t="str">
        <f>"2.799***"</f>
        <v>2.799***</v>
      </c>
      <c r="HK5" t="s">
        <v>5223</v>
      </c>
      <c r="HL5" t="s">
        <v>5224</v>
      </c>
      <c r="HM5" t="str">
        <f>"2.812***"</f>
        <v>2.812***</v>
      </c>
      <c r="HN5" t="s">
        <v>5225</v>
      </c>
      <c r="HO5" t="s">
        <v>5226</v>
      </c>
      <c r="HP5" t="str">
        <f>"2.859***"</f>
        <v>2.859***</v>
      </c>
      <c r="HQ5" t="s">
        <v>5227</v>
      </c>
      <c r="HR5" t="s">
        <v>5228</v>
      </c>
      <c r="HS5" t="str">
        <f>"2.900***"</f>
        <v>2.900***</v>
      </c>
      <c r="HT5" t="s">
        <v>5229</v>
      </c>
      <c r="HU5" t="s">
        <v>5230</v>
      </c>
      <c r="HV5" t="str">
        <f>"2.902***"</f>
        <v>2.902***</v>
      </c>
      <c r="HW5" t="s">
        <v>5231</v>
      </c>
      <c r="HX5" t="s">
        <v>5232</v>
      </c>
      <c r="HY5" t="str">
        <f>"2.936***"</f>
        <v>2.936***</v>
      </c>
      <c r="HZ5" t="s">
        <v>5233</v>
      </c>
      <c r="IA5" t="s">
        <v>5234</v>
      </c>
      <c r="IB5" t="str">
        <f>"2.975***"</f>
        <v>2.975***</v>
      </c>
      <c r="IC5" t="s">
        <v>5235</v>
      </c>
      <c r="ID5" t="s">
        <v>5236</v>
      </c>
      <c r="IE5" t="str">
        <f>"3.014***"</f>
        <v>3.014***</v>
      </c>
      <c r="IF5" t="s">
        <v>5237</v>
      </c>
      <c r="IG5" t="s">
        <v>5238</v>
      </c>
      <c r="IH5" t="str">
        <f>"3.061***"</f>
        <v>3.061***</v>
      </c>
      <c r="II5" t="s">
        <v>5239</v>
      </c>
      <c r="IJ5" t="s">
        <v>5240</v>
      </c>
      <c r="IK5" t="str">
        <f>"3.107***"</f>
        <v>3.107***</v>
      </c>
      <c r="IL5" t="s">
        <v>5241</v>
      </c>
      <c r="IM5" t="s">
        <v>5242</v>
      </c>
      <c r="IN5" t="str">
        <f>"3.191***"</f>
        <v>3.191***</v>
      </c>
      <c r="IO5" t="s">
        <v>5243</v>
      </c>
      <c r="IP5" t="s">
        <v>5244</v>
      </c>
      <c r="IQ5" t="str">
        <f>"3.190***"</f>
        <v>3.190***</v>
      </c>
      <c r="IR5" t="s">
        <v>5245</v>
      </c>
      <c r="IS5" t="s">
        <v>5246</v>
      </c>
      <c r="IT5" t="str">
        <f>"3.217***"</f>
        <v>3.217***</v>
      </c>
      <c r="IU5" t="s">
        <v>5247</v>
      </c>
      <c r="IV5" t="s">
        <v>5248</v>
      </c>
      <c r="IW5" t="str">
        <f>"3.300***"</f>
        <v>3.300***</v>
      </c>
      <c r="IX5" t="s">
        <v>5249</v>
      </c>
      <c r="IY5" t="s">
        <v>5250</v>
      </c>
      <c r="IZ5" t="str">
        <f>"3.342***"</f>
        <v>3.342***</v>
      </c>
      <c r="JA5" t="s">
        <v>5251</v>
      </c>
      <c r="JB5" t="s">
        <v>5252</v>
      </c>
      <c r="JC5" t="str">
        <f>"3.415***"</f>
        <v>3.415***</v>
      </c>
      <c r="JD5" t="s">
        <v>5253</v>
      </c>
      <c r="JE5" t="s">
        <v>5254</v>
      </c>
      <c r="JF5" t="str">
        <f>"3.427***"</f>
        <v>3.427***</v>
      </c>
      <c r="JG5" t="s">
        <v>5255</v>
      </c>
      <c r="JH5" t="s">
        <v>5256</v>
      </c>
      <c r="JI5" t="str">
        <f>"3.518***"</f>
        <v>3.518***</v>
      </c>
      <c r="JJ5" t="s">
        <v>5257</v>
      </c>
      <c r="JK5" t="s">
        <v>5258</v>
      </c>
      <c r="JL5" t="str">
        <f>"3.596***"</f>
        <v>3.596***</v>
      </c>
      <c r="JM5" t="s">
        <v>5259</v>
      </c>
      <c r="JN5" t="s">
        <v>5260</v>
      </c>
      <c r="JO5" t="str">
        <f>"3.700***"</f>
        <v>3.700***</v>
      </c>
      <c r="JP5" t="s">
        <v>5261</v>
      </c>
      <c r="JQ5" t="s">
        <v>5262</v>
      </c>
      <c r="JR5" t="str">
        <f>"3.787***"</f>
        <v>3.787***</v>
      </c>
      <c r="JS5" t="s">
        <v>5263</v>
      </c>
      <c r="JT5" t="s">
        <v>5264</v>
      </c>
      <c r="JU5" t="str">
        <f>"3.885***"</f>
        <v>3.885***</v>
      </c>
      <c r="JV5" t="s">
        <v>5265</v>
      </c>
      <c r="JW5" t="s">
        <v>5266</v>
      </c>
      <c r="JX5" t="str">
        <f>"4.014***"</f>
        <v>4.014***</v>
      </c>
      <c r="JY5" t="s">
        <v>5267</v>
      </c>
      <c r="JZ5" t="s">
        <v>5268</v>
      </c>
      <c r="KA5" t="str">
        <f>"4.119***"</f>
        <v>4.119***</v>
      </c>
      <c r="KB5" t="s">
        <v>5269</v>
      </c>
      <c r="KC5" t="s">
        <v>5270</v>
      </c>
      <c r="KD5" t="str">
        <f>"4.345***"</f>
        <v>4.345***</v>
      </c>
      <c r="KE5" t="s">
        <v>5271</v>
      </c>
      <c r="KF5" t="s">
        <v>5272</v>
      </c>
      <c r="KG5" t="str">
        <f>"4.581***"</f>
        <v>4.581***</v>
      </c>
      <c r="KH5" t="s">
        <v>5273</v>
      </c>
      <c r="KI5" t="s">
        <v>5274</v>
      </c>
      <c r="KJ5" t="str">
        <f>"5.021***"</f>
        <v>5.021***</v>
      </c>
      <c r="KK5" t="s">
        <v>5275</v>
      </c>
      <c r="KL5" t="s">
        <v>5276</v>
      </c>
    </row>
    <row r="6" spans="1:298" x14ac:dyDescent="0.2">
      <c r="A6" t="str">
        <f>"difference"</f>
        <v>difference</v>
      </c>
      <c r="B6" t="str">
        <f>"0.00309"</f>
        <v>0.00309</v>
      </c>
      <c r="C6" t="s">
        <v>1012</v>
      </c>
      <c r="D6" t="s">
        <v>572</v>
      </c>
      <c r="E6" t="str">
        <f>"0.00652*"</f>
        <v>0.00652*</v>
      </c>
      <c r="F6" t="s">
        <v>718</v>
      </c>
      <c r="G6" t="s">
        <v>1551</v>
      </c>
      <c r="H6" t="str">
        <f>"0.00994***"</f>
        <v>0.00994***</v>
      </c>
      <c r="I6" t="s">
        <v>1017</v>
      </c>
      <c r="J6" t="s">
        <v>1543</v>
      </c>
      <c r="K6" t="str">
        <f>"0.0861*"</f>
        <v>0.0861*</v>
      </c>
      <c r="L6" t="s">
        <v>942</v>
      </c>
      <c r="M6" t="s">
        <v>5277</v>
      </c>
      <c r="N6" t="str">
        <f>"0.0570*"</f>
        <v>0.0570*</v>
      </c>
      <c r="O6" t="s">
        <v>998</v>
      </c>
      <c r="P6" t="s">
        <v>5278</v>
      </c>
      <c r="Q6" t="str">
        <f>"0.0191"</f>
        <v>0.0191</v>
      </c>
      <c r="R6" t="s">
        <v>3555</v>
      </c>
      <c r="S6" t="s">
        <v>3445</v>
      </c>
      <c r="T6" t="str">
        <f>"0.0652***"</f>
        <v>0.0652***</v>
      </c>
      <c r="U6" t="s">
        <v>3166</v>
      </c>
      <c r="V6" t="s">
        <v>4055</v>
      </c>
      <c r="W6" t="str">
        <f>"-0.0407*"</f>
        <v>-0.0407*</v>
      </c>
      <c r="X6" t="s">
        <v>1348</v>
      </c>
      <c r="Y6" t="s">
        <v>3289</v>
      </c>
      <c r="Z6" t="str">
        <f>"0.00470"</f>
        <v>0.00470</v>
      </c>
      <c r="AA6" t="s">
        <v>552</v>
      </c>
      <c r="AB6" t="s">
        <v>3449</v>
      </c>
      <c r="AC6" t="str">
        <f>"-0.0425**"</f>
        <v>-0.0425**</v>
      </c>
      <c r="AD6" t="s">
        <v>5279</v>
      </c>
      <c r="AE6" t="s">
        <v>4535</v>
      </c>
      <c r="AF6" t="str">
        <f>"-0.000609"</f>
        <v>-0.000609</v>
      </c>
      <c r="AG6" t="s">
        <v>519</v>
      </c>
      <c r="AH6" t="s">
        <v>1123</v>
      </c>
      <c r="AI6" t="str">
        <f>"-0.0106"</f>
        <v>-0.0106</v>
      </c>
      <c r="AJ6" t="s">
        <v>5280</v>
      </c>
      <c r="AK6" t="s">
        <v>1473</v>
      </c>
      <c r="AL6" t="str">
        <f>"-0.0145"</f>
        <v>-0.0145</v>
      </c>
      <c r="AM6" t="s">
        <v>485</v>
      </c>
      <c r="AN6" t="s">
        <v>599</v>
      </c>
      <c r="AO6" t="str">
        <f>"-0.0367***"</f>
        <v>-0.0367***</v>
      </c>
      <c r="AP6" t="s">
        <v>4512</v>
      </c>
      <c r="AQ6" t="s">
        <v>5281</v>
      </c>
      <c r="AR6" t="str">
        <f>"-0.0487***"</f>
        <v>-0.0487***</v>
      </c>
      <c r="AS6" t="s">
        <v>5282</v>
      </c>
      <c r="AT6" t="s">
        <v>5283</v>
      </c>
      <c r="AU6" t="str">
        <f>"0.000257"</f>
        <v>0.000257</v>
      </c>
      <c r="AV6" t="s">
        <v>2819</v>
      </c>
      <c r="AW6" t="s">
        <v>747</v>
      </c>
      <c r="AX6" t="str">
        <f>"-0.00120"</f>
        <v>-0.00120</v>
      </c>
      <c r="AY6" t="s">
        <v>2841</v>
      </c>
      <c r="AZ6" t="s">
        <v>3556</v>
      </c>
      <c r="BA6" t="str">
        <f>"-0.0278***"</f>
        <v>-0.0278***</v>
      </c>
      <c r="BB6" t="s">
        <v>5284</v>
      </c>
      <c r="BC6" t="s">
        <v>5285</v>
      </c>
      <c r="BD6" t="str">
        <f>"-0.00968*"</f>
        <v>-0.00968*</v>
      </c>
      <c r="BE6" t="s">
        <v>848</v>
      </c>
      <c r="BF6" t="s">
        <v>1116</v>
      </c>
      <c r="BG6" t="str">
        <f>"0.00729"</f>
        <v>0.00729</v>
      </c>
      <c r="BH6" t="s">
        <v>931</v>
      </c>
      <c r="BI6" t="s">
        <v>1190</v>
      </c>
      <c r="BJ6" t="str">
        <f>"0.0110**"</f>
        <v>0.0110**</v>
      </c>
      <c r="BK6" t="s">
        <v>1465</v>
      </c>
      <c r="BL6" t="s">
        <v>2851</v>
      </c>
      <c r="BM6" t="str">
        <f>"-0.0394***"</f>
        <v>-0.0394***</v>
      </c>
      <c r="BN6" t="s">
        <v>5286</v>
      </c>
      <c r="BO6" t="s">
        <v>5287</v>
      </c>
      <c r="BP6" t="str">
        <f>"-0.0438***"</f>
        <v>-0.0438***</v>
      </c>
      <c r="BQ6" t="s">
        <v>5288</v>
      </c>
      <c r="BR6" t="s">
        <v>5289</v>
      </c>
      <c r="BS6" t="str">
        <f>"-0.0458***"</f>
        <v>-0.0458***</v>
      </c>
      <c r="BT6" t="s">
        <v>3682</v>
      </c>
      <c r="BU6" t="s">
        <v>4811</v>
      </c>
      <c r="BV6" t="str">
        <f>"-0.0108**"</f>
        <v>-0.0108**</v>
      </c>
      <c r="BW6" t="s">
        <v>555</v>
      </c>
      <c r="BX6" t="s">
        <v>949</v>
      </c>
      <c r="BY6" t="str">
        <f>"-0.0318***"</f>
        <v>-0.0318***</v>
      </c>
      <c r="BZ6" t="s">
        <v>5290</v>
      </c>
      <c r="CA6" t="s">
        <v>5291</v>
      </c>
      <c r="CB6" t="str">
        <f>"-0.00848*"</f>
        <v>-0.00848*</v>
      </c>
      <c r="CC6" t="s">
        <v>510</v>
      </c>
      <c r="CD6" t="s">
        <v>1455</v>
      </c>
      <c r="CE6" t="str">
        <f>"-0.0109*"</f>
        <v>-0.0109*</v>
      </c>
      <c r="CF6" t="s">
        <v>5292</v>
      </c>
      <c r="CG6" t="s">
        <v>1115</v>
      </c>
      <c r="CH6" t="str">
        <f>"-0.0181***"</f>
        <v>-0.0181***</v>
      </c>
      <c r="CI6" t="s">
        <v>3591</v>
      </c>
      <c r="CJ6" t="s">
        <v>3289</v>
      </c>
      <c r="CK6" t="str">
        <f>"-0.0361***"</f>
        <v>-0.0361***</v>
      </c>
      <c r="CL6" t="s">
        <v>5293</v>
      </c>
      <c r="CM6" t="s">
        <v>5294</v>
      </c>
      <c r="CN6" t="str">
        <f>"-0.0478***"</f>
        <v>-0.0478***</v>
      </c>
      <c r="CO6" t="s">
        <v>4829</v>
      </c>
      <c r="CP6" t="s">
        <v>5295</v>
      </c>
      <c r="CQ6" t="str">
        <f>"-0.0393***"</f>
        <v>-0.0393***</v>
      </c>
      <c r="CR6" t="s">
        <v>4724</v>
      </c>
      <c r="CS6" t="s">
        <v>3275</v>
      </c>
      <c r="CT6" t="str">
        <f>"-0.0438***"</f>
        <v>-0.0438***</v>
      </c>
      <c r="CU6" t="s">
        <v>4512</v>
      </c>
      <c r="CV6" t="s">
        <v>5296</v>
      </c>
      <c r="CW6" t="str">
        <f>"-0.0385***"</f>
        <v>-0.0385***</v>
      </c>
      <c r="CX6" t="s">
        <v>5297</v>
      </c>
      <c r="CY6" t="s">
        <v>5298</v>
      </c>
      <c r="CZ6" t="str">
        <f>"-0.0456***"</f>
        <v>-0.0456***</v>
      </c>
      <c r="DA6" t="s">
        <v>5299</v>
      </c>
      <c r="DB6" t="s">
        <v>5300</v>
      </c>
      <c r="DC6" t="str">
        <f>"-0.0399***"</f>
        <v>-0.0399***</v>
      </c>
      <c r="DD6" t="s">
        <v>3046</v>
      </c>
      <c r="DE6" t="s">
        <v>5301</v>
      </c>
      <c r="DF6" t="str">
        <f>"-0.0398***"</f>
        <v>-0.0398***</v>
      </c>
      <c r="DG6" t="s">
        <v>5302</v>
      </c>
      <c r="DH6" t="s">
        <v>5303</v>
      </c>
      <c r="DI6" t="str">
        <f>"-0.0292***"</f>
        <v>-0.0292***</v>
      </c>
      <c r="DJ6" t="s">
        <v>1202</v>
      </c>
      <c r="DK6" t="s">
        <v>3576</v>
      </c>
      <c r="DL6" t="str">
        <f>"-0.0246***"</f>
        <v>-0.0246***</v>
      </c>
      <c r="DM6" t="s">
        <v>5304</v>
      </c>
      <c r="DN6" t="s">
        <v>843</v>
      </c>
      <c r="DO6" t="str">
        <f>"-0.0429***"</f>
        <v>-0.0429***</v>
      </c>
      <c r="DP6" t="s">
        <v>5305</v>
      </c>
      <c r="DQ6" t="s">
        <v>5306</v>
      </c>
      <c r="DR6" t="str">
        <f>"-0.0395***"</f>
        <v>-0.0395***</v>
      </c>
      <c r="DS6" t="s">
        <v>872</v>
      </c>
      <c r="DT6" t="s">
        <v>5307</v>
      </c>
      <c r="DU6" t="str">
        <f>"-0.0332***"</f>
        <v>-0.0332***</v>
      </c>
      <c r="DV6" t="s">
        <v>5308</v>
      </c>
      <c r="DW6" t="s">
        <v>4673</v>
      </c>
      <c r="DX6" t="str">
        <f>"-0.0407***"</f>
        <v>-0.0407***</v>
      </c>
      <c r="DY6" t="s">
        <v>1394</v>
      </c>
      <c r="DZ6" t="s">
        <v>3275</v>
      </c>
      <c r="EA6" t="str">
        <f>"-0.0235***"</f>
        <v>-0.0235***</v>
      </c>
      <c r="EB6" t="s">
        <v>5309</v>
      </c>
      <c r="EC6" t="s">
        <v>5310</v>
      </c>
      <c r="ED6" t="str">
        <f>"-0.0384***"</f>
        <v>-0.0384***</v>
      </c>
      <c r="EE6" t="s">
        <v>3474</v>
      </c>
      <c r="EF6" t="s">
        <v>1323</v>
      </c>
      <c r="EG6" t="str">
        <f>"-0.0406***"</f>
        <v>-0.0406***</v>
      </c>
      <c r="EH6" t="s">
        <v>1394</v>
      </c>
      <c r="EI6" t="s">
        <v>5311</v>
      </c>
      <c r="EJ6" t="str">
        <f>"-0.0466***"</f>
        <v>-0.0466***</v>
      </c>
      <c r="EK6" t="s">
        <v>5312</v>
      </c>
      <c r="EL6" t="s">
        <v>5313</v>
      </c>
      <c r="EM6" t="str">
        <f>"-0.0519***"</f>
        <v>-0.0519***</v>
      </c>
      <c r="EN6" t="s">
        <v>5314</v>
      </c>
      <c r="EO6" t="s">
        <v>5315</v>
      </c>
      <c r="EP6" t="str">
        <f>"-0.0478***"</f>
        <v>-0.0478***</v>
      </c>
      <c r="EQ6" t="s">
        <v>3666</v>
      </c>
      <c r="ER6" t="s">
        <v>4543</v>
      </c>
      <c r="ES6" t="str">
        <f>"-0.0458***"</f>
        <v>-0.0458***</v>
      </c>
      <c r="ET6" t="s">
        <v>3076</v>
      </c>
      <c r="EU6" t="s">
        <v>5316</v>
      </c>
      <c r="EV6" t="str">
        <f>"-0.0562***"</f>
        <v>-0.0562***</v>
      </c>
      <c r="EW6" t="s">
        <v>5317</v>
      </c>
      <c r="EX6" t="s">
        <v>5318</v>
      </c>
      <c r="EY6" t="str">
        <f>"-0.0451***"</f>
        <v>-0.0451***</v>
      </c>
      <c r="EZ6" t="s">
        <v>5319</v>
      </c>
      <c r="FA6" t="s">
        <v>1182</v>
      </c>
      <c r="FB6" t="str">
        <f>"-0.0442***"</f>
        <v>-0.0442***</v>
      </c>
      <c r="FC6" t="s">
        <v>4829</v>
      </c>
      <c r="FD6" t="s">
        <v>3276</v>
      </c>
      <c r="FE6" t="str">
        <f>"-0.0386***"</f>
        <v>-0.0386***</v>
      </c>
      <c r="FF6" t="s">
        <v>5320</v>
      </c>
      <c r="FG6" t="s">
        <v>5321</v>
      </c>
      <c r="FH6" t="str">
        <f>"-0.0386***"</f>
        <v>-0.0386***</v>
      </c>
      <c r="FI6" t="s">
        <v>523</v>
      </c>
      <c r="FJ6" t="s">
        <v>5321</v>
      </c>
      <c r="FK6" t="str">
        <f>"-0.0406***"</f>
        <v>-0.0406***</v>
      </c>
      <c r="FL6" t="s">
        <v>4830</v>
      </c>
      <c r="FM6" t="s">
        <v>5322</v>
      </c>
      <c r="FN6" t="str">
        <f>"-0.0460***"</f>
        <v>-0.0460***</v>
      </c>
      <c r="FO6" t="s">
        <v>5323</v>
      </c>
      <c r="FP6" t="s">
        <v>5324</v>
      </c>
      <c r="FQ6" t="str">
        <f>"-0.0338***"</f>
        <v>-0.0338***</v>
      </c>
      <c r="FR6" t="s">
        <v>5325</v>
      </c>
      <c r="FS6" t="s">
        <v>859</v>
      </c>
      <c r="FT6" t="str">
        <f>"-0.0429***"</f>
        <v>-0.0429***</v>
      </c>
      <c r="FU6" t="s">
        <v>1199</v>
      </c>
      <c r="FV6" t="s">
        <v>5326</v>
      </c>
      <c r="FW6" t="str">
        <f>"-0.0351***"</f>
        <v>-0.0351***</v>
      </c>
      <c r="FX6" t="s">
        <v>5286</v>
      </c>
      <c r="FY6" t="s">
        <v>5327</v>
      </c>
      <c r="FZ6" t="str">
        <f>"-0.0436***"</f>
        <v>-0.0436***</v>
      </c>
      <c r="GA6" t="s">
        <v>5299</v>
      </c>
      <c r="GB6" t="s">
        <v>5287</v>
      </c>
      <c r="GC6" t="str">
        <f>"-0.0407***"</f>
        <v>-0.0407***</v>
      </c>
      <c r="GD6" t="s">
        <v>4524</v>
      </c>
      <c r="GE6" t="s">
        <v>5298</v>
      </c>
      <c r="GF6" t="str">
        <f>"-0.0531***"</f>
        <v>-0.0531***</v>
      </c>
      <c r="GG6" t="s">
        <v>4726</v>
      </c>
      <c r="GH6" t="s">
        <v>3032</v>
      </c>
      <c r="GI6" t="str">
        <f>"-0.0434***"</f>
        <v>-0.0434***</v>
      </c>
      <c r="GJ6" t="s">
        <v>3683</v>
      </c>
      <c r="GK6" t="s">
        <v>5328</v>
      </c>
      <c r="GL6" t="str">
        <f>"-0.0394***"</f>
        <v>-0.0394***</v>
      </c>
      <c r="GM6" t="s">
        <v>4261</v>
      </c>
      <c r="GN6" t="s">
        <v>5329</v>
      </c>
      <c r="GO6" t="str">
        <f>"-0.0478***"</f>
        <v>-0.0478***</v>
      </c>
      <c r="GP6" t="s">
        <v>875</v>
      </c>
      <c r="GQ6" t="s">
        <v>1283</v>
      </c>
      <c r="GR6" t="str">
        <f>"-0.0490***"</f>
        <v>-0.0490***</v>
      </c>
      <c r="GS6" t="s">
        <v>3382</v>
      </c>
      <c r="GT6" t="s">
        <v>5296</v>
      </c>
      <c r="GU6" t="str">
        <f>"-0.0683***"</f>
        <v>-0.0683***</v>
      </c>
      <c r="GV6" t="s">
        <v>5330</v>
      </c>
      <c r="GW6" t="s">
        <v>5331</v>
      </c>
      <c r="GX6" t="str">
        <f>"-0.0640***"</f>
        <v>-0.0640***</v>
      </c>
      <c r="GY6" t="s">
        <v>604</v>
      </c>
      <c r="GZ6" t="s">
        <v>250</v>
      </c>
      <c r="HA6" t="str">
        <f>"-0.0474***"</f>
        <v>-0.0474***</v>
      </c>
      <c r="HB6" t="s">
        <v>5332</v>
      </c>
      <c r="HC6" t="s">
        <v>5333</v>
      </c>
      <c r="HD6" t="str">
        <f>"-0.0500***"</f>
        <v>-0.0500***</v>
      </c>
      <c r="HE6" t="s">
        <v>4696</v>
      </c>
      <c r="HF6" t="s">
        <v>3831</v>
      </c>
      <c r="HG6" t="str">
        <f>"-0.0390***"</f>
        <v>-0.0390***</v>
      </c>
      <c r="HH6" t="s">
        <v>5334</v>
      </c>
      <c r="HI6" t="s">
        <v>5335</v>
      </c>
      <c r="HJ6" t="str">
        <f>"-0.0368***"</f>
        <v>-0.0368***</v>
      </c>
      <c r="HK6" t="s">
        <v>3696</v>
      </c>
      <c r="HL6" t="s">
        <v>1711</v>
      </c>
      <c r="HM6" t="str">
        <f>"-0.0339***"</f>
        <v>-0.0339***</v>
      </c>
      <c r="HN6" t="s">
        <v>3046</v>
      </c>
      <c r="HO6" t="s">
        <v>5285</v>
      </c>
      <c r="HP6" t="str">
        <f>"-0.0348***"</f>
        <v>-0.0348***</v>
      </c>
      <c r="HQ6" t="s">
        <v>1394</v>
      </c>
      <c r="HR6" t="s">
        <v>5336</v>
      </c>
      <c r="HS6" t="str">
        <f>"-0.0338***"</f>
        <v>-0.0338***</v>
      </c>
      <c r="HT6" t="s">
        <v>5320</v>
      </c>
      <c r="HU6" t="s">
        <v>1698</v>
      </c>
      <c r="HV6" t="str">
        <f>"-0.0464***"</f>
        <v>-0.0464***</v>
      </c>
      <c r="HW6" t="s">
        <v>5337</v>
      </c>
      <c r="HX6" t="s">
        <v>5301</v>
      </c>
      <c r="HY6" t="str">
        <f>"-0.0364***"</f>
        <v>-0.0364***</v>
      </c>
      <c r="HZ6" t="s">
        <v>3476</v>
      </c>
      <c r="IA6" t="s">
        <v>5338</v>
      </c>
      <c r="IB6" t="str">
        <f>"-0.0403***"</f>
        <v>-0.0403***</v>
      </c>
      <c r="IC6" t="s">
        <v>3687</v>
      </c>
      <c r="ID6" t="s">
        <v>840</v>
      </c>
      <c r="IE6" t="str">
        <f>"-0.0418***"</f>
        <v>-0.0418***</v>
      </c>
      <c r="IF6" t="s">
        <v>5339</v>
      </c>
      <c r="IG6" t="s">
        <v>840</v>
      </c>
      <c r="IH6" t="str">
        <f>"-0.0353**"</f>
        <v>-0.0353**</v>
      </c>
      <c r="II6" t="s">
        <v>5312</v>
      </c>
      <c r="IJ6" t="s">
        <v>4670</v>
      </c>
      <c r="IK6" t="str">
        <f>"-0.0331**"</f>
        <v>-0.0331**</v>
      </c>
      <c r="IL6" t="s">
        <v>1199</v>
      </c>
      <c r="IM6" t="s">
        <v>3574</v>
      </c>
      <c r="IN6" t="str">
        <f>"-0.0406***"</f>
        <v>-0.0406***</v>
      </c>
      <c r="IO6" t="s">
        <v>2865</v>
      </c>
      <c r="IP6" t="s">
        <v>1325</v>
      </c>
      <c r="IQ6" t="str">
        <f>"-0.0462***"</f>
        <v>-0.0462***</v>
      </c>
      <c r="IR6" t="s">
        <v>2806</v>
      </c>
      <c r="IS6" t="s">
        <v>5340</v>
      </c>
      <c r="IT6" t="str">
        <f>"-0.0354**"</f>
        <v>-0.0354**</v>
      </c>
      <c r="IU6" t="s">
        <v>3683</v>
      </c>
      <c r="IV6" t="s">
        <v>5341</v>
      </c>
      <c r="IW6" t="str">
        <f>"-0.0503***"</f>
        <v>-0.0503***</v>
      </c>
      <c r="IX6" t="s">
        <v>5342</v>
      </c>
      <c r="IY6" t="s">
        <v>5343</v>
      </c>
      <c r="IZ6" t="str">
        <f>"-0.0424***"</f>
        <v>-0.0424***</v>
      </c>
      <c r="JA6" t="s">
        <v>5344</v>
      </c>
      <c r="JB6" t="s">
        <v>5345</v>
      </c>
      <c r="JC6" t="str">
        <f>"-0.0372**"</f>
        <v>-0.0372**</v>
      </c>
      <c r="JD6" t="s">
        <v>4858</v>
      </c>
      <c r="JE6" t="s">
        <v>835</v>
      </c>
      <c r="JF6" t="str">
        <f>"-0.0308*"</f>
        <v>-0.0308*</v>
      </c>
      <c r="JG6" t="s">
        <v>5299</v>
      </c>
      <c r="JH6" t="s">
        <v>804</v>
      </c>
      <c r="JI6" t="str">
        <f>"-0.0535***"</f>
        <v>-0.0535***</v>
      </c>
      <c r="JJ6" t="s">
        <v>3099</v>
      </c>
      <c r="JK6" t="s">
        <v>4537</v>
      </c>
      <c r="JL6" t="str">
        <f>"-0.0470**"</f>
        <v>-0.0470**</v>
      </c>
      <c r="JM6" t="s">
        <v>3055</v>
      </c>
      <c r="JN6" t="s">
        <v>4485</v>
      </c>
      <c r="JO6" t="str">
        <f>"-0.0713***"</f>
        <v>-0.0713***</v>
      </c>
      <c r="JP6" t="s">
        <v>5346</v>
      </c>
      <c r="JQ6" t="s">
        <v>3498</v>
      </c>
      <c r="JR6" t="str">
        <f>"-0.0828***"</f>
        <v>-0.0828***</v>
      </c>
      <c r="JS6" t="s">
        <v>5347</v>
      </c>
      <c r="JT6" t="s">
        <v>878</v>
      </c>
      <c r="JU6" t="str">
        <f>"-0.0289"</f>
        <v>-0.0289</v>
      </c>
      <c r="JV6" t="s">
        <v>5348</v>
      </c>
      <c r="JW6" t="s">
        <v>581</v>
      </c>
      <c r="JX6" t="str">
        <f>"-0.0597**"</f>
        <v>-0.0597**</v>
      </c>
      <c r="JY6" t="s">
        <v>5349</v>
      </c>
      <c r="JZ6" t="s">
        <v>1349</v>
      </c>
      <c r="KA6" t="str">
        <f>"-0.0564**"</f>
        <v>-0.0564**</v>
      </c>
      <c r="KB6" t="s">
        <v>5350</v>
      </c>
      <c r="KC6" t="s">
        <v>5336</v>
      </c>
      <c r="KD6" t="str">
        <f>"-0.0624*"</f>
        <v>-0.0624*</v>
      </c>
      <c r="KE6" t="s">
        <v>1415</v>
      </c>
      <c r="KF6" t="s">
        <v>688</v>
      </c>
      <c r="KG6" t="str">
        <f>"-0.0509"</f>
        <v>-0.0509</v>
      </c>
      <c r="KH6" t="s">
        <v>5351</v>
      </c>
      <c r="KI6" t="s">
        <v>791</v>
      </c>
      <c r="KJ6" t="str">
        <f>"-0.157***"</f>
        <v>-0.157***</v>
      </c>
      <c r="KK6" t="s">
        <v>5352</v>
      </c>
      <c r="KL6" t="s">
        <v>5353</v>
      </c>
    </row>
    <row r="7" spans="1:298" x14ac:dyDescent="0.2">
      <c r="A7" t="str">
        <f>"explained"</f>
        <v>explained</v>
      </c>
      <c r="B7" t="str">
        <f>"0.00100"</f>
        <v>0.00100</v>
      </c>
      <c r="C7" t="s">
        <v>738</v>
      </c>
      <c r="D7" t="s">
        <v>800</v>
      </c>
      <c r="E7" t="str">
        <f>"0.00100"</f>
        <v>0.00100</v>
      </c>
      <c r="F7" t="s">
        <v>738</v>
      </c>
      <c r="G7" t="s">
        <v>800</v>
      </c>
      <c r="H7" t="str">
        <f>"0.00100"</f>
        <v>0.00100</v>
      </c>
      <c r="I7" t="s">
        <v>738</v>
      </c>
      <c r="J7" t="s">
        <v>800</v>
      </c>
      <c r="K7" t="str">
        <f>"0.00708"</f>
        <v>0.00708</v>
      </c>
      <c r="L7" t="s">
        <v>1039</v>
      </c>
      <c r="M7" t="s">
        <v>968</v>
      </c>
      <c r="N7" t="str">
        <f>"0.0110"</f>
        <v>0.0110</v>
      </c>
      <c r="O7" t="s">
        <v>1003</v>
      </c>
      <c r="P7" t="s">
        <v>784</v>
      </c>
      <c r="Q7" t="str">
        <f>"0.0146*"</f>
        <v>0.0146*</v>
      </c>
      <c r="R7" t="s">
        <v>683</v>
      </c>
      <c r="S7" t="s">
        <v>989</v>
      </c>
      <c r="T7" t="str">
        <f>"0.0156*"</f>
        <v>0.0156*</v>
      </c>
      <c r="U7" t="s">
        <v>1461</v>
      </c>
      <c r="V7" t="s">
        <v>1726</v>
      </c>
      <c r="W7" t="str">
        <f>"0.0176**"</f>
        <v>0.0176**</v>
      </c>
      <c r="X7" t="s">
        <v>370</v>
      </c>
      <c r="Y7" t="s">
        <v>3165</v>
      </c>
      <c r="Z7" t="str">
        <f>"0.0206**"</f>
        <v>0.0206**</v>
      </c>
      <c r="AA7" t="s">
        <v>1491</v>
      </c>
      <c r="AB7" t="s">
        <v>2855</v>
      </c>
      <c r="AC7" t="str">
        <f>"0.0212***"</f>
        <v>0.0212***</v>
      </c>
      <c r="AD7" t="s">
        <v>1729</v>
      </c>
      <c r="AE7" t="s">
        <v>1068</v>
      </c>
      <c r="AF7" t="str">
        <f>"0.0217***"</f>
        <v>0.0217***</v>
      </c>
      <c r="AG7" t="s">
        <v>1497</v>
      </c>
      <c r="AH7" t="s">
        <v>1690</v>
      </c>
      <c r="AI7" t="str">
        <f>"0.0232***"</f>
        <v>0.0232***</v>
      </c>
      <c r="AJ7" t="s">
        <v>3296</v>
      </c>
      <c r="AK7" t="s">
        <v>1939</v>
      </c>
      <c r="AL7" t="str">
        <f>"0.0216***"</f>
        <v>0.0216***</v>
      </c>
      <c r="AM7" t="s">
        <v>1474</v>
      </c>
      <c r="AN7" t="s">
        <v>1642</v>
      </c>
      <c r="AO7" t="str">
        <f>"0.0167***"</f>
        <v>0.0167***</v>
      </c>
      <c r="AP7" t="s">
        <v>1729</v>
      </c>
      <c r="AQ7" t="s">
        <v>1658</v>
      </c>
      <c r="AR7" t="str">
        <f>"0.0169***"</f>
        <v>0.0169***</v>
      </c>
      <c r="AS7" t="s">
        <v>1729</v>
      </c>
      <c r="AT7" t="s">
        <v>561</v>
      </c>
      <c r="AU7" t="str">
        <f>"0.0167***"</f>
        <v>0.0167***</v>
      </c>
      <c r="AV7" t="s">
        <v>4450</v>
      </c>
      <c r="AW7" t="s">
        <v>1214</v>
      </c>
      <c r="AX7" t="str">
        <f>"0.0155***"</f>
        <v>0.0155***</v>
      </c>
      <c r="AY7" t="s">
        <v>775</v>
      </c>
      <c r="AZ7" t="s">
        <v>2877</v>
      </c>
      <c r="BA7" t="str">
        <f>"0.0150***"</f>
        <v>0.0150***</v>
      </c>
      <c r="BB7" t="s">
        <v>1472</v>
      </c>
      <c r="BC7" t="s">
        <v>995</v>
      </c>
      <c r="BD7" t="str">
        <f>"0.0153***"</f>
        <v>0.0153***</v>
      </c>
      <c r="BE7" t="s">
        <v>3263</v>
      </c>
      <c r="BF7" t="s">
        <v>995</v>
      </c>
      <c r="BG7" t="str">
        <f>"0.0146***"</f>
        <v>0.0146***</v>
      </c>
      <c r="BH7" t="s">
        <v>4451</v>
      </c>
      <c r="BI7" t="s">
        <v>1232</v>
      </c>
      <c r="BJ7" t="str">
        <f>"0.0159***"</f>
        <v>0.0159***</v>
      </c>
      <c r="BK7" t="s">
        <v>3261</v>
      </c>
      <c r="BL7" t="s">
        <v>1367</v>
      </c>
      <c r="BM7" t="str">
        <f>"0.0157***"</f>
        <v>0.0157***</v>
      </c>
      <c r="BN7" t="s">
        <v>3262</v>
      </c>
      <c r="BO7" t="s">
        <v>1125</v>
      </c>
      <c r="BP7" t="str">
        <f>"0.0164***"</f>
        <v>0.0164***</v>
      </c>
      <c r="BQ7" t="s">
        <v>1124</v>
      </c>
      <c r="BR7" t="s">
        <v>2875</v>
      </c>
      <c r="BS7" t="str">
        <f>"0.0171***"</f>
        <v>0.0171***</v>
      </c>
      <c r="BT7" t="s">
        <v>1534</v>
      </c>
      <c r="BU7" t="s">
        <v>1529</v>
      </c>
      <c r="BV7" t="str">
        <f>"0.0177***"</f>
        <v>0.0177***</v>
      </c>
      <c r="BW7" t="s">
        <v>1672</v>
      </c>
      <c r="BX7" t="s">
        <v>785</v>
      </c>
      <c r="BY7" t="str">
        <f>"0.0181***"</f>
        <v>0.0181***</v>
      </c>
      <c r="BZ7" t="s">
        <v>1026</v>
      </c>
      <c r="CA7" t="s">
        <v>1678</v>
      </c>
      <c r="CB7" t="str">
        <f>"0.0188***"</f>
        <v>0.0188***</v>
      </c>
      <c r="CC7" t="s">
        <v>1667</v>
      </c>
      <c r="CD7" t="s">
        <v>994</v>
      </c>
      <c r="CE7" t="str">
        <f>"0.0198***"</f>
        <v>0.0198***</v>
      </c>
      <c r="CF7" t="s">
        <v>3268</v>
      </c>
      <c r="CG7" t="s">
        <v>1126</v>
      </c>
      <c r="CH7" t="str">
        <f>"0.0210***"</f>
        <v>0.0210***</v>
      </c>
      <c r="CI7" t="s">
        <v>756</v>
      </c>
      <c r="CJ7" t="s">
        <v>276</v>
      </c>
      <c r="CK7" t="str">
        <f>"0.0228***"</f>
        <v>0.0228***</v>
      </c>
      <c r="CL7" t="s">
        <v>1677</v>
      </c>
      <c r="CM7" t="s">
        <v>564</v>
      </c>
      <c r="CN7" t="str">
        <f>"0.0242***"</f>
        <v>0.0242***</v>
      </c>
      <c r="CO7" t="s">
        <v>3628</v>
      </c>
      <c r="CP7" t="s">
        <v>1651</v>
      </c>
      <c r="CQ7" t="str">
        <f>"0.0262***"</f>
        <v>0.0262***</v>
      </c>
      <c r="CR7" t="s">
        <v>2879</v>
      </c>
      <c r="CS7" t="s">
        <v>1685</v>
      </c>
      <c r="CT7" t="str">
        <f>"0.0279***"</f>
        <v>0.0279***</v>
      </c>
      <c r="CU7" t="s">
        <v>1949</v>
      </c>
      <c r="CV7" t="s">
        <v>615</v>
      </c>
      <c r="CW7" t="str">
        <f>"0.0288***"</f>
        <v>0.0288***</v>
      </c>
      <c r="CX7" t="s">
        <v>1655</v>
      </c>
      <c r="CY7" t="s">
        <v>776</v>
      </c>
      <c r="CZ7" t="str">
        <f>"0.0294***"</f>
        <v>0.0294***</v>
      </c>
      <c r="DA7" t="s">
        <v>1947</v>
      </c>
      <c r="DB7" t="s">
        <v>2871</v>
      </c>
      <c r="DC7" t="str">
        <f>"0.0300***"</f>
        <v>0.0300***</v>
      </c>
      <c r="DD7" t="s">
        <v>1946</v>
      </c>
      <c r="DE7" t="s">
        <v>1692</v>
      </c>
      <c r="DF7" t="str">
        <f>"0.0310***"</f>
        <v>0.0310***</v>
      </c>
      <c r="DG7" t="s">
        <v>4254</v>
      </c>
      <c r="DH7" t="s">
        <v>4695</v>
      </c>
      <c r="DI7" t="str">
        <f>"0.0317***"</f>
        <v>0.0317***</v>
      </c>
      <c r="DJ7" t="s">
        <v>5354</v>
      </c>
      <c r="DK7" t="s">
        <v>3623</v>
      </c>
      <c r="DL7" t="str">
        <f>"0.0324***"</f>
        <v>0.0324***</v>
      </c>
      <c r="DM7" t="s">
        <v>4680</v>
      </c>
      <c r="DN7" t="s">
        <v>1637</v>
      </c>
      <c r="DO7" t="str">
        <f>"0.0330***"</f>
        <v>0.0330***</v>
      </c>
      <c r="DP7" t="s">
        <v>3164</v>
      </c>
      <c r="DQ7" t="s">
        <v>5355</v>
      </c>
      <c r="DR7" t="str">
        <f>"0.0333***"</f>
        <v>0.0333***</v>
      </c>
      <c r="DS7" t="s">
        <v>5356</v>
      </c>
      <c r="DT7" t="s">
        <v>4470</v>
      </c>
      <c r="DU7" t="str">
        <f>"0.0342***"</f>
        <v>0.0342***</v>
      </c>
      <c r="DV7" t="s">
        <v>1693</v>
      </c>
      <c r="DW7" t="s">
        <v>1061</v>
      </c>
      <c r="DX7" t="str">
        <f>"0.0350***"</f>
        <v>0.0350***</v>
      </c>
      <c r="DY7" t="s">
        <v>3616</v>
      </c>
      <c r="DZ7" t="s">
        <v>773</v>
      </c>
      <c r="EA7" t="str">
        <f>"0.0358***"</f>
        <v>0.0358***</v>
      </c>
      <c r="EB7" t="s">
        <v>4463</v>
      </c>
      <c r="EC7" t="s">
        <v>1193</v>
      </c>
      <c r="ED7" t="str">
        <f>"0.0368***"</f>
        <v>0.0368***</v>
      </c>
      <c r="EE7" t="s">
        <v>3444</v>
      </c>
      <c r="EF7" t="s">
        <v>1960</v>
      </c>
      <c r="EG7" t="str">
        <f>"0.0377***"</f>
        <v>0.0377***</v>
      </c>
      <c r="EH7" t="s">
        <v>3151</v>
      </c>
      <c r="EI7" t="s">
        <v>4855</v>
      </c>
      <c r="EJ7" t="str">
        <f>"0.0383***"</f>
        <v>0.0383***</v>
      </c>
      <c r="EK7" t="s">
        <v>3428</v>
      </c>
      <c r="EL7" t="s">
        <v>3470</v>
      </c>
      <c r="EM7" t="str">
        <f>"0.0390***"</f>
        <v>0.0390***</v>
      </c>
      <c r="EN7" t="s">
        <v>5357</v>
      </c>
      <c r="EO7" t="s">
        <v>1040</v>
      </c>
      <c r="EP7" t="str">
        <f>"0.0408***"</f>
        <v>0.0408***</v>
      </c>
      <c r="EQ7" t="s">
        <v>1626</v>
      </c>
      <c r="ER7" t="s">
        <v>507</v>
      </c>
      <c r="ES7" t="str">
        <f>"0.0415***"</f>
        <v>0.0415***</v>
      </c>
      <c r="ET7" t="s">
        <v>1766</v>
      </c>
      <c r="EU7" t="s">
        <v>4709</v>
      </c>
      <c r="EV7" t="str">
        <f>"0.0422***"</f>
        <v>0.0422***</v>
      </c>
      <c r="EW7" t="s">
        <v>5358</v>
      </c>
      <c r="EX7" t="s">
        <v>3589</v>
      </c>
      <c r="EY7" t="str">
        <f>"0.0437***"</f>
        <v>0.0437***</v>
      </c>
      <c r="EZ7" t="s">
        <v>3148</v>
      </c>
      <c r="FA7" t="s">
        <v>509</v>
      </c>
      <c r="FB7" t="str">
        <f>"0.0445***"</f>
        <v>0.0445***</v>
      </c>
      <c r="FC7" t="s">
        <v>3618</v>
      </c>
      <c r="FD7" t="s">
        <v>2867</v>
      </c>
      <c r="FE7" t="str">
        <f>"0.0456***"</f>
        <v>0.0456***</v>
      </c>
      <c r="FF7" t="s">
        <v>2868</v>
      </c>
      <c r="FG7" t="s">
        <v>4246</v>
      </c>
      <c r="FH7" t="str">
        <f>"0.0463***"</f>
        <v>0.0463***</v>
      </c>
      <c r="FI7" t="s">
        <v>5359</v>
      </c>
      <c r="FJ7" t="s">
        <v>1905</v>
      </c>
      <c r="FK7" t="str">
        <f>"0.0464***"</f>
        <v>0.0464***</v>
      </c>
      <c r="FL7" t="s">
        <v>4347</v>
      </c>
      <c r="FM7" t="s">
        <v>1905</v>
      </c>
      <c r="FN7" t="str">
        <f>"0.0463***"</f>
        <v>0.0463***</v>
      </c>
      <c r="FO7" t="s">
        <v>4347</v>
      </c>
      <c r="FP7" t="s">
        <v>4346</v>
      </c>
      <c r="FQ7" t="str">
        <f>"0.0464***"</f>
        <v>0.0464***</v>
      </c>
      <c r="FR7" t="s">
        <v>4347</v>
      </c>
      <c r="FS7" t="s">
        <v>4346</v>
      </c>
      <c r="FT7" t="str">
        <f>"0.0471***"</f>
        <v>0.0471***</v>
      </c>
      <c r="FU7" t="s">
        <v>5360</v>
      </c>
      <c r="FV7" t="s">
        <v>4742</v>
      </c>
      <c r="FW7" t="str">
        <f>"0.0471***"</f>
        <v>0.0471***</v>
      </c>
      <c r="FX7" t="s">
        <v>5360</v>
      </c>
      <c r="FY7" t="s">
        <v>4742</v>
      </c>
      <c r="FZ7" t="str">
        <f>"0.0472***"</f>
        <v>0.0472***</v>
      </c>
      <c r="GA7" t="s">
        <v>3169</v>
      </c>
      <c r="GB7" t="s">
        <v>513</v>
      </c>
      <c r="GC7" t="str">
        <f>"0.0469***"</f>
        <v>0.0469***</v>
      </c>
      <c r="GD7" t="s">
        <v>1206</v>
      </c>
      <c r="GE7" t="s">
        <v>498</v>
      </c>
      <c r="GF7" t="str">
        <f>"0.0474***"</f>
        <v>0.0474***</v>
      </c>
      <c r="GG7" t="s">
        <v>1738</v>
      </c>
      <c r="GH7" t="s">
        <v>1737</v>
      </c>
      <c r="GI7" t="str">
        <f>"0.0503***"</f>
        <v>0.0503***</v>
      </c>
      <c r="GJ7" t="s">
        <v>5361</v>
      </c>
      <c r="GK7" t="s">
        <v>2900</v>
      </c>
      <c r="GL7" t="str">
        <f>"0.0552***"</f>
        <v>0.0552***</v>
      </c>
      <c r="GM7" t="s">
        <v>376</v>
      </c>
      <c r="GN7" t="s">
        <v>3835</v>
      </c>
      <c r="GO7" t="str">
        <f>"0.0590***"</f>
        <v>0.0590***</v>
      </c>
      <c r="GP7" t="s">
        <v>2899</v>
      </c>
      <c r="GQ7" t="s">
        <v>4070</v>
      </c>
      <c r="GR7" t="str">
        <f>"0.0612***"</f>
        <v>0.0612***</v>
      </c>
      <c r="GS7" t="s">
        <v>4354</v>
      </c>
      <c r="GT7" t="s">
        <v>5362</v>
      </c>
      <c r="GU7" t="str">
        <f>"0.0631***"</f>
        <v>0.0631***</v>
      </c>
      <c r="GV7" t="s">
        <v>5363</v>
      </c>
      <c r="GW7" t="s">
        <v>1160</v>
      </c>
      <c r="GX7" t="str">
        <f>"0.0630***"</f>
        <v>0.0630***</v>
      </c>
      <c r="GY7" t="s">
        <v>5363</v>
      </c>
      <c r="GZ7" t="s">
        <v>3189</v>
      </c>
      <c r="HA7" t="str">
        <f>"0.0631***"</f>
        <v>0.0631***</v>
      </c>
      <c r="HB7" t="s">
        <v>5364</v>
      </c>
      <c r="HC7" t="s">
        <v>1160</v>
      </c>
      <c r="HD7" t="str">
        <f>"0.0624***"</f>
        <v>0.0624***</v>
      </c>
      <c r="HE7" t="s">
        <v>1893</v>
      </c>
      <c r="HF7" t="s">
        <v>4356</v>
      </c>
      <c r="HG7" t="str">
        <f>"0.0638***"</f>
        <v>0.0638***</v>
      </c>
      <c r="HH7" t="s">
        <v>5365</v>
      </c>
      <c r="HI7" t="s">
        <v>1887</v>
      </c>
      <c r="HJ7" t="str">
        <f>"0.0639***"</f>
        <v>0.0639***</v>
      </c>
      <c r="HK7" t="s">
        <v>5366</v>
      </c>
      <c r="HL7" t="s">
        <v>1596</v>
      </c>
      <c r="HM7" t="str">
        <f>"0.0639***"</f>
        <v>0.0639***</v>
      </c>
      <c r="HN7" t="s">
        <v>5366</v>
      </c>
      <c r="HO7" t="s">
        <v>1596</v>
      </c>
      <c r="HP7" t="str">
        <f>"0.0659***"</f>
        <v>0.0659***</v>
      </c>
      <c r="HQ7" t="s">
        <v>1965</v>
      </c>
      <c r="HR7" t="s">
        <v>1758</v>
      </c>
      <c r="HS7" t="str">
        <f>"0.0681***"</f>
        <v>0.0681***</v>
      </c>
      <c r="HT7" t="s">
        <v>2905</v>
      </c>
      <c r="HU7" t="s">
        <v>5367</v>
      </c>
      <c r="HV7" t="str">
        <f>"0.0669***"</f>
        <v>0.0669***</v>
      </c>
      <c r="HW7" t="s">
        <v>1562</v>
      </c>
      <c r="HX7" t="s">
        <v>3462</v>
      </c>
      <c r="HY7" t="str">
        <f>"0.0691***"</f>
        <v>0.0691***</v>
      </c>
      <c r="HZ7" t="s">
        <v>4091</v>
      </c>
      <c r="IA7" t="s">
        <v>5368</v>
      </c>
      <c r="IB7" t="str">
        <f>"0.0742***"</f>
        <v>0.0742***</v>
      </c>
      <c r="IC7" t="s">
        <v>5369</v>
      </c>
      <c r="ID7" t="s">
        <v>4362</v>
      </c>
      <c r="IE7" t="str">
        <f>"0.0792***"</f>
        <v>0.0792***</v>
      </c>
      <c r="IF7" t="s">
        <v>5370</v>
      </c>
      <c r="IG7" t="s">
        <v>4048</v>
      </c>
      <c r="IH7" t="str">
        <f>"0.0831***"</f>
        <v>0.0831***</v>
      </c>
      <c r="II7" t="s">
        <v>1863</v>
      </c>
      <c r="IJ7" t="s">
        <v>2025</v>
      </c>
      <c r="IK7" t="str">
        <f>"0.0823***"</f>
        <v>0.0823***</v>
      </c>
      <c r="IL7" t="s">
        <v>2044</v>
      </c>
      <c r="IM7" t="s">
        <v>5371</v>
      </c>
      <c r="IN7" t="str">
        <f>"0.0796***"</f>
        <v>0.0796***</v>
      </c>
      <c r="IO7" t="s">
        <v>1566</v>
      </c>
      <c r="IP7" t="s">
        <v>1854</v>
      </c>
      <c r="IQ7" t="str">
        <f>"0.0764***"</f>
        <v>0.0764***</v>
      </c>
      <c r="IR7" t="s">
        <v>5372</v>
      </c>
      <c r="IS7" t="s">
        <v>5373</v>
      </c>
      <c r="IT7" t="str">
        <f>"0.0747***"</f>
        <v>0.0747***</v>
      </c>
      <c r="IU7" t="s">
        <v>1770</v>
      </c>
      <c r="IV7" t="s">
        <v>1875</v>
      </c>
      <c r="IW7" t="str">
        <f>"0.0841***"</f>
        <v>0.0841***</v>
      </c>
      <c r="IX7" t="s">
        <v>4047</v>
      </c>
      <c r="IY7" t="s">
        <v>5374</v>
      </c>
      <c r="IZ7" t="str">
        <f>"0.0833***"</f>
        <v>0.0833***</v>
      </c>
      <c r="JA7" t="s">
        <v>1863</v>
      </c>
      <c r="JB7" t="s">
        <v>2071</v>
      </c>
      <c r="JC7" t="str">
        <f>"0.0828***"</f>
        <v>0.0828***</v>
      </c>
      <c r="JD7" t="s">
        <v>1995</v>
      </c>
      <c r="JE7" t="s">
        <v>1992</v>
      </c>
      <c r="JF7" t="str">
        <f>"0.0793***"</f>
        <v>0.0793***</v>
      </c>
      <c r="JG7" t="s">
        <v>5375</v>
      </c>
      <c r="JH7" t="s">
        <v>5376</v>
      </c>
      <c r="JI7" t="str">
        <f>"0.0917***"</f>
        <v>0.0917***</v>
      </c>
      <c r="JJ7" t="s">
        <v>4234</v>
      </c>
      <c r="JK7" t="s">
        <v>2064</v>
      </c>
      <c r="JL7" t="str">
        <f>"0.0964***"</f>
        <v>0.0964***</v>
      </c>
      <c r="JM7" t="s">
        <v>4815</v>
      </c>
      <c r="JN7" t="s">
        <v>5377</v>
      </c>
      <c r="JO7" t="str">
        <f>"0.101***"</f>
        <v>0.101***</v>
      </c>
      <c r="JP7" t="s">
        <v>5378</v>
      </c>
      <c r="JQ7" t="s">
        <v>5379</v>
      </c>
      <c r="JR7" t="str">
        <f>"0.0997***"</f>
        <v>0.0997***</v>
      </c>
      <c r="JS7" t="s">
        <v>5380</v>
      </c>
      <c r="JT7" t="s">
        <v>1801</v>
      </c>
      <c r="JU7" t="str">
        <f>"0.0934***"</f>
        <v>0.0934***</v>
      </c>
      <c r="JV7" t="s">
        <v>2922</v>
      </c>
      <c r="JW7" t="s">
        <v>5381</v>
      </c>
      <c r="JX7" t="str">
        <f>"0.0949***"</f>
        <v>0.0949***</v>
      </c>
      <c r="JY7" t="s">
        <v>5382</v>
      </c>
      <c r="JZ7" t="s">
        <v>2027</v>
      </c>
      <c r="KA7" t="str">
        <f>"0.0820***"</f>
        <v>0.0820***</v>
      </c>
      <c r="KB7" t="s">
        <v>5383</v>
      </c>
      <c r="KC7" t="s">
        <v>4218</v>
      </c>
      <c r="KD7" t="str">
        <f>"0.105***"</f>
        <v>0.105***</v>
      </c>
      <c r="KE7" t="s">
        <v>2932</v>
      </c>
      <c r="KF7" t="s">
        <v>2062</v>
      </c>
      <c r="KG7" t="str">
        <f>"0.0827***"</f>
        <v>0.0827***</v>
      </c>
      <c r="KH7" t="s">
        <v>4088</v>
      </c>
      <c r="KI7" t="s">
        <v>5374</v>
      </c>
      <c r="KJ7" t="str">
        <f>"0.104***"</f>
        <v>0.104***</v>
      </c>
      <c r="KK7" t="s">
        <v>5380</v>
      </c>
      <c r="KL7" t="s">
        <v>5384</v>
      </c>
    </row>
    <row r="8" spans="1:298" x14ac:dyDescent="0.2">
      <c r="A8" t="str">
        <f>"unexplained"</f>
        <v>unexplained</v>
      </c>
      <c r="B8" t="str">
        <f>"0.00209"</f>
        <v>0.00209</v>
      </c>
      <c r="C8" t="s">
        <v>640</v>
      </c>
      <c r="D8" t="s">
        <v>1004</v>
      </c>
      <c r="E8" t="str">
        <f>"0.00552*"</f>
        <v>0.00552*</v>
      </c>
      <c r="F8" t="s">
        <v>722</v>
      </c>
      <c r="G8" t="s">
        <v>3651</v>
      </c>
      <c r="H8" t="str">
        <f>"0.00894**"</f>
        <v>0.00894**</v>
      </c>
      <c r="I8" t="s">
        <v>1081</v>
      </c>
      <c r="J8" t="s">
        <v>642</v>
      </c>
      <c r="K8" t="str">
        <f>"0.0790*"</f>
        <v>0.0790*</v>
      </c>
      <c r="L8" t="s">
        <v>1463</v>
      </c>
      <c r="M8" t="s">
        <v>2954</v>
      </c>
      <c r="N8" t="str">
        <f>"0.0460"</f>
        <v>0.0460</v>
      </c>
      <c r="O8" t="s">
        <v>914</v>
      </c>
      <c r="P8" t="s">
        <v>5385</v>
      </c>
      <c r="Q8" t="str">
        <f>"0.00455"</f>
        <v>0.00455</v>
      </c>
      <c r="R8" t="s">
        <v>580</v>
      </c>
      <c r="S8" t="s">
        <v>1061</v>
      </c>
      <c r="T8" t="str">
        <f>"0.0497**"</f>
        <v>0.0497**</v>
      </c>
      <c r="U8" t="s">
        <v>1069</v>
      </c>
      <c r="V8" t="s">
        <v>5386</v>
      </c>
      <c r="W8" t="str">
        <f>"-0.0583***"</f>
        <v>-0.0583***</v>
      </c>
      <c r="X8" t="s">
        <v>5387</v>
      </c>
      <c r="Y8" t="s">
        <v>4733</v>
      </c>
      <c r="Z8" t="str">
        <f>"-0.0159"</f>
        <v>-0.0159</v>
      </c>
      <c r="AA8" t="s">
        <v>5388</v>
      </c>
      <c r="AB8" t="s">
        <v>1001</v>
      </c>
      <c r="AC8" t="str">
        <f>"-0.0637***"</f>
        <v>-0.0637***</v>
      </c>
      <c r="AD8" t="s">
        <v>461</v>
      </c>
      <c r="AE8" t="s">
        <v>5389</v>
      </c>
      <c r="AF8" t="str">
        <f>"-0.0223"</f>
        <v>-0.0223</v>
      </c>
      <c r="AG8" t="s">
        <v>4074</v>
      </c>
      <c r="AH8" t="s">
        <v>938</v>
      </c>
      <c r="AI8" t="str">
        <f>"-0.0338**"</f>
        <v>-0.0338**</v>
      </c>
      <c r="AJ8" t="s">
        <v>5334</v>
      </c>
      <c r="AK8" t="s">
        <v>5390</v>
      </c>
      <c r="AL8" t="str">
        <f>"-0.0361***"</f>
        <v>-0.0361***</v>
      </c>
      <c r="AM8" t="s">
        <v>5391</v>
      </c>
      <c r="AN8" t="s">
        <v>837</v>
      </c>
      <c r="AO8" t="str">
        <f>"-0.0534***"</f>
        <v>-0.0534***</v>
      </c>
      <c r="AP8" t="s">
        <v>5317</v>
      </c>
      <c r="AQ8" t="s">
        <v>5392</v>
      </c>
      <c r="AR8" t="str">
        <f>"-0.0655***"</f>
        <v>-0.0655***</v>
      </c>
      <c r="AS8" t="s">
        <v>3519</v>
      </c>
      <c r="AT8" t="s">
        <v>874</v>
      </c>
      <c r="AU8" t="str">
        <f>"-0.0164**"</f>
        <v>-0.0164**</v>
      </c>
      <c r="AV8" t="s">
        <v>4651</v>
      </c>
      <c r="AW8" t="s">
        <v>814</v>
      </c>
      <c r="AX8" t="str">
        <f>"-0.0167***"</f>
        <v>-0.0167***</v>
      </c>
      <c r="AY8" t="s">
        <v>519</v>
      </c>
      <c r="AZ8" t="s">
        <v>845</v>
      </c>
      <c r="BA8" t="str">
        <f>"-0.0428***"</f>
        <v>-0.0428***</v>
      </c>
      <c r="BB8" t="s">
        <v>1394</v>
      </c>
      <c r="BC8" t="s">
        <v>3831</v>
      </c>
      <c r="BD8" t="str">
        <f>"-0.0250***"</f>
        <v>-0.0250***</v>
      </c>
      <c r="BE8" t="s">
        <v>5393</v>
      </c>
      <c r="BF8" t="s">
        <v>5394</v>
      </c>
      <c r="BG8" t="str">
        <f>"-0.00728*"</f>
        <v>-0.00728*</v>
      </c>
      <c r="BH8" t="s">
        <v>3559</v>
      </c>
      <c r="BI8" t="s">
        <v>970</v>
      </c>
      <c r="BJ8" t="str">
        <f>"-0.00486"</f>
        <v>-0.00486</v>
      </c>
      <c r="BK8" t="s">
        <v>3577</v>
      </c>
      <c r="BL8" t="s">
        <v>800</v>
      </c>
      <c r="BM8" t="str">
        <f>"-0.0551***"</f>
        <v>-0.0551***</v>
      </c>
      <c r="BN8" t="s">
        <v>2865</v>
      </c>
      <c r="BO8" t="s">
        <v>5395</v>
      </c>
      <c r="BP8" t="str">
        <f>"-0.0602***"</f>
        <v>-0.0602***</v>
      </c>
      <c r="BQ8" t="s">
        <v>5396</v>
      </c>
      <c r="BR8" t="s">
        <v>3028</v>
      </c>
      <c r="BS8" t="str">
        <f>"-0.0630***"</f>
        <v>-0.0630***</v>
      </c>
      <c r="BT8" t="s">
        <v>3691</v>
      </c>
      <c r="BU8" t="s">
        <v>5397</v>
      </c>
      <c r="BV8" t="str">
        <f>"-0.0285***"</f>
        <v>-0.0285***</v>
      </c>
      <c r="BW8" t="s">
        <v>585</v>
      </c>
      <c r="BX8" t="s">
        <v>5398</v>
      </c>
      <c r="BY8" t="str">
        <f>"-0.0499***"</f>
        <v>-0.0499***</v>
      </c>
      <c r="BZ8" t="s">
        <v>868</v>
      </c>
      <c r="CA8" t="s">
        <v>5399</v>
      </c>
      <c r="CB8" t="str">
        <f>"-0.0273***"</f>
        <v>-0.0273***</v>
      </c>
      <c r="CC8" t="s">
        <v>3347</v>
      </c>
      <c r="CD8" t="s">
        <v>4532</v>
      </c>
      <c r="CE8" t="str">
        <f>"-0.0307***"</f>
        <v>-0.0307***</v>
      </c>
      <c r="CF8" t="s">
        <v>4528</v>
      </c>
      <c r="CG8" t="s">
        <v>3283</v>
      </c>
      <c r="CH8" t="str">
        <f>"-0.0392***"</f>
        <v>-0.0392***</v>
      </c>
      <c r="CI8" t="s">
        <v>1246</v>
      </c>
      <c r="CJ8" t="s">
        <v>5400</v>
      </c>
      <c r="CK8" t="str">
        <f>"-0.0588***"</f>
        <v>-0.0588***</v>
      </c>
      <c r="CL8" t="s">
        <v>5401</v>
      </c>
      <c r="CM8" t="s">
        <v>5402</v>
      </c>
      <c r="CN8" t="str">
        <f>"-0.0720***"</f>
        <v>-0.0720***</v>
      </c>
      <c r="CO8" t="s">
        <v>5403</v>
      </c>
      <c r="CP8" t="s">
        <v>5404</v>
      </c>
      <c r="CQ8" t="str">
        <f>"-0.0655***"</f>
        <v>-0.0655***</v>
      </c>
      <c r="CR8" t="s">
        <v>5405</v>
      </c>
      <c r="CS8" t="s">
        <v>5406</v>
      </c>
      <c r="CT8" t="str">
        <f>"-0.0717***"</f>
        <v>-0.0717***</v>
      </c>
      <c r="CU8" t="s">
        <v>5407</v>
      </c>
      <c r="CV8" t="s">
        <v>5408</v>
      </c>
      <c r="CW8" t="str">
        <f>"-0.0673***"</f>
        <v>-0.0673***</v>
      </c>
      <c r="CX8" t="s">
        <v>5409</v>
      </c>
      <c r="CY8" t="s">
        <v>5410</v>
      </c>
      <c r="CZ8" t="str">
        <f>"-0.0750***"</f>
        <v>-0.0750***</v>
      </c>
      <c r="DA8" t="s">
        <v>5411</v>
      </c>
      <c r="DB8" t="s">
        <v>5412</v>
      </c>
      <c r="DC8" t="str">
        <f>"-0.0699***"</f>
        <v>-0.0699***</v>
      </c>
      <c r="DD8" t="s">
        <v>5413</v>
      </c>
      <c r="DE8" t="s">
        <v>3100</v>
      </c>
      <c r="DF8" t="str">
        <f>"-0.0708***"</f>
        <v>-0.0708***</v>
      </c>
      <c r="DG8" t="s">
        <v>5414</v>
      </c>
      <c r="DH8" t="s">
        <v>5415</v>
      </c>
      <c r="DI8" t="str">
        <f>"-0.0609***"</f>
        <v>-0.0609***</v>
      </c>
      <c r="DJ8" t="s">
        <v>3586</v>
      </c>
      <c r="DK8" t="s">
        <v>5416</v>
      </c>
      <c r="DL8" t="str">
        <f>"-0.0570***"</f>
        <v>-0.0570***</v>
      </c>
      <c r="DM8" t="s">
        <v>5401</v>
      </c>
      <c r="DN8" t="s">
        <v>3009</v>
      </c>
      <c r="DO8" t="str">
        <f>"-0.0759***"</f>
        <v>-0.0759***</v>
      </c>
      <c r="DP8" t="s">
        <v>4674</v>
      </c>
      <c r="DQ8" t="s">
        <v>4694</v>
      </c>
      <c r="DR8" t="str">
        <f>"-0.0728***"</f>
        <v>-0.0728***</v>
      </c>
      <c r="DS8" t="s">
        <v>1187</v>
      </c>
      <c r="DT8" t="s">
        <v>3004</v>
      </c>
      <c r="DU8" t="str">
        <f>"-0.0674***"</f>
        <v>-0.0674***</v>
      </c>
      <c r="DV8" t="s">
        <v>5417</v>
      </c>
      <c r="DW8" t="s">
        <v>2801</v>
      </c>
      <c r="DX8" t="str">
        <f>"-0.0758***"</f>
        <v>-0.0758***</v>
      </c>
      <c r="DY8" t="s">
        <v>5418</v>
      </c>
      <c r="DZ8" t="s">
        <v>5419</v>
      </c>
      <c r="EA8" t="str">
        <f>"-0.0593***"</f>
        <v>-0.0593***</v>
      </c>
      <c r="EB8" t="s">
        <v>5420</v>
      </c>
      <c r="EC8" t="s">
        <v>5421</v>
      </c>
      <c r="ED8" t="str">
        <f>"-0.0751***"</f>
        <v>-0.0751***</v>
      </c>
      <c r="EE8" t="s">
        <v>3006</v>
      </c>
      <c r="EF8" t="s">
        <v>3033</v>
      </c>
      <c r="EG8" t="str">
        <f>"-0.0784***"</f>
        <v>-0.0784***</v>
      </c>
      <c r="EH8" t="s">
        <v>1185</v>
      </c>
      <c r="EI8" t="s">
        <v>888</v>
      </c>
      <c r="EJ8" t="str">
        <f>"-0.0849***"</f>
        <v>-0.0849***</v>
      </c>
      <c r="EK8" t="s">
        <v>4826</v>
      </c>
      <c r="EL8" t="s">
        <v>5422</v>
      </c>
      <c r="EM8" t="str">
        <f>"-0.0909***"</f>
        <v>-0.0909***</v>
      </c>
      <c r="EN8" t="s">
        <v>5423</v>
      </c>
      <c r="EO8" t="s">
        <v>5424</v>
      </c>
      <c r="EP8" t="str">
        <f>"-0.0887***"</f>
        <v>-0.0887***</v>
      </c>
      <c r="EQ8" t="s">
        <v>5425</v>
      </c>
      <c r="ER8" t="s">
        <v>5426</v>
      </c>
      <c r="ES8" t="str">
        <f>"-0.0874***"</f>
        <v>-0.0874***</v>
      </c>
      <c r="ET8" t="s">
        <v>5427</v>
      </c>
      <c r="EU8" t="s">
        <v>3097</v>
      </c>
      <c r="EV8" t="str">
        <f>"-0.0984***"</f>
        <v>-0.0984***</v>
      </c>
      <c r="EW8" t="s">
        <v>5428</v>
      </c>
      <c r="EX8" t="s">
        <v>2990</v>
      </c>
      <c r="EY8" t="str">
        <f>"-0.0887***"</f>
        <v>-0.0887***</v>
      </c>
      <c r="EZ8" t="s">
        <v>5429</v>
      </c>
      <c r="FA8" t="s">
        <v>5430</v>
      </c>
      <c r="FB8" t="str">
        <f>"-0.0888***"</f>
        <v>-0.0888***</v>
      </c>
      <c r="FC8" t="s">
        <v>5431</v>
      </c>
      <c r="FD8" t="s">
        <v>5432</v>
      </c>
      <c r="FE8" t="str">
        <f>"-0.0843***"</f>
        <v>-0.0843***</v>
      </c>
      <c r="FF8" t="s">
        <v>5350</v>
      </c>
      <c r="FG8" t="s">
        <v>5433</v>
      </c>
      <c r="FH8" t="str">
        <f>"-0.0849***"</f>
        <v>-0.0849***</v>
      </c>
      <c r="FI8" t="s">
        <v>1277</v>
      </c>
      <c r="FJ8" t="s">
        <v>5434</v>
      </c>
      <c r="FK8" t="str">
        <f>"-0.0870***"</f>
        <v>-0.0870***</v>
      </c>
      <c r="FL8" t="s">
        <v>1407</v>
      </c>
      <c r="FM8" t="s">
        <v>4602</v>
      </c>
      <c r="FN8" t="str">
        <f>"-0.0923***"</f>
        <v>-0.0923***</v>
      </c>
      <c r="FO8" t="s">
        <v>1132</v>
      </c>
      <c r="FP8" t="s">
        <v>5435</v>
      </c>
      <c r="FQ8" t="str">
        <f>"-0.0801***"</f>
        <v>-0.0801***</v>
      </c>
      <c r="FR8" t="s">
        <v>3376</v>
      </c>
      <c r="FS8" t="s">
        <v>1265</v>
      </c>
      <c r="FT8" t="str">
        <f>"-0.0900***"</f>
        <v>-0.0900***</v>
      </c>
      <c r="FU8" t="s">
        <v>5423</v>
      </c>
      <c r="FV8" t="s">
        <v>5436</v>
      </c>
      <c r="FW8" t="str">
        <f>"-0.0822***"</f>
        <v>-0.0822***</v>
      </c>
      <c r="FX8" t="s">
        <v>5437</v>
      </c>
      <c r="FY8" t="s">
        <v>5438</v>
      </c>
      <c r="FZ8" t="str">
        <f>"-0.0908***"</f>
        <v>-0.0908***</v>
      </c>
      <c r="GA8" t="s">
        <v>4540</v>
      </c>
      <c r="GB8" t="s">
        <v>4292</v>
      </c>
      <c r="GC8" t="str">
        <f>"-0.0876***"</f>
        <v>-0.0876***</v>
      </c>
      <c r="GD8" t="s">
        <v>5439</v>
      </c>
      <c r="GE8" t="s">
        <v>5440</v>
      </c>
      <c r="GF8" t="str">
        <f>"-0.101***"</f>
        <v>-0.101***</v>
      </c>
      <c r="GG8" t="s">
        <v>5441</v>
      </c>
      <c r="GH8" t="s">
        <v>3069</v>
      </c>
      <c r="GI8" t="str">
        <f>"-0.0937***"</f>
        <v>-0.0937***</v>
      </c>
      <c r="GJ8" t="s">
        <v>5442</v>
      </c>
      <c r="GK8" t="s">
        <v>5443</v>
      </c>
      <c r="GL8" t="str">
        <f>"-0.0946***"</f>
        <v>-0.0946***</v>
      </c>
      <c r="GM8" t="s">
        <v>5444</v>
      </c>
      <c r="GN8" t="s">
        <v>5445</v>
      </c>
      <c r="GO8" t="str">
        <f>"-0.107***"</f>
        <v>-0.107***</v>
      </c>
      <c r="GP8" t="s">
        <v>5446</v>
      </c>
      <c r="GQ8" t="s">
        <v>5447</v>
      </c>
      <c r="GR8" t="str">
        <f>"-0.110***"</f>
        <v>-0.110***</v>
      </c>
      <c r="GS8" t="s">
        <v>5448</v>
      </c>
      <c r="GT8" t="s">
        <v>5449</v>
      </c>
      <c r="GU8" t="str">
        <f>"-0.131***"</f>
        <v>-0.131***</v>
      </c>
      <c r="GV8" t="s">
        <v>5450</v>
      </c>
      <c r="GW8" t="s">
        <v>5451</v>
      </c>
      <c r="GX8" t="str">
        <f>"-0.127***"</f>
        <v>-0.127***</v>
      </c>
      <c r="GY8" t="s">
        <v>2989</v>
      </c>
      <c r="GZ8" t="s">
        <v>3800</v>
      </c>
      <c r="HA8" t="str">
        <f>"-0.111***"</f>
        <v>-0.111***</v>
      </c>
      <c r="HB8" t="s">
        <v>5452</v>
      </c>
      <c r="HC8" t="s">
        <v>5453</v>
      </c>
      <c r="HD8" t="str">
        <f>"-0.112***"</f>
        <v>-0.112***</v>
      </c>
      <c r="HE8" t="s">
        <v>5454</v>
      </c>
      <c r="HF8" t="s">
        <v>3087</v>
      </c>
      <c r="HG8" t="str">
        <f>"-0.103***"</f>
        <v>-0.103***</v>
      </c>
      <c r="HH8" t="s">
        <v>5455</v>
      </c>
      <c r="HI8" t="s">
        <v>5456</v>
      </c>
      <c r="HJ8" t="str">
        <f>"-0.101***"</f>
        <v>-0.101***</v>
      </c>
      <c r="HK8" t="s">
        <v>3710</v>
      </c>
      <c r="HL8" t="s">
        <v>5457</v>
      </c>
      <c r="HM8" t="str">
        <f>"-0.0978***"</f>
        <v>-0.0978***</v>
      </c>
      <c r="HN8" t="s">
        <v>5458</v>
      </c>
      <c r="HO8" t="s">
        <v>5459</v>
      </c>
      <c r="HP8" t="str">
        <f>"-0.101***"</f>
        <v>-0.101***</v>
      </c>
      <c r="HQ8" t="s">
        <v>4838</v>
      </c>
      <c r="HR8" t="s">
        <v>5460</v>
      </c>
      <c r="HS8" t="str">
        <f>"-0.102***"</f>
        <v>-0.102***</v>
      </c>
      <c r="HT8" t="s">
        <v>5455</v>
      </c>
      <c r="HU8" t="s">
        <v>5461</v>
      </c>
      <c r="HV8" t="str">
        <f>"-0.113***"</f>
        <v>-0.113***</v>
      </c>
      <c r="HW8" t="s">
        <v>4554</v>
      </c>
      <c r="HX8" t="s">
        <v>5462</v>
      </c>
      <c r="HY8" t="str">
        <f>"-0.106***"</f>
        <v>-0.106***</v>
      </c>
      <c r="HZ8" t="s">
        <v>5463</v>
      </c>
      <c r="IA8" t="s">
        <v>5464</v>
      </c>
      <c r="IB8" t="str">
        <f>"-0.114***"</f>
        <v>-0.114***</v>
      </c>
      <c r="IC8" t="s">
        <v>5465</v>
      </c>
      <c r="ID8" t="s">
        <v>5449</v>
      </c>
      <c r="IE8" t="str">
        <f>"-0.121***"</f>
        <v>-0.121***</v>
      </c>
      <c r="IF8" t="s">
        <v>5466</v>
      </c>
      <c r="IG8" t="s">
        <v>5467</v>
      </c>
      <c r="IH8" t="str">
        <f>"-0.118***"</f>
        <v>-0.118***</v>
      </c>
      <c r="II8" t="s">
        <v>5468</v>
      </c>
      <c r="IJ8" t="s">
        <v>5462</v>
      </c>
      <c r="IK8" t="str">
        <f>"-0.115***"</f>
        <v>-0.115***</v>
      </c>
      <c r="IL8" t="s">
        <v>5469</v>
      </c>
      <c r="IM8" t="s">
        <v>5470</v>
      </c>
      <c r="IN8" t="str">
        <f>"-0.120***"</f>
        <v>-0.120***</v>
      </c>
      <c r="IO8" t="s">
        <v>5471</v>
      </c>
      <c r="IP8" t="s">
        <v>5472</v>
      </c>
      <c r="IQ8" t="str">
        <f>"-0.123***"</f>
        <v>-0.123***</v>
      </c>
      <c r="IR8" t="s">
        <v>3723</v>
      </c>
      <c r="IS8" t="s">
        <v>5473</v>
      </c>
      <c r="IT8" t="str">
        <f>"-0.110***"</f>
        <v>-0.110***</v>
      </c>
      <c r="IU8" t="s">
        <v>5474</v>
      </c>
      <c r="IV8" t="s">
        <v>4705</v>
      </c>
      <c r="IW8" t="str">
        <f>"-0.134***"</f>
        <v>-0.134***</v>
      </c>
      <c r="IX8" t="s">
        <v>3774</v>
      </c>
      <c r="IY8" t="s">
        <v>1319</v>
      </c>
      <c r="IZ8" t="str">
        <f>"-0.126***"</f>
        <v>-0.126***</v>
      </c>
      <c r="JA8" t="s">
        <v>5475</v>
      </c>
      <c r="JB8" t="s">
        <v>5476</v>
      </c>
      <c r="JC8" t="str">
        <f>"-0.120***"</f>
        <v>-0.120***</v>
      </c>
      <c r="JD8" t="s">
        <v>5477</v>
      </c>
      <c r="JE8" t="s">
        <v>3846</v>
      </c>
      <c r="JF8" t="str">
        <f>"-0.110***"</f>
        <v>-0.110***</v>
      </c>
      <c r="JG8" t="s">
        <v>5478</v>
      </c>
      <c r="JH8" t="s">
        <v>5479</v>
      </c>
      <c r="JI8" t="str">
        <f>"-0.145***"</f>
        <v>-0.145***</v>
      </c>
      <c r="JJ8" t="s">
        <v>5480</v>
      </c>
      <c r="JK8" t="s">
        <v>5481</v>
      </c>
      <c r="JL8" t="str">
        <f>"-0.143***"</f>
        <v>-0.143***</v>
      </c>
      <c r="JM8" t="s">
        <v>5482</v>
      </c>
      <c r="JN8" t="s">
        <v>2992</v>
      </c>
      <c r="JO8" t="str">
        <f>"-0.172***"</f>
        <v>-0.172***</v>
      </c>
      <c r="JP8" t="s">
        <v>5483</v>
      </c>
      <c r="JQ8" t="s">
        <v>5484</v>
      </c>
      <c r="JR8" t="str">
        <f>"-0.182***"</f>
        <v>-0.182***</v>
      </c>
      <c r="JS8" t="s">
        <v>5485</v>
      </c>
      <c r="JT8" t="s">
        <v>5486</v>
      </c>
      <c r="JU8" t="str">
        <f>"-0.122***"</f>
        <v>-0.122***</v>
      </c>
      <c r="JV8" t="s">
        <v>5487</v>
      </c>
      <c r="JW8" t="s">
        <v>5460</v>
      </c>
      <c r="JX8" t="str">
        <f>"-0.155***"</f>
        <v>-0.155***</v>
      </c>
      <c r="JY8" t="s">
        <v>1318</v>
      </c>
      <c r="JZ8" t="s">
        <v>5488</v>
      </c>
      <c r="KA8" t="str">
        <f>"-0.138***"</f>
        <v>-0.138***</v>
      </c>
      <c r="KB8" t="s">
        <v>5489</v>
      </c>
      <c r="KC8" t="s">
        <v>5490</v>
      </c>
      <c r="KD8" t="str">
        <f>"-0.167***"</f>
        <v>-0.167***</v>
      </c>
      <c r="KE8" t="s">
        <v>5491</v>
      </c>
      <c r="KF8" t="s">
        <v>5492</v>
      </c>
      <c r="KG8" t="str">
        <f>"-0.134***"</f>
        <v>-0.134***</v>
      </c>
      <c r="KH8" t="s">
        <v>5493</v>
      </c>
      <c r="KI8" t="s">
        <v>5494</v>
      </c>
      <c r="KJ8" t="str">
        <f>"-0.261***"</f>
        <v>-0.261***</v>
      </c>
      <c r="KK8" t="s">
        <v>5495</v>
      </c>
      <c r="KL8" t="s">
        <v>4566</v>
      </c>
    </row>
    <row r="9" spans="1:298" x14ac:dyDescent="0.2">
      <c r="A9" t="str">
        <f>"explained"</f>
        <v>explained</v>
      </c>
      <c r="B9" t="str">
        <f>""</f>
        <v/>
      </c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t="str">
        <f>""</f>
        <v/>
      </c>
      <c r="Y9" t="str">
        <f>""</f>
        <v/>
      </c>
      <c r="Z9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AE9" t="str">
        <f>""</f>
        <v/>
      </c>
      <c r="AF9" t="str">
        <f>""</f>
        <v/>
      </c>
      <c r="AG9" t="str">
        <f>""</f>
        <v/>
      </c>
      <c r="AH9" t="str">
        <f>""</f>
        <v/>
      </c>
      <c r="AI9" t="str">
        <f>""</f>
        <v/>
      </c>
      <c r="AJ9" t="str">
        <f>""</f>
        <v/>
      </c>
      <c r="AK9" t="str">
        <f>""</f>
        <v/>
      </c>
      <c r="AL9" t="str">
        <f>""</f>
        <v/>
      </c>
      <c r="AM9" t="str">
        <f>""</f>
        <v/>
      </c>
      <c r="AN9" t="str">
        <f>""</f>
        <v/>
      </c>
      <c r="AO9" t="str">
        <f>""</f>
        <v/>
      </c>
      <c r="AP9" t="str">
        <f>""</f>
        <v/>
      </c>
      <c r="AQ9" t="str">
        <f>""</f>
        <v/>
      </c>
      <c r="AR9" t="str">
        <f>""</f>
        <v/>
      </c>
      <c r="AS9" t="str">
        <f>""</f>
        <v/>
      </c>
      <c r="AT9" t="str">
        <f>""</f>
        <v/>
      </c>
      <c r="AU9" t="str">
        <f>""</f>
        <v/>
      </c>
      <c r="AV9" t="str">
        <f>""</f>
        <v/>
      </c>
      <c r="AW9" t="str">
        <f>""</f>
        <v/>
      </c>
      <c r="AX9" t="str">
        <f>""</f>
        <v/>
      </c>
      <c r="AY9" t="str">
        <f>""</f>
        <v/>
      </c>
      <c r="AZ9" t="str">
        <f>""</f>
        <v/>
      </c>
      <c r="BA9" t="str">
        <f>""</f>
        <v/>
      </c>
      <c r="BB9" t="str">
        <f>""</f>
        <v/>
      </c>
      <c r="BC9" t="str">
        <f>""</f>
        <v/>
      </c>
      <c r="BD9" t="str">
        <f>""</f>
        <v/>
      </c>
      <c r="BE9" t="str">
        <f>""</f>
        <v/>
      </c>
      <c r="BF9" t="str">
        <f>""</f>
        <v/>
      </c>
      <c r="BG9" t="str">
        <f>""</f>
        <v/>
      </c>
      <c r="BH9" t="str">
        <f>""</f>
        <v/>
      </c>
      <c r="BI9" t="str">
        <f>""</f>
        <v/>
      </c>
      <c r="BJ9" t="str">
        <f>""</f>
        <v/>
      </c>
      <c r="BK9" t="str">
        <f>""</f>
        <v/>
      </c>
      <c r="BL9" t="str">
        <f>""</f>
        <v/>
      </c>
      <c r="BM9" t="str">
        <f>""</f>
        <v/>
      </c>
      <c r="BN9" t="str">
        <f>""</f>
        <v/>
      </c>
      <c r="BO9" t="str">
        <f>""</f>
        <v/>
      </c>
      <c r="BP9" t="str">
        <f>""</f>
        <v/>
      </c>
      <c r="BQ9" t="str">
        <f>""</f>
        <v/>
      </c>
      <c r="BR9" t="str">
        <f>""</f>
        <v/>
      </c>
      <c r="BS9" t="str">
        <f>""</f>
        <v/>
      </c>
      <c r="BT9" t="str">
        <f>""</f>
        <v/>
      </c>
      <c r="BU9" t="str">
        <f>""</f>
        <v/>
      </c>
      <c r="BV9" t="str">
        <f>""</f>
        <v/>
      </c>
      <c r="BW9" t="str">
        <f>""</f>
        <v/>
      </c>
      <c r="BX9" t="str">
        <f>""</f>
        <v/>
      </c>
      <c r="BY9" t="str">
        <f>""</f>
        <v/>
      </c>
      <c r="BZ9" t="str">
        <f>""</f>
        <v/>
      </c>
      <c r="CA9" t="str">
        <f>""</f>
        <v/>
      </c>
      <c r="CB9" t="str">
        <f>""</f>
        <v/>
      </c>
      <c r="CC9" t="str">
        <f>""</f>
        <v/>
      </c>
      <c r="CD9" t="str">
        <f>""</f>
        <v/>
      </c>
      <c r="CE9" t="str">
        <f>""</f>
        <v/>
      </c>
      <c r="CF9" t="str">
        <f>""</f>
        <v/>
      </c>
      <c r="CG9" t="str">
        <f>""</f>
        <v/>
      </c>
      <c r="CH9" t="str">
        <f>""</f>
        <v/>
      </c>
      <c r="CI9" t="str">
        <f>""</f>
        <v/>
      </c>
      <c r="CJ9" t="str">
        <f>""</f>
        <v/>
      </c>
      <c r="CK9" t="str">
        <f>""</f>
        <v/>
      </c>
      <c r="CL9" t="str">
        <f>""</f>
        <v/>
      </c>
      <c r="CM9" t="str">
        <f>""</f>
        <v/>
      </c>
      <c r="CN9" t="str">
        <f>""</f>
        <v/>
      </c>
      <c r="CO9" t="str">
        <f>""</f>
        <v/>
      </c>
      <c r="CP9" t="str">
        <f>""</f>
        <v/>
      </c>
      <c r="CQ9" t="str">
        <f>""</f>
        <v/>
      </c>
      <c r="CR9" t="str">
        <f>""</f>
        <v/>
      </c>
      <c r="CS9" t="str">
        <f>""</f>
        <v/>
      </c>
      <c r="CT9" t="str">
        <f>""</f>
        <v/>
      </c>
      <c r="CU9" t="str">
        <f>""</f>
        <v/>
      </c>
      <c r="CV9" t="str">
        <f>""</f>
        <v/>
      </c>
      <c r="CW9" t="str">
        <f>""</f>
        <v/>
      </c>
      <c r="CX9" t="str">
        <f>""</f>
        <v/>
      </c>
      <c r="CY9" t="str">
        <f>""</f>
        <v/>
      </c>
      <c r="CZ9" t="str">
        <f>""</f>
        <v/>
      </c>
      <c r="DA9" t="str">
        <f>""</f>
        <v/>
      </c>
      <c r="DB9" t="str">
        <f>""</f>
        <v/>
      </c>
      <c r="DC9" t="str">
        <f>""</f>
        <v/>
      </c>
      <c r="DD9" t="str">
        <f>""</f>
        <v/>
      </c>
      <c r="DE9" t="str">
        <f>""</f>
        <v/>
      </c>
      <c r="DF9" t="str">
        <f>""</f>
        <v/>
      </c>
      <c r="DG9" t="str">
        <f>""</f>
        <v/>
      </c>
      <c r="DH9" t="str">
        <f>""</f>
        <v/>
      </c>
      <c r="DI9" t="str">
        <f>""</f>
        <v/>
      </c>
      <c r="DJ9" t="str">
        <f>""</f>
        <v/>
      </c>
      <c r="DK9" t="str">
        <f>""</f>
        <v/>
      </c>
      <c r="DL9" t="str">
        <f>""</f>
        <v/>
      </c>
      <c r="DM9" t="str">
        <f>""</f>
        <v/>
      </c>
      <c r="DN9" t="str">
        <f>""</f>
        <v/>
      </c>
      <c r="DO9" t="str">
        <f>""</f>
        <v/>
      </c>
      <c r="DP9" t="str">
        <f>""</f>
        <v/>
      </c>
      <c r="DQ9" t="str">
        <f>""</f>
        <v/>
      </c>
      <c r="DR9" t="str">
        <f>""</f>
        <v/>
      </c>
      <c r="DS9" t="str">
        <f>""</f>
        <v/>
      </c>
      <c r="DT9" t="str">
        <f>""</f>
        <v/>
      </c>
      <c r="DU9" t="str">
        <f>""</f>
        <v/>
      </c>
      <c r="DV9" t="str">
        <f>""</f>
        <v/>
      </c>
      <c r="DW9" t="str">
        <f>""</f>
        <v/>
      </c>
      <c r="DX9" t="str">
        <f>""</f>
        <v/>
      </c>
      <c r="DY9" t="str">
        <f>""</f>
        <v/>
      </c>
      <c r="DZ9" t="str">
        <f>""</f>
        <v/>
      </c>
      <c r="EA9" t="str">
        <f>""</f>
        <v/>
      </c>
      <c r="EB9" t="str">
        <f>""</f>
        <v/>
      </c>
      <c r="EC9" t="str">
        <f>""</f>
        <v/>
      </c>
      <c r="ED9" t="str">
        <f>""</f>
        <v/>
      </c>
      <c r="EE9" t="str">
        <f>""</f>
        <v/>
      </c>
      <c r="EF9" t="str">
        <f>""</f>
        <v/>
      </c>
      <c r="EG9" t="str">
        <f>""</f>
        <v/>
      </c>
      <c r="EH9" t="str">
        <f>""</f>
        <v/>
      </c>
      <c r="EI9" t="str">
        <f>""</f>
        <v/>
      </c>
      <c r="EJ9" t="str">
        <f>""</f>
        <v/>
      </c>
      <c r="EK9" t="str">
        <f>""</f>
        <v/>
      </c>
      <c r="EL9" t="str">
        <f>""</f>
        <v/>
      </c>
      <c r="EM9" t="str">
        <f>""</f>
        <v/>
      </c>
      <c r="EN9" t="str">
        <f>""</f>
        <v/>
      </c>
      <c r="EO9" t="str">
        <f>""</f>
        <v/>
      </c>
      <c r="EP9" t="str">
        <f>""</f>
        <v/>
      </c>
      <c r="EQ9" t="str">
        <f>""</f>
        <v/>
      </c>
      <c r="ER9" t="str">
        <f>""</f>
        <v/>
      </c>
      <c r="ES9" t="str">
        <f>""</f>
        <v/>
      </c>
      <c r="ET9" t="str">
        <f>""</f>
        <v/>
      </c>
      <c r="EU9" t="str">
        <f>""</f>
        <v/>
      </c>
      <c r="EV9" t="str">
        <f>""</f>
        <v/>
      </c>
      <c r="EW9" t="str">
        <f>""</f>
        <v/>
      </c>
      <c r="EX9" t="str">
        <f>""</f>
        <v/>
      </c>
      <c r="EY9" t="str">
        <f>""</f>
        <v/>
      </c>
      <c r="EZ9" t="str">
        <f>""</f>
        <v/>
      </c>
      <c r="FA9" t="str">
        <f>""</f>
        <v/>
      </c>
      <c r="FB9" t="str">
        <f>""</f>
        <v/>
      </c>
      <c r="FC9" t="str">
        <f>""</f>
        <v/>
      </c>
      <c r="FD9" t="str">
        <f>""</f>
        <v/>
      </c>
      <c r="FE9" t="str">
        <f>""</f>
        <v/>
      </c>
      <c r="FF9" t="str">
        <f>""</f>
        <v/>
      </c>
      <c r="FG9" t="str">
        <f>""</f>
        <v/>
      </c>
      <c r="FH9" t="str">
        <f>""</f>
        <v/>
      </c>
      <c r="FI9" t="str">
        <f>""</f>
        <v/>
      </c>
      <c r="FJ9" t="str">
        <f>""</f>
        <v/>
      </c>
      <c r="FK9" t="str">
        <f>""</f>
        <v/>
      </c>
      <c r="FL9" t="str">
        <f>""</f>
        <v/>
      </c>
      <c r="FM9" t="str">
        <f>""</f>
        <v/>
      </c>
      <c r="FN9" t="str">
        <f>""</f>
        <v/>
      </c>
      <c r="FO9" t="str">
        <f>""</f>
        <v/>
      </c>
      <c r="FP9" t="str">
        <f>""</f>
        <v/>
      </c>
      <c r="FQ9" t="str">
        <f>""</f>
        <v/>
      </c>
      <c r="FR9" t="str">
        <f>""</f>
        <v/>
      </c>
      <c r="FS9" t="str">
        <f>""</f>
        <v/>
      </c>
      <c r="FT9" t="str">
        <f>""</f>
        <v/>
      </c>
      <c r="FU9" t="str">
        <f>""</f>
        <v/>
      </c>
      <c r="FV9" t="str">
        <f>""</f>
        <v/>
      </c>
      <c r="FW9" t="str">
        <f>""</f>
        <v/>
      </c>
      <c r="FX9" t="str">
        <f>""</f>
        <v/>
      </c>
      <c r="FY9" t="str">
        <f>""</f>
        <v/>
      </c>
      <c r="FZ9" t="str">
        <f>""</f>
        <v/>
      </c>
      <c r="GA9" t="str">
        <f>""</f>
        <v/>
      </c>
      <c r="GB9" t="str">
        <f>""</f>
        <v/>
      </c>
      <c r="GC9" t="str">
        <f>""</f>
        <v/>
      </c>
      <c r="GD9" t="str">
        <f>""</f>
        <v/>
      </c>
      <c r="GE9" t="str">
        <f>""</f>
        <v/>
      </c>
      <c r="GF9" t="str">
        <f>""</f>
        <v/>
      </c>
      <c r="GG9" t="str">
        <f>""</f>
        <v/>
      </c>
      <c r="GH9" t="str">
        <f>""</f>
        <v/>
      </c>
      <c r="GI9" t="str">
        <f>""</f>
        <v/>
      </c>
      <c r="GJ9" t="str">
        <f>""</f>
        <v/>
      </c>
      <c r="GK9" t="str">
        <f>""</f>
        <v/>
      </c>
      <c r="GL9" t="str">
        <f>""</f>
        <v/>
      </c>
      <c r="GM9" t="str">
        <f>""</f>
        <v/>
      </c>
      <c r="GN9" t="str">
        <f>""</f>
        <v/>
      </c>
      <c r="GO9" t="str">
        <f>""</f>
        <v/>
      </c>
      <c r="GP9" t="str">
        <f>""</f>
        <v/>
      </c>
      <c r="GQ9" t="str">
        <f>""</f>
        <v/>
      </c>
    </row>
    <row r="10" spans="1:298" x14ac:dyDescent="0.2">
      <c r="A10" t="str">
        <f>"Educa√ß√£o"</f>
        <v>Educa√ß√£o</v>
      </c>
      <c r="B10" t="str">
        <f>"0.00114***"</f>
        <v>0.00114***</v>
      </c>
      <c r="C10" t="s">
        <v>923</v>
      </c>
      <c r="D10" t="s">
        <v>918</v>
      </c>
      <c r="E10" t="str">
        <f>"0.00114***"</f>
        <v>0.00114***</v>
      </c>
      <c r="F10" t="s">
        <v>923</v>
      </c>
      <c r="G10" t="s">
        <v>918</v>
      </c>
      <c r="H10" t="str">
        <f>"0.00114***"</f>
        <v>0.00114***</v>
      </c>
      <c r="I10" t="s">
        <v>923</v>
      </c>
      <c r="J10" t="s">
        <v>918</v>
      </c>
      <c r="K10" t="str">
        <f>"0.0252***"</f>
        <v>0.0252***</v>
      </c>
      <c r="L10" t="s">
        <v>4713</v>
      </c>
      <c r="M10" t="s">
        <v>3358</v>
      </c>
      <c r="N10" t="str">
        <f>"0.0181***"</f>
        <v>0.0181***</v>
      </c>
      <c r="O10" t="s">
        <v>3541</v>
      </c>
      <c r="P10" t="s">
        <v>2830</v>
      </c>
      <c r="Q10" t="str">
        <f>"0.0172***"</f>
        <v>0.0172***</v>
      </c>
      <c r="R10" t="s">
        <v>1542</v>
      </c>
      <c r="S10" t="s">
        <v>2840</v>
      </c>
      <c r="T10" t="str">
        <f>"0.0171***"</f>
        <v>0.0171***</v>
      </c>
      <c r="U10" t="s">
        <v>1534</v>
      </c>
      <c r="V10" t="s">
        <v>3266</v>
      </c>
      <c r="W10" t="str">
        <f>"0.0166***"</f>
        <v>0.0166***</v>
      </c>
      <c r="X10" t="s">
        <v>1542</v>
      </c>
      <c r="Y10" t="s">
        <v>1367</v>
      </c>
      <c r="Z10" t="str">
        <f>"0.0177***"</f>
        <v>0.0177***</v>
      </c>
      <c r="AA10" t="s">
        <v>1476</v>
      </c>
      <c r="AB10" t="s">
        <v>2840</v>
      </c>
      <c r="AC10" t="str">
        <f>"0.0168***"</f>
        <v>0.0168***</v>
      </c>
      <c r="AD10" t="s">
        <v>1673</v>
      </c>
      <c r="AE10" t="s">
        <v>995</v>
      </c>
      <c r="AF10" t="str">
        <f>"0.0172***"</f>
        <v>0.0172***</v>
      </c>
      <c r="AG10" t="s">
        <v>1484</v>
      </c>
      <c r="AH10" t="s">
        <v>3653</v>
      </c>
      <c r="AI10" t="str">
        <f>"0.0176***"</f>
        <v>0.0176***</v>
      </c>
      <c r="AJ10" t="s">
        <v>1538</v>
      </c>
      <c r="AK10" t="s">
        <v>3266</v>
      </c>
      <c r="AL10" t="str">
        <f>"0.0161***"</f>
        <v>0.0161***</v>
      </c>
      <c r="AM10" t="s">
        <v>752</v>
      </c>
      <c r="AN10" t="s">
        <v>978</v>
      </c>
      <c r="AO10" t="str">
        <f>"0.0122***"</f>
        <v>0.0122***</v>
      </c>
      <c r="AP10" t="s">
        <v>4451</v>
      </c>
      <c r="AQ10" t="s">
        <v>1675</v>
      </c>
      <c r="AR10" t="str">
        <f>"0.0126***"</f>
        <v>0.0126***</v>
      </c>
      <c r="AS10" t="s">
        <v>3260</v>
      </c>
      <c r="AT10" t="s">
        <v>972</v>
      </c>
      <c r="AU10" t="str">
        <f>"0.0121***"</f>
        <v>0.0121***</v>
      </c>
      <c r="AV10" t="s">
        <v>4451</v>
      </c>
      <c r="AW10" t="s">
        <v>1473</v>
      </c>
      <c r="AX10" t="str">
        <f>"0.0108***"</f>
        <v>0.0108***</v>
      </c>
      <c r="AY10" t="s">
        <v>1729</v>
      </c>
      <c r="AZ10" t="s">
        <v>3259</v>
      </c>
      <c r="BA10" t="str">
        <f>"0.0100***"</f>
        <v>0.0100***</v>
      </c>
      <c r="BB10" t="s">
        <v>1129</v>
      </c>
      <c r="BC10" t="s">
        <v>2815</v>
      </c>
      <c r="BD10" t="str">
        <f>"0.0101***"</f>
        <v>0.0101***</v>
      </c>
      <c r="BE10" t="s">
        <v>1471</v>
      </c>
      <c r="BF10" t="s">
        <v>1551</v>
      </c>
      <c r="BG10" t="str">
        <f>"0.00964***"</f>
        <v>0.00964***</v>
      </c>
      <c r="BH10" t="s">
        <v>372</v>
      </c>
      <c r="BI10" t="s">
        <v>1001</v>
      </c>
      <c r="BJ10" t="str">
        <f>"0.0102***"</f>
        <v>0.0102***</v>
      </c>
      <c r="BK10" t="s">
        <v>1552</v>
      </c>
      <c r="BL10" t="s">
        <v>1551</v>
      </c>
      <c r="BM10" t="str">
        <f>"0.00984***"</f>
        <v>0.00984***</v>
      </c>
      <c r="BN10" t="s">
        <v>1129</v>
      </c>
      <c r="BO10" t="s">
        <v>1006</v>
      </c>
      <c r="BP10" t="str">
        <f>"0.0103***"</f>
        <v>0.0103***</v>
      </c>
      <c r="BQ10" t="s">
        <v>447</v>
      </c>
      <c r="BR10" t="s">
        <v>1551</v>
      </c>
      <c r="BS10" t="str">
        <f>"0.0108***"</f>
        <v>0.0108***</v>
      </c>
      <c r="BT10" t="s">
        <v>775</v>
      </c>
      <c r="BU10" t="s">
        <v>565</v>
      </c>
      <c r="BV10" t="str">
        <f>"0.0112***"</f>
        <v>0.0112***</v>
      </c>
      <c r="BW10" t="s">
        <v>1472</v>
      </c>
      <c r="BX10" t="s">
        <v>1492</v>
      </c>
      <c r="BY10" t="str">
        <f>"0.0114***"</f>
        <v>0.0114***</v>
      </c>
      <c r="BZ10" t="s">
        <v>1550</v>
      </c>
      <c r="CA10" t="s">
        <v>1547</v>
      </c>
      <c r="CB10" t="str">
        <f>"0.0123***"</f>
        <v>0.0123***</v>
      </c>
      <c r="CC10" t="s">
        <v>1495</v>
      </c>
      <c r="CD10" t="s">
        <v>642</v>
      </c>
      <c r="CE10" t="str">
        <f>"0.0133***"</f>
        <v>0.0133***</v>
      </c>
      <c r="CF10" t="s">
        <v>3261</v>
      </c>
      <c r="CG10" t="s">
        <v>1190</v>
      </c>
      <c r="CH10" t="str">
        <f>"0.0141***"</f>
        <v>0.0141***</v>
      </c>
      <c r="CI10" t="s">
        <v>3265</v>
      </c>
      <c r="CJ10" t="s">
        <v>2788</v>
      </c>
      <c r="CK10" t="str">
        <f>"0.0151***"</f>
        <v>0.0151***</v>
      </c>
      <c r="CL10" t="s">
        <v>1542</v>
      </c>
      <c r="CM10" t="s">
        <v>1021</v>
      </c>
      <c r="CN10" t="str">
        <f>"0.0161***"</f>
        <v>0.0161***</v>
      </c>
      <c r="CO10" t="s">
        <v>1476</v>
      </c>
      <c r="CP10" t="s">
        <v>1537</v>
      </c>
      <c r="CQ10" t="str">
        <f>"0.0171***"</f>
        <v>0.0171***</v>
      </c>
      <c r="CR10" t="s">
        <v>1060</v>
      </c>
      <c r="CS10" t="s">
        <v>645</v>
      </c>
      <c r="CT10" t="str">
        <f>"0.0183***"</f>
        <v>0.0183***</v>
      </c>
      <c r="CU10" t="s">
        <v>1480</v>
      </c>
      <c r="CV10" t="s">
        <v>966</v>
      </c>
      <c r="CW10" t="str">
        <f>"0.0188***"</f>
        <v>0.0188***</v>
      </c>
      <c r="CX10" t="s">
        <v>1527</v>
      </c>
      <c r="CY10" t="s">
        <v>2840</v>
      </c>
      <c r="CZ10" t="str">
        <f>"0.0194***"</f>
        <v>0.0194***</v>
      </c>
      <c r="DA10" t="s">
        <v>1517</v>
      </c>
      <c r="DB10" t="s">
        <v>1030</v>
      </c>
      <c r="DC10" t="str">
        <f>"0.0198***"</f>
        <v>0.0198***</v>
      </c>
      <c r="DD10" t="s">
        <v>368</v>
      </c>
      <c r="DE10" t="s">
        <v>1481</v>
      </c>
      <c r="DF10" t="str">
        <f>"0.0205***"</f>
        <v>0.0205***</v>
      </c>
      <c r="DG10" t="s">
        <v>1482</v>
      </c>
      <c r="DH10" t="s">
        <v>558</v>
      </c>
      <c r="DI10" t="str">
        <f>"0.0209***"</f>
        <v>0.0209***</v>
      </c>
      <c r="DJ10" t="s">
        <v>1518</v>
      </c>
      <c r="DK10" t="s">
        <v>1214</v>
      </c>
      <c r="DL10" t="str">
        <f>"0.0215***"</f>
        <v>0.0215***</v>
      </c>
      <c r="DM10" t="s">
        <v>4750</v>
      </c>
      <c r="DN10" t="s">
        <v>782</v>
      </c>
      <c r="DO10" t="str">
        <f>"0.0218***"</f>
        <v>0.0218***</v>
      </c>
      <c r="DP10" t="s">
        <v>374</v>
      </c>
      <c r="DQ10" t="s">
        <v>1523</v>
      </c>
      <c r="DR10" t="str">
        <f>"0.0221***"</f>
        <v>0.0221***</v>
      </c>
      <c r="DS10" t="s">
        <v>2878</v>
      </c>
      <c r="DT10" t="s">
        <v>563</v>
      </c>
      <c r="DU10" t="str">
        <f>"0.0226***"</f>
        <v>0.0226***</v>
      </c>
      <c r="DV10" t="s">
        <v>3628</v>
      </c>
      <c r="DW10" t="s">
        <v>5496</v>
      </c>
      <c r="DX10" t="str">
        <f>"0.0233***"</f>
        <v>0.0233***</v>
      </c>
      <c r="DY10" t="s">
        <v>4458</v>
      </c>
      <c r="DZ10" t="s">
        <v>4459</v>
      </c>
      <c r="EA10" t="str">
        <f>"0.0239***"</f>
        <v>0.0239***</v>
      </c>
      <c r="EB10" t="s">
        <v>3540</v>
      </c>
      <c r="EC10" t="s">
        <v>1952</v>
      </c>
      <c r="ED10" t="str">
        <f>"0.0247***"</f>
        <v>0.0247***</v>
      </c>
      <c r="EE10" t="s">
        <v>2879</v>
      </c>
      <c r="EF10" t="s">
        <v>3163</v>
      </c>
      <c r="EG10" t="str">
        <f>"0.0254***"</f>
        <v>0.0254***</v>
      </c>
      <c r="EH10" t="s">
        <v>5497</v>
      </c>
      <c r="EI10" t="s">
        <v>1651</v>
      </c>
      <c r="EJ10" t="str">
        <f>"0.0258***"</f>
        <v>0.0258***</v>
      </c>
      <c r="EK10" t="s">
        <v>1657</v>
      </c>
      <c r="EL10" t="s">
        <v>3633</v>
      </c>
      <c r="EM10" t="str">
        <f>"0.0265***"</f>
        <v>0.0265***</v>
      </c>
      <c r="EN10" t="s">
        <v>768</v>
      </c>
      <c r="EO10" t="s">
        <v>2883</v>
      </c>
      <c r="EP10" t="str">
        <f>"0.0278***"</f>
        <v>0.0278***</v>
      </c>
      <c r="EQ10" t="s">
        <v>3629</v>
      </c>
      <c r="ER10" t="s">
        <v>1942</v>
      </c>
      <c r="ES10" t="str">
        <f>"0.0281***"</f>
        <v>0.0281***</v>
      </c>
      <c r="ET10" t="s">
        <v>3538</v>
      </c>
      <c r="EU10" t="s">
        <v>5498</v>
      </c>
      <c r="EV10" t="str">
        <f>"0.0289***"</f>
        <v>0.0289***</v>
      </c>
      <c r="EW10" t="s">
        <v>3640</v>
      </c>
      <c r="EX10" t="s">
        <v>3358</v>
      </c>
      <c r="EY10" t="str">
        <f>"0.0298***"</f>
        <v>0.0298***</v>
      </c>
      <c r="EZ10" t="s">
        <v>1956</v>
      </c>
      <c r="FA10" t="s">
        <v>2850</v>
      </c>
      <c r="FB10" t="str">
        <f>"0.0304***"</f>
        <v>0.0304***</v>
      </c>
      <c r="FC10" t="s">
        <v>5499</v>
      </c>
      <c r="FD10" t="s">
        <v>975</v>
      </c>
      <c r="FE10" t="str">
        <f>"0.0312***"</f>
        <v>0.0312***</v>
      </c>
      <c r="FF10" t="s">
        <v>1644</v>
      </c>
      <c r="FG10" t="s">
        <v>3693</v>
      </c>
      <c r="FH10" t="str">
        <f>"0.0317***"</f>
        <v>0.0317***</v>
      </c>
      <c r="FI10" t="s">
        <v>4465</v>
      </c>
      <c r="FJ10" t="s">
        <v>4695</v>
      </c>
      <c r="FK10" t="str">
        <f>"0.0319***"</f>
        <v>0.0319***</v>
      </c>
      <c r="FL10" t="s">
        <v>4490</v>
      </c>
      <c r="FM10" t="s">
        <v>1034</v>
      </c>
      <c r="FN10" t="str">
        <f>"0.0320***"</f>
        <v>0.0320***</v>
      </c>
      <c r="FO10" t="s">
        <v>1687</v>
      </c>
      <c r="FP10" t="s">
        <v>1164</v>
      </c>
      <c r="FQ10" t="str">
        <f>"0.0319***"</f>
        <v>0.0319***</v>
      </c>
      <c r="FR10" t="s">
        <v>4490</v>
      </c>
      <c r="FS10" t="s">
        <v>1034</v>
      </c>
      <c r="FT10" t="str">
        <f>"0.0324***"</f>
        <v>0.0324***</v>
      </c>
      <c r="FU10" t="s">
        <v>3164</v>
      </c>
      <c r="FV10" t="s">
        <v>1435</v>
      </c>
      <c r="FW10" t="str">
        <f>"0.0325***"</f>
        <v>0.0325***</v>
      </c>
      <c r="FX10" t="s">
        <v>1643</v>
      </c>
      <c r="FY10" t="s">
        <v>1035</v>
      </c>
      <c r="FZ10" t="str">
        <f>"0.0327***"</f>
        <v>0.0327***</v>
      </c>
      <c r="GA10" t="s">
        <v>5356</v>
      </c>
      <c r="GB10" t="s">
        <v>627</v>
      </c>
      <c r="GC10" t="str">
        <f>"0.0329***"</f>
        <v>0.0329***</v>
      </c>
      <c r="GD10" t="s">
        <v>1734</v>
      </c>
      <c r="GE10" t="s">
        <v>1637</v>
      </c>
      <c r="GF10" t="str">
        <f>"0.0333***"</f>
        <v>0.0333***</v>
      </c>
      <c r="GG10" t="s">
        <v>4741</v>
      </c>
      <c r="GH10" t="s">
        <v>3451</v>
      </c>
      <c r="GI10" t="str">
        <f>"0.0353***"</f>
        <v>0.0353***</v>
      </c>
      <c r="GJ10" t="s">
        <v>5500</v>
      </c>
      <c r="GK10" t="s">
        <v>1630</v>
      </c>
      <c r="GL10" t="str">
        <f>"0.0389***"</f>
        <v>0.0389***</v>
      </c>
      <c r="GM10" t="s">
        <v>5357</v>
      </c>
      <c r="GN10" t="s">
        <v>1049</v>
      </c>
      <c r="GO10" t="str">
        <f>"0.0417***"</f>
        <v>0.0417***</v>
      </c>
      <c r="GP10" t="s">
        <v>1766</v>
      </c>
      <c r="GQ10" t="s">
        <v>1213</v>
      </c>
      <c r="GR10" t="str">
        <f>"0.0431***"</f>
        <v>0.0431***</v>
      </c>
      <c r="GS10" t="s">
        <v>5501</v>
      </c>
      <c r="GT10" t="s">
        <v>3680</v>
      </c>
      <c r="GU10" t="str">
        <f>"0.0445***"</f>
        <v>0.0445***</v>
      </c>
      <c r="GV10" t="s">
        <v>5502</v>
      </c>
      <c r="GW10" t="s">
        <v>3176</v>
      </c>
      <c r="GX10" t="str">
        <f>"0.0445***"</f>
        <v>0.0445***</v>
      </c>
      <c r="GY10" t="s">
        <v>5503</v>
      </c>
      <c r="GZ10" t="s">
        <v>1913</v>
      </c>
      <c r="HA10" t="str">
        <f>"0.0445***"</f>
        <v>0.0445***</v>
      </c>
      <c r="HB10" t="s">
        <v>5503</v>
      </c>
      <c r="HC10" t="s">
        <v>1913</v>
      </c>
      <c r="HD10" t="str">
        <f>"0.0441***"</f>
        <v>0.0441***</v>
      </c>
      <c r="HE10" t="s">
        <v>5504</v>
      </c>
      <c r="HF10" t="s">
        <v>5505</v>
      </c>
      <c r="HG10" t="str">
        <f>"0.0454***"</f>
        <v>0.0454***</v>
      </c>
      <c r="HH10" t="s">
        <v>4349</v>
      </c>
      <c r="HI10" t="s">
        <v>5506</v>
      </c>
      <c r="HJ10" t="str">
        <f>"0.0456***"</f>
        <v>0.0456***</v>
      </c>
      <c r="HK10" t="s">
        <v>4660</v>
      </c>
      <c r="HL10" t="s">
        <v>3335</v>
      </c>
      <c r="HM10" t="str">
        <f>"0.0454***"</f>
        <v>0.0454***</v>
      </c>
      <c r="HN10" t="s">
        <v>4349</v>
      </c>
      <c r="HO10" t="s">
        <v>5506</v>
      </c>
      <c r="HP10" t="str">
        <f>"0.0470***"</f>
        <v>0.0470***</v>
      </c>
      <c r="HQ10" t="s">
        <v>1621</v>
      </c>
      <c r="HR10" t="s">
        <v>3681</v>
      </c>
      <c r="HS10" t="str">
        <f>"0.0483***"</f>
        <v>0.0483***</v>
      </c>
      <c r="HT10" t="s">
        <v>1738</v>
      </c>
      <c r="HU10" t="s">
        <v>1976</v>
      </c>
      <c r="HV10" t="str">
        <f>"0.0478***"</f>
        <v>0.0478***</v>
      </c>
      <c r="HW10" t="s">
        <v>4350</v>
      </c>
      <c r="HX10" t="s">
        <v>5507</v>
      </c>
      <c r="HY10" t="str">
        <f>"0.0495***"</f>
        <v>0.0495***</v>
      </c>
      <c r="HZ10" t="s">
        <v>1613</v>
      </c>
      <c r="IA10" t="s">
        <v>4251</v>
      </c>
      <c r="IB10" t="str">
        <f>"0.0531***"</f>
        <v>0.0531***</v>
      </c>
      <c r="IC10" t="s">
        <v>1764</v>
      </c>
      <c r="ID10" t="s">
        <v>4223</v>
      </c>
      <c r="IE10" t="str">
        <f>"0.0571***"</f>
        <v>0.0571***</v>
      </c>
      <c r="IF10" t="s">
        <v>4247</v>
      </c>
      <c r="IG10" t="s">
        <v>2906</v>
      </c>
      <c r="IH10" t="str">
        <f>"0.0602***"</f>
        <v>0.0602***</v>
      </c>
      <c r="II10" t="s">
        <v>4105</v>
      </c>
      <c r="IJ10" t="s">
        <v>5362</v>
      </c>
      <c r="IK10" t="str">
        <f>"0.0595***"</f>
        <v>0.0595***</v>
      </c>
      <c r="IL10" t="s">
        <v>1991</v>
      </c>
      <c r="IM10" t="s">
        <v>1966</v>
      </c>
      <c r="IN10" t="str">
        <f>"0.0578***"</f>
        <v>0.0578***</v>
      </c>
      <c r="IO10" t="s">
        <v>1985</v>
      </c>
      <c r="IP10" t="s">
        <v>3648</v>
      </c>
      <c r="IQ10" t="str">
        <f>"0.0559***"</f>
        <v>0.0559***</v>
      </c>
      <c r="IR10" t="s">
        <v>3174</v>
      </c>
      <c r="IS10" t="s">
        <v>1158</v>
      </c>
      <c r="IT10" t="str">
        <f>"0.0547***"</f>
        <v>0.0547***</v>
      </c>
      <c r="IU10" t="s">
        <v>5508</v>
      </c>
      <c r="IV10" t="s">
        <v>3461</v>
      </c>
      <c r="IW10" t="str">
        <f>"0.0618***"</f>
        <v>0.0618***</v>
      </c>
      <c r="IX10" t="s">
        <v>5509</v>
      </c>
      <c r="IY10" t="s">
        <v>3189</v>
      </c>
      <c r="IZ10" t="str">
        <f>"0.0611***"</f>
        <v>0.0611***</v>
      </c>
      <c r="JA10" t="s">
        <v>1604</v>
      </c>
      <c r="JB10" t="s">
        <v>4356</v>
      </c>
      <c r="JC10" t="str">
        <f>"0.0609***"</f>
        <v>0.0609***</v>
      </c>
      <c r="JD10" t="s">
        <v>2897</v>
      </c>
      <c r="JE10" t="s">
        <v>5510</v>
      </c>
      <c r="JF10" t="str">
        <f>"0.0583***"</f>
        <v>0.0583***</v>
      </c>
      <c r="JG10" t="s">
        <v>5511</v>
      </c>
      <c r="JH10" t="s">
        <v>5512</v>
      </c>
      <c r="JI10" t="str">
        <f>"0.0675***"</f>
        <v>0.0675***</v>
      </c>
      <c r="JJ10" t="s">
        <v>5513</v>
      </c>
      <c r="JK10" t="s">
        <v>4115</v>
      </c>
      <c r="JL10" t="str">
        <f>"0.0710***"</f>
        <v>0.0710***</v>
      </c>
      <c r="JM10" t="s">
        <v>1568</v>
      </c>
      <c r="JN10" t="s">
        <v>2043</v>
      </c>
      <c r="JO10" t="str">
        <f>"0.0739***"</f>
        <v>0.0739***</v>
      </c>
      <c r="JP10" t="s">
        <v>1595</v>
      </c>
      <c r="JQ10" t="s">
        <v>5514</v>
      </c>
      <c r="JR10" t="str">
        <f>"0.0735***"</f>
        <v>0.0735***</v>
      </c>
      <c r="JS10" t="s">
        <v>5515</v>
      </c>
      <c r="JT10" t="s">
        <v>4065</v>
      </c>
      <c r="JU10" t="str">
        <f>"0.0690***"</f>
        <v>0.0690***</v>
      </c>
      <c r="JV10" t="s">
        <v>5516</v>
      </c>
      <c r="JW10" t="s">
        <v>5517</v>
      </c>
      <c r="JX10" t="str">
        <f>"0.0699***"</f>
        <v>0.0699***</v>
      </c>
      <c r="JY10" t="s">
        <v>4110</v>
      </c>
      <c r="JZ10" t="s">
        <v>5518</v>
      </c>
      <c r="KA10" t="str">
        <f>"0.0603***"</f>
        <v>0.0603***</v>
      </c>
      <c r="KB10" t="s">
        <v>4104</v>
      </c>
      <c r="KC10" t="s">
        <v>3187</v>
      </c>
      <c r="KD10" t="str">
        <f>"0.0765***"</f>
        <v>0.0765***</v>
      </c>
      <c r="KE10" t="s">
        <v>3483</v>
      </c>
      <c r="KF10" t="s">
        <v>5519</v>
      </c>
      <c r="KG10" t="str">
        <f>"0.0600***"</f>
        <v>0.0600***</v>
      </c>
      <c r="KH10" t="s">
        <v>5520</v>
      </c>
      <c r="KI10" t="s">
        <v>1964</v>
      </c>
      <c r="KJ10" t="str">
        <f>"0.0730***"</f>
        <v>0.0730***</v>
      </c>
      <c r="KK10" t="s">
        <v>5521</v>
      </c>
      <c r="KL10" t="s">
        <v>4782</v>
      </c>
    </row>
    <row r="11" spans="1:298" x14ac:dyDescent="0.2">
      <c r="A11" t="str">
        <f>"Experi√™ncia"</f>
        <v>Experi√™ncia</v>
      </c>
      <c r="B11" t="str">
        <f>"0.000224*"</f>
        <v>0.000224*</v>
      </c>
      <c r="C11" t="s">
        <v>979</v>
      </c>
      <c r="D11" t="s">
        <v>802</v>
      </c>
      <c r="E11" t="str">
        <f>"0.000224*"</f>
        <v>0.000224*</v>
      </c>
      <c r="F11" t="s">
        <v>979</v>
      </c>
      <c r="G11" t="s">
        <v>802</v>
      </c>
      <c r="H11" t="str">
        <f>"0.000224*"</f>
        <v>0.000224*</v>
      </c>
      <c r="I11" t="s">
        <v>979</v>
      </c>
      <c r="J11" t="s">
        <v>802</v>
      </c>
      <c r="K11" t="str">
        <f>"0.0170***"</f>
        <v>0.0170***</v>
      </c>
      <c r="L11" t="s">
        <v>3296</v>
      </c>
      <c r="M11" t="s">
        <v>1481</v>
      </c>
      <c r="N11" t="str">
        <f>"0.0115***"</f>
        <v>0.0115***</v>
      </c>
      <c r="O11" t="s">
        <v>1554</v>
      </c>
      <c r="P11" t="s">
        <v>740</v>
      </c>
      <c r="Q11" t="str">
        <f>"0.00992***"</f>
        <v>0.00992***</v>
      </c>
      <c r="R11" t="s">
        <v>445</v>
      </c>
      <c r="S11" t="s">
        <v>941</v>
      </c>
      <c r="T11" t="str">
        <f>"0.00889***"</f>
        <v>0.00889***</v>
      </c>
      <c r="U11" t="s">
        <v>1073</v>
      </c>
      <c r="V11" t="s">
        <v>1075</v>
      </c>
      <c r="W11" t="str">
        <f>"0.00812***"</f>
        <v>0.00812***</v>
      </c>
      <c r="X11" t="s">
        <v>1000</v>
      </c>
      <c r="Y11" t="s">
        <v>714</v>
      </c>
      <c r="Z11" t="str">
        <f>"0.00871***"</f>
        <v>0.00871***</v>
      </c>
      <c r="AA11" t="s">
        <v>1559</v>
      </c>
      <c r="AB11" t="s">
        <v>946</v>
      </c>
      <c r="AC11" t="str">
        <f>"0.00805***"</f>
        <v>0.00805***</v>
      </c>
      <c r="AD11" t="s">
        <v>1000</v>
      </c>
      <c r="AE11" t="s">
        <v>1011</v>
      </c>
      <c r="AF11" t="str">
        <f>"0.00803***"</f>
        <v>0.00803***</v>
      </c>
      <c r="AG11" t="s">
        <v>1000</v>
      </c>
      <c r="AH11" t="s">
        <v>3556</v>
      </c>
      <c r="AI11" t="str">
        <f>"0.00807***"</f>
        <v>0.00807***</v>
      </c>
      <c r="AJ11" t="s">
        <v>1470</v>
      </c>
      <c r="AK11" t="s">
        <v>1011</v>
      </c>
      <c r="AL11" t="str">
        <f>"0.00734***"</f>
        <v>0.00734***</v>
      </c>
      <c r="AM11" t="s">
        <v>991</v>
      </c>
      <c r="AN11" t="s">
        <v>1008</v>
      </c>
      <c r="AO11" t="str">
        <f>"0.00545***"</f>
        <v>0.00545***</v>
      </c>
      <c r="AP11" t="s">
        <v>724</v>
      </c>
      <c r="AQ11" t="s">
        <v>1013</v>
      </c>
      <c r="AR11" t="str">
        <f>"0.00557***"</f>
        <v>0.00557***</v>
      </c>
      <c r="AS11" t="s">
        <v>1469</v>
      </c>
      <c r="AT11" t="s">
        <v>594</v>
      </c>
      <c r="AU11" t="str">
        <f>"0.00524***"</f>
        <v>0.00524***</v>
      </c>
      <c r="AV11" t="s">
        <v>1468</v>
      </c>
      <c r="AW11" t="s">
        <v>680</v>
      </c>
      <c r="AX11" t="str">
        <f>"0.00460***"</f>
        <v>0.00460***</v>
      </c>
      <c r="AY11" t="s">
        <v>1037</v>
      </c>
      <c r="AZ11" t="s">
        <v>613</v>
      </c>
      <c r="BA11" t="str">
        <f>"0.00428***"</f>
        <v>0.00428***</v>
      </c>
      <c r="BB11" t="s">
        <v>343</v>
      </c>
      <c r="BC11" t="s">
        <v>655</v>
      </c>
      <c r="BD11" t="str">
        <f>"0.00431***"</f>
        <v>0.00431***</v>
      </c>
      <c r="BE11" t="s">
        <v>343</v>
      </c>
      <c r="BF11" t="s">
        <v>655</v>
      </c>
      <c r="BG11" t="str">
        <f>"0.00400***"</f>
        <v>0.00400***</v>
      </c>
      <c r="BH11" t="s">
        <v>441</v>
      </c>
      <c r="BI11" t="s">
        <v>789</v>
      </c>
      <c r="BJ11" t="str">
        <f>"0.00419***"</f>
        <v>0.00419***</v>
      </c>
      <c r="BK11" t="s">
        <v>1466</v>
      </c>
      <c r="BL11" t="s">
        <v>710</v>
      </c>
      <c r="BM11" t="str">
        <f>"0.00407***"</f>
        <v>0.00407***</v>
      </c>
      <c r="BN11" t="s">
        <v>441</v>
      </c>
      <c r="BO11" t="s">
        <v>702</v>
      </c>
      <c r="BP11" t="str">
        <f>"0.00415***"</f>
        <v>0.00415***</v>
      </c>
      <c r="BQ11" t="s">
        <v>1466</v>
      </c>
      <c r="BR11" t="s">
        <v>721</v>
      </c>
      <c r="BS11" t="str">
        <f>"0.00433***"</f>
        <v>0.00433***</v>
      </c>
      <c r="BT11" t="s">
        <v>343</v>
      </c>
      <c r="BU11" t="s">
        <v>655</v>
      </c>
      <c r="BV11" t="str">
        <f>"0.00445***"</f>
        <v>0.00445***</v>
      </c>
      <c r="BW11" t="s">
        <v>712</v>
      </c>
      <c r="BX11" t="s">
        <v>1560</v>
      </c>
      <c r="BY11" t="str">
        <f>"0.00448***"</f>
        <v>0.00448***</v>
      </c>
      <c r="BZ11" t="s">
        <v>712</v>
      </c>
      <c r="CA11" t="s">
        <v>1560</v>
      </c>
      <c r="CB11" t="str">
        <f>"0.00462***"</f>
        <v>0.00462***</v>
      </c>
      <c r="CC11" t="s">
        <v>1037</v>
      </c>
      <c r="CD11" t="s">
        <v>613</v>
      </c>
      <c r="CE11" t="str">
        <f>"0.00484***"</f>
        <v>0.00484***</v>
      </c>
      <c r="CF11" t="s">
        <v>1121</v>
      </c>
      <c r="CG11" t="s">
        <v>665</v>
      </c>
      <c r="CH11" t="str">
        <f>"0.00508***"</f>
        <v>0.00508***</v>
      </c>
      <c r="CI11" t="s">
        <v>1468</v>
      </c>
      <c r="CJ11" t="s">
        <v>723</v>
      </c>
      <c r="CK11" t="str">
        <f>"0.00553***"</f>
        <v>0.00553***</v>
      </c>
      <c r="CL11" t="s">
        <v>1015</v>
      </c>
      <c r="CM11" t="s">
        <v>1013</v>
      </c>
      <c r="CN11" t="str">
        <f>"0.00590***"</f>
        <v>0.00590***</v>
      </c>
      <c r="CO11" t="s">
        <v>1018</v>
      </c>
      <c r="CP11" t="s">
        <v>3256</v>
      </c>
      <c r="CQ11" t="str">
        <f>"0.00630***"</f>
        <v>0.00630***</v>
      </c>
      <c r="CR11" t="s">
        <v>940</v>
      </c>
      <c r="CS11" t="s">
        <v>657</v>
      </c>
      <c r="CT11" t="str">
        <f>"0.00669***"</f>
        <v>0.00669***</v>
      </c>
      <c r="CU11" t="s">
        <v>993</v>
      </c>
      <c r="CV11" t="s">
        <v>570</v>
      </c>
      <c r="CW11" t="str">
        <f>"0.00683***"</f>
        <v>0.00683***</v>
      </c>
      <c r="CX11" t="s">
        <v>370</v>
      </c>
      <c r="CY11" t="s">
        <v>582</v>
      </c>
      <c r="CZ11" t="str">
        <f>"0.00697***"</f>
        <v>0.00697***</v>
      </c>
      <c r="DA11" t="s">
        <v>991</v>
      </c>
      <c r="DB11" t="s">
        <v>649</v>
      </c>
      <c r="DC11" t="str">
        <f>"0.00715***"</f>
        <v>0.00715***</v>
      </c>
      <c r="DD11" t="s">
        <v>1028</v>
      </c>
      <c r="DE11" t="s">
        <v>1082</v>
      </c>
      <c r="DF11" t="str">
        <f>"0.00732***"</f>
        <v>0.00732***</v>
      </c>
      <c r="DG11" t="s">
        <v>1053</v>
      </c>
      <c r="DH11" t="s">
        <v>4256</v>
      </c>
      <c r="DI11" t="str">
        <f>"0.00732***"</f>
        <v>0.00732***</v>
      </c>
      <c r="DJ11" t="s">
        <v>1053</v>
      </c>
      <c r="DK11" t="s">
        <v>4256</v>
      </c>
      <c r="DL11" t="str">
        <f>"0.00744***"</f>
        <v>0.00744***</v>
      </c>
      <c r="DM11" t="s">
        <v>715</v>
      </c>
      <c r="DN11" t="s">
        <v>1008</v>
      </c>
      <c r="DO11" t="str">
        <f>"0.00750***"</f>
        <v>0.00750***</v>
      </c>
      <c r="DP11" t="s">
        <v>772</v>
      </c>
      <c r="DQ11" t="s">
        <v>1008</v>
      </c>
      <c r="DR11" t="str">
        <f>"0.00753***"</f>
        <v>0.00753***</v>
      </c>
      <c r="DS11" t="s">
        <v>772</v>
      </c>
      <c r="DT11" t="s">
        <v>573</v>
      </c>
      <c r="DU11" t="str">
        <f>"0.00772***"</f>
        <v>0.00772***</v>
      </c>
      <c r="DV11" t="s">
        <v>1470</v>
      </c>
      <c r="DW11" t="s">
        <v>939</v>
      </c>
      <c r="DX11" t="str">
        <f>"0.00784***"</f>
        <v>0.00784***</v>
      </c>
      <c r="DY11" t="s">
        <v>1470</v>
      </c>
      <c r="DZ11" t="s">
        <v>1005</v>
      </c>
      <c r="EA11" t="str">
        <f>"0.00799***"</f>
        <v>0.00799***</v>
      </c>
      <c r="EB11" t="s">
        <v>1489</v>
      </c>
      <c r="EC11" t="s">
        <v>726</v>
      </c>
      <c r="ED11" t="str">
        <f>"0.00800***"</f>
        <v>0.00800***</v>
      </c>
      <c r="EE11" t="s">
        <v>1489</v>
      </c>
      <c r="EF11" t="s">
        <v>726</v>
      </c>
      <c r="EG11" t="str">
        <f>"0.00814***"</f>
        <v>0.00814***</v>
      </c>
      <c r="EH11" t="s">
        <v>732</v>
      </c>
      <c r="EI11" t="s">
        <v>678</v>
      </c>
      <c r="EJ11" t="str">
        <f>"0.00818***"</f>
        <v>0.00818***</v>
      </c>
      <c r="EK11" t="s">
        <v>732</v>
      </c>
      <c r="EL11" t="s">
        <v>3556</v>
      </c>
      <c r="EM11" t="str">
        <f>"0.00829***"</f>
        <v>0.00829***</v>
      </c>
      <c r="EN11" t="s">
        <v>1073</v>
      </c>
      <c r="EO11" t="s">
        <v>1011</v>
      </c>
      <c r="EP11" t="str">
        <f>"0.00856***"</f>
        <v>0.00856***</v>
      </c>
      <c r="EQ11" t="s">
        <v>1058</v>
      </c>
      <c r="ER11" t="s">
        <v>3651</v>
      </c>
      <c r="ES11" t="str">
        <f>"0.00860***"</f>
        <v>0.00860***</v>
      </c>
      <c r="ET11" t="s">
        <v>1058</v>
      </c>
      <c r="EU11" t="s">
        <v>651</v>
      </c>
      <c r="EV11" t="str">
        <f>"0.00875***"</f>
        <v>0.00875***</v>
      </c>
      <c r="EW11" t="s">
        <v>2822</v>
      </c>
      <c r="EX11" t="s">
        <v>687</v>
      </c>
      <c r="EY11" t="str">
        <f>"0.00895***"</f>
        <v>0.00895***</v>
      </c>
      <c r="EZ11" t="s">
        <v>1022</v>
      </c>
      <c r="FA11" t="s">
        <v>946</v>
      </c>
      <c r="FB11" t="str">
        <f>"0.00897***"</f>
        <v>0.00897***</v>
      </c>
      <c r="FC11" t="s">
        <v>1022</v>
      </c>
      <c r="FD11" t="s">
        <v>1001</v>
      </c>
      <c r="FE11" t="str">
        <f>"0.00912***"</f>
        <v>0.00912***</v>
      </c>
      <c r="FF11" t="s">
        <v>1557</v>
      </c>
      <c r="FG11" t="s">
        <v>1006</v>
      </c>
      <c r="FH11" t="str">
        <f>"0.00915***"</f>
        <v>0.00915***</v>
      </c>
      <c r="FI11" t="s">
        <v>1557</v>
      </c>
      <c r="FJ11" t="s">
        <v>1075</v>
      </c>
      <c r="FK11" t="str">
        <f>"0.00915***"</f>
        <v>0.00915***</v>
      </c>
      <c r="FL11" t="s">
        <v>1557</v>
      </c>
      <c r="FM11" t="s">
        <v>1075</v>
      </c>
      <c r="FN11" t="str">
        <f>"0.00909***"</f>
        <v>0.00909***</v>
      </c>
      <c r="FO11" t="s">
        <v>1557</v>
      </c>
      <c r="FP11" t="s">
        <v>1006</v>
      </c>
      <c r="FQ11" t="str">
        <f>"0.00900***"</f>
        <v>0.00900***</v>
      </c>
      <c r="FR11" t="s">
        <v>1022</v>
      </c>
      <c r="FS11" t="s">
        <v>1001</v>
      </c>
      <c r="FT11" t="str">
        <f>"0.00910***"</f>
        <v>0.00910***</v>
      </c>
      <c r="FU11" t="s">
        <v>1557</v>
      </c>
      <c r="FV11" t="s">
        <v>1006</v>
      </c>
      <c r="FW11" t="str">
        <f>"0.00900***"</f>
        <v>0.00900***</v>
      </c>
      <c r="FX11" t="s">
        <v>1022</v>
      </c>
      <c r="FY11" t="s">
        <v>1001</v>
      </c>
      <c r="FZ11" t="str">
        <f>"0.00895***"</f>
        <v>0.00895***</v>
      </c>
      <c r="GA11" t="s">
        <v>1022</v>
      </c>
      <c r="GB11" t="s">
        <v>946</v>
      </c>
      <c r="GC11" t="str">
        <f>"0.00893***"</f>
        <v>0.00893***</v>
      </c>
      <c r="GD11" t="s">
        <v>1022</v>
      </c>
      <c r="GE11" t="s">
        <v>946</v>
      </c>
      <c r="GF11" t="str">
        <f>"0.00901***"</f>
        <v>0.00901***</v>
      </c>
      <c r="GG11" t="s">
        <v>1022</v>
      </c>
      <c r="GH11" t="s">
        <v>1001</v>
      </c>
      <c r="GI11" t="str">
        <f>"0.00944***"</f>
        <v>0.00944***</v>
      </c>
      <c r="GJ11" t="s">
        <v>443</v>
      </c>
      <c r="GK11" t="s">
        <v>2815</v>
      </c>
      <c r="GL11" t="str">
        <f>"0.0103***"</f>
        <v>0.0103***</v>
      </c>
      <c r="GM11" t="s">
        <v>659</v>
      </c>
      <c r="GN11" t="s">
        <v>941</v>
      </c>
      <c r="GO11" t="str">
        <f>"0.0109***"</f>
        <v>0.0109***</v>
      </c>
      <c r="GP11" t="s">
        <v>297</v>
      </c>
      <c r="GQ11" t="s">
        <v>943</v>
      </c>
      <c r="GR11" t="str">
        <f>"0.0113***"</f>
        <v>0.0113***</v>
      </c>
      <c r="GS11" t="s">
        <v>1471</v>
      </c>
      <c r="GT11" t="s">
        <v>747</v>
      </c>
      <c r="GU11" t="str">
        <f>"0.0115***"</f>
        <v>0.0115***</v>
      </c>
      <c r="GV11" t="s">
        <v>447</v>
      </c>
      <c r="GW11" t="s">
        <v>1473</v>
      </c>
      <c r="GX11" t="str">
        <f>"0.0114***"</f>
        <v>0.0114***</v>
      </c>
      <c r="GY11" t="s">
        <v>1552</v>
      </c>
      <c r="GZ11" t="s">
        <v>1473</v>
      </c>
      <c r="HA11" t="str">
        <f>"0.0114***"</f>
        <v>0.0114***</v>
      </c>
      <c r="HB11" t="s">
        <v>1552</v>
      </c>
      <c r="HC11" t="s">
        <v>642</v>
      </c>
      <c r="HD11" t="str">
        <f>"0.0112***"</f>
        <v>0.0112***</v>
      </c>
      <c r="HE11" t="s">
        <v>1471</v>
      </c>
      <c r="HF11" t="s">
        <v>530</v>
      </c>
      <c r="HG11" t="str">
        <f>"0.0114***"</f>
        <v>0.0114***</v>
      </c>
      <c r="HH11" t="s">
        <v>1552</v>
      </c>
      <c r="HI11" t="s">
        <v>642</v>
      </c>
      <c r="HJ11" t="str">
        <f>"0.0112***"</f>
        <v>0.0112***</v>
      </c>
      <c r="HK11" t="s">
        <v>1471</v>
      </c>
      <c r="HL11" t="s">
        <v>530</v>
      </c>
      <c r="HM11" t="str">
        <f>"0.0111***"</f>
        <v>0.0111***</v>
      </c>
      <c r="HN11" t="s">
        <v>1048</v>
      </c>
      <c r="HO11" t="s">
        <v>1056</v>
      </c>
      <c r="HP11" t="str">
        <f>"0.0113***"</f>
        <v>0.0113***</v>
      </c>
      <c r="HQ11" t="s">
        <v>1552</v>
      </c>
      <c r="HR11" t="s">
        <v>747</v>
      </c>
      <c r="HS11" t="str">
        <f>"0.0117***"</f>
        <v>0.0117***</v>
      </c>
      <c r="HT11" t="s">
        <v>1729</v>
      </c>
      <c r="HU11" t="s">
        <v>971</v>
      </c>
      <c r="HV11" t="str">
        <f>"0.0116***"</f>
        <v>0.0116***</v>
      </c>
      <c r="HW11" t="s">
        <v>1499</v>
      </c>
      <c r="HX11" t="s">
        <v>524</v>
      </c>
      <c r="HY11" t="str">
        <f>"0.0120***"</f>
        <v>0.0120***</v>
      </c>
      <c r="HZ11" t="s">
        <v>660</v>
      </c>
      <c r="IA11" t="s">
        <v>972</v>
      </c>
      <c r="IB11" t="str">
        <f>"0.0128***"</f>
        <v>0.0128***</v>
      </c>
      <c r="IC11" t="s">
        <v>1550</v>
      </c>
      <c r="ID11" t="s">
        <v>532</v>
      </c>
      <c r="IE11" t="str">
        <f>"0.0134***"</f>
        <v>0.0134***</v>
      </c>
      <c r="IF11" t="s">
        <v>1122</v>
      </c>
      <c r="IG11" t="s">
        <v>1080</v>
      </c>
      <c r="IH11" t="str">
        <f>"0.0140***"</f>
        <v>0.0140***</v>
      </c>
      <c r="II11" t="s">
        <v>1495</v>
      </c>
      <c r="IJ11" t="s">
        <v>743</v>
      </c>
      <c r="IK11" t="str">
        <f>"0.0138***"</f>
        <v>0.0138***</v>
      </c>
      <c r="IL11" t="s">
        <v>1493</v>
      </c>
      <c r="IM11" t="s">
        <v>609</v>
      </c>
      <c r="IN11" t="str">
        <f>"0.0133***"</f>
        <v>0.0133***</v>
      </c>
      <c r="IO11" t="s">
        <v>3263</v>
      </c>
      <c r="IP11" t="s">
        <v>1532</v>
      </c>
      <c r="IQ11" t="str">
        <f>"0.0127***"</f>
        <v>0.0127***</v>
      </c>
      <c r="IR11" t="s">
        <v>1497</v>
      </c>
      <c r="IS11" t="s">
        <v>1669</v>
      </c>
      <c r="IT11" t="str">
        <f>"0.0123***"</f>
        <v>0.0123***</v>
      </c>
      <c r="IU11" t="s">
        <v>4450</v>
      </c>
      <c r="IV11" t="s">
        <v>1190</v>
      </c>
      <c r="IW11" t="str">
        <f>"0.0139***"</f>
        <v>0.0139***</v>
      </c>
      <c r="IX11" t="s">
        <v>1495</v>
      </c>
      <c r="IY11" t="s">
        <v>1021</v>
      </c>
      <c r="IZ11" t="str">
        <f>"0.0138***"</f>
        <v>0.0138***</v>
      </c>
      <c r="JA11" t="s">
        <v>1493</v>
      </c>
      <c r="JB11" t="s">
        <v>528</v>
      </c>
      <c r="JC11" t="str">
        <f>"0.0137***"</f>
        <v>0.0137***</v>
      </c>
      <c r="JD11" t="s">
        <v>1493</v>
      </c>
      <c r="JE11" t="s">
        <v>955</v>
      </c>
      <c r="JF11" t="str">
        <f>"0.0132***"</f>
        <v>0.0132***</v>
      </c>
      <c r="JG11" t="s">
        <v>2829</v>
      </c>
      <c r="JH11" t="s">
        <v>1023</v>
      </c>
      <c r="JI11" t="str">
        <f>"0.0154***"</f>
        <v>0.0154***</v>
      </c>
      <c r="JJ11" t="s">
        <v>1544</v>
      </c>
      <c r="JK11" t="s">
        <v>1232</v>
      </c>
      <c r="JL11" t="str">
        <f>"0.0163***"</f>
        <v>0.0163***</v>
      </c>
      <c r="JM11" t="s">
        <v>1539</v>
      </c>
      <c r="JN11" t="s">
        <v>1479</v>
      </c>
      <c r="JO11" t="str">
        <f>"0.0172***"</f>
        <v>0.0172***</v>
      </c>
      <c r="JP11" t="s">
        <v>752</v>
      </c>
      <c r="JQ11" t="s">
        <v>787</v>
      </c>
      <c r="JR11" t="str">
        <f>"0.0173***"</f>
        <v>0.0173***</v>
      </c>
      <c r="JS11" t="s">
        <v>3541</v>
      </c>
      <c r="JT11" t="s">
        <v>990</v>
      </c>
      <c r="JU11" t="str">
        <f>"0.0162***"</f>
        <v>0.0162***</v>
      </c>
      <c r="JV11" t="s">
        <v>1539</v>
      </c>
      <c r="JW11" t="s">
        <v>999</v>
      </c>
      <c r="JX11" t="str">
        <f>"0.0163***"</f>
        <v>0.0163***</v>
      </c>
      <c r="JY11" t="s">
        <v>1727</v>
      </c>
      <c r="JZ11" t="s">
        <v>3534</v>
      </c>
      <c r="KA11" t="str">
        <f>"0.0140***"</f>
        <v>0.0140***</v>
      </c>
      <c r="KB11" t="s">
        <v>1496</v>
      </c>
      <c r="KC11" t="s">
        <v>5522</v>
      </c>
      <c r="KD11" t="str">
        <f>"0.0190***"</f>
        <v>0.0190***</v>
      </c>
      <c r="KE11" t="s">
        <v>976</v>
      </c>
      <c r="KF11" t="s">
        <v>1679</v>
      </c>
      <c r="KG11" t="str">
        <f>"0.0162***"</f>
        <v>0.0162***</v>
      </c>
      <c r="KH11" t="s">
        <v>3643</v>
      </c>
      <c r="KI11" t="s">
        <v>3534</v>
      </c>
      <c r="KJ11" t="str">
        <f>"0.0228***"</f>
        <v>0.0228***</v>
      </c>
      <c r="KK11" t="s">
        <v>1517</v>
      </c>
      <c r="KL11" t="s">
        <v>1651</v>
      </c>
    </row>
    <row r="12" spans="1:298" x14ac:dyDescent="0.2">
      <c r="A12" t="str">
        <f>"feminino"</f>
        <v>feminino</v>
      </c>
      <c r="B12" t="str">
        <f>"0.0000460"</f>
        <v>0.0000460</v>
      </c>
      <c r="C12" t="s">
        <v>1458</v>
      </c>
      <c r="D12" t="s">
        <v>661</v>
      </c>
      <c r="E12" t="str">
        <f>"0.0000460"</f>
        <v>0.0000460</v>
      </c>
      <c r="F12" t="s">
        <v>1458</v>
      </c>
      <c r="G12" t="s">
        <v>661</v>
      </c>
      <c r="H12" t="str">
        <f>"0.0000460"</f>
        <v>0.0000460</v>
      </c>
      <c r="I12" t="s">
        <v>1458</v>
      </c>
      <c r="J12" t="s">
        <v>661</v>
      </c>
      <c r="K12" t="str">
        <f>"0.000745"</f>
        <v>0.000745</v>
      </c>
      <c r="L12" t="s">
        <v>911</v>
      </c>
      <c r="M12" t="s">
        <v>671</v>
      </c>
      <c r="N12" t="str">
        <f>"0.000476"</f>
        <v>0.000476</v>
      </c>
      <c r="O12" t="s">
        <v>720</v>
      </c>
      <c r="P12" t="s">
        <v>667</v>
      </c>
      <c r="Q12" t="str">
        <f>"0.000419"</f>
        <v>0.000419</v>
      </c>
      <c r="R12" t="s">
        <v>932</v>
      </c>
      <c r="S12" t="s">
        <v>799</v>
      </c>
      <c r="T12" t="str">
        <f>"0.000416"</f>
        <v>0.000416</v>
      </c>
      <c r="U12" t="s">
        <v>932</v>
      </c>
      <c r="V12" t="s">
        <v>799</v>
      </c>
      <c r="W12" t="str">
        <f>"0.000385"</f>
        <v>0.000385</v>
      </c>
      <c r="X12" t="s">
        <v>674</v>
      </c>
      <c r="Y12" t="s">
        <v>800</v>
      </c>
      <c r="Z12" t="str">
        <f>"0.000390"</f>
        <v>0.000390</v>
      </c>
      <c r="AA12" t="s">
        <v>674</v>
      </c>
      <c r="AB12" t="s">
        <v>685</v>
      </c>
      <c r="AC12" t="str">
        <f>"0.000355"</f>
        <v>0.000355</v>
      </c>
      <c r="AD12" t="s">
        <v>636</v>
      </c>
      <c r="AE12" t="s">
        <v>912</v>
      </c>
      <c r="AF12" t="str">
        <f>"0.000343"</f>
        <v>0.000343</v>
      </c>
      <c r="AG12" t="s">
        <v>935</v>
      </c>
      <c r="AH12" t="s">
        <v>913</v>
      </c>
      <c r="AI12" t="str">
        <f>"0.000340"</f>
        <v>0.000340</v>
      </c>
      <c r="AJ12" t="s">
        <v>935</v>
      </c>
      <c r="AK12" t="s">
        <v>913</v>
      </c>
      <c r="AL12" t="str">
        <f>"0.000294"</f>
        <v>0.000294</v>
      </c>
      <c r="AM12" t="s">
        <v>647</v>
      </c>
      <c r="AN12" t="s">
        <v>918</v>
      </c>
      <c r="AO12" t="str">
        <f>"0.000202"</f>
        <v>0.000202</v>
      </c>
      <c r="AP12" t="s">
        <v>734</v>
      </c>
      <c r="AQ12" t="s">
        <v>934</v>
      </c>
      <c r="AR12" t="str">
        <f>"0.000210"</f>
        <v>0.000210</v>
      </c>
      <c r="AS12" t="s">
        <v>734</v>
      </c>
      <c r="AT12" t="s">
        <v>936</v>
      </c>
      <c r="AU12" t="str">
        <f>"0.000188"</f>
        <v>0.000188</v>
      </c>
      <c r="AV12" t="s">
        <v>734</v>
      </c>
      <c r="AW12" t="s">
        <v>937</v>
      </c>
      <c r="AX12" t="str">
        <f>"0.000158"</f>
        <v>0.000158</v>
      </c>
      <c r="AY12" t="s">
        <v>684</v>
      </c>
      <c r="AZ12" t="s">
        <v>938</v>
      </c>
      <c r="BA12" t="str">
        <f>"0.000137"</f>
        <v>0.000137</v>
      </c>
      <c r="BB12" t="s">
        <v>347</v>
      </c>
      <c r="BC12" t="s">
        <v>1457</v>
      </c>
      <c r="BD12" t="str">
        <f>"0.000130"</f>
        <v>0.000130</v>
      </c>
      <c r="BE12" t="s">
        <v>347</v>
      </c>
      <c r="BF12" t="s">
        <v>1196</v>
      </c>
      <c r="BG12" t="str">
        <f>"0.000125"</f>
        <v>0.000125</v>
      </c>
      <c r="BH12" t="s">
        <v>929</v>
      </c>
      <c r="BI12" t="s">
        <v>1196</v>
      </c>
      <c r="BJ12" t="str">
        <f>"0.000132"</f>
        <v>0.000132</v>
      </c>
      <c r="BK12" t="s">
        <v>347</v>
      </c>
      <c r="BL12" t="s">
        <v>1196</v>
      </c>
      <c r="BM12" t="str">
        <f>"0.000123"</f>
        <v>0.000123</v>
      </c>
      <c r="BN12" t="s">
        <v>929</v>
      </c>
      <c r="BO12" t="s">
        <v>1196</v>
      </c>
      <c r="BP12" t="str">
        <f>"0.000129"</f>
        <v>0.000129</v>
      </c>
      <c r="BQ12" t="s">
        <v>347</v>
      </c>
      <c r="BR12" t="s">
        <v>1196</v>
      </c>
      <c r="BS12" t="str">
        <f>"0.000134"</f>
        <v>0.000134</v>
      </c>
      <c r="BT12" t="s">
        <v>347</v>
      </c>
      <c r="BU12" t="s">
        <v>1196</v>
      </c>
      <c r="BV12" t="str">
        <f>"0.000138"</f>
        <v>0.000138</v>
      </c>
      <c r="BW12" t="s">
        <v>347</v>
      </c>
      <c r="BX12" t="s">
        <v>1457</v>
      </c>
      <c r="BY12" t="str">
        <f>"0.000136"</f>
        <v>0.000136</v>
      </c>
      <c r="BZ12" t="s">
        <v>347</v>
      </c>
      <c r="CA12" t="s">
        <v>1457</v>
      </c>
      <c r="CB12" t="str">
        <f>"0.000146"</f>
        <v>0.000146</v>
      </c>
      <c r="CC12" t="s">
        <v>347</v>
      </c>
      <c r="CD12" t="s">
        <v>1457</v>
      </c>
      <c r="CE12" t="str">
        <f>"0.000155"</f>
        <v>0.000155</v>
      </c>
      <c r="CF12" t="s">
        <v>347</v>
      </c>
      <c r="CG12" t="s">
        <v>938</v>
      </c>
      <c r="CH12" t="str">
        <f>"0.000164"</f>
        <v>0.000164</v>
      </c>
      <c r="CI12" t="s">
        <v>684</v>
      </c>
      <c r="CJ12" t="s">
        <v>938</v>
      </c>
      <c r="CK12" t="str">
        <f>"0.000176"</f>
        <v>0.000176</v>
      </c>
      <c r="CL12" t="s">
        <v>684</v>
      </c>
      <c r="CM12" t="s">
        <v>937</v>
      </c>
      <c r="CN12" t="str">
        <f>"0.000186"</f>
        <v>0.000186</v>
      </c>
      <c r="CO12" t="s">
        <v>734</v>
      </c>
      <c r="CP12" t="s">
        <v>937</v>
      </c>
      <c r="CQ12" t="str">
        <f>"0.000198"</f>
        <v>0.000198</v>
      </c>
      <c r="CR12" t="s">
        <v>734</v>
      </c>
      <c r="CS12" t="s">
        <v>934</v>
      </c>
      <c r="CT12" t="str">
        <f>"0.000207"</f>
        <v>0.000207</v>
      </c>
      <c r="CU12" t="s">
        <v>734</v>
      </c>
      <c r="CV12" t="s">
        <v>934</v>
      </c>
      <c r="CW12" t="str">
        <f>"0.000212"</f>
        <v>0.000212</v>
      </c>
      <c r="CX12" t="s">
        <v>734</v>
      </c>
      <c r="CY12" t="s">
        <v>936</v>
      </c>
      <c r="CZ12" t="str">
        <f>"0.000222"</f>
        <v>0.000222</v>
      </c>
      <c r="DA12" t="s">
        <v>707</v>
      </c>
      <c r="DB12" t="s">
        <v>936</v>
      </c>
      <c r="DC12" t="str">
        <f>"0.000225"</f>
        <v>0.000225</v>
      </c>
      <c r="DD12" t="s">
        <v>707</v>
      </c>
      <c r="DE12" t="s">
        <v>936</v>
      </c>
      <c r="DF12" t="str">
        <f>"0.000224"</f>
        <v>0.000224</v>
      </c>
      <c r="DG12" t="s">
        <v>707</v>
      </c>
      <c r="DH12" t="s">
        <v>936</v>
      </c>
      <c r="DI12" t="str">
        <f>"0.000223"</f>
        <v>0.000223</v>
      </c>
      <c r="DJ12" t="s">
        <v>707</v>
      </c>
      <c r="DK12" t="s">
        <v>936</v>
      </c>
      <c r="DL12" t="str">
        <f>"0.000230"</f>
        <v>0.000230</v>
      </c>
      <c r="DM12" t="s">
        <v>707</v>
      </c>
      <c r="DN12" t="s">
        <v>675</v>
      </c>
      <c r="DO12" t="str">
        <f>"0.000229"</f>
        <v>0.000229</v>
      </c>
      <c r="DP12" t="s">
        <v>707</v>
      </c>
      <c r="DQ12" t="s">
        <v>675</v>
      </c>
      <c r="DR12" t="str">
        <f>"0.000229"</f>
        <v>0.000229</v>
      </c>
      <c r="DS12" t="s">
        <v>707</v>
      </c>
      <c r="DT12" t="s">
        <v>675</v>
      </c>
      <c r="DU12" t="str">
        <f>"0.000232"</f>
        <v>0.000232</v>
      </c>
      <c r="DV12" t="s">
        <v>707</v>
      </c>
      <c r="DW12" t="s">
        <v>675</v>
      </c>
      <c r="DX12" t="str">
        <f>"0.000237"</f>
        <v>0.000237</v>
      </c>
      <c r="DY12" t="s">
        <v>707</v>
      </c>
      <c r="DZ12" t="s">
        <v>675</v>
      </c>
      <c r="EA12" t="str">
        <f>"0.000246"</f>
        <v>0.000246</v>
      </c>
      <c r="EB12" t="s">
        <v>931</v>
      </c>
      <c r="EC12" t="s">
        <v>1067</v>
      </c>
      <c r="ED12" t="str">
        <f>"0.000253"</f>
        <v>0.000253</v>
      </c>
      <c r="EE12" t="s">
        <v>931</v>
      </c>
      <c r="EF12" t="s">
        <v>1067</v>
      </c>
      <c r="EG12" t="str">
        <f>"0.000258"</f>
        <v>0.000258</v>
      </c>
      <c r="EH12" t="s">
        <v>931</v>
      </c>
      <c r="EI12" t="s">
        <v>1067</v>
      </c>
      <c r="EJ12" t="str">
        <f>"0.000264"</f>
        <v>0.000264</v>
      </c>
      <c r="EK12" t="s">
        <v>931</v>
      </c>
      <c r="EL12" t="s">
        <v>1083</v>
      </c>
      <c r="EM12" t="str">
        <f>"0.000267"</f>
        <v>0.000267</v>
      </c>
      <c r="EN12" t="s">
        <v>931</v>
      </c>
      <c r="EO12" t="s">
        <v>1083</v>
      </c>
      <c r="EP12" t="str">
        <f>"0.000274"</f>
        <v>0.000274</v>
      </c>
      <c r="EQ12" t="s">
        <v>647</v>
      </c>
      <c r="ER12" t="s">
        <v>1083</v>
      </c>
      <c r="ES12" t="str">
        <f>"0.000281"</f>
        <v>0.000281</v>
      </c>
      <c r="ET12" t="s">
        <v>647</v>
      </c>
      <c r="EU12" t="s">
        <v>1083</v>
      </c>
      <c r="EV12" t="str">
        <f>"0.000282"</f>
        <v>0.000282</v>
      </c>
      <c r="EW12" t="s">
        <v>647</v>
      </c>
      <c r="EX12" t="s">
        <v>918</v>
      </c>
      <c r="EY12" t="str">
        <f>"0.000284"</f>
        <v>0.000284</v>
      </c>
      <c r="EZ12" t="s">
        <v>647</v>
      </c>
      <c r="FA12" t="s">
        <v>918</v>
      </c>
      <c r="FB12" t="str">
        <f>"0.000280"</f>
        <v>0.000280</v>
      </c>
      <c r="FC12" t="s">
        <v>647</v>
      </c>
      <c r="FD12" t="s">
        <v>1083</v>
      </c>
      <c r="FE12" t="str">
        <f>"0.000282"</f>
        <v>0.000282</v>
      </c>
      <c r="FF12" t="s">
        <v>647</v>
      </c>
      <c r="FG12" t="s">
        <v>918</v>
      </c>
      <c r="FH12" t="str">
        <f>"0.000288"</f>
        <v>0.000288</v>
      </c>
      <c r="FI12" t="s">
        <v>647</v>
      </c>
      <c r="FJ12" t="s">
        <v>918</v>
      </c>
      <c r="FK12" t="str">
        <f>"0.000286"</f>
        <v>0.000286</v>
      </c>
      <c r="FL12" t="s">
        <v>647</v>
      </c>
      <c r="FM12" t="s">
        <v>918</v>
      </c>
      <c r="FN12" t="str">
        <f>"0.000281"</f>
        <v>0.000281</v>
      </c>
      <c r="FO12" t="s">
        <v>647</v>
      </c>
      <c r="FP12" t="s">
        <v>918</v>
      </c>
      <c r="FQ12" t="str">
        <f>"0.000272"</f>
        <v>0.000272</v>
      </c>
      <c r="FR12" t="s">
        <v>647</v>
      </c>
      <c r="FS12" t="s">
        <v>1083</v>
      </c>
      <c r="FT12" t="str">
        <f>"0.000272"</f>
        <v>0.000272</v>
      </c>
      <c r="FU12" t="s">
        <v>647</v>
      </c>
      <c r="FV12" t="s">
        <v>1083</v>
      </c>
      <c r="FW12" t="str">
        <f>"0.000274"</f>
        <v>0.000274</v>
      </c>
      <c r="FX12" t="s">
        <v>647</v>
      </c>
      <c r="FY12" t="s">
        <v>1083</v>
      </c>
      <c r="FZ12" t="str">
        <f>"0.000274"</f>
        <v>0.000274</v>
      </c>
      <c r="GA12" t="s">
        <v>647</v>
      </c>
      <c r="GB12" t="s">
        <v>1083</v>
      </c>
      <c r="GC12" t="str">
        <f>"0.000275"</f>
        <v>0.000275</v>
      </c>
      <c r="GD12" t="s">
        <v>647</v>
      </c>
      <c r="GE12" t="s">
        <v>1083</v>
      </c>
      <c r="GF12" t="str">
        <f>"0.000279"</f>
        <v>0.000279</v>
      </c>
      <c r="GG12" t="s">
        <v>647</v>
      </c>
      <c r="GH12" t="s">
        <v>1083</v>
      </c>
      <c r="GI12" t="str">
        <f>"0.000291"</f>
        <v>0.000291</v>
      </c>
      <c r="GJ12" t="s">
        <v>647</v>
      </c>
      <c r="GK12" t="s">
        <v>918</v>
      </c>
      <c r="GL12" t="str">
        <f>"0.000323"</f>
        <v>0.000323</v>
      </c>
      <c r="GM12" t="s">
        <v>435</v>
      </c>
      <c r="GN12" t="s">
        <v>691</v>
      </c>
      <c r="GO12" t="str">
        <f>"0.000339"</f>
        <v>0.000339</v>
      </c>
      <c r="GP12" t="s">
        <v>935</v>
      </c>
      <c r="GQ12" t="s">
        <v>913</v>
      </c>
      <c r="GR12" t="str">
        <f>"0.000347"</f>
        <v>0.000347</v>
      </c>
      <c r="GS12" t="s">
        <v>935</v>
      </c>
      <c r="GT12" t="s">
        <v>913</v>
      </c>
      <c r="GU12" t="str">
        <f>"0.000354"</f>
        <v>0.000354</v>
      </c>
      <c r="GV12" t="s">
        <v>935</v>
      </c>
      <c r="GW12" t="s">
        <v>912</v>
      </c>
      <c r="GX12" t="str">
        <f>"0.000353"</f>
        <v>0.000353</v>
      </c>
      <c r="GY12" t="s">
        <v>935</v>
      </c>
      <c r="GZ12" t="s">
        <v>913</v>
      </c>
      <c r="HA12" t="str">
        <f>"0.000343"</f>
        <v>0.000343</v>
      </c>
      <c r="HB12" t="s">
        <v>935</v>
      </c>
      <c r="HC12" t="s">
        <v>913</v>
      </c>
      <c r="HD12" t="str">
        <f>"0.000335"</f>
        <v>0.000335</v>
      </c>
      <c r="HE12" t="s">
        <v>935</v>
      </c>
      <c r="HF12" t="s">
        <v>913</v>
      </c>
      <c r="HG12" t="str">
        <f>"0.000341"</f>
        <v>0.000341</v>
      </c>
      <c r="HH12" t="s">
        <v>935</v>
      </c>
      <c r="HI12" t="s">
        <v>913</v>
      </c>
      <c r="HJ12" t="str">
        <f>"0.000352"</f>
        <v>0.000352</v>
      </c>
      <c r="HK12" t="s">
        <v>935</v>
      </c>
      <c r="HL12" t="s">
        <v>913</v>
      </c>
      <c r="HM12" t="str">
        <f>"0.000345"</f>
        <v>0.000345</v>
      </c>
      <c r="HN12" t="s">
        <v>935</v>
      </c>
      <c r="HO12" t="s">
        <v>913</v>
      </c>
      <c r="HP12" t="str">
        <f>"0.000354"</f>
        <v>0.000354</v>
      </c>
      <c r="HQ12" t="s">
        <v>935</v>
      </c>
      <c r="HR12" t="s">
        <v>912</v>
      </c>
      <c r="HS12" t="str">
        <f>"0.000363"</f>
        <v>0.000363</v>
      </c>
      <c r="HT12" t="s">
        <v>636</v>
      </c>
      <c r="HU12" t="s">
        <v>912</v>
      </c>
      <c r="HV12" t="str">
        <f>"0.000361"</f>
        <v>0.000361</v>
      </c>
      <c r="HW12" t="s">
        <v>636</v>
      </c>
      <c r="HX12" t="s">
        <v>912</v>
      </c>
      <c r="HY12" t="str">
        <f>"0.000377"</f>
        <v>0.000377</v>
      </c>
      <c r="HZ12" t="s">
        <v>636</v>
      </c>
      <c r="IA12" t="s">
        <v>800</v>
      </c>
      <c r="IB12" t="str">
        <f>"0.000398"</f>
        <v>0.000398</v>
      </c>
      <c r="IC12" t="s">
        <v>674</v>
      </c>
      <c r="ID12" t="s">
        <v>685</v>
      </c>
      <c r="IE12" t="str">
        <f>"0.000419"</f>
        <v>0.000419</v>
      </c>
      <c r="IF12" t="s">
        <v>932</v>
      </c>
      <c r="IG12" t="s">
        <v>799</v>
      </c>
      <c r="IH12" t="str">
        <f>"0.000448"</f>
        <v>0.000448</v>
      </c>
      <c r="II12" t="s">
        <v>916</v>
      </c>
      <c r="IJ12" t="s">
        <v>906</v>
      </c>
      <c r="IK12" t="str">
        <f>"0.000439"</f>
        <v>0.000439</v>
      </c>
      <c r="IL12" t="s">
        <v>932</v>
      </c>
      <c r="IM12" t="s">
        <v>921</v>
      </c>
      <c r="IN12" t="str">
        <f>"0.000423"</f>
        <v>0.000423</v>
      </c>
      <c r="IO12" t="s">
        <v>932</v>
      </c>
      <c r="IP12" t="s">
        <v>799</v>
      </c>
      <c r="IQ12" t="str">
        <f>"0.000414"</f>
        <v>0.000414</v>
      </c>
      <c r="IR12" t="s">
        <v>932</v>
      </c>
      <c r="IS12" t="s">
        <v>799</v>
      </c>
      <c r="IT12" t="str">
        <f>"0.000422"</f>
        <v>0.000422</v>
      </c>
      <c r="IU12" t="s">
        <v>932</v>
      </c>
      <c r="IV12" t="s">
        <v>799</v>
      </c>
      <c r="IW12" t="str">
        <f>"0.000474"</f>
        <v>0.000474</v>
      </c>
      <c r="IX12" t="s">
        <v>720</v>
      </c>
      <c r="IY12" t="s">
        <v>667</v>
      </c>
      <c r="IZ12" t="str">
        <f>"0.000459"</f>
        <v>0.000459</v>
      </c>
      <c r="JA12" t="s">
        <v>916</v>
      </c>
      <c r="JB12" t="s">
        <v>906</v>
      </c>
      <c r="JC12" t="str">
        <f>"0.000471"</f>
        <v>0.000471</v>
      </c>
      <c r="JD12" t="s">
        <v>720</v>
      </c>
      <c r="JE12" t="s">
        <v>667</v>
      </c>
      <c r="JF12" t="str">
        <f>"0.000459"</f>
        <v>0.000459</v>
      </c>
      <c r="JG12" t="s">
        <v>916</v>
      </c>
      <c r="JH12" t="s">
        <v>906</v>
      </c>
      <c r="JI12" t="str">
        <f>"0.000529"</f>
        <v>0.000529</v>
      </c>
      <c r="JJ12" t="s">
        <v>652</v>
      </c>
      <c r="JK12" t="s">
        <v>716</v>
      </c>
      <c r="JL12" t="str">
        <f>"0.000571"</f>
        <v>0.000571</v>
      </c>
      <c r="JM12" t="s">
        <v>1014</v>
      </c>
      <c r="JN12" t="s">
        <v>692</v>
      </c>
      <c r="JO12" t="str">
        <f>"0.000611"</f>
        <v>0.000611</v>
      </c>
      <c r="JP12" t="s">
        <v>717</v>
      </c>
      <c r="JQ12" t="s">
        <v>690</v>
      </c>
      <c r="JR12" t="str">
        <f>"0.000622"</f>
        <v>0.000622</v>
      </c>
      <c r="JS12" t="s">
        <v>717</v>
      </c>
      <c r="JT12" t="s">
        <v>690</v>
      </c>
      <c r="JU12" t="str">
        <f>"0.000635"</f>
        <v>0.000635</v>
      </c>
      <c r="JV12" t="s">
        <v>717</v>
      </c>
      <c r="JW12" t="s">
        <v>601</v>
      </c>
      <c r="JX12" t="str">
        <f>"0.000648"</f>
        <v>0.000648</v>
      </c>
      <c r="JY12" t="s">
        <v>639</v>
      </c>
      <c r="JZ12" t="s">
        <v>603</v>
      </c>
      <c r="KA12" t="str">
        <f>"0.000566"</f>
        <v>0.000566</v>
      </c>
      <c r="KB12" t="s">
        <v>1014</v>
      </c>
      <c r="KC12" t="s">
        <v>915</v>
      </c>
      <c r="KD12" t="str">
        <f>"0.000736"</f>
        <v>0.000736</v>
      </c>
      <c r="KE12" t="s">
        <v>911</v>
      </c>
      <c r="KF12" t="s">
        <v>671</v>
      </c>
      <c r="KG12" t="str">
        <f>"0.000561"</f>
        <v>0.000561</v>
      </c>
      <c r="KH12" t="s">
        <v>1014</v>
      </c>
      <c r="KI12" t="s">
        <v>915</v>
      </c>
      <c r="KJ12" t="str">
        <f>"0.000775"</f>
        <v>0.000775</v>
      </c>
      <c r="KK12" t="s">
        <v>783</v>
      </c>
      <c r="KL12" t="s">
        <v>698</v>
      </c>
    </row>
    <row r="13" spans="1:298" x14ac:dyDescent="0.2">
      <c r="A13" t="str">
        <f>"ppi"</f>
        <v>ppi</v>
      </c>
      <c r="B13" t="str">
        <f>"0.000248***"</f>
        <v>0.000248***</v>
      </c>
      <c r="C13" t="s">
        <v>736</v>
      </c>
      <c r="D13" t="s">
        <v>802</v>
      </c>
      <c r="E13" t="str">
        <f>"0.000248***"</f>
        <v>0.000248***</v>
      </c>
      <c r="F13" t="s">
        <v>736</v>
      </c>
      <c r="G13" t="s">
        <v>802</v>
      </c>
      <c r="H13" t="str">
        <f>"0.000248***"</f>
        <v>0.000248***</v>
      </c>
      <c r="I13" t="s">
        <v>736</v>
      </c>
      <c r="J13" t="s">
        <v>802</v>
      </c>
      <c r="K13" t="str">
        <f>"0.00428***"</f>
        <v>0.00428***</v>
      </c>
      <c r="L13" t="s">
        <v>638</v>
      </c>
      <c r="M13" t="s">
        <v>568</v>
      </c>
      <c r="N13" t="str">
        <f>"0.00233***"</f>
        <v>0.00233***</v>
      </c>
      <c r="O13" t="s">
        <v>924</v>
      </c>
      <c r="P13" t="s">
        <v>829</v>
      </c>
      <c r="Q13" t="str">
        <f>"0.00172***"</f>
        <v>0.00172***</v>
      </c>
      <c r="R13" t="s">
        <v>730</v>
      </c>
      <c r="S13" t="s">
        <v>797</v>
      </c>
      <c r="T13" t="str">
        <f>"0.00153***"</f>
        <v>0.00153***</v>
      </c>
      <c r="U13" t="s">
        <v>923</v>
      </c>
      <c r="V13" t="s">
        <v>921</v>
      </c>
      <c r="W13" t="str">
        <f>"0.00148***"</f>
        <v>0.00148***</v>
      </c>
      <c r="X13" t="s">
        <v>923</v>
      </c>
      <c r="Y13" t="s">
        <v>799</v>
      </c>
      <c r="Z13" t="str">
        <f>"0.00142***"</f>
        <v>0.00142***</v>
      </c>
      <c r="AA13" t="s">
        <v>923</v>
      </c>
      <c r="AB13" t="s">
        <v>685</v>
      </c>
      <c r="AC13" t="str">
        <f>"0.00133***"</f>
        <v>0.00133***</v>
      </c>
      <c r="AD13" t="s">
        <v>923</v>
      </c>
      <c r="AE13" t="s">
        <v>800</v>
      </c>
      <c r="AF13" t="str">
        <f>"0.00116***"</f>
        <v>0.00116***</v>
      </c>
      <c r="AG13" t="s">
        <v>719</v>
      </c>
      <c r="AH13" t="s">
        <v>691</v>
      </c>
      <c r="AI13" t="str">
        <f>"0.00127***"</f>
        <v>0.00127***</v>
      </c>
      <c r="AJ13" t="s">
        <v>923</v>
      </c>
      <c r="AK13" t="s">
        <v>912</v>
      </c>
      <c r="AL13" t="str">
        <f>"0.00107***"</f>
        <v>0.00107***</v>
      </c>
      <c r="AM13" t="s">
        <v>719</v>
      </c>
      <c r="AN13" t="s">
        <v>588</v>
      </c>
      <c r="AO13" t="str">
        <f>"0.000797***"</f>
        <v>0.000797***</v>
      </c>
      <c r="AP13" t="s">
        <v>683</v>
      </c>
      <c r="AQ13" t="s">
        <v>936</v>
      </c>
      <c r="AR13" t="str">
        <f>"0.000784***"</f>
        <v>0.000784***</v>
      </c>
      <c r="AS13" t="s">
        <v>683</v>
      </c>
      <c r="AT13" t="s">
        <v>936</v>
      </c>
      <c r="AU13" t="str">
        <f>"0.000691***"</f>
        <v>0.000691***</v>
      </c>
      <c r="AV13" t="s">
        <v>708</v>
      </c>
      <c r="AW13" t="s">
        <v>934</v>
      </c>
      <c r="AX13" t="str">
        <f>"0.000655***"</f>
        <v>0.000655***</v>
      </c>
      <c r="AY13" t="s">
        <v>708</v>
      </c>
      <c r="AZ13" t="s">
        <v>937</v>
      </c>
      <c r="BA13" t="str">
        <f>"0.000621***"</f>
        <v>0.000621***</v>
      </c>
      <c r="BB13" t="s">
        <v>708</v>
      </c>
      <c r="BC13" t="s">
        <v>938</v>
      </c>
      <c r="BD13" t="str">
        <f>"0.000643***"</f>
        <v>0.000643***</v>
      </c>
      <c r="BE13" t="s">
        <v>708</v>
      </c>
      <c r="BF13" t="s">
        <v>937</v>
      </c>
      <c r="BG13" t="str">
        <f>"0.000615***"</f>
        <v>0.000615***</v>
      </c>
      <c r="BH13" t="s">
        <v>708</v>
      </c>
      <c r="BI13" t="s">
        <v>938</v>
      </c>
      <c r="BJ13" t="str">
        <f>"0.000673***"</f>
        <v>0.000673***</v>
      </c>
      <c r="BK13" t="s">
        <v>683</v>
      </c>
      <c r="BL13" t="s">
        <v>937</v>
      </c>
      <c r="BM13" t="str">
        <f>"0.000594***"</f>
        <v>0.000594***</v>
      </c>
      <c r="BN13" t="s">
        <v>708</v>
      </c>
      <c r="BO13" t="s">
        <v>938</v>
      </c>
      <c r="BP13" t="str">
        <f>"0.000680***"</f>
        <v>0.000680***</v>
      </c>
      <c r="BQ13" t="s">
        <v>683</v>
      </c>
      <c r="BR13" t="s">
        <v>937</v>
      </c>
      <c r="BS13" t="str">
        <f>"0.000618***"</f>
        <v>0.000618***</v>
      </c>
      <c r="BT13" t="s">
        <v>708</v>
      </c>
      <c r="BU13" t="s">
        <v>938</v>
      </c>
      <c r="BV13" t="str">
        <f>"0.000669***"</f>
        <v>0.000669***</v>
      </c>
      <c r="BW13" t="s">
        <v>683</v>
      </c>
      <c r="BX13" t="s">
        <v>937</v>
      </c>
      <c r="BY13" t="str">
        <f>"0.000623***"</f>
        <v>0.000623***</v>
      </c>
      <c r="BZ13" t="s">
        <v>708</v>
      </c>
      <c r="CA13" t="s">
        <v>938</v>
      </c>
      <c r="CB13" t="str">
        <f>"0.000670***"</f>
        <v>0.000670***</v>
      </c>
      <c r="CC13" t="s">
        <v>683</v>
      </c>
      <c r="CD13" t="s">
        <v>937</v>
      </c>
      <c r="CE13" t="str">
        <f>"0.000727***"</f>
        <v>0.000727***</v>
      </c>
      <c r="CF13" t="s">
        <v>683</v>
      </c>
      <c r="CG13" t="s">
        <v>934</v>
      </c>
      <c r="CH13" t="str">
        <f>"0.000766***"</f>
        <v>0.000766***</v>
      </c>
      <c r="CI13" t="s">
        <v>683</v>
      </c>
      <c r="CJ13" t="s">
        <v>934</v>
      </c>
      <c r="CK13" t="str">
        <f>"0.000850***"</f>
        <v>0.000850***</v>
      </c>
      <c r="CL13" t="s">
        <v>719</v>
      </c>
      <c r="CM13" t="s">
        <v>936</v>
      </c>
      <c r="CN13" t="str">
        <f>"0.000959***"</f>
        <v>0.000959***</v>
      </c>
      <c r="CO13" t="s">
        <v>719</v>
      </c>
      <c r="CP13" t="s">
        <v>1067</v>
      </c>
      <c r="CQ13" t="str">
        <f>"0.00107***"</f>
        <v>0.00107***</v>
      </c>
      <c r="CR13" t="s">
        <v>923</v>
      </c>
      <c r="CS13" t="s">
        <v>1083</v>
      </c>
      <c r="CT13" t="str">
        <f>"0.00110***"</f>
        <v>0.00110***</v>
      </c>
      <c r="CU13" t="s">
        <v>923</v>
      </c>
      <c r="CV13" t="s">
        <v>918</v>
      </c>
      <c r="CW13" t="str">
        <f>"0.00118***"</f>
        <v>0.00118***</v>
      </c>
      <c r="CX13" t="s">
        <v>730</v>
      </c>
      <c r="CY13" t="s">
        <v>588</v>
      </c>
      <c r="CZ13" t="str">
        <f>"0.00113***"</f>
        <v>0.00113***</v>
      </c>
      <c r="DA13" t="s">
        <v>923</v>
      </c>
      <c r="DB13" t="s">
        <v>918</v>
      </c>
      <c r="DC13" t="str">
        <f>"0.00119***"</f>
        <v>0.00119***</v>
      </c>
      <c r="DD13" t="s">
        <v>730</v>
      </c>
      <c r="DE13" t="s">
        <v>588</v>
      </c>
      <c r="DF13" t="str">
        <f>"0.00123***"</f>
        <v>0.00123***</v>
      </c>
      <c r="DG13" t="s">
        <v>730</v>
      </c>
      <c r="DH13" t="s">
        <v>691</v>
      </c>
      <c r="DI13" t="str">
        <f>"0.00128***"</f>
        <v>0.00128***</v>
      </c>
      <c r="DJ13" t="s">
        <v>730</v>
      </c>
      <c r="DK13" t="s">
        <v>691</v>
      </c>
      <c r="DL13" t="str">
        <f>"0.00133***"</f>
        <v>0.00133***</v>
      </c>
      <c r="DM13" t="s">
        <v>730</v>
      </c>
      <c r="DN13" t="s">
        <v>913</v>
      </c>
      <c r="DO13" t="str">
        <f>"0.00137***"</f>
        <v>0.00137***</v>
      </c>
      <c r="DP13" t="s">
        <v>926</v>
      </c>
      <c r="DQ13" t="s">
        <v>912</v>
      </c>
      <c r="DR13" t="str">
        <f>"0.00140***"</f>
        <v>0.00140***</v>
      </c>
      <c r="DS13" t="s">
        <v>926</v>
      </c>
      <c r="DT13" t="s">
        <v>912</v>
      </c>
      <c r="DU13" t="str">
        <f>"0.00139***"</f>
        <v>0.00139***</v>
      </c>
      <c r="DV13" t="s">
        <v>926</v>
      </c>
      <c r="DW13" t="s">
        <v>912</v>
      </c>
      <c r="DX13" t="str">
        <f>"0.00142***"</f>
        <v>0.00142***</v>
      </c>
      <c r="DY13" t="s">
        <v>926</v>
      </c>
      <c r="DZ13" t="s">
        <v>912</v>
      </c>
      <c r="EA13" t="str">
        <f>"0.00146***"</f>
        <v>0.00146***</v>
      </c>
      <c r="EB13" t="s">
        <v>926</v>
      </c>
      <c r="EC13" t="s">
        <v>800</v>
      </c>
      <c r="ED13" t="str">
        <f>"0.00152***"</f>
        <v>0.00152***</v>
      </c>
      <c r="EE13" t="s">
        <v>927</v>
      </c>
      <c r="EF13" t="s">
        <v>685</v>
      </c>
      <c r="EG13" t="str">
        <f>"0.00162***"</f>
        <v>0.00162***</v>
      </c>
      <c r="EH13" t="s">
        <v>927</v>
      </c>
      <c r="EI13" t="s">
        <v>799</v>
      </c>
      <c r="EJ13" t="str">
        <f>"0.00159***"</f>
        <v>0.00159***</v>
      </c>
      <c r="EK13" t="s">
        <v>927</v>
      </c>
      <c r="EL13" t="s">
        <v>799</v>
      </c>
      <c r="EM13" t="str">
        <f>"0.00163***"</f>
        <v>0.00163***</v>
      </c>
      <c r="EN13" t="s">
        <v>927</v>
      </c>
      <c r="EO13" t="s">
        <v>799</v>
      </c>
      <c r="EP13" t="str">
        <f>"0.00170***"</f>
        <v>0.00170***</v>
      </c>
      <c r="EQ13" t="s">
        <v>924</v>
      </c>
      <c r="ER13" t="s">
        <v>921</v>
      </c>
      <c r="ES13" t="str">
        <f>"0.00172***"</f>
        <v>0.00172***</v>
      </c>
      <c r="ET13" t="s">
        <v>924</v>
      </c>
      <c r="EU13" t="s">
        <v>906</v>
      </c>
      <c r="EV13" t="str">
        <f>"0.00179***"</f>
        <v>0.00179***</v>
      </c>
      <c r="EW13" t="s">
        <v>924</v>
      </c>
      <c r="EX13" t="s">
        <v>667</v>
      </c>
      <c r="EY13" t="str">
        <f>"0.00187***"</f>
        <v>0.00187***</v>
      </c>
      <c r="EZ13" t="s">
        <v>718</v>
      </c>
      <c r="FA13" t="s">
        <v>797</v>
      </c>
      <c r="FB13" t="str">
        <f>"0.00188***"</f>
        <v>0.00188***</v>
      </c>
      <c r="FC13" t="s">
        <v>718</v>
      </c>
      <c r="FD13" t="s">
        <v>797</v>
      </c>
      <c r="FE13" t="str">
        <f>"0.00186***"</f>
        <v>0.00186***</v>
      </c>
      <c r="FF13" t="s">
        <v>718</v>
      </c>
      <c r="FG13" t="s">
        <v>797</v>
      </c>
      <c r="FH13" t="str">
        <f>"0.00188***"</f>
        <v>0.00188***</v>
      </c>
      <c r="FI13" t="s">
        <v>718</v>
      </c>
      <c r="FJ13" t="s">
        <v>797</v>
      </c>
      <c r="FK13" t="str">
        <f>"0.00188***"</f>
        <v>0.00188***</v>
      </c>
      <c r="FL13" t="s">
        <v>718</v>
      </c>
      <c r="FM13" t="s">
        <v>797</v>
      </c>
      <c r="FN13" t="str">
        <f>"0.00183***"</f>
        <v>0.00183***</v>
      </c>
      <c r="FO13" t="s">
        <v>924</v>
      </c>
      <c r="FP13" t="s">
        <v>667</v>
      </c>
      <c r="FQ13" t="str">
        <f>"0.00181***"</f>
        <v>0.00181***</v>
      </c>
      <c r="FR13" t="s">
        <v>924</v>
      </c>
      <c r="FS13" t="s">
        <v>667</v>
      </c>
      <c r="FT13" t="str">
        <f>"0.00180***"</f>
        <v>0.00180***</v>
      </c>
      <c r="FU13" t="s">
        <v>924</v>
      </c>
      <c r="FV13" t="s">
        <v>667</v>
      </c>
      <c r="FW13" t="str">
        <f>"0.00188***"</f>
        <v>0.00188***</v>
      </c>
      <c r="FX13" t="s">
        <v>718</v>
      </c>
      <c r="FY13" t="s">
        <v>797</v>
      </c>
      <c r="FZ13" t="str">
        <f>"0.00169***"</f>
        <v>0.00169***</v>
      </c>
      <c r="GA13" t="s">
        <v>924</v>
      </c>
      <c r="GB13" t="s">
        <v>921</v>
      </c>
      <c r="GC13" t="str">
        <f>"0.00167***"</f>
        <v>0.00167***</v>
      </c>
      <c r="GD13" t="s">
        <v>927</v>
      </c>
      <c r="GE13" t="s">
        <v>921</v>
      </c>
      <c r="GF13" t="str">
        <f>"0.00174***"</f>
        <v>0.00174***</v>
      </c>
      <c r="GG13" t="s">
        <v>924</v>
      </c>
      <c r="GH13" t="s">
        <v>906</v>
      </c>
      <c r="GI13" t="str">
        <f>"0.00184***"</f>
        <v>0.00184***</v>
      </c>
      <c r="GJ13" t="s">
        <v>924</v>
      </c>
      <c r="GK13" t="s">
        <v>667</v>
      </c>
      <c r="GL13" t="str">
        <f>"0.00208***"</f>
        <v>0.00208***</v>
      </c>
      <c r="GM13" t="s">
        <v>1488</v>
      </c>
      <c r="GN13" t="s">
        <v>917</v>
      </c>
      <c r="GO13" t="str">
        <f>"0.00227***"</f>
        <v>0.00227***</v>
      </c>
      <c r="GP13" t="s">
        <v>1459</v>
      </c>
      <c r="GQ13" t="s">
        <v>907</v>
      </c>
      <c r="GR13" t="str">
        <f>"0.00235***"</f>
        <v>0.00235***</v>
      </c>
      <c r="GS13" t="s">
        <v>1459</v>
      </c>
      <c r="GT13" t="s">
        <v>690</v>
      </c>
      <c r="GU13" t="str">
        <f>"0.00252***"</f>
        <v>0.00252***</v>
      </c>
      <c r="GV13" t="s">
        <v>695</v>
      </c>
      <c r="GW13" t="s">
        <v>603</v>
      </c>
      <c r="GX13" t="str">
        <f>"0.00250***"</f>
        <v>0.00250***</v>
      </c>
      <c r="GY13" t="s">
        <v>695</v>
      </c>
      <c r="GZ13" t="s">
        <v>603</v>
      </c>
      <c r="HA13" t="str">
        <f>"0.00250***"</f>
        <v>0.00250***</v>
      </c>
      <c r="HB13" t="s">
        <v>695</v>
      </c>
      <c r="HC13" t="s">
        <v>603</v>
      </c>
      <c r="HD13" t="str">
        <f>"0.00242***"</f>
        <v>0.00242***</v>
      </c>
      <c r="HE13" t="s">
        <v>695</v>
      </c>
      <c r="HF13" t="s">
        <v>601</v>
      </c>
      <c r="HG13" t="str">
        <f>"0.00252***"</f>
        <v>0.00252***</v>
      </c>
      <c r="HH13" t="s">
        <v>695</v>
      </c>
      <c r="HI13" t="s">
        <v>603</v>
      </c>
      <c r="HJ13" t="str">
        <f>"0.00256***"</f>
        <v>0.00256***</v>
      </c>
      <c r="HK13" t="s">
        <v>986</v>
      </c>
      <c r="HL13" t="s">
        <v>829</v>
      </c>
      <c r="HM13" t="str">
        <f>"0.00256***"</f>
        <v>0.00256***</v>
      </c>
      <c r="HN13" t="s">
        <v>986</v>
      </c>
      <c r="HO13" t="s">
        <v>829</v>
      </c>
      <c r="HP13" t="str">
        <f>"0.00263***"</f>
        <v>0.00263***</v>
      </c>
      <c r="HQ13" t="s">
        <v>986</v>
      </c>
      <c r="HR13" t="s">
        <v>590</v>
      </c>
      <c r="HS13" t="str">
        <f>"0.00278***"</f>
        <v>0.00278***</v>
      </c>
      <c r="HT13" t="s">
        <v>679</v>
      </c>
      <c r="HU13" t="s">
        <v>696</v>
      </c>
      <c r="HV13" t="str">
        <f>"0.00257***"</f>
        <v>0.00257***</v>
      </c>
      <c r="HW13" t="s">
        <v>986</v>
      </c>
      <c r="HX13" t="s">
        <v>829</v>
      </c>
      <c r="HY13" t="str">
        <f>"0.00278***"</f>
        <v>0.00278***</v>
      </c>
      <c r="HZ13" t="s">
        <v>679</v>
      </c>
      <c r="IA13" t="s">
        <v>696</v>
      </c>
      <c r="IB13" t="str">
        <f>"0.00295***"</f>
        <v>0.00295***</v>
      </c>
      <c r="IC13" t="s">
        <v>1020</v>
      </c>
      <c r="ID13" t="s">
        <v>584</v>
      </c>
      <c r="IE13" t="str">
        <f>"0.00316***"</f>
        <v>0.00316***</v>
      </c>
      <c r="IF13" t="s">
        <v>449</v>
      </c>
      <c r="IG13" t="s">
        <v>928</v>
      </c>
      <c r="IH13" t="str">
        <f>"0.00338***"</f>
        <v>0.00338***</v>
      </c>
      <c r="II13" t="s">
        <v>638</v>
      </c>
      <c r="IJ13" t="s">
        <v>925</v>
      </c>
      <c r="IK13" t="str">
        <f>"0.00343***"</f>
        <v>0.00343***</v>
      </c>
      <c r="IL13" t="s">
        <v>638</v>
      </c>
      <c r="IM13" t="s">
        <v>713</v>
      </c>
      <c r="IN13" t="str">
        <f>"0.00334***"</f>
        <v>0.00334***</v>
      </c>
      <c r="IO13" t="s">
        <v>638</v>
      </c>
      <c r="IP13" t="s">
        <v>925</v>
      </c>
      <c r="IQ13" t="str">
        <f>"0.00317***"</f>
        <v>0.00317***</v>
      </c>
      <c r="IR13" t="s">
        <v>449</v>
      </c>
      <c r="IS13" t="s">
        <v>928</v>
      </c>
      <c r="IT13" t="str">
        <f>"0.00330***"</f>
        <v>0.00330***</v>
      </c>
      <c r="IU13" t="s">
        <v>638</v>
      </c>
      <c r="IV13" t="s">
        <v>951</v>
      </c>
      <c r="IW13" t="str">
        <f>"0.00387***"</f>
        <v>0.00387***</v>
      </c>
      <c r="IX13" t="s">
        <v>1462</v>
      </c>
      <c r="IY13" t="s">
        <v>655</v>
      </c>
      <c r="IZ13" t="str">
        <f>"0.00382***"</f>
        <v>0.00382***</v>
      </c>
      <c r="JA13" t="s">
        <v>1462</v>
      </c>
      <c r="JB13" t="s">
        <v>655</v>
      </c>
      <c r="JC13" t="str">
        <f>"0.00381***"</f>
        <v>0.00381***</v>
      </c>
      <c r="JD13" t="s">
        <v>1462</v>
      </c>
      <c r="JE13" t="s">
        <v>655</v>
      </c>
      <c r="JF13" t="str">
        <f>"0.00363***"</f>
        <v>0.00363***</v>
      </c>
      <c r="JG13" t="s">
        <v>1461</v>
      </c>
      <c r="JH13" t="s">
        <v>702</v>
      </c>
      <c r="JI13" t="str">
        <f>"0.00410***"</f>
        <v>0.00410***</v>
      </c>
      <c r="JJ13" t="s">
        <v>1463</v>
      </c>
      <c r="JK13" t="s">
        <v>613</v>
      </c>
      <c r="JL13" t="str">
        <f>"0.00431***"</f>
        <v>0.00431***</v>
      </c>
      <c r="JM13" t="s">
        <v>779</v>
      </c>
      <c r="JN13" t="s">
        <v>665</v>
      </c>
      <c r="JO13" t="str">
        <f>"0.00485***"</f>
        <v>0.00485***</v>
      </c>
      <c r="JP13" t="s">
        <v>1050</v>
      </c>
      <c r="JQ13" t="s">
        <v>1234</v>
      </c>
      <c r="JR13" t="str">
        <f>"0.00498***"</f>
        <v>0.00498***</v>
      </c>
      <c r="JS13" t="s">
        <v>1465</v>
      </c>
      <c r="JT13" t="s">
        <v>594</v>
      </c>
      <c r="JU13" t="str">
        <f>"0.00487***"</f>
        <v>0.00487***</v>
      </c>
      <c r="JV13" t="s">
        <v>1050</v>
      </c>
      <c r="JW13" t="s">
        <v>1234</v>
      </c>
      <c r="JX13" t="str">
        <f>"0.00516***"</f>
        <v>0.00516***</v>
      </c>
      <c r="JY13" t="s">
        <v>441</v>
      </c>
      <c r="JZ13" t="s">
        <v>1004</v>
      </c>
      <c r="KA13" t="str">
        <f>"0.00458***"</f>
        <v>0.00458***</v>
      </c>
      <c r="KB13" t="s">
        <v>1464</v>
      </c>
      <c r="KC13" t="s">
        <v>567</v>
      </c>
      <c r="KD13" t="str">
        <f>"0.00595***"</f>
        <v>0.00595***</v>
      </c>
      <c r="KE13" t="s">
        <v>1037</v>
      </c>
      <c r="KF13" t="s">
        <v>572</v>
      </c>
      <c r="KG13" t="str">
        <f>"0.00491***"</f>
        <v>0.00491***</v>
      </c>
      <c r="KH13" t="s">
        <v>1050</v>
      </c>
      <c r="KI13" t="s">
        <v>594</v>
      </c>
      <c r="KJ13" t="str">
        <f>"0.00628***"</f>
        <v>0.00628***</v>
      </c>
      <c r="KK13" t="s">
        <v>343</v>
      </c>
      <c r="KL13" t="s">
        <v>1009</v>
      </c>
    </row>
    <row r="14" spans="1:298" x14ac:dyDescent="0.2">
      <c r="A14" t="str">
        <f>"rural"</f>
        <v>rural</v>
      </c>
      <c r="B14" t="str">
        <f>"-0.000187*"</f>
        <v>-0.000187*</v>
      </c>
      <c r="C14" t="s">
        <v>786</v>
      </c>
      <c r="D14" t="s">
        <v>1486</v>
      </c>
      <c r="E14" t="str">
        <f>"-0.000187*"</f>
        <v>-0.000187*</v>
      </c>
      <c r="F14" t="s">
        <v>786</v>
      </c>
      <c r="G14" t="s">
        <v>1486</v>
      </c>
      <c r="H14" t="str">
        <f>"-0.000187*"</f>
        <v>-0.000187*</v>
      </c>
      <c r="I14" t="s">
        <v>786</v>
      </c>
      <c r="J14" t="s">
        <v>1486</v>
      </c>
      <c r="K14" t="str">
        <f>"-0.00547*"</f>
        <v>-0.00547*</v>
      </c>
      <c r="L14" t="s">
        <v>4475</v>
      </c>
      <c r="M14" t="s">
        <v>1086</v>
      </c>
      <c r="N14" t="str">
        <f>"-0.00390*"</f>
        <v>-0.00390*</v>
      </c>
      <c r="O14" t="s">
        <v>1450</v>
      </c>
      <c r="P14" t="s">
        <v>704</v>
      </c>
      <c r="Q14" t="str">
        <f>"-0.00328*"</f>
        <v>-0.00328*</v>
      </c>
      <c r="R14" t="s">
        <v>1120</v>
      </c>
      <c r="S14" t="s">
        <v>1119</v>
      </c>
      <c r="T14" t="str">
        <f>"-0.00295*"</f>
        <v>-0.00295*</v>
      </c>
      <c r="U14" t="s">
        <v>1118</v>
      </c>
      <c r="V14" t="s">
        <v>1119</v>
      </c>
      <c r="W14" t="str">
        <f>"-0.00265*"</f>
        <v>-0.00265*</v>
      </c>
      <c r="X14" t="s">
        <v>910</v>
      </c>
      <c r="Y14" t="s">
        <v>1454</v>
      </c>
      <c r="Z14" t="str">
        <f>"-0.00256*"</f>
        <v>-0.00256*</v>
      </c>
      <c r="AA14" t="s">
        <v>693</v>
      </c>
      <c r="AB14" t="s">
        <v>1454</v>
      </c>
      <c r="AC14" t="str">
        <f>"-0.00233*"</f>
        <v>-0.00233*</v>
      </c>
      <c r="AD14" t="s">
        <v>670</v>
      </c>
      <c r="AE14" t="s">
        <v>815</v>
      </c>
      <c r="AF14" t="str">
        <f>"-0.00214*"</f>
        <v>-0.00214*</v>
      </c>
      <c r="AG14" t="s">
        <v>650</v>
      </c>
      <c r="AH14" t="s">
        <v>815</v>
      </c>
      <c r="AI14" t="str">
        <f>"-0.00204*"</f>
        <v>-0.00204*</v>
      </c>
      <c r="AJ14" t="s">
        <v>697</v>
      </c>
      <c r="AK14" t="s">
        <v>815</v>
      </c>
      <c r="AL14" t="str">
        <f>"-0.00170*"</f>
        <v>-0.00170*</v>
      </c>
      <c r="AM14" t="s">
        <v>677</v>
      </c>
      <c r="AN14" t="s">
        <v>970</v>
      </c>
      <c r="AO14" t="str">
        <f>"-0.00117*"</f>
        <v>-0.00117*</v>
      </c>
      <c r="AP14" t="s">
        <v>933</v>
      </c>
      <c r="AQ14" t="s">
        <v>1116</v>
      </c>
      <c r="AR14" t="str">
        <f>"-0.00111*"</f>
        <v>-0.00111*</v>
      </c>
      <c r="AS14" t="s">
        <v>1014</v>
      </c>
      <c r="AT14" t="s">
        <v>1116</v>
      </c>
      <c r="AU14" t="str">
        <f>"-0.000929*"</f>
        <v>-0.000929*</v>
      </c>
      <c r="AV14" t="s">
        <v>720</v>
      </c>
      <c r="AW14" t="s">
        <v>1116</v>
      </c>
      <c r="AX14" t="str">
        <f>"-0.000801*"</f>
        <v>-0.000801*</v>
      </c>
      <c r="AY14" t="s">
        <v>674</v>
      </c>
      <c r="AZ14" t="s">
        <v>1116</v>
      </c>
      <c r="BA14" t="str">
        <f>"-0.000681*"</f>
        <v>-0.000681*</v>
      </c>
      <c r="BB14" t="s">
        <v>935</v>
      </c>
      <c r="BC14" t="s">
        <v>1455</v>
      </c>
      <c r="BD14" t="str">
        <f>"-0.000636*"</f>
        <v>-0.000636*</v>
      </c>
      <c r="BE14" t="s">
        <v>435</v>
      </c>
      <c r="BF14" t="s">
        <v>1455</v>
      </c>
      <c r="BG14" t="str">
        <f>"-0.000545*"</f>
        <v>-0.000545*</v>
      </c>
      <c r="BH14" t="s">
        <v>647</v>
      </c>
      <c r="BI14" t="s">
        <v>1455</v>
      </c>
      <c r="BJ14" t="str">
        <f>"-0.000517*"</f>
        <v>-0.000517*</v>
      </c>
      <c r="BK14" t="s">
        <v>931</v>
      </c>
      <c r="BL14" t="s">
        <v>1455</v>
      </c>
      <c r="BM14" t="str">
        <f>"-0.000461*"</f>
        <v>-0.000461*</v>
      </c>
      <c r="BN14" t="s">
        <v>707</v>
      </c>
      <c r="BO14" t="s">
        <v>1455</v>
      </c>
      <c r="BP14" t="str">
        <f>"-0.000463*"</f>
        <v>-0.000463*</v>
      </c>
      <c r="BQ14" t="s">
        <v>707</v>
      </c>
      <c r="BR14" t="s">
        <v>1455</v>
      </c>
      <c r="BS14" t="str">
        <f>"-0.000461*"</f>
        <v>-0.000461*</v>
      </c>
      <c r="BT14" t="s">
        <v>707</v>
      </c>
      <c r="BU14" t="s">
        <v>1455</v>
      </c>
      <c r="BV14" t="str">
        <f>"-0.000468*"</f>
        <v>-0.000468*</v>
      </c>
      <c r="BW14" t="s">
        <v>707</v>
      </c>
      <c r="BX14" t="s">
        <v>1455</v>
      </c>
      <c r="BY14" t="str">
        <f>"-0.000451*"</f>
        <v>-0.000451*</v>
      </c>
      <c r="BZ14" t="s">
        <v>707</v>
      </c>
      <c r="CA14" t="s">
        <v>1455</v>
      </c>
      <c r="CB14" t="str">
        <f>"-0.000446*"</f>
        <v>-0.000446*</v>
      </c>
      <c r="CC14" t="s">
        <v>707</v>
      </c>
      <c r="CD14" t="s">
        <v>1455</v>
      </c>
      <c r="CE14" t="str">
        <f>"-0.000472*"</f>
        <v>-0.000472*</v>
      </c>
      <c r="CF14" t="s">
        <v>931</v>
      </c>
      <c r="CG14" t="s">
        <v>1455</v>
      </c>
      <c r="CH14" t="str">
        <f>"-0.000487*"</f>
        <v>-0.000487*</v>
      </c>
      <c r="CI14" t="s">
        <v>931</v>
      </c>
      <c r="CJ14" t="s">
        <v>1455</v>
      </c>
      <c r="CK14" t="str">
        <f>"-0.000478*"</f>
        <v>-0.000478*</v>
      </c>
      <c r="CL14" t="s">
        <v>931</v>
      </c>
      <c r="CM14" t="s">
        <v>1455</v>
      </c>
      <c r="CN14" t="str">
        <f>"-0.000470*"</f>
        <v>-0.000470*</v>
      </c>
      <c r="CO14" t="s">
        <v>931</v>
      </c>
      <c r="CP14" t="s">
        <v>1455</v>
      </c>
      <c r="CQ14" t="str">
        <f>"-0.000488*"</f>
        <v>-0.000488*</v>
      </c>
      <c r="CR14" t="s">
        <v>931</v>
      </c>
      <c r="CS14" t="s">
        <v>1455</v>
      </c>
      <c r="CT14" t="str">
        <f>"-0.000483*"</f>
        <v>-0.000483*</v>
      </c>
      <c r="CU14" t="s">
        <v>931</v>
      </c>
      <c r="CV14" t="s">
        <v>1455</v>
      </c>
      <c r="CW14" t="str">
        <f>"-0.000474*"</f>
        <v>-0.000474*</v>
      </c>
      <c r="CX14" t="s">
        <v>931</v>
      </c>
      <c r="CY14" t="s">
        <v>1455</v>
      </c>
      <c r="CZ14" t="str">
        <f>"-0.000466*"</f>
        <v>-0.000466*</v>
      </c>
      <c r="DA14" t="s">
        <v>707</v>
      </c>
      <c r="DB14" t="s">
        <v>1455</v>
      </c>
      <c r="DC14" t="str">
        <f>"-0.000449*"</f>
        <v>-0.000449*</v>
      </c>
      <c r="DD14" t="s">
        <v>707</v>
      </c>
      <c r="DE14" t="s">
        <v>1455</v>
      </c>
      <c r="DF14" t="str">
        <f>"-0.000431*"</f>
        <v>-0.000431*</v>
      </c>
      <c r="DG14" t="s">
        <v>707</v>
      </c>
      <c r="DH14" t="s">
        <v>1455</v>
      </c>
      <c r="DI14" t="str">
        <f>"-0.000438*"</f>
        <v>-0.000438*</v>
      </c>
      <c r="DJ14" t="s">
        <v>707</v>
      </c>
      <c r="DK14" t="s">
        <v>1455</v>
      </c>
      <c r="DL14" t="str">
        <f>"-0.000415*"</f>
        <v>-0.000415*</v>
      </c>
      <c r="DM14" t="s">
        <v>707</v>
      </c>
      <c r="DN14" t="s">
        <v>1455</v>
      </c>
      <c r="DO14" t="str">
        <f>"-0.000409*"</f>
        <v>-0.000409*</v>
      </c>
      <c r="DP14" t="s">
        <v>734</v>
      </c>
      <c r="DQ14" t="s">
        <v>1455</v>
      </c>
      <c r="DR14" t="str">
        <f>"-0.000411*"</f>
        <v>-0.000411*</v>
      </c>
      <c r="DS14" t="s">
        <v>734</v>
      </c>
      <c r="DT14" t="s">
        <v>1455</v>
      </c>
      <c r="DU14" t="str">
        <f>"-0.000407*"</f>
        <v>-0.000407*</v>
      </c>
      <c r="DV14" t="s">
        <v>734</v>
      </c>
      <c r="DW14" t="s">
        <v>1455</v>
      </c>
      <c r="DX14" t="str">
        <f>"-0.000403*"</f>
        <v>-0.000403*</v>
      </c>
      <c r="DY14" t="s">
        <v>734</v>
      </c>
      <c r="DZ14" t="s">
        <v>1455</v>
      </c>
      <c r="EA14" t="str">
        <f>"-0.000412*"</f>
        <v>-0.000412*</v>
      </c>
      <c r="EB14" t="s">
        <v>734</v>
      </c>
      <c r="EC14" t="s">
        <v>1455</v>
      </c>
      <c r="ED14" t="str">
        <f>"-0.000420*"</f>
        <v>-0.000420*</v>
      </c>
      <c r="EE14" t="s">
        <v>707</v>
      </c>
      <c r="EF14" t="s">
        <v>1455</v>
      </c>
      <c r="EG14" t="str">
        <f>"-0.000414*"</f>
        <v>-0.000414*</v>
      </c>
      <c r="EH14" t="s">
        <v>707</v>
      </c>
      <c r="EI14" t="s">
        <v>1455</v>
      </c>
      <c r="EJ14" t="str">
        <f>"-0.000405*"</f>
        <v>-0.000405*</v>
      </c>
      <c r="EK14" t="s">
        <v>734</v>
      </c>
      <c r="EL14" t="s">
        <v>1455</v>
      </c>
      <c r="EM14" t="str">
        <f>"-0.000399*"</f>
        <v>-0.000399*</v>
      </c>
      <c r="EN14" t="s">
        <v>734</v>
      </c>
      <c r="EO14" t="s">
        <v>1455</v>
      </c>
      <c r="EP14" t="str">
        <f>"-0.000407*"</f>
        <v>-0.000407*</v>
      </c>
      <c r="EQ14" t="s">
        <v>734</v>
      </c>
      <c r="ER14" t="s">
        <v>1455</v>
      </c>
      <c r="ES14" t="str">
        <f>"-0.000394*"</f>
        <v>-0.000394*</v>
      </c>
      <c r="ET14" t="s">
        <v>734</v>
      </c>
      <c r="EU14" t="s">
        <v>1455</v>
      </c>
      <c r="EV14" t="str">
        <f>"-0.000378*"</f>
        <v>-0.000378*</v>
      </c>
      <c r="EW14" t="s">
        <v>734</v>
      </c>
      <c r="EX14" t="s">
        <v>1455</v>
      </c>
      <c r="EY14" t="str">
        <f>"-0.000375*"</f>
        <v>-0.000375*</v>
      </c>
      <c r="EZ14" t="s">
        <v>734</v>
      </c>
      <c r="FA14" t="s">
        <v>1455</v>
      </c>
      <c r="FB14" t="str">
        <f>"-0.000372*"</f>
        <v>-0.000372*</v>
      </c>
      <c r="FC14" t="s">
        <v>734</v>
      </c>
      <c r="FD14" t="s">
        <v>1455</v>
      </c>
      <c r="FE14" t="str">
        <f>"-0.000361*"</f>
        <v>-0.000361*</v>
      </c>
      <c r="FF14" t="s">
        <v>734</v>
      </c>
      <c r="FG14" t="s">
        <v>1455</v>
      </c>
      <c r="FH14" t="str">
        <f>"-0.000356*"</f>
        <v>-0.000356*</v>
      </c>
      <c r="FI14" t="s">
        <v>684</v>
      </c>
      <c r="FJ14" t="s">
        <v>1455</v>
      </c>
      <c r="FK14" t="str">
        <f>"-0.000351*"</f>
        <v>-0.000351*</v>
      </c>
      <c r="FL14" t="s">
        <v>684</v>
      </c>
      <c r="FM14" t="s">
        <v>1455</v>
      </c>
      <c r="FN14" t="str">
        <f>"-0.000337*"</f>
        <v>-0.000337*</v>
      </c>
      <c r="FO14" t="s">
        <v>684</v>
      </c>
      <c r="FP14" t="s">
        <v>1455</v>
      </c>
      <c r="FQ14" t="str">
        <f>"-0.000311*"</f>
        <v>-0.000311*</v>
      </c>
      <c r="FR14" t="s">
        <v>684</v>
      </c>
      <c r="FS14" t="s">
        <v>1455</v>
      </c>
      <c r="FT14" t="str">
        <f>"-0.000324*"</f>
        <v>-0.000324*</v>
      </c>
      <c r="FU14" t="s">
        <v>684</v>
      </c>
      <c r="FV14" t="s">
        <v>1455</v>
      </c>
      <c r="FW14" t="str">
        <f>"-0.000314*"</f>
        <v>-0.000314*</v>
      </c>
      <c r="FX14" t="s">
        <v>684</v>
      </c>
      <c r="FY14" t="s">
        <v>1455</v>
      </c>
      <c r="FZ14" t="str">
        <f>"-0.000304*"</f>
        <v>-0.000304*</v>
      </c>
      <c r="GA14" t="s">
        <v>684</v>
      </c>
      <c r="GB14" t="s">
        <v>1455</v>
      </c>
      <c r="GC14" t="str">
        <f>"-0.000302*"</f>
        <v>-0.000302*</v>
      </c>
      <c r="GD14" t="s">
        <v>347</v>
      </c>
      <c r="GE14" t="s">
        <v>1455</v>
      </c>
      <c r="GF14" t="str">
        <f>"-0.000291*"</f>
        <v>-0.000291*</v>
      </c>
      <c r="GG14" t="s">
        <v>347</v>
      </c>
      <c r="GH14" t="s">
        <v>1455</v>
      </c>
      <c r="GI14" t="str">
        <f>"-0.000293*"</f>
        <v>-0.000293*</v>
      </c>
      <c r="GJ14" t="s">
        <v>347</v>
      </c>
      <c r="GK14" t="s">
        <v>1455</v>
      </c>
      <c r="GL14" t="str">
        <f>"-0.000321*"</f>
        <v>-0.000321*</v>
      </c>
      <c r="GM14" t="s">
        <v>684</v>
      </c>
      <c r="GN14" t="s">
        <v>1455</v>
      </c>
      <c r="GO14" t="str">
        <f>"-0.000329*"</f>
        <v>-0.000329*</v>
      </c>
      <c r="GP14" t="s">
        <v>684</v>
      </c>
      <c r="GQ14" t="s">
        <v>1455</v>
      </c>
      <c r="GR14" t="str">
        <f>"-0.000324*"</f>
        <v>-0.000324*</v>
      </c>
      <c r="GS14" t="s">
        <v>684</v>
      </c>
      <c r="GT14" t="s">
        <v>1455</v>
      </c>
      <c r="GU14" t="str">
        <f>"-0.000325*"</f>
        <v>-0.000325*</v>
      </c>
      <c r="GV14" t="s">
        <v>684</v>
      </c>
      <c r="GW14" t="s">
        <v>1455</v>
      </c>
      <c r="GX14" t="str">
        <f>"-0.000321*"</f>
        <v>-0.000321*</v>
      </c>
      <c r="GY14" t="s">
        <v>684</v>
      </c>
      <c r="GZ14" t="s">
        <v>1455</v>
      </c>
      <c r="HA14" t="str">
        <f>"-0.000314*"</f>
        <v>-0.000314*</v>
      </c>
      <c r="HB14" t="s">
        <v>684</v>
      </c>
      <c r="HC14" t="s">
        <v>1455</v>
      </c>
      <c r="HD14" t="str">
        <f>"-0.000278*"</f>
        <v>-0.000278*</v>
      </c>
      <c r="HE14" t="s">
        <v>347</v>
      </c>
      <c r="HF14" t="s">
        <v>1486</v>
      </c>
      <c r="HG14" t="str">
        <f>"-0.000278*"</f>
        <v>-0.000278*</v>
      </c>
      <c r="HH14" t="s">
        <v>347</v>
      </c>
      <c r="HI14" t="s">
        <v>1486</v>
      </c>
      <c r="HJ14" t="str">
        <f>"-0.000277*"</f>
        <v>-0.000277*</v>
      </c>
      <c r="HK14" t="s">
        <v>347</v>
      </c>
      <c r="HL14" t="s">
        <v>1486</v>
      </c>
      <c r="HM14" t="str">
        <f>"-0.000297*"</f>
        <v>-0.000297*</v>
      </c>
      <c r="HN14" t="s">
        <v>347</v>
      </c>
      <c r="HO14" t="s">
        <v>1455</v>
      </c>
      <c r="HP14" t="str">
        <f>"-0.000298*"</f>
        <v>-0.000298*</v>
      </c>
      <c r="HQ14" t="s">
        <v>347</v>
      </c>
      <c r="HR14" t="s">
        <v>1486</v>
      </c>
      <c r="HS14" t="str">
        <f>"-0.000306*"</f>
        <v>-0.000306*</v>
      </c>
      <c r="HT14" t="s">
        <v>684</v>
      </c>
      <c r="HU14" t="s">
        <v>1455</v>
      </c>
      <c r="HV14" t="str">
        <f>"-0.000295*"</f>
        <v>-0.000295*</v>
      </c>
      <c r="HW14" t="s">
        <v>347</v>
      </c>
      <c r="HX14" t="s">
        <v>1486</v>
      </c>
      <c r="HY14" t="str">
        <f>"-0.000267*"</f>
        <v>-0.000267*</v>
      </c>
      <c r="HZ14" t="s">
        <v>347</v>
      </c>
      <c r="IA14" t="s">
        <v>1486</v>
      </c>
      <c r="IB14" t="str">
        <f>"-0.000275*"</f>
        <v>-0.000275*</v>
      </c>
      <c r="IC14" t="s">
        <v>347</v>
      </c>
      <c r="ID14" t="s">
        <v>1486</v>
      </c>
      <c r="IE14" t="str">
        <f>"-0.000288*"</f>
        <v>-0.000288*</v>
      </c>
      <c r="IF14" t="s">
        <v>347</v>
      </c>
      <c r="IG14" t="s">
        <v>1486</v>
      </c>
      <c r="IH14" t="str">
        <f>"-0.000300*"</f>
        <v>-0.000300*</v>
      </c>
      <c r="II14" t="s">
        <v>684</v>
      </c>
      <c r="IJ14" t="s">
        <v>1486</v>
      </c>
      <c r="IK14" t="str">
        <f>"-0.000278*"</f>
        <v>-0.000278*</v>
      </c>
      <c r="IL14" t="s">
        <v>347</v>
      </c>
      <c r="IM14" t="s">
        <v>1486</v>
      </c>
      <c r="IN14" t="str">
        <f>"-0.000276*"</f>
        <v>-0.000276*</v>
      </c>
      <c r="IO14" t="s">
        <v>347</v>
      </c>
      <c r="IP14" t="s">
        <v>1486</v>
      </c>
      <c r="IQ14" t="str">
        <f>"-0.000265*"</f>
        <v>-0.000265*</v>
      </c>
      <c r="IR14" t="s">
        <v>347</v>
      </c>
      <c r="IS14" t="s">
        <v>1486</v>
      </c>
      <c r="IT14" t="str">
        <f>"-0.000238*"</f>
        <v>-0.000238*</v>
      </c>
      <c r="IU14" t="s">
        <v>929</v>
      </c>
      <c r="IV14" t="s">
        <v>1486</v>
      </c>
      <c r="IW14" t="str">
        <f>"-0.000272*"</f>
        <v>-0.000272*</v>
      </c>
      <c r="IX14" t="s">
        <v>347</v>
      </c>
      <c r="IY14" t="s">
        <v>1486</v>
      </c>
      <c r="IZ14" t="str">
        <f>"-0.000254*"</f>
        <v>-0.000254*</v>
      </c>
      <c r="JA14" t="s">
        <v>347</v>
      </c>
      <c r="JB14" t="s">
        <v>1486</v>
      </c>
      <c r="JC14" t="str">
        <f>"-0.000283*"</f>
        <v>-0.000283*</v>
      </c>
      <c r="JD14" t="s">
        <v>347</v>
      </c>
      <c r="JE14" t="s">
        <v>1486</v>
      </c>
      <c r="JF14" t="str">
        <f>"-0.000235*"</f>
        <v>-0.000235*</v>
      </c>
      <c r="JG14" t="s">
        <v>929</v>
      </c>
      <c r="JH14" t="s">
        <v>1486</v>
      </c>
      <c r="JI14" t="str">
        <f>"-0.000249*"</f>
        <v>-0.000249*</v>
      </c>
      <c r="JJ14" t="s">
        <v>347</v>
      </c>
      <c r="JK14" t="s">
        <v>1486</v>
      </c>
      <c r="JL14" t="str">
        <f>"-0.000241*"</f>
        <v>-0.000241*</v>
      </c>
      <c r="JM14" t="s">
        <v>347</v>
      </c>
      <c r="JN14" t="s">
        <v>1486</v>
      </c>
      <c r="JO14" t="str">
        <f>"-0.000264*"</f>
        <v>-0.000264*</v>
      </c>
      <c r="JP14" t="s">
        <v>347</v>
      </c>
      <c r="JQ14" t="s">
        <v>1486</v>
      </c>
      <c r="JR14" t="str">
        <f>"-0.000207"</f>
        <v>-0.000207</v>
      </c>
      <c r="JS14" t="s">
        <v>929</v>
      </c>
      <c r="JT14" t="s">
        <v>1487</v>
      </c>
      <c r="JU14" t="str">
        <f>"-0.000205"</f>
        <v>-0.000205</v>
      </c>
      <c r="JV14" t="s">
        <v>929</v>
      </c>
      <c r="JW14" t="s">
        <v>1487</v>
      </c>
      <c r="JX14" t="str">
        <f>"-0.000219"</f>
        <v>-0.000219</v>
      </c>
      <c r="JY14" t="s">
        <v>929</v>
      </c>
      <c r="JZ14" t="s">
        <v>1487</v>
      </c>
      <c r="KA14" t="str">
        <f>"-0.000182"</f>
        <v>-0.000182</v>
      </c>
      <c r="KB14" t="s">
        <v>929</v>
      </c>
      <c r="KC14" t="s">
        <v>1487</v>
      </c>
      <c r="KD14" t="str">
        <f>"-0.000134"</f>
        <v>-0.000134</v>
      </c>
      <c r="KE14" t="s">
        <v>786</v>
      </c>
      <c r="KF14" t="s">
        <v>1485</v>
      </c>
      <c r="KG14" t="str">
        <f>"-0.0000329"</f>
        <v>-0.0000329</v>
      </c>
      <c r="KH14" t="s">
        <v>1458</v>
      </c>
      <c r="KI14" t="s">
        <v>1485</v>
      </c>
      <c r="KJ14" t="str">
        <f>"0.0000253"</f>
        <v>0.0000253</v>
      </c>
      <c r="KK14" t="s">
        <v>786</v>
      </c>
      <c r="KL14" t="s">
        <v>661</v>
      </c>
    </row>
    <row r="15" spans="1:298" x14ac:dyDescent="0.2">
      <c r="A15" t="str">
        <f>"formal"</f>
        <v>formal</v>
      </c>
      <c r="B15" t="str">
        <f>"-0.000325"</f>
        <v>-0.000325</v>
      </c>
      <c r="C15" t="s">
        <v>734</v>
      </c>
      <c r="D15" t="s">
        <v>1485</v>
      </c>
      <c r="E15" t="str">
        <f>"-0.000325"</f>
        <v>-0.000325</v>
      </c>
      <c r="F15" t="s">
        <v>734</v>
      </c>
      <c r="G15" t="s">
        <v>1485</v>
      </c>
      <c r="H15" t="str">
        <f>"-0.000325"</f>
        <v>-0.000325</v>
      </c>
      <c r="I15" t="s">
        <v>734</v>
      </c>
      <c r="J15" t="s">
        <v>1485</v>
      </c>
      <c r="K15" t="str">
        <f>"-0.0106"</f>
        <v>-0.0106</v>
      </c>
      <c r="L15" t="s">
        <v>1977</v>
      </c>
      <c r="M15" t="s">
        <v>800</v>
      </c>
      <c r="N15" t="str">
        <f>"-0.00684"</f>
        <v>-0.00684</v>
      </c>
      <c r="O15" t="s">
        <v>792</v>
      </c>
      <c r="P15" t="s">
        <v>1067</v>
      </c>
      <c r="Q15" t="str">
        <f>"-0.00611"</f>
        <v>-0.00611</v>
      </c>
      <c r="R15" t="s">
        <v>5523</v>
      </c>
      <c r="S15" t="s">
        <v>936</v>
      </c>
      <c r="T15" t="str">
        <f>"-0.00584"</f>
        <v>-0.00584</v>
      </c>
      <c r="U15" t="s">
        <v>2841</v>
      </c>
      <c r="V15" t="s">
        <v>936</v>
      </c>
      <c r="W15" t="str">
        <f>"-0.00562"</f>
        <v>-0.00562</v>
      </c>
      <c r="X15" t="s">
        <v>512</v>
      </c>
      <c r="Y15" t="s">
        <v>934</v>
      </c>
      <c r="Z15" t="str">
        <f>"-0.00592"</f>
        <v>-0.00592</v>
      </c>
      <c r="AA15" t="s">
        <v>2833</v>
      </c>
      <c r="AB15" t="s">
        <v>936</v>
      </c>
      <c r="AC15" t="str">
        <f>"-0.00578"</f>
        <v>-0.00578</v>
      </c>
      <c r="AD15" t="s">
        <v>514</v>
      </c>
      <c r="AE15" t="s">
        <v>934</v>
      </c>
      <c r="AF15" t="str">
        <f>"-0.00571"</f>
        <v>-0.00571</v>
      </c>
      <c r="AG15" t="s">
        <v>689</v>
      </c>
      <c r="AH15" t="s">
        <v>934</v>
      </c>
      <c r="AI15" t="str">
        <f>"-0.00581"</f>
        <v>-0.00581</v>
      </c>
      <c r="AJ15" t="s">
        <v>2841</v>
      </c>
      <c r="AK15" t="s">
        <v>934</v>
      </c>
      <c r="AL15" t="str">
        <f>"-0.00527"</f>
        <v>-0.00527</v>
      </c>
      <c r="AM15" t="s">
        <v>3558</v>
      </c>
      <c r="AN15" t="s">
        <v>937</v>
      </c>
      <c r="AO15" t="str">
        <f>"-0.00386"</f>
        <v>-0.00386</v>
      </c>
      <c r="AP15" t="s">
        <v>1195</v>
      </c>
      <c r="AQ15" t="s">
        <v>1457</v>
      </c>
      <c r="AR15" t="str">
        <f>"-0.00403"</f>
        <v>-0.00403</v>
      </c>
      <c r="AS15" t="s">
        <v>3298</v>
      </c>
      <c r="AT15" t="s">
        <v>1457</v>
      </c>
      <c r="AU15" t="str">
        <f>"-0.00373"</f>
        <v>-0.00373</v>
      </c>
      <c r="AV15" t="s">
        <v>1447</v>
      </c>
      <c r="AW15" t="s">
        <v>1196</v>
      </c>
      <c r="AX15" t="str">
        <f>"-0.00315"</f>
        <v>-0.00315</v>
      </c>
      <c r="AY15" t="s">
        <v>781</v>
      </c>
      <c r="AZ15" t="s">
        <v>817</v>
      </c>
      <c r="BA15" t="str">
        <f>"-0.00267"</f>
        <v>-0.00267</v>
      </c>
      <c r="BB15" t="s">
        <v>1120</v>
      </c>
      <c r="BC15" t="s">
        <v>709</v>
      </c>
      <c r="BD15" t="str">
        <f>"-0.00251"</f>
        <v>-0.00251</v>
      </c>
      <c r="BE15" t="s">
        <v>741</v>
      </c>
      <c r="BF15" t="s">
        <v>709</v>
      </c>
      <c r="BG15" t="str">
        <f>"-0.00220"</f>
        <v>-0.00220</v>
      </c>
      <c r="BH15" t="s">
        <v>910</v>
      </c>
      <c r="BI15" t="s">
        <v>802</v>
      </c>
      <c r="BJ15" t="str">
        <f>"-0.00200"</f>
        <v>-0.00200</v>
      </c>
      <c r="BK15" t="s">
        <v>914</v>
      </c>
      <c r="BL15" t="s">
        <v>802</v>
      </c>
      <c r="BM15" t="str">
        <f>"-0.00174"</f>
        <v>-0.00174</v>
      </c>
      <c r="BN15" t="s">
        <v>1088</v>
      </c>
      <c r="BO15" t="s">
        <v>661</v>
      </c>
      <c r="BP15" t="str">
        <f>"-0.00176"</f>
        <v>-0.00176</v>
      </c>
      <c r="BQ15" t="s">
        <v>650</v>
      </c>
      <c r="BR15" t="s">
        <v>661</v>
      </c>
      <c r="BS15" t="str">
        <f>"-0.00182"</f>
        <v>-0.00182</v>
      </c>
      <c r="BT15" t="s">
        <v>1515</v>
      </c>
      <c r="BU15" t="s">
        <v>802</v>
      </c>
      <c r="BV15" t="str">
        <f>"-0.00184"</f>
        <v>-0.00184</v>
      </c>
      <c r="BW15" t="s">
        <v>3295</v>
      </c>
      <c r="BX15" t="s">
        <v>802</v>
      </c>
      <c r="BY15" t="str">
        <f>"-0.00185"</f>
        <v>-0.00185</v>
      </c>
      <c r="BZ15" t="s">
        <v>3295</v>
      </c>
      <c r="CA15" t="s">
        <v>802</v>
      </c>
      <c r="CB15" t="str">
        <f>"-0.00180"</f>
        <v>-0.00180</v>
      </c>
      <c r="CC15" t="s">
        <v>1515</v>
      </c>
      <c r="CD15" t="s">
        <v>802</v>
      </c>
      <c r="CE15" t="str">
        <f>"-0.00174"</f>
        <v>-0.00174</v>
      </c>
      <c r="CF15" t="s">
        <v>1088</v>
      </c>
      <c r="CG15" t="s">
        <v>661</v>
      </c>
      <c r="CH15" t="str">
        <f>"-0.00177"</f>
        <v>-0.00177</v>
      </c>
      <c r="CI15" t="s">
        <v>650</v>
      </c>
      <c r="CJ15" t="s">
        <v>661</v>
      </c>
      <c r="CK15" t="str">
        <f>"-0.00171"</f>
        <v>-0.00171</v>
      </c>
      <c r="CL15" t="s">
        <v>1088</v>
      </c>
      <c r="CM15" t="s">
        <v>661</v>
      </c>
      <c r="CN15" t="str">
        <f>"-0.00168"</f>
        <v>-0.00168</v>
      </c>
      <c r="CO15" t="s">
        <v>697</v>
      </c>
      <c r="CP15" t="s">
        <v>661</v>
      </c>
      <c r="CQ15" t="str">
        <f>"-0.00173"</f>
        <v>-0.00173</v>
      </c>
      <c r="CR15" t="s">
        <v>1088</v>
      </c>
      <c r="CS15" t="s">
        <v>661</v>
      </c>
      <c r="CT15" t="str">
        <f>"-0.00167"</f>
        <v>-0.00167</v>
      </c>
      <c r="CU15" t="s">
        <v>697</v>
      </c>
      <c r="CV15" t="s">
        <v>661</v>
      </c>
      <c r="CW15" t="str">
        <f>"-0.00165"</f>
        <v>-0.00165</v>
      </c>
      <c r="CX15" t="s">
        <v>919</v>
      </c>
      <c r="CY15" t="s">
        <v>661</v>
      </c>
      <c r="CZ15" t="str">
        <f>"-0.00166"</f>
        <v>-0.00166</v>
      </c>
      <c r="DA15" t="s">
        <v>919</v>
      </c>
      <c r="DB15" t="s">
        <v>661</v>
      </c>
      <c r="DC15" t="str">
        <f>"-0.00167"</f>
        <v>-0.00167</v>
      </c>
      <c r="DD15" t="s">
        <v>697</v>
      </c>
      <c r="DE15" t="s">
        <v>661</v>
      </c>
      <c r="DF15" t="str">
        <f>"-0.00164"</f>
        <v>-0.00164</v>
      </c>
      <c r="DG15" t="s">
        <v>919</v>
      </c>
      <c r="DH15" t="s">
        <v>661</v>
      </c>
      <c r="DI15" t="str">
        <f>"-0.00156"</f>
        <v>-0.00156</v>
      </c>
      <c r="DJ15" t="s">
        <v>345</v>
      </c>
      <c r="DK15" t="s">
        <v>661</v>
      </c>
      <c r="DL15" t="str">
        <f>"-0.00148"</f>
        <v>-0.00148</v>
      </c>
      <c r="DM15" t="s">
        <v>703</v>
      </c>
      <c r="DN15" t="s">
        <v>661</v>
      </c>
      <c r="DO15" t="str">
        <f>"-0.00150"</f>
        <v>-0.00150</v>
      </c>
      <c r="DP15" t="s">
        <v>703</v>
      </c>
      <c r="DQ15" t="s">
        <v>661</v>
      </c>
      <c r="DR15" t="str">
        <f>"-0.00155"</f>
        <v>-0.00155</v>
      </c>
      <c r="DS15" t="s">
        <v>345</v>
      </c>
      <c r="DT15" t="s">
        <v>661</v>
      </c>
      <c r="DU15" t="str">
        <f>"-0.00147"</f>
        <v>-0.00147</v>
      </c>
      <c r="DV15" t="s">
        <v>640</v>
      </c>
      <c r="DW15" t="s">
        <v>661</v>
      </c>
      <c r="DX15" t="str">
        <f>"-0.00142"</f>
        <v>-0.00142</v>
      </c>
      <c r="DY15" t="s">
        <v>677</v>
      </c>
      <c r="DZ15" t="s">
        <v>661</v>
      </c>
      <c r="EA15" t="str">
        <f>"-0.00139"</f>
        <v>-0.00139</v>
      </c>
      <c r="EB15" t="s">
        <v>677</v>
      </c>
      <c r="EC15" t="s">
        <v>661</v>
      </c>
      <c r="ED15" t="str">
        <f>"-0.00134"</f>
        <v>-0.00134</v>
      </c>
      <c r="EE15" t="s">
        <v>920</v>
      </c>
      <c r="EF15" t="s">
        <v>661</v>
      </c>
      <c r="EG15" t="str">
        <f>"-0.00132"</f>
        <v>-0.00132</v>
      </c>
      <c r="EH15" t="s">
        <v>920</v>
      </c>
      <c r="EI15" t="s">
        <v>661</v>
      </c>
      <c r="EJ15" t="str">
        <f>"-0.00129"</f>
        <v>-0.00129</v>
      </c>
      <c r="EK15" t="s">
        <v>711</v>
      </c>
      <c r="EL15" t="s">
        <v>661</v>
      </c>
      <c r="EM15" t="str">
        <f>"-0.00128"</f>
        <v>-0.00128</v>
      </c>
      <c r="EN15" t="s">
        <v>711</v>
      </c>
      <c r="EO15" t="s">
        <v>661</v>
      </c>
      <c r="EP15" t="str">
        <f>"-0.00122"</f>
        <v>-0.00122</v>
      </c>
      <c r="EQ15" t="s">
        <v>783</v>
      </c>
      <c r="ER15" t="s">
        <v>1456</v>
      </c>
      <c r="ES15" t="str">
        <f>"-0.00126"</f>
        <v>-0.00126</v>
      </c>
      <c r="ET15" t="s">
        <v>711</v>
      </c>
      <c r="EU15" t="s">
        <v>1456</v>
      </c>
      <c r="EV15" t="str">
        <f>"-0.00130"</f>
        <v>-0.00130</v>
      </c>
      <c r="EW15" t="s">
        <v>711</v>
      </c>
      <c r="EX15" t="s">
        <v>661</v>
      </c>
      <c r="EY15" t="str">
        <f>"-0.00123"</f>
        <v>-0.00123</v>
      </c>
      <c r="EZ15" t="s">
        <v>783</v>
      </c>
      <c r="FA15" t="s">
        <v>1456</v>
      </c>
      <c r="FB15" t="str">
        <f>"-0.00124"</f>
        <v>-0.00124</v>
      </c>
      <c r="FC15" t="s">
        <v>783</v>
      </c>
      <c r="FD15" t="s">
        <v>1456</v>
      </c>
      <c r="FE15" t="str">
        <f>"-0.00120"</f>
        <v>-0.00120</v>
      </c>
      <c r="FF15" t="s">
        <v>911</v>
      </c>
      <c r="FG15" t="s">
        <v>1456</v>
      </c>
      <c r="FH15" t="str">
        <f>"-0.00116"</f>
        <v>-0.00116</v>
      </c>
      <c r="FI15" t="s">
        <v>911</v>
      </c>
      <c r="FJ15" t="s">
        <v>1456</v>
      </c>
      <c r="FK15" t="str">
        <f>"-0.00110"</f>
        <v>-0.00110</v>
      </c>
      <c r="FL15" t="s">
        <v>1012</v>
      </c>
      <c r="FM15" t="s">
        <v>1456</v>
      </c>
      <c r="FN15" t="str">
        <f>"-0.00105"</f>
        <v>-0.00105</v>
      </c>
      <c r="FO15" t="s">
        <v>639</v>
      </c>
      <c r="FP15" t="s">
        <v>1456</v>
      </c>
      <c r="FQ15" t="str">
        <f>"-0.000967"</f>
        <v>-0.000967</v>
      </c>
      <c r="FR15" t="s">
        <v>933</v>
      </c>
      <c r="FS15" t="s">
        <v>1456</v>
      </c>
      <c r="FT15" t="str">
        <f>"-0.000904"</f>
        <v>-0.000904</v>
      </c>
      <c r="FU15" t="s">
        <v>1014</v>
      </c>
      <c r="FV15" t="s">
        <v>1456</v>
      </c>
      <c r="FW15" t="str">
        <f>"-0.000932"</f>
        <v>-0.000932</v>
      </c>
      <c r="FX15" t="s">
        <v>933</v>
      </c>
      <c r="FY15" t="s">
        <v>1456</v>
      </c>
      <c r="FZ15" t="str">
        <f>"-0.000969"</f>
        <v>-0.000969</v>
      </c>
      <c r="GA15" t="s">
        <v>933</v>
      </c>
      <c r="GB15" t="s">
        <v>1456</v>
      </c>
      <c r="GC15" t="str">
        <f>"-0.00101"</f>
        <v>-0.00101</v>
      </c>
      <c r="GD15" t="s">
        <v>717</v>
      </c>
      <c r="GE15" t="s">
        <v>1456</v>
      </c>
      <c r="GF15" t="str">
        <f>"-0.00104"</f>
        <v>-0.00104</v>
      </c>
      <c r="GG15" t="s">
        <v>639</v>
      </c>
      <c r="GH15" t="s">
        <v>1456</v>
      </c>
      <c r="GI15" t="str">
        <f>"-0.00105"</f>
        <v>-0.00105</v>
      </c>
      <c r="GJ15" t="s">
        <v>639</v>
      </c>
      <c r="GK15" t="s">
        <v>1456</v>
      </c>
      <c r="GL15" t="str">
        <f>"-0.00108"</f>
        <v>-0.00108</v>
      </c>
      <c r="GM15" t="s">
        <v>1012</v>
      </c>
      <c r="GN15" t="s">
        <v>1456</v>
      </c>
      <c r="GO15" t="str">
        <f>"-0.00106"</f>
        <v>-0.00106</v>
      </c>
      <c r="GP15" t="s">
        <v>639</v>
      </c>
      <c r="GQ15" t="s">
        <v>1456</v>
      </c>
      <c r="GR15" t="str">
        <f>"-0.00104"</f>
        <v>-0.00104</v>
      </c>
      <c r="GS15" t="s">
        <v>639</v>
      </c>
      <c r="GT15" t="s">
        <v>1456</v>
      </c>
      <c r="GU15" t="str">
        <f>"-0.000976"</f>
        <v>-0.000976</v>
      </c>
      <c r="GV15" t="s">
        <v>933</v>
      </c>
      <c r="GW15" t="s">
        <v>1456</v>
      </c>
      <c r="GX15" t="str">
        <f>"-0.00100"</f>
        <v>-0.00100</v>
      </c>
      <c r="GY15" t="s">
        <v>717</v>
      </c>
      <c r="GZ15" t="s">
        <v>1456</v>
      </c>
      <c r="HA15" t="str">
        <f>"-0.000972"</f>
        <v>-0.000972</v>
      </c>
      <c r="HB15" t="s">
        <v>933</v>
      </c>
      <c r="HC15" t="s">
        <v>1456</v>
      </c>
      <c r="HD15" t="str">
        <f>"-0.000940"</f>
        <v>-0.000940</v>
      </c>
      <c r="HE15" t="s">
        <v>933</v>
      </c>
      <c r="HF15" t="s">
        <v>1456</v>
      </c>
      <c r="HG15" t="str">
        <f>"-0.000870"</f>
        <v>-0.000870</v>
      </c>
      <c r="HH15" t="s">
        <v>652</v>
      </c>
      <c r="HI15" t="s">
        <v>1456</v>
      </c>
      <c r="HJ15" t="str">
        <f>"-0.000934"</f>
        <v>-0.000934</v>
      </c>
      <c r="HK15" t="s">
        <v>933</v>
      </c>
      <c r="HL15" t="s">
        <v>1456</v>
      </c>
      <c r="HM15" t="str">
        <f>"-0.000819"</f>
        <v>-0.000819</v>
      </c>
      <c r="HN15" t="s">
        <v>681</v>
      </c>
      <c r="HO15" t="s">
        <v>1456</v>
      </c>
      <c r="HP15" t="str">
        <f>"-0.000771"</f>
        <v>-0.000771</v>
      </c>
      <c r="HQ15" t="s">
        <v>720</v>
      </c>
      <c r="HR15" t="s">
        <v>1456</v>
      </c>
      <c r="HS15" t="str">
        <f>"-0.000758"</f>
        <v>-0.000758</v>
      </c>
      <c r="HT15" t="s">
        <v>720</v>
      </c>
      <c r="HU15" t="s">
        <v>1456</v>
      </c>
      <c r="HV15" t="str">
        <f>"-0.000772"</f>
        <v>-0.000772</v>
      </c>
      <c r="HW15" t="s">
        <v>720</v>
      </c>
      <c r="HX15" t="s">
        <v>1456</v>
      </c>
      <c r="HY15" t="str">
        <f>"-0.000808"</f>
        <v>-0.000808</v>
      </c>
      <c r="HZ15" t="s">
        <v>681</v>
      </c>
      <c r="IA15" t="s">
        <v>1456</v>
      </c>
      <c r="IB15" t="str">
        <f>"-0.000811"</f>
        <v>-0.000811</v>
      </c>
      <c r="IC15" t="s">
        <v>681</v>
      </c>
      <c r="ID15" t="s">
        <v>1456</v>
      </c>
      <c r="IE15" t="str">
        <f>"-0.000848"</f>
        <v>-0.000848</v>
      </c>
      <c r="IF15" t="s">
        <v>652</v>
      </c>
      <c r="IG15" t="s">
        <v>1456</v>
      </c>
      <c r="IH15" t="str">
        <f>"-0.000817"</f>
        <v>-0.000817</v>
      </c>
      <c r="II15" t="s">
        <v>681</v>
      </c>
      <c r="IJ15" t="s">
        <v>1456</v>
      </c>
      <c r="IK15" t="str">
        <f>"-0.000725"</f>
        <v>-0.000725</v>
      </c>
      <c r="IL15" t="s">
        <v>916</v>
      </c>
      <c r="IM15" t="s">
        <v>1456</v>
      </c>
      <c r="IN15" t="str">
        <f>"-0.000616"</f>
        <v>-0.000616</v>
      </c>
      <c r="IO15" t="s">
        <v>674</v>
      </c>
      <c r="IP15" t="s">
        <v>1485</v>
      </c>
      <c r="IQ15" t="str">
        <f>"-0.000719"</f>
        <v>-0.000719</v>
      </c>
      <c r="IR15" t="s">
        <v>916</v>
      </c>
      <c r="IS15" t="s">
        <v>1456</v>
      </c>
      <c r="IT15" t="str">
        <f>"-0.000748"</f>
        <v>-0.000748</v>
      </c>
      <c r="IU15" t="s">
        <v>720</v>
      </c>
      <c r="IV15" t="s">
        <v>1456</v>
      </c>
      <c r="IW15" t="str">
        <f>"-0.000791"</f>
        <v>-0.000791</v>
      </c>
      <c r="IX15" t="s">
        <v>720</v>
      </c>
      <c r="IY15" t="s">
        <v>1456</v>
      </c>
      <c r="IZ15" t="str">
        <f>"-0.000674"</f>
        <v>-0.000674</v>
      </c>
      <c r="JA15" t="s">
        <v>932</v>
      </c>
      <c r="JB15" t="s">
        <v>1485</v>
      </c>
      <c r="JC15" t="str">
        <f>"-0.000713"</f>
        <v>-0.000713</v>
      </c>
      <c r="JD15" t="s">
        <v>916</v>
      </c>
      <c r="JE15" t="s">
        <v>1456</v>
      </c>
      <c r="JF15" t="str">
        <f>"-0.000721"</f>
        <v>-0.000721</v>
      </c>
      <c r="JG15" t="s">
        <v>916</v>
      </c>
      <c r="JH15" t="s">
        <v>1456</v>
      </c>
      <c r="JI15" t="str">
        <f>"-0.000766"</f>
        <v>-0.000766</v>
      </c>
      <c r="JJ15" t="s">
        <v>720</v>
      </c>
      <c r="JK15" t="s">
        <v>1456</v>
      </c>
      <c r="JL15" t="str">
        <f>"-0.000816"</f>
        <v>-0.000816</v>
      </c>
      <c r="JM15" t="s">
        <v>681</v>
      </c>
      <c r="JN15" t="s">
        <v>1456</v>
      </c>
      <c r="JO15" t="str">
        <f>"-0.000835"</f>
        <v>-0.000835</v>
      </c>
      <c r="JP15" t="s">
        <v>652</v>
      </c>
      <c r="JQ15" t="s">
        <v>1456</v>
      </c>
      <c r="JR15" t="str">
        <f>"-0.000843"</f>
        <v>-0.000843</v>
      </c>
      <c r="JS15" t="s">
        <v>652</v>
      </c>
      <c r="JT15" t="s">
        <v>1456</v>
      </c>
      <c r="JU15" t="str">
        <f>"-0.000785"</f>
        <v>-0.000785</v>
      </c>
      <c r="JV15" t="s">
        <v>720</v>
      </c>
      <c r="JW15" t="s">
        <v>1456</v>
      </c>
      <c r="JX15" t="str">
        <f>"-0.000662"</f>
        <v>-0.000662</v>
      </c>
      <c r="JY15" t="s">
        <v>932</v>
      </c>
      <c r="JZ15" t="s">
        <v>1456</v>
      </c>
      <c r="KA15" t="str">
        <f>"-0.000573"</f>
        <v>-0.000573</v>
      </c>
      <c r="KB15" t="s">
        <v>636</v>
      </c>
      <c r="KC15" t="s">
        <v>1456</v>
      </c>
      <c r="KD15" t="str">
        <f>"-0.000736"</f>
        <v>-0.000736</v>
      </c>
      <c r="KE15" t="s">
        <v>720</v>
      </c>
      <c r="KF15" t="s">
        <v>1456</v>
      </c>
      <c r="KG15" t="str">
        <f>"-0.000509"</f>
        <v>-0.000509</v>
      </c>
      <c r="KH15" t="s">
        <v>935</v>
      </c>
      <c r="KI15" t="s">
        <v>1456</v>
      </c>
      <c r="KJ15" t="str">
        <f>"-0.000474"</f>
        <v>-0.000474</v>
      </c>
      <c r="KK15" t="s">
        <v>636</v>
      </c>
      <c r="KL15" t="s">
        <v>802</v>
      </c>
    </row>
    <row r="16" spans="1:298" x14ac:dyDescent="0.2">
      <c r="A16" t="str">
        <f>"Regi√£o"</f>
        <v>Regi√£o</v>
      </c>
      <c r="B16" t="str">
        <f>"0.000185"</f>
        <v>0.000185</v>
      </c>
      <c r="C16" t="s">
        <v>1458</v>
      </c>
      <c r="D16" t="s">
        <v>817</v>
      </c>
      <c r="E16" t="str">
        <f>"0.000185"</f>
        <v>0.000185</v>
      </c>
      <c r="F16" t="s">
        <v>1458</v>
      </c>
      <c r="G16" t="s">
        <v>817</v>
      </c>
      <c r="H16" t="str">
        <f>"0.000185"</f>
        <v>0.000185</v>
      </c>
      <c r="I16" t="s">
        <v>1458</v>
      </c>
      <c r="J16" t="s">
        <v>817</v>
      </c>
      <c r="K16" t="str">
        <f>"0.00248"</f>
        <v>0.00248</v>
      </c>
      <c r="L16" t="s">
        <v>677</v>
      </c>
      <c r="M16" t="s">
        <v>575</v>
      </c>
      <c r="N16" t="str">
        <f>"0.00194"</f>
        <v>0.00194</v>
      </c>
      <c r="O16" t="s">
        <v>1012</v>
      </c>
      <c r="P16" t="s">
        <v>586</v>
      </c>
      <c r="Q16" t="str">
        <f>"0.00187"</f>
        <v>0.00187</v>
      </c>
      <c r="R16" t="s">
        <v>1012</v>
      </c>
      <c r="S16" t="s">
        <v>791</v>
      </c>
      <c r="T16" t="str">
        <f>"0.00178"</f>
        <v>0.00178</v>
      </c>
      <c r="U16" t="s">
        <v>1012</v>
      </c>
      <c r="V16" t="s">
        <v>613</v>
      </c>
      <c r="W16" t="str">
        <f>"0.00179"</f>
        <v>0.00179</v>
      </c>
      <c r="X16" t="s">
        <v>717</v>
      </c>
      <c r="Y16" t="s">
        <v>592</v>
      </c>
      <c r="Z16" t="str">
        <f>"0.00201"</f>
        <v>0.00201</v>
      </c>
      <c r="AA16" t="s">
        <v>717</v>
      </c>
      <c r="AB16" t="s">
        <v>665</v>
      </c>
      <c r="AC16" t="str">
        <f>"0.00191"</f>
        <v>0.00191</v>
      </c>
      <c r="AD16" t="s">
        <v>717</v>
      </c>
      <c r="AE16" t="s">
        <v>662</v>
      </c>
      <c r="AF16" t="str">
        <f>"0.00185"</f>
        <v>0.00185</v>
      </c>
      <c r="AG16" t="s">
        <v>717</v>
      </c>
      <c r="AH16" t="s">
        <v>613</v>
      </c>
      <c r="AI16" t="str">
        <f>"0.00181"</f>
        <v>0.00181</v>
      </c>
      <c r="AJ16" t="s">
        <v>933</v>
      </c>
      <c r="AK16" t="s">
        <v>1560</v>
      </c>
      <c r="AL16" t="str">
        <f>"0.00165"</f>
        <v>0.00165</v>
      </c>
      <c r="AM16" t="s">
        <v>652</v>
      </c>
      <c r="AN16" t="s">
        <v>702</v>
      </c>
      <c r="AO16" t="str">
        <f>"0.00122"</f>
        <v>0.00122</v>
      </c>
      <c r="AP16" t="s">
        <v>636</v>
      </c>
      <c r="AQ16" t="s">
        <v>829</v>
      </c>
      <c r="AR16" t="str">
        <f>"0.00107"</f>
        <v>0.00107</v>
      </c>
      <c r="AS16" t="s">
        <v>636</v>
      </c>
      <c r="AT16" t="s">
        <v>690</v>
      </c>
      <c r="AU16" t="str">
        <f>"0.00115"</f>
        <v>0.00115</v>
      </c>
      <c r="AV16" t="s">
        <v>435</v>
      </c>
      <c r="AW16" t="s">
        <v>690</v>
      </c>
      <c r="AX16" t="str">
        <f>"0.000940"</f>
        <v>0.000940</v>
      </c>
      <c r="AY16" t="s">
        <v>435</v>
      </c>
      <c r="AZ16" t="s">
        <v>716</v>
      </c>
      <c r="BA16" t="str">
        <f>"0.000867"</f>
        <v>0.000867</v>
      </c>
      <c r="BB16" t="s">
        <v>931</v>
      </c>
      <c r="BC16" t="s">
        <v>797</v>
      </c>
      <c r="BD16" t="str">
        <f>"0.000803"</f>
        <v>0.000803</v>
      </c>
      <c r="BE16" t="s">
        <v>931</v>
      </c>
      <c r="BF16" t="s">
        <v>906</v>
      </c>
      <c r="BG16" t="str">
        <f>"0.000741"</f>
        <v>0.000741</v>
      </c>
      <c r="BH16" t="s">
        <v>707</v>
      </c>
      <c r="BI16" t="s">
        <v>799</v>
      </c>
      <c r="BJ16" t="str">
        <f>"0.000768"</f>
        <v>0.000768</v>
      </c>
      <c r="BK16" t="s">
        <v>707</v>
      </c>
      <c r="BL16" t="s">
        <v>799</v>
      </c>
      <c r="BM16" t="str">
        <f>"0.000757"</f>
        <v>0.000757</v>
      </c>
      <c r="BN16" t="s">
        <v>707</v>
      </c>
      <c r="BO16" t="s">
        <v>799</v>
      </c>
      <c r="BP16" t="str">
        <f>"0.000797"</f>
        <v>0.000797</v>
      </c>
      <c r="BQ16" t="s">
        <v>684</v>
      </c>
      <c r="BR16" t="s">
        <v>685</v>
      </c>
      <c r="BS16" t="str">
        <f>"0.000785"</f>
        <v>0.000785</v>
      </c>
      <c r="BT16" t="s">
        <v>684</v>
      </c>
      <c r="BU16" t="s">
        <v>685</v>
      </c>
      <c r="BV16" t="str">
        <f>"0.000696"</f>
        <v>0.000696</v>
      </c>
      <c r="BW16" t="s">
        <v>684</v>
      </c>
      <c r="BX16" t="s">
        <v>912</v>
      </c>
      <c r="BY16" t="str">
        <f>"0.000784"</f>
        <v>0.000784</v>
      </c>
      <c r="BZ16" t="s">
        <v>734</v>
      </c>
      <c r="CA16" t="s">
        <v>799</v>
      </c>
      <c r="CB16" t="str">
        <f>"0.000784"</f>
        <v>0.000784</v>
      </c>
      <c r="CC16" t="s">
        <v>707</v>
      </c>
      <c r="CD16" t="s">
        <v>921</v>
      </c>
      <c r="CE16" t="str">
        <f>"0.000833"</f>
        <v>0.000833</v>
      </c>
      <c r="CF16" t="s">
        <v>707</v>
      </c>
      <c r="CG16" t="s">
        <v>906</v>
      </c>
      <c r="CH16" t="str">
        <f>"0.000894"</f>
        <v>0.000894</v>
      </c>
      <c r="CI16" t="s">
        <v>931</v>
      </c>
      <c r="CJ16" t="s">
        <v>797</v>
      </c>
      <c r="CK16" t="str">
        <f>"0.000892"</f>
        <v>0.000892</v>
      </c>
      <c r="CL16" t="s">
        <v>931</v>
      </c>
      <c r="CM16" t="s">
        <v>667</v>
      </c>
      <c r="CN16" t="str">
        <f>"0.000876"</f>
        <v>0.000876</v>
      </c>
      <c r="CO16" t="s">
        <v>931</v>
      </c>
      <c r="CP16" t="s">
        <v>667</v>
      </c>
      <c r="CQ16" t="str">
        <f>"0.000937"</f>
        <v>0.000937</v>
      </c>
      <c r="CR16" t="s">
        <v>931</v>
      </c>
      <c r="CS16" t="s">
        <v>701</v>
      </c>
      <c r="CT16" t="str">
        <f>"0.000969"</f>
        <v>0.000969</v>
      </c>
      <c r="CU16" t="s">
        <v>931</v>
      </c>
      <c r="CV16" t="s">
        <v>701</v>
      </c>
      <c r="CW16" t="str">
        <f>"0.000917"</f>
        <v>0.000917</v>
      </c>
      <c r="CX16" t="s">
        <v>931</v>
      </c>
      <c r="CY16" t="s">
        <v>797</v>
      </c>
      <c r="CZ16" t="str">
        <f>"0.000856"</f>
        <v>0.000856</v>
      </c>
      <c r="DA16" t="s">
        <v>931</v>
      </c>
      <c r="DB16" t="s">
        <v>667</v>
      </c>
      <c r="DC16" t="str">
        <f>"0.000912"</f>
        <v>0.000912</v>
      </c>
      <c r="DD16" t="s">
        <v>931</v>
      </c>
      <c r="DE16" t="s">
        <v>797</v>
      </c>
      <c r="DF16" t="str">
        <f>"0.000906"</f>
        <v>0.000906</v>
      </c>
      <c r="DG16" t="s">
        <v>707</v>
      </c>
      <c r="DH16" t="s">
        <v>667</v>
      </c>
      <c r="DI16" t="str">
        <f>"0.000894"</f>
        <v>0.000894</v>
      </c>
      <c r="DJ16" t="s">
        <v>707</v>
      </c>
      <c r="DK16" t="s">
        <v>667</v>
      </c>
      <c r="DL16" t="str">
        <f>"0.000840"</f>
        <v>0.000840</v>
      </c>
      <c r="DM16" t="s">
        <v>707</v>
      </c>
      <c r="DN16" t="s">
        <v>906</v>
      </c>
      <c r="DO16" t="str">
        <f>"0.000946"</f>
        <v>0.000946</v>
      </c>
      <c r="DP16" t="s">
        <v>734</v>
      </c>
      <c r="DQ16" t="s">
        <v>667</v>
      </c>
      <c r="DR16" t="str">
        <f>"0.000861"</f>
        <v>0.000861</v>
      </c>
      <c r="DS16" t="s">
        <v>707</v>
      </c>
      <c r="DT16" t="s">
        <v>906</v>
      </c>
      <c r="DU16" t="str">
        <f>"0.000783"</f>
        <v>0.000783</v>
      </c>
      <c r="DV16" t="s">
        <v>707</v>
      </c>
      <c r="DW16" t="s">
        <v>799</v>
      </c>
      <c r="DX16" t="str">
        <f>"0.000795"</f>
        <v>0.000795</v>
      </c>
      <c r="DY16" t="s">
        <v>707</v>
      </c>
      <c r="DZ16" t="s">
        <v>921</v>
      </c>
      <c r="EA16" t="str">
        <f>"0.000799"</f>
        <v>0.000799</v>
      </c>
      <c r="EB16" t="s">
        <v>707</v>
      </c>
      <c r="EC16" t="s">
        <v>921</v>
      </c>
      <c r="ED16" t="str">
        <f>"0.000808"</f>
        <v>0.000808</v>
      </c>
      <c r="EE16" t="s">
        <v>707</v>
      </c>
      <c r="EF16" t="s">
        <v>921</v>
      </c>
      <c r="EG16" t="str">
        <f>"0.000797"</f>
        <v>0.000797</v>
      </c>
      <c r="EH16" t="s">
        <v>707</v>
      </c>
      <c r="EI16" t="s">
        <v>921</v>
      </c>
      <c r="EJ16" t="str">
        <f>"0.000876"</f>
        <v>0.000876</v>
      </c>
      <c r="EK16" t="s">
        <v>684</v>
      </c>
      <c r="EL16" t="s">
        <v>921</v>
      </c>
      <c r="EM16" t="str">
        <f>"0.000765"</f>
        <v>0.000765</v>
      </c>
      <c r="EN16" t="s">
        <v>734</v>
      </c>
      <c r="EO16" t="s">
        <v>685</v>
      </c>
      <c r="EP16" t="str">
        <f>"0.000794"</f>
        <v>0.000794</v>
      </c>
      <c r="EQ16" t="s">
        <v>707</v>
      </c>
      <c r="ER16" t="s">
        <v>921</v>
      </c>
      <c r="ES16" t="str">
        <f>"0.000873"</f>
        <v>0.000873</v>
      </c>
      <c r="ET16" t="s">
        <v>684</v>
      </c>
      <c r="EU16" t="s">
        <v>921</v>
      </c>
      <c r="EV16" t="str">
        <f>"0.000729"</f>
        <v>0.000729</v>
      </c>
      <c r="EW16" t="s">
        <v>707</v>
      </c>
      <c r="EX16" t="s">
        <v>685</v>
      </c>
      <c r="EY16" t="str">
        <f>"0.000734"</f>
        <v>0.000734</v>
      </c>
      <c r="EZ16" t="s">
        <v>734</v>
      </c>
      <c r="FA16" t="s">
        <v>685</v>
      </c>
      <c r="FB16" t="str">
        <f>"0.000697"</f>
        <v>0.000697</v>
      </c>
      <c r="FC16" t="s">
        <v>734</v>
      </c>
      <c r="FD16" t="s">
        <v>800</v>
      </c>
      <c r="FE16" t="str">
        <f>"0.000710"</f>
        <v>0.000710</v>
      </c>
      <c r="FF16" t="s">
        <v>734</v>
      </c>
      <c r="FG16" t="s">
        <v>800</v>
      </c>
      <c r="FH16" t="str">
        <f>"0.000712"</f>
        <v>0.000712</v>
      </c>
      <c r="FI16" t="s">
        <v>734</v>
      </c>
      <c r="FJ16" t="s">
        <v>800</v>
      </c>
      <c r="FK16" t="str">
        <f>"0.000678"</f>
        <v>0.000678</v>
      </c>
      <c r="FL16" t="s">
        <v>734</v>
      </c>
      <c r="FM16" t="s">
        <v>912</v>
      </c>
      <c r="FN16" t="str">
        <f>"0.000555"</f>
        <v>0.000555</v>
      </c>
      <c r="FO16" t="s">
        <v>734</v>
      </c>
      <c r="FP16" t="s">
        <v>691</v>
      </c>
      <c r="FQ16" t="str">
        <f>"0.000609"</f>
        <v>0.000609</v>
      </c>
      <c r="FR16" t="s">
        <v>734</v>
      </c>
      <c r="FS16" t="s">
        <v>913</v>
      </c>
      <c r="FT16" t="str">
        <f>"0.000578"</f>
        <v>0.000578</v>
      </c>
      <c r="FU16" t="s">
        <v>734</v>
      </c>
      <c r="FV16" t="s">
        <v>913</v>
      </c>
      <c r="FW16" t="str">
        <f>"0.000641"</f>
        <v>0.000641</v>
      </c>
      <c r="FX16" t="s">
        <v>347</v>
      </c>
      <c r="FY16" t="s">
        <v>691</v>
      </c>
      <c r="FZ16" t="str">
        <f>"0.000867"</f>
        <v>0.000867</v>
      </c>
      <c r="GA16" t="s">
        <v>1458</v>
      </c>
      <c r="GB16" t="s">
        <v>912</v>
      </c>
      <c r="GC16" t="str">
        <f>"0.000416"</f>
        <v>0.000416</v>
      </c>
      <c r="GD16" t="s">
        <v>684</v>
      </c>
      <c r="GE16" t="s">
        <v>1067</v>
      </c>
      <c r="GF16" t="str">
        <f>"0.000503"</f>
        <v>0.000503</v>
      </c>
      <c r="GG16" t="s">
        <v>347</v>
      </c>
      <c r="GH16" t="s">
        <v>1083</v>
      </c>
      <c r="GI16" t="str">
        <f>"0.000568"</f>
        <v>0.000568</v>
      </c>
      <c r="GJ16" t="s">
        <v>684</v>
      </c>
      <c r="GK16" t="s">
        <v>691</v>
      </c>
      <c r="GL16" t="str">
        <f>"0.000622"</f>
        <v>0.000622</v>
      </c>
      <c r="GM16" t="s">
        <v>734</v>
      </c>
      <c r="GN16" t="s">
        <v>913</v>
      </c>
      <c r="GO16" t="str">
        <f>"0.000641"</f>
        <v>0.000641</v>
      </c>
      <c r="GP16" t="s">
        <v>684</v>
      </c>
      <c r="GQ16" t="s">
        <v>913</v>
      </c>
      <c r="GR16" t="str">
        <f>"0.000562"</f>
        <v>0.000562</v>
      </c>
      <c r="GS16" t="s">
        <v>734</v>
      </c>
      <c r="GT16" t="s">
        <v>691</v>
      </c>
      <c r="GU16" t="str">
        <f>"0.000582"</f>
        <v>0.000582</v>
      </c>
      <c r="GV16" t="s">
        <v>734</v>
      </c>
      <c r="GW16" t="s">
        <v>913</v>
      </c>
      <c r="GX16" t="str">
        <f>"0.000546"</f>
        <v>0.000546</v>
      </c>
      <c r="GY16" t="s">
        <v>734</v>
      </c>
      <c r="GZ16" t="s">
        <v>691</v>
      </c>
      <c r="HA16" t="str">
        <f>"0.000532"</f>
        <v>0.000532</v>
      </c>
      <c r="HB16" t="s">
        <v>734</v>
      </c>
      <c r="HC16" t="s">
        <v>588</v>
      </c>
      <c r="HD16" t="str">
        <f>"0.000453"</f>
        <v>0.000453</v>
      </c>
      <c r="HE16" t="s">
        <v>684</v>
      </c>
      <c r="HF16" t="s">
        <v>1083</v>
      </c>
      <c r="HG16" t="str">
        <f>"0.000458"</f>
        <v>0.000458</v>
      </c>
      <c r="HH16" t="s">
        <v>684</v>
      </c>
      <c r="HI16" t="s">
        <v>918</v>
      </c>
      <c r="HJ16" t="str">
        <f>"0.000474"</f>
        <v>0.000474</v>
      </c>
      <c r="HK16" t="s">
        <v>684</v>
      </c>
      <c r="HL16" t="s">
        <v>1083</v>
      </c>
      <c r="HM16" t="str">
        <f>"0.000357"</f>
        <v>0.000357</v>
      </c>
      <c r="HN16" t="s">
        <v>684</v>
      </c>
      <c r="HO16" t="s">
        <v>675</v>
      </c>
      <c r="HP16" t="str">
        <f>"0.000351"</f>
        <v>0.000351</v>
      </c>
      <c r="HQ16" t="s">
        <v>684</v>
      </c>
      <c r="HR16" t="s">
        <v>675</v>
      </c>
      <c r="HS16" t="str">
        <f>"0.000395"</f>
        <v>0.000395</v>
      </c>
      <c r="HT16" t="s">
        <v>347</v>
      </c>
      <c r="HU16" t="s">
        <v>675</v>
      </c>
      <c r="HV16" t="str">
        <f>"0.000380"</f>
        <v>0.000380</v>
      </c>
      <c r="HW16" t="s">
        <v>929</v>
      </c>
      <c r="HX16" t="s">
        <v>936</v>
      </c>
      <c r="HY16" t="str">
        <f>"0.000286"</f>
        <v>0.000286</v>
      </c>
      <c r="HZ16" t="s">
        <v>734</v>
      </c>
      <c r="IA16" t="s">
        <v>936</v>
      </c>
      <c r="IB16" t="str">
        <f>"0.000256"</f>
        <v>0.000256</v>
      </c>
      <c r="IC16" t="s">
        <v>734</v>
      </c>
      <c r="ID16" t="s">
        <v>936</v>
      </c>
      <c r="IE16" t="str">
        <f>"0.000231"</f>
        <v>0.000231</v>
      </c>
      <c r="IF16" t="s">
        <v>734</v>
      </c>
      <c r="IG16" t="s">
        <v>934</v>
      </c>
      <c r="IH16" t="str">
        <f>"0.000215"</f>
        <v>0.000215</v>
      </c>
      <c r="II16" t="s">
        <v>734</v>
      </c>
      <c r="IJ16" t="s">
        <v>936</v>
      </c>
      <c r="IK16" t="str">
        <f>"0.000166"</f>
        <v>0.000166</v>
      </c>
      <c r="IL16" t="s">
        <v>734</v>
      </c>
      <c r="IM16" t="s">
        <v>934</v>
      </c>
      <c r="IN16" t="str">
        <f>"0.000164"</f>
        <v>0.000164</v>
      </c>
      <c r="IO16" t="s">
        <v>734</v>
      </c>
      <c r="IP16" t="s">
        <v>937</v>
      </c>
      <c r="IQ16" t="str">
        <f>"0.000321"</f>
        <v>0.000321</v>
      </c>
      <c r="IR16" t="s">
        <v>786</v>
      </c>
      <c r="IS16" t="s">
        <v>938</v>
      </c>
      <c r="IT16" t="str">
        <f>"0.0000833"</f>
        <v>0.0000833</v>
      </c>
      <c r="IU16" t="s">
        <v>734</v>
      </c>
      <c r="IV16" t="s">
        <v>938</v>
      </c>
      <c r="IW16" t="str">
        <f>"0.000121"</f>
        <v>0.000121</v>
      </c>
      <c r="IX16" t="s">
        <v>734</v>
      </c>
      <c r="IY16" t="s">
        <v>938</v>
      </c>
      <c r="IZ16" t="str">
        <f>"0.000124"</f>
        <v>0.000124</v>
      </c>
      <c r="JA16" t="s">
        <v>684</v>
      </c>
      <c r="JB16" t="s">
        <v>938</v>
      </c>
      <c r="JC16" t="str">
        <f>"0.000155"</f>
        <v>0.000155</v>
      </c>
      <c r="JD16" t="s">
        <v>347</v>
      </c>
      <c r="JE16" t="s">
        <v>1457</v>
      </c>
      <c r="JF16" t="str">
        <f>"0.000129"</f>
        <v>0.000129</v>
      </c>
      <c r="JG16" t="s">
        <v>347</v>
      </c>
      <c r="JH16" t="s">
        <v>1457</v>
      </c>
      <c r="JI16" t="str">
        <f>"0.0000169"</f>
        <v>0.0000169</v>
      </c>
      <c r="JJ16" t="s">
        <v>734</v>
      </c>
      <c r="JK16" t="s">
        <v>1457</v>
      </c>
      <c r="JL16" t="str">
        <f>"0.000118"</f>
        <v>0.000118</v>
      </c>
      <c r="JM16" t="s">
        <v>684</v>
      </c>
      <c r="JN16" t="s">
        <v>1457</v>
      </c>
      <c r="JO16" t="str">
        <f>"-0.000122"</f>
        <v>-0.000122</v>
      </c>
      <c r="JP16" t="s">
        <v>647</v>
      </c>
      <c r="JQ16" t="s">
        <v>1457</v>
      </c>
      <c r="JR16" t="str">
        <f>"-0.000175"</f>
        <v>-0.000175</v>
      </c>
      <c r="JS16" t="s">
        <v>435</v>
      </c>
      <c r="JT16" t="s">
        <v>1457</v>
      </c>
      <c r="JU16" t="str">
        <f>"-0.000239"</f>
        <v>-0.000239</v>
      </c>
      <c r="JV16" t="s">
        <v>647</v>
      </c>
      <c r="JW16" t="s">
        <v>709</v>
      </c>
      <c r="JX16" t="str">
        <f>"-0.000532"</f>
        <v>-0.000532</v>
      </c>
      <c r="JY16" t="s">
        <v>916</v>
      </c>
      <c r="JZ16" t="s">
        <v>709</v>
      </c>
      <c r="KA16" t="str">
        <f>"-0.000657"</f>
        <v>-0.000657</v>
      </c>
      <c r="KB16" t="s">
        <v>916</v>
      </c>
      <c r="KC16" t="s">
        <v>661</v>
      </c>
      <c r="KD16" t="str">
        <f>"-0.000925"</f>
        <v>-0.000925</v>
      </c>
      <c r="KE16" t="s">
        <v>639</v>
      </c>
      <c r="KF16" t="s">
        <v>709</v>
      </c>
      <c r="KG16" t="str">
        <f>"-0.00103"</f>
        <v>-0.00103</v>
      </c>
      <c r="KH16" t="s">
        <v>639</v>
      </c>
      <c r="KI16" t="s">
        <v>661</v>
      </c>
      <c r="KJ16" t="str">
        <f>"-0.00102"</f>
        <v>-0.00102</v>
      </c>
      <c r="KK16" t="s">
        <v>1012</v>
      </c>
      <c r="KL16" t="s">
        <v>802</v>
      </c>
    </row>
    <row r="17" spans="1:298" x14ac:dyDescent="0.2">
      <c r="A17" t="str">
        <f>"Setor"</f>
        <v>Setor</v>
      </c>
      <c r="B17" t="str">
        <f>"-0.000326"</f>
        <v>-0.000326</v>
      </c>
      <c r="C17" t="s">
        <v>734</v>
      </c>
      <c r="D17" t="s">
        <v>1485</v>
      </c>
      <c r="E17" t="str">
        <f>"-0.000326"</f>
        <v>-0.000326</v>
      </c>
      <c r="F17" t="s">
        <v>734</v>
      </c>
      <c r="G17" t="s">
        <v>1485</v>
      </c>
      <c r="H17" t="str">
        <f>"-0.000326"</f>
        <v>-0.000326</v>
      </c>
      <c r="I17" t="s">
        <v>734</v>
      </c>
      <c r="J17" t="s">
        <v>1485</v>
      </c>
      <c r="K17" t="str">
        <f>"-0.0265***"</f>
        <v>-0.0265***</v>
      </c>
      <c r="L17" t="s">
        <v>485</v>
      </c>
      <c r="M17" t="s">
        <v>5394</v>
      </c>
      <c r="N17" t="str">
        <f>"-0.0126***"</f>
        <v>-0.0126***</v>
      </c>
      <c r="O17" t="s">
        <v>1215</v>
      </c>
      <c r="P17" t="s">
        <v>4478</v>
      </c>
      <c r="Q17" t="str">
        <f>"-0.00715**"</f>
        <v>-0.00715**</v>
      </c>
      <c r="R17" t="s">
        <v>3558</v>
      </c>
      <c r="S17" t="s">
        <v>949</v>
      </c>
      <c r="T17" t="str">
        <f>"-0.00531*"</f>
        <v>-0.00531*</v>
      </c>
      <c r="U17" t="s">
        <v>1113</v>
      </c>
      <c r="V17" t="s">
        <v>812</v>
      </c>
      <c r="W17" t="str">
        <f>"-0.00249"</f>
        <v>-0.00249</v>
      </c>
      <c r="X17" t="s">
        <v>654</v>
      </c>
      <c r="Y17" t="s">
        <v>934</v>
      </c>
      <c r="Z17" t="str">
        <f>"-0.00108"</f>
        <v>-0.00108</v>
      </c>
      <c r="AA17" t="s">
        <v>1505</v>
      </c>
      <c r="AB17" t="s">
        <v>906</v>
      </c>
      <c r="AC17" t="str">
        <f>"0.000887"</f>
        <v>0.000887</v>
      </c>
      <c r="AD17" t="s">
        <v>945</v>
      </c>
      <c r="AE17" t="s">
        <v>698</v>
      </c>
      <c r="AF17" t="str">
        <f>"0.000994"</f>
        <v>0.000994</v>
      </c>
      <c r="AG17" t="s">
        <v>717</v>
      </c>
      <c r="AH17" t="s">
        <v>584</v>
      </c>
      <c r="AI17" t="str">
        <f>"0.00199"</f>
        <v>0.00199</v>
      </c>
      <c r="AJ17" t="s">
        <v>435</v>
      </c>
      <c r="AK17" t="s">
        <v>789</v>
      </c>
      <c r="AL17" t="str">
        <f>"0.00207"</f>
        <v>0.00207</v>
      </c>
      <c r="AM17" t="s">
        <v>707</v>
      </c>
      <c r="AN17" t="s">
        <v>713</v>
      </c>
      <c r="AO17" t="str">
        <f>"0.00190"</f>
        <v>0.00190</v>
      </c>
      <c r="AP17" t="s">
        <v>738</v>
      </c>
      <c r="AQ17" t="s">
        <v>699</v>
      </c>
      <c r="AR17" t="str">
        <f>"0.00177"</f>
        <v>0.00177</v>
      </c>
      <c r="AS17" t="s">
        <v>786</v>
      </c>
      <c r="AT17" t="s">
        <v>590</v>
      </c>
      <c r="AU17" t="str">
        <f>"0.00198*"</f>
        <v>0.00198*</v>
      </c>
      <c r="AV17" t="s">
        <v>736</v>
      </c>
      <c r="AW17" t="s">
        <v>699</v>
      </c>
      <c r="AX17" t="str">
        <f>"0.00233**"</f>
        <v>0.00233**</v>
      </c>
      <c r="AY17" t="s">
        <v>730</v>
      </c>
      <c r="AZ17" t="s">
        <v>696</v>
      </c>
      <c r="BA17" t="str">
        <f>"0.00242**"</f>
        <v>0.00242**</v>
      </c>
      <c r="BB17" t="s">
        <v>927</v>
      </c>
      <c r="BC17" t="s">
        <v>699</v>
      </c>
      <c r="BD17" t="str">
        <f>"0.00245***"</f>
        <v>0.00245***</v>
      </c>
      <c r="BE17" t="s">
        <v>924</v>
      </c>
      <c r="BF17" t="s">
        <v>699</v>
      </c>
      <c r="BG17" t="str">
        <f>"0.00219***"</f>
        <v>0.00219***</v>
      </c>
      <c r="BH17" t="s">
        <v>927</v>
      </c>
      <c r="BI17" t="s">
        <v>690</v>
      </c>
      <c r="BJ17" t="str">
        <f>"0.00245***"</f>
        <v>0.00245***</v>
      </c>
      <c r="BK17" t="s">
        <v>718</v>
      </c>
      <c r="BL17" t="s">
        <v>829</v>
      </c>
      <c r="BM17" t="str">
        <f>"0.00253***"</f>
        <v>0.00253***</v>
      </c>
      <c r="BN17" t="s">
        <v>1459</v>
      </c>
      <c r="BO17" t="s">
        <v>829</v>
      </c>
      <c r="BP17" t="str">
        <f>"0.00261***"</f>
        <v>0.00261***</v>
      </c>
      <c r="BQ17" t="s">
        <v>695</v>
      </c>
      <c r="BR17" t="s">
        <v>590</v>
      </c>
      <c r="BS17" t="str">
        <f>"0.00277***"</f>
        <v>0.00277***</v>
      </c>
      <c r="BT17" t="s">
        <v>679</v>
      </c>
      <c r="BU17" t="s">
        <v>696</v>
      </c>
      <c r="BV17" t="str">
        <f>"0.00285***"</f>
        <v>0.00285***</v>
      </c>
      <c r="BW17" t="s">
        <v>679</v>
      </c>
      <c r="BX17" t="s">
        <v>671</v>
      </c>
      <c r="BY17" t="str">
        <f>"0.00289***"</f>
        <v>0.00289***</v>
      </c>
      <c r="BZ17" t="s">
        <v>1020</v>
      </c>
      <c r="CA17" t="s">
        <v>671</v>
      </c>
      <c r="CB17" t="str">
        <f>"0.00256***"</f>
        <v>0.00256***</v>
      </c>
      <c r="CC17" t="s">
        <v>695</v>
      </c>
      <c r="CD17" t="s">
        <v>829</v>
      </c>
      <c r="CE17" t="str">
        <f>"0.00213***"</f>
        <v>0.00213***</v>
      </c>
      <c r="CF17" t="s">
        <v>718</v>
      </c>
      <c r="CG17" t="s">
        <v>692</v>
      </c>
      <c r="CH17" t="str">
        <f>"0.00225***"</f>
        <v>0.00225***</v>
      </c>
      <c r="CI17" t="s">
        <v>1488</v>
      </c>
      <c r="CJ17" t="s">
        <v>690</v>
      </c>
      <c r="CK17" t="str">
        <f>"0.00244***"</f>
        <v>0.00244***</v>
      </c>
      <c r="CL17" t="s">
        <v>1459</v>
      </c>
      <c r="CM17" t="s">
        <v>603</v>
      </c>
      <c r="CN17" t="str">
        <f>"0.00240***"</f>
        <v>0.00240***</v>
      </c>
      <c r="CO17" t="s">
        <v>1488</v>
      </c>
      <c r="CP17" t="s">
        <v>603</v>
      </c>
      <c r="CQ17" t="str">
        <f>"0.00277***"</f>
        <v>0.00277***</v>
      </c>
      <c r="CR17" t="s">
        <v>986</v>
      </c>
      <c r="CS17" t="s">
        <v>696</v>
      </c>
      <c r="CT17" t="str">
        <f>"0.00287***"</f>
        <v>0.00287***</v>
      </c>
      <c r="CU17" t="s">
        <v>679</v>
      </c>
      <c r="CV17" t="s">
        <v>671</v>
      </c>
      <c r="CW17" t="str">
        <f>"0.00300***"</f>
        <v>0.00300***</v>
      </c>
      <c r="CX17" t="s">
        <v>1020</v>
      </c>
      <c r="CY17" t="s">
        <v>698</v>
      </c>
      <c r="CZ17" t="str">
        <f>"0.00293***"</f>
        <v>0.00293***</v>
      </c>
      <c r="DA17" t="s">
        <v>1020</v>
      </c>
      <c r="DB17" t="s">
        <v>584</v>
      </c>
      <c r="DC17" t="str">
        <f>"0.00287***"</f>
        <v>0.00287***</v>
      </c>
      <c r="DD17" t="s">
        <v>679</v>
      </c>
      <c r="DE17" t="s">
        <v>671</v>
      </c>
      <c r="DF17" t="str">
        <f>"0.00293***"</f>
        <v>0.00293***</v>
      </c>
      <c r="DG17" t="s">
        <v>1020</v>
      </c>
      <c r="DH17" t="s">
        <v>584</v>
      </c>
      <c r="DI17" t="str">
        <f>"0.00307***"</f>
        <v>0.00307***</v>
      </c>
      <c r="DJ17" t="s">
        <v>449</v>
      </c>
      <c r="DK17" t="s">
        <v>1087</v>
      </c>
      <c r="DL17" t="str">
        <f>"0.00293***"</f>
        <v>0.00293***</v>
      </c>
      <c r="DM17" t="s">
        <v>1020</v>
      </c>
      <c r="DN17" t="s">
        <v>584</v>
      </c>
      <c r="DO17" t="str">
        <f>"0.00302***"</f>
        <v>0.00302***</v>
      </c>
      <c r="DP17" t="s">
        <v>449</v>
      </c>
      <c r="DQ17" t="s">
        <v>698</v>
      </c>
      <c r="DR17" t="str">
        <f>"0.00318***"</f>
        <v>0.00318***</v>
      </c>
      <c r="DS17" t="s">
        <v>638</v>
      </c>
      <c r="DT17" t="s">
        <v>1087</v>
      </c>
      <c r="DU17" t="str">
        <f>"0.00333***"</f>
        <v>0.00333***</v>
      </c>
      <c r="DV17" t="s">
        <v>1460</v>
      </c>
      <c r="DW17" t="s">
        <v>605</v>
      </c>
      <c r="DX17" t="str">
        <f>"0.00333***"</f>
        <v>0.00333***</v>
      </c>
      <c r="DY17" t="s">
        <v>1460</v>
      </c>
      <c r="DZ17" t="s">
        <v>605</v>
      </c>
      <c r="EA17" t="str">
        <f>"0.00319***"</f>
        <v>0.00319***</v>
      </c>
      <c r="EB17" t="s">
        <v>638</v>
      </c>
      <c r="EC17" t="s">
        <v>928</v>
      </c>
      <c r="ED17" t="str">
        <f>"0.00324***"</f>
        <v>0.00324***</v>
      </c>
      <c r="EE17" t="s">
        <v>638</v>
      </c>
      <c r="EF17" t="s">
        <v>928</v>
      </c>
      <c r="EG17" t="str">
        <f>"0.00328***"</f>
        <v>0.00328***</v>
      </c>
      <c r="EH17" t="s">
        <v>1460</v>
      </c>
      <c r="EI17" t="s">
        <v>605</v>
      </c>
      <c r="EJ17" t="str">
        <f>"0.00333***"</f>
        <v>0.00333***</v>
      </c>
      <c r="EK17" t="s">
        <v>1460</v>
      </c>
      <c r="EL17" t="s">
        <v>951</v>
      </c>
      <c r="EM17" t="str">
        <f>"0.00325***"</f>
        <v>0.00325***</v>
      </c>
      <c r="EN17" t="s">
        <v>638</v>
      </c>
      <c r="EO17" t="s">
        <v>605</v>
      </c>
      <c r="EP17" t="str">
        <f>"0.00337***"</f>
        <v>0.00337***</v>
      </c>
      <c r="EQ17" t="s">
        <v>1460</v>
      </c>
      <c r="ER17" t="s">
        <v>951</v>
      </c>
      <c r="ES17" t="str">
        <f>"0.00357***"</f>
        <v>0.00357***</v>
      </c>
      <c r="ET17" t="s">
        <v>1462</v>
      </c>
      <c r="EU17" t="s">
        <v>713</v>
      </c>
      <c r="EV17" t="str">
        <f>"0.00346***"</f>
        <v>0.00346***</v>
      </c>
      <c r="EW17" t="s">
        <v>1461</v>
      </c>
      <c r="EX17" t="s">
        <v>925</v>
      </c>
      <c r="EY17" t="str">
        <f>"0.00365***"</f>
        <v>0.00365***</v>
      </c>
      <c r="EZ17" t="s">
        <v>1463</v>
      </c>
      <c r="FA17" t="s">
        <v>1467</v>
      </c>
      <c r="FB17" t="str">
        <f>"0.00393***"</f>
        <v>0.00393***</v>
      </c>
      <c r="FC17" t="s">
        <v>729</v>
      </c>
      <c r="FD17" t="s">
        <v>721</v>
      </c>
      <c r="FE17" t="str">
        <f>"0.00398***"</f>
        <v>0.00398***</v>
      </c>
      <c r="FF17" t="s">
        <v>729</v>
      </c>
      <c r="FG17" t="s">
        <v>710</v>
      </c>
      <c r="FH17" t="str">
        <f>"0.00404***"</f>
        <v>0.00404***</v>
      </c>
      <c r="FI17" t="s">
        <v>729</v>
      </c>
      <c r="FJ17" t="s">
        <v>710</v>
      </c>
      <c r="FK17" t="str">
        <f>"0.00394***"</f>
        <v>0.00394***</v>
      </c>
      <c r="FL17" t="s">
        <v>729</v>
      </c>
      <c r="FM17" t="s">
        <v>721</v>
      </c>
      <c r="FN17" t="str">
        <f>"0.00399***"</f>
        <v>0.00399***</v>
      </c>
      <c r="FO17" t="s">
        <v>729</v>
      </c>
      <c r="FP17" t="s">
        <v>710</v>
      </c>
      <c r="FQ17" t="str">
        <f>"0.00406***"</f>
        <v>0.00406***</v>
      </c>
      <c r="FR17" t="s">
        <v>729</v>
      </c>
      <c r="FS17" t="s">
        <v>655</v>
      </c>
      <c r="FT17" t="str">
        <f>"0.00413***"</f>
        <v>0.00413***</v>
      </c>
      <c r="FU17" t="s">
        <v>1050</v>
      </c>
      <c r="FV17" t="s">
        <v>669</v>
      </c>
      <c r="FW17" t="str">
        <f>"0.00399***"</f>
        <v>0.00399***</v>
      </c>
      <c r="FX17" t="s">
        <v>729</v>
      </c>
      <c r="FY17" t="s">
        <v>710</v>
      </c>
      <c r="FZ17" t="str">
        <f>"0.00397***"</f>
        <v>0.00397***</v>
      </c>
      <c r="GA17" t="s">
        <v>729</v>
      </c>
      <c r="GB17" t="s">
        <v>710</v>
      </c>
      <c r="GC17" t="str">
        <f>"0.00400***"</f>
        <v>0.00400***</v>
      </c>
      <c r="GD17" t="s">
        <v>729</v>
      </c>
      <c r="GE17" t="s">
        <v>710</v>
      </c>
      <c r="GF17" t="str">
        <f>"0.00397***"</f>
        <v>0.00397***</v>
      </c>
      <c r="GG17" t="s">
        <v>729</v>
      </c>
      <c r="GH17" t="s">
        <v>721</v>
      </c>
      <c r="GI17" t="str">
        <f>"0.00424***"</f>
        <v>0.00424***</v>
      </c>
      <c r="GJ17" t="s">
        <v>1465</v>
      </c>
      <c r="GK17" t="s">
        <v>1560</v>
      </c>
      <c r="GL17" t="str">
        <f>"0.00438***"</f>
        <v>0.00438***</v>
      </c>
      <c r="GM17" t="s">
        <v>441</v>
      </c>
      <c r="GN17" t="s">
        <v>613</v>
      </c>
      <c r="GO17" t="str">
        <f>"0.00455***"</f>
        <v>0.00455***</v>
      </c>
      <c r="GP17" t="s">
        <v>1466</v>
      </c>
      <c r="GQ17" t="s">
        <v>791</v>
      </c>
      <c r="GR17" t="str">
        <f>"0.00487***"</f>
        <v>0.00487***</v>
      </c>
      <c r="GS17" t="s">
        <v>712</v>
      </c>
      <c r="GT17" t="s">
        <v>567</v>
      </c>
      <c r="GU17" t="str">
        <f>"0.00500***"</f>
        <v>0.00500***</v>
      </c>
      <c r="GV17" t="s">
        <v>1037</v>
      </c>
      <c r="GW17" t="s">
        <v>568</v>
      </c>
      <c r="GX17" t="str">
        <f>"0.00499***"</f>
        <v>0.00499***</v>
      </c>
      <c r="GY17" t="s">
        <v>1037</v>
      </c>
      <c r="GZ17" t="s">
        <v>568</v>
      </c>
      <c r="HA17" t="str">
        <f>"0.00515***"</f>
        <v>0.00515***</v>
      </c>
      <c r="HB17" t="s">
        <v>728</v>
      </c>
      <c r="HC17" t="s">
        <v>680</v>
      </c>
      <c r="HD17" t="str">
        <f>"0.00515***"</f>
        <v>0.00515***</v>
      </c>
      <c r="HE17" t="s">
        <v>728</v>
      </c>
      <c r="HF17" t="s">
        <v>599</v>
      </c>
      <c r="HG17" t="str">
        <f>"0.00482***"</f>
        <v>0.00482***</v>
      </c>
      <c r="HH17" t="s">
        <v>712</v>
      </c>
      <c r="HI17" t="s">
        <v>723</v>
      </c>
      <c r="HJ17" t="str">
        <f>"0.00486***"</f>
        <v>0.00486***</v>
      </c>
      <c r="HK17" t="s">
        <v>712</v>
      </c>
      <c r="HL17" t="s">
        <v>723</v>
      </c>
      <c r="HM17" t="str">
        <f>"0.00526***"</f>
        <v>0.00526***</v>
      </c>
      <c r="HN17" t="s">
        <v>1121</v>
      </c>
      <c r="HO17" t="s">
        <v>1234</v>
      </c>
      <c r="HP17" t="str">
        <f>"0.00544***"</f>
        <v>0.00544***</v>
      </c>
      <c r="HQ17" t="s">
        <v>1081</v>
      </c>
      <c r="HR17" t="s">
        <v>653</v>
      </c>
      <c r="HS17" t="str">
        <f>"0.00562***"</f>
        <v>0.00562***</v>
      </c>
      <c r="HT17" t="s">
        <v>1468</v>
      </c>
      <c r="HU17" t="s">
        <v>3256</v>
      </c>
      <c r="HV17" t="str">
        <f>"0.00523***"</f>
        <v>0.00523***</v>
      </c>
      <c r="HW17" t="s">
        <v>728</v>
      </c>
      <c r="HX17" t="s">
        <v>1013</v>
      </c>
      <c r="HY17" t="str">
        <f>"0.00523***"</f>
        <v>0.00523***</v>
      </c>
      <c r="HZ17" t="s">
        <v>1037</v>
      </c>
      <c r="IA17" t="s">
        <v>594</v>
      </c>
      <c r="IB17" t="str">
        <f>"0.00569***"</f>
        <v>0.00569***</v>
      </c>
      <c r="IC17" t="s">
        <v>1081</v>
      </c>
      <c r="ID17" t="s">
        <v>577</v>
      </c>
      <c r="IE17" t="str">
        <f>"0.00596***"</f>
        <v>0.00596***</v>
      </c>
      <c r="IF17" t="s">
        <v>724</v>
      </c>
      <c r="IG17" t="s">
        <v>581</v>
      </c>
      <c r="IH17" t="str">
        <f>"0.00603***"</f>
        <v>0.00603***</v>
      </c>
      <c r="II17" t="s">
        <v>1468</v>
      </c>
      <c r="IJ17" t="s">
        <v>597</v>
      </c>
      <c r="IK17" t="str">
        <f>"0.00597***"</f>
        <v>0.00597***</v>
      </c>
      <c r="IL17" t="s">
        <v>1081</v>
      </c>
      <c r="IM17" t="s">
        <v>597</v>
      </c>
      <c r="IN17" t="str">
        <f>"0.00546***"</f>
        <v>0.00546***</v>
      </c>
      <c r="IO17" t="s">
        <v>712</v>
      </c>
      <c r="IP17" t="s">
        <v>579</v>
      </c>
      <c r="IQ17" t="str">
        <f>"0.00494***"</f>
        <v>0.00494***</v>
      </c>
      <c r="IR17" t="s">
        <v>1050</v>
      </c>
      <c r="IS17" t="s">
        <v>1013</v>
      </c>
      <c r="IT17" t="str">
        <f>"0.00484***"</f>
        <v>0.00484***</v>
      </c>
      <c r="IU17" t="s">
        <v>729</v>
      </c>
      <c r="IV17" t="s">
        <v>1013</v>
      </c>
      <c r="IW17" t="str">
        <f>"0.00497***"</f>
        <v>0.00497***</v>
      </c>
      <c r="IX17" t="s">
        <v>1464</v>
      </c>
      <c r="IY17" t="s">
        <v>1004</v>
      </c>
      <c r="IZ17" t="str">
        <f>"0.00494***"</f>
        <v>0.00494***</v>
      </c>
      <c r="JA17" t="s">
        <v>1464</v>
      </c>
      <c r="JB17" t="s">
        <v>1004</v>
      </c>
      <c r="JC17" t="str">
        <f>"0.00477***"</f>
        <v>0.00477***</v>
      </c>
      <c r="JD17" t="s">
        <v>1463</v>
      </c>
      <c r="JE17" t="s">
        <v>594</v>
      </c>
      <c r="JF17" t="str">
        <f>"0.00449***"</f>
        <v>0.00449***</v>
      </c>
      <c r="JG17" t="s">
        <v>1461</v>
      </c>
      <c r="JH17" t="s">
        <v>599</v>
      </c>
      <c r="JI17" t="str">
        <f>"0.00509***"</f>
        <v>0.00509***</v>
      </c>
      <c r="JJ17" t="s">
        <v>1462</v>
      </c>
      <c r="JK17" t="s">
        <v>657</v>
      </c>
      <c r="JL17" t="str">
        <f>"0.00516***"</f>
        <v>0.00516***</v>
      </c>
      <c r="JM17" t="s">
        <v>1461</v>
      </c>
      <c r="JN17" t="s">
        <v>581</v>
      </c>
      <c r="JO17" t="str">
        <f>"0.00519**"</f>
        <v>0.00519**</v>
      </c>
      <c r="JP17" t="s">
        <v>638</v>
      </c>
      <c r="JQ17" t="s">
        <v>570</v>
      </c>
      <c r="JR17" t="str">
        <f>"0.00450**"</f>
        <v>0.00450**</v>
      </c>
      <c r="JS17" t="s">
        <v>1488</v>
      </c>
      <c r="JT17" t="s">
        <v>577</v>
      </c>
      <c r="JU17" t="str">
        <f>"0.00390*"</f>
        <v>0.00390*</v>
      </c>
      <c r="JV17" t="s">
        <v>926</v>
      </c>
      <c r="JW17" t="s">
        <v>1234</v>
      </c>
      <c r="JX17" t="str">
        <f>"0.00425*"</f>
        <v>0.00425*</v>
      </c>
      <c r="JY17" t="s">
        <v>927</v>
      </c>
      <c r="JZ17" t="s">
        <v>673</v>
      </c>
      <c r="KA17" t="str">
        <f>"0.00394**"</f>
        <v>0.00394**</v>
      </c>
      <c r="KB17" t="s">
        <v>924</v>
      </c>
      <c r="KC17" t="s">
        <v>599</v>
      </c>
      <c r="KD17" t="str">
        <f>"0.00421*"</f>
        <v>0.00421*</v>
      </c>
      <c r="KE17" t="s">
        <v>722</v>
      </c>
      <c r="KF17" t="s">
        <v>581</v>
      </c>
      <c r="KG17" t="str">
        <f>"0.00258"</f>
        <v>0.00258</v>
      </c>
      <c r="KH17" t="s">
        <v>935</v>
      </c>
      <c r="KI17" t="s">
        <v>643</v>
      </c>
      <c r="KJ17" t="str">
        <f>"0.00240"</f>
        <v>0.00240</v>
      </c>
      <c r="KK17" t="s">
        <v>677</v>
      </c>
      <c r="KL17" t="s">
        <v>733</v>
      </c>
    </row>
    <row r="18" spans="1:298" x14ac:dyDescent="0.2">
      <c r="A18" t="str">
        <f>"unexplained"</f>
        <v>unexplained</v>
      </c>
      <c r="B18" t="str">
        <f>""</f>
        <v/>
      </c>
      <c r="C18" t="str">
        <f>""</f>
        <v/>
      </c>
      <c r="D18" t="str">
        <f>""</f>
        <v/>
      </c>
      <c r="E18" t="str">
        <f>""</f>
        <v/>
      </c>
      <c r="F18" t="str">
        <f>""</f>
        <v/>
      </c>
      <c r="G18" t="str">
        <f>""</f>
        <v/>
      </c>
      <c r="H18" t="str">
        <f>""</f>
        <v/>
      </c>
      <c r="I18" t="str">
        <f>""</f>
        <v/>
      </c>
      <c r="J18" t="str">
        <f>""</f>
        <v/>
      </c>
      <c r="K18" t="str">
        <f>""</f>
        <v/>
      </c>
      <c r="L18" t="str">
        <f>""</f>
        <v/>
      </c>
      <c r="M18" t="str">
        <f>""</f>
        <v/>
      </c>
      <c r="N18" t="str">
        <f>""</f>
        <v/>
      </c>
      <c r="O18" t="str">
        <f>""</f>
        <v/>
      </c>
      <c r="P18" t="str">
        <f>""</f>
        <v/>
      </c>
      <c r="Q18" t="str">
        <f>""</f>
        <v/>
      </c>
      <c r="R18" t="str">
        <f>""</f>
        <v/>
      </c>
      <c r="S18" t="str">
        <f>""</f>
        <v/>
      </c>
      <c r="T18" t="str">
        <f>""</f>
        <v/>
      </c>
      <c r="U18" t="str">
        <f>""</f>
        <v/>
      </c>
      <c r="V18" t="str">
        <f>""</f>
        <v/>
      </c>
      <c r="W18" t="str">
        <f>""</f>
        <v/>
      </c>
      <c r="X18" t="str">
        <f>""</f>
        <v/>
      </c>
      <c r="Y18" t="str">
        <f>""</f>
        <v/>
      </c>
      <c r="Z18" t="str">
        <f>""</f>
        <v/>
      </c>
      <c r="AA18" t="str">
        <f>""</f>
        <v/>
      </c>
      <c r="AB18" t="str">
        <f>""</f>
        <v/>
      </c>
      <c r="AC18" t="str">
        <f>""</f>
        <v/>
      </c>
      <c r="AD18" t="str">
        <f>""</f>
        <v/>
      </c>
      <c r="AE18" t="str">
        <f>""</f>
        <v/>
      </c>
      <c r="AF18" t="str">
        <f>""</f>
        <v/>
      </c>
      <c r="AG18" t="str">
        <f>""</f>
        <v/>
      </c>
      <c r="AH18" t="str">
        <f>""</f>
        <v/>
      </c>
      <c r="AI18" t="str">
        <f>""</f>
        <v/>
      </c>
      <c r="AJ18" t="str">
        <f>""</f>
        <v/>
      </c>
      <c r="AK18" t="str">
        <f>""</f>
        <v/>
      </c>
      <c r="AL18" t="str">
        <f>""</f>
        <v/>
      </c>
      <c r="AM18" t="str">
        <f>""</f>
        <v/>
      </c>
      <c r="AN18" t="str">
        <f>""</f>
        <v/>
      </c>
      <c r="AO18" t="str">
        <f>""</f>
        <v/>
      </c>
      <c r="AP18" t="str">
        <f>""</f>
        <v/>
      </c>
      <c r="AQ18" t="str">
        <f>""</f>
        <v/>
      </c>
      <c r="AR18" t="str">
        <f>""</f>
        <v/>
      </c>
      <c r="AS18" t="str">
        <f>""</f>
        <v/>
      </c>
      <c r="AT18" t="str">
        <f>""</f>
        <v/>
      </c>
      <c r="AU18" t="str">
        <f>""</f>
        <v/>
      </c>
      <c r="AV18" t="str">
        <f>""</f>
        <v/>
      </c>
      <c r="AW18" t="str">
        <f>""</f>
        <v/>
      </c>
      <c r="AX18" t="str">
        <f>""</f>
        <v/>
      </c>
      <c r="AY18" t="str">
        <f>""</f>
        <v/>
      </c>
      <c r="AZ18" t="str">
        <f>""</f>
        <v/>
      </c>
      <c r="BA18" t="str">
        <f>""</f>
        <v/>
      </c>
      <c r="BB18" t="str">
        <f>""</f>
        <v/>
      </c>
      <c r="BC18" t="str">
        <f>""</f>
        <v/>
      </c>
      <c r="BD18" t="str">
        <f>""</f>
        <v/>
      </c>
      <c r="BE18" t="str">
        <f>""</f>
        <v/>
      </c>
      <c r="BF18" t="str">
        <f>""</f>
        <v/>
      </c>
      <c r="BG18" t="str">
        <f>""</f>
        <v/>
      </c>
      <c r="BH18" t="str">
        <f>""</f>
        <v/>
      </c>
      <c r="BI18" t="str">
        <f>""</f>
        <v/>
      </c>
      <c r="BJ18" t="str">
        <f>""</f>
        <v/>
      </c>
      <c r="BK18" t="str">
        <f>""</f>
        <v/>
      </c>
      <c r="BL18" t="str">
        <f>""</f>
        <v/>
      </c>
      <c r="BM18" t="str">
        <f>""</f>
        <v/>
      </c>
      <c r="BN18" t="str">
        <f>""</f>
        <v/>
      </c>
      <c r="BO18" t="str">
        <f>""</f>
        <v/>
      </c>
      <c r="BP18" t="str">
        <f>""</f>
        <v/>
      </c>
      <c r="BQ18" t="str">
        <f>""</f>
        <v/>
      </c>
      <c r="BR18" t="str">
        <f>""</f>
        <v/>
      </c>
      <c r="BS18" t="str">
        <f>""</f>
        <v/>
      </c>
      <c r="BT18" t="str">
        <f>""</f>
        <v/>
      </c>
      <c r="BU18" t="str">
        <f>""</f>
        <v/>
      </c>
      <c r="BV18" t="str">
        <f>""</f>
        <v/>
      </c>
      <c r="BW18" t="str">
        <f>""</f>
        <v/>
      </c>
      <c r="BX18" t="str">
        <f>""</f>
        <v/>
      </c>
      <c r="BY18" t="str">
        <f>""</f>
        <v/>
      </c>
      <c r="BZ18" t="str">
        <f>""</f>
        <v/>
      </c>
      <c r="CA18" t="str">
        <f>""</f>
        <v/>
      </c>
      <c r="CB18" t="str">
        <f>""</f>
        <v/>
      </c>
      <c r="CC18" t="str">
        <f>""</f>
        <v/>
      </c>
      <c r="CD18" t="str">
        <f>""</f>
        <v/>
      </c>
      <c r="CE18" t="str">
        <f>""</f>
        <v/>
      </c>
      <c r="CF18" t="str">
        <f>""</f>
        <v/>
      </c>
      <c r="CG18" t="str">
        <f>""</f>
        <v/>
      </c>
      <c r="CH18" t="str">
        <f>""</f>
        <v/>
      </c>
      <c r="CI18" t="str">
        <f>""</f>
        <v/>
      </c>
      <c r="CJ18" t="str">
        <f>""</f>
        <v/>
      </c>
      <c r="CK18" t="str">
        <f>""</f>
        <v/>
      </c>
      <c r="CL18" t="str">
        <f>""</f>
        <v/>
      </c>
      <c r="CM18" t="str">
        <f>""</f>
        <v/>
      </c>
      <c r="CN18" t="str">
        <f>""</f>
        <v/>
      </c>
      <c r="CO18" t="str">
        <f>""</f>
        <v/>
      </c>
      <c r="CP18" t="str">
        <f>""</f>
        <v/>
      </c>
      <c r="CQ18" t="str">
        <f>""</f>
        <v/>
      </c>
      <c r="CR18" t="str">
        <f>""</f>
        <v/>
      </c>
      <c r="CS18" t="str">
        <f>""</f>
        <v/>
      </c>
      <c r="CT18" t="str">
        <f>""</f>
        <v/>
      </c>
      <c r="CU18" t="str">
        <f>""</f>
        <v/>
      </c>
      <c r="CV18" t="str">
        <f>""</f>
        <v/>
      </c>
      <c r="CW18" t="str">
        <f>""</f>
        <v/>
      </c>
      <c r="CX18" t="str">
        <f>""</f>
        <v/>
      </c>
      <c r="CY18" t="str">
        <f>""</f>
        <v/>
      </c>
      <c r="CZ18" t="str">
        <f>""</f>
        <v/>
      </c>
      <c r="DA18" t="str">
        <f>""</f>
        <v/>
      </c>
      <c r="DB18" t="str">
        <f>""</f>
        <v/>
      </c>
      <c r="DC18" t="str">
        <f>""</f>
        <v/>
      </c>
      <c r="DD18" t="str">
        <f>""</f>
        <v/>
      </c>
      <c r="DE18" t="str">
        <f>""</f>
        <v/>
      </c>
      <c r="DF18" t="str">
        <f>""</f>
        <v/>
      </c>
      <c r="DG18" t="str">
        <f>""</f>
        <v/>
      </c>
      <c r="DH18" t="str">
        <f>""</f>
        <v/>
      </c>
      <c r="DI18" t="str">
        <f>""</f>
        <v/>
      </c>
      <c r="DJ18" t="str">
        <f>""</f>
        <v/>
      </c>
      <c r="DK18" t="str">
        <f>""</f>
        <v/>
      </c>
      <c r="DL18" t="str">
        <f>""</f>
        <v/>
      </c>
      <c r="DM18" t="str">
        <f>""</f>
        <v/>
      </c>
      <c r="DN18" t="str">
        <f>""</f>
        <v/>
      </c>
      <c r="DO18" t="str">
        <f>""</f>
        <v/>
      </c>
      <c r="DP18" t="str">
        <f>""</f>
        <v/>
      </c>
      <c r="DQ18" t="str">
        <f>""</f>
        <v/>
      </c>
      <c r="DR18" t="str">
        <f>""</f>
        <v/>
      </c>
      <c r="DS18" t="str">
        <f>""</f>
        <v/>
      </c>
      <c r="DT18" t="str">
        <f>""</f>
        <v/>
      </c>
      <c r="DU18" t="str">
        <f>""</f>
        <v/>
      </c>
      <c r="DV18" t="str">
        <f>""</f>
        <v/>
      </c>
      <c r="DW18" t="str">
        <f>""</f>
        <v/>
      </c>
      <c r="DX18" t="str">
        <f>""</f>
        <v/>
      </c>
      <c r="DY18" t="str">
        <f>""</f>
        <v/>
      </c>
      <c r="DZ18" t="str">
        <f>""</f>
        <v/>
      </c>
      <c r="EA18" t="str">
        <f>""</f>
        <v/>
      </c>
      <c r="EB18" t="str">
        <f>""</f>
        <v/>
      </c>
      <c r="EC18" t="str">
        <f>""</f>
        <v/>
      </c>
      <c r="ED18" t="str">
        <f>""</f>
        <v/>
      </c>
      <c r="EE18" t="str">
        <f>""</f>
        <v/>
      </c>
      <c r="EF18" t="str">
        <f>""</f>
        <v/>
      </c>
      <c r="EG18" t="str">
        <f>""</f>
        <v/>
      </c>
      <c r="EH18" t="str">
        <f>""</f>
        <v/>
      </c>
      <c r="EI18" t="str">
        <f>""</f>
        <v/>
      </c>
      <c r="EJ18" t="str">
        <f>""</f>
        <v/>
      </c>
      <c r="EK18" t="str">
        <f>""</f>
        <v/>
      </c>
      <c r="EL18" t="str">
        <f>""</f>
        <v/>
      </c>
      <c r="EM18" t="str">
        <f>""</f>
        <v/>
      </c>
      <c r="EN18" t="str">
        <f>""</f>
        <v/>
      </c>
      <c r="EO18" t="str">
        <f>""</f>
        <v/>
      </c>
      <c r="EP18" t="str">
        <f>""</f>
        <v/>
      </c>
      <c r="EQ18" t="str">
        <f>""</f>
        <v/>
      </c>
      <c r="ER18" t="str">
        <f>""</f>
        <v/>
      </c>
      <c r="ES18" t="str">
        <f>""</f>
        <v/>
      </c>
      <c r="ET18" t="str">
        <f>""</f>
        <v/>
      </c>
      <c r="EU18" t="str">
        <f>""</f>
        <v/>
      </c>
      <c r="EV18" t="str">
        <f>""</f>
        <v/>
      </c>
      <c r="EW18" t="str">
        <f>""</f>
        <v/>
      </c>
      <c r="EX18" t="str">
        <f>""</f>
        <v/>
      </c>
      <c r="EY18" t="str">
        <f>""</f>
        <v/>
      </c>
      <c r="EZ18" t="str">
        <f>""</f>
        <v/>
      </c>
      <c r="FA18" t="str">
        <f>""</f>
        <v/>
      </c>
      <c r="FB18" t="str">
        <f>""</f>
        <v/>
      </c>
      <c r="FC18" t="str">
        <f>""</f>
        <v/>
      </c>
      <c r="FD18" t="str">
        <f>""</f>
        <v/>
      </c>
      <c r="FE18" t="str">
        <f>""</f>
        <v/>
      </c>
      <c r="FF18" t="str">
        <f>""</f>
        <v/>
      </c>
      <c r="FG18" t="str">
        <f>""</f>
        <v/>
      </c>
      <c r="FH18" t="str">
        <f>""</f>
        <v/>
      </c>
      <c r="FI18" t="str">
        <f>""</f>
        <v/>
      </c>
      <c r="FJ18" t="str">
        <f>""</f>
        <v/>
      </c>
      <c r="FK18" t="str">
        <f>""</f>
        <v/>
      </c>
      <c r="FL18" t="str">
        <f>""</f>
        <v/>
      </c>
      <c r="FM18" t="str">
        <f>""</f>
        <v/>
      </c>
      <c r="FN18" t="str">
        <f>""</f>
        <v/>
      </c>
      <c r="FO18" t="str">
        <f>""</f>
        <v/>
      </c>
      <c r="FP18" t="str">
        <f>""</f>
        <v/>
      </c>
      <c r="FQ18" t="str">
        <f>""</f>
        <v/>
      </c>
      <c r="FR18" t="str">
        <f>""</f>
        <v/>
      </c>
      <c r="FS18" t="str">
        <f>""</f>
        <v/>
      </c>
      <c r="FT18" t="str">
        <f>""</f>
        <v/>
      </c>
      <c r="FU18" t="str">
        <f>""</f>
        <v/>
      </c>
      <c r="FV18" t="str">
        <f>""</f>
        <v/>
      </c>
      <c r="FW18" t="str">
        <f>""</f>
        <v/>
      </c>
      <c r="FX18" t="str">
        <f>""</f>
        <v/>
      </c>
      <c r="FY18" t="str">
        <f>""</f>
        <v/>
      </c>
      <c r="FZ18" t="str">
        <f>""</f>
        <v/>
      </c>
      <c r="GA18" t="str">
        <f>""</f>
        <v/>
      </c>
      <c r="GB18" t="str">
        <f>""</f>
        <v/>
      </c>
      <c r="GC18" t="str">
        <f>""</f>
        <v/>
      </c>
      <c r="GD18" t="str">
        <f>""</f>
        <v/>
      </c>
      <c r="GE18" t="str">
        <f>""</f>
        <v/>
      </c>
      <c r="GF18" t="str">
        <f>""</f>
        <v/>
      </c>
      <c r="GG18" t="str">
        <f>""</f>
        <v/>
      </c>
      <c r="GH18" t="str">
        <f>""</f>
        <v/>
      </c>
      <c r="GI18" t="str">
        <f>""</f>
        <v/>
      </c>
      <c r="GJ18" t="str">
        <f>""</f>
        <v/>
      </c>
      <c r="GK18" t="str">
        <f>""</f>
        <v/>
      </c>
      <c r="GL18" t="str">
        <f>""</f>
        <v/>
      </c>
      <c r="GM18" t="str">
        <f>""</f>
        <v/>
      </c>
      <c r="GN18" t="str">
        <f>""</f>
        <v/>
      </c>
      <c r="GO18" t="str">
        <f>""</f>
        <v/>
      </c>
      <c r="GP18" t="str">
        <f>""</f>
        <v/>
      </c>
      <c r="GQ18" t="str">
        <f>""</f>
        <v/>
      </c>
    </row>
    <row r="19" spans="1:298" x14ac:dyDescent="0.2">
      <c r="A19" t="str">
        <f>"Educa√ß√£o"</f>
        <v>Educa√ß√£o</v>
      </c>
      <c r="B19" t="str">
        <f>"-0.0418"</f>
        <v>-0.0418</v>
      </c>
      <c r="C19" t="s">
        <v>5524</v>
      </c>
      <c r="D19" t="s">
        <v>1025</v>
      </c>
      <c r="E19" t="str">
        <f>"-0.0418"</f>
        <v>-0.0418</v>
      </c>
      <c r="F19" t="s">
        <v>5524</v>
      </c>
      <c r="G19" t="s">
        <v>1025</v>
      </c>
      <c r="H19" t="str">
        <f>"-0.0418"</f>
        <v>-0.0418</v>
      </c>
      <c r="I19" t="s">
        <v>5524</v>
      </c>
      <c r="J19" t="s">
        <v>1025</v>
      </c>
      <c r="K19" t="str">
        <f>"-1.042**"</f>
        <v>-1.042**</v>
      </c>
      <c r="L19" t="s">
        <v>5525</v>
      </c>
      <c r="M19" t="s">
        <v>5526</v>
      </c>
      <c r="N19" t="str">
        <f>"-0.145"</f>
        <v>-0.145</v>
      </c>
      <c r="O19" t="s">
        <v>5527</v>
      </c>
      <c r="P19" t="s">
        <v>5528</v>
      </c>
      <c r="Q19" t="str">
        <f>"-0.459*"</f>
        <v>-0.459*</v>
      </c>
      <c r="R19" t="s">
        <v>5529</v>
      </c>
      <c r="S19" t="s">
        <v>4551</v>
      </c>
      <c r="T19" t="str">
        <f>"-0.345*"</f>
        <v>-0.345*</v>
      </c>
      <c r="U19" t="s">
        <v>5530</v>
      </c>
      <c r="V19" t="s">
        <v>3290</v>
      </c>
      <c r="W19" t="str">
        <f>"-0.320*"</f>
        <v>-0.320*</v>
      </c>
      <c r="X19" t="s">
        <v>5531</v>
      </c>
      <c r="Y19" t="s">
        <v>5532</v>
      </c>
      <c r="Z19" t="str">
        <f>"-0.353*"</f>
        <v>-0.353*</v>
      </c>
      <c r="AA19" t="s">
        <v>5533</v>
      </c>
      <c r="AB19" t="s">
        <v>5534</v>
      </c>
      <c r="AC19" t="str">
        <f>"-0.337**"</f>
        <v>-0.337**</v>
      </c>
      <c r="AD19" t="s">
        <v>5535</v>
      </c>
      <c r="AE19" t="s">
        <v>5536</v>
      </c>
      <c r="AF19" t="str">
        <f>"-0.352**"</f>
        <v>-0.352**</v>
      </c>
      <c r="AG19" t="s">
        <v>5537</v>
      </c>
      <c r="AH19" t="s">
        <v>5538</v>
      </c>
      <c r="AI19" t="str">
        <f>"-0.419***"</f>
        <v>-0.419***</v>
      </c>
      <c r="AJ19" t="s">
        <v>5539</v>
      </c>
      <c r="AK19" t="s">
        <v>5540</v>
      </c>
      <c r="AL19" t="str">
        <f>"-0.424***"</f>
        <v>-0.424***</v>
      </c>
      <c r="AM19" t="s">
        <v>5541</v>
      </c>
      <c r="AN19" t="s">
        <v>5542</v>
      </c>
      <c r="AO19" t="str">
        <f>"-0.192**"</f>
        <v>-0.192**</v>
      </c>
      <c r="AP19" t="s">
        <v>5543</v>
      </c>
      <c r="AQ19" t="s">
        <v>5544</v>
      </c>
      <c r="AR19" t="str">
        <f>"-0.187**"</f>
        <v>-0.187**</v>
      </c>
      <c r="AS19" t="s">
        <v>5545</v>
      </c>
      <c r="AT19" t="s">
        <v>5546</v>
      </c>
      <c r="AU19" t="str">
        <f>"-0.294***"</f>
        <v>-0.294***</v>
      </c>
      <c r="AV19" t="s">
        <v>5547</v>
      </c>
      <c r="AW19" t="s">
        <v>5548</v>
      </c>
      <c r="AX19" t="str">
        <f>"-0.272***"</f>
        <v>-0.272***</v>
      </c>
      <c r="AY19" t="s">
        <v>5549</v>
      </c>
      <c r="AZ19" t="s">
        <v>5550</v>
      </c>
      <c r="BA19" t="str">
        <f>"-0.196***"</f>
        <v>-0.196***</v>
      </c>
      <c r="BB19" t="s">
        <v>5551</v>
      </c>
      <c r="BC19" t="s">
        <v>3123</v>
      </c>
      <c r="BD19" t="str">
        <f>"-0.218***"</f>
        <v>-0.218***</v>
      </c>
      <c r="BE19" t="s">
        <v>5552</v>
      </c>
      <c r="BF19" t="s">
        <v>5553</v>
      </c>
      <c r="BG19" t="str">
        <f>"-0.204***"</f>
        <v>-0.204***</v>
      </c>
      <c r="BH19" t="s">
        <v>5554</v>
      </c>
      <c r="BI19" t="s">
        <v>4798</v>
      </c>
      <c r="BJ19" t="str">
        <f>"-0.200***"</f>
        <v>-0.200***</v>
      </c>
      <c r="BK19" t="s">
        <v>5555</v>
      </c>
      <c r="BL19" t="s">
        <v>5556</v>
      </c>
      <c r="BM19" t="str">
        <f>"-0.137***"</f>
        <v>-0.137***</v>
      </c>
      <c r="BN19" t="s">
        <v>5557</v>
      </c>
      <c r="BO19" t="s">
        <v>5558</v>
      </c>
      <c r="BP19" t="str">
        <f>"-0.122***"</f>
        <v>-0.122***</v>
      </c>
      <c r="BQ19" t="s">
        <v>5559</v>
      </c>
      <c r="BR19" t="s">
        <v>3813</v>
      </c>
      <c r="BS19" t="str">
        <f>"-0.119***"</f>
        <v>-0.119***</v>
      </c>
      <c r="BT19" t="s">
        <v>5560</v>
      </c>
      <c r="BU19" t="s">
        <v>3777</v>
      </c>
      <c r="BV19" t="str">
        <f>"-0.121***"</f>
        <v>-0.121***</v>
      </c>
      <c r="BW19" t="s">
        <v>5561</v>
      </c>
      <c r="BX19" t="s">
        <v>5562</v>
      </c>
      <c r="BY19" t="str">
        <f>"-0.108***"</f>
        <v>-0.108***</v>
      </c>
      <c r="BZ19" t="s">
        <v>5563</v>
      </c>
      <c r="CA19" t="s">
        <v>5564</v>
      </c>
      <c r="CB19" t="str">
        <f>"-0.116***"</f>
        <v>-0.116***</v>
      </c>
      <c r="CC19" t="s">
        <v>5565</v>
      </c>
      <c r="CD19" t="s">
        <v>4694</v>
      </c>
      <c r="CE19" t="str">
        <f>"-0.119***"</f>
        <v>-0.119***</v>
      </c>
      <c r="CF19" t="s">
        <v>5566</v>
      </c>
      <c r="CG19" t="s">
        <v>3815</v>
      </c>
      <c r="CH19" t="str">
        <f>"-0.117***"</f>
        <v>-0.117***</v>
      </c>
      <c r="CI19" t="s">
        <v>5567</v>
      </c>
      <c r="CJ19" t="s">
        <v>4694</v>
      </c>
      <c r="CK19" t="str">
        <f>"-0.123***"</f>
        <v>-0.123***</v>
      </c>
      <c r="CL19" t="s">
        <v>5568</v>
      </c>
      <c r="CM19" t="s">
        <v>5569</v>
      </c>
      <c r="CN19" t="str">
        <f>"-0.127***"</f>
        <v>-0.127***</v>
      </c>
      <c r="CO19" t="s">
        <v>1284</v>
      </c>
      <c r="CP19" t="s">
        <v>5570</v>
      </c>
      <c r="CQ19" t="str">
        <f>"-0.110***"</f>
        <v>-0.110***</v>
      </c>
      <c r="CR19" t="s">
        <v>5571</v>
      </c>
      <c r="CS19" t="s">
        <v>4266</v>
      </c>
      <c r="CT19" t="str">
        <f>"-0.115***"</f>
        <v>-0.115***</v>
      </c>
      <c r="CU19" t="s">
        <v>5572</v>
      </c>
      <c r="CV19" t="s">
        <v>5573</v>
      </c>
      <c r="CW19" t="str">
        <f>"-0.104***"</f>
        <v>-0.104***</v>
      </c>
      <c r="CX19" t="s">
        <v>5574</v>
      </c>
      <c r="CY19" t="s">
        <v>1331</v>
      </c>
      <c r="CZ19" t="str">
        <f>"-0.107***"</f>
        <v>-0.107***</v>
      </c>
      <c r="DA19" t="s">
        <v>5575</v>
      </c>
      <c r="DB19" t="s">
        <v>5576</v>
      </c>
      <c r="DC19" t="str">
        <f>"-0.0892**"</f>
        <v>-0.0892**</v>
      </c>
      <c r="DD19" t="s">
        <v>5577</v>
      </c>
      <c r="DE19" t="s">
        <v>5578</v>
      </c>
      <c r="DF19" t="str">
        <f>"-0.0830**"</f>
        <v>-0.0830**</v>
      </c>
      <c r="DG19" t="s">
        <v>5579</v>
      </c>
      <c r="DH19" t="s">
        <v>5580</v>
      </c>
      <c r="DI19" t="str">
        <f>"-0.0787**"</f>
        <v>-0.0787**</v>
      </c>
      <c r="DJ19" t="s">
        <v>5581</v>
      </c>
      <c r="DK19" t="s">
        <v>5582</v>
      </c>
      <c r="DL19" t="str">
        <f>"-0.0803**"</f>
        <v>-0.0803**</v>
      </c>
      <c r="DM19" t="s">
        <v>5583</v>
      </c>
      <c r="DN19" t="s">
        <v>1697</v>
      </c>
      <c r="DO19" t="str">
        <f>"-0.0869**"</f>
        <v>-0.0869**</v>
      </c>
      <c r="DP19" t="s">
        <v>5584</v>
      </c>
      <c r="DQ19" t="s">
        <v>4733</v>
      </c>
      <c r="DR19" t="str">
        <f>"-0.0791**"</f>
        <v>-0.0791**</v>
      </c>
      <c r="DS19" t="s">
        <v>5585</v>
      </c>
      <c r="DT19" t="s">
        <v>5327</v>
      </c>
      <c r="DU19" t="str">
        <f>"-0.0878**"</f>
        <v>-0.0878**</v>
      </c>
      <c r="DV19" t="s">
        <v>5586</v>
      </c>
      <c r="DW19" t="s">
        <v>5587</v>
      </c>
      <c r="DX19" t="str">
        <f>"-0.0928**"</f>
        <v>-0.0928**</v>
      </c>
      <c r="DY19" t="s">
        <v>5588</v>
      </c>
      <c r="DZ19" t="s">
        <v>2790</v>
      </c>
      <c r="EA19" t="str">
        <f>"-0.0930**"</f>
        <v>-0.0930**</v>
      </c>
      <c r="EB19" t="s">
        <v>5588</v>
      </c>
      <c r="EC19" t="s">
        <v>5589</v>
      </c>
      <c r="ED19" t="str">
        <f>"-0.0782**"</f>
        <v>-0.0782**</v>
      </c>
      <c r="EE19" t="s">
        <v>3085</v>
      </c>
      <c r="EF19" t="s">
        <v>3017</v>
      </c>
      <c r="EG19" t="str">
        <f>"-0.0770**"</f>
        <v>-0.0770**</v>
      </c>
      <c r="EH19" t="s">
        <v>5590</v>
      </c>
      <c r="EI19" t="s">
        <v>5398</v>
      </c>
      <c r="EJ19" t="str">
        <f>"-0.0718*"</f>
        <v>-0.0718*</v>
      </c>
      <c r="EK19" t="s">
        <v>5591</v>
      </c>
      <c r="EL19" t="s">
        <v>5394</v>
      </c>
      <c r="EM19" t="str">
        <f>"-0.0788**"</f>
        <v>-0.0788**</v>
      </c>
      <c r="EN19" t="s">
        <v>5592</v>
      </c>
      <c r="EO19" t="s">
        <v>5593</v>
      </c>
      <c r="EP19" t="str">
        <f>"-0.0661*"</f>
        <v>-0.0661*</v>
      </c>
      <c r="EQ19" t="s">
        <v>5594</v>
      </c>
      <c r="ER19" t="s">
        <v>3720</v>
      </c>
      <c r="ES19" t="str">
        <f>"-0.0708*"</f>
        <v>-0.0708*</v>
      </c>
      <c r="ET19" t="s">
        <v>5595</v>
      </c>
      <c r="EU19" t="s">
        <v>4535</v>
      </c>
      <c r="EV19" t="str">
        <f>"-0.0785**"</f>
        <v>-0.0785**</v>
      </c>
      <c r="EW19" t="s">
        <v>5596</v>
      </c>
      <c r="EX19" t="s">
        <v>4519</v>
      </c>
      <c r="EY19" t="str">
        <f>"-0.0605*"</f>
        <v>-0.0605*</v>
      </c>
      <c r="EZ19" t="s">
        <v>1310</v>
      </c>
      <c r="FA19" t="s">
        <v>949</v>
      </c>
      <c r="FB19" t="str">
        <f>"-0.0606*"</f>
        <v>-0.0606*</v>
      </c>
      <c r="FC19" t="s">
        <v>5597</v>
      </c>
      <c r="FD19" t="s">
        <v>1502</v>
      </c>
      <c r="FE19" t="str">
        <f>"-0.0540"</f>
        <v>-0.0540</v>
      </c>
      <c r="FF19" t="s">
        <v>5598</v>
      </c>
      <c r="FG19" t="s">
        <v>699</v>
      </c>
      <c r="FH19" t="str">
        <f>"-0.0602*"</f>
        <v>-0.0602*</v>
      </c>
      <c r="FI19" t="s">
        <v>1701</v>
      </c>
      <c r="FJ19" t="s">
        <v>1502</v>
      </c>
      <c r="FK19" t="str">
        <f>"-0.0573*"</f>
        <v>-0.0573*</v>
      </c>
      <c r="FL19" t="s">
        <v>5599</v>
      </c>
      <c r="FM19" t="s">
        <v>1119</v>
      </c>
      <c r="FN19" t="str">
        <f>"-0.0709*"</f>
        <v>-0.0709*</v>
      </c>
      <c r="FO19" t="s">
        <v>5600</v>
      </c>
      <c r="FP19" t="s">
        <v>5601</v>
      </c>
      <c r="FQ19" t="str">
        <f>"-0.0659*"</f>
        <v>-0.0659*</v>
      </c>
      <c r="FR19" t="s">
        <v>5602</v>
      </c>
      <c r="FS19" t="s">
        <v>898</v>
      </c>
      <c r="FT19" t="str">
        <f>"-0.0695*"</f>
        <v>-0.0695*</v>
      </c>
      <c r="FU19" t="s">
        <v>5603</v>
      </c>
      <c r="FV19" t="s">
        <v>3530</v>
      </c>
      <c r="FW19" t="str">
        <f>"-0.0675*"</f>
        <v>-0.0675*</v>
      </c>
      <c r="FX19" t="s">
        <v>5604</v>
      </c>
      <c r="FY19" t="s">
        <v>1307</v>
      </c>
      <c r="FZ19" t="str">
        <f>"-0.0740**"</f>
        <v>-0.0740**</v>
      </c>
      <c r="GA19" t="s">
        <v>5605</v>
      </c>
      <c r="GB19" t="s">
        <v>3024</v>
      </c>
      <c r="GC19" t="str">
        <f>"-0.0798**"</f>
        <v>-0.0798**</v>
      </c>
      <c r="GD19" t="s">
        <v>5606</v>
      </c>
      <c r="GE19" t="s">
        <v>4260</v>
      </c>
      <c r="GF19" t="str">
        <f>"-0.0818**"</f>
        <v>-0.0818**</v>
      </c>
      <c r="GG19" t="s">
        <v>5607</v>
      </c>
      <c r="GH19" t="s">
        <v>5287</v>
      </c>
      <c r="GI19" t="str">
        <f>"-0.0825**"</f>
        <v>-0.0825**</v>
      </c>
      <c r="GJ19" t="s">
        <v>5585</v>
      </c>
      <c r="GK19" t="s">
        <v>1327</v>
      </c>
      <c r="GL19" t="str">
        <f>"-0.0896**"</f>
        <v>-0.0896**</v>
      </c>
      <c r="GM19" t="s">
        <v>5608</v>
      </c>
      <c r="GN19" t="s">
        <v>1182</v>
      </c>
      <c r="GO19" t="str">
        <f>"-0.110***"</f>
        <v>-0.110***</v>
      </c>
      <c r="GP19" t="s">
        <v>5566</v>
      </c>
      <c r="GQ19" t="s">
        <v>1374</v>
      </c>
      <c r="GR19" t="str">
        <f>"-0.108***"</f>
        <v>-0.108***</v>
      </c>
      <c r="GS19" t="s">
        <v>5609</v>
      </c>
      <c r="GT19" t="s">
        <v>5610</v>
      </c>
      <c r="GU19" t="str">
        <f>"-0.0919**"</f>
        <v>-0.0919**</v>
      </c>
      <c r="GV19" t="s">
        <v>5611</v>
      </c>
      <c r="GW19" t="s">
        <v>5328</v>
      </c>
      <c r="GX19" t="str">
        <f>"-0.0647*"</f>
        <v>-0.0647*</v>
      </c>
      <c r="GY19" t="s">
        <v>5454</v>
      </c>
      <c r="GZ19" t="s">
        <v>1500</v>
      </c>
      <c r="HA19" t="str">
        <f>"-0.0399"</f>
        <v>-0.0399</v>
      </c>
      <c r="HB19" t="s">
        <v>5612</v>
      </c>
      <c r="HC19" t="s">
        <v>1072</v>
      </c>
      <c r="HD19" t="str">
        <f>"-0.0273"</f>
        <v>-0.0273</v>
      </c>
      <c r="HE19" t="s">
        <v>5613</v>
      </c>
      <c r="HF19" t="s">
        <v>553</v>
      </c>
      <c r="HG19" t="str">
        <f>"-0.0167"</f>
        <v>-0.0167</v>
      </c>
      <c r="HH19" t="s">
        <v>5614</v>
      </c>
      <c r="HI19" t="s">
        <v>3615</v>
      </c>
      <c r="HJ19" t="str">
        <f>"-0.0119"</f>
        <v>-0.0119</v>
      </c>
      <c r="HK19" t="s">
        <v>3036</v>
      </c>
      <c r="HL19" t="s">
        <v>3589</v>
      </c>
      <c r="HM19" t="str">
        <f>"-0.00302"</f>
        <v>-0.00302</v>
      </c>
      <c r="HN19" t="s">
        <v>3362</v>
      </c>
      <c r="HO19" t="s">
        <v>3670</v>
      </c>
      <c r="HP19" t="str">
        <f>"-0.00921"</f>
        <v>-0.00921</v>
      </c>
      <c r="HQ19" t="s">
        <v>5401</v>
      </c>
      <c r="HR19" t="s">
        <v>4709</v>
      </c>
      <c r="HS19" t="str">
        <f>"-0.00792"</f>
        <v>-0.00792</v>
      </c>
      <c r="HT19" t="s">
        <v>3833</v>
      </c>
      <c r="HU19" t="s">
        <v>517</v>
      </c>
      <c r="HV19" t="str">
        <f>"-0.0464"</f>
        <v>-0.0464</v>
      </c>
      <c r="HW19" t="s">
        <v>5615</v>
      </c>
      <c r="HX19" t="s">
        <v>946</v>
      </c>
      <c r="HY19" t="str">
        <f>"-0.0256"</f>
        <v>-0.0256</v>
      </c>
      <c r="HZ19" t="s">
        <v>5616</v>
      </c>
      <c r="IA19" t="s">
        <v>2886</v>
      </c>
      <c r="IB19" t="str">
        <f>"-0.0549"</f>
        <v>-0.0549</v>
      </c>
      <c r="IC19" t="s">
        <v>5617</v>
      </c>
      <c r="ID19" t="s">
        <v>723</v>
      </c>
      <c r="IE19" t="str">
        <f>"-0.0709*"</f>
        <v>-0.0709*</v>
      </c>
      <c r="IF19" t="s">
        <v>5618</v>
      </c>
      <c r="IG19" t="s">
        <v>1101</v>
      </c>
      <c r="IH19" t="str">
        <f>"-0.0591"</f>
        <v>-0.0591</v>
      </c>
      <c r="II19" t="s">
        <v>5595</v>
      </c>
      <c r="IJ19" t="s">
        <v>1082</v>
      </c>
      <c r="IK19" t="str">
        <f>"-0.0816*"</f>
        <v>-0.0816*</v>
      </c>
      <c r="IL19" t="s">
        <v>5619</v>
      </c>
      <c r="IM19" t="s">
        <v>4484</v>
      </c>
      <c r="IN19" t="str">
        <f>"-0.0888**"</f>
        <v>-0.0888**</v>
      </c>
      <c r="IO19" t="s">
        <v>5620</v>
      </c>
      <c r="IP19" t="s">
        <v>1249</v>
      </c>
      <c r="IQ19" t="str">
        <f>"-0.0982**"</f>
        <v>-0.0982**</v>
      </c>
      <c r="IR19" t="s">
        <v>5621</v>
      </c>
      <c r="IS19" t="s">
        <v>5622</v>
      </c>
      <c r="IT19" t="str">
        <f>"-0.0719*"</f>
        <v>-0.0719*</v>
      </c>
      <c r="IU19" t="s">
        <v>5623</v>
      </c>
      <c r="IV19" t="s">
        <v>1395</v>
      </c>
      <c r="IW19" t="str">
        <f>"-0.0744*"</f>
        <v>-0.0744*</v>
      </c>
      <c r="IX19" t="s">
        <v>5624</v>
      </c>
      <c r="IY19" t="s">
        <v>5625</v>
      </c>
      <c r="IZ19" t="str">
        <f>"-0.0508"</f>
        <v>-0.0508</v>
      </c>
      <c r="JA19" t="s">
        <v>3094</v>
      </c>
      <c r="JB19" t="s">
        <v>1540</v>
      </c>
      <c r="JC19" t="str">
        <f>"-0.0282"</f>
        <v>-0.0282</v>
      </c>
      <c r="JD19" t="s">
        <v>5626</v>
      </c>
      <c r="JE19" t="s">
        <v>1625</v>
      </c>
      <c r="JF19" t="str">
        <f>"-0.0298"</f>
        <v>-0.0298</v>
      </c>
      <c r="JG19" t="s">
        <v>5627</v>
      </c>
      <c r="JH19" t="s">
        <v>1930</v>
      </c>
      <c r="JI19" t="str">
        <f>"-0.0986*"</f>
        <v>-0.0986*</v>
      </c>
      <c r="JJ19" t="s">
        <v>5628</v>
      </c>
      <c r="JK19" t="s">
        <v>3583</v>
      </c>
      <c r="JL19" t="str">
        <f>"-0.111*"</f>
        <v>-0.111*</v>
      </c>
      <c r="JM19" t="s">
        <v>5629</v>
      </c>
      <c r="JN19" t="s">
        <v>5630</v>
      </c>
      <c r="JO19" t="str">
        <f>"-0.126**"</f>
        <v>-0.126**</v>
      </c>
      <c r="JP19" t="s">
        <v>5631</v>
      </c>
      <c r="JQ19" t="s">
        <v>5289</v>
      </c>
      <c r="JR19" t="str">
        <f>"-0.120*"</f>
        <v>-0.120*</v>
      </c>
      <c r="JS19" t="s">
        <v>5632</v>
      </c>
      <c r="JT19" t="s">
        <v>857</v>
      </c>
      <c r="JU19" t="str">
        <f>"-0.0423"</f>
        <v>-0.0423</v>
      </c>
      <c r="JV19" t="s">
        <v>5633</v>
      </c>
      <c r="JW19" t="s">
        <v>5634</v>
      </c>
      <c r="JX19" t="str">
        <f>"-0.0363"</f>
        <v>-0.0363</v>
      </c>
      <c r="JY19" t="s">
        <v>3876</v>
      </c>
      <c r="JZ19" t="s">
        <v>4663</v>
      </c>
      <c r="KA19" t="str">
        <f>"-0.00919"</f>
        <v>-0.00919</v>
      </c>
      <c r="KB19" t="s">
        <v>4752</v>
      </c>
      <c r="KC19" t="s">
        <v>4656</v>
      </c>
      <c r="KD19" t="str">
        <f>"-0.0200"</f>
        <v>-0.0200</v>
      </c>
      <c r="KE19" t="s">
        <v>5635</v>
      </c>
      <c r="KF19" t="s">
        <v>4138</v>
      </c>
      <c r="KG19" t="str">
        <f>"-0.0870"</f>
        <v>-0.0870</v>
      </c>
      <c r="KH19" t="s">
        <v>4299</v>
      </c>
      <c r="KI19" t="s">
        <v>784</v>
      </c>
      <c r="KJ19" t="str">
        <f>"-0.237**"</f>
        <v>-0.237**</v>
      </c>
      <c r="KK19" t="s">
        <v>5636</v>
      </c>
      <c r="KL19" t="s">
        <v>5637</v>
      </c>
    </row>
    <row r="20" spans="1:298" x14ac:dyDescent="0.2">
      <c r="A20" t="str">
        <f>"Experi√™ncia"</f>
        <v>Experi√™ncia</v>
      </c>
      <c r="B20" t="str">
        <f>"0.00649"</f>
        <v>0.00649</v>
      </c>
      <c r="C20" t="s">
        <v>499</v>
      </c>
      <c r="D20" t="s">
        <v>4462</v>
      </c>
      <c r="E20" t="str">
        <f>"0.00649"</f>
        <v>0.00649</v>
      </c>
      <c r="F20" t="s">
        <v>499</v>
      </c>
      <c r="G20" t="s">
        <v>4462</v>
      </c>
      <c r="H20" t="str">
        <f>"0.00649"</f>
        <v>0.00649</v>
      </c>
      <c r="I20" t="s">
        <v>499</v>
      </c>
      <c r="J20" t="s">
        <v>4462</v>
      </c>
      <c r="K20" t="str">
        <f>"-0.416*"</f>
        <v>-0.416*</v>
      </c>
      <c r="L20" t="s">
        <v>5638</v>
      </c>
      <c r="M20" t="s">
        <v>3275</v>
      </c>
      <c r="N20" t="str">
        <f>"-0.136"</f>
        <v>-0.136</v>
      </c>
      <c r="O20" t="s">
        <v>5639</v>
      </c>
      <c r="P20" t="s">
        <v>5640</v>
      </c>
      <c r="Q20" t="str">
        <f>"-0.168"</f>
        <v>-0.168</v>
      </c>
      <c r="R20" t="s">
        <v>5641</v>
      </c>
      <c r="S20" t="s">
        <v>966</v>
      </c>
      <c r="T20" t="str">
        <f>"-0.0669"</f>
        <v>-0.0669</v>
      </c>
      <c r="U20" t="s">
        <v>5642</v>
      </c>
      <c r="V20" t="s">
        <v>5643</v>
      </c>
      <c r="W20" t="str">
        <f>"-0.107"</f>
        <v>-0.107</v>
      </c>
      <c r="X20" t="s">
        <v>5644</v>
      </c>
      <c r="Y20" t="s">
        <v>1937</v>
      </c>
      <c r="Z20" t="str">
        <f>"-0.112"</f>
        <v>-0.112</v>
      </c>
      <c r="AA20" t="s">
        <v>5645</v>
      </c>
      <c r="AB20" t="s">
        <v>559</v>
      </c>
      <c r="AC20" t="str">
        <f>"-0.136*"</f>
        <v>-0.136*</v>
      </c>
      <c r="AD20" t="s">
        <v>5646</v>
      </c>
      <c r="AE20" t="s">
        <v>688</v>
      </c>
      <c r="AF20" t="str">
        <f>"-0.144*"</f>
        <v>-0.144*</v>
      </c>
      <c r="AG20" t="s">
        <v>5647</v>
      </c>
      <c r="AH20" t="s">
        <v>5648</v>
      </c>
      <c r="AI20" t="str">
        <f>"-0.120*"</f>
        <v>-0.120*</v>
      </c>
      <c r="AJ20" t="s">
        <v>1441</v>
      </c>
      <c r="AK20" t="s">
        <v>3562</v>
      </c>
      <c r="AL20" t="str">
        <f>"-0.145**"</f>
        <v>-0.145**</v>
      </c>
      <c r="AM20" t="s">
        <v>5649</v>
      </c>
      <c r="AN20" t="s">
        <v>4730</v>
      </c>
      <c r="AO20" t="str">
        <f>"-0.0462"</f>
        <v>-0.0462</v>
      </c>
      <c r="AP20" t="s">
        <v>5650</v>
      </c>
      <c r="AQ20" t="s">
        <v>1954</v>
      </c>
      <c r="AR20" t="str">
        <f>"-0.0294"</f>
        <v>-0.0294</v>
      </c>
      <c r="AS20" t="s">
        <v>5651</v>
      </c>
      <c r="AT20" t="s">
        <v>507</v>
      </c>
      <c r="AU20" t="str">
        <f>"-0.102**"</f>
        <v>-0.102**</v>
      </c>
      <c r="AV20" t="s">
        <v>4581</v>
      </c>
      <c r="AW20" t="s">
        <v>5652</v>
      </c>
      <c r="AX20" t="str">
        <f>"-0.0978***"</f>
        <v>-0.0978***</v>
      </c>
      <c r="AY20" t="s">
        <v>3876</v>
      </c>
      <c r="AZ20" t="s">
        <v>5653</v>
      </c>
      <c r="BA20" t="str">
        <f>"-0.0618**"</f>
        <v>-0.0618**</v>
      </c>
      <c r="BB20" t="s">
        <v>5654</v>
      </c>
      <c r="BC20" t="s">
        <v>3530</v>
      </c>
      <c r="BD20" t="str">
        <f>"-0.0796***"</f>
        <v>-0.0796***</v>
      </c>
      <c r="BE20" t="s">
        <v>1174</v>
      </c>
      <c r="BF20" t="s">
        <v>871</v>
      </c>
      <c r="BG20" t="str">
        <f>"-0.0968***"</f>
        <v>-0.0968***</v>
      </c>
      <c r="BH20" t="s">
        <v>277</v>
      </c>
      <c r="BI20" t="s">
        <v>5655</v>
      </c>
      <c r="BJ20" t="str">
        <f>"-0.111***"</f>
        <v>-0.111***</v>
      </c>
      <c r="BK20" t="s">
        <v>5656</v>
      </c>
      <c r="BL20" t="s">
        <v>3098</v>
      </c>
      <c r="BM20" t="str">
        <f>"-0.0669***"</f>
        <v>-0.0669***</v>
      </c>
      <c r="BN20" t="s">
        <v>5657</v>
      </c>
      <c r="BO20" t="s">
        <v>5658</v>
      </c>
      <c r="BP20" t="str">
        <f>"-0.0600**"</f>
        <v>-0.0600**</v>
      </c>
      <c r="BQ20" t="s">
        <v>5659</v>
      </c>
      <c r="BR20" t="s">
        <v>4673</v>
      </c>
      <c r="BS20" t="str">
        <f>"-0.0575**"</f>
        <v>-0.0575**</v>
      </c>
      <c r="BT20" t="s">
        <v>1277</v>
      </c>
      <c r="BU20" t="s">
        <v>2845</v>
      </c>
      <c r="BV20" t="str">
        <f>"-0.0818***"</f>
        <v>-0.0818***</v>
      </c>
      <c r="BW20" t="s">
        <v>5660</v>
      </c>
      <c r="BX20" t="s">
        <v>5661</v>
      </c>
      <c r="BY20" t="str">
        <f>"-0.0765***"</f>
        <v>-0.0765***</v>
      </c>
      <c r="BZ20" t="s">
        <v>459</v>
      </c>
      <c r="CA20" t="s">
        <v>3805</v>
      </c>
      <c r="CB20" t="str">
        <f>"-0.0731***"</f>
        <v>-0.0731***</v>
      </c>
      <c r="CC20" t="s">
        <v>5662</v>
      </c>
      <c r="CD20" t="s">
        <v>862</v>
      </c>
      <c r="CE20" t="str">
        <f>"-0.0763***"</f>
        <v>-0.0763***</v>
      </c>
      <c r="CF20" t="s">
        <v>5663</v>
      </c>
      <c r="CG20" t="s">
        <v>1408</v>
      </c>
      <c r="CH20" t="str">
        <f>"-0.0873***"</f>
        <v>-0.0873***</v>
      </c>
      <c r="CI20" t="s">
        <v>4685</v>
      </c>
      <c r="CJ20" t="s">
        <v>876</v>
      </c>
      <c r="CK20" t="str">
        <f>"-0.0792***"</f>
        <v>-0.0792***</v>
      </c>
      <c r="CL20" t="s">
        <v>3094</v>
      </c>
      <c r="CM20" t="s">
        <v>5664</v>
      </c>
      <c r="CN20" t="str">
        <f>"-0.0891***"</f>
        <v>-0.0891***</v>
      </c>
      <c r="CO20" t="s">
        <v>5665</v>
      </c>
      <c r="CP20" t="s">
        <v>1406</v>
      </c>
      <c r="CQ20" t="str">
        <f>"-0.0885***"</f>
        <v>-0.0885***</v>
      </c>
      <c r="CR20" t="s">
        <v>1170</v>
      </c>
      <c r="CS20" t="s">
        <v>5666</v>
      </c>
      <c r="CT20" t="str">
        <f>"-0.0918***"</f>
        <v>-0.0918***</v>
      </c>
      <c r="CU20" t="s">
        <v>2798</v>
      </c>
      <c r="CV20" t="s">
        <v>5667</v>
      </c>
      <c r="CW20" t="str">
        <f>"-0.0901***"</f>
        <v>-0.0901***</v>
      </c>
      <c r="CX20" t="s">
        <v>5668</v>
      </c>
      <c r="CY20" t="s">
        <v>5669</v>
      </c>
      <c r="CZ20" t="str">
        <f>"-0.0900***"</f>
        <v>-0.0900***</v>
      </c>
      <c r="DA20" t="s">
        <v>5668</v>
      </c>
      <c r="DB20" t="s">
        <v>867</v>
      </c>
      <c r="DC20" t="str">
        <f>"-0.0670**"</f>
        <v>-0.0670**</v>
      </c>
      <c r="DD20" t="s">
        <v>5670</v>
      </c>
      <c r="DE20" t="s">
        <v>5648</v>
      </c>
      <c r="DF20" t="str">
        <f>"-0.0659**"</f>
        <v>-0.0659**</v>
      </c>
      <c r="DG20" t="s">
        <v>5671</v>
      </c>
      <c r="DH20" t="s">
        <v>4532</v>
      </c>
      <c r="DI20" t="str">
        <f>"-0.0501*"</f>
        <v>-0.0501*</v>
      </c>
      <c r="DJ20" t="s">
        <v>5672</v>
      </c>
      <c r="DK20" t="s">
        <v>688</v>
      </c>
      <c r="DL20" t="str">
        <f>"-0.0527*"</f>
        <v>-0.0527*</v>
      </c>
      <c r="DM20" t="s">
        <v>5659</v>
      </c>
      <c r="DN20" t="s">
        <v>1245</v>
      </c>
      <c r="DO20" t="str">
        <f>"-0.0501*"</f>
        <v>-0.0501*</v>
      </c>
      <c r="DP20" t="s">
        <v>5350</v>
      </c>
      <c r="DQ20" t="s">
        <v>822</v>
      </c>
      <c r="DR20" t="str">
        <f>"-0.0534*"</f>
        <v>-0.0534*</v>
      </c>
      <c r="DS20" t="s">
        <v>5673</v>
      </c>
      <c r="DT20" t="s">
        <v>3531</v>
      </c>
      <c r="DU20" t="str">
        <f>"-0.0475*"</f>
        <v>-0.0475*</v>
      </c>
      <c r="DV20" t="s">
        <v>4825</v>
      </c>
      <c r="DW20" t="s">
        <v>949</v>
      </c>
      <c r="DX20" t="str">
        <f>"-0.0400"</f>
        <v>-0.0400</v>
      </c>
      <c r="DY20" t="s">
        <v>5674</v>
      </c>
      <c r="DZ20" t="s">
        <v>928</v>
      </c>
      <c r="EA20" t="str">
        <f>"-0.0512*"</f>
        <v>-0.0512*</v>
      </c>
      <c r="EB20" t="s">
        <v>5675</v>
      </c>
      <c r="EC20" t="s">
        <v>4478</v>
      </c>
      <c r="ED20" t="str">
        <f>"-0.0484*"</f>
        <v>-0.0484*</v>
      </c>
      <c r="EE20" t="s">
        <v>4837</v>
      </c>
      <c r="EF20" t="s">
        <v>3271</v>
      </c>
      <c r="EG20" t="str">
        <f>"-0.0542*"</f>
        <v>-0.0542*</v>
      </c>
      <c r="EH20" t="s">
        <v>5425</v>
      </c>
      <c r="EI20" t="s">
        <v>4715</v>
      </c>
      <c r="EJ20" t="str">
        <f>"-0.0602**"</f>
        <v>-0.0602**</v>
      </c>
      <c r="EK20" t="s">
        <v>5676</v>
      </c>
      <c r="EL20" t="s">
        <v>1347</v>
      </c>
      <c r="EM20" t="str">
        <f>"-0.0586*"</f>
        <v>-0.0586*</v>
      </c>
      <c r="EN20" t="s">
        <v>3383</v>
      </c>
      <c r="EO20" t="s">
        <v>843</v>
      </c>
      <c r="EP20" t="str">
        <f>"-0.0426"</f>
        <v>-0.0426</v>
      </c>
      <c r="EQ20" t="s">
        <v>4684</v>
      </c>
      <c r="ER20" t="s">
        <v>1087</v>
      </c>
      <c r="ES20" t="str">
        <f>"-0.0421"</f>
        <v>-0.0421</v>
      </c>
      <c r="ET20" t="s">
        <v>3660</v>
      </c>
      <c r="EU20" t="s">
        <v>721</v>
      </c>
      <c r="EV20" t="str">
        <f>"-0.0464"</f>
        <v>-0.0464</v>
      </c>
      <c r="EW20" t="s">
        <v>3066</v>
      </c>
      <c r="EX20" t="s">
        <v>938</v>
      </c>
      <c r="EY20" t="str">
        <f>"-0.0339"</f>
        <v>-0.0339</v>
      </c>
      <c r="EZ20" t="s">
        <v>1183</v>
      </c>
      <c r="FA20" t="s">
        <v>1676</v>
      </c>
      <c r="FB20" t="str">
        <f>"-0.0330"</f>
        <v>-0.0330</v>
      </c>
      <c r="FC20" t="s">
        <v>5677</v>
      </c>
      <c r="FD20" t="s">
        <v>1670</v>
      </c>
      <c r="FE20" t="str">
        <f>"-0.0331"</f>
        <v>-0.0331</v>
      </c>
      <c r="FF20" t="s">
        <v>3079</v>
      </c>
      <c r="FG20" t="s">
        <v>1023</v>
      </c>
      <c r="FH20" t="str">
        <f>"-0.0334"</f>
        <v>-0.0334</v>
      </c>
      <c r="FI20" t="s">
        <v>3079</v>
      </c>
      <c r="FJ20" t="s">
        <v>742</v>
      </c>
      <c r="FK20" t="str">
        <f>"-0.0200"</f>
        <v>-0.0200</v>
      </c>
      <c r="FL20" t="s">
        <v>5678</v>
      </c>
      <c r="FM20" t="s">
        <v>3532</v>
      </c>
      <c r="FN20" t="str">
        <f>"-0.0203"</f>
        <v>-0.0203</v>
      </c>
      <c r="FO20" t="s">
        <v>5678</v>
      </c>
      <c r="FP20" t="s">
        <v>637</v>
      </c>
      <c r="FQ20" t="str">
        <f>"-0.0266"</f>
        <v>-0.0266</v>
      </c>
      <c r="FR20" t="s">
        <v>5279</v>
      </c>
      <c r="FS20" t="s">
        <v>5522</v>
      </c>
      <c r="FT20" t="str">
        <f>"-0.0283"</f>
        <v>-0.0283</v>
      </c>
      <c r="FU20" t="s">
        <v>3836</v>
      </c>
      <c r="FV20" t="s">
        <v>947</v>
      </c>
      <c r="FW20" t="str">
        <f>"-0.0236"</f>
        <v>-0.0236</v>
      </c>
      <c r="FX20" t="s">
        <v>3700</v>
      </c>
      <c r="FY20" t="s">
        <v>985</v>
      </c>
      <c r="FZ20" t="str">
        <f>"-0.0305"</f>
        <v>-0.0305</v>
      </c>
      <c r="GA20" t="s">
        <v>5679</v>
      </c>
      <c r="GB20" t="s">
        <v>522</v>
      </c>
      <c r="GC20" t="str">
        <f>"-0.0356"</f>
        <v>-0.0356</v>
      </c>
      <c r="GD20" t="s">
        <v>5680</v>
      </c>
      <c r="GE20" t="s">
        <v>653</v>
      </c>
      <c r="GF20" t="str">
        <f>"-0.0418"</f>
        <v>-0.0418</v>
      </c>
      <c r="GG20" t="s">
        <v>3553</v>
      </c>
      <c r="GH20" t="s">
        <v>934</v>
      </c>
      <c r="GI20" t="str">
        <f>"-0.0385"</f>
        <v>-0.0385</v>
      </c>
      <c r="GJ20" t="s">
        <v>5681</v>
      </c>
      <c r="GK20" t="s">
        <v>568</v>
      </c>
      <c r="GL20" t="str">
        <f>"-0.0499*"</f>
        <v>-0.0499*</v>
      </c>
      <c r="GM20" t="s">
        <v>5682</v>
      </c>
      <c r="GN20" t="s">
        <v>1089</v>
      </c>
      <c r="GO20" t="str">
        <f>"-0.0679**"</f>
        <v>-0.0679**</v>
      </c>
      <c r="GP20" t="s">
        <v>1310</v>
      </c>
      <c r="GQ20" t="s">
        <v>5345</v>
      </c>
      <c r="GR20" t="str">
        <f>"-0.0709**"</f>
        <v>-0.0709**</v>
      </c>
      <c r="GS20" t="s">
        <v>5683</v>
      </c>
      <c r="GT20" t="s">
        <v>855</v>
      </c>
      <c r="GU20" t="str">
        <f>"-0.0663*"</f>
        <v>-0.0663*</v>
      </c>
      <c r="GV20" t="s">
        <v>5684</v>
      </c>
      <c r="GW20" t="s">
        <v>1237</v>
      </c>
      <c r="GX20" t="str">
        <f>"-0.0517"</f>
        <v>-0.0517</v>
      </c>
      <c r="GY20" t="s">
        <v>457</v>
      </c>
      <c r="GZ20" t="s">
        <v>667</v>
      </c>
      <c r="HA20" t="str">
        <f>"-0.0229"</f>
        <v>-0.0229</v>
      </c>
      <c r="HB20" t="s">
        <v>3695</v>
      </c>
      <c r="HC20" t="s">
        <v>5498</v>
      </c>
      <c r="HD20" t="str">
        <f>"-0.0215"</f>
        <v>-0.0215</v>
      </c>
      <c r="HE20" t="s">
        <v>5685</v>
      </c>
      <c r="HF20" t="s">
        <v>3358</v>
      </c>
      <c r="HG20" t="str">
        <f>"-0.0129"</f>
        <v>-0.0129</v>
      </c>
      <c r="HH20" t="s">
        <v>3053</v>
      </c>
      <c r="HI20" t="s">
        <v>5686</v>
      </c>
      <c r="HJ20" t="str">
        <f>"-0.00908"</f>
        <v>-0.00908</v>
      </c>
      <c r="HK20" t="s">
        <v>5687</v>
      </c>
      <c r="HL20" t="s">
        <v>3639</v>
      </c>
      <c r="HM20" t="str">
        <f>"-0.0120"</f>
        <v>-0.0120</v>
      </c>
      <c r="HN20" t="s">
        <v>5688</v>
      </c>
      <c r="HO20" t="s">
        <v>3338</v>
      </c>
      <c r="HP20" t="str">
        <f>"-0.0128"</f>
        <v>-0.0128</v>
      </c>
      <c r="HQ20" t="s">
        <v>5420</v>
      </c>
      <c r="HR20" t="s">
        <v>5689</v>
      </c>
      <c r="HS20" t="str">
        <f>"-0.0280"</f>
        <v>-0.0280</v>
      </c>
      <c r="HT20" t="s">
        <v>5690</v>
      </c>
      <c r="HU20" t="s">
        <v>3633</v>
      </c>
      <c r="HV20" t="str">
        <f>"-0.0445"</f>
        <v>-0.0445</v>
      </c>
      <c r="HW20" t="s">
        <v>5691</v>
      </c>
      <c r="HX20" t="s">
        <v>731</v>
      </c>
      <c r="HY20" t="str">
        <f>"-0.0541"</f>
        <v>-0.0541</v>
      </c>
      <c r="HZ20" t="s">
        <v>5692</v>
      </c>
      <c r="IA20" t="s">
        <v>665</v>
      </c>
      <c r="IB20" t="str">
        <f>"-0.0569"</f>
        <v>-0.0569</v>
      </c>
      <c r="IC20" t="s">
        <v>5693</v>
      </c>
      <c r="ID20" t="s">
        <v>733</v>
      </c>
      <c r="IE20" t="str">
        <f>"-0.0569"</f>
        <v>-0.0569</v>
      </c>
      <c r="IF20" t="s">
        <v>2993</v>
      </c>
      <c r="IG20" t="s">
        <v>3259</v>
      </c>
      <c r="IH20" t="str">
        <f>"-0.0791*"</f>
        <v>-0.0791*</v>
      </c>
      <c r="II20" t="s">
        <v>5694</v>
      </c>
      <c r="IJ20" t="s">
        <v>821</v>
      </c>
      <c r="IK20" t="str">
        <f>"-0.115**"</f>
        <v>-0.115**</v>
      </c>
      <c r="IL20" t="s">
        <v>5695</v>
      </c>
      <c r="IM20" t="s">
        <v>4580</v>
      </c>
      <c r="IN20" t="str">
        <f>"-0.115**"</f>
        <v>-0.115**</v>
      </c>
      <c r="IO20" t="s">
        <v>5696</v>
      </c>
      <c r="IP20" t="s">
        <v>3865</v>
      </c>
      <c r="IQ20" t="str">
        <f>"-0.113**"</f>
        <v>-0.113**</v>
      </c>
      <c r="IR20" t="s">
        <v>3118</v>
      </c>
      <c r="IS20" t="s">
        <v>4560</v>
      </c>
      <c r="IT20" t="str">
        <f>"-0.0861*"</f>
        <v>-0.0861*</v>
      </c>
      <c r="IU20" t="s">
        <v>5697</v>
      </c>
      <c r="IV20" t="s">
        <v>851</v>
      </c>
      <c r="IW20" t="str">
        <f>"-0.113**"</f>
        <v>-0.113**</v>
      </c>
      <c r="IX20" t="s">
        <v>5698</v>
      </c>
      <c r="IY20" t="s">
        <v>5699</v>
      </c>
      <c r="IZ20" t="str">
        <f>"-0.0784"</f>
        <v>-0.0784</v>
      </c>
      <c r="JA20" t="s">
        <v>5700</v>
      </c>
      <c r="JB20" t="s">
        <v>800</v>
      </c>
      <c r="JC20" t="str">
        <f>"-0.0562"</f>
        <v>-0.0562</v>
      </c>
      <c r="JD20" t="s">
        <v>5701</v>
      </c>
      <c r="JE20" t="s">
        <v>542</v>
      </c>
      <c r="JF20" t="str">
        <f>"-0.0413"</f>
        <v>-0.0413</v>
      </c>
      <c r="JG20" t="s">
        <v>1322</v>
      </c>
      <c r="JH20" t="s">
        <v>3150</v>
      </c>
      <c r="JI20" t="str">
        <f>"-0.141**"</f>
        <v>-0.141**</v>
      </c>
      <c r="JJ20" t="s">
        <v>5702</v>
      </c>
      <c r="JK20" t="s">
        <v>250</v>
      </c>
      <c r="JL20" t="str">
        <f>"-0.129**"</f>
        <v>-0.129**</v>
      </c>
      <c r="JM20" t="s">
        <v>1154</v>
      </c>
      <c r="JN20" t="s">
        <v>5703</v>
      </c>
      <c r="JO20" t="str">
        <f>"-0.151***"</f>
        <v>-0.151***</v>
      </c>
      <c r="JP20" t="s">
        <v>5704</v>
      </c>
      <c r="JQ20" t="s">
        <v>1416</v>
      </c>
      <c r="JR20" t="str">
        <f>"-0.131**"</f>
        <v>-0.131**</v>
      </c>
      <c r="JS20" t="s">
        <v>5705</v>
      </c>
      <c r="JT20" t="s">
        <v>5706</v>
      </c>
      <c r="JU20" t="str">
        <f>"-0.0667"</f>
        <v>-0.0667</v>
      </c>
      <c r="JV20" t="s">
        <v>3787</v>
      </c>
      <c r="JW20" t="s">
        <v>3449</v>
      </c>
      <c r="JX20" t="str">
        <f>"-0.0613"</f>
        <v>-0.0613</v>
      </c>
      <c r="JY20" t="s">
        <v>5707</v>
      </c>
      <c r="JZ20" t="s">
        <v>1149</v>
      </c>
      <c r="KA20" t="str">
        <f>"-0.132**"</f>
        <v>-0.132**</v>
      </c>
      <c r="KB20" t="s">
        <v>5708</v>
      </c>
      <c r="KC20" t="s">
        <v>4543</v>
      </c>
      <c r="KD20" t="str">
        <f>"-0.145*"</f>
        <v>-0.145*</v>
      </c>
      <c r="KE20" t="s">
        <v>5709</v>
      </c>
      <c r="KF20" t="s">
        <v>4476</v>
      </c>
      <c r="KG20" t="str">
        <f>"-0.110"</f>
        <v>-0.110</v>
      </c>
      <c r="KH20" t="s">
        <v>5710</v>
      </c>
      <c r="KI20" t="s">
        <v>989</v>
      </c>
      <c r="KJ20" t="str">
        <f>"-0.317**"</f>
        <v>-0.317**</v>
      </c>
      <c r="KK20" t="s">
        <v>5711</v>
      </c>
      <c r="KL20" t="s">
        <v>1166</v>
      </c>
    </row>
    <row r="21" spans="1:298" x14ac:dyDescent="0.2">
      <c r="A21" t="str">
        <f>"feminino"</f>
        <v>feminino</v>
      </c>
      <c r="B21" t="str">
        <f>"0.00155"</f>
        <v>0.00155</v>
      </c>
      <c r="C21" t="s">
        <v>670</v>
      </c>
      <c r="D21" t="s">
        <v>653</v>
      </c>
      <c r="E21" t="str">
        <f>"0.00155"</f>
        <v>0.00155</v>
      </c>
      <c r="F21" t="s">
        <v>670</v>
      </c>
      <c r="G21" t="s">
        <v>653</v>
      </c>
      <c r="H21" t="str">
        <f>"0.00155"</f>
        <v>0.00155</v>
      </c>
      <c r="I21" t="s">
        <v>670</v>
      </c>
      <c r="J21" t="s">
        <v>653</v>
      </c>
      <c r="K21" t="str">
        <f>"0.0351"</f>
        <v>0.0351</v>
      </c>
      <c r="L21" t="s">
        <v>1179</v>
      </c>
      <c r="M21" t="s">
        <v>300</v>
      </c>
      <c r="N21" t="str">
        <f>"-0.0195"</f>
        <v>-0.0195</v>
      </c>
      <c r="O21" t="s">
        <v>5712</v>
      </c>
      <c r="P21" t="s">
        <v>1070</v>
      </c>
      <c r="Q21" t="str">
        <f>"0.00131"</f>
        <v>0.00131</v>
      </c>
      <c r="R21" t="s">
        <v>569</v>
      </c>
      <c r="S21" t="s">
        <v>3693</v>
      </c>
      <c r="T21" t="str">
        <f>"-0.0146"</f>
        <v>-0.0146</v>
      </c>
      <c r="U21" t="s">
        <v>3578</v>
      </c>
      <c r="V21" t="s">
        <v>1029</v>
      </c>
      <c r="W21" t="str">
        <f>"-0.00443"</f>
        <v>-0.00443</v>
      </c>
      <c r="X21" t="s">
        <v>5713</v>
      </c>
      <c r="Y21" t="s">
        <v>559</v>
      </c>
      <c r="Z21" t="str">
        <f>"0.000848"</f>
        <v>0.000848</v>
      </c>
      <c r="AA21" t="s">
        <v>836</v>
      </c>
      <c r="AB21" t="s">
        <v>1175</v>
      </c>
      <c r="AC21" t="str">
        <f>"-0.00571"</f>
        <v>-0.00571</v>
      </c>
      <c r="AD21" t="s">
        <v>541</v>
      </c>
      <c r="AE21" t="s">
        <v>1665</v>
      </c>
      <c r="AF21" t="str">
        <f>"0.00480"</f>
        <v>0.00480</v>
      </c>
      <c r="AG21" t="s">
        <v>803</v>
      </c>
      <c r="AH21" t="s">
        <v>551</v>
      </c>
      <c r="AI21" t="str">
        <f>"0.00245"</f>
        <v>0.00245</v>
      </c>
      <c r="AJ21" t="s">
        <v>2826</v>
      </c>
      <c r="AK21" t="s">
        <v>559</v>
      </c>
      <c r="AL21" t="str">
        <f>"0.00841"</f>
        <v>0.00841</v>
      </c>
      <c r="AM21" t="s">
        <v>3299</v>
      </c>
      <c r="AN21" t="s">
        <v>611</v>
      </c>
      <c r="AO21" t="str">
        <f>"-0.00811"</f>
        <v>-0.00811</v>
      </c>
      <c r="AP21" t="s">
        <v>3528</v>
      </c>
      <c r="AQ21" t="s">
        <v>643</v>
      </c>
      <c r="AR21" t="str">
        <f>"-0.00884"</f>
        <v>-0.00884</v>
      </c>
      <c r="AS21" t="s">
        <v>1092</v>
      </c>
      <c r="AT21" t="s">
        <v>592</v>
      </c>
      <c r="AU21" t="str">
        <f>"0.00194"</f>
        <v>0.00194</v>
      </c>
      <c r="AV21" t="s">
        <v>349</v>
      </c>
      <c r="AW21" t="s">
        <v>625</v>
      </c>
      <c r="AX21" t="str">
        <f>"0.00339"</f>
        <v>0.00339</v>
      </c>
      <c r="AY21" t="s">
        <v>664</v>
      </c>
      <c r="AZ21" t="s">
        <v>3259</v>
      </c>
      <c r="BA21" t="str">
        <f>"0.000498"</f>
        <v>0.000498</v>
      </c>
      <c r="BB21" t="s">
        <v>1717</v>
      </c>
      <c r="BC21" t="s">
        <v>1009</v>
      </c>
      <c r="BD21" t="str">
        <f>"0.00417"</f>
        <v>0.00417</v>
      </c>
      <c r="BE21" t="s">
        <v>697</v>
      </c>
      <c r="BF21" t="s">
        <v>1551</v>
      </c>
      <c r="BG21" t="str">
        <f>"0.00519"</f>
        <v>0.00519</v>
      </c>
      <c r="BH21" t="s">
        <v>720</v>
      </c>
      <c r="BI21" t="s">
        <v>1551</v>
      </c>
      <c r="BJ21" t="str">
        <f>"0.00721*"</f>
        <v>0.00721*</v>
      </c>
      <c r="BK21" t="s">
        <v>708</v>
      </c>
      <c r="BL21" t="s">
        <v>530</v>
      </c>
      <c r="BM21" t="str">
        <f>"0.00218"</f>
        <v>0.00218</v>
      </c>
      <c r="BN21" t="s">
        <v>910</v>
      </c>
      <c r="BO21" t="s">
        <v>694</v>
      </c>
      <c r="BP21" t="str">
        <f>"0.00489"</f>
        <v>0.00489</v>
      </c>
      <c r="BQ21" t="s">
        <v>717</v>
      </c>
      <c r="BR21" t="s">
        <v>1551</v>
      </c>
      <c r="BS21" t="str">
        <f>"0.00488"</f>
        <v>0.00488</v>
      </c>
      <c r="BT21" t="s">
        <v>717</v>
      </c>
      <c r="BU21" t="s">
        <v>1551</v>
      </c>
      <c r="BV21" t="str">
        <f>"0.00664"</f>
        <v>0.00664</v>
      </c>
      <c r="BW21" t="s">
        <v>1458</v>
      </c>
      <c r="BX21" t="s">
        <v>625</v>
      </c>
      <c r="BY21" t="str">
        <f>"0.00342"</f>
        <v>0.00342</v>
      </c>
      <c r="BZ21" t="s">
        <v>700</v>
      </c>
      <c r="CA21" t="s">
        <v>678</v>
      </c>
      <c r="CB21" t="str">
        <f>"0.00442"</f>
        <v>0.00442</v>
      </c>
      <c r="CC21" t="s">
        <v>911</v>
      </c>
      <c r="CD21" t="s">
        <v>1001</v>
      </c>
      <c r="CE21" t="str">
        <f>"0.00525"</f>
        <v>0.00525</v>
      </c>
      <c r="CF21" t="s">
        <v>652</v>
      </c>
      <c r="CG21" t="s">
        <v>1054</v>
      </c>
      <c r="CH21" t="str">
        <f>"0.00705"</f>
        <v>0.00705</v>
      </c>
      <c r="CI21" t="s">
        <v>1458</v>
      </c>
      <c r="CJ21" t="s">
        <v>642</v>
      </c>
      <c r="CK21" t="str">
        <f>"0.00825*"</f>
        <v>0.00825*</v>
      </c>
      <c r="CL21" t="s">
        <v>730</v>
      </c>
      <c r="CM21" t="s">
        <v>607</v>
      </c>
      <c r="CN21" t="str">
        <f>"0.00758"</f>
        <v>0.00758</v>
      </c>
      <c r="CO21" t="s">
        <v>738</v>
      </c>
      <c r="CP21" t="s">
        <v>983</v>
      </c>
      <c r="CQ21" t="str">
        <f>"0.00642"</f>
        <v>0.00642</v>
      </c>
      <c r="CR21" t="s">
        <v>681</v>
      </c>
      <c r="CS21" t="s">
        <v>971</v>
      </c>
      <c r="CT21" t="str">
        <f>"0.00497"</f>
        <v>0.00497</v>
      </c>
      <c r="CU21" t="s">
        <v>697</v>
      </c>
      <c r="CV21" t="s">
        <v>2828</v>
      </c>
      <c r="CW21" t="str">
        <f>"0.00533"</f>
        <v>0.00533</v>
      </c>
      <c r="CX21" t="s">
        <v>700</v>
      </c>
      <c r="CY21" t="s">
        <v>747</v>
      </c>
      <c r="CZ21" t="str">
        <f>"0.00477"</f>
        <v>0.00477</v>
      </c>
      <c r="DA21" t="s">
        <v>663</v>
      </c>
      <c r="DB21" t="s">
        <v>943</v>
      </c>
      <c r="DC21" t="str">
        <f>"0.0000695"</f>
        <v>0.0000695</v>
      </c>
      <c r="DD21" t="s">
        <v>965</v>
      </c>
      <c r="DE21" t="s">
        <v>1009</v>
      </c>
      <c r="DF21" t="str">
        <f>"-0.00266"</f>
        <v>-0.00266</v>
      </c>
      <c r="DG21" t="s">
        <v>2832</v>
      </c>
      <c r="DH21" t="s">
        <v>680</v>
      </c>
      <c r="DI21" t="str">
        <f>"-0.00334"</f>
        <v>-0.00334</v>
      </c>
      <c r="DJ21" t="s">
        <v>1178</v>
      </c>
      <c r="DK21" t="s">
        <v>665</v>
      </c>
      <c r="DL21" t="str">
        <f>"-0.00211"</f>
        <v>-0.00211</v>
      </c>
      <c r="DM21" t="s">
        <v>1112</v>
      </c>
      <c r="DN21" t="s">
        <v>1004</v>
      </c>
      <c r="DO21" t="str">
        <f>"-0.00370"</f>
        <v>-0.00370</v>
      </c>
      <c r="DP21" t="s">
        <v>3013</v>
      </c>
      <c r="DQ21" t="s">
        <v>613</v>
      </c>
      <c r="DR21" t="str">
        <f>"-0.00217"</f>
        <v>-0.00217</v>
      </c>
      <c r="DS21" t="s">
        <v>1112</v>
      </c>
      <c r="DT21" t="s">
        <v>1004</v>
      </c>
      <c r="DU21" t="str">
        <f>"-0.000812"</f>
        <v>-0.000812</v>
      </c>
      <c r="DV21" t="s">
        <v>831</v>
      </c>
      <c r="DW21" t="s">
        <v>582</v>
      </c>
      <c r="DX21" t="str">
        <f>"-0.00196"</f>
        <v>-0.00196</v>
      </c>
      <c r="DY21" t="s">
        <v>788</v>
      </c>
      <c r="DZ21" t="s">
        <v>673</v>
      </c>
      <c r="EA21" t="str">
        <f>"0.00209"</f>
        <v>0.00209</v>
      </c>
      <c r="EB21" t="s">
        <v>656</v>
      </c>
      <c r="EC21" t="s">
        <v>1075</v>
      </c>
      <c r="ED21" t="str">
        <f>"0.00392"</f>
        <v>0.00392</v>
      </c>
      <c r="EE21" t="s">
        <v>1514</v>
      </c>
      <c r="EF21" t="s">
        <v>625</v>
      </c>
      <c r="EG21" t="str">
        <f>"0.00316"</f>
        <v>0.00316</v>
      </c>
      <c r="EH21" t="s">
        <v>3557</v>
      </c>
      <c r="EI21" t="s">
        <v>1548</v>
      </c>
      <c r="EJ21" t="str">
        <f>"0.00605"</f>
        <v>0.00605</v>
      </c>
      <c r="EK21" t="s">
        <v>697</v>
      </c>
      <c r="EL21" t="s">
        <v>607</v>
      </c>
      <c r="EM21" t="str">
        <f>"0.00655"</f>
        <v>0.00655</v>
      </c>
      <c r="EN21" t="s">
        <v>640</v>
      </c>
      <c r="EO21" t="s">
        <v>1668</v>
      </c>
      <c r="EP21" t="str">
        <f>"0.00521"</f>
        <v>0.00521</v>
      </c>
      <c r="EQ21" t="s">
        <v>1451</v>
      </c>
      <c r="ER21" t="s">
        <v>1543</v>
      </c>
      <c r="ES21" t="str">
        <f>"0.00614"</f>
        <v>0.00614</v>
      </c>
      <c r="ET21" t="s">
        <v>670</v>
      </c>
      <c r="EU21" t="s">
        <v>1494</v>
      </c>
      <c r="EV21" t="str">
        <f>"0.00625"</f>
        <v>0.00625</v>
      </c>
      <c r="EW21" t="s">
        <v>3295</v>
      </c>
      <c r="EX21" t="s">
        <v>1023</v>
      </c>
      <c r="EY21" t="str">
        <f>"0.00187"</f>
        <v>0.00187</v>
      </c>
      <c r="EZ21" t="s">
        <v>5714</v>
      </c>
      <c r="FA21" t="s">
        <v>565</v>
      </c>
      <c r="FB21" t="str">
        <f>"0.00156"</f>
        <v>0.00156</v>
      </c>
      <c r="FC21" t="s">
        <v>965</v>
      </c>
      <c r="FD21" t="s">
        <v>731</v>
      </c>
      <c r="FE21" t="str">
        <f>"-0.000921"</f>
        <v>-0.000921</v>
      </c>
      <c r="FF21" t="s">
        <v>3288</v>
      </c>
      <c r="FG21" t="s">
        <v>958</v>
      </c>
      <c r="FH21" t="str">
        <f>"0.00225"</f>
        <v>0.00225</v>
      </c>
      <c r="FI21" t="s">
        <v>793</v>
      </c>
      <c r="FJ21" t="s">
        <v>4712</v>
      </c>
      <c r="FK21" t="str">
        <f>"0.000560"</f>
        <v>0.000560</v>
      </c>
      <c r="FL21" t="s">
        <v>2838</v>
      </c>
      <c r="FM21" t="s">
        <v>1001</v>
      </c>
      <c r="FN21" t="str">
        <f>"0.00129"</f>
        <v>0.00129</v>
      </c>
      <c r="FO21" t="s">
        <v>3560</v>
      </c>
      <c r="FP21" t="s">
        <v>739</v>
      </c>
      <c r="FQ21" t="str">
        <f>"0.00213"</f>
        <v>0.00213</v>
      </c>
      <c r="FR21" t="s">
        <v>1717</v>
      </c>
      <c r="FS21" t="s">
        <v>522</v>
      </c>
      <c r="FT21" t="str">
        <f>"0.00311"</f>
        <v>0.00311</v>
      </c>
      <c r="FU21" t="s">
        <v>656</v>
      </c>
      <c r="FV21" t="s">
        <v>2828</v>
      </c>
      <c r="FW21" t="str">
        <f>"0.00415"</f>
        <v>0.00415</v>
      </c>
      <c r="FX21" t="s">
        <v>3557</v>
      </c>
      <c r="FY21" t="s">
        <v>1674</v>
      </c>
      <c r="FZ21" t="str">
        <f>"0.00535"</f>
        <v>0.00535</v>
      </c>
      <c r="GA21" t="s">
        <v>1118</v>
      </c>
      <c r="GB21" t="s">
        <v>1669</v>
      </c>
      <c r="GC21" t="str">
        <f>"0.00604"</f>
        <v>0.00604</v>
      </c>
      <c r="GD21" t="s">
        <v>693</v>
      </c>
      <c r="GE21" t="s">
        <v>1540</v>
      </c>
      <c r="GF21" t="str">
        <f>"0.00820"</f>
        <v>0.00820</v>
      </c>
      <c r="GG21" t="s">
        <v>945</v>
      </c>
      <c r="GH21" t="s">
        <v>964</v>
      </c>
      <c r="GI21" t="str">
        <f>"0.00923"</f>
        <v>0.00923</v>
      </c>
      <c r="GJ21" t="s">
        <v>933</v>
      </c>
      <c r="GK21" t="s">
        <v>3534</v>
      </c>
      <c r="GL21" t="str">
        <f>"0.0103"</f>
        <v>0.0103</v>
      </c>
      <c r="GM21" t="s">
        <v>652</v>
      </c>
      <c r="GN21" t="s">
        <v>1030</v>
      </c>
      <c r="GO21" t="str">
        <f>"0.00954"</f>
        <v>0.00954</v>
      </c>
      <c r="GP21" t="s">
        <v>677</v>
      </c>
      <c r="GQ21" t="s">
        <v>785</v>
      </c>
      <c r="GR21" t="str">
        <f>"0.0113"</f>
        <v>0.0113</v>
      </c>
      <c r="GS21" t="s">
        <v>681</v>
      </c>
      <c r="GT21" t="s">
        <v>746</v>
      </c>
      <c r="GU21" t="str">
        <f>"0.0124"</f>
        <v>0.0124</v>
      </c>
      <c r="GV21" t="s">
        <v>435</v>
      </c>
      <c r="GW21" t="s">
        <v>2860</v>
      </c>
      <c r="GX21" t="str">
        <f>"0.0101"</f>
        <v>0.0101</v>
      </c>
      <c r="GY21" t="s">
        <v>700</v>
      </c>
      <c r="GZ21" t="s">
        <v>559</v>
      </c>
      <c r="HA21" t="str">
        <f>"0.00496"</f>
        <v>0.00496</v>
      </c>
      <c r="HB21" t="s">
        <v>644</v>
      </c>
      <c r="HC21" t="s">
        <v>964</v>
      </c>
      <c r="HD21" t="str">
        <f>"0.00468"</f>
        <v>0.00468</v>
      </c>
      <c r="HE21" t="s">
        <v>965</v>
      </c>
      <c r="HF21" t="s">
        <v>1537</v>
      </c>
      <c r="HG21" t="str">
        <f>"0.00245"</f>
        <v>0.00245</v>
      </c>
      <c r="HH21" t="s">
        <v>3288</v>
      </c>
      <c r="HI21" t="s">
        <v>1532</v>
      </c>
      <c r="HJ21" t="str">
        <f>"0.00256"</f>
        <v>0.00256</v>
      </c>
      <c r="HK21" t="s">
        <v>3577</v>
      </c>
      <c r="HL21" t="s">
        <v>1080</v>
      </c>
      <c r="HM21" t="str">
        <f>"0.00462"</f>
        <v>0.00462</v>
      </c>
      <c r="HN21" t="s">
        <v>4475</v>
      </c>
      <c r="HO21" t="s">
        <v>629</v>
      </c>
      <c r="HP21" t="str">
        <f>"0.00588"</f>
        <v>0.00588</v>
      </c>
      <c r="HQ21" t="s">
        <v>644</v>
      </c>
      <c r="HR21" t="s">
        <v>995</v>
      </c>
      <c r="HS21" t="str">
        <f>"0.00887"</f>
        <v>0.00887</v>
      </c>
      <c r="HT21" t="s">
        <v>3557</v>
      </c>
      <c r="HU21" t="s">
        <v>1214</v>
      </c>
      <c r="HV21" t="str">
        <f>"0.0116"</f>
        <v>0.0116</v>
      </c>
      <c r="HW21" t="s">
        <v>700</v>
      </c>
      <c r="HX21" t="s">
        <v>2872</v>
      </c>
      <c r="HY21" t="str">
        <f>"0.0128"</f>
        <v>0.0128</v>
      </c>
      <c r="HZ21" t="s">
        <v>700</v>
      </c>
      <c r="IA21" t="s">
        <v>1726</v>
      </c>
      <c r="IB21" t="str">
        <f>"0.0142"</f>
        <v>0.0142</v>
      </c>
      <c r="IC21" t="s">
        <v>700</v>
      </c>
      <c r="ID21" t="s">
        <v>554</v>
      </c>
      <c r="IE21" t="str">
        <f>"0.0142"</f>
        <v>0.0142</v>
      </c>
      <c r="IF21" t="s">
        <v>1003</v>
      </c>
      <c r="IG21" t="s">
        <v>5715</v>
      </c>
      <c r="IH21" t="str">
        <f>"0.0172"</f>
        <v>0.0172</v>
      </c>
      <c r="II21" t="s">
        <v>703</v>
      </c>
      <c r="IJ21" t="s">
        <v>627</v>
      </c>
      <c r="IK21" t="str">
        <f>"0.0249*"</f>
        <v>0.0249*</v>
      </c>
      <c r="IL21" t="s">
        <v>940</v>
      </c>
      <c r="IM21" t="s">
        <v>1989</v>
      </c>
      <c r="IN21" t="str">
        <f>"0.0209*"</f>
        <v>0.0209*</v>
      </c>
      <c r="IO21" t="s">
        <v>1459</v>
      </c>
      <c r="IP21" t="s">
        <v>1059</v>
      </c>
      <c r="IQ21" t="str">
        <f>"0.0225*"</f>
        <v>0.0225*</v>
      </c>
      <c r="IR21" t="s">
        <v>728</v>
      </c>
      <c r="IS21" t="s">
        <v>2870</v>
      </c>
      <c r="IT21" t="str">
        <f>"0.0204*"</f>
        <v>0.0204*</v>
      </c>
      <c r="IU21" t="s">
        <v>923</v>
      </c>
      <c r="IV21" t="s">
        <v>1930</v>
      </c>
      <c r="IW21" t="str">
        <f>"0.0219"</f>
        <v>0.0219</v>
      </c>
      <c r="IX21" t="s">
        <v>1458</v>
      </c>
      <c r="IY21" t="s">
        <v>5716</v>
      </c>
      <c r="IZ21" t="str">
        <f>"0.0187"</f>
        <v>0.0187</v>
      </c>
      <c r="JA21" t="s">
        <v>914</v>
      </c>
      <c r="JB21" t="s">
        <v>3545</v>
      </c>
      <c r="JC21" t="str">
        <f>"0.0198"</f>
        <v>0.0198</v>
      </c>
      <c r="JD21" t="s">
        <v>670</v>
      </c>
      <c r="JE21" t="s">
        <v>4855</v>
      </c>
      <c r="JF21" t="str">
        <f>"0.0169"</f>
        <v>0.0169</v>
      </c>
      <c r="JG21" t="s">
        <v>656</v>
      </c>
      <c r="JH21" t="s">
        <v>1191</v>
      </c>
      <c r="JI21" t="str">
        <f>"0.0306*"</f>
        <v>0.0306*</v>
      </c>
      <c r="JJ21" t="s">
        <v>1468</v>
      </c>
      <c r="JK21" t="s">
        <v>2900</v>
      </c>
      <c r="JL21" t="str">
        <f>"0.0259"</f>
        <v>0.0259</v>
      </c>
      <c r="JM21" t="s">
        <v>920</v>
      </c>
      <c r="JN21" t="s">
        <v>1740</v>
      </c>
      <c r="JO21" t="str">
        <f>"0.0246"</f>
        <v>0.0246</v>
      </c>
      <c r="JP21" t="s">
        <v>656</v>
      </c>
      <c r="JQ21" t="s">
        <v>1046</v>
      </c>
      <c r="JR21" t="str">
        <f>"0.0191"</f>
        <v>0.0191</v>
      </c>
      <c r="JS21" t="s">
        <v>1725</v>
      </c>
      <c r="JT21" t="s">
        <v>1163</v>
      </c>
      <c r="JU21" t="str">
        <f>"0.0169"</f>
        <v>0.0169</v>
      </c>
      <c r="JV21" t="s">
        <v>749</v>
      </c>
      <c r="JW21" t="s">
        <v>1740</v>
      </c>
      <c r="JX21" t="str">
        <f>"0.0123"</f>
        <v>0.0123</v>
      </c>
      <c r="JY21" t="s">
        <v>571</v>
      </c>
      <c r="JZ21" t="s">
        <v>1228</v>
      </c>
      <c r="KA21" t="str">
        <f>"0.0150"</f>
        <v>0.0150</v>
      </c>
      <c r="KB21" t="s">
        <v>3585</v>
      </c>
      <c r="KC21" t="s">
        <v>4106</v>
      </c>
      <c r="KD21" t="str">
        <f>"0.0228"</f>
        <v>0.0228</v>
      </c>
      <c r="KE21" t="s">
        <v>3433</v>
      </c>
      <c r="KF21" t="s">
        <v>3200</v>
      </c>
      <c r="KG21" t="str">
        <f>"0.00234"</f>
        <v>0.00234</v>
      </c>
      <c r="KH21" t="s">
        <v>5717</v>
      </c>
      <c r="KI21" t="s">
        <v>5718</v>
      </c>
      <c r="KJ21" t="str">
        <f>"0.0488"</f>
        <v>0.0488</v>
      </c>
      <c r="KK21" t="s">
        <v>5719</v>
      </c>
      <c r="KL21" t="s">
        <v>5720</v>
      </c>
    </row>
    <row r="22" spans="1:298" x14ac:dyDescent="0.2">
      <c r="A22" t="str">
        <f>"ppi"</f>
        <v>ppi</v>
      </c>
      <c r="B22" t="str">
        <f>"0.00484"</f>
        <v>0.00484</v>
      </c>
      <c r="C22" t="s">
        <v>647</v>
      </c>
      <c r="D22" t="s">
        <v>1553</v>
      </c>
      <c r="E22" t="str">
        <f>"0.00484"</f>
        <v>0.00484</v>
      </c>
      <c r="F22" t="s">
        <v>647</v>
      </c>
      <c r="G22" t="s">
        <v>1553</v>
      </c>
      <c r="H22" t="str">
        <f>"0.00484"</f>
        <v>0.00484</v>
      </c>
      <c r="I22" t="s">
        <v>647</v>
      </c>
      <c r="J22" t="s">
        <v>1553</v>
      </c>
      <c r="K22" t="str">
        <f>"0.143**"</f>
        <v>0.143**</v>
      </c>
      <c r="L22" t="s">
        <v>1965</v>
      </c>
      <c r="M22" t="s">
        <v>5721</v>
      </c>
      <c r="N22" t="str">
        <f>"0.0616*"</f>
        <v>0.0616*</v>
      </c>
      <c r="O22" t="s">
        <v>998</v>
      </c>
      <c r="P22" t="s">
        <v>3213</v>
      </c>
      <c r="Q22" t="str">
        <f>"0.0305"</f>
        <v>0.0305</v>
      </c>
      <c r="R22" t="s">
        <v>3291</v>
      </c>
      <c r="S22" t="s">
        <v>4356</v>
      </c>
      <c r="T22" t="str">
        <f>"0.0174"</f>
        <v>0.0174</v>
      </c>
      <c r="U22" t="s">
        <v>1389</v>
      </c>
      <c r="V22" t="s">
        <v>5722</v>
      </c>
      <c r="W22" t="str">
        <f>"0.0221"</f>
        <v>0.0221</v>
      </c>
      <c r="X22" t="s">
        <v>796</v>
      </c>
      <c r="Y22" t="s">
        <v>5723</v>
      </c>
      <c r="Z22" t="str">
        <f>"0.0100"</f>
        <v>0.0100</v>
      </c>
      <c r="AA22" t="s">
        <v>5724</v>
      </c>
      <c r="AB22" t="s">
        <v>4700</v>
      </c>
      <c r="AC22" t="str">
        <f>"0.00828"</f>
        <v>0.00828</v>
      </c>
      <c r="AD22" t="s">
        <v>499</v>
      </c>
      <c r="AE22" t="s">
        <v>627</v>
      </c>
      <c r="AF22" t="str">
        <f>"0.00561"</f>
        <v>0.00561</v>
      </c>
      <c r="AG22" t="s">
        <v>5724</v>
      </c>
      <c r="AH22" t="s">
        <v>1642</v>
      </c>
      <c r="AI22" t="str">
        <f>"0.00983"</f>
        <v>0.00983</v>
      </c>
      <c r="AJ22" t="s">
        <v>818</v>
      </c>
      <c r="AK22" t="s">
        <v>3634</v>
      </c>
      <c r="AL22" t="str">
        <f>"0.00217"</f>
        <v>0.00217</v>
      </c>
      <c r="AM22" t="s">
        <v>3340</v>
      </c>
      <c r="AN22" t="s">
        <v>538</v>
      </c>
      <c r="AO22" t="str">
        <f>"0.000917"</f>
        <v>0.000917</v>
      </c>
      <c r="AP22" t="s">
        <v>3446</v>
      </c>
      <c r="AQ22" t="s">
        <v>1130</v>
      </c>
      <c r="AR22" t="str">
        <f>"-0.00347"</f>
        <v>-0.00347</v>
      </c>
      <c r="AS22" t="s">
        <v>4765</v>
      </c>
      <c r="AT22" t="s">
        <v>530</v>
      </c>
      <c r="AU22" t="str">
        <f>"0.000906"</f>
        <v>0.000906</v>
      </c>
      <c r="AV22" t="s">
        <v>1085</v>
      </c>
      <c r="AW22" t="s">
        <v>1676</v>
      </c>
      <c r="AX22" t="str">
        <f>"0.00383"</f>
        <v>0.00383</v>
      </c>
      <c r="AY22" t="s">
        <v>2827</v>
      </c>
      <c r="AZ22" t="s">
        <v>1543</v>
      </c>
      <c r="BA22" t="str">
        <f>"0.00142"</f>
        <v>0.00142</v>
      </c>
      <c r="BB22" t="s">
        <v>1079</v>
      </c>
      <c r="BC22" t="s">
        <v>739</v>
      </c>
      <c r="BD22" t="str">
        <f>"0.00284"</f>
        <v>0.00284</v>
      </c>
      <c r="BE22" t="s">
        <v>908</v>
      </c>
      <c r="BF22" t="s">
        <v>1054</v>
      </c>
      <c r="BG22" t="str">
        <f>"0.00509"</f>
        <v>0.00509</v>
      </c>
      <c r="BH22" t="s">
        <v>640</v>
      </c>
      <c r="BI22" t="s">
        <v>1547</v>
      </c>
      <c r="BJ22" t="str">
        <f>"0.00601"</f>
        <v>0.00601</v>
      </c>
      <c r="BK22" t="s">
        <v>639</v>
      </c>
      <c r="BL22" t="s">
        <v>642</v>
      </c>
      <c r="BM22" t="str">
        <f>"0.00248"</f>
        <v>0.00248</v>
      </c>
      <c r="BN22" t="s">
        <v>654</v>
      </c>
      <c r="BO22" t="s">
        <v>737</v>
      </c>
      <c r="BP22" t="str">
        <f>"0.00638"</f>
        <v>0.00638</v>
      </c>
      <c r="BQ22" t="s">
        <v>717</v>
      </c>
      <c r="BR22" t="s">
        <v>526</v>
      </c>
      <c r="BS22" t="str">
        <f>"0.00218"</f>
        <v>0.00218</v>
      </c>
      <c r="BT22" t="s">
        <v>3557</v>
      </c>
      <c r="BU22" t="s">
        <v>651</v>
      </c>
      <c r="BV22" t="str">
        <f>"0.00446"</f>
        <v>0.00446</v>
      </c>
      <c r="BW22" t="s">
        <v>650</v>
      </c>
      <c r="BX22" t="s">
        <v>1548</v>
      </c>
      <c r="BY22" t="str">
        <f>"0.00267"</f>
        <v>0.00267</v>
      </c>
      <c r="BZ22" t="s">
        <v>1159</v>
      </c>
      <c r="CA22" t="s">
        <v>687</v>
      </c>
      <c r="CB22" t="str">
        <f>"0.00347"</f>
        <v>0.00347</v>
      </c>
      <c r="CC22" t="s">
        <v>909</v>
      </c>
      <c r="CD22" t="s">
        <v>1551</v>
      </c>
      <c r="CE22" t="str">
        <f>"0.00398"</f>
        <v>0.00398</v>
      </c>
      <c r="CF22" t="s">
        <v>1505</v>
      </c>
      <c r="CG22" t="s">
        <v>522</v>
      </c>
      <c r="CH22" t="str">
        <f>"0.00219"</f>
        <v>0.00219</v>
      </c>
      <c r="CI22" t="s">
        <v>908</v>
      </c>
      <c r="CJ22" t="s">
        <v>687</v>
      </c>
      <c r="CK22" t="str">
        <f>"0.00402"</f>
        <v>0.00402</v>
      </c>
      <c r="CL22" t="s">
        <v>741</v>
      </c>
      <c r="CM22" t="s">
        <v>625</v>
      </c>
      <c r="CN22" t="str">
        <f>"0.00557"</f>
        <v>0.00557</v>
      </c>
      <c r="CO22" t="s">
        <v>1515</v>
      </c>
      <c r="CP22" t="s">
        <v>740</v>
      </c>
      <c r="CQ22" t="str">
        <f>"0.00586"</f>
        <v>0.00586</v>
      </c>
      <c r="CR22" t="s">
        <v>914</v>
      </c>
      <c r="CS22" t="s">
        <v>742</v>
      </c>
      <c r="CT22" t="str">
        <f>"0.00421"</f>
        <v>0.00421</v>
      </c>
      <c r="CU22" t="s">
        <v>897</v>
      </c>
      <c r="CV22" t="s">
        <v>526</v>
      </c>
      <c r="CW22" t="str">
        <f>"0.00452"</f>
        <v>0.00452</v>
      </c>
      <c r="CX22" t="s">
        <v>974</v>
      </c>
      <c r="CY22" t="s">
        <v>1190</v>
      </c>
      <c r="CZ22" t="str">
        <f>"0.00280"</f>
        <v>0.00280</v>
      </c>
      <c r="DA22" t="s">
        <v>632</v>
      </c>
      <c r="DB22" t="s">
        <v>1546</v>
      </c>
      <c r="DC22" t="str">
        <f>"0.00140"</f>
        <v>0.00140</v>
      </c>
      <c r="DD22" t="s">
        <v>301</v>
      </c>
      <c r="DE22" t="s">
        <v>1548</v>
      </c>
      <c r="DF22" t="str">
        <f>"0.00143"</f>
        <v>0.00143</v>
      </c>
      <c r="DG22" t="s">
        <v>2838</v>
      </c>
      <c r="DH22" t="s">
        <v>1492</v>
      </c>
      <c r="DI22" t="str">
        <f>"0.000770"</f>
        <v>0.000770</v>
      </c>
      <c r="DJ22" t="s">
        <v>973</v>
      </c>
      <c r="DK22" t="s">
        <v>565</v>
      </c>
      <c r="DL22" t="str">
        <f>"0.000127"</f>
        <v>0.000127</v>
      </c>
      <c r="DM22" t="s">
        <v>1112</v>
      </c>
      <c r="DN22" t="s">
        <v>2815</v>
      </c>
      <c r="DO22" t="str">
        <f>"0.00132"</f>
        <v>0.00132</v>
      </c>
      <c r="DP22" t="s">
        <v>796</v>
      </c>
      <c r="DQ22" t="s">
        <v>1492</v>
      </c>
      <c r="DR22" t="str">
        <f>"0.00444"</f>
        <v>0.00444</v>
      </c>
      <c r="DS22" t="s">
        <v>648</v>
      </c>
      <c r="DT22" t="s">
        <v>532</v>
      </c>
      <c r="DU22" t="str">
        <f>"0.00418"</f>
        <v>0.00418</v>
      </c>
      <c r="DV22" t="s">
        <v>676</v>
      </c>
      <c r="DW22" t="s">
        <v>1669</v>
      </c>
      <c r="DX22" t="str">
        <f>"0.00335"</f>
        <v>0.00335</v>
      </c>
      <c r="DY22" t="s">
        <v>1717</v>
      </c>
      <c r="DZ22" t="s">
        <v>972</v>
      </c>
      <c r="EA22" t="str">
        <f>"0.00539"</f>
        <v>0.00539</v>
      </c>
      <c r="EB22" t="s">
        <v>974</v>
      </c>
      <c r="EC22" t="s">
        <v>955</v>
      </c>
      <c r="ED22" t="str">
        <f>"0.00647"</f>
        <v>0.00647</v>
      </c>
      <c r="EE22" t="s">
        <v>1002</v>
      </c>
      <c r="EF22" t="s">
        <v>1130</v>
      </c>
      <c r="EG22" t="str">
        <f>"0.00755"</f>
        <v>0.00755</v>
      </c>
      <c r="EH22" t="s">
        <v>914</v>
      </c>
      <c r="EI22" t="s">
        <v>978</v>
      </c>
      <c r="EJ22" t="str">
        <f>"0.00788"</f>
        <v>0.00788</v>
      </c>
      <c r="EK22" t="s">
        <v>670</v>
      </c>
      <c r="EL22" t="s">
        <v>4736</v>
      </c>
      <c r="EM22" t="str">
        <f>"0.00982"</f>
        <v>0.00982</v>
      </c>
      <c r="EN22" t="s">
        <v>639</v>
      </c>
      <c r="EO22" t="s">
        <v>3269</v>
      </c>
      <c r="EP22" t="str">
        <f>"0.00840"</f>
        <v>0.00840</v>
      </c>
      <c r="EQ22" t="s">
        <v>663</v>
      </c>
      <c r="ER22" t="s">
        <v>3653</v>
      </c>
      <c r="ES22" t="str">
        <f>"0.00944"</f>
        <v>0.00944</v>
      </c>
      <c r="ET22" t="s">
        <v>703</v>
      </c>
      <c r="EU22" t="s">
        <v>785</v>
      </c>
      <c r="EV22" t="str">
        <f>"0.0110"</f>
        <v>0.0110</v>
      </c>
      <c r="EW22" t="s">
        <v>652</v>
      </c>
      <c r="EX22" t="s">
        <v>559</v>
      </c>
      <c r="EY22" t="str">
        <f>"0.00927"</f>
        <v>0.00927</v>
      </c>
      <c r="EZ22" t="s">
        <v>650</v>
      </c>
      <c r="FA22" t="s">
        <v>1030</v>
      </c>
      <c r="FB22" t="str">
        <f>"0.00871"</f>
        <v>0.00871</v>
      </c>
      <c r="FC22" t="s">
        <v>693</v>
      </c>
      <c r="FD22" t="s">
        <v>2877</v>
      </c>
      <c r="FE22" t="str">
        <f>"0.00432"</f>
        <v>0.00432</v>
      </c>
      <c r="FF22" t="s">
        <v>965</v>
      </c>
      <c r="FG22" t="s">
        <v>3264</v>
      </c>
      <c r="FH22" t="str">
        <f>"0.00478"</f>
        <v>0.00478</v>
      </c>
      <c r="FI22" t="s">
        <v>793</v>
      </c>
      <c r="FJ22" t="s">
        <v>1130</v>
      </c>
      <c r="FK22" t="str">
        <f>"0.00318"</f>
        <v>0.00318</v>
      </c>
      <c r="FL22" t="s">
        <v>2838</v>
      </c>
      <c r="FM22" t="s">
        <v>1494</v>
      </c>
      <c r="FN22" t="str">
        <f>"0.00249"</f>
        <v>0.00249</v>
      </c>
      <c r="FO22" t="s">
        <v>2836</v>
      </c>
      <c r="FP22" t="s">
        <v>607</v>
      </c>
      <c r="FQ22" t="str">
        <f>"0.00116"</f>
        <v>0.00116</v>
      </c>
      <c r="FR22" t="s">
        <v>3288</v>
      </c>
      <c r="FS22" t="s">
        <v>747</v>
      </c>
      <c r="FT22" t="str">
        <f>"-0.000835"</f>
        <v>-0.000835</v>
      </c>
      <c r="FU22" t="s">
        <v>1076</v>
      </c>
      <c r="FV22" t="s">
        <v>996</v>
      </c>
      <c r="FW22" t="str">
        <f>"-0.00108"</f>
        <v>-0.00108</v>
      </c>
      <c r="FX22" t="s">
        <v>3669</v>
      </c>
      <c r="FY22" t="s">
        <v>1551</v>
      </c>
      <c r="FZ22" t="str">
        <f>"-0.00480"</f>
        <v>-0.00480</v>
      </c>
      <c r="GA22" t="s">
        <v>3019</v>
      </c>
      <c r="GB22" t="s">
        <v>597</v>
      </c>
      <c r="GC22" t="str">
        <f>"-0.00318"</f>
        <v>-0.00318</v>
      </c>
      <c r="GD22" t="s">
        <v>4267</v>
      </c>
      <c r="GE22" t="s">
        <v>939</v>
      </c>
      <c r="GF22" t="str">
        <f>"-0.00324"</f>
        <v>-0.00324</v>
      </c>
      <c r="GG22" t="s">
        <v>801</v>
      </c>
      <c r="GH22" t="s">
        <v>939</v>
      </c>
      <c r="GI22" t="str">
        <f>"-0.00629"</f>
        <v>-0.00629</v>
      </c>
      <c r="GJ22" t="s">
        <v>3568</v>
      </c>
      <c r="GK22" t="s">
        <v>3256</v>
      </c>
      <c r="GL22" t="str">
        <f>"-0.00712"</f>
        <v>-0.00712</v>
      </c>
      <c r="GM22" t="s">
        <v>3348</v>
      </c>
      <c r="GN22" t="s">
        <v>577</v>
      </c>
      <c r="GO22" t="str">
        <f>"-0.00474"</f>
        <v>-0.00474</v>
      </c>
      <c r="GP22" t="s">
        <v>504</v>
      </c>
      <c r="GQ22" t="s">
        <v>3651</v>
      </c>
      <c r="GR22" t="str">
        <f>"-0.00419"</f>
        <v>-0.00419</v>
      </c>
      <c r="GS22" t="s">
        <v>504</v>
      </c>
      <c r="GT22" t="s">
        <v>633</v>
      </c>
      <c r="GU22" t="str">
        <f>"-0.00211"</f>
        <v>-0.00211</v>
      </c>
      <c r="GV22" t="s">
        <v>4728</v>
      </c>
      <c r="GW22" t="s">
        <v>747</v>
      </c>
      <c r="GX22" t="str">
        <f>"-0.00412"</f>
        <v>-0.00412</v>
      </c>
      <c r="GY22" t="s">
        <v>4486</v>
      </c>
      <c r="GZ22" t="s">
        <v>731</v>
      </c>
      <c r="HA22" t="str">
        <f>"-0.00713"</f>
        <v>-0.00713</v>
      </c>
      <c r="HB22" t="s">
        <v>1094</v>
      </c>
      <c r="HC22" t="s">
        <v>735</v>
      </c>
      <c r="HD22" t="str">
        <f>"-0.00656"</f>
        <v>-0.00656</v>
      </c>
      <c r="HE22" t="s">
        <v>2823</v>
      </c>
      <c r="HF22" t="s">
        <v>726</v>
      </c>
      <c r="HG22" t="str">
        <f>"-0.00871"</f>
        <v>-0.00871</v>
      </c>
      <c r="HH22" t="s">
        <v>836</v>
      </c>
      <c r="HI22" t="s">
        <v>597</v>
      </c>
      <c r="HJ22" t="str">
        <f>"-0.00793"</f>
        <v>-0.00793</v>
      </c>
      <c r="HK22" t="s">
        <v>550</v>
      </c>
      <c r="HL22" t="s">
        <v>694</v>
      </c>
      <c r="HM22" t="str">
        <f>"-0.00504"</f>
        <v>-0.00504</v>
      </c>
      <c r="HN22" t="s">
        <v>850</v>
      </c>
      <c r="HO22" t="s">
        <v>739</v>
      </c>
      <c r="HP22" t="str">
        <f>"-0.00628"</f>
        <v>-0.00628</v>
      </c>
      <c r="HQ22" t="s">
        <v>495</v>
      </c>
      <c r="HR22" t="s">
        <v>687</v>
      </c>
      <c r="HS22" t="str">
        <f>"-0.00575"</f>
        <v>-0.00575</v>
      </c>
      <c r="HT22" t="s">
        <v>495</v>
      </c>
      <c r="HU22" t="s">
        <v>996</v>
      </c>
      <c r="HV22" t="str">
        <f>"-0.00640"</f>
        <v>-0.00640</v>
      </c>
      <c r="HW22" t="s">
        <v>1094</v>
      </c>
      <c r="HX22" t="s">
        <v>687</v>
      </c>
      <c r="HY22" t="str">
        <f>"-0.00725"</f>
        <v>-0.00725</v>
      </c>
      <c r="HZ22" t="s">
        <v>518</v>
      </c>
      <c r="IA22" t="s">
        <v>1006</v>
      </c>
      <c r="IB22" t="str">
        <f>"-0.00824"</f>
        <v>-0.00824</v>
      </c>
      <c r="IC22" t="s">
        <v>3569</v>
      </c>
      <c r="ID22" t="s">
        <v>2815</v>
      </c>
      <c r="IE22" t="str">
        <f>"-0.00782"</f>
        <v>-0.00782</v>
      </c>
      <c r="IF22" t="s">
        <v>5725</v>
      </c>
      <c r="IG22" t="s">
        <v>1546</v>
      </c>
      <c r="IH22" t="str">
        <f>"-0.00611"</f>
        <v>-0.00611</v>
      </c>
      <c r="II22" t="s">
        <v>3273</v>
      </c>
      <c r="IJ22" t="s">
        <v>987</v>
      </c>
      <c r="IK22" t="str">
        <f>"0.00542"</f>
        <v>0.00542</v>
      </c>
      <c r="IL22" t="s">
        <v>1110</v>
      </c>
      <c r="IM22" t="s">
        <v>540</v>
      </c>
      <c r="IN22" t="str">
        <f>"0.00230"</f>
        <v>0.00230</v>
      </c>
      <c r="IO22" t="s">
        <v>3340</v>
      </c>
      <c r="IP22" t="s">
        <v>1214</v>
      </c>
      <c r="IQ22" t="str">
        <f>"0.0000681"</f>
        <v>0.0000681</v>
      </c>
      <c r="IR22" t="s">
        <v>4765</v>
      </c>
      <c r="IS22" t="s">
        <v>3533</v>
      </c>
      <c r="IT22" t="str">
        <f>"0.00134"</f>
        <v>0.00134</v>
      </c>
      <c r="IU22" t="s">
        <v>3678</v>
      </c>
      <c r="IV22" t="s">
        <v>1516</v>
      </c>
      <c r="IW22" t="str">
        <f>"0.00707"</f>
        <v>0.00707</v>
      </c>
      <c r="IX22" t="s">
        <v>1039</v>
      </c>
      <c r="IY22" t="s">
        <v>968</v>
      </c>
      <c r="IZ22" t="str">
        <f>"0.00177"</f>
        <v>0.00177</v>
      </c>
      <c r="JA22" t="s">
        <v>805</v>
      </c>
      <c r="JB22" t="s">
        <v>784</v>
      </c>
      <c r="JC22" t="str">
        <f>"-0.00235"</f>
        <v>-0.00235</v>
      </c>
      <c r="JD22" t="s">
        <v>516</v>
      </c>
      <c r="JE22" t="s">
        <v>1660</v>
      </c>
      <c r="JF22" t="str">
        <f>"-0.000357"</f>
        <v>-0.000357</v>
      </c>
      <c r="JG22" t="s">
        <v>4766</v>
      </c>
      <c r="JH22" t="s">
        <v>635</v>
      </c>
      <c r="JI22" t="str">
        <f>"0.00702"</f>
        <v>0.00702</v>
      </c>
      <c r="JJ22" t="s">
        <v>1218</v>
      </c>
      <c r="JK22" t="s">
        <v>3634</v>
      </c>
      <c r="JL22" t="str">
        <f>"0.0179"</f>
        <v>0.0179</v>
      </c>
      <c r="JM22" t="s">
        <v>3300</v>
      </c>
      <c r="JN22" t="s">
        <v>3145</v>
      </c>
      <c r="JO22" t="str">
        <f>"0.0198"</f>
        <v>0.0198</v>
      </c>
      <c r="JP22" t="s">
        <v>2833</v>
      </c>
      <c r="JQ22" t="s">
        <v>5506</v>
      </c>
      <c r="JR22" t="str">
        <f>"0.0134"</f>
        <v>0.0134</v>
      </c>
      <c r="JS22" t="s">
        <v>809</v>
      </c>
      <c r="JT22" t="s">
        <v>5726</v>
      </c>
      <c r="JU22" t="str">
        <f>"-0.0165"</f>
        <v>-0.0165</v>
      </c>
      <c r="JV22" t="s">
        <v>4261</v>
      </c>
      <c r="JW22" t="s">
        <v>2875</v>
      </c>
      <c r="JX22" t="str">
        <f>"-0.00624"</f>
        <v>-0.00624</v>
      </c>
      <c r="JY22" t="s">
        <v>5727</v>
      </c>
      <c r="JZ22" t="s">
        <v>3634</v>
      </c>
      <c r="KA22" t="str">
        <f>"0.00431"</f>
        <v>0.00431</v>
      </c>
      <c r="KB22" t="s">
        <v>587</v>
      </c>
      <c r="KC22" t="s">
        <v>1745</v>
      </c>
      <c r="KD22" t="str">
        <f>"-0.0322"</f>
        <v>-0.0322</v>
      </c>
      <c r="KE22" t="s">
        <v>5728</v>
      </c>
      <c r="KF22" t="s">
        <v>1128</v>
      </c>
      <c r="KG22" t="str">
        <f>"-0.0189"</f>
        <v>-0.0189</v>
      </c>
      <c r="KH22" t="s">
        <v>3840</v>
      </c>
      <c r="KI22" t="s">
        <v>3341</v>
      </c>
      <c r="KJ22" t="str">
        <f>"0.0167"</f>
        <v>0.0167</v>
      </c>
      <c r="KK22" t="s">
        <v>3840</v>
      </c>
      <c r="KL22" t="s">
        <v>4034</v>
      </c>
    </row>
    <row r="23" spans="1:298" x14ac:dyDescent="0.2">
      <c r="A23" t="str">
        <f>"rural"</f>
        <v>rural</v>
      </c>
      <c r="B23" t="str">
        <f>"0.00157"</f>
        <v>0.00157</v>
      </c>
      <c r="C23" t="s">
        <v>674</v>
      </c>
      <c r="D23" t="s">
        <v>928</v>
      </c>
      <c r="E23" t="str">
        <f>"0.00157"</f>
        <v>0.00157</v>
      </c>
      <c r="F23" t="s">
        <v>674</v>
      </c>
      <c r="G23" t="s">
        <v>928</v>
      </c>
      <c r="H23" t="str">
        <f>"0.00157"</f>
        <v>0.00157</v>
      </c>
      <c r="I23" t="s">
        <v>674</v>
      </c>
      <c r="J23" t="s">
        <v>928</v>
      </c>
      <c r="K23" t="str">
        <f>"0.0742***"</f>
        <v>0.0742***</v>
      </c>
      <c r="L23" t="s">
        <v>3167</v>
      </c>
      <c r="M23" t="s">
        <v>282</v>
      </c>
      <c r="N23" t="str">
        <f>"0.0383**"</f>
        <v>0.0383**</v>
      </c>
      <c r="O23" t="s">
        <v>1493</v>
      </c>
      <c r="P23" t="s">
        <v>2906</v>
      </c>
      <c r="Q23" t="str">
        <f>"0.0399***"</f>
        <v>0.0399***</v>
      </c>
      <c r="R23" t="s">
        <v>1681</v>
      </c>
      <c r="S23" t="s">
        <v>5729</v>
      </c>
      <c r="T23" t="str">
        <f>"0.0145"</f>
        <v>0.0145</v>
      </c>
      <c r="U23" t="s">
        <v>1010</v>
      </c>
      <c r="V23" t="s">
        <v>3168</v>
      </c>
      <c r="W23" t="str">
        <f>"0.0145"</f>
        <v>0.0145</v>
      </c>
      <c r="X23" t="s">
        <v>933</v>
      </c>
      <c r="Y23" t="s">
        <v>778</v>
      </c>
      <c r="Z23" t="str">
        <f>"0.0169*"</f>
        <v>0.0169*</v>
      </c>
      <c r="AA23" t="s">
        <v>679</v>
      </c>
      <c r="AB23" t="s">
        <v>1689</v>
      </c>
      <c r="AC23" t="str">
        <f>"0.0146*"</f>
        <v>0.0146*</v>
      </c>
      <c r="AD23" t="s">
        <v>927</v>
      </c>
      <c r="AE23" t="s">
        <v>1127</v>
      </c>
      <c r="AF23" t="str">
        <f>"0.0153*"</f>
        <v>0.0153*</v>
      </c>
      <c r="AG23" t="s">
        <v>1037</v>
      </c>
      <c r="AH23" t="s">
        <v>542</v>
      </c>
      <c r="AI23" t="str">
        <f>"0.0133*"</f>
        <v>0.0133*</v>
      </c>
      <c r="AJ23" t="s">
        <v>1462</v>
      </c>
      <c r="AK23" t="s">
        <v>746</v>
      </c>
      <c r="AL23" t="str">
        <f>"0.0135**"</f>
        <v>0.0135**</v>
      </c>
      <c r="AM23" t="s">
        <v>1018</v>
      </c>
      <c r="AN23" t="s">
        <v>1678</v>
      </c>
      <c r="AO23" t="str">
        <f>"0.00618"</f>
        <v>0.00618</v>
      </c>
      <c r="AP23" t="s">
        <v>435</v>
      </c>
      <c r="AQ23" t="s">
        <v>1547</v>
      </c>
      <c r="AR23" t="str">
        <f>"0.00426"</f>
        <v>0.00426</v>
      </c>
      <c r="AS23" t="s">
        <v>920</v>
      </c>
      <c r="AT23" t="s">
        <v>1001</v>
      </c>
      <c r="AU23" t="str">
        <f>"0.00501"</f>
        <v>0.00501</v>
      </c>
      <c r="AV23" t="s">
        <v>347</v>
      </c>
      <c r="AW23" t="s">
        <v>1011</v>
      </c>
      <c r="AX23" t="str">
        <f>"0.00540*"</f>
        <v>0.00540*</v>
      </c>
      <c r="AY23" t="s">
        <v>924</v>
      </c>
      <c r="AZ23" t="s">
        <v>939</v>
      </c>
      <c r="BA23" t="str">
        <f>"0.00340"</f>
        <v>0.00340</v>
      </c>
      <c r="BB23" t="s">
        <v>734</v>
      </c>
      <c r="BC23" t="s">
        <v>1004</v>
      </c>
      <c r="BD23" t="str">
        <f>"0.00507**"</f>
        <v>0.00507**</v>
      </c>
      <c r="BE23" t="s">
        <v>679</v>
      </c>
      <c r="BF23" t="s">
        <v>572</v>
      </c>
      <c r="BG23" t="str">
        <f>"0.00441**"</f>
        <v>0.00441**</v>
      </c>
      <c r="BH23" t="s">
        <v>695</v>
      </c>
      <c r="BI23" t="s">
        <v>1004</v>
      </c>
      <c r="BJ23" t="str">
        <f>"0.00372*"</f>
        <v>0.00372*</v>
      </c>
      <c r="BK23" t="s">
        <v>926</v>
      </c>
      <c r="BL23" t="s">
        <v>568</v>
      </c>
      <c r="BM23" t="str">
        <f>"0.00200"</f>
        <v>0.00200</v>
      </c>
      <c r="BN23" t="s">
        <v>931</v>
      </c>
      <c r="BO23" t="s">
        <v>713</v>
      </c>
      <c r="BP23" t="str">
        <f>"0.00241"</f>
        <v>0.00241</v>
      </c>
      <c r="BQ23" t="s">
        <v>347</v>
      </c>
      <c r="BR23" t="s">
        <v>721</v>
      </c>
      <c r="BS23" t="str">
        <f>"0.00257"</f>
        <v>0.00257</v>
      </c>
      <c r="BT23" t="s">
        <v>786</v>
      </c>
      <c r="BU23" t="s">
        <v>710</v>
      </c>
      <c r="BV23" t="str">
        <f>"0.00358**"</f>
        <v>0.00358**</v>
      </c>
      <c r="BW23" t="s">
        <v>927</v>
      </c>
      <c r="BX23" t="s">
        <v>586</v>
      </c>
      <c r="BY23" t="str">
        <f>"0.00325*"</f>
        <v>0.00325*</v>
      </c>
      <c r="BZ23" t="s">
        <v>719</v>
      </c>
      <c r="CA23" t="s">
        <v>662</v>
      </c>
      <c r="CB23" t="str">
        <f>"0.00329*"</f>
        <v>0.00329*</v>
      </c>
      <c r="CC23" t="s">
        <v>923</v>
      </c>
      <c r="CD23" t="s">
        <v>662</v>
      </c>
      <c r="CE23" t="str">
        <f>"0.00432**"</f>
        <v>0.00432**</v>
      </c>
      <c r="CF23" t="s">
        <v>679</v>
      </c>
      <c r="CG23" t="s">
        <v>1013</v>
      </c>
      <c r="CH23" t="str">
        <f>"0.00495***"</f>
        <v>0.00495***</v>
      </c>
      <c r="CI23" t="s">
        <v>1462</v>
      </c>
      <c r="CJ23" t="s">
        <v>579</v>
      </c>
      <c r="CK23" t="str">
        <f>"0.00466**"</f>
        <v>0.00466**</v>
      </c>
      <c r="CL23" t="s">
        <v>449</v>
      </c>
      <c r="CM23" t="s">
        <v>3256</v>
      </c>
      <c r="CN23" t="str">
        <f>"0.00475**"</f>
        <v>0.00475**</v>
      </c>
      <c r="CO23" t="s">
        <v>638</v>
      </c>
      <c r="CP23" t="s">
        <v>673</v>
      </c>
      <c r="CQ23" t="str">
        <f>"0.00462**"</f>
        <v>0.00462**</v>
      </c>
      <c r="CR23" t="s">
        <v>679</v>
      </c>
      <c r="CS23" t="s">
        <v>673</v>
      </c>
      <c r="CT23" t="str">
        <f>"0.00413**"</f>
        <v>0.00413**</v>
      </c>
      <c r="CU23" t="s">
        <v>924</v>
      </c>
      <c r="CV23" t="s">
        <v>653</v>
      </c>
      <c r="CW23" t="str">
        <f>"0.00369*"</f>
        <v>0.00369*</v>
      </c>
      <c r="CX23" t="s">
        <v>719</v>
      </c>
      <c r="CY23" t="s">
        <v>599</v>
      </c>
      <c r="CZ23" t="str">
        <f>"0.00376*"</f>
        <v>0.00376*</v>
      </c>
      <c r="DA23" t="s">
        <v>923</v>
      </c>
      <c r="DB23" t="s">
        <v>599</v>
      </c>
      <c r="DC23" t="str">
        <f>"0.00289"</f>
        <v>0.00289</v>
      </c>
      <c r="DD23" t="s">
        <v>929</v>
      </c>
      <c r="DE23" t="s">
        <v>791</v>
      </c>
      <c r="DF23" t="str">
        <f>"0.00264"</f>
        <v>0.00264</v>
      </c>
      <c r="DG23" t="s">
        <v>684</v>
      </c>
      <c r="DH23" t="s">
        <v>613</v>
      </c>
      <c r="DI23" t="str">
        <f>"0.00240"</f>
        <v>0.00240</v>
      </c>
      <c r="DJ23" t="s">
        <v>931</v>
      </c>
      <c r="DK23" t="s">
        <v>1560</v>
      </c>
      <c r="DL23" t="str">
        <f>"0.00242"</f>
        <v>0.00242</v>
      </c>
      <c r="DM23" t="s">
        <v>931</v>
      </c>
      <c r="DN23" t="s">
        <v>1560</v>
      </c>
      <c r="DO23" t="str">
        <f>"0.00284"</f>
        <v>0.00284</v>
      </c>
      <c r="DP23" t="s">
        <v>929</v>
      </c>
      <c r="DQ23" t="s">
        <v>791</v>
      </c>
      <c r="DR23" t="str">
        <f>"0.00340*"</f>
        <v>0.00340*</v>
      </c>
      <c r="DS23" t="s">
        <v>736</v>
      </c>
      <c r="DT23" t="s">
        <v>568</v>
      </c>
      <c r="DU23" t="str">
        <f>"0.00354*"</f>
        <v>0.00354*</v>
      </c>
      <c r="DV23" t="s">
        <v>708</v>
      </c>
      <c r="DW23" t="s">
        <v>680</v>
      </c>
      <c r="DX23" t="str">
        <f>"0.00367*"</f>
        <v>0.00367*</v>
      </c>
      <c r="DY23" t="s">
        <v>683</v>
      </c>
      <c r="DZ23" t="s">
        <v>599</v>
      </c>
      <c r="EA23" t="str">
        <f>"0.00439**"</f>
        <v>0.00439**</v>
      </c>
      <c r="EB23" t="s">
        <v>1488</v>
      </c>
      <c r="EC23" t="s">
        <v>673</v>
      </c>
      <c r="ED23" t="str">
        <f>"0.00499**"</f>
        <v>0.00499**</v>
      </c>
      <c r="EE23" t="s">
        <v>449</v>
      </c>
      <c r="EF23" t="s">
        <v>581</v>
      </c>
      <c r="EG23" t="str">
        <f>"0.00511**"</f>
        <v>0.00511**</v>
      </c>
      <c r="EH23" t="s">
        <v>449</v>
      </c>
      <c r="EI23" t="s">
        <v>725</v>
      </c>
      <c r="EJ23" t="str">
        <f>"0.00480**"</f>
        <v>0.00480**</v>
      </c>
      <c r="EK23" t="s">
        <v>986</v>
      </c>
      <c r="EL23" t="s">
        <v>575</v>
      </c>
      <c r="EM23" t="str">
        <f>"0.00439**"</f>
        <v>0.00439**</v>
      </c>
      <c r="EN23" t="s">
        <v>718</v>
      </c>
      <c r="EO23" t="s">
        <v>579</v>
      </c>
      <c r="EP23" t="str">
        <f>"0.00409*"</f>
        <v>0.00409*</v>
      </c>
      <c r="EQ23" t="s">
        <v>923</v>
      </c>
      <c r="ER23" t="s">
        <v>3256</v>
      </c>
      <c r="ES23" t="str">
        <f>"0.00414*"</f>
        <v>0.00414*</v>
      </c>
      <c r="ET23" t="s">
        <v>730</v>
      </c>
      <c r="EU23" t="s">
        <v>673</v>
      </c>
      <c r="EV23" t="str">
        <f>"0.00390*"</f>
        <v>0.00390*</v>
      </c>
      <c r="EW23" t="s">
        <v>683</v>
      </c>
      <c r="EX23" t="s">
        <v>1004</v>
      </c>
      <c r="EY23" t="str">
        <f>"0.00278"</f>
        <v>0.00278</v>
      </c>
      <c r="EZ23" t="s">
        <v>684</v>
      </c>
      <c r="FA23" t="s">
        <v>791</v>
      </c>
      <c r="FB23" t="str">
        <f>"0.00278"</f>
        <v>0.00278</v>
      </c>
      <c r="FC23" t="s">
        <v>684</v>
      </c>
      <c r="FD23" t="s">
        <v>791</v>
      </c>
      <c r="FE23" t="str">
        <f>"0.00251"</f>
        <v>0.00251</v>
      </c>
      <c r="FF23" t="s">
        <v>931</v>
      </c>
      <c r="FG23" t="s">
        <v>613</v>
      </c>
      <c r="FH23" t="str">
        <f>"0.00225"</f>
        <v>0.00225</v>
      </c>
      <c r="FI23" t="s">
        <v>435</v>
      </c>
      <c r="FJ23" t="s">
        <v>669</v>
      </c>
      <c r="FK23" t="str">
        <f>"0.00246"</f>
        <v>0.00246</v>
      </c>
      <c r="FL23" t="s">
        <v>931</v>
      </c>
      <c r="FM23" t="s">
        <v>592</v>
      </c>
      <c r="FN23" t="str">
        <f>"0.00218"</f>
        <v>0.00218</v>
      </c>
      <c r="FO23" t="s">
        <v>435</v>
      </c>
      <c r="FP23" t="s">
        <v>655</v>
      </c>
      <c r="FQ23" t="str">
        <f>"0.00175"</f>
        <v>0.00175</v>
      </c>
      <c r="FR23" t="s">
        <v>932</v>
      </c>
      <c r="FS23" t="s">
        <v>1467</v>
      </c>
      <c r="FT23" t="str">
        <f>"0.00256"</f>
        <v>0.00256</v>
      </c>
      <c r="FU23" t="s">
        <v>684</v>
      </c>
      <c r="FV23" t="s">
        <v>592</v>
      </c>
      <c r="FW23" t="str">
        <f>"0.00245"</f>
        <v>0.00245</v>
      </c>
      <c r="FX23" t="s">
        <v>707</v>
      </c>
      <c r="FY23" t="s">
        <v>1560</v>
      </c>
      <c r="FZ23" t="str">
        <f>"0.00285"</f>
        <v>0.00285</v>
      </c>
      <c r="GA23" t="s">
        <v>786</v>
      </c>
      <c r="GB23" t="s">
        <v>662</v>
      </c>
      <c r="GC23" t="str">
        <f>"0.00276"</f>
        <v>0.00276</v>
      </c>
      <c r="GD23" t="s">
        <v>929</v>
      </c>
      <c r="GE23" t="s">
        <v>613</v>
      </c>
      <c r="GF23" t="str">
        <f>"0.00262"</f>
        <v>0.00262</v>
      </c>
      <c r="GG23" t="s">
        <v>347</v>
      </c>
      <c r="GH23" t="s">
        <v>592</v>
      </c>
      <c r="GI23" t="str">
        <f>"0.00213"</f>
        <v>0.00213</v>
      </c>
      <c r="GJ23" t="s">
        <v>935</v>
      </c>
      <c r="GK23" t="s">
        <v>655</v>
      </c>
      <c r="GL23" t="str">
        <f>"0.00242"</f>
        <v>0.00242</v>
      </c>
      <c r="GM23" t="s">
        <v>935</v>
      </c>
      <c r="GN23" t="s">
        <v>662</v>
      </c>
      <c r="GO23" t="str">
        <f>"0.00247"</f>
        <v>0.00247</v>
      </c>
      <c r="GP23" t="s">
        <v>636</v>
      </c>
      <c r="GQ23" t="s">
        <v>665</v>
      </c>
      <c r="GR23" t="str">
        <f>"0.00141"</f>
        <v>0.00141</v>
      </c>
      <c r="GS23" t="s">
        <v>945</v>
      </c>
      <c r="GT23" t="s">
        <v>721</v>
      </c>
      <c r="GU23" t="str">
        <f>"0.00155"</f>
        <v>0.00155</v>
      </c>
      <c r="GV23" t="s">
        <v>1012</v>
      </c>
      <c r="GW23" t="s">
        <v>655</v>
      </c>
      <c r="GX23" t="str">
        <f>"0.00117"</f>
        <v>0.00117</v>
      </c>
      <c r="GY23" t="s">
        <v>711</v>
      </c>
      <c r="GZ23" t="s">
        <v>789</v>
      </c>
      <c r="HA23" t="str">
        <f>"0.000734"</f>
        <v>0.000734</v>
      </c>
      <c r="HB23" t="s">
        <v>703</v>
      </c>
      <c r="HC23" t="s">
        <v>925</v>
      </c>
      <c r="HD23" t="str">
        <f>"0.00109"</f>
        <v>0.00109</v>
      </c>
      <c r="HE23" t="s">
        <v>920</v>
      </c>
      <c r="HF23" t="s">
        <v>789</v>
      </c>
      <c r="HG23" t="str">
        <f>"0.000726"</f>
        <v>0.000726</v>
      </c>
      <c r="HH23" t="s">
        <v>345</v>
      </c>
      <c r="HI23" t="s">
        <v>925</v>
      </c>
      <c r="HJ23" t="str">
        <f>"0.000270"</f>
        <v>0.000270</v>
      </c>
      <c r="HK23" t="s">
        <v>697</v>
      </c>
      <c r="HL23" t="s">
        <v>698</v>
      </c>
      <c r="HM23" t="str">
        <f>"0.00153"</f>
        <v>0.00153</v>
      </c>
      <c r="HN23" t="s">
        <v>945</v>
      </c>
      <c r="HO23" t="s">
        <v>655</v>
      </c>
      <c r="HP23" t="str">
        <f>"0.00161"</f>
        <v>0.00161</v>
      </c>
      <c r="HQ23" t="s">
        <v>945</v>
      </c>
      <c r="HR23" t="s">
        <v>1560</v>
      </c>
      <c r="HS23" t="str">
        <f>"0.00214"</f>
        <v>0.00214</v>
      </c>
      <c r="HT23" t="s">
        <v>1014</v>
      </c>
      <c r="HU23" t="s">
        <v>586</v>
      </c>
      <c r="HV23" t="str">
        <f>"0.00191"</f>
        <v>0.00191</v>
      </c>
      <c r="HW23" t="s">
        <v>717</v>
      </c>
      <c r="HX23" t="s">
        <v>662</v>
      </c>
      <c r="HY23" t="str">
        <f>"0.000264"</f>
        <v>0.000264</v>
      </c>
      <c r="HZ23" t="s">
        <v>3295</v>
      </c>
      <c r="IA23" t="s">
        <v>605</v>
      </c>
      <c r="IB23" t="str">
        <f>"0.000314"</f>
        <v>0.000314</v>
      </c>
      <c r="IC23" t="s">
        <v>914</v>
      </c>
      <c r="ID23" t="s">
        <v>1467</v>
      </c>
      <c r="IE23" t="str">
        <f>"-0.0000808"</f>
        <v>-0.0000808</v>
      </c>
      <c r="IF23" t="s">
        <v>672</v>
      </c>
      <c r="IG23" t="s">
        <v>1467</v>
      </c>
      <c r="IH23" t="str">
        <f>"-0.000241"</f>
        <v>-0.000241</v>
      </c>
      <c r="II23" t="s">
        <v>1514</v>
      </c>
      <c r="IJ23" t="s">
        <v>789</v>
      </c>
      <c r="IK23" t="str">
        <f>"-0.00254"</f>
        <v>-0.00254</v>
      </c>
      <c r="IL23" t="s">
        <v>1192</v>
      </c>
      <c r="IM23" t="s">
        <v>913</v>
      </c>
      <c r="IN23" t="str">
        <f>"-0.00230"</f>
        <v>-0.00230</v>
      </c>
      <c r="IO23" t="s">
        <v>897</v>
      </c>
      <c r="IP23" t="s">
        <v>912</v>
      </c>
      <c r="IQ23" t="str">
        <f>"-0.00238"</f>
        <v>-0.00238</v>
      </c>
      <c r="IR23" t="s">
        <v>3557</v>
      </c>
      <c r="IS23" t="s">
        <v>691</v>
      </c>
      <c r="IT23" t="str">
        <f>"-0.00200"</f>
        <v>-0.00200</v>
      </c>
      <c r="IU23" t="s">
        <v>664</v>
      </c>
      <c r="IV23" t="s">
        <v>685</v>
      </c>
      <c r="IW23" t="str">
        <f>"-0.00258"</f>
        <v>-0.00258</v>
      </c>
      <c r="IX23" t="s">
        <v>1117</v>
      </c>
      <c r="IY23" t="s">
        <v>800</v>
      </c>
      <c r="IZ23" t="str">
        <f>"-0.00396"</f>
        <v>-0.00396</v>
      </c>
      <c r="JA23" t="s">
        <v>793</v>
      </c>
      <c r="JB23" t="s">
        <v>1457</v>
      </c>
      <c r="JC23" t="str">
        <f>"-0.00307"</f>
        <v>-0.00307</v>
      </c>
      <c r="JD23" t="s">
        <v>668</v>
      </c>
      <c r="JE23" t="s">
        <v>588</v>
      </c>
      <c r="JF23" t="str">
        <f>"-0.00192"</f>
        <v>-0.00192</v>
      </c>
      <c r="JG23" t="s">
        <v>908</v>
      </c>
      <c r="JH23" t="s">
        <v>716</v>
      </c>
      <c r="JI23" t="str">
        <f>"-0.00151"</f>
        <v>-0.00151</v>
      </c>
      <c r="JJ23" t="s">
        <v>967</v>
      </c>
      <c r="JK23" t="s">
        <v>590</v>
      </c>
      <c r="JL23" t="str">
        <f>"-0.00311"</f>
        <v>-0.00311</v>
      </c>
      <c r="JM23" t="s">
        <v>5714</v>
      </c>
      <c r="JN23" t="s">
        <v>667</v>
      </c>
      <c r="JO23" t="str">
        <f>"-0.00302"</f>
        <v>-0.00302</v>
      </c>
      <c r="JP23" t="s">
        <v>965</v>
      </c>
      <c r="JQ23" t="s">
        <v>915</v>
      </c>
      <c r="JR23" t="str">
        <f>"-0.00415"</f>
        <v>-0.00415</v>
      </c>
      <c r="JS23" t="s">
        <v>831</v>
      </c>
      <c r="JT23" t="s">
        <v>800</v>
      </c>
      <c r="JU23" t="str">
        <f>"-0.00415"</f>
        <v>-0.00415</v>
      </c>
      <c r="JV23" t="s">
        <v>2836</v>
      </c>
      <c r="JW23" t="s">
        <v>906</v>
      </c>
      <c r="JX23" t="str">
        <f>"-0.00795*"</f>
        <v>-0.00795*</v>
      </c>
      <c r="JY23" t="s">
        <v>3499</v>
      </c>
      <c r="JZ23" t="s">
        <v>1089</v>
      </c>
      <c r="KA23" t="str">
        <f>"-0.00591"</f>
        <v>-0.00591</v>
      </c>
      <c r="KB23" t="s">
        <v>3577</v>
      </c>
      <c r="KC23" t="s">
        <v>1487</v>
      </c>
      <c r="KD23" t="str">
        <f>"-0.0119**"</f>
        <v>-0.0119**</v>
      </c>
      <c r="KE23" t="s">
        <v>1065</v>
      </c>
      <c r="KF23" t="s">
        <v>1111</v>
      </c>
      <c r="KG23" t="str">
        <f>"-0.0154***"</f>
        <v>-0.0154***</v>
      </c>
      <c r="KH23" t="s">
        <v>1094</v>
      </c>
      <c r="KI23" t="s">
        <v>845</v>
      </c>
      <c r="KJ23" t="str">
        <f>"-0.0189**"</f>
        <v>-0.0189**</v>
      </c>
      <c r="KK23" t="s">
        <v>4768</v>
      </c>
      <c r="KL23" t="s">
        <v>3572</v>
      </c>
    </row>
    <row r="24" spans="1:298" x14ac:dyDescent="0.2">
      <c r="A24" t="str">
        <f>"formal"</f>
        <v>formal</v>
      </c>
      <c r="B24" t="str">
        <f>"-0.00200"</f>
        <v>-0.00200</v>
      </c>
      <c r="C24" t="s">
        <v>967</v>
      </c>
      <c r="D24" t="s">
        <v>701</v>
      </c>
      <c r="E24" t="str">
        <f>"-0.00200"</f>
        <v>-0.00200</v>
      </c>
      <c r="F24" t="s">
        <v>967</v>
      </c>
      <c r="G24" t="s">
        <v>701</v>
      </c>
      <c r="H24" t="str">
        <f>"-0.00200"</f>
        <v>-0.00200</v>
      </c>
      <c r="I24" t="s">
        <v>967</v>
      </c>
      <c r="J24" t="s">
        <v>701</v>
      </c>
      <c r="K24" t="str">
        <f>"-0.233***"</f>
        <v>-0.233***</v>
      </c>
      <c r="L24" t="s">
        <v>5730</v>
      </c>
      <c r="M24" t="s">
        <v>5731</v>
      </c>
      <c r="N24" t="str">
        <f>"0.0294"</f>
        <v>0.0294</v>
      </c>
      <c r="O24" t="s">
        <v>3571</v>
      </c>
      <c r="P24" t="s">
        <v>5732</v>
      </c>
      <c r="Q24" t="str">
        <f>"-0.0643**"</f>
        <v>-0.0643**</v>
      </c>
      <c r="R24" t="s">
        <v>5733</v>
      </c>
      <c r="S24" t="s">
        <v>4519</v>
      </c>
      <c r="T24" t="str">
        <f>"0.0210"</f>
        <v>0.0210</v>
      </c>
      <c r="U24" t="s">
        <v>3598</v>
      </c>
      <c r="V24" t="s">
        <v>5734</v>
      </c>
      <c r="W24" t="str">
        <f>"-0.0151"</f>
        <v>-0.0151</v>
      </c>
      <c r="X24" t="s">
        <v>5735</v>
      </c>
      <c r="Y24" t="s">
        <v>629</v>
      </c>
      <c r="Z24" t="str">
        <f>"-0.0263"</f>
        <v>-0.0263</v>
      </c>
      <c r="AA24" t="s">
        <v>3690</v>
      </c>
      <c r="AB24" t="s">
        <v>568</v>
      </c>
      <c r="AC24" t="str">
        <f>"-0.00658"</f>
        <v>-0.00658</v>
      </c>
      <c r="AD24" t="s">
        <v>3873</v>
      </c>
      <c r="AE24" t="s">
        <v>1214</v>
      </c>
      <c r="AF24" t="str">
        <f>"-0.0201"</f>
        <v>-0.0201</v>
      </c>
      <c r="AG24" t="s">
        <v>3459</v>
      </c>
      <c r="AH24" t="s">
        <v>581</v>
      </c>
      <c r="AI24" t="str">
        <f>"-0.0205"</f>
        <v>-0.0205</v>
      </c>
      <c r="AJ24" t="s">
        <v>5736</v>
      </c>
      <c r="AK24" t="s">
        <v>723</v>
      </c>
      <c r="AL24" t="str">
        <f>"-0.0341**"</f>
        <v>-0.0341**</v>
      </c>
      <c r="AM24" t="s">
        <v>3662</v>
      </c>
      <c r="AN24" t="s">
        <v>1103</v>
      </c>
      <c r="AO24" t="str">
        <f>"0.0468***"</f>
        <v>0.0468***</v>
      </c>
      <c r="AP24" t="s">
        <v>1641</v>
      </c>
      <c r="AQ24" t="s">
        <v>4093</v>
      </c>
      <c r="AR24" t="str">
        <f>"0.0644***"</f>
        <v>0.0644***</v>
      </c>
      <c r="AS24" t="s">
        <v>5737</v>
      </c>
      <c r="AT24" t="s">
        <v>3457</v>
      </c>
      <c r="AU24" t="str">
        <f>"-0.0139"</f>
        <v>-0.0139</v>
      </c>
      <c r="AV24" t="s">
        <v>3673</v>
      </c>
      <c r="AW24" t="s">
        <v>934</v>
      </c>
      <c r="AX24" t="str">
        <f>"-0.0223***"</f>
        <v>-0.0223***</v>
      </c>
      <c r="AY24" t="s">
        <v>249</v>
      </c>
      <c r="AZ24" t="s">
        <v>1108</v>
      </c>
      <c r="BA24" t="str">
        <f>"0.00875"</f>
        <v>0.00875</v>
      </c>
      <c r="BB24" t="s">
        <v>711</v>
      </c>
      <c r="BC24" t="s">
        <v>999</v>
      </c>
      <c r="BD24" t="str">
        <f>"-0.0235***"</f>
        <v>-0.0235***</v>
      </c>
      <c r="BE24" t="s">
        <v>5738</v>
      </c>
      <c r="BF24" t="s">
        <v>5739</v>
      </c>
      <c r="BG24" t="str">
        <f>"-0.0339***"</f>
        <v>-0.0339***</v>
      </c>
      <c r="BH24" t="s">
        <v>535</v>
      </c>
      <c r="BI24" t="s">
        <v>5329</v>
      </c>
      <c r="BJ24" t="str">
        <f>"-0.0117*"</f>
        <v>-0.0117*</v>
      </c>
      <c r="BK24" t="s">
        <v>4486</v>
      </c>
      <c r="BL24" t="s">
        <v>1503</v>
      </c>
      <c r="BM24" t="str">
        <f>"0.0114*"</f>
        <v>0.0114*</v>
      </c>
      <c r="BN24" t="s">
        <v>1463</v>
      </c>
      <c r="BO24" t="s">
        <v>3534</v>
      </c>
      <c r="BP24" t="str">
        <f>"0.0103*"</f>
        <v>0.0103*</v>
      </c>
      <c r="BQ24" t="s">
        <v>718</v>
      </c>
      <c r="BR24" t="s">
        <v>978</v>
      </c>
      <c r="BS24" t="str">
        <f>"0.000780"</f>
        <v>0.000780</v>
      </c>
      <c r="BT24" t="s">
        <v>1708</v>
      </c>
      <c r="BU24" t="s">
        <v>726</v>
      </c>
      <c r="BV24" t="str">
        <f>"-0.0131**"</f>
        <v>-0.0131**</v>
      </c>
      <c r="BW24" t="s">
        <v>850</v>
      </c>
      <c r="BX24" t="s">
        <v>3271</v>
      </c>
      <c r="BY24" t="str">
        <f>"-0.0196***"</f>
        <v>-0.0196***</v>
      </c>
      <c r="BZ24" t="s">
        <v>4710</v>
      </c>
      <c r="CA24" t="s">
        <v>849</v>
      </c>
      <c r="CB24" t="str">
        <f>"-0.0146**"</f>
        <v>-0.0146**</v>
      </c>
      <c r="CC24" t="s">
        <v>495</v>
      </c>
      <c r="CD24" t="s">
        <v>3652</v>
      </c>
      <c r="CE24" t="str">
        <f>"-0.0131**"</f>
        <v>-0.0131**</v>
      </c>
      <c r="CF24" t="s">
        <v>4652</v>
      </c>
      <c r="CG24" t="s">
        <v>1448</v>
      </c>
      <c r="CH24" t="str">
        <f>"-0.0172***"</f>
        <v>-0.0172***</v>
      </c>
      <c r="CI24" t="s">
        <v>481</v>
      </c>
      <c r="CJ24" t="s">
        <v>4477</v>
      </c>
      <c r="CK24" t="str">
        <f>"-0.0196***"</f>
        <v>-0.0196***</v>
      </c>
      <c r="CL24" t="s">
        <v>493</v>
      </c>
      <c r="CM24" t="s">
        <v>3020</v>
      </c>
      <c r="CN24" t="str">
        <f>"-0.0207***"</f>
        <v>-0.0207***</v>
      </c>
      <c r="CO24" t="s">
        <v>571</v>
      </c>
      <c r="CP24" t="s">
        <v>3570</v>
      </c>
      <c r="CQ24" t="str">
        <f>"-0.0164**"</f>
        <v>-0.0164**</v>
      </c>
      <c r="CR24" t="s">
        <v>844</v>
      </c>
      <c r="CS24" t="s">
        <v>3565</v>
      </c>
      <c r="CT24" t="str">
        <f>"-0.0152**"</f>
        <v>-0.0152**</v>
      </c>
      <c r="CU24" t="s">
        <v>4766</v>
      </c>
      <c r="CV24" t="s">
        <v>3272</v>
      </c>
      <c r="CW24" t="str">
        <f>"-0.0119*"</f>
        <v>-0.0119*</v>
      </c>
      <c r="CX24" t="s">
        <v>3447</v>
      </c>
      <c r="CY24" t="s">
        <v>704</v>
      </c>
      <c r="CZ24" t="str">
        <f>"-0.00951"</f>
        <v>-0.00951</v>
      </c>
      <c r="DA24" t="s">
        <v>820</v>
      </c>
      <c r="DB24" t="s">
        <v>691</v>
      </c>
      <c r="DC24" t="str">
        <f>"-0.00768"</f>
        <v>-0.00768</v>
      </c>
      <c r="DD24" t="s">
        <v>827</v>
      </c>
      <c r="DE24" t="s">
        <v>699</v>
      </c>
      <c r="DF24" t="str">
        <f>"-0.00443"</f>
        <v>-0.00443</v>
      </c>
      <c r="DG24" t="s">
        <v>4267</v>
      </c>
      <c r="DH24" t="s">
        <v>653</v>
      </c>
      <c r="DI24" t="str">
        <f>"-0.00282"</f>
        <v>-0.00282</v>
      </c>
      <c r="DJ24" t="s">
        <v>957</v>
      </c>
      <c r="DK24" t="s">
        <v>1082</v>
      </c>
      <c r="DL24" t="str">
        <f>"-0.00186"</f>
        <v>-0.00186</v>
      </c>
      <c r="DM24" t="s">
        <v>2819</v>
      </c>
      <c r="DN24" t="s">
        <v>958</v>
      </c>
      <c r="DO24" t="str">
        <f>"0.00212"</f>
        <v>0.00212</v>
      </c>
      <c r="DP24" t="s">
        <v>3299</v>
      </c>
      <c r="DQ24" t="s">
        <v>1056</v>
      </c>
      <c r="DR24" t="str">
        <f>"-0.00998"</f>
        <v>-0.00998</v>
      </c>
      <c r="DS24" t="s">
        <v>1097</v>
      </c>
      <c r="DT24" t="s">
        <v>913</v>
      </c>
      <c r="DU24" t="str">
        <f>"-0.0114"</f>
        <v>-0.0114</v>
      </c>
      <c r="DV24" t="s">
        <v>1977</v>
      </c>
      <c r="DW24" t="s">
        <v>709</v>
      </c>
      <c r="DX24" t="str">
        <f>"-0.00894"</f>
        <v>-0.00894</v>
      </c>
      <c r="DY24" t="s">
        <v>820</v>
      </c>
      <c r="DZ24" t="s">
        <v>716</v>
      </c>
      <c r="EA24" t="str">
        <f>"-0.0109"</f>
        <v>-0.0109</v>
      </c>
      <c r="EB24" t="s">
        <v>5740</v>
      </c>
      <c r="EC24" t="s">
        <v>938</v>
      </c>
      <c r="ED24" t="str">
        <f>"-0.0125*"</f>
        <v>-0.0125*</v>
      </c>
      <c r="EE24" t="s">
        <v>2846</v>
      </c>
      <c r="EF24" t="s">
        <v>1119</v>
      </c>
      <c r="EG24" t="str">
        <f>"-0.00896"</f>
        <v>-0.00896</v>
      </c>
      <c r="EH24" t="s">
        <v>4765</v>
      </c>
      <c r="EI24" t="s">
        <v>915</v>
      </c>
      <c r="EJ24" t="str">
        <f>"-0.00414"</f>
        <v>-0.00414</v>
      </c>
      <c r="EK24" t="s">
        <v>4267</v>
      </c>
      <c r="EL24" t="s">
        <v>733</v>
      </c>
      <c r="EM24" t="str">
        <f>"-0.00358"</f>
        <v>-0.00358</v>
      </c>
      <c r="EN24" t="s">
        <v>1102</v>
      </c>
      <c r="EO24" t="s">
        <v>570</v>
      </c>
      <c r="EP24" t="str">
        <f>"-0.00000359"</f>
        <v>-0.00000359</v>
      </c>
      <c r="EQ24" t="s">
        <v>3561</v>
      </c>
      <c r="ER24" t="s">
        <v>565</v>
      </c>
      <c r="ES24" t="str">
        <f>"0.00306"</f>
        <v>0.00306</v>
      </c>
      <c r="ET24" t="s">
        <v>641</v>
      </c>
      <c r="EU24" t="s">
        <v>607</v>
      </c>
      <c r="EV24" t="str">
        <f>"0.00420"</f>
        <v>0.00420</v>
      </c>
      <c r="EW24" t="s">
        <v>1708</v>
      </c>
      <c r="EX24" t="s">
        <v>987</v>
      </c>
      <c r="EY24" t="str">
        <f>"0.00754"</f>
        <v>0.00754</v>
      </c>
      <c r="EZ24" t="s">
        <v>1159</v>
      </c>
      <c r="FA24" t="s">
        <v>995</v>
      </c>
      <c r="FB24" t="str">
        <f>"0.00837"</f>
        <v>0.00837</v>
      </c>
      <c r="FC24" t="s">
        <v>1003</v>
      </c>
      <c r="FD24" t="s">
        <v>990</v>
      </c>
      <c r="FE24" t="str">
        <f>"0.00794"</f>
        <v>0.00794</v>
      </c>
      <c r="FF24" t="s">
        <v>1514</v>
      </c>
      <c r="FG24" t="s">
        <v>787</v>
      </c>
      <c r="FH24" t="str">
        <f>"0.00824"</f>
        <v>0.00824</v>
      </c>
      <c r="FI24" t="s">
        <v>672</v>
      </c>
      <c r="FJ24" t="s">
        <v>990</v>
      </c>
      <c r="FK24" t="str">
        <f>"0.0109"</f>
        <v>0.0109</v>
      </c>
      <c r="FL24" t="s">
        <v>945</v>
      </c>
      <c r="FM24" t="s">
        <v>1214</v>
      </c>
      <c r="FN24" t="str">
        <f>"0.00663"</f>
        <v>0.00663</v>
      </c>
      <c r="FO24" t="s">
        <v>897</v>
      </c>
      <c r="FP24" t="s">
        <v>645</v>
      </c>
      <c r="FQ24" t="str">
        <f>"0.00665"</f>
        <v>0.00665</v>
      </c>
      <c r="FR24" t="s">
        <v>1010</v>
      </c>
      <c r="FS24" t="s">
        <v>3535</v>
      </c>
      <c r="FT24" t="str">
        <f>"0.000466"</f>
        <v>0.000466</v>
      </c>
      <c r="FU24" t="s">
        <v>689</v>
      </c>
      <c r="FV24" t="s">
        <v>625</v>
      </c>
      <c r="FW24" t="str">
        <f>"0.00182"</f>
        <v>0.00182</v>
      </c>
      <c r="FX24" t="s">
        <v>2816</v>
      </c>
      <c r="FY24" t="s">
        <v>1676</v>
      </c>
      <c r="FZ24" t="str">
        <f>"0.00209"</f>
        <v>0.00209</v>
      </c>
      <c r="GA24" t="s">
        <v>973</v>
      </c>
      <c r="GB24" t="s">
        <v>972</v>
      </c>
      <c r="GC24" t="str">
        <f>"0.000207"</f>
        <v>0.000207</v>
      </c>
      <c r="GD24" t="s">
        <v>2841</v>
      </c>
      <c r="GE24" t="s">
        <v>4712</v>
      </c>
      <c r="GF24" t="str">
        <f>"-0.000920"</f>
        <v>-0.000920</v>
      </c>
      <c r="GG24" t="s">
        <v>5741</v>
      </c>
      <c r="GH24" t="s">
        <v>739</v>
      </c>
      <c r="GI24" t="str">
        <f>"0.0000155"</f>
        <v>0.0000155</v>
      </c>
      <c r="GJ24" t="s">
        <v>3287</v>
      </c>
      <c r="GK24" t="s">
        <v>943</v>
      </c>
      <c r="GL24" t="str">
        <f>"-0.00237"</f>
        <v>-0.00237</v>
      </c>
      <c r="GM24" t="s">
        <v>1110</v>
      </c>
      <c r="GN24" t="s">
        <v>565</v>
      </c>
      <c r="GO24" t="str">
        <f>"-0.00163"</f>
        <v>-0.00163</v>
      </c>
      <c r="GP24" t="s">
        <v>2859</v>
      </c>
      <c r="GQ24" t="s">
        <v>1546</v>
      </c>
      <c r="GR24" t="str">
        <f>"-0.000503"</f>
        <v>-0.000503</v>
      </c>
      <c r="GS24" t="s">
        <v>5742</v>
      </c>
      <c r="GT24" t="s">
        <v>1190</v>
      </c>
      <c r="GU24" t="str">
        <f>"-0.00125"</f>
        <v>-0.00125</v>
      </c>
      <c r="GV24" t="s">
        <v>846</v>
      </c>
      <c r="GW24" t="s">
        <v>972</v>
      </c>
      <c r="GX24" t="str">
        <f>"-0.00305"</f>
        <v>-0.00305</v>
      </c>
      <c r="GY24" t="s">
        <v>557</v>
      </c>
      <c r="GZ24" t="s">
        <v>1547</v>
      </c>
      <c r="HA24" t="str">
        <f>"0.00209"</f>
        <v>0.00209</v>
      </c>
      <c r="HB24" t="s">
        <v>957</v>
      </c>
      <c r="HC24" t="s">
        <v>964</v>
      </c>
      <c r="HD24" t="str">
        <f>"0.00329"</f>
        <v>0.00329</v>
      </c>
      <c r="HE24" t="s">
        <v>3013</v>
      </c>
      <c r="HF24" t="s">
        <v>645</v>
      </c>
      <c r="HG24" t="str">
        <f>"0.00551"</f>
        <v>0.00551</v>
      </c>
      <c r="HH24" t="s">
        <v>788</v>
      </c>
      <c r="HI24" t="s">
        <v>780</v>
      </c>
      <c r="HJ24" t="str">
        <f>"0.00313"</f>
        <v>0.00313</v>
      </c>
      <c r="HK24" t="s">
        <v>5741</v>
      </c>
      <c r="HL24" t="s">
        <v>999</v>
      </c>
      <c r="HM24" t="str">
        <f>"0.00356"</f>
        <v>0.00356</v>
      </c>
      <c r="HN24" t="s">
        <v>3646</v>
      </c>
      <c r="HO24" t="s">
        <v>995</v>
      </c>
      <c r="HP24" t="str">
        <f>"0.00362"</f>
        <v>0.00362</v>
      </c>
      <c r="HQ24" t="s">
        <v>3287</v>
      </c>
      <c r="HR24" t="s">
        <v>3533</v>
      </c>
      <c r="HS24" t="str">
        <f>"0.00395"</f>
        <v>0.00395</v>
      </c>
      <c r="HT24" t="s">
        <v>5741</v>
      </c>
      <c r="HU24" t="s">
        <v>3269</v>
      </c>
      <c r="HV24" t="str">
        <f>"0.00854"</f>
        <v>0.00854</v>
      </c>
      <c r="HW24" t="s">
        <v>706</v>
      </c>
      <c r="HX24" t="s">
        <v>3649</v>
      </c>
      <c r="HY24" t="str">
        <f>"0.0100"</f>
        <v>0.0100</v>
      </c>
      <c r="HZ24" t="s">
        <v>5714</v>
      </c>
      <c r="IA24" t="s">
        <v>989</v>
      </c>
      <c r="IB24" t="str">
        <f>"0.0143"</f>
        <v>0.0143</v>
      </c>
      <c r="IC24" t="s">
        <v>654</v>
      </c>
      <c r="ID24" t="s">
        <v>2850</v>
      </c>
      <c r="IE24" t="str">
        <f>"0.0156"</f>
        <v>0.0156</v>
      </c>
      <c r="IF24" t="s">
        <v>1010</v>
      </c>
      <c r="IG24" t="s">
        <v>1435</v>
      </c>
      <c r="IH24" t="str">
        <f>"0.0158"</f>
        <v>0.0158</v>
      </c>
      <c r="II24" t="s">
        <v>676</v>
      </c>
      <c r="IJ24" t="s">
        <v>3341</v>
      </c>
      <c r="IK24" t="str">
        <f>"0.0157"</f>
        <v>0.0157</v>
      </c>
      <c r="IL24" t="s">
        <v>3270</v>
      </c>
      <c r="IM24" t="s">
        <v>771</v>
      </c>
      <c r="IN24" t="str">
        <f>"0.0194"</f>
        <v>0.0194</v>
      </c>
      <c r="IO24" t="s">
        <v>920</v>
      </c>
      <c r="IP24" t="s">
        <v>1193</v>
      </c>
      <c r="IQ24" t="str">
        <f>"0.0107"</f>
        <v>0.0107</v>
      </c>
      <c r="IR24" t="s">
        <v>2836</v>
      </c>
      <c r="IS24" t="s">
        <v>1689</v>
      </c>
      <c r="IT24" t="str">
        <f>"0.0124"</f>
        <v>0.0124</v>
      </c>
      <c r="IU24" t="s">
        <v>641</v>
      </c>
      <c r="IV24" t="s">
        <v>2850</v>
      </c>
      <c r="IW24" t="str">
        <f>"0.0158"</f>
        <v>0.0158</v>
      </c>
      <c r="IX24" t="s">
        <v>1079</v>
      </c>
      <c r="IY24" t="s">
        <v>773</v>
      </c>
      <c r="IZ24" t="str">
        <f>"0.0169"</f>
        <v>0.0169</v>
      </c>
      <c r="JA24" t="s">
        <v>1079</v>
      </c>
      <c r="JB24" t="s">
        <v>3147</v>
      </c>
      <c r="JC24" t="str">
        <f>"0.0159"</f>
        <v>0.0159</v>
      </c>
      <c r="JD24" t="s">
        <v>1077</v>
      </c>
      <c r="JE24" t="s">
        <v>5743</v>
      </c>
      <c r="JF24" t="str">
        <f>"0.0154"</f>
        <v>0.0154</v>
      </c>
      <c r="JG24" t="s">
        <v>3558</v>
      </c>
      <c r="JH24" t="s">
        <v>5744</v>
      </c>
      <c r="JI24" t="str">
        <f>"0.00774"</f>
        <v>0.00774</v>
      </c>
      <c r="JJ24" t="s">
        <v>4652</v>
      </c>
      <c r="JK24" t="s">
        <v>3632</v>
      </c>
      <c r="JL24" t="str">
        <f>"-0.00845"</f>
        <v>-0.00845</v>
      </c>
      <c r="JM24" t="s">
        <v>4774</v>
      </c>
      <c r="JN24" t="s">
        <v>559</v>
      </c>
      <c r="JO24" t="str">
        <f>"-0.0102"</f>
        <v>-0.0102</v>
      </c>
      <c r="JP24" t="s">
        <v>5745</v>
      </c>
      <c r="JQ24" t="s">
        <v>1523</v>
      </c>
      <c r="JR24" t="str">
        <f>"-0.0143"</f>
        <v>-0.0143</v>
      </c>
      <c r="JS24" t="s">
        <v>5746</v>
      </c>
      <c r="JT24" t="s">
        <v>1126</v>
      </c>
      <c r="JU24" t="str">
        <f>"0.00256"</f>
        <v>0.00256</v>
      </c>
      <c r="JV24" t="s">
        <v>2863</v>
      </c>
      <c r="JW24" t="s">
        <v>1149</v>
      </c>
      <c r="JX24" t="str">
        <f>"0.00505"</f>
        <v>0.00505</v>
      </c>
      <c r="JY24" t="s">
        <v>4647</v>
      </c>
      <c r="JZ24" t="s">
        <v>5747</v>
      </c>
      <c r="KA24" t="str">
        <f>"-0.0170"</f>
        <v>-0.0170</v>
      </c>
      <c r="KB24" t="s">
        <v>5748</v>
      </c>
      <c r="KC24" t="s">
        <v>5749</v>
      </c>
      <c r="KD24" t="str">
        <f>"-0.0298"</f>
        <v>-0.0298</v>
      </c>
      <c r="KE24" t="s">
        <v>1132</v>
      </c>
      <c r="KF24" t="s">
        <v>1745</v>
      </c>
      <c r="KG24" t="str">
        <f>"-0.0519"</f>
        <v>-0.0519</v>
      </c>
      <c r="KH24" t="s">
        <v>5750</v>
      </c>
      <c r="KI24" t="s">
        <v>1214</v>
      </c>
      <c r="KJ24" t="str">
        <f>"-0.0546"</f>
        <v>-0.0546</v>
      </c>
      <c r="KK24" t="s">
        <v>5751</v>
      </c>
      <c r="KL24" t="s">
        <v>755</v>
      </c>
    </row>
    <row r="25" spans="1:298" x14ac:dyDescent="0.2">
      <c r="A25" t="str">
        <f>"Regi√£o"</f>
        <v>Regi√£o</v>
      </c>
      <c r="B25" t="str">
        <f>"-0.000475"</f>
        <v>-0.000475</v>
      </c>
      <c r="C25" t="s">
        <v>697</v>
      </c>
      <c r="D25" t="s">
        <v>797</v>
      </c>
      <c r="E25" t="str">
        <f>"-0.000475"</f>
        <v>-0.000475</v>
      </c>
      <c r="F25" t="s">
        <v>697</v>
      </c>
      <c r="G25" t="s">
        <v>797</v>
      </c>
      <c r="H25" t="str">
        <f>"-0.000475"</f>
        <v>-0.000475</v>
      </c>
      <c r="I25" t="s">
        <v>697</v>
      </c>
      <c r="J25" t="s">
        <v>797</v>
      </c>
      <c r="K25" t="str">
        <f>"-0.0326"</f>
        <v>-0.0326</v>
      </c>
      <c r="L25" t="s">
        <v>5752</v>
      </c>
      <c r="M25" t="s">
        <v>642</v>
      </c>
      <c r="N25" t="str">
        <f>"-0.0236"</f>
        <v>-0.0236</v>
      </c>
      <c r="O25" t="s">
        <v>870</v>
      </c>
      <c r="P25" t="s">
        <v>594</v>
      </c>
      <c r="Q25" t="str">
        <f>"-0.0475***"</f>
        <v>-0.0475***</v>
      </c>
      <c r="R25" t="s">
        <v>5712</v>
      </c>
      <c r="S25" t="s">
        <v>5753</v>
      </c>
      <c r="T25" t="str">
        <f>"-0.0414***"</f>
        <v>-0.0414***</v>
      </c>
      <c r="U25" t="s">
        <v>2865</v>
      </c>
      <c r="V25" t="s">
        <v>5582</v>
      </c>
      <c r="W25" t="str">
        <f>"-0.0318***"</f>
        <v>-0.0318***</v>
      </c>
      <c r="X25" t="s">
        <v>5754</v>
      </c>
      <c r="Y25" t="s">
        <v>5755</v>
      </c>
      <c r="Z25" t="str">
        <f>"-0.0229**"</f>
        <v>-0.0229**</v>
      </c>
      <c r="AA25" t="s">
        <v>1216</v>
      </c>
      <c r="AB25" t="s">
        <v>3572</v>
      </c>
      <c r="AC25" t="str">
        <f>"-0.0175*"</f>
        <v>-0.0175*</v>
      </c>
      <c r="AD25" t="s">
        <v>521</v>
      </c>
      <c r="AE25" t="s">
        <v>1509</v>
      </c>
      <c r="AF25" t="str">
        <f>"-0.0309***"</f>
        <v>-0.0309***</v>
      </c>
      <c r="AG25" t="s">
        <v>3584</v>
      </c>
      <c r="AH25" t="s">
        <v>5756</v>
      </c>
      <c r="AI25" t="str">
        <f>"-0.0203**"</f>
        <v>-0.0203**</v>
      </c>
      <c r="AJ25" t="s">
        <v>487</v>
      </c>
      <c r="AK25" t="s">
        <v>3293</v>
      </c>
      <c r="AL25" t="str">
        <f>"-0.0207***"</f>
        <v>-0.0207***</v>
      </c>
      <c r="AM25" t="s">
        <v>5757</v>
      </c>
      <c r="AN25" t="s">
        <v>3012</v>
      </c>
      <c r="AO25" t="str">
        <f>"-0.0236***"</f>
        <v>-0.0236***</v>
      </c>
      <c r="AP25" t="s">
        <v>5758</v>
      </c>
      <c r="AQ25" t="s">
        <v>4487</v>
      </c>
      <c r="AR25" t="str">
        <f>"-0.0181***"</f>
        <v>-0.0181***</v>
      </c>
      <c r="AS25" t="s">
        <v>1390</v>
      </c>
      <c r="AT25" t="s">
        <v>1188</v>
      </c>
      <c r="AU25" t="str">
        <f>"-0.00715"</f>
        <v>-0.00715</v>
      </c>
      <c r="AV25" t="s">
        <v>4489</v>
      </c>
      <c r="AW25" t="s">
        <v>661</v>
      </c>
      <c r="AX25" t="str">
        <f>"-0.0106***"</f>
        <v>-0.0106***</v>
      </c>
      <c r="AY25" t="s">
        <v>510</v>
      </c>
      <c r="AZ25" t="s">
        <v>819</v>
      </c>
      <c r="BA25" t="str">
        <f>"-0.00525"</f>
        <v>-0.00525</v>
      </c>
      <c r="BB25" t="s">
        <v>973</v>
      </c>
      <c r="BC25" t="s">
        <v>709</v>
      </c>
      <c r="BD25" t="str">
        <f>"-0.00461"</f>
        <v>-0.00461</v>
      </c>
      <c r="BE25" t="s">
        <v>641</v>
      </c>
      <c r="BF25" t="s">
        <v>709</v>
      </c>
      <c r="BG25" t="str">
        <f>"-0.00739**"</f>
        <v>-0.00739**</v>
      </c>
      <c r="BH25" t="s">
        <v>3577</v>
      </c>
      <c r="BI25" t="s">
        <v>1502</v>
      </c>
      <c r="BJ25" t="str">
        <f>"-0.00938***"</f>
        <v>-0.00938***</v>
      </c>
      <c r="BK25" t="s">
        <v>3287</v>
      </c>
      <c r="BL25" t="s">
        <v>822</v>
      </c>
      <c r="BM25" t="str">
        <f>"-0.0184***"</f>
        <v>-0.0184***</v>
      </c>
      <c r="BN25" t="s">
        <v>5740</v>
      </c>
      <c r="BO25" t="s">
        <v>1307</v>
      </c>
      <c r="BP25" t="str">
        <f>"-0.00725**"</f>
        <v>-0.00725**</v>
      </c>
      <c r="BQ25" t="s">
        <v>1112</v>
      </c>
      <c r="BR25" t="s">
        <v>1503</v>
      </c>
      <c r="BS25" t="str">
        <f>"-0.000371"</f>
        <v>-0.000371</v>
      </c>
      <c r="BT25" t="s">
        <v>1003</v>
      </c>
      <c r="BU25" t="s">
        <v>671</v>
      </c>
      <c r="BV25" t="str">
        <f>"-0.00764***"</f>
        <v>-0.00764***</v>
      </c>
      <c r="BW25" t="s">
        <v>3300</v>
      </c>
      <c r="BX25" t="s">
        <v>847</v>
      </c>
      <c r="BY25" t="str">
        <f>"-0.00435"</f>
        <v>-0.00435</v>
      </c>
      <c r="BZ25" t="s">
        <v>793</v>
      </c>
      <c r="CA25" t="s">
        <v>1487</v>
      </c>
      <c r="CB25" t="str">
        <f>"-0.00658**"</f>
        <v>-0.00658**</v>
      </c>
      <c r="CC25" t="s">
        <v>973</v>
      </c>
      <c r="CD25" t="s">
        <v>1507</v>
      </c>
      <c r="CE25" t="str">
        <f>"-0.00887***"</f>
        <v>-0.00887***</v>
      </c>
      <c r="CF25" t="s">
        <v>5523</v>
      </c>
      <c r="CG25" t="s">
        <v>819</v>
      </c>
      <c r="CH25" t="str">
        <f>"-0.00916***"</f>
        <v>-0.00916***</v>
      </c>
      <c r="CI25" t="s">
        <v>2819</v>
      </c>
      <c r="CJ25" t="s">
        <v>688</v>
      </c>
      <c r="CK25" t="str">
        <f>"-0.00992***"</f>
        <v>-0.00992***</v>
      </c>
      <c r="CL25" t="s">
        <v>957</v>
      </c>
      <c r="CM25" t="s">
        <v>3562</v>
      </c>
      <c r="CN25" t="str">
        <f>"-0.00798**"</f>
        <v>-0.00798**</v>
      </c>
      <c r="CO25" t="s">
        <v>2841</v>
      </c>
      <c r="CP25" t="s">
        <v>1504</v>
      </c>
      <c r="CQ25" t="str">
        <f>"-0.00649*"</f>
        <v>-0.00649*</v>
      </c>
      <c r="CR25" t="s">
        <v>1112</v>
      </c>
      <c r="CS25" t="s">
        <v>812</v>
      </c>
      <c r="CT25" t="str">
        <f>"-0.00612*"</f>
        <v>-0.00612*</v>
      </c>
      <c r="CU25" t="s">
        <v>788</v>
      </c>
      <c r="CV25" t="s">
        <v>704</v>
      </c>
      <c r="CW25" t="str">
        <f>"-0.00966***"</f>
        <v>-0.00966***</v>
      </c>
      <c r="CX25" t="s">
        <v>4718</v>
      </c>
      <c r="CY25" t="s">
        <v>3272</v>
      </c>
      <c r="CZ25" t="str">
        <f>"-0.00357"</f>
        <v>-0.00357</v>
      </c>
      <c r="DA25" t="s">
        <v>706</v>
      </c>
      <c r="DB25" t="s">
        <v>913</v>
      </c>
      <c r="DC25" t="str">
        <f>"-0.00554"</f>
        <v>-0.00554</v>
      </c>
      <c r="DD25" t="s">
        <v>2816</v>
      </c>
      <c r="DE25" t="s">
        <v>1485</v>
      </c>
      <c r="DF25" t="str">
        <f>"-0.00387"</f>
        <v>-0.00387</v>
      </c>
      <c r="DG25" t="s">
        <v>349</v>
      </c>
      <c r="DH25" t="s">
        <v>691</v>
      </c>
      <c r="DI25" t="str">
        <f>"-0.00595*"</f>
        <v>-0.00595*</v>
      </c>
      <c r="DJ25" t="s">
        <v>1112</v>
      </c>
      <c r="DK25" t="s">
        <v>1116</v>
      </c>
      <c r="DL25" t="str">
        <f>"-0.00765**"</f>
        <v>-0.00765**</v>
      </c>
      <c r="DM25" t="s">
        <v>5523</v>
      </c>
      <c r="DN25" t="s">
        <v>962</v>
      </c>
      <c r="DO25" t="str">
        <f>"-0.00292"</f>
        <v>-0.00292</v>
      </c>
      <c r="DP25" t="s">
        <v>793</v>
      </c>
      <c r="DQ25" t="s">
        <v>701</v>
      </c>
      <c r="DR25" t="str">
        <f>"-0.0101***"</f>
        <v>-0.0101***</v>
      </c>
      <c r="DS25" t="s">
        <v>818</v>
      </c>
      <c r="DT25" t="s">
        <v>808</v>
      </c>
      <c r="DU25" t="str">
        <f>"-0.00293"</f>
        <v>-0.00293</v>
      </c>
      <c r="DV25" t="s">
        <v>1708</v>
      </c>
      <c r="DW25" t="s">
        <v>701</v>
      </c>
      <c r="DX25" t="str">
        <f>"-0.00625*"</f>
        <v>-0.00625*</v>
      </c>
      <c r="DY25" t="s">
        <v>3288</v>
      </c>
      <c r="DZ25" t="s">
        <v>1454</v>
      </c>
      <c r="EA25" t="str">
        <f>"-0.00710*"</f>
        <v>-0.00710*</v>
      </c>
      <c r="EB25" t="s">
        <v>2841</v>
      </c>
      <c r="EC25" t="s">
        <v>1089</v>
      </c>
      <c r="ED25" t="str">
        <f>"-0.00747*"</f>
        <v>-0.00747*</v>
      </c>
      <c r="EE25" t="s">
        <v>832</v>
      </c>
      <c r="EF25" t="s">
        <v>1509</v>
      </c>
      <c r="EG25" t="str">
        <f>"-0.0124***"</f>
        <v>-0.0124***</v>
      </c>
      <c r="EH25" t="s">
        <v>2820</v>
      </c>
      <c r="EI25" t="s">
        <v>3293</v>
      </c>
      <c r="EJ25" t="str">
        <f>"-0.00905**"</f>
        <v>-0.00905**</v>
      </c>
      <c r="EK25" t="s">
        <v>1099</v>
      </c>
      <c r="EL25" t="s">
        <v>1500</v>
      </c>
      <c r="EM25" t="str">
        <f>"-0.00701*"</f>
        <v>-0.00701*</v>
      </c>
      <c r="EN25" t="s">
        <v>2841</v>
      </c>
      <c r="EO25" t="s">
        <v>1512</v>
      </c>
      <c r="EP25" t="str">
        <f>"-0.00712*"</f>
        <v>-0.00712*</v>
      </c>
      <c r="EQ25" t="s">
        <v>832</v>
      </c>
      <c r="ER25" t="s">
        <v>1086</v>
      </c>
      <c r="ES25" t="str">
        <f>"-0.00868**"</f>
        <v>-0.00868**</v>
      </c>
      <c r="ET25" t="s">
        <v>3339</v>
      </c>
      <c r="EU25" t="s">
        <v>705</v>
      </c>
      <c r="EV25" t="str">
        <f>"-0.00780*"</f>
        <v>-0.00780*</v>
      </c>
      <c r="EW25" t="s">
        <v>5741</v>
      </c>
      <c r="EX25" t="s">
        <v>1511</v>
      </c>
      <c r="EY25" t="str">
        <f>"-0.00648*"</f>
        <v>-0.00648*</v>
      </c>
      <c r="EZ25" t="s">
        <v>2841</v>
      </c>
      <c r="FA25" t="s">
        <v>1455</v>
      </c>
      <c r="FB25" t="str">
        <f>"-0.00627"</f>
        <v>-0.00627</v>
      </c>
      <c r="FC25" t="s">
        <v>514</v>
      </c>
      <c r="FD25" t="s">
        <v>1485</v>
      </c>
      <c r="FE25" t="str">
        <f>"-0.00573"</f>
        <v>-0.00573</v>
      </c>
      <c r="FF25" t="s">
        <v>1387</v>
      </c>
      <c r="FG25" t="s">
        <v>1457</v>
      </c>
      <c r="FH25" t="str">
        <f>"-0.00745*"</f>
        <v>-0.00745*</v>
      </c>
      <c r="FI25" t="s">
        <v>1076</v>
      </c>
      <c r="FJ25" t="s">
        <v>1086</v>
      </c>
      <c r="FK25" t="str">
        <f>"-0.00806*"</f>
        <v>-0.00806*</v>
      </c>
      <c r="FL25" t="s">
        <v>3499</v>
      </c>
      <c r="FM25" t="s">
        <v>1511</v>
      </c>
      <c r="FN25" t="str">
        <f>"-0.00928**"</f>
        <v>-0.00928**</v>
      </c>
      <c r="FO25" t="s">
        <v>1102</v>
      </c>
      <c r="FP25" t="s">
        <v>1063</v>
      </c>
      <c r="FQ25" t="str">
        <f>"-0.00590"</f>
        <v>-0.00590</v>
      </c>
      <c r="FR25" t="s">
        <v>1387</v>
      </c>
      <c r="FS25" t="s">
        <v>802</v>
      </c>
      <c r="FT25" t="str">
        <f>"-0.00930**"</f>
        <v>-0.00930**</v>
      </c>
      <c r="FU25" t="s">
        <v>4072</v>
      </c>
      <c r="FV25" t="s">
        <v>1502</v>
      </c>
      <c r="FW25" t="str">
        <f>"-0.0115***"</f>
        <v>-0.0115***</v>
      </c>
      <c r="FX25" t="s">
        <v>803</v>
      </c>
      <c r="FY25" t="s">
        <v>3562</v>
      </c>
      <c r="FZ25" t="str">
        <f>"-0.0137***"</f>
        <v>-0.0137***</v>
      </c>
      <c r="GA25" t="s">
        <v>1055</v>
      </c>
      <c r="GB25" t="s">
        <v>4481</v>
      </c>
      <c r="GC25" t="str">
        <f>"-0.00757*"</f>
        <v>-0.00757*</v>
      </c>
      <c r="GD25" t="s">
        <v>3287</v>
      </c>
      <c r="GE25" t="s">
        <v>1089</v>
      </c>
      <c r="GF25" t="str">
        <f>"-0.00616"</f>
        <v>-0.00616</v>
      </c>
      <c r="GG25" t="s">
        <v>512</v>
      </c>
      <c r="GH25" t="s">
        <v>1485</v>
      </c>
      <c r="GI25" t="str">
        <f>"-0.00700*"</f>
        <v>-0.00700*</v>
      </c>
      <c r="GJ25" t="s">
        <v>3646</v>
      </c>
      <c r="GK25" t="s">
        <v>815</v>
      </c>
      <c r="GL25" t="str">
        <f>"-0.00828*"</f>
        <v>-0.00828*</v>
      </c>
      <c r="GM25" t="s">
        <v>3544</v>
      </c>
      <c r="GN25" t="s">
        <v>1512</v>
      </c>
      <c r="GO25" t="str">
        <f>"-0.00632"</f>
        <v>-0.00632</v>
      </c>
      <c r="GP25" t="s">
        <v>2819</v>
      </c>
      <c r="GQ25" t="s">
        <v>934</v>
      </c>
      <c r="GR25" t="str">
        <f>"-0.0115**"</f>
        <v>-0.0115**</v>
      </c>
      <c r="GS25" t="s">
        <v>848</v>
      </c>
      <c r="GT25" t="s">
        <v>1448</v>
      </c>
      <c r="GU25" t="str">
        <f>"-0.00928*"</f>
        <v>-0.00928*</v>
      </c>
      <c r="GV25" t="s">
        <v>2859</v>
      </c>
      <c r="GW25" t="s">
        <v>1089</v>
      </c>
      <c r="GX25" t="str">
        <f>"-0.0104*"</f>
        <v>-0.0104*</v>
      </c>
      <c r="GY25" t="s">
        <v>4728</v>
      </c>
      <c r="GZ25" t="s">
        <v>705</v>
      </c>
      <c r="HA25" t="str">
        <f>"-0.0139***"</f>
        <v>-0.0139***</v>
      </c>
      <c r="HB25" t="s">
        <v>1097</v>
      </c>
      <c r="HC25" t="s">
        <v>3565</v>
      </c>
      <c r="HD25" t="str">
        <f>"-0.0116**"</f>
        <v>-0.0116**</v>
      </c>
      <c r="HE25" t="s">
        <v>506</v>
      </c>
      <c r="HF25" t="s">
        <v>960</v>
      </c>
      <c r="HG25" t="str">
        <f>"-0.0109**"</f>
        <v>-0.0109**</v>
      </c>
      <c r="HH25" t="s">
        <v>555</v>
      </c>
      <c r="HI25" t="s">
        <v>949</v>
      </c>
      <c r="HJ25" t="str">
        <f>"-0.00980*"</f>
        <v>-0.00980*</v>
      </c>
      <c r="HK25" t="s">
        <v>813</v>
      </c>
      <c r="HL25" t="s">
        <v>1511</v>
      </c>
      <c r="HM25" t="str">
        <f>"-0.00968*"</f>
        <v>-0.00968*</v>
      </c>
      <c r="HN25" t="s">
        <v>3019</v>
      </c>
      <c r="HO25" t="s">
        <v>1089</v>
      </c>
      <c r="HP25" t="str">
        <f>"-0.0112**"</f>
        <v>-0.0112**</v>
      </c>
      <c r="HQ25" t="s">
        <v>506</v>
      </c>
      <c r="HR25" t="s">
        <v>1503</v>
      </c>
      <c r="HS25" t="str">
        <f>"-0.0151***"</f>
        <v>-0.0151***</v>
      </c>
      <c r="HT25" t="s">
        <v>495</v>
      </c>
      <c r="HU25" t="s">
        <v>3650</v>
      </c>
      <c r="HV25" t="str">
        <f>"-0.0104*"</f>
        <v>-0.0104*</v>
      </c>
      <c r="HW25" t="s">
        <v>2826</v>
      </c>
      <c r="HX25" t="s">
        <v>962</v>
      </c>
      <c r="HY25" t="str">
        <f>"-0.0107*"</f>
        <v>-0.0107*</v>
      </c>
      <c r="HZ25" t="s">
        <v>508</v>
      </c>
      <c r="IA25" t="s">
        <v>1510</v>
      </c>
      <c r="IB25" t="str">
        <f>"-0.00990*"</f>
        <v>-0.00990*</v>
      </c>
      <c r="IC25" t="s">
        <v>506</v>
      </c>
      <c r="ID25" t="s">
        <v>1116</v>
      </c>
      <c r="IE25" t="str">
        <f>"-0.00889"</f>
        <v>-0.00889</v>
      </c>
      <c r="IF25" t="s">
        <v>748</v>
      </c>
      <c r="IG25" t="s">
        <v>918</v>
      </c>
      <c r="IH25" t="str">
        <f>"-0.0110"</f>
        <v>-0.0110</v>
      </c>
      <c r="II25" t="s">
        <v>3581</v>
      </c>
      <c r="IJ25" t="s">
        <v>1485</v>
      </c>
      <c r="IK25" t="str">
        <f>"-0.00855"</f>
        <v>-0.00855</v>
      </c>
      <c r="IL25" t="s">
        <v>506</v>
      </c>
      <c r="IM25" t="s">
        <v>906</v>
      </c>
      <c r="IN25" t="str">
        <f>"-0.0117*"</f>
        <v>-0.0117*</v>
      </c>
      <c r="IO25" t="s">
        <v>4652</v>
      </c>
      <c r="IP25" t="s">
        <v>1513</v>
      </c>
      <c r="IQ25" t="str">
        <f>"-0.00758"</f>
        <v>-0.00758</v>
      </c>
      <c r="IR25" t="s">
        <v>3019</v>
      </c>
      <c r="IS25" t="s">
        <v>701</v>
      </c>
      <c r="IT25" t="str">
        <f>"-0.00885"</f>
        <v>-0.00885</v>
      </c>
      <c r="IU25" t="s">
        <v>557</v>
      </c>
      <c r="IV25" t="s">
        <v>691</v>
      </c>
      <c r="IW25" t="str">
        <f>"-0.00606"</f>
        <v>-0.00606</v>
      </c>
      <c r="IX25" t="s">
        <v>2820</v>
      </c>
      <c r="IY25" t="s">
        <v>662</v>
      </c>
      <c r="IZ25" t="str">
        <f>"-0.00459"</f>
        <v>-0.00459</v>
      </c>
      <c r="JA25" t="s">
        <v>2859</v>
      </c>
      <c r="JB25" t="s">
        <v>733</v>
      </c>
      <c r="JC25" t="str">
        <f>"-0.0113"</f>
        <v>-0.0113</v>
      </c>
      <c r="JD25" t="s">
        <v>562</v>
      </c>
      <c r="JE25" t="s">
        <v>918</v>
      </c>
      <c r="JF25" t="str">
        <f>"0.000482"</f>
        <v>0.000482</v>
      </c>
      <c r="JG25" t="s">
        <v>3561</v>
      </c>
      <c r="JH25" t="s">
        <v>625</v>
      </c>
      <c r="JI25" t="str">
        <f>"-0.00303"</f>
        <v>-0.00303</v>
      </c>
      <c r="JJ25" t="s">
        <v>828</v>
      </c>
      <c r="JK25" t="s">
        <v>1006</v>
      </c>
      <c r="JL25" t="str">
        <f>"-0.00942"</f>
        <v>-0.00942</v>
      </c>
      <c r="JM25" t="s">
        <v>550</v>
      </c>
      <c r="JN25" t="s">
        <v>791</v>
      </c>
      <c r="JO25" t="str">
        <f>"-0.00755"</f>
        <v>-0.00755</v>
      </c>
      <c r="JP25" t="s">
        <v>1716</v>
      </c>
      <c r="JQ25" t="s">
        <v>1008</v>
      </c>
      <c r="JR25" t="str">
        <f>"-0.00366"</f>
        <v>-0.00366</v>
      </c>
      <c r="JS25" t="s">
        <v>824</v>
      </c>
      <c r="JT25" t="s">
        <v>1056</v>
      </c>
      <c r="JU25" t="str">
        <f>"-0.00473"</f>
        <v>-0.00473</v>
      </c>
      <c r="JV25" t="s">
        <v>1094</v>
      </c>
      <c r="JW25" t="s">
        <v>1473</v>
      </c>
      <c r="JX25" t="str">
        <f>"-0.0117"</f>
        <v>-0.0117</v>
      </c>
      <c r="JY25" t="s">
        <v>1043</v>
      </c>
      <c r="JZ25" t="s">
        <v>735</v>
      </c>
      <c r="KA25" t="str">
        <f>"-0.0199*"</f>
        <v>-0.0199*</v>
      </c>
      <c r="KB25" t="s">
        <v>1216</v>
      </c>
      <c r="KC25" t="s">
        <v>1486</v>
      </c>
      <c r="KD25" t="str">
        <f>"-0.0117"</f>
        <v>-0.0117</v>
      </c>
      <c r="KE25" t="s">
        <v>5759</v>
      </c>
      <c r="KF25" t="s">
        <v>5522</v>
      </c>
      <c r="KG25" t="str">
        <f>"-0.0222"</f>
        <v>-0.0222</v>
      </c>
      <c r="KH25" t="s">
        <v>5760</v>
      </c>
      <c r="KI25" t="s">
        <v>579</v>
      </c>
      <c r="KJ25" t="str">
        <f>"-0.00703"</f>
        <v>-0.00703</v>
      </c>
      <c r="KK25" t="s">
        <v>5761</v>
      </c>
      <c r="KL25" t="s">
        <v>1435</v>
      </c>
    </row>
    <row r="26" spans="1:298" x14ac:dyDescent="0.2">
      <c r="A26" t="str">
        <f>"Setor"</f>
        <v>Setor</v>
      </c>
      <c r="B26" t="str">
        <f>"0.0132"</f>
        <v>0.0132</v>
      </c>
      <c r="C26" t="s">
        <v>916</v>
      </c>
      <c r="D26" t="s">
        <v>1231</v>
      </c>
      <c r="E26" t="str">
        <f>"0.0132"</f>
        <v>0.0132</v>
      </c>
      <c r="F26" t="s">
        <v>916</v>
      </c>
      <c r="G26" t="s">
        <v>1231</v>
      </c>
      <c r="H26" t="str">
        <f>"0.0132"</f>
        <v>0.0132</v>
      </c>
      <c r="I26" t="s">
        <v>916</v>
      </c>
      <c r="J26" t="s">
        <v>1231</v>
      </c>
      <c r="K26" t="str">
        <f>"0.167***"</f>
        <v>0.167***</v>
      </c>
      <c r="L26" t="s">
        <v>4066</v>
      </c>
      <c r="M26" t="s">
        <v>5762</v>
      </c>
      <c r="N26" t="str">
        <f>"0.134"</f>
        <v>0.134</v>
      </c>
      <c r="O26" t="s">
        <v>1451</v>
      </c>
      <c r="P26" t="s">
        <v>5763</v>
      </c>
      <c r="Q26" t="str">
        <f>"0.0917"</f>
        <v>0.0917</v>
      </c>
      <c r="R26" t="s">
        <v>301</v>
      </c>
      <c r="S26" t="s">
        <v>5764</v>
      </c>
      <c r="T26" t="str">
        <f>"0.0255"</f>
        <v>0.0255</v>
      </c>
      <c r="U26" t="s">
        <v>5677</v>
      </c>
      <c r="V26" t="s">
        <v>2049</v>
      </c>
      <c r="W26" t="str">
        <f>"-0.0228"</f>
        <v>-0.0228</v>
      </c>
      <c r="X26" t="s">
        <v>5765</v>
      </c>
      <c r="Y26" t="s">
        <v>5766</v>
      </c>
      <c r="Z26" t="str">
        <f>"-0.0585"</f>
        <v>-0.0585</v>
      </c>
      <c r="AA26" t="s">
        <v>5767</v>
      </c>
      <c r="AB26" t="s">
        <v>4226</v>
      </c>
      <c r="AC26" t="str">
        <f>"-0.0404"</f>
        <v>-0.0404</v>
      </c>
      <c r="AD26" t="s">
        <v>5768</v>
      </c>
      <c r="AE26" t="s">
        <v>1228</v>
      </c>
      <c r="AF26" t="str">
        <f>"-0.0348"</f>
        <v>-0.0348</v>
      </c>
      <c r="AG26" t="s">
        <v>5769</v>
      </c>
      <c r="AH26" t="s">
        <v>1614</v>
      </c>
      <c r="AI26" t="str">
        <f>"-0.0268"</f>
        <v>-0.0268</v>
      </c>
      <c r="AJ26" t="s">
        <v>5770</v>
      </c>
      <c r="AK26" t="s">
        <v>1750</v>
      </c>
      <c r="AL26" t="str">
        <f>"-0.0187"</f>
        <v>-0.0187</v>
      </c>
      <c r="AM26" t="s">
        <v>5771</v>
      </c>
      <c r="AN26" t="s">
        <v>484</v>
      </c>
      <c r="AO26" t="str">
        <f>"0.00186"</f>
        <v>0.00186</v>
      </c>
      <c r="AP26" t="s">
        <v>3682</v>
      </c>
      <c r="AQ26" t="s">
        <v>2898</v>
      </c>
      <c r="AR26" t="str">
        <f>"-0.00311"</f>
        <v>-0.00311</v>
      </c>
      <c r="AS26" t="s">
        <v>5772</v>
      </c>
      <c r="AT26" t="s">
        <v>4253</v>
      </c>
      <c r="AU26" t="str">
        <f>"-0.00676"</f>
        <v>-0.00676</v>
      </c>
      <c r="AV26" t="s">
        <v>5773</v>
      </c>
      <c r="AW26" t="s">
        <v>3471</v>
      </c>
      <c r="AX26" t="str">
        <f>"-0.00794"</f>
        <v>-0.00794</v>
      </c>
      <c r="AY26" t="s">
        <v>1724</v>
      </c>
      <c r="AZ26" t="s">
        <v>1388</v>
      </c>
      <c r="BA26" t="str">
        <f>"-0.00922"</f>
        <v>-0.00922</v>
      </c>
      <c r="BB26" t="s">
        <v>533</v>
      </c>
      <c r="BC26" t="s">
        <v>1123</v>
      </c>
      <c r="BD26" t="str">
        <f>"-0.00618"</f>
        <v>-0.00618</v>
      </c>
      <c r="BE26" t="s">
        <v>3343</v>
      </c>
      <c r="BF26" t="s">
        <v>746</v>
      </c>
      <c r="BG26" t="str">
        <f>"-0.00514"</f>
        <v>-0.00514</v>
      </c>
      <c r="BH26" t="s">
        <v>2852</v>
      </c>
      <c r="BI26" t="s">
        <v>3533</v>
      </c>
      <c r="BJ26" t="str">
        <f>"-0.00295"</f>
        <v>-0.00295</v>
      </c>
      <c r="BK26" t="s">
        <v>4710</v>
      </c>
      <c r="BL26" t="s">
        <v>631</v>
      </c>
      <c r="BM26" t="str">
        <f>"0.00519"</f>
        <v>0.00519</v>
      </c>
      <c r="BN26" t="s">
        <v>1389</v>
      </c>
      <c r="BO26" t="s">
        <v>1730</v>
      </c>
      <c r="BP26" t="str">
        <f>"0.00157"</f>
        <v>0.00157</v>
      </c>
      <c r="BQ26" t="s">
        <v>2846</v>
      </c>
      <c r="BR26" t="s">
        <v>1175</v>
      </c>
      <c r="BS26" t="str">
        <f>"0.00387"</f>
        <v>0.00387</v>
      </c>
      <c r="BT26" t="s">
        <v>4652</v>
      </c>
      <c r="BU26" t="s">
        <v>1688</v>
      </c>
      <c r="BV26" t="str">
        <f>"0.000946"</f>
        <v>0.000946</v>
      </c>
      <c r="BW26" t="s">
        <v>562</v>
      </c>
      <c r="BX26" t="s">
        <v>3649</v>
      </c>
      <c r="BY26" t="str">
        <f>"0.00300"</f>
        <v>0.00300</v>
      </c>
      <c r="BZ26" t="s">
        <v>3348</v>
      </c>
      <c r="CA26" t="s">
        <v>1031</v>
      </c>
      <c r="CB26" t="str">
        <f>"0.00527"</f>
        <v>0.00527</v>
      </c>
      <c r="CC26" t="s">
        <v>3448</v>
      </c>
      <c r="CD26" t="s">
        <v>1388</v>
      </c>
      <c r="CE26" t="str">
        <f>"0.00540"</f>
        <v>0.00540</v>
      </c>
      <c r="CF26" t="s">
        <v>3448</v>
      </c>
      <c r="CG26" t="s">
        <v>1955</v>
      </c>
      <c r="CH26" t="str">
        <f>"0.00167"</f>
        <v>0.00167</v>
      </c>
      <c r="CI26" t="s">
        <v>5774</v>
      </c>
      <c r="CJ26" t="s">
        <v>1175</v>
      </c>
      <c r="CK26" t="str">
        <f>"0.00135"</f>
        <v>0.00135</v>
      </c>
      <c r="CL26" t="s">
        <v>1162</v>
      </c>
      <c r="CM26" t="s">
        <v>1175</v>
      </c>
      <c r="CN26" t="str">
        <f>"0.000411"</f>
        <v>0.000411</v>
      </c>
      <c r="CO26" t="s">
        <v>4766</v>
      </c>
      <c r="CP26" t="s">
        <v>784</v>
      </c>
      <c r="CQ26" t="str">
        <f>"0.000942"</f>
        <v>0.000942</v>
      </c>
      <c r="CR26" t="s">
        <v>1235</v>
      </c>
      <c r="CS26" t="s">
        <v>3536</v>
      </c>
      <c r="CT26" t="str">
        <f>"0.00962"</f>
        <v>0.00962</v>
      </c>
      <c r="CU26" t="s">
        <v>1039</v>
      </c>
      <c r="CV26" t="s">
        <v>1937</v>
      </c>
      <c r="CW26" t="str">
        <f>"0.0168"</f>
        <v>0.0168</v>
      </c>
      <c r="CX26" t="s">
        <v>1114</v>
      </c>
      <c r="CY26" t="s">
        <v>3338</v>
      </c>
      <c r="CZ26" t="str">
        <f>"0.0171"</f>
        <v>0.0171</v>
      </c>
      <c r="DA26" t="s">
        <v>301</v>
      </c>
      <c r="DB26" t="s">
        <v>4714</v>
      </c>
      <c r="DC26" t="str">
        <f>"0.0196"</f>
        <v>0.0196</v>
      </c>
      <c r="DD26" t="s">
        <v>303</v>
      </c>
      <c r="DE26" t="s">
        <v>5775</v>
      </c>
      <c r="DF26" t="str">
        <f>"0.0201"</f>
        <v>0.0201</v>
      </c>
      <c r="DG26" t="s">
        <v>648</v>
      </c>
      <c r="DH26" t="s">
        <v>1620</v>
      </c>
      <c r="DI26" t="str">
        <f>"0.0159"</f>
        <v>0.0159</v>
      </c>
      <c r="DJ26" t="s">
        <v>512</v>
      </c>
      <c r="DK26" t="s">
        <v>5776</v>
      </c>
      <c r="DL26" t="str">
        <f>"0.0171"</f>
        <v>0.0171</v>
      </c>
      <c r="DM26" t="s">
        <v>830</v>
      </c>
      <c r="DN26" t="s">
        <v>520</v>
      </c>
      <c r="DO26" t="str">
        <f>"0.0185"</f>
        <v>0.0185</v>
      </c>
      <c r="DP26" t="s">
        <v>349</v>
      </c>
      <c r="DQ26" t="s">
        <v>3639</v>
      </c>
      <c r="DR26" t="str">
        <f>"0.0171"</f>
        <v>0.0171</v>
      </c>
      <c r="DS26" t="s">
        <v>2836</v>
      </c>
      <c r="DT26" t="s">
        <v>1049</v>
      </c>
      <c r="DU26" t="str">
        <f>"0.0225"</f>
        <v>0.0225</v>
      </c>
      <c r="DV26" t="s">
        <v>1192</v>
      </c>
      <c r="DW26" t="s">
        <v>3642</v>
      </c>
      <c r="DX26" t="str">
        <f>"0.0235"</f>
        <v>0.0235</v>
      </c>
      <c r="DY26" t="s">
        <v>1120</v>
      </c>
      <c r="DZ26" t="s">
        <v>5747</v>
      </c>
      <c r="EA26" t="str">
        <f>"0.0224"</f>
        <v>0.0224</v>
      </c>
      <c r="EB26" t="s">
        <v>1192</v>
      </c>
      <c r="EC26" t="s">
        <v>1917</v>
      </c>
      <c r="ED26" t="str">
        <f>"0.0193"</f>
        <v>0.0193</v>
      </c>
      <c r="EE26" t="s">
        <v>796</v>
      </c>
      <c r="EF26" t="s">
        <v>1980</v>
      </c>
      <c r="EG26" t="str">
        <f>"0.0211"</f>
        <v>0.0211</v>
      </c>
      <c r="EH26" t="s">
        <v>644</v>
      </c>
      <c r="EI26" t="s">
        <v>1907</v>
      </c>
      <c r="EJ26" t="str">
        <f>"0.0172"</f>
        <v>0.0172</v>
      </c>
      <c r="EK26" t="s">
        <v>1178</v>
      </c>
      <c r="EL26" t="s">
        <v>5777</v>
      </c>
      <c r="EM26" t="str">
        <f>"0.0162"</f>
        <v>0.0162</v>
      </c>
      <c r="EN26" t="s">
        <v>3559</v>
      </c>
      <c r="EO26" t="s">
        <v>5778</v>
      </c>
      <c r="EP26" t="str">
        <f>"0.0173"</f>
        <v>0.0173</v>
      </c>
      <c r="EQ26" t="s">
        <v>634</v>
      </c>
      <c r="ER26" t="s">
        <v>1919</v>
      </c>
      <c r="ES26" t="str">
        <f>"0.0145"</f>
        <v>0.0145</v>
      </c>
      <c r="ET26" t="s">
        <v>828</v>
      </c>
      <c r="EU26" t="s">
        <v>3639</v>
      </c>
      <c r="EV26" t="str">
        <f>"0.0188"</f>
        <v>0.0188</v>
      </c>
      <c r="EW26" t="s">
        <v>1085</v>
      </c>
      <c r="EX26" t="s">
        <v>1910</v>
      </c>
      <c r="EY26" t="str">
        <f>"0.0187"</f>
        <v>0.0187</v>
      </c>
      <c r="EZ26" t="s">
        <v>3559</v>
      </c>
      <c r="FA26" t="s">
        <v>482</v>
      </c>
      <c r="FB26" t="str">
        <f>"0.0280"</f>
        <v>0.0280</v>
      </c>
      <c r="FC26" t="s">
        <v>910</v>
      </c>
      <c r="FD26" t="s">
        <v>1606</v>
      </c>
      <c r="FE26" t="str">
        <f>"0.0268"</f>
        <v>0.0268</v>
      </c>
      <c r="FF26" t="s">
        <v>3557</v>
      </c>
      <c r="FG26" t="s">
        <v>5779</v>
      </c>
      <c r="FH26" t="str">
        <f>"0.0273"</f>
        <v>0.0273</v>
      </c>
      <c r="FI26" t="s">
        <v>686</v>
      </c>
      <c r="FJ26" t="s">
        <v>5734</v>
      </c>
      <c r="FK26" t="str">
        <f>"0.0262"</f>
        <v>0.0262</v>
      </c>
      <c r="FL26" t="s">
        <v>1192</v>
      </c>
      <c r="FM26" t="s">
        <v>1900</v>
      </c>
      <c r="FN26" t="str">
        <f>"0.0259"</f>
        <v>0.0259</v>
      </c>
      <c r="FO26" t="s">
        <v>3270</v>
      </c>
      <c r="FP26" t="s">
        <v>5729</v>
      </c>
      <c r="FQ26" t="str">
        <f>"0.0236"</f>
        <v>0.0236</v>
      </c>
      <c r="FR26" t="s">
        <v>706</v>
      </c>
      <c r="FS26" t="s">
        <v>3351</v>
      </c>
      <c r="FT26" t="str">
        <f>"0.0203"</f>
        <v>0.0203</v>
      </c>
      <c r="FU26" t="s">
        <v>1085</v>
      </c>
      <c r="FV26" t="s">
        <v>498</v>
      </c>
      <c r="FW26" t="str">
        <f>"0.0154"</f>
        <v>0.0154</v>
      </c>
      <c r="FX26" t="s">
        <v>848</v>
      </c>
      <c r="FY26" t="s">
        <v>4226</v>
      </c>
      <c r="FZ26" t="str">
        <f>"0.0150"</f>
        <v>0.0150</v>
      </c>
      <c r="GA26" t="s">
        <v>557</v>
      </c>
      <c r="GB26" t="s">
        <v>2892</v>
      </c>
      <c r="GC26" t="str">
        <f>"0.0178"</f>
        <v>0.0178</v>
      </c>
      <c r="GD26" t="s">
        <v>5780</v>
      </c>
      <c r="GE26" t="s">
        <v>482</v>
      </c>
      <c r="GF26" t="str">
        <f>"0.0182"</f>
        <v>0.0182</v>
      </c>
      <c r="GG26" t="s">
        <v>1725</v>
      </c>
      <c r="GH26" t="s">
        <v>2893</v>
      </c>
      <c r="GI26" t="str">
        <f>"0.0170"</f>
        <v>0.0170</v>
      </c>
      <c r="GJ26" t="s">
        <v>848</v>
      </c>
      <c r="GK26" t="s">
        <v>1905</v>
      </c>
      <c r="GL26" t="str">
        <f>"0.0192"</f>
        <v>0.0192</v>
      </c>
      <c r="GM26" t="s">
        <v>1065</v>
      </c>
      <c r="GN26" t="s">
        <v>1608</v>
      </c>
      <c r="GO26" t="str">
        <f>"0.0222"</f>
        <v>0.0222</v>
      </c>
      <c r="GP26" t="s">
        <v>506</v>
      </c>
      <c r="GQ26" t="s">
        <v>1042</v>
      </c>
      <c r="GR26" t="str">
        <f>"0.0239"</f>
        <v>0.0239</v>
      </c>
      <c r="GS26" t="s">
        <v>506</v>
      </c>
      <c r="GT26" t="s">
        <v>5781</v>
      </c>
      <c r="GU26" t="str">
        <f>"0.0252"</f>
        <v>0.0252</v>
      </c>
      <c r="GV26" t="s">
        <v>1055</v>
      </c>
      <c r="GW26" t="s">
        <v>1990</v>
      </c>
      <c r="GX26" t="str">
        <f>"0.0234"</f>
        <v>0.0234</v>
      </c>
      <c r="GY26" t="s">
        <v>3021</v>
      </c>
      <c r="GZ26" t="s">
        <v>5782</v>
      </c>
      <c r="HA26" t="str">
        <f>"0.0232"</f>
        <v>0.0232</v>
      </c>
      <c r="HB26" t="s">
        <v>2823</v>
      </c>
      <c r="HC26" t="s">
        <v>1222</v>
      </c>
      <c r="HD26" t="str">
        <f>"0.0102"</f>
        <v>0.0102</v>
      </c>
      <c r="HE26" t="s">
        <v>842</v>
      </c>
      <c r="HF26" t="s">
        <v>2893</v>
      </c>
      <c r="HG26" t="str">
        <f>"0.0181"</f>
        <v>0.0181</v>
      </c>
      <c r="HH26" t="s">
        <v>1105</v>
      </c>
      <c r="HI26" t="s">
        <v>2898</v>
      </c>
      <c r="HJ26" t="str">
        <f>"0.0177"</f>
        <v>0.0177</v>
      </c>
      <c r="HK26" t="s">
        <v>1095</v>
      </c>
      <c r="HL26" t="s">
        <v>3588</v>
      </c>
      <c r="HM26" t="str">
        <f>"0.0133"</f>
        <v>0.0133</v>
      </c>
      <c r="HN26" t="s">
        <v>5783</v>
      </c>
      <c r="HO26" t="s">
        <v>1737</v>
      </c>
      <c r="HP26" t="str">
        <f>"0.0149"</f>
        <v>0.0149</v>
      </c>
      <c r="HQ26" t="s">
        <v>1235</v>
      </c>
      <c r="HR26" t="s">
        <v>5634</v>
      </c>
      <c r="HS26" t="str">
        <f>"0.0120"</f>
        <v>0.0120</v>
      </c>
      <c r="HT26" t="s">
        <v>5784</v>
      </c>
      <c r="HU26" t="s">
        <v>3180</v>
      </c>
      <c r="HV26" t="str">
        <f>"-0.0100"</f>
        <v>-0.0100</v>
      </c>
      <c r="HW26" t="s">
        <v>2856</v>
      </c>
      <c r="HX26" t="s">
        <v>629</v>
      </c>
      <c r="HY26" t="str">
        <f>"-0.00605"</f>
        <v>-0.00605</v>
      </c>
      <c r="HZ26" t="s">
        <v>5785</v>
      </c>
      <c r="IA26" t="s">
        <v>746</v>
      </c>
      <c r="IB26" t="str">
        <f>"-0.00903"</f>
        <v>-0.00903</v>
      </c>
      <c r="IC26" t="s">
        <v>537</v>
      </c>
      <c r="ID26" t="s">
        <v>559</v>
      </c>
      <c r="IE26" t="str">
        <f>"-0.0105"</f>
        <v>-0.0105</v>
      </c>
      <c r="IF26" t="s">
        <v>475</v>
      </c>
      <c r="IG26" t="s">
        <v>782</v>
      </c>
      <c r="IH26" t="str">
        <f>"-0.00606"</f>
        <v>-0.00606</v>
      </c>
      <c r="II26" t="s">
        <v>5786</v>
      </c>
      <c r="IJ26" t="s">
        <v>2860</v>
      </c>
      <c r="IK26" t="str">
        <f>"-0.00235"</f>
        <v>-0.00235</v>
      </c>
      <c r="IL26" t="s">
        <v>521</v>
      </c>
      <c r="IM26" t="s">
        <v>3163</v>
      </c>
      <c r="IN26" t="str">
        <f>"-0.00640"</f>
        <v>-0.00640</v>
      </c>
      <c r="IO26" t="s">
        <v>585</v>
      </c>
      <c r="IP26" t="s">
        <v>780</v>
      </c>
      <c r="IQ26" t="str">
        <f>"-0.00673"</f>
        <v>-0.00673</v>
      </c>
      <c r="IR26" t="s">
        <v>858</v>
      </c>
      <c r="IS26" t="s">
        <v>787</v>
      </c>
      <c r="IT26" t="str">
        <f>"-0.00646"</f>
        <v>-0.00646</v>
      </c>
      <c r="IU26" t="s">
        <v>5787</v>
      </c>
      <c r="IV26" t="s">
        <v>1678</v>
      </c>
      <c r="IW26" t="str">
        <f>"-0.0126"</f>
        <v>-0.0126</v>
      </c>
      <c r="IX26" t="s">
        <v>5788</v>
      </c>
      <c r="IY26" t="s">
        <v>978</v>
      </c>
      <c r="IZ26" t="str">
        <f>"-0.0153"</f>
        <v>-0.0153</v>
      </c>
      <c r="JA26" t="s">
        <v>5789</v>
      </c>
      <c r="JB26" t="s">
        <v>658</v>
      </c>
      <c r="JC26" t="str">
        <f>"-0.0141"</f>
        <v>-0.0141</v>
      </c>
      <c r="JD26" t="s">
        <v>5297</v>
      </c>
      <c r="JE26" t="s">
        <v>1367</v>
      </c>
      <c r="JF26" t="str">
        <f>"-0.00697"</f>
        <v>-0.00697</v>
      </c>
      <c r="JG26" t="s">
        <v>5290</v>
      </c>
      <c r="JH26" t="s">
        <v>3649</v>
      </c>
      <c r="JI26" t="str">
        <f>"-0.0143"</f>
        <v>-0.0143</v>
      </c>
      <c r="JJ26" t="s">
        <v>5302</v>
      </c>
      <c r="JK26" t="s">
        <v>1731</v>
      </c>
      <c r="JL26" t="str">
        <f>"-0.0157"</f>
        <v>-0.0157</v>
      </c>
      <c r="JM26" t="s">
        <v>5790</v>
      </c>
      <c r="JN26" t="s">
        <v>1679</v>
      </c>
      <c r="JO26" t="str">
        <f>"-0.00536"</f>
        <v>-0.00536</v>
      </c>
      <c r="JP26" t="s">
        <v>5290</v>
      </c>
      <c r="JQ26" t="s">
        <v>1945</v>
      </c>
      <c r="JR26" t="str">
        <f>"-0.00761"</f>
        <v>-0.00761</v>
      </c>
      <c r="JS26" t="s">
        <v>3342</v>
      </c>
      <c r="JT26" t="s">
        <v>1649</v>
      </c>
      <c r="JU26" t="str">
        <f>"-0.0121"</f>
        <v>-0.0121</v>
      </c>
      <c r="JV26" t="s">
        <v>1304</v>
      </c>
      <c r="JW26" t="s">
        <v>3163</v>
      </c>
      <c r="JX26" t="str">
        <f>"-0.0195"</f>
        <v>-0.0195</v>
      </c>
      <c r="JY26" t="s">
        <v>5791</v>
      </c>
      <c r="JZ26" t="s">
        <v>635</v>
      </c>
      <c r="KA26" t="str">
        <f>"-0.00247"</f>
        <v>-0.00247</v>
      </c>
      <c r="KB26" t="s">
        <v>5792</v>
      </c>
      <c r="KC26" t="s">
        <v>1732</v>
      </c>
      <c r="KD26" t="str">
        <f>"0.00457"</f>
        <v>0.00457</v>
      </c>
      <c r="KE26" t="s">
        <v>5309</v>
      </c>
      <c r="KF26" t="s">
        <v>4855</v>
      </c>
      <c r="KG26" t="str">
        <f>"0.0244"</f>
        <v>0.0244</v>
      </c>
      <c r="KH26" t="s">
        <v>5714</v>
      </c>
      <c r="KI26" t="s">
        <v>5793</v>
      </c>
      <c r="KJ26" t="str">
        <f>"0.0182"</f>
        <v>0.0182</v>
      </c>
      <c r="KK26" t="s">
        <v>5794</v>
      </c>
      <c r="KL26" t="s">
        <v>470</v>
      </c>
    </row>
    <row r="27" spans="1:298" x14ac:dyDescent="0.2">
      <c r="A27" t="str">
        <f>"_cons"</f>
        <v>_cons</v>
      </c>
      <c r="B27" t="str">
        <f>"0.0186"</f>
        <v>0.0186</v>
      </c>
      <c r="C27" t="s">
        <v>1443</v>
      </c>
      <c r="D27" t="s">
        <v>4123</v>
      </c>
      <c r="E27" t="str">
        <f>"0.0221"</f>
        <v>0.0221</v>
      </c>
      <c r="F27" t="s">
        <v>3076</v>
      </c>
      <c r="G27" t="s">
        <v>5795</v>
      </c>
      <c r="H27" t="str">
        <f>"0.0255"</f>
        <v>0.0255</v>
      </c>
      <c r="I27" t="s">
        <v>870</v>
      </c>
      <c r="J27" t="s">
        <v>4056</v>
      </c>
      <c r="K27" t="str">
        <f>"1.383**"</f>
        <v>1.383**</v>
      </c>
      <c r="L27" t="s">
        <v>5796</v>
      </c>
      <c r="M27" t="s">
        <v>5797</v>
      </c>
      <c r="N27" t="str">
        <f>"0.107"</f>
        <v>0.107</v>
      </c>
      <c r="O27" t="s">
        <v>5798</v>
      </c>
      <c r="P27" t="s">
        <v>5799</v>
      </c>
      <c r="Q27" t="str">
        <f>"0.580**"</f>
        <v>0.580**</v>
      </c>
      <c r="R27" t="s">
        <v>5800</v>
      </c>
      <c r="S27" t="s">
        <v>5801</v>
      </c>
      <c r="T27" t="str">
        <f>"0.439*"</f>
        <v>0.439*</v>
      </c>
      <c r="U27" t="s">
        <v>5802</v>
      </c>
      <c r="V27" t="s">
        <v>5803</v>
      </c>
      <c r="W27" t="str">
        <f>"0.406*"</f>
        <v>0.406*</v>
      </c>
      <c r="X27" t="s">
        <v>1880</v>
      </c>
      <c r="Y27" t="s">
        <v>5804</v>
      </c>
      <c r="Z27" t="str">
        <f>"0.529**"</f>
        <v>0.529**</v>
      </c>
      <c r="AA27" t="s">
        <v>5805</v>
      </c>
      <c r="AB27" t="s">
        <v>5806</v>
      </c>
      <c r="AC27" t="str">
        <f>"0.457**"</f>
        <v>0.457**</v>
      </c>
      <c r="AD27" t="s">
        <v>1845</v>
      </c>
      <c r="AE27" t="s">
        <v>5807</v>
      </c>
      <c r="AF27" t="str">
        <f>"0.534***"</f>
        <v>0.534***</v>
      </c>
      <c r="AG27" t="s">
        <v>5808</v>
      </c>
      <c r="AH27" t="s">
        <v>5809</v>
      </c>
      <c r="AI27" t="str">
        <f>"0.547***"</f>
        <v>0.547***</v>
      </c>
      <c r="AJ27" t="s">
        <v>5810</v>
      </c>
      <c r="AK27" t="s">
        <v>5811</v>
      </c>
      <c r="AL27" t="str">
        <f>"0.582***"</f>
        <v>0.582***</v>
      </c>
      <c r="AM27" t="s">
        <v>5812</v>
      </c>
      <c r="AN27" t="s">
        <v>5813</v>
      </c>
      <c r="AO27" t="str">
        <f>"0.161"</f>
        <v>0.161</v>
      </c>
      <c r="AP27" t="s">
        <v>303</v>
      </c>
      <c r="AQ27" t="s">
        <v>5814</v>
      </c>
      <c r="AR27" t="str">
        <f>"0.116"</f>
        <v>0.116</v>
      </c>
      <c r="AS27" t="s">
        <v>5761</v>
      </c>
      <c r="AT27" t="s">
        <v>5815</v>
      </c>
      <c r="AU27" t="str">
        <f>"0.399***"</f>
        <v>0.399***</v>
      </c>
      <c r="AV27" t="s">
        <v>5816</v>
      </c>
      <c r="AW27" t="s">
        <v>5817</v>
      </c>
      <c r="AX27" t="str">
        <f>"0.381***"</f>
        <v>0.381***</v>
      </c>
      <c r="AY27" t="s">
        <v>5818</v>
      </c>
      <c r="AZ27" t="s">
        <v>5819</v>
      </c>
      <c r="BA27" t="str">
        <f>"0.215***"</f>
        <v>0.215***</v>
      </c>
      <c r="BB27" t="s">
        <v>5820</v>
      </c>
      <c r="BC27" t="s">
        <v>5821</v>
      </c>
      <c r="BD27" t="str">
        <f>"0.295***"</f>
        <v>0.295***</v>
      </c>
      <c r="BE27" t="s">
        <v>5822</v>
      </c>
      <c r="BF27" t="s">
        <v>5823</v>
      </c>
      <c r="BG27" t="str">
        <f>"0.325***"</f>
        <v>0.325***</v>
      </c>
      <c r="BH27" t="s">
        <v>5824</v>
      </c>
      <c r="BI27" t="s">
        <v>5825</v>
      </c>
      <c r="BJ27" t="str">
        <f>"0.314***"</f>
        <v>0.314***</v>
      </c>
      <c r="BK27" t="s">
        <v>5826</v>
      </c>
      <c r="BL27" t="s">
        <v>5827</v>
      </c>
      <c r="BM27" t="str">
        <f>"0.143***"</f>
        <v>0.143***</v>
      </c>
      <c r="BN27" t="s">
        <v>5828</v>
      </c>
      <c r="BO27" t="s">
        <v>5829</v>
      </c>
      <c r="BP27" t="str">
        <f>"0.104**"</f>
        <v>0.104**</v>
      </c>
      <c r="BQ27" t="s">
        <v>2887</v>
      </c>
      <c r="BR27" t="s">
        <v>5830</v>
      </c>
      <c r="BS27" t="str">
        <f>"0.0993**"</f>
        <v>0.0993**</v>
      </c>
      <c r="BT27" t="s">
        <v>4465</v>
      </c>
      <c r="BU27" t="s">
        <v>1836</v>
      </c>
      <c r="BV27" t="str">
        <f>"0.179***"</f>
        <v>0.179***</v>
      </c>
      <c r="BW27" t="s">
        <v>5831</v>
      </c>
      <c r="BX27" t="s">
        <v>5832</v>
      </c>
      <c r="BY27" t="str">
        <f>"0.146***"</f>
        <v>0.146***</v>
      </c>
      <c r="BZ27" t="s">
        <v>4054</v>
      </c>
      <c r="CA27" t="s">
        <v>3958</v>
      </c>
      <c r="CB27" t="str">
        <f>"0.166***"</f>
        <v>0.166***</v>
      </c>
      <c r="CC27" t="s">
        <v>5833</v>
      </c>
      <c r="CD27" t="s">
        <v>5834</v>
      </c>
      <c r="CE27" t="str">
        <f>"0.168***"</f>
        <v>0.168***</v>
      </c>
      <c r="CF27" t="s">
        <v>4076</v>
      </c>
      <c r="CG27" t="s">
        <v>5835</v>
      </c>
      <c r="CH27" t="str">
        <f>"0.176***"</f>
        <v>0.176***</v>
      </c>
      <c r="CI27" t="s">
        <v>5836</v>
      </c>
      <c r="CJ27" t="s">
        <v>5837</v>
      </c>
      <c r="CK27" t="str">
        <f>"0.155***"</f>
        <v>0.155***</v>
      </c>
      <c r="CL27" t="s">
        <v>5838</v>
      </c>
      <c r="CM27" t="s">
        <v>5839</v>
      </c>
      <c r="CN27" t="str">
        <f>"0.154***"</f>
        <v>0.154***</v>
      </c>
      <c r="CO27" t="s">
        <v>3613</v>
      </c>
      <c r="CP27" t="s">
        <v>5839</v>
      </c>
      <c r="CQ27" t="str">
        <f>"0.138***"</f>
        <v>0.138***</v>
      </c>
      <c r="CR27" t="s">
        <v>1888</v>
      </c>
      <c r="CS27" t="s">
        <v>5829</v>
      </c>
      <c r="CT27" t="str">
        <f>"0.134**"</f>
        <v>0.134**</v>
      </c>
      <c r="CU27" t="s">
        <v>5840</v>
      </c>
      <c r="CV27" t="s">
        <v>5841</v>
      </c>
      <c r="CW27" t="str">
        <f>"0.118**"</f>
        <v>0.118**</v>
      </c>
      <c r="CX27" t="s">
        <v>4249</v>
      </c>
      <c r="CY27" t="s">
        <v>3716</v>
      </c>
      <c r="CZ27" t="str">
        <f>"0.106**"</f>
        <v>0.106**</v>
      </c>
      <c r="DA27" t="s">
        <v>5842</v>
      </c>
      <c r="DB27" t="s">
        <v>5843</v>
      </c>
      <c r="DC27" t="str">
        <f>"0.0756"</f>
        <v>0.0756</v>
      </c>
      <c r="DD27" t="s">
        <v>1010</v>
      </c>
      <c r="DE27" t="s">
        <v>5844</v>
      </c>
      <c r="DF27" t="str">
        <f>"0.0649"</f>
        <v>0.0649</v>
      </c>
      <c r="DG27" t="s">
        <v>811</v>
      </c>
      <c r="DH27" t="s">
        <v>5845</v>
      </c>
      <c r="DI27" t="str">
        <f>"0.0609"</f>
        <v>0.0609</v>
      </c>
      <c r="DJ27" t="s">
        <v>3581</v>
      </c>
      <c r="DK27" t="s">
        <v>4150</v>
      </c>
      <c r="DL27" t="str">
        <f>"0.0679"</f>
        <v>0.0679</v>
      </c>
      <c r="DM27" t="s">
        <v>957</v>
      </c>
      <c r="DN27" t="s">
        <v>377</v>
      </c>
      <c r="DO27" t="str">
        <f>"0.0430"</f>
        <v>0.0430</v>
      </c>
      <c r="DP27" t="s">
        <v>2856</v>
      </c>
      <c r="DQ27" t="s">
        <v>5846</v>
      </c>
      <c r="DR27" t="str">
        <f>"0.0570"</f>
        <v>0.0570</v>
      </c>
      <c r="DS27" t="s">
        <v>2846</v>
      </c>
      <c r="DT27" t="s">
        <v>5847</v>
      </c>
      <c r="DU27" t="str">
        <f>"0.0528"</f>
        <v>0.0528</v>
      </c>
      <c r="DV27" t="s">
        <v>5848</v>
      </c>
      <c r="DW27" t="s">
        <v>5849</v>
      </c>
      <c r="DX27" t="str">
        <f>"0.0436"</f>
        <v>0.0436</v>
      </c>
      <c r="DY27" t="s">
        <v>467</v>
      </c>
      <c r="DZ27" t="s">
        <v>5846</v>
      </c>
      <c r="EA27" t="str">
        <f>"0.0686"</f>
        <v>0.0686</v>
      </c>
      <c r="EB27" t="s">
        <v>512</v>
      </c>
      <c r="EC27" t="s">
        <v>5850</v>
      </c>
      <c r="ED27" t="str">
        <f>"0.0367"</f>
        <v>0.0367</v>
      </c>
      <c r="EE27" t="s">
        <v>5851</v>
      </c>
      <c r="EF27" t="s">
        <v>5852</v>
      </c>
      <c r="EG27" t="str">
        <f>"0.0372"</f>
        <v>0.0372</v>
      </c>
      <c r="EH27" t="s">
        <v>5853</v>
      </c>
      <c r="EI27" t="s">
        <v>5854</v>
      </c>
      <c r="EJ27" t="str">
        <f>"0.0242"</f>
        <v>0.0242</v>
      </c>
      <c r="EK27" t="s">
        <v>5855</v>
      </c>
      <c r="EL27" t="s">
        <v>4056</v>
      </c>
      <c r="EM27" t="str">
        <f>"0.0201"</f>
        <v>0.0201</v>
      </c>
      <c r="EN27" t="s">
        <v>1443</v>
      </c>
      <c r="EO27" t="s">
        <v>4639</v>
      </c>
      <c r="EP27" t="str">
        <f>"-0.00775"</f>
        <v>-0.00775</v>
      </c>
      <c r="EQ27" t="s">
        <v>2789</v>
      </c>
      <c r="ER27" t="s">
        <v>5856</v>
      </c>
      <c r="ES27" t="str">
        <f>"-0.00310"</f>
        <v>-0.00310</v>
      </c>
      <c r="ET27" t="s">
        <v>1185</v>
      </c>
      <c r="EU27" t="s">
        <v>1877</v>
      </c>
      <c r="EV27" t="str">
        <f>"-0.00986"</f>
        <v>-0.00986</v>
      </c>
      <c r="EW27" t="s">
        <v>275</v>
      </c>
      <c r="EX27" t="s">
        <v>4663</v>
      </c>
      <c r="EY27" t="str">
        <f>"-0.0281"</f>
        <v>-0.0281</v>
      </c>
      <c r="EZ27" t="s">
        <v>5857</v>
      </c>
      <c r="FA27" t="s">
        <v>1900</v>
      </c>
      <c r="FB27" t="str">
        <f>"-0.0383"</f>
        <v>-0.0383</v>
      </c>
      <c r="FC27" t="s">
        <v>5765</v>
      </c>
      <c r="FD27" t="s">
        <v>1980</v>
      </c>
      <c r="FE27" t="str">
        <f>"-0.0322"</f>
        <v>-0.0322</v>
      </c>
      <c r="FF27" t="s">
        <v>5858</v>
      </c>
      <c r="FG27" t="s">
        <v>3351</v>
      </c>
      <c r="FH27" t="str">
        <f>"-0.0287"</f>
        <v>-0.0287</v>
      </c>
      <c r="FI27" t="s">
        <v>5859</v>
      </c>
      <c r="FJ27" t="s">
        <v>5860</v>
      </c>
      <c r="FK27" t="str">
        <f>"-0.0448"</f>
        <v>-0.0448</v>
      </c>
      <c r="FL27" t="s">
        <v>5861</v>
      </c>
      <c r="FM27" t="s">
        <v>1930</v>
      </c>
      <c r="FN27" t="str">
        <f>"-0.0303"</f>
        <v>-0.0303</v>
      </c>
      <c r="FO27" t="s">
        <v>3710</v>
      </c>
      <c r="FP27" t="s">
        <v>3654</v>
      </c>
      <c r="FQ27" t="str">
        <f>"-0.0171"</f>
        <v>-0.0171</v>
      </c>
      <c r="FR27" t="s">
        <v>4687</v>
      </c>
      <c r="FS27" t="s">
        <v>4093</v>
      </c>
      <c r="FT27" t="str">
        <f>"-0.00843"</f>
        <v>-0.00843</v>
      </c>
      <c r="FU27" t="s">
        <v>5862</v>
      </c>
      <c r="FV27" t="s">
        <v>5863</v>
      </c>
      <c r="FW27" t="str">
        <f>"-0.00230"</f>
        <v>-0.00230</v>
      </c>
      <c r="FX27" t="s">
        <v>3356</v>
      </c>
      <c r="FY27" t="s">
        <v>5864</v>
      </c>
      <c r="FZ27" t="str">
        <f>"0.00690"</f>
        <v>0.00690</v>
      </c>
      <c r="GA27" t="s">
        <v>5679</v>
      </c>
      <c r="GB27" t="s">
        <v>5865</v>
      </c>
      <c r="GC27" t="str">
        <f>"0.0118"</f>
        <v>0.0118</v>
      </c>
      <c r="GD27" t="s">
        <v>5866</v>
      </c>
      <c r="GE27" t="s">
        <v>4235</v>
      </c>
      <c r="GF27" t="str">
        <f>"0.00437"</f>
        <v>0.00437</v>
      </c>
      <c r="GG27" t="s">
        <v>1350</v>
      </c>
      <c r="GH27" t="s">
        <v>5867</v>
      </c>
      <c r="GI27" t="str">
        <f>"0.0121"</f>
        <v>0.0121</v>
      </c>
      <c r="GJ27" t="s">
        <v>5868</v>
      </c>
      <c r="GK27" t="s">
        <v>5869</v>
      </c>
      <c r="GL27" t="str">
        <f>"0.0308"</f>
        <v>0.0308</v>
      </c>
      <c r="GM27" t="s">
        <v>3362</v>
      </c>
      <c r="GN27" t="s">
        <v>5870</v>
      </c>
      <c r="GO27" t="str">
        <f>"0.0498"</f>
        <v>0.0498</v>
      </c>
      <c r="GP27" t="s">
        <v>5871</v>
      </c>
      <c r="GQ27" t="s">
        <v>5872</v>
      </c>
      <c r="GR27" t="str">
        <f>"0.0478"</f>
        <v>0.0478</v>
      </c>
      <c r="GS27" t="s">
        <v>4724</v>
      </c>
      <c r="GT27" t="s">
        <v>3879</v>
      </c>
      <c r="GU27" t="str">
        <f>"0.000398"</f>
        <v>0.000398</v>
      </c>
      <c r="GV27" t="s">
        <v>5873</v>
      </c>
      <c r="GW27" t="s">
        <v>5874</v>
      </c>
      <c r="GX27" t="str">
        <f>"-0.0277"</f>
        <v>-0.0277</v>
      </c>
      <c r="GY27" t="s">
        <v>5875</v>
      </c>
      <c r="GZ27" t="s">
        <v>5876</v>
      </c>
      <c r="HA27" t="str">
        <f>"-0.0577"</f>
        <v>-0.0577</v>
      </c>
      <c r="HB27" t="s">
        <v>5877</v>
      </c>
      <c r="HC27" t="s">
        <v>5716</v>
      </c>
      <c r="HD27" t="str">
        <f>"-0.0648"</f>
        <v>-0.0648</v>
      </c>
      <c r="HE27" t="s">
        <v>5878</v>
      </c>
      <c r="HF27" t="s">
        <v>2884</v>
      </c>
      <c r="HG27" t="str">
        <f>"-0.0804"</f>
        <v>-0.0804</v>
      </c>
      <c r="HH27" t="s">
        <v>5879</v>
      </c>
      <c r="HI27" t="s">
        <v>534</v>
      </c>
      <c r="HJ27" t="str">
        <f>"-0.0856"</f>
        <v>-0.0856</v>
      </c>
      <c r="HK27" t="s">
        <v>5880</v>
      </c>
      <c r="HL27" t="s">
        <v>794</v>
      </c>
      <c r="HM27" t="str">
        <f>"-0.0911"</f>
        <v>-0.0911</v>
      </c>
      <c r="HN27" t="s">
        <v>3856</v>
      </c>
      <c r="HO27" t="s">
        <v>590</v>
      </c>
      <c r="HP27" t="str">
        <f>"-0.0873"</f>
        <v>-0.0873</v>
      </c>
      <c r="HQ27" t="s">
        <v>3116</v>
      </c>
      <c r="HR27" t="s">
        <v>682</v>
      </c>
      <c r="HS27" t="str">
        <f>"-0.0721"</f>
        <v>-0.0721</v>
      </c>
      <c r="HT27" t="s">
        <v>5881</v>
      </c>
      <c r="HU27" t="s">
        <v>784</v>
      </c>
      <c r="HV27" t="str">
        <f>"-0.0177"</f>
        <v>-0.0177</v>
      </c>
      <c r="HW27" t="s">
        <v>5882</v>
      </c>
      <c r="HX27" t="s">
        <v>4780</v>
      </c>
      <c r="HY27" t="str">
        <f>"-0.0249"</f>
        <v>-0.0249</v>
      </c>
      <c r="HZ27" t="s">
        <v>5883</v>
      </c>
      <c r="IA27" t="s">
        <v>4243</v>
      </c>
      <c r="IB27" t="str">
        <f>"-0.00415"</f>
        <v>-0.00415</v>
      </c>
      <c r="IC27" t="s">
        <v>5884</v>
      </c>
      <c r="ID27" t="s">
        <v>5885</v>
      </c>
      <c r="IE27" t="str">
        <f>"0.00431"</f>
        <v>0.00431</v>
      </c>
      <c r="IF27" t="s">
        <v>1332</v>
      </c>
      <c r="IG27" t="s">
        <v>3224</v>
      </c>
      <c r="IH27" t="str">
        <f>"0.0103"</f>
        <v>0.0103</v>
      </c>
      <c r="II27" t="s">
        <v>5346</v>
      </c>
      <c r="IJ27" t="s">
        <v>4385</v>
      </c>
      <c r="IK27" t="str">
        <f>"0.0489"</f>
        <v>0.0489</v>
      </c>
      <c r="IL27" t="s">
        <v>5886</v>
      </c>
      <c r="IM27" t="s">
        <v>5887</v>
      </c>
      <c r="IN27" t="str">
        <f>"0.0610"</f>
        <v>0.0610</v>
      </c>
      <c r="IO27" t="s">
        <v>3042</v>
      </c>
      <c r="IP27" t="s">
        <v>5888</v>
      </c>
      <c r="IQ27" t="str">
        <f>"0.0720"</f>
        <v>0.0720</v>
      </c>
      <c r="IR27" t="s">
        <v>493</v>
      </c>
      <c r="IS27" t="s">
        <v>5889</v>
      </c>
      <c r="IT27" t="str">
        <f>"0.0311"</f>
        <v>0.0311</v>
      </c>
      <c r="IU27" t="s">
        <v>4717</v>
      </c>
      <c r="IV27" t="s">
        <v>5890</v>
      </c>
      <c r="IW27" t="str">
        <f>"0.0295"</f>
        <v>0.0295</v>
      </c>
      <c r="IX27" t="s">
        <v>3553</v>
      </c>
      <c r="IY27" t="s">
        <v>2051</v>
      </c>
      <c r="IZ27" t="str">
        <f>"-0.0100"</f>
        <v>-0.0100</v>
      </c>
      <c r="JA27" t="s">
        <v>4759</v>
      </c>
      <c r="JB27" t="s">
        <v>5891</v>
      </c>
      <c r="JC27" t="str">
        <f>"-0.0404"</f>
        <v>-0.0404</v>
      </c>
      <c r="JD27" t="s">
        <v>4581</v>
      </c>
      <c r="JE27" t="s">
        <v>5518</v>
      </c>
      <c r="JF27" t="str">
        <f>"-0.0625"</f>
        <v>-0.0625</v>
      </c>
      <c r="JG27" t="s">
        <v>5892</v>
      </c>
      <c r="JH27" t="s">
        <v>1748</v>
      </c>
      <c r="JI27" t="str">
        <f>"0.0677"</f>
        <v>0.0677</v>
      </c>
      <c r="JJ27" t="s">
        <v>463</v>
      </c>
      <c r="JK27" t="s">
        <v>5893</v>
      </c>
      <c r="JL27" t="str">
        <f>"0.0890"</f>
        <v>0.0890</v>
      </c>
      <c r="JM27" t="s">
        <v>5894</v>
      </c>
      <c r="JN27" t="s">
        <v>5895</v>
      </c>
      <c r="JO27" t="str">
        <f>"0.0872"</f>
        <v>0.0872</v>
      </c>
      <c r="JP27" t="s">
        <v>5746</v>
      </c>
      <c r="JQ27" t="s">
        <v>5896</v>
      </c>
      <c r="JR27" t="str">
        <f>"0.0657"</f>
        <v>0.0657</v>
      </c>
      <c r="JS27" t="s">
        <v>5897</v>
      </c>
      <c r="JT27" t="s">
        <v>5898</v>
      </c>
      <c r="JU27" t="str">
        <f>"0.00475"</f>
        <v>0.00475</v>
      </c>
      <c r="JV27" t="s">
        <v>3102</v>
      </c>
      <c r="JW27" t="s">
        <v>5899</v>
      </c>
      <c r="JX27" t="str">
        <f>"-0.0288"</f>
        <v>-0.0288</v>
      </c>
      <c r="JY27" t="s">
        <v>5900</v>
      </c>
      <c r="JZ27" t="s">
        <v>5901</v>
      </c>
      <c r="KA27" t="str">
        <f>"0.0283"</f>
        <v>0.0283</v>
      </c>
      <c r="KB27" t="s">
        <v>5902</v>
      </c>
      <c r="KC27" t="s">
        <v>5903</v>
      </c>
      <c r="KD27" t="str">
        <f>"0.0561"</f>
        <v>0.0561</v>
      </c>
      <c r="KE27" t="s">
        <v>5904</v>
      </c>
      <c r="KF27" t="s">
        <v>5905</v>
      </c>
      <c r="KG27" t="str">
        <f>"0.146"</f>
        <v>0.146</v>
      </c>
      <c r="KH27" t="s">
        <v>5906</v>
      </c>
      <c r="KI27" t="s">
        <v>5907</v>
      </c>
      <c r="KJ27" t="str">
        <f>"0.290"</f>
        <v>0.290</v>
      </c>
      <c r="KK27" t="s">
        <v>1012</v>
      </c>
      <c r="KL27" t="s">
        <v>5908</v>
      </c>
    </row>
    <row r="28" spans="1:298" x14ac:dyDescent="0.2">
      <c r="A28" t="str">
        <f>"N"</f>
        <v>N</v>
      </c>
      <c r="B28" t="str">
        <f>""</f>
        <v/>
      </c>
      <c r="C28" t="str">
        <f>""</f>
        <v/>
      </c>
      <c r="D28" t="str">
        <f>""</f>
        <v/>
      </c>
      <c r="E28" t="str">
        <f>""</f>
        <v/>
      </c>
      <c r="F28" t="str">
        <f>""</f>
        <v/>
      </c>
      <c r="G28" t="str">
        <f>""</f>
        <v/>
      </c>
      <c r="H28" t="str">
        <f>""</f>
        <v/>
      </c>
      <c r="I28" t="str">
        <f>""</f>
        <v/>
      </c>
      <c r="J28" t="str">
        <f>""</f>
        <v/>
      </c>
      <c r="K28" t="str">
        <f>""</f>
        <v/>
      </c>
      <c r="L28" t="str">
        <f>""</f>
        <v/>
      </c>
      <c r="M28" t="str">
        <f>""</f>
        <v/>
      </c>
      <c r="N28" t="str">
        <f>""</f>
        <v/>
      </c>
      <c r="O28" t="str">
        <f>""</f>
        <v/>
      </c>
      <c r="P28" t="str">
        <f>""</f>
        <v/>
      </c>
      <c r="Q28" t="str">
        <f>""</f>
        <v/>
      </c>
      <c r="R28" t="str">
        <f>""</f>
        <v/>
      </c>
      <c r="S28" t="str">
        <f>""</f>
        <v/>
      </c>
      <c r="T28" t="str">
        <f>""</f>
        <v/>
      </c>
      <c r="U28" t="str">
        <f>""</f>
        <v/>
      </c>
      <c r="V28" t="str">
        <f>""</f>
        <v/>
      </c>
      <c r="W28" t="str">
        <f>""</f>
        <v/>
      </c>
      <c r="X28" t="str">
        <f>""</f>
        <v/>
      </c>
      <c r="Y28" t="str">
        <f>""</f>
        <v/>
      </c>
      <c r="Z28" t="str">
        <f>""</f>
        <v/>
      </c>
      <c r="AA28" t="str">
        <f>""</f>
        <v/>
      </c>
      <c r="AB28" t="str">
        <f>""</f>
        <v/>
      </c>
      <c r="AC28" t="str">
        <f>""</f>
        <v/>
      </c>
      <c r="AD28" t="str">
        <f>""</f>
        <v/>
      </c>
      <c r="AE28" t="str">
        <f>""</f>
        <v/>
      </c>
      <c r="AF28" t="str">
        <f>""</f>
        <v/>
      </c>
      <c r="AG28" t="str">
        <f>""</f>
        <v/>
      </c>
      <c r="AH28" t="str">
        <f>""</f>
        <v/>
      </c>
      <c r="AI28" t="str">
        <f>""</f>
        <v/>
      </c>
      <c r="AJ28" t="str">
        <f>""</f>
        <v/>
      </c>
      <c r="AK28" t="str">
        <f>""</f>
        <v/>
      </c>
      <c r="AL28" t="str">
        <f>""</f>
        <v/>
      </c>
      <c r="AM28" t="str">
        <f>""</f>
        <v/>
      </c>
      <c r="AN28" t="str">
        <f>""</f>
        <v/>
      </c>
      <c r="AO28" t="str">
        <f>""</f>
        <v/>
      </c>
      <c r="AP28" t="str">
        <f>""</f>
        <v/>
      </c>
      <c r="AQ28" t="str">
        <f>""</f>
        <v/>
      </c>
      <c r="AR28" t="str">
        <f>""</f>
        <v/>
      </c>
      <c r="AS28" t="str">
        <f>""</f>
        <v/>
      </c>
      <c r="AT28" t="str">
        <f>""</f>
        <v/>
      </c>
      <c r="AU28" t="str">
        <f>""</f>
        <v/>
      </c>
      <c r="AV28" t="str">
        <f>""</f>
        <v/>
      </c>
      <c r="AW28" t="str">
        <f>""</f>
        <v/>
      </c>
      <c r="AX28" t="str">
        <f>""</f>
        <v/>
      </c>
      <c r="AY28" t="str">
        <f>""</f>
        <v/>
      </c>
      <c r="AZ28" t="str">
        <f>""</f>
        <v/>
      </c>
      <c r="BA28" t="str">
        <f>""</f>
        <v/>
      </c>
      <c r="BB28" t="str">
        <f>""</f>
        <v/>
      </c>
      <c r="BC28" t="str">
        <f>""</f>
        <v/>
      </c>
      <c r="BD28" t="str">
        <f>""</f>
        <v/>
      </c>
      <c r="BE28" t="str">
        <f>""</f>
        <v/>
      </c>
      <c r="BF28" t="str">
        <f>""</f>
        <v/>
      </c>
      <c r="BG28" t="str">
        <f>""</f>
        <v/>
      </c>
      <c r="BH28" t="str">
        <f>""</f>
        <v/>
      </c>
      <c r="BI28" t="str">
        <f>""</f>
        <v/>
      </c>
      <c r="BJ28" t="str">
        <f>""</f>
        <v/>
      </c>
      <c r="BK28" t="str">
        <f>""</f>
        <v/>
      </c>
      <c r="BL28" t="str">
        <f>""</f>
        <v/>
      </c>
      <c r="BM28" t="str">
        <f>""</f>
        <v/>
      </c>
      <c r="BN28" t="str">
        <f>""</f>
        <v/>
      </c>
      <c r="BO28" t="str">
        <f>""</f>
        <v/>
      </c>
      <c r="BP28" t="str">
        <f>""</f>
        <v/>
      </c>
      <c r="BQ28" t="str">
        <f>""</f>
        <v/>
      </c>
      <c r="BR28" t="str">
        <f>""</f>
        <v/>
      </c>
      <c r="BS28" t="str">
        <f>""</f>
        <v/>
      </c>
      <c r="BT28" t="str">
        <f>""</f>
        <v/>
      </c>
      <c r="BU28" t="str">
        <f>""</f>
        <v/>
      </c>
      <c r="BV28" t="str">
        <f>""</f>
        <v/>
      </c>
      <c r="BW28" t="str">
        <f>""</f>
        <v/>
      </c>
      <c r="BX28" t="str">
        <f>""</f>
        <v/>
      </c>
      <c r="BY28" t="str">
        <f>""</f>
        <v/>
      </c>
      <c r="BZ28" t="str">
        <f>""</f>
        <v/>
      </c>
      <c r="CA28" t="str">
        <f>""</f>
        <v/>
      </c>
      <c r="CB28" t="str">
        <f>""</f>
        <v/>
      </c>
      <c r="CC28" t="str">
        <f>""</f>
        <v/>
      </c>
      <c r="CD28" t="str">
        <f>""</f>
        <v/>
      </c>
      <c r="CE28" t="str">
        <f>""</f>
        <v/>
      </c>
      <c r="CF28" t="str">
        <f>""</f>
        <v/>
      </c>
      <c r="CG28" t="str">
        <f>""</f>
        <v/>
      </c>
      <c r="CH28" t="str">
        <f>""</f>
        <v/>
      </c>
      <c r="CI28" t="str">
        <f>""</f>
        <v/>
      </c>
      <c r="CJ28" t="str">
        <f>""</f>
        <v/>
      </c>
      <c r="CK28" t="str">
        <f>""</f>
        <v/>
      </c>
      <c r="CL28" t="str">
        <f>""</f>
        <v/>
      </c>
      <c r="CM28" t="str">
        <f>""</f>
        <v/>
      </c>
      <c r="CN28" t="str">
        <f>""</f>
        <v/>
      </c>
      <c r="CO28" t="str">
        <f>""</f>
        <v/>
      </c>
      <c r="CP28" t="str">
        <f>""</f>
        <v/>
      </c>
      <c r="CQ28" t="str">
        <f>""</f>
        <v/>
      </c>
      <c r="CR28" t="str">
        <f>""</f>
        <v/>
      </c>
      <c r="CS28" t="str">
        <f>""</f>
        <v/>
      </c>
      <c r="CT28" t="str">
        <f>""</f>
        <v/>
      </c>
      <c r="CU28" t="str">
        <f>""</f>
        <v/>
      </c>
      <c r="CV28" t="str">
        <f>""</f>
        <v/>
      </c>
      <c r="CW28" t="str">
        <f>""</f>
        <v/>
      </c>
      <c r="CX28" t="str">
        <f>""</f>
        <v/>
      </c>
      <c r="CY28" t="str">
        <f>""</f>
        <v/>
      </c>
      <c r="CZ28" t="str">
        <f>""</f>
        <v/>
      </c>
      <c r="DA28" t="str">
        <f>""</f>
        <v/>
      </c>
      <c r="DB28" t="str">
        <f>""</f>
        <v/>
      </c>
      <c r="DC28" t="str">
        <f>""</f>
        <v/>
      </c>
      <c r="DD28" t="str">
        <f>""</f>
        <v/>
      </c>
      <c r="DE28" t="str">
        <f>""</f>
        <v/>
      </c>
      <c r="DF28" t="str">
        <f>""</f>
        <v/>
      </c>
      <c r="DG28" t="str">
        <f>""</f>
        <v/>
      </c>
      <c r="DH28" t="str">
        <f>""</f>
        <v/>
      </c>
      <c r="DI28" t="str">
        <f>""</f>
        <v/>
      </c>
      <c r="DJ28" t="str">
        <f>""</f>
        <v/>
      </c>
      <c r="DK28" t="str">
        <f>""</f>
        <v/>
      </c>
      <c r="DL28" t="str">
        <f>""</f>
        <v/>
      </c>
      <c r="DM28" t="str">
        <f>""</f>
        <v/>
      </c>
      <c r="DN28" t="str">
        <f>""</f>
        <v/>
      </c>
      <c r="DO28" t="str">
        <f>""</f>
        <v/>
      </c>
      <c r="DP28" t="str">
        <f>""</f>
        <v/>
      </c>
      <c r="DQ28" t="str">
        <f>""</f>
        <v/>
      </c>
      <c r="DR28" t="str">
        <f>""</f>
        <v/>
      </c>
      <c r="DS28" t="str">
        <f>""</f>
        <v/>
      </c>
      <c r="DT28" t="str">
        <f>""</f>
        <v/>
      </c>
      <c r="DU28" t="str">
        <f>""</f>
        <v/>
      </c>
      <c r="DV28" t="str">
        <f>""</f>
        <v/>
      </c>
      <c r="DW28" t="str">
        <f>""</f>
        <v/>
      </c>
      <c r="DX28" t="str">
        <f>""</f>
        <v/>
      </c>
      <c r="DY28" t="str">
        <f>""</f>
        <v/>
      </c>
      <c r="DZ28" t="str">
        <f>""</f>
        <v/>
      </c>
      <c r="EA28" t="str">
        <f>""</f>
        <v/>
      </c>
      <c r="EB28" t="str">
        <f>""</f>
        <v/>
      </c>
      <c r="EC28" t="str">
        <f>""</f>
        <v/>
      </c>
      <c r="ED28" t="str">
        <f>""</f>
        <v/>
      </c>
      <c r="EE28" t="str">
        <f>""</f>
        <v/>
      </c>
      <c r="EF28" t="str">
        <f>""</f>
        <v/>
      </c>
      <c r="EG28" t="str">
        <f>""</f>
        <v/>
      </c>
      <c r="EH28" t="str">
        <f>""</f>
        <v/>
      </c>
      <c r="EI28" t="str">
        <f>""</f>
        <v/>
      </c>
      <c r="EJ28" t="str">
        <f>""</f>
        <v/>
      </c>
      <c r="EK28" t="str">
        <f>""</f>
        <v/>
      </c>
      <c r="EL28" t="str">
        <f>""</f>
        <v/>
      </c>
      <c r="EM28" t="str">
        <f>""</f>
        <v/>
      </c>
      <c r="EN28" t="str">
        <f>""</f>
        <v/>
      </c>
      <c r="EO28" t="str">
        <f>""</f>
        <v/>
      </c>
      <c r="EP28" t="str">
        <f>""</f>
        <v/>
      </c>
      <c r="EQ28" t="str">
        <f>""</f>
        <v/>
      </c>
      <c r="ER28" t="str">
        <f>""</f>
        <v/>
      </c>
      <c r="ES28" t="str">
        <f>""</f>
        <v/>
      </c>
      <c r="ET28" t="str">
        <f>""</f>
        <v/>
      </c>
      <c r="EU28" t="str">
        <f>""</f>
        <v/>
      </c>
      <c r="EV28" t="str">
        <f>""</f>
        <v/>
      </c>
      <c r="EW28" t="str">
        <f>""</f>
        <v/>
      </c>
      <c r="EX28" t="str">
        <f>""</f>
        <v/>
      </c>
      <c r="EY28" t="str">
        <f>""</f>
        <v/>
      </c>
      <c r="EZ28" t="str">
        <f>""</f>
        <v/>
      </c>
      <c r="FA28" t="str">
        <f>""</f>
        <v/>
      </c>
      <c r="FB28" t="str">
        <f>""</f>
        <v/>
      </c>
      <c r="FC28" t="str">
        <f>""</f>
        <v/>
      </c>
      <c r="FD28" t="str">
        <f>""</f>
        <v/>
      </c>
      <c r="FE28" t="str">
        <f>""</f>
        <v/>
      </c>
      <c r="FF28" t="str">
        <f>""</f>
        <v/>
      </c>
      <c r="FG28" t="str">
        <f>""</f>
        <v/>
      </c>
      <c r="FH28" t="str">
        <f>""</f>
        <v/>
      </c>
      <c r="FI28" t="str">
        <f>""</f>
        <v/>
      </c>
      <c r="FJ28" t="str">
        <f>""</f>
        <v/>
      </c>
      <c r="FK28" t="str">
        <f>""</f>
        <v/>
      </c>
      <c r="FL28" t="str">
        <f>""</f>
        <v/>
      </c>
      <c r="FM28" t="str">
        <f>""</f>
        <v/>
      </c>
      <c r="FN28" t="str">
        <f>""</f>
        <v/>
      </c>
      <c r="FO28" t="str">
        <f>""</f>
        <v/>
      </c>
      <c r="FP28" t="str">
        <f>""</f>
        <v/>
      </c>
      <c r="FQ28" t="str">
        <f>""</f>
        <v/>
      </c>
      <c r="FR28" t="str">
        <f>""</f>
        <v/>
      </c>
      <c r="FS28" t="str">
        <f>""</f>
        <v/>
      </c>
      <c r="FT28" t="str">
        <f>""</f>
        <v/>
      </c>
      <c r="FU28" t="str">
        <f>""</f>
        <v/>
      </c>
      <c r="FV28" t="str">
        <f>""</f>
        <v/>
      </c>
      <c r="FW28" t="str">
        <f>""</f>
        <v/>
      </c>
      <c r="FX28" t="str">
        <f>""</f>
        <v/>
      </c>
      <c r="FY28" t="str">
        <f>""</f>
        <v/>
      </c>
      <c r="FZ28" t="str">
        <f>""</f>
        <v/>
      </c>
      <c r="GA28" t="str">
        <f>""</f>
        <v/>
      </c>
      <c r="GB28" t="str">
        <f>""</f>
        <v/>
      </c>
      <c r="GC28" t="str">
        <f>""</f>
        <v/>
      </c>
      <c r="GD28" t="str">
        <f>""</f>
        <v/>
      </c>
      <c r="GE28" t="str">
        <f>""</f>
        <v/>
      </c>
      <c r="GF28" t="str">
        <f>""</f>
        <v/>
      </c>
      <c r="GG28" t="str">
        <f>""</f>
        <v/>
      </c>
      <c r="GH28" t="str">
        <f>""</f>
        <v/>
      </c>
      <c r="GI28" t="str">
        <f>""</f>
        <v/>
      </c>
      <c r="GJ28" t="str">
        <f>""</f>
        <v/>
      </c>
      <c r="GK28" t="str">
        <f>""</f>
        <v/>
      </c>
      <c r="GL28" t="str">
        <f>""</f>
        <v/>
      </c>
      <c r="GM28" t="str">
        <f>""</f>
        <v/>
      </c>
      <c r="GN28" t="str">
        <f>""</f>
        <v/>
      </c>
      <c r="GO28" t="str">
        <f>""</f>
        <v/>
      </c>
      <c r="GP28" t="str">
        <f>""</f>
        <v/>
      </c>
      <c r="GQ28" t="str">
        <f>""</f>
        <v/>
      </c>
    </row>
    <row r="29" spans="1:298" x14ac:dyDescent="0.2">
      <c r="A29" t="str">
        <f>"95% confidence intervals in brackets"</f>
        <v>95% confidence intervals in brackets</v>
      </c>
    </row>
    <row r="30" spans="1:298" x14ac:dyDescent="0.2">
      <c r="A30" t="s">
        <v>243</v>
      </c>
      <c r="B30" t="s">
        <v>242</v>
      </c>
      <c r="C30" t="s">
        <v>241</v>
      </c>
    </row>
    <row r="35" spans="1:100" x14ac:dyDescent="0.2">
      <c r="A35" t="s">
        <v>229</v>
      </c>
      <c r="B35">
        <v>-2.3999999999999998E-3</v>
      </c>
      <c r="C35">
        <v>1.1000000000000001E-3</v>
      </c>
      <c r="D35">
        <v>4.4999999999999997E-3</v>
      </c>
      <c r="E35">
        <v>7.1999999999999998E-3</v>
      </c>
      <c r="F35">
        <v>4.1999999999999997E-3</v>
      </c>
      <c r="G35">
        <v>-1.8599999999999998E-2</v>
      </c>
      <c r="H35">
        <v>2.87E-2</v>
      </c>
      <c r="I35">
        <v>-7.1900000000000006E-2</v>
      </c>
      <c r="J35">
        <v>-2.5399999999999999E-2</v>
      </c>
      <c r="K35">
        <v>-7.0800000000000002E-2</v>
      </c>
      <c r="L35">
        <v>-2.6599999999999999E-2</v>
      </c>
      <c r="M35">
        <v>-3.5499999999999997E-2</v>
      </c>
      <c r="N35">
        <v>-3.5999999999999997E-2</v>
      </c>
      <c r="O35">
        <v>-5.3900000000000003E-2</v>
      </c>
      <c r="P35">
        <v>-6.6199999999999995E-2</v>
      </c>
      <c r="Q35">
        <v>-1.37E-2</v>
      </c>
      <c r="R35">
        <v>-1.2800000000000001E-2</v>
      </c>
      <c r="S35">
        <v>-3.85E-2</v>
      </c>
      <c r="T35">
        <v>-1.9099999999999999E-2</v>
      </c>
      <c r="U35">
        <v>-8.9999999999999998E-4</v>
      </c>
      <c r="V35">
        <v>2.8E-3</v>
      </c>
      <c r="W35">
        <v>-4.7600000000000003E-2</v>
      </c>
      <c r="X35">
        <v>-5.2200000000000003E-2</v>
      </c>
      <c r="Y35">
        <v>-5.4300000000000001E-2</v>
      </c>
      <c r="Z35">
        <v>-1.9E-2</v>
      </c>
      <c r="AA35">
        <v>-0.04</v>
      </c>
      <c r="AB35">
        <v>-1.6799999999999999E-2</v>
      </c>
      <c r="AC35">
        <v>-1.9300000000000001E-2</v>
      </c>
      <c r="AD35">
        <v>-2.6800000000000001E-2</v>
      </c>
      <c r="AE35">
        <v>-4.4999999999999998E-2</v>
      </c>
      <c r="AF35">
        <v>-5.6899999999999999E-2</v>
      </c>
      <c r="AG35">
        <v>-4.9099999999999998E-2</v>
      </c>
      <c r="AH35">
        <v>-5.3900000000000003E-2</v>
      </c>
      <c r="AI35">
        <v>-4.8899999999999999E-2</v>
      </c>
      <c r="AJ35">
        <v>-5.6099999999999997E-2</v>
      </c>
      <c r="AK35">
        <v>-5.0700000000000002E-2</v>
      </c>
      <c r="AL35">
        <v>-5.0799999999999998E-2</v>
      </c>
      <c r="AM35">
        <v>-4.0300000000000002E-2</v>
      </c>
      <c r="AN35">
        <v>-3.5700000000000003E-2</v>
      </c>
      <c r="AO35">
        <v>-5.3999999999999999E-2</v>
      </c>
      <c r="AP35">
        <v>-5.0599999999999999E-2</v>
      </c>
      <c r="AQ35">
        <v>-4.4299999999999999E-2</v>
      </c>
      <c r="AR35">
        <v>-5.1900000000000002E-2</v>
      </c>
      <c r="AS35">
        <v>-3.4599999999999999E-2</v>
      </c>
      <c r="AT35">
        <v>-4.9599999999999998E-2</v>
      </c>
      <c r="AU35">
        <v>-5.1900000000000002E-2</v>
      </c>
      <c r="AV35">
        <v>-5.8000000000000003E-2</v>
      </c>
      <c r="AW35">
        <v>-6.3299999999999995E-2</v>
      </c>
      <c r="AX35">
        <v>-5.9799999999999999E-2</v>
      </c>
      <c r="AY35">
        <v>-5.79E-2</v>
      </c>
      <c r="AZ35">
        <v>-6.8400000000000002E-2</v>
      </c>
      <c r="BA35">
        <v>-5.7599999999999998E-2</v>
      </c>
      <c r="BB35">
        <v>-5.6899999999999999E-2</v>
      </c>
      <c r="BC35">
        <v>-5.1499999999999997E-2</v>
      </c>
      <c r="BD35">
        <v>-5.1400000000000001E-2</v>
      </c>
      <c r="BE35">
        <v>-5.3400000000000003E-2</v>
      </c>
      <c r="BF35">
        <v>-5.8700000000000002E-2</v>
      </c>
      <c r="BG35">
        <v>-4.6300000000000001E-2</v>
      </c>
      <c r="BH35">
        <v>-5.5399999999999998E-2</v>
      </c>
      <c r="BI35">
        <v>-4.7600000000000003E-2</v>
      </c>
      <c r="BJ35">
        <v>-5.6099999999999997E-2</v>
      </c>
      <c r="BK35">
        <v>-5.3199999999999997E-2</v>
      </c>
      <c r="BL35">
        <v>-6.5699999999999995E-2</v>
      </c>
      <c r="BM35">
        <v>-5.67E-2</v>
      </c>
      <c r="BN35">
        <v>-5.3800000000000001E-2</v>
      </c>
      <c r="BO35">
        <v>-6.2799999999999995E-2</v>
      </c>
      <c r="BP35">
        <v>-6.4500000000000002E-2</v>
      </c>
      <c r="BQ35">
        <v>-8.4199999999999997E-2</v>
      </c>
      <c r="BR35">
        <v>-8.0100000000000005E-2</v>
      </c>
      <c r="BS35">
        <v>-6.3799999999999996E-2</v>
      </c>
      <c r="BT35">
        <v>-6.6299999999999998E-2</v>
      </c>
      <c r="BU35">
        <v>-5.5800000000000002E-2</v>
      </c>
      <c r="BV35">
        <v>-5.3600000000000002E-2</v>
      </c>
      <c r="BW35">
        <v>-5.0700000000000002E-2</v>
      </c>
      <c r="BX35">
        <v>-5.1900000000000002E-2</v>
      </c>
      <c r="BY35">
        <v>-5.1499999999999997E-2</v>
      </c>
      <c r="BZ35">
        <v>-6.3700000000000007E-2</v>
      </c>
      <c r="CA35">
        <v>-5.4800000000000001E-2</v>
      </c>
      <c r="CB35">
        <v>-6.0100000000000001E-2</v>
      </c>
      <c r="CC35">
        <v>-6.3200000000000006E-2</v>
      </c>
      <c r="CD35">
        <v>-5.8000000000000003E-2</v>
      </c>
      <c r="CE35">
        <v>-5.5399999999999998E-2</v>
      </c>
      <c r="CF35">
        <v>-6.2199999999999998E-2</v>
      </c>
      <c r="CG35">
        <v>-6.7000000000000004E-2</v>
      </c>
      <c r="CH35">
        <v>-5.67E-2</v>
      </c>
      <c r="CI35">
        <v>-7.4200000000000002E-2</v>
      </c>
      <c r="CJ35">
        <v>-6.7100000000000007E-2</v>
      </c>
      <c r="CK35">
        <v>-6.2300000000000001E-2</v>
      </c>
      <c r="CL35">
        <v>-5.6099999999999997E-2</v>
      </c>
      <c r="CM35">
        <v>-8.14E-2</v>
      </c>
      <c r="CN35">
        <v>-7.6499999999999999E-2</v>
      </c>
      <c r="CO35">
        <v>-0.10349999999999999</v>
      </c>
      <c r="CP35">
        <v>-0.1173</v>
      </c>
      <c r="CQ35">
        <v>-6.6000000000000003E-2</v>
      </c>
      <c r="CR35">
        <v>-0.1009</v>
      </c>
      <c r="CS35">
        <v>-9.5200000000000007E-2</v>
      </c>
      <c r="CT35">
        <v>-0.1201</v>
      </c>
      <c r="CU35">
        <v>-0.1079</v>
      </c>
      <c r="CV35">
        <v>-0.24909999999999999</v>
      </c>
    </row>
    <row r="36" spans="1:100" x14ac:dyDescent="0.2">
      <c r="A36" t="s">
        <v>228</v>
      </c>
      <c r="B36">
        <v>8.6E-3</v>
      </c>
      <c r="C36">
        <v>1.2E-2</v>
      </c>
      <c r="D36">
        <v>1.54E-2</v>
      </c>
      <c r="E36">
        <v>0.16489999999999999</v>
      </c>
      <c r="F36">
        <v>0.10970000000000001</v>
      </c>
      <c r="G36">
        <v>5.6899999999999999E-2</v>
      </c>
      <c r="H36">
        <v>0.1018</v>
      </c>
      <c r="I36">
        <v>-9.4999999999999998E-3</v>
      </c>
      <c r="J36">
        <v>3.4799999999999998E-2</v>
      </c>
      <c r="K36">
        <v>-1.4200000000000001E-2</v>
      </c>
      <c r="L36">
        <v>2.5399999999999999E-2</v>
      </c>
      <c r="M36">
        <v>1.44E-2</v>
      </c>
      <c r="N36">
        <v>6.8999999999999999E-3</v>
      </c>
      <c r="O36">
        <v>-1.95E-2</v>
      </c>
      <c r="P36">
        <v>-3.1199999999999999E-2</v>
      </c>
      <c r="Q36">
        <v>1.4200000000000001E-2</v>
      </c>
      <c r="R36">
        <v>1.04E-2</v>
      </c>
      <c r="S36">
        <v>-1.7100000000000001E-2</v>
      </c>
      <c r="T36">
        <v>-2.0000000000000001E-4</v>
      </c>
      <c r="U36">
        <v>1.55E-2</v>
      </c>
      <c r="V36">
        <v>1.9199999999999998E-2</v>
      </c>
      <c r="W36">
        <v>-3.1099999999999999E-2</v>
      </c>
      <c r="X36">
        <v>-3.5499999999999997E-2</v>
      </c>
      <c r="Y36">
        <v>-3.7400000000000003E-2</v>
      </c>
      <c r="Z36">
        <v>-2.7000000000000001E-3</v>
      </c>
      <c r="AA36">
        <v>-2.3599999999999999E-2</v>
      </c>
      <c r="AB36">
        <v>-1E-4</v>
      </c>
      <c r="AC36">
        <v>-2.3999999999999998E-3</v>
      </c>
      <c r="AD36">
        <v>-9.4999999999999998E-3</v>
      </c>
      <c r="AE36">
        <v>-2.7099999999999999E-2</v>
      </c>
      <c r="AF36">
        <v>-3.8699999999999998E-2</v>
      </c>
      <c r="AG36">
        <v>-2.9600000000000001E-2</v>
      </c>
      <c r="AH36">
        <v>-3.3599999999999998E-2</v>
      </c>
      <c r="AI36">
        <v>-2.8199999999999999E-2</v>
      </c>
      <c r="AJ36">
        <v>-3.5099999999999999E-2</v>
      </c>
      <c r="AK36">
        <v>-2.9100000000000001E-2</v>
      </c>
      <c r="AL36">
        <v>-2.8899999999999999E-2</v>
      </c>
      <c r="AM36">
        <v>-1.8100000000000002E-2</v>
      </c>
      <c r="AN36">
        <v>-1.35E-2</v>
      </c>
      <c r="AO36">
        <v>-3.1800000000000002E-2</v>
      </c>
      <c r="AP36">
        <v>-2.8299999999999999E-2</v>
      </c>
      <c r="AQ36">
        <v>-2.1999999999999999E-2</v>
      </c>
      <c r="AR36">
        <v>-2.9600000000000001E-2</v>
      </c>
      <c r="AS36">
        <v>-1.24E-2</v>
      </c>
      <c r="AT36">
        <v>-2.7199999999999998E-2</v>
      </c>
      <c r="AU36">
        <v>-2.93E-2</v>
      </c>
      <c r="AV36">
        <v>-3.5200000000000002E-2</v>
      </c>
      <c r="AW36">
        <v>-4.0500000000000001E-2</v>
      </c>
      <c r="AX36">
        <v>-3.5900000000000001E-2</v>
      </c>
      <c r="AY36">
        <v>-3.3799999999999997E-2</v>
      </c>
      <c r="AZ36">
        <v>-4.41E-2</v>
      </c>
      <c r="BA36">
        <v>-3.2500000000000001E-2</v>
      </c>
      <c r="BB36">
        <v>-3.1600000000000003E-2</v>
      </c>
      <c r="BC36">
        <v>-2.5700000000000001E-2</v>
      </c>
      <c r="BD36">
        <v>-2.5700000000000001E-2</v>
      </c>
      <c r="BE36">
        <v>-2.7900000000000001E-2</v>
      </c>
      <c r="BF36">
        <v>-3.32E-2</v>
      </c>
      <c r="BG36">
        <v>-2.1299999999999999E-2</v>
      </c>
      <c r="BH36">
        <v>-3.04E-2</v>
      </c>
      <c r="BI36">
        <v>-2.2599999999999999E-2</v>
      </c>
      <c r="BJ36">
        <v>-3.1099999999999999E-2</v>
      </c>
      <c r="BK36">
        <v>-2.8199999999999999E-2</v>
      </c>
      <c r="BL36">
        <v>-4.0599999999999997E-2</v>
      </c>
      <c r="BM36">
        <v>-3.0200000000000001E-2</v>
      </c>
      <c r="BN36">
        <v>-2.5000000000000001E-2</v>
      </c>
      <c r="BO36">
        <v>-3.2899999999999999E-2</v>
      </c>
      <c r="BP36">
        <v>-3.3599999999999998E-2</v>
      </c>
      <c r="BQ36">
        <v>-5.2400000000000002E-2</v>
      </c>
      <c r="BR36">
        <v>-4.7899999999999998E-2</v>
      </c>
      <c r="BS36">
        <v>-3.1E-2</v>
      </c>
      <c r="BT36">
        <v>-3.3700000000000001E-2</v>
      </c>
      <c r="BU36">
        <v>-2.23E-2</v>
      </c>
      <c r="BV36">
        <v>-0.02</v>
      </c>
      <c r="BW36">
        <v>-1.7100000000000001E-2</v>
      </c>
      <c r="BX36">
        <v>-1.77E-2</v>
      </c>
      <c r="BY36">
        <v>-1.6199999999999999E-2</v>
      </c>
      <c r="BZ36">
        <v>-2.9100000000000001E-2</v>
      </c>
      <c r="CA36">
        <v>-1.7999999999999999E-2</v>
      </c>
      <c r="CB36">
        <v>-2.0400000000000001E-2</v>
      </c>
      <c r="CC36">
        <v>-2.0400000000000001E-2</v>
      </c>
      <c r="CD36">
        <v>-1.2500000000000001E-2</v>
      </c>
      <c r="CE36">
        <v>-1.0699999999999999E-2</v>
      </c>
      <c r="CF36">
        <v>-1.9E-2</v>
      </c>
      <c r="CG36">
        <v>-2.53E-2</v>
      </c>
      <c r="CH36">
        <v>-1.41E-2</v>
      </c>
      <c r="CI36">
        <v>-2.64E-2</v>
      </c>
      <c r="CJ36">
        <v>-1.7600000000000001E-2</v>
      </c>
      <c r="CK36">
        <v>-1.2E-2</v>
      </c>
      <c r="CL36">
        <v>-5.4999999999999997E-3</v>
      </c>
      <c r="CM36">
        <v>-2.5600000000000001E-2</v>
      </c>
      <c r="CN36">
        <v>-1.7500000000000002E-2</v>
      </c>
      <c r="CO36">
        <v>-3.9E-2</v>
      </c>
      <c r="CP36">
        <v>-4.82E-2</v>
      </c>
      <c r="CQ36">
        <v>8.2000000000000007E-3</v>
      </c>
      <c r="CR36">
        <v>-1.84E-2</v>
      </c>
      <c r="CS36">
        <v>-1.77E-2</v>
      </c>
      <c r="CT36">
        <v>-4.5999999999999999E-3</v>
      </c>
      <c r="CU36">
        <v>6.1000000000000004E-3</v>
      </c>
      <c r="CV36">
        <v>-6.5000000000000002E-2</v>
      </c>
    </row>
    <row r="37" spans="1:100" x14ac:dyDescent="0.2">
      <c r="A37" t="s">
        <v>231</v>
      </c>
      <c r="B37">
        <v>-1E-4</v>
      </c>
      <c r="C37">
        <v>-1E-4</v>
      </c>
      <c r="D37">
        <v>-1E-4</v>
      </c>
      <c r="E37">
        <v>-1.72E-2</v>
      </c>
      <c r="F37">
        <v>-4.8999999999999998E-3</v>
      </c>
      <c r="G37">
        <v>4.0000000000000002E-4</v>
      </c>
      <c r="H37">
        <v>2.0999999999999999E-3</v>
      </c>
      <c r="I37">
        <v>5.0000000000000001E-3</v>
      </c>
      <c r="J37">
        <v>7.4999999999999997E-3</v>
      </c>
      <c r="K37">
        <v>8.6999999999999994E-3</v>
      </c>
      <c r="L37">
        <v>9.4000000000000004E-3</v>
      </c>
      <c r="M37">
        <v>1.0999999999999999E-2</v>
      </c>
      <c r="N37">
        <v>1.06E-2</v>
      </c>
      <c r="O37">
        <v>8.6999999999999994E-3</v>
      </c>
      <c r="P37">
        <v>8.6999999999999994E-3</v>
      </c>
      <c r="Q37">
        <v>9.1000000000000004E-3</v>
      </c>
      <c r="R37">
        <v>8.9999999999999993E-3</v>
      </c>
      <c r="S37">
        <v>9.2999999999999992E-3</v>
      </c>
      <c r="T37">
        <v>9.9000000000000008E-3</v>
      </c>
      <c r="U37">
        <v>9.7000000000000003E-3</v>
      </c>
      <c r="V37">
        <v>1.11E-2</v>
      </c>
      <c r="W37">
        <v>1.1299999999999999E-2</v>
      </c>
      <c r="X37">
        <v>1.2E-2</v>
      </c>
      <c r="Y37">
        <v>1.2699999999999999E-2</v>
      </c>
      <c r="Z37">
        <v>1.3100000000000001E-2</v>
      </c>
      <c r="AA37">
        <v>1.34E-2</v>
      </c>
      <c r="AB37">
        <v>1.4200000000000001E-2</v>
      </c>
      <c r="AC37">
        <v>1.5100000000000001E-2</v>
      </c>
      <c r="AD37">
        <v>1.61E-2</v>
      </c>
      <c r="AE37">
        <v>1.78E-2</v>
      </c>
      <c r="AF37">
        <v>1.9099999999999999E-2</v>
      </c>
      <c r="AG37">
        <v>2.0799999999999999E-2</v>
      </c>
      <c r="AH37">
        <v>2.24E-2</v>
      </c>
      <c r="AI37">
        <v>2.3199999999999998E-2</v>
      </c>
      <c r="AJ37">
        <v>2.3800000000000002E-2</v>
      </c>
      <c r="AK37">
        <v>2.4299999999999999E-2</v>
      </c>
      <c r="AL37">
        <v>2.53E-2</v>
      </c>
      <c r="AM37">
        <v>2.5999999999999999E-2</v>
      </c>
      <c r="AN37">
        <v>2.6599999999999999E-2</v>
      </c>
      <c r="AO37">
        <v>2.7300000000000001E-2</v>
      </c>
      <c r="AP37">
        <v>2.75E-2</v>
      </c>
      <c r="AQ37">
        <v>2.8400000000000002E-2</v>
      </c>
      <c r="AR37">
        <v>2.92E-2</v>
      </c>
      <c r="AS37">
        <v>2.9899999999999999E-2</v>
      </c>
      <c r="AT37">
        <v>3.0800000000000001E-2</v>
      </c>
      <c r="AU37">
        <v>3.1600000000000003E-2</v>
      </c>
      <c r="AV37">
        <v>3.2199999999999999E-2</v>
      </c>
      <c r="AW37">
        <v>3.2800000000000003E-2</v>
      </c>
      <c r="AX37">
        <v>3.4500000000000003E-2</v>
      </c>
      <c r="AY37">
        <v>3.5099999999999999E-2</v>
      </c>
      <c r="AZ37">
        <v>3.5700000000000003E-2</v>
      </c>
      <c r="BA37">
        <v>3.6999999999999998E-2</v>
      </c>
      <c r="BB37">
        <v>3.78E-2</v>
      </c>
      <c r="BC37">
        <v>3.8800000000000001E-2</v>
      </c>
      <c r="BD37">
        <v>3.9399999999999998E-2</v>
      </c>
      <c r="BE37">
        <v>3.9600000000000003E-2</v>
      </c>
      <c r="BF37">
        <v>3.9600000000000003E-2</v>
      </c>
      <c r="BG37">
        <v>3.9600000000000003E-2</v>
      </c>
      <c r="BH37">
        <v>4.0300000000000002E-2</v>
      </c>
      <c r="BI37">
        <v>4.0300000000000002E-2</v>
      </c>
      <c r="BJ37">
        <v>4.0500000000000001E-2</v>
      </c>
      <c r="BK37">
        <v>4.0099999999999997E-2</v>
      </c>
      <c r="BL37">
        <v>4.0599999999999997E-2</v>
      </c>
      <c r="BM37">
        <v>4.3099999999999999E-2</v>
      </c>
      <c r="BN37">
        <v>4.7300000000000002E-2</v>
      </c>
      <c r="BO37">
        <v>5.0599999999999999E-2</v>
      </c>
      <c r="BP37">
        <v>5.2499999999999998E-2</v>
      </c>
      <c r="BQ37">
        <v>5.4199999999999998E-2</v>
      </c>
      <c r="BR37">
        <v>5.4199999999999998E-2</v>
      </c>
      <c r="BS37">
        <v>5.4300000000000001E-2</v>
      </c>
      <c r="BT37">
        <v>5.3800000000000001E-2</v>
      </c>
      <c r="BU37">
        <v>5.4899999999999997E-2</v>
      </c>
      <c r="BV37">
        <v>5.5E-2</v>
      </c>
      <c r="BW37">
        <v>5.5E-2</v>
      </c>
      <c r="BX37">
        <v>5.6800000000000003E-2</v>
      </c>
      <c r="BY37">
        <v>5.8700000000000002E-2</v>
      </c>
      <c r="BZ37">
        <v>5.7599999999999998E-2</v>
      </c>
      <c r="CA37">
        <v>5.9499999999999997E-2</v>
      </c>
      <c r="CB37">
        <v>6.3899999999999998E-2</v>
      </c>
      <c r="CC37">
        <v>6.8199999999999997E-2</v>
      </c>
      <c r="CD37">
        <v>7.1599999999999997E-2</v>
      </c>
      <c r="CE37">
        <v>7.0800000000000002E-2</v>
      </c>
      <c r="CF37">
        <v>6.8599999999999994E-2</v>
      </c>
      <c r="CG37">
        <v>6.5799999999999997E-2</v>
      </c>
      <c r="CH37">
        <v>6.4100000000000004E-2</v>
      </c>
      <c r="CI37">
        <v>7.22E-2</v>
      </c>
      <c r="CJ37">
        <v>7.1599999999999997E-2</v>
      </c>
      <c r="CK37">
        <v>7.1099999999999997E-2</v>
      </c>
      <c r="CL37">
        <v>6.8000000000000005E-2</v>
      </c>
      <c r="CM37">
        <v>7.8600000000000003E-2</v>
      </c>
      <c r="CN37">
        <v>8.2600000000000007E-2</v>
      </c>
      <c r="CO37">
        <v>8.5999999999999993E-2</v>
      </c>
      <c r="CP37">
        <v>8.5199999999999998E-2</v>
      </c>
      <c r="CQ37">
        <v>7.9699999999999993E-2</v>
      </c>
      <c r="CR37">
        <v>8.0699999999999994E-2</v>
      </c>
      <c r="CS37">
        <v>6.9599999999999995E-2</v>
      </c>
      <c r="CT37">
        <v>8.8400000000000006E-2</v>
      </c>
      <c r="CU37">
        <v>6.9400000000000003E-2</v>
      </c>
      <c r="CV37">
        <v>8.5199999999999998E-2</v>
      </c>
    </row>
    <row r="38" spans="1:100" x14ac:dyDescent="0.2">
      <c r="A38" t="s">
        <v>230</v>
      </c>
      <c r="B38">
        <v>2.0999999999999999E-3</v>
      </c>
      <c r="C38">
        <v>2.0999999999999999E-3</v>
      </c>
      <c r="D38">
        <v>2.0999999999999999E-3</v>
      </c>
      <c r="E38">
        <v>3.1399999999999997E-2</v>
      </c>
      <c r="F38">
        <v>2.7E-2</v>
      </c>
      <c r="G38">
        <v>2.8799999999999999E-2</v>
      </c>
      <c r="H38">
        <v>2.9000000000000001E-2</v>
      </c>
      <c r="I38">
        <v>3.0200000000000001E-2</v>
      </c>
      <c r="J38">
        <v>3.3700000000000001E-2</v>
      </c>
      <c r="K38">
        <v>3.3799999999999997E-2</v>
      </c>
      <c r="L38">
        <v>3.39E-2</v>
      </c>
      <c r="M38">
        <v>3.5400000000000001E-2</v>
      </c>
      <c r="N38">
        <v>3.2599999999999997E-2</v>
      </c>
      <c r="O38">
        <v>2.47E-2</v>
      </c>
      <c r="P38">
        <v>2.5000000000000001E-2</v>
      </c>
      <c r="Q38">
        <v>2.4199999999999999E-2</v>
      </c>
      <c r="R38">
        <v>2.1999999999999999E-2</v>
      </c>
      <c r="S38">
        <v>2.07E-2</v>
      </c>
      <c r="T38">
        <v>2.07E-2</v>
      </c>
      <c r="U38">
        <v>1.9400000000000001E-2</v>
      </c>
      <c r="V38">
        <v>2.06E-2</v>
      </c>
      <c r="W38">
        <v>2.01E-2</v>
      </c>
      <c r="X38">
        <v>2.0799999999999999E-2</v>
      </c>
      <c r="Y38">
        <v>2.1600000000000001E-2</v>
      </c>
      <c r="Z38">
        <v>2.2200000000000001E-2</v>
      </c>
      <c r="AA38">
        <v>2.2700000000000001E-2</v>
      </c>
      <c r="AB38">
        <v>2.35E-2</v>
      </c>
      <c r="AC38">
        <v>2.4500000000000001E-2</v>
      </c>
      <c r="AD38">
        <v>2.5999999999999999E-2</v>
      </c>
      <c r="AE38">
        <v>2.7799999999999998E-2</v>
      </c>
      <c r="AF38">
        <v>2.9399999999999999E-2</v>
      </c>
      <c r="AG38">
        <v>3.1600000000000003E-2</v>
      </c>
      <c r="AH38">
        <v>3.3500000000000002E-2</v>
      </c>
      <c r="AI38">
        <v>3.44E-2</v>
      </c>
      <c r="AJ38">
        <v>3.5000000000000003E-2</v>
      </c>
      <c r="AK38">
        <v>3.5700000000000003E-2</v>
      </c>
      <c r="AL38">
        <v>3.6700000000000003E-2</v>
      </c>
      <c r="AM38">
        <v>3.7400000000000003E-2</v>
      </c>
      <c r="AN38">
        <v>3.8100000000000002E-2</v>
      </c>
      <c r="AO38">
        <v>3.8699999999999998E-2</v>
      </c>
      <c r="AP38">
        <v>3.9100000000000003E-2</v>
      </c>
      <c r="AQ38">
        <v>0.04</v>
      </c>
      <c r="AR38">
        <v>4.0899999999999999E-2</v>
      </c>
      <c r="AS38">
        <v>4.1700000000000001E-2</v>
      </c>
      <c r="AT38">
        <v>4.2700000000000002E-2</v>
      </c>
      <c r="AU38">
        <v>4.3799999999999999E-2</v>
      </c>
      <c r="AV38">
        <v>4.4400000000000002E-2</v>
      </c>
      <c r="AW38">
        <v>4.5199999999999997E-2</v>
      </c>
      <c r="AX38">
        <v>4.7199999999999999E-2</v>
      </c>
      <c r="AY38">
        <v>4.8000000000000001E-2</v>
      </c>
      <c r="AZ38">
        <v>4.8800000000000003E-2</v>
      </c>
      <c r="BA38">
        <v>5.0299999999999997E-2</v>
      </c>
      <c r="BB38">
        <v>5.1299999999999998E-2</v>
      </c>
      <c r="BC38">
        <v>5.2499999999999998E-2</v>
      </c>
      <c r="BD38">
        <v>5.3199999999999997E-2</v>
      </c>
      <c r="BE38">
        <v>5.3199999999999997E-2</v>
      </c>
      <c r="BF38">
        <v>5.3100000000000001E-2</v>
      </c>
      <c r="BG38">
        <v>5.3100000000000001E-2</v>
      </c>
      <c r="BH38">
        <v>5.3800000000000001E-2</v>
      </c>
      <c r="BI38">
        <v>5.3800000000000001E-2</v>
      </c>
      <c r="BJ38">
        <v>5.3900000000000003E-2</v>
      </c>
      <c r="BK38">
        <v>5.3699999999999998E-2</v>
      </c>
      <c r="BL38">
        <v>5.4300000000000001E-2</v>
      </c>
      <c r="BM38">
        <v>5.7599999999999998E-2</v>
      </c>
      <c r="BN38">
        <v>6.3100000000000003E-2</v>
      </c>
      <c r="BO38">
        <v>6.7400000000000002E-2</v>
      </c>
      <c r="BP38">
        <v>6.9800000000000001E-2</v>
      </c>
      <c r="BQ38">
        <v>7.1900000000000006E-2</v>
      </c>
      <c r="BR38">
        <v>7.1800000000000003E-2</v>
      </c>
      <c r="BS38">
        <v>7.1900000000000006E-2</v>
      </c>
      <c r="BT38">
        <v>7.1099999999999997E-2</v>
      </c>
      <c r="BU38">
        <v>7.2599999999999998E-2</v>
      </c>
      <c r="BV38">
        <v>7.2800000000000004E-2</v>
      </c>
      <c r="BW38">
        <v>7.2800000000000004E-2</v>
      </c>
      <c r="BX38">
        <v>7.51E-2</v>
      </c>
      <c r="BY38">
        <v>7.7399999999999997E-2</v>
      </c>
      <c r="BZ38">
        <v>7.6100000000000001E-2</v>
      </c>
      <c r="CA38">
        <v>7.8700000000000006E-2</v>
      </c>
      <c r="CB38">
        <v>8.4400000000000003E-2</v>
      </c>
      <c r="CC38">
        <v>9.0200000000000002E-2</v>
      </c>
      <c r="CD38">
        <v>9.4600000000000004E-2</v>
      </c>
      <c r="CE38">
        <v>9.3700000000000006E-2</v>
      </c>
      <c r="CF38">
        <v>9.0700000000000003E-2</v>
      </c>
      <c r="CG38">
        <v>8.7099999999999997E-2</v>
      </c>
      <c r="CH38">
        <v>8.5300000000000001E-2</v>
      </c>
      <c r="CI38">
        <v>9.5899999999999999E-2</v>
      </c>
      <c r="CJ38">
        <v>9.5100000000000004E-2</v>
      </c>
      <c r="CK38">
        <v>9.4500000000000001E-2</v>
      </c>
      <c r="CL38">
        <v>9.06E-2</v>
      </c>
      <c r="CM38">
        <v>0.1047</v>
      </c>
      <c r="CN38">
        <v>0.1101</v>
      </c>
      <c r="CO38">
        <v>0.11509999999999999</v>
      </c>
      <c r="CP38">
        <v>0.1142</v>
      </c>
      <c r="CQ38">
        <v>0.107</v>
      </c>
      <c r="CR38">
        <v>0.109</v>
      </c>
      <c r="CS38">
        <v>9.4399999999999998E-2</v>
      </c>
      <c r="CT38">
        <v>0.1207</v>
      </c>
      <c r="CU38">
        <v>9.5899999999999999E-2</v>
      </c>
      <c r="CV38">
        <v>0.12239999999999999</v>
      </c>
    </row>
    <row r="39" spans="1:100" x14ac:dyDescent="0.2">
      <c r="A39" t="s">
        <v>233</v>
      </c>
      <c r="B39">
        <v>-3.2000000000000002E-3</v>
      </c>
      <c r="C39">
        <v>2.0000000000000001E-4</v>
      </c>
      <c r="D39">
        <v>3.5999999999999999E-3</v>
      </c>
      <c r="E39">
        <v>2.3E-3</v>
      </c>
      <c r="F39">
        <v>-4.4000000000000003E-3</v>
      </c>
      <c r="G39">
        <v>-3.09E-2</v>
      </c>
      <c r="H39">
        <v>1.5699999999999999E-2</v>
      </c>
      <c r="I39">
        <v>-8.6900000000000005E-2</v>
      </c>
      <c r="J39">
        <v>-4.3299999999999998E-2</v>
      </c>
      <c r="K39">
        <v>-8.9099999999999999E-2</v>
      </c>
      <c r="L39">
        <v>-4.5499999999999999E-2</v>
      </c>
      <c r="M39">
        <v>-5.5800000000000002E-2</v>
      </c>
      <c r="N39">
        <v>-5.4899999999999997E-2</v>
      </c>
      <c r="O39">
        <v>-6.8400000000000002E-2</v>
      </c>
      <c r="P39">
        <v>-8.0600000000000005E-2</v>
      </c>
      <c r="Q39">
        <v>-2.8299999999999999E-2</v>
      </c>
      <c r="R39">
        <v>-2.6599999999999999E-2</v>
      </c>
      <c r="S39">
        <v>-5.1900000000000002E-2</v>
      </c>
      <c r="T39">
        <v>-3.3000000000000002E-2</v>
      </c>
      <c r="U39">
        <v>-1.43E-2</v>
      </c>
      <c r="V39">
        <v>-1.18E-2</v>
      </c>
      <c r="W39">
        <v>-6.2199999999999998E-2</v>
      </c>
      <c r="X39">
        <v>-6.7299999999999999E-2</v>
      </c>
      <c r="Y39">
        <v>-7.0099999999999996E-2</v>
      </c>
      <c r="Z39">
        <v>-3.5400000000000001E-2</v>
      </c>
      <c r="AA39">
        <v>-5.6800000000000003E-2</v>
      </c>
      <c r="AB39">
        <v>-3.4299999999999997E-2</v>
      </c>
      <c r="AC39">
        <v>-3.78E-2</v>
      </c>
      <c r="AD39">
        <v>-4.65E-2</v>
      </c>
      <c r="AE39">
        <v>-6.6500000000000004E-2</v>
      </c>
      <c r="AF39">
        <v>-7.9799999999999996E-2</v>
      </c>
      <c r="AG39">
        <v>-7.3800000000000004E-2</v>
      </c>
      <c r="AH39">
        <v>-8.0399999999999999E-2</v>
      </c>
      <c r="AI39">
        <v>-7.6200000000000004E-2</v>
      </c>
      <c r="AJ39">
        <v>-8.3900000000000002E-2</v>
      </c>
      <c r="AK39">
        <v>-7.9100000000000004E-2</v>
      </c>
      <c r="AL39">
        <v>-8.0199999999999994E-2</v>
      </c>
      <c r="AM39">
        <v>-7.0400000000000004E-2</v>
      </c>
      <c r="AN39">
        <v>-6.6500000000000004E-2</v>
      </c>
      <c r="AO39">
        <v>-8.5400000000000004E-2</v>
      </c>
      <c r="AP39">
        <v>-8.2299999999999998E-2</v>
      </c>
      <c r="AQ39">
        <v>-7.6899999999999996E-2</v>
      </c>
      <c r="AR39">
        <v>-8.5300000000000001E-2</v>
      </c>
      <c r="AS39">
        <v>-6.8900000000000003E-2</v>
      </c>
      <c r="AT39">
        <v>-8.4699999999999998E-2</v>
      </c>
      <c r="AU39">
        <v>-8.7999999999999995E-2</v>
      </c>
      <c r="AV39">
        <v>-9.4600000000000004E-2</v>
      </c>
      <c r="AW39">
        <v>-0.10059999999999999</v>
      </c>
      <c r="AX39">
        <v>-9.8799999999999999E-2</v>
      </c>
      <c r="AY39">
        <v>-9.7600000000000006E-2</v>
      </c>
      <c r="AZ39">
        <v>-0.10879999999999999</v>
      </c>
      <c r="BA39">
        <v>-9.9400000000000002E-2</v>
      </c>
      <c r="BB39">
        <v>-9.9500000000000005E-2</v>
      </c>
      <c r="BC39">
        <v>-9.5200000000000007E-2</v>
      </c>
      <c r="BD39">
        <v>-9.5799999999999996E-2</v>
      </c>
      <c r="BE39">
        <v>-9.7799999999999998E-2</v>
      </c>
      <c r="BF39">
        <v>-0.1031</v>
      </c>
      <c r="BG39">
        <v>-9.0700000000000003E-2</v>
      </c>
      <c r="BH39">
        <v>-0.10059999999999999</v>
      </c>
      <c r="BI39">
        <v>-9.2799999999999994E-2</v>
      </c>
      <c r="BJ39">
        <v>-0.1014</v>
      </c>
      <c r="BK39">
        <v>-9.8199999999999996E-2</v>
      </c>
      <c r="BL39">
        <v>-0.11119999999999999</v>
      </c>
      <c r="BM39">
        <v>-0.10489999999999999</v>
      </c>
      <c r="BN39">
        <v>-0.1067</v>
      </c>
      <c r="BO39">
        <v>-0.1195</v>
      </c>
      <c r="BP39">
        <v>-0.12330000000000001</v>
      </c>
      <c r="BQ39">
        <v>-0.14480000000000001</v>
      </c>
      <c r="BR39">
        <v>-0.1406</v>
      </c>
      <c r="BS39">
        <v>-0.1244</v>
      </c>
      <c r="BT39">
        <v>-0.1263</v>
      </c>
      <c r="BU39">
        <v>-0.11700000000000001</v>
      </c>
      <c r="BV39">
        <v>-0.1149</v>
      </c>
      <c r="BW39">
        <v>-0.11210000000000001</v>
      </c>
      <c r="BX39">
        <v>-0.1154</v>
      </c>
      <c r="BY39">
        <v>-0.11700000000000001</v>
      </c>
      <c r="BZ39">
        <v>-0.12820000000000001</v>
      </c>
      <c r="CA39">
        <v>-0.1215</v>
      </c>
      <c r="CB39">
        <v>-0.13170000000000001</v>
      </c>
      <c r="CC39">
        <v>-0.13980000000000001</v>
      </c>
      <c r="CD39">
        <v>-0.13850000000000001</v>
      </c>
      <c r="CE39">
        <v>-0.13519999999999999</v>
      </c>
      <c r="CF39">
        <v>-0.13950000000000001</v>
      </c>
      <c r="CG39">
        <v>-0.14130000000000001</v>
      </c>
      <c r="CH39">
        <v>-0.12939999999999999</v>
      </c>
      <c r="CI39">
        <v>-0.15609999999999999</v>
      </c>
      <c r="CJ39">
        <v>-0.1484</v>
      </c>
      <c r="CK39">
        <v>-0.1431</v>
      </c>
      <c r="CL39">
        <v>-0.1336</v>
      </c>
      <c r="CM39">
        <v>-0.1714</v>
      </c>
      <c r="CN39">
        <v>-0.17130000000000001</v>
      </c>
      <c r="CO39">
        <v>-0.20280000000000001</v>
      </c>
      <c r="CP39">
        <v>-0.216</v>
      </c>
      <c r="CQ39">
        <v>-0.1583</v>
      </c>
      <c r="CR39">
        <v>-0.19539999999999999</v>
      </c>
      <c r="CS39">
        <v>-0.1772</v>
      </c>
      <c r="CT39">
        <v>-0.22550000000000001</v>
      </c>
      <c r="CU39">
        <v>-0.1915</v>
      </c>
      <c r="CV39">
        <v>-0.35699999999999998</v>
      </c>
    </row>
    <row r="40" spans="1:100" x14ac:dyDescent="0.2">
      <c r="A40" t="s">
        <v>232</v>
      </c>
      <c r="B40">
        <v>7.4000000000000003E-3</v>
      </c>
      <c r="C40">
        <v>1.0800000000000001E-2</v>
      </c>
      <c r="D40">
        <v>1.43E-2</v>
      </c>
      <c r="E40">
        <v>0.15559999999999999</v>
      </c>
      <c r="F40">
        <v>9.64E-2</v>
      </c>
      <c r="G40">
        <v>0.04</v>
      </c>
      <c r="H40">
        <v>8.3599999999999994E-2</v>
      </c>
      <c r="I40">
        <v>-2.9700000000000001E-2</v>
      </c>
      <c r="J40">
        <v>1.14E-2</v>
      </c>
      <c r="K40">
        <v>-3.8300000000000001E-2</v>
      </c>
      <c r="L40">
        <v>8.9999999999999998E-4</v>
      </c>
      <c r="M40">
        <v>-1.18E-2</v>
      </c>
      <c r="N40">
        <v>-1.7399999999999999E-2</v>
      </c>
      <c r="O40">
        <v>-3.8399999999999997E-2</v>
      </c>
      <c r="P40">
        <v>-5.0500000000000003E-2</v>
      </c>
      <c r="Q40">
        <v>-4.4999999999999997E-3</v>
      </c>
      <c r="R40">
        <v>-6.8999999999999999E-3</v>
      </c>
      <c r="S40">
        <v>-3.3700000000000001E-2</v>
      </c>
      <c r="T40">
        <v>-1.7000000000000001E-2</v>
      </c>
      <c r="U40">
        <v>-2.9999999999999997E-4</v>
      </c>
      <c r="V40">
        <v>2.0999999999999999E-3</v>
      </c>
      <c r="W40">
        <v>-4.8000000000000001E-2</v>
      </c>
      <c r="X40">
        <v>-5.3100000000000001E-2</v>
      </c>
      <c r="Y40">
        <v>-5.5800000000000002E-2</v>
      </c>
      <c r="Z40">
        <v>-2.1600000000000001E-2</v>
      </c>
      <c r="AA40">
        <v>-4.2999999999999997E-2</v>
      </c>
      <c r="AB40">
        <v>-2.0299999999999999E-2</v>
      </c>
      <c r="AC40">
        <v>-2.35E-2</v>
      </c>
      <c r="AD40">
        <v>-3.1899999999999998E-2</v>
      </c>
      <c r="AE40">
        <v>-5.1200000000000002E-2</v>
      </c>
      <c r="AF40">
        <v>-6.4299999999999996E-2</v>
      </c>
      <c r="AG40">
        <v>-5.7299999999999997E-2</v>
      </c>
      <c r="AH40">
        <v>-6.3E-2</v>
      </c>
      <c r="AI40">
        <v>-5.8500000000000003E-2</v>
      </c>
      <c r="AJ40">
        <v>-6.6000000000000003E-2</v>
      </c>
      <c r="AK40">
        <v>-6.0699999999999997E-2</v>
      </c>
      <c r="AL40">
        <v>-6.1499999999999999E-2</v>
      </c>
      <c r="AM40">
        <v>-5.1299999999999998E-2</v>
      </c>
      <c r="AN40">
        <v>-4.7500000000000001E-2</v>
      </c>
      <c r="AO40">
        <v>-6.6400000000000001E-2</v>
      </c>
      <c r="AP40">
        <v>-6.3299999999999995E-2</v>
      </c>
      <c r="AQ40">
        <v>-5.79E-2</v>
      </c>
      <c r="AR40">
        <v>-6.6299999999999998E-2</v>
      </c>
      <c r="AS40">
        <v>-4.9799999999999997E-2</v>
      </c>
      <c r="AT40">
        <v>-6.5600000000000006E-2</v>
      </c>
      <c r="AU40">
        <v>-6.8699999999999997E-2</v>
      </c>
      <c r="AV40">
        <v>-7.5200000000000003E-2</v>
      </c>
      <c r="AW40">
        <v>-8.1100000000000005E-2</v>
      </c>
      <c r="AX40">
        <v>-7.85E-2</v>
      </c>
      <c r="AY40">
        <v>-7.7100000000000002E-2</v>
      </c>
      <c r="AZ40">
        <v>-8.8099999999999998E-2</v>
      </c>
      <c r="BA40">
        <v>-7.8100000000000003E-2</v>
      </c>
      <c r="BB40">
        <v>-7.8E-2</v>
      </c>
      <c r="BC40">
        <v>-7.3300000000000004E-2</v>
      </c>
      <c r="BD40">
        <v>-7.3999999999999996E-2</v>
      </c>
      <c r="BE40">
        <v>-7.6200000000000004E-2</v>
      </c>
      <c r="BF40">
        <v>-8.1500000000000003E-2</v>
      </c>
      <c r="BG40">
        <v>-6.9599999999999995E-2</v>
      </c>
      <c r="BH40">
        <v>-7.9399999999999998E-2</v>
      </c>
      <c r="BI40">
        <v>-7.1499999999999994E-2</v>
      </c>
      <c r="BJ40">
        <v>-8.0199999999999994E-2</v>
      </c>
      <c r="BK40">
        <v>-7.6999999999999999E-2</v>
      </c>
      <c r="BL40">
        <v>-0.09</v>
      </c>
      <c r="BM40">
        <v>-8.2500000000000004E-2</v>
      </c>
      <c r="BN40">
        <v>-8.2400000000000001E-2</v>
      </c>
      <c r="BO40">
        <v>-9.4200000000000006E-2</v>
      </c>
      <c r="BP40">
        <v>-9.7100000000000006E-2</v>
      </c>
      <c r="BQ40">
        <v>-0.1179</v>
      </c>
      <c r="BR40">
        <v>-0.1134</v>
      </c>
      <c r="BS40">
        <v>-9.6699999999999994E-2</v>
      </c>
      <c r="BT40">
        <v>-9.8599999999999993E-2</v>
      </c>
      <c r="BU40">
        <v>-8.8599999999999998E-2</v>
      </c>
      <c r="BV40">
        <v>-8.6400000000000005E-2</v>
      </c>
      <c r="BW40">
        <v>-8.3500000000000005E-2</v>
      </c>
      <c r="BX40">
        <v>-8.6099999999999996E-2</v>
      </c>
      <c r="BY40">
        <v>-8.6800000000000002E-2</v>
      </c>
      <c r="BZ40">
        <v>-9.8299999999999998E-2</v>
      </c>
      <c r="CA40">
        <v>-8.9499999999999996E-2</v>
      </c>
      <c r="CB40">
        <v>-9.7100000000000006E-2</v>
      </c>
      <c r="CC40">
        <v>-0.1023</v>
      </c>
      <c r="CD40">
        <v>-9.8299999999999998E-2</v>
      </c>
      <c r="CE40">
        <v>-9.5500000000000002E-2</v>
      </c>
      <c r="CF40">
        <v>-0.10100000000000001</v>
      </c>
      <c r="CG40">
        <v>-0.10390000000000001</v>
      </c>
      <c r="CH40">
        <v>-9.0800000000000006E-2</v>
      </c>
      <c r="CI40">
        <v>-0.11260000000000001</v>
      </c>
      <c r="CJ40">
        <v>-0.10299999999999999</v>
      </c>
      <c r="CK40">
        <v>-9.6799999999999997E-2</v>
      </c>
      <c r="CL40">
        <v>-8.6499999999999994E-2</v>
      </c>
      <c r="CM40">
        <v>-0.1188</v>
      </c>
      <c r="CN40">
        <v>-0.1154</v>
      </c>
      <c r="CO40">
        <v>-0.14080000000000001</v>
      </c>
      <c r="CP40">
        <v>-0.14899999999999999</v>
      </c>
      <c r="CQ40">
        <v>-8.6099999999999996E-2</v>
      </c>
      <c r="CR40">
        <v>-0.1137</v>
      </c>
      <c r="CS40">
        <v>-9.9699999999999997E-2</v>
      </c>
      <c r="CT40">
        <v>-0.1082</v>
      </c>
      <c r="CU40">
        <v>-7.5700000000000003E-2</v>
      </c>
      <c r="CV40">
        <v>-0.16470000000000001</v>
      </c>
    </row>
    <row r="43" spans="1:100" x14ac:dyDescent="0.2">
      <c r="A43" t="s">
        <v>5909</v>
      </c>
      <c r="B43">
        <v>5.9999999999999995E-4</v>
      </c>
      <c r="C43">
        <v>5.9999999999999995E-4</v>
      </c>
      <c r="D43">
        <v>5.9999999999999995E-4</v>
      </c>
      <c r="E43">
        <v>1.7100000000000001E-2</v>
      </c>
      <c r="F43">
        <v>1.2999999999999999E-2</v>
      </c>
      <c r="G43">
        <v>1.26E-2</v>
      </c>
      <c r="H43">
        <v>1.2699999999999999E-2</v>
      </c>
      <c r="I43">
        <v>1.26E-2</v>
      </c>
      <c r="J43">
        <v>1.35E-2</v>
      </c>
      <c r="K43">
        <v>1.29E-2</v>
      </c>
      <c r="L43">
        <v>1.3299999999999999E-2</v>
      </c>
      <c r="M43">
        <v>1.38E-2</v>
      </c>
      <c r="N43">
        <v>1.2800000000000001E-2</v>
      </c>
      <c r="O43">
        <v>9.7000000000000003E-3</v>
      </c>
      <c r="P43">
        <v>1.01E-2</v>
      </c>
      <c r="Q43">
        <v>9.7000000000000003E-3</v>
      </c>
      <c r="R43">
        <v>8.6999999999999994E-3</v>
      </c>
      <c r="S43">
        <v>8.0999999999999996E-3</v>
      </c>
      <c r="T43">
        <v>8.3000000000000001E-3</v>
      </c>
      <c r="U43">
        <v>7.9000000000000008E-3</v>
      </c>
      <c r="V43">
        <v>8.3999999999999995E-3</v>
      </c>
      <c r="W43">
        <v>8.0999999999999996E-3</v>
      </c>
      <c r="X43">
        <v>8.5000000000000006E-3</v>
      </c>
      <c r="Y43">
        <v>8.9999999999999993E-3</v>
      </c>
      <c r="Z43">
        <v>9.2999999999999992E-3</v>
      </c>
      <c r="AA43">
        <v>9.4999999999999998E-3</v>
      </c>
      <c r="AB43">
        <v>1.03E-2</v>
      </c>
      <c r="AC43">
        <v>1.11E-2</v>
      </c>
      <c r="AD43">
        <v>1.18E-2</v>
      </c>
      <c r="AE43">
        <v>1.26E-2</v>
      </c>
      <c r="AF43">
        <v>1.35E-2</v>
      </c>
      <c r="AG43">
        <v>1.44E-2</v>
      </c>
      <c r="AH43">
        <v>1.5299999999999999E-2</v>
      </c>
      <c r="AI43">
        <v>1.5800000000000002E-2</v>
      </c>
      <c r="AJ43">
        <v>1.6299999999999999E-2</v>
      </c>
      <c r="AK43">
        <v>1.67E-2</v>
      </c>
      <c r="AL43">
        <v>1.72E-2</v>
      </c>
      <c r="AM43">
        <v>1.7600000000000001E-2</v>
      </c>
      <c r="AN43">
        <v>1.8100000000000002E-2</v>
      </c>
      <c r="AO43">
        <v>1.84E-2</v>
      </c>
      <c r="AP43">
        <v>1.8599999999999998E-2</v>
      </c>
      <c r="AQ43">
        <v>1.9099999999999999E-2</v>
      </c>
      <c r="AR43">
        <v>1.9599999999999999E-2</v>
      </c>
      <c r="AS43">
        <v>2.0199999999999999E-2</v>
      </c>
      <c r="AT43">
        <v>2.0799999999999999E-2</v>
      </c>
      <c r="AU43">
        <v>2.1399999999999999E-2</v>
      </c>
      <c r="AV43">
        <v>2.1700000000000001E-2</v>
      </c>
      <c r="AW43">
        <v>2.23E-2</v>
      </c>
      <c r="AX43">
        <v>2.3400000000000001E-2</v>
      </c>
      <c r="AY43">
        <v>2.3699999999999999E-2</v>
      </c>
      <c r="AZ43">
        <v>2.4400000000000002E-2</v>
      </c>
      <c r="BA43">
        <v>2.5100000000000001E-2</v>
      </c>
      <c r="BB43">
        <v>2.5600000000000001E-2</v>
      </c>
      <c r="BC43">
        <v>2.63E-2</v>
      </c>
      <c r="BD43">
        <v>2.6800000000000001E-2</v>
      </c>
      <c r="BE43">
        <v>2.69E-2</v>
      </c>
      <c r="BF43">
        <v>2.7E-2</v>
      </c>
      <c r="BG43">
        <v>2.69E-2</v>
      </c>
      <c r="BH43">
        <v>2.7300000000000001E-2</v>
      </c>
      <c r="BI43">
        <v>2.7400000000000001E-2</v>
      </c>
      <c r="BJ43">
        <v>2.75E-2</v>
      </c>
      <c r="BK43">
        <v>2.7699999999999999E-2</v>
      </c>
      <c r="BL43">
        <v>2.8000000000000001E-2</v>
      </c>
      <c r="BM43">
        <v>2.9700000000000001E-2</v>
      </c>
      <c r="BN43">
        <v>3.2800000000000003E-2</v>
      </c>
      <c r="BO43">
        <v>3.5099999999999999E-2</v>
      </c>
      <c r="BP43">
        <v>3.6299999999999999E-2</v>
      </c>
      <c r="BQ43">
        <v>3.7400000000000003E-2</v>
      </c>
      <c r="BR43">
        <v>3.7499999999999999E-2</v>
      </c>
      <c r="BS43">
        <v>3.7499999999999999E-2</v>
      </c>
      <c r="BT43">
        <v>3.7100000000000001E-2</v>
      </c>
      <c r="BU43">
        <v>3.8199999999999998E-2</v>
      </c>
      <c r="BV43">
        <v>3.8399999999999997E-2</v>
      </c>
      <c r="BW43">
        <v>3.8199999999999998E-2</v>
      </c>
      <c r="BX43">
        <v>3.95E-2</v>
      </c>
      <c r="BY43">
        <v>4.0599999999999997E-2</v>
      </c>
      <c r="BZ43">
        <v>4.02E-2</v>
      </c>
      <c r="CA43">
        <v>4.1599999999999998E-2</v>
      </c>
      <c r="CB43">
        <v>4.4600000000000001E-2</v>
      </c>
      <c r="CC43">
        <v>4.8000000000000001E-2</v>
      </c>
      <c r="CD43">
        <v>5.0500000000000003E-2</v>
      </c>
      <c r="CE43">
        <v>4.99E-2</v>
      </c>
      <c r="CF43">
        <v>4.8500000000000001E-2</v>
      </c>
      <c r="CG43">
        <v>4.6899999999999997E-2</v>
      </c>
      <c r="CH43">
        <v>4.5900000000000003E-2</v>
      </c>
      <c r="CI43">
        <v>5.1700000000000003E-2</v>
      </c>
      <c r="CJ43">
        <v>5.1200000000000002E-2</v>
      </c>
      <c r="CK43">
        <v>5.0999999999999997E-2</v>
      </c>
      <c r="CL43">
        <v>4.8800000000000003E-2</v>
      </c>
      <c r="CM43">
        <v>5.6399999999999999E-2</v>
      </c>
      <c r="CN43">
        <v>5.9299999999999999E-2</v>
      </c>
      <c r="CO43">
        <v>6.1699999999999998E-2</v>
      </c>
      <c r="CP43">
        <v>6.13E-2</v>
      </c>
      <c r="CQ43">
        <v>5.7500000000000002E-2</v>
      </c>
      <c r="CR43">
        <v>5.8000000000000003E-2</v>
      </c>
      <c r="CS43">
        <v>0.05</v>
      </c>
      <c r="CT43">
        <v>6.3100000000000003E-2</v>
      </c>
      <c r="CU43">
        <v>4.9200000000000001E-2</v>
      </c>
      <c r="CV43">
        <v>5.8299999999999998E-2</v>
      </c>
    </row>
    <row r="44" spans="1:100" x14ac:dyDescent="0.2">
      <c r="A44" t="s">
        <v>5910</v>
      </c>
      <c r="B44">
        <v>1.6000000000000001E-3</v>
      </c>
      <c r="C44">
        <v>1.6000000000000001E-3</v>
      </c>
      <c r="D44">
        <v>1.6000000000000001E-3</v>
      </c>
      <c r="E44">
        <v>3.3399999999999999E-2</v>
      </c>
      <c r="F44">
        <v>2.3199999999999998E-2</v>
      </c>
      <c r="G44">
        <v>2.18E-2</v>
      </c>
      <c r="H44">
        <v>2.1399999999999999E-2</v>
      </c>
      <c r="I44">
        <v>2.06E-2</v>
      </c>
      <c r="J44">
        <v>2.18E-2</v>
      </c>
      <c r="K44">
        <v>2.07E-2</v>
      </c>
      <c r="L44">
        <v>2.1000000000000001E-2</v>
      </c>
      <c r="M44">
        <v>2.1399999999999999E-2</v>
      </c>
      <c r="N44">
        <v>1.95E-2</v>
      </c>
      <c r="O44">
        <v>1.46E-2</v>
      </c>
      <c r="P44">
        <v>1.5100000000000001E-2</v>
      </c>
      <c r="Q44">
        <v>1.44E-2</v>
      </c>
      <c r="R44">
        <v>1.29E-2</v>
      </c>
      <c r="S44">
        <v>1.1900000000000001E-2</v>
      </c>
      <c r="T44">
        <v>1.2E-2</v>
      </c>
      <c r="U44">
        <v>1.14E-2</v>
      </c>
      <c r="V44">
        <v>1.2E-2</v>
      </c>
      <c r="W44">
        <v>1.15E-2</v>
      </c>
      <c r="X44">
        <v>1.2E-2</v>
      </c>
      <c r="Y44">
        <v>1.26E-2</v>
      </c>
      <c r="Z44">
        <v>1.3100000000000001E-2</v>
      </c>
      <c r="AA44">
        <v>1.34E-2</v>
      </c>
      <c r="AB44">
        <v>1.43E-2</v>
      </c>
      <c r="AC44">
        <v>1.55E-2</v>
      </c>
      <c r="AD44">
        <v>1.6400000000000001E-2</v>
      </c>
      <c r="AE44">
        <v>1.7500000000000002E-2</v>
      </c>
      <c r="AF44">
        <v>1.8599999999999998E-2</v>
      </c>
      <c r="AG44">
        <v>1.9900000000000001E-2</v>
      </c>
      <c r="AH44">
        <v>2.12E-2</v>
      </c>
      <c r="AI44">
        <v>2.18E-2</v>
      </c>
      <c r="AJ44">
        <v>2.2499999999999999E-2</v>
      </c>
      <c r="AK44">
        <v>2.29E-2</v>
      </c>
      <c r="AL44">
        <v>2.3699999999999999E-2</v>
      </c>
      <c r="AM44">
        <v>2.4199999999999999E-2</v>
      </c>
      <c r="AN44">
        <v>2.4899999999999999E-2</v>
      </c>
      <c r="AO44">
        <v>2.53E-2</v>
      </c>
      <c r="AP44">
        <v>2.5600000000000001E-2</v>
      </c>
      <c r="AQ44">
        <v>2.6200000000000001E-2</v>
      </c>
      <c r="AR44">
        <v>2.69E-2</v>
      </c>
      <c r="AS44">
        <v>2.7699999999999999E-2</v>
      </c>
      <c r="AT44">
        <v>2.86E-2</v>
      </c>
      <c r="AU44">
        <v>2.9399999999999999E-2</v>
      </c>
      <c r="AV44">
        <v>2.98E-2</v>
      </c>
      <c r="AW44">
        <v>3.0599999999999999E-2</v>
      </c>
      <c r="AX44">
        <v>3.2099999999999997E-2</v>
      </c>
      <c r="AY44">
        <v>3.2500000000000001E-2</v>
      </c>
      <c r="AZ44">
        <v>3.3399999999999999E-2</v>
      </c>
      <c r="BA44">
        <v>3.4500000000000003E-2</v>
      </c>
      <c r="BB44">
        <v>3.5099999999999999E-2</v>
      </c>
      <c r="BC44">
        <v>3.61E-2</v>
      </c>
      <c r="BD44">
        <v>3.6700000000000003E-2</v>
      </c>
      <c r="BE44">
        <v>3.6900000000000002E-2</v>
      </c>
      <c r="BF44">
        <v>3.6999999999999998E-2</v>
      </c>
      <c r="BG44">
        <v>3.6900000000000002E-2</v>
      </c>
      <c r="BH44">
        <v>3.7499999999999999E-2</v>
      </c>
      <c r="BI44">
        <v>3.7600000000000001E-2</v>
      </c>
      <c r="BJ44">
        <v>3.78E-2</v>
      </c>
      <c r="BK44">
        <v>3.8100000000000002E-2</v>
      </c>
      <c r="BL44">
        <v>3.85E-2</v>
      </c>
      <c r="BM44">
        <v>4.0800000000000003E-2</v>
      </c>
      <c r="BN44">
        <v>4.4999999999999998E-2</v>
      </c>
      <c r="BO44">
        <v>4.8300000000000003E-2</v>
      </c>
      <c r="BP44">
        <v>0.05</v>
      </c>
      <c r="BQ44">
        <v>5.1499999999999997E-2</v>
      </c>
      <c r="BR44">
        <v>5.16E-2</v>
      </c>
      <c r="BS44">
        <v>5.16E-2</v>
      </c>
      <c r="BT44">
        <v>5.11E-2</v>
      </c>
      <c r="BU44">
        <v>5.2600000000000001E-2</v>
      </c>
      <c r="BV44">
        <v>5.2900000000000003E-2</v>
      </c>
      <c r="BW44">
        <v>5.2600000000000001E-2</v>
      </c>
      <c r="BX44">
        <v>5.4399999999999997E-2</v>
      </c>
      <c r="BY44">
        <v>5.6000000000000001E-2</v>
      </c>
      <c r="BZ44">
        <v>5.5399999999999998E-2</v>
      </c>
      <c r="CA44">
        <v>5.74E-2</v>
      </c>
      <c r="CB44">
        <v>6.1600000000000002E-2</v>
      </c>
      <c r="CC44">
        <v>6.6299999999999998E-2</v>
      </c>
      <c r="CD44">
        <v>6.9800000000000001E-2</v>
      </c>
      <c r="CE44">
        <v>6.9000000000000006E-2</v>
      </c>
      <c r="CF44">
        <v>6.7100000000000007E-2</v>
      </c>
      <c r="CG44">
        <v>6.4899999999999999E-2</v>
      </c>
      <c r="CH44">
        <v>6.3600000000000004E-2</v>
      </c>
      <c r="CI44">
        <v>7.1800000000000003E-2</v>
      </c>
      <c r="CJ44">
        <v>7.1099999999999997E-2</v>
      </c>
      <c r="CK44">
        <v>7.0800000000000002E-2</v>
      </c>
      <c r="CL44">
        <v>6.7900000000000002E-2</v>
      </c>
      <c r="CM44">
        <v>7.8600000000000003E-2</v>
      </c>
      <c r="CN44">
        <v>8.2699999999999996E-2</v>
      </c>
      <c r="CO44">
        <v>8.6199999999999999E-2</v>
      </c>
      <c r="CP44">
        <v>8.5699999999999998E-2</v>
      </c>
      <c r="CQ44">
        <v>8.0600000000000005E-2</v>
      </c>
      <c r="CR44">
        <v>8.1699999999999995E-2</v>
      </c>
      <c r="CS44">
        <v>7.0599999999999996E-2</v>
      </c>
      <c r="CT44">
        <v>8.9800000000000005E-2</v>
      </c>
      <c r="CU44">
        <v>7.0699999999999999E-2</v>
      </c>
      <c r="CV44">
        <v>8.77E-2</v>
      </c>
    </row>
    <row r="45" spans="1:100" x14ac:dyDescent="0.2">
      <c r="A45" t="s">
        <v>5911</v>
      </c>
      <c r="B45">
        <v>0</v>
      </c>
      <c r="C45">
        <v>0</v>
      </c>
      <c r="D45">
        <v>0</v>
      </c>
      <c r="E45">
        <v>1.0999999999999999E-2</v>
      </c>
      <c r="F45">
        <v>7.7999999999999996E-3</v>
      </c>
      <c r="G45">
        <v>6.8999999999999999E-3</v>
      </c>
      <c r="H45">
        <v>6.1000000000000004E-3</v>
      </c>
      <c r="I45">
        <v>5.5999999999999999E-3</v>
      </c>
      <c r="J45">
        <v>6.1999999999999998E-3</v>
      </c>
      <c r="K45">
        <v>5.5999999999999999E-3</v>
      </c>
      <c r="L45">
        <v>5.5999999999999999E-3</v>
      </c>
      <c r="M45">
        <v>5.7000000000000002E-3</v>
      </c>
      <c r="N45">
        <v>5.1000000000000004E-3</v>
      </c>
      <c r="O45">
        <v>3.8E-3</v>
      </c>
      <c r="P45">
        <v>3.8999999999999998E-3</v>
      </c>
      <c r="Q45">
        <v>3.7000000000000002E-3</v>
      </c>
      <c r="R45">
        <v>3.3E-3</v>
      </c>
      <c r="S45">
        <v>3.0999999999999999E-3</v>
      </c>
      <c r="T45">
        <v>3.0999999999999999E-3</v>
      </c>
      <c r="U45">
        <v>2.8999999999999998E-3</v>
      </c>
      <c r="V45">
        <v>3.0000000000000001E-3</v>
      </c>
      <c r="W45">
        <v>2.8999999999999998E-3</v>
      </c>
      <c r="X45">
        <v>3.0000000000000001E-3</v>
      </c>
      <c r="Y45">
        <v>3.0999999999999999E-3</v>
      </c>
      <c r="Z45">
        <v>3.2000000000000002E-3</v>
      </c>
      <c r="AA45">
        <v>3.2000000000000002E-3</v>
      </c>
      <c r="AB45">
        <v>3.3E-3</v>
      </c>
      <c r="AC45">
        <v>3.5000000000000001E-3</v>
      </c>
      <c r="AD45">
        <v>3.7000000000000002E-3</v>
      </c>
      <c r="AE45">
        <v>4.0000000000000001E-3</v>
      </c>
      <c r="AF45">
        <v>4.3E-3</v>
      </c>
      <c r="AG45">
        <v>4.5999999999999999E-3</v>
      </c>
      <c r="AH45">
        <v>4.8999999999999998E-3</v>
      </c>
      <c r="AI45">
        <v>5.0000000000000001E-3</v>
      </c>
      <c r="AJ45">
        <v>5.1000000000000004E-3</v>
      </c>
      <c r="AK45">
        <v>5.1999999999999998E-3</v>
      </c>
      <c r="AL45">
        <v>5.3E-3</v>
      </c>
      <c r="AM45">
        <v>5.3E-3</v>
      </c>
      <c r="AN45">
        <v>5.4000000000000003E-3</v>
      </c>
      <c r="AO45">
        <v>5.4999999999999997E-3</v>
      </c>
      <c r="AP45">
        <v>5.4999999999999997E-3</v>
      </c>
      <c r="AQ45">
        <v>5.7000000000000002E-3</v>
      </c>
      <c r="AR45">
        <v>5.7000000000000002E-3</v>
      </c>
      <c r="AS45">
        <v>5.8999999999999999E-3</v>
      </c>
      <c r="AT45">
        <v>5.8999999999999999E-3</v>
      </c>
      <c r="AU45">
        <v>6.0000000000000001E-3</v>
      </c>
      <c r="AV45">
        <v>6.0000000000000001E-3</v>
      </c>
      <c r="AW45">
        <v>6.1000000000000004E-3</v>
      </c>
      <c r="AX45">
        <v>6.3E-3</v>
      </c>
      <c r="AY45">
        <v>6.3E-3</v>
      </c>
      <c r="AZ45">
        <v>6.4000000000000003E-3</v>
      </c>
      <c r="BA45">
        <v>6.6E-3</v>
      </c>
      <c r="BB45">
        <v>6.6E-3</v>
      </c>
      <c r="BC45">
        <v>6.7000000000000002E-3</v>
      </c>
      <c r="BD45">
        <v>6.7000000000000002E-3</v>
      </c>
      <c r="BE45">
        <v>6.7000000000000002E-3</v>
      </c>
      <c r="BF45">
        <v>6.7000000000000002E-3</v>
      </c>
      <c r="BG45">
        <v>6.6E-3</v>
      </c>
      <c r="BH45">
        <v>6.7000000000000002E-3</v>
      </c>
      <c r="BI45">
        <v>6.6E-3</v>
      </c>
      <c r="BJ45">
        <v>6.6E-3</v>
      </c>
      <c r="BK45">
        <v>6.6E-3</v>
      </c>
      <c r="BL45">
        <v>6.6E-3</v>
      </c>
      <c r="BM45">
        <v>7.0000000000000001E-3</v>
      </c>
      <c r="BN45">
        <v>7.6E-3</v>
      </c>
      <c r="BO45">
        <v>8.0000000000000002E-3</v>
      </c>
      <c r="BP45">
        <v>8.3000000000000001E-3</v>
      </c>
      <c r="BQ45">
        <v>8.5000000000000006E-3</v>
      </c>
      <c r="BR45">
        <v>8.3999999999999995E-3</v>
      </c>
      <c r="BS45">
        <v>8.3999999999999995E-3</v>
      </c>
      <c r="BT45">
        <v>8.3000000000000001E-3</v>
      </c>
      <c r="BU45">
        <v>8.3999999999999995E-3</v>
      </c>
      <c r="BV45">
        <v>8.3000000000000001E-3</v>
      </c>
      <c r="BW45">
        <v>8.2000000000000007E-3</v>
      </c>
      <c r="BX45">
        <v>8.3999999999999995E-3</v>
      </c>
      <c r="BY45">
        <v>8.6999999999999994E-3</v>
      </c>
      <c r="BZ45">
        <v>8.6E-3</v>
      </c>
      <c r="CA45">
        <v>8.8999999999999999E-3</v>
      </c>
      <c r="CB45">
        <v>9.4999999999999998E-3</v>
      </c>
      <c r="CC45">
        <v>0.01</v>
      </c>
      <c r="CD45">
        <v>1.03E-2</v>
      </c>
      <c r="CE45">
        <v>1.0200000000000001E-2</v>
      </c>
      <c r="CF45">
        <v>9.9000000000000008E-3</v>
      </c>
      <c r="CG45">
        <v>9.4000000000000004E-3</v>
      </c>
      <c r="CH45">
        <v>9.1000000000000004E-3</v>
      </c>
      <c r="CI45">
        <v>1.03E-2</v>
      </c>
      <c r="CJ45">
        <v>1.0200000000000001E-2</v>
      </c>
      <c r="CK45">
        <v>1.0200000000000001E-2</v>
      </c>
      <c r="CL45">
        <v>9.7999999999999997E-3</v>
      </c>
      <c r="CM45">
        <v>1.15E-2</v>
      </c>
      <c r="CN45">
        <v>1.21E-2</v>
      </c>
      <c r="CO45">
        <v>1.2800000000000001E-2</v>
      </c>
      <c r="CP45">
        <v>1.2999999999999999E-2</v>
      </c>
      <c r="CQ45">
        <v>1.21E-2</v>
      </c>
      <c r="CR45">
        <v>1.2200000000000001E-2</v>
      </c>
      <c r="CS45">
        <v>1.04E-2</v>
      </c>
      <c r="CT45">
        <v>1.4E-2</v>
      </c>
      <c r="CU45">
        <v>1.1900000000000001E-2</v>
      </c>
      <c r="CV45">
        <v>1.6299999999999999E-2</v>
      </c>
    </row>
    <row r="46" spans="1:100" x14ac:dyDescent="0.2">
      <c r="A46" t="s">
        <v>5912</v>
      </c>
      <c r="B46">
        <v>4.0000000000000002E-4</v>
      </c>
      <c r="C46">
        <v>4.0000000000000002E-4</v>
      </c>
      <c r="D46">
        <v>4.0000000000000002E-4</v>
      </c>
      <c r="E46">
        <v>2.29E-2</v>
      </c>
      <c r="F46">
        <v>1.52E-2</v>
      </c>
      <c r="G46">
        <v>1.2999999999999999E-2</v>
      </c>
      <c r="H46">
        <v>1.1599999999999999E-2</v>
      </c>
      <c r="I46">
        <v>1.06E-2</v>
      </c>
      <c r="J46">
        <v>1.1299999999999999E-2</v>
      </c>
      <c r="K46">
        <v>1.0500000000000001E-2</v>
      </c>
      <c r="L46">
        <v>1.04E-2</v>
      </c>
      <c r="M46">
        <v>1.0500000000000001E-2</v>
      </c>
      <c r="N46">
        <v>9.4999999999999998E-3</v>
      </c>
      <c r="O46">
        <v>7.1000000000000004E-3</v>
      </c>
      <c r="P46">
        <v>7.1999999999999998E-3</v>
      </c>
      <c r="Q46">
        <v>6.7999999999999996E-3</v>
      </c>
      <c r="R46">
        <v>5.8999999999999999E-3</v>
      </c>
      <c r="S46">
        <v>5.4999999999999997E-3</v>
      </c>
      <c r="T46">
        <v>5.4999999999999997E-3</v>
      </c>
      <c r="U46">
        <v>5.1000000000000004E-3</v>
      </c>
      <c r="V46">
        <v>5.4000000000000003E-3</v>
      </c>
      <c r="W46">
        <v>5.1999999999999998E-3</v>
      </c>
      <c r="X46">
        <v>5.3E-3</v>
      </c>
      <c r="Y46">
        <v>5.4999999999999997E-3</v>
      </c>
      <c r="Z46">
        <v>5.7000000000000002E-3</v>
      </c>
      <c r="AA46">
        <v>5.7000000000000002E-3</v>
      </c>
      <c r="AB46">
        <v>5.8999999999999999E-3</v>
      </c>
      <c r="AC46">
        <v>6.1999999999999998E-3</v>
      </c>
      <c r="AD46">
        <v>6.4999999999999997E-3</v>
      </c>
      <c r="AE46">
        <v>7.1000000000000004E-3</v>
      </c>
      <c r="AF46">
        <v>7.4999999999999997E-3</v>
      </c>
      <c r="AG46">
        <v>8.0000000000000002E-3</v>
      </c>
      <c r="AH46">
        <v>8.5000000000000006E-3</v>
      </c>
      <c r="AI46">
        <v>8.6999999999999994E-3</v>
      </c>
      <c r="AJ46">
        <v>8.8999999999999999E-3</v>
      </c>
      <c r="AK46">
        <v>9.1000000000000004E-3</v>
      </c>
      <c r="AL46">
        <v>9.2999999999999992E-3</v>
      </c>
      <c r="AM46">
        <v>9.2999999999999992E-3</v>
      </c>
      <c r="AN46">
        <v>9.4999999999999998E-3</v>
      </c>
      <c r="AO46">
        <v>9.4999999999999998E-3</v>
      </c>
      <c r="AP46">
        <v>9.5999999999999992E-3</v>
      </c>
      <c r="AQ46">
        <v>9.7999999999999997E-3</v>
      </c>
      <c r="AR46">
        <v>9.9000000000000008E-3</v>
      </c>
      <c r="AS46">
        <v>1.01E-2</v>
      </c>
      <c r="AT46">
        <v>1.01E-2</v>
      </c>
      <c r="AU46">
        <v>1.03E-2</v>
      </c>
      <c r="AV46">
        <v>1.04E-2</v>
      </c>
      <c r="AW46">
        <v>1.0500000000000001E-2</v>
      </c>
      <c r="AX46">
        <v>1.0800000000000001E-2</v>
      </c>
      <c r="AY46">
        <v>1.09E-2</v>
      </c>
      <c r="AZ46">
        <v>1.11E-2</v>
      </c>
      <c r="BA46">
        <v>1.1299999999999999E-2</v>
      </c>
      <c r="BB46">
        <v>1.14E-2</v>
      </c>
      <c r="BC46">
        <v>1.15E-2</v>
      </c>
      <c r="BD46">
        <v>1.1599999999999999E-2</v>
      </c>
      <c r="BE46">
        <v>1.1599999999999999E-2</v>
      </c>
      <c r="BF46">
        <v>1.15E-2</v>
      </c>
      <c r="BG46">
        <v>1.14E-2</v>
      </c>
      <c r="BH46">
        <v>1.15E-2</v>
      </c>
      <c r="BI46">
        <v>1.14E-2</v>
      </c>
      <c r="BJ46">
        <v>1.1299999999999999E-2</v>
      </c>
      <c r="BK46">
        <v>1.1299999999999999E-2</v>
      </c>
      <c r="BL46">
        <v>1.14E-2</v>
      </c>
      <c r="BM46">
        <v>1.1900000000000001E-2</v>
      </c>
      <c r="BN46">
        <v>1.2999999999999999E-2</v>
      </c>
      <c r="BO46">
        <v>1.38E-2</v>
      </c>
      <c r="BP46">
        <v>1.4200000000000001E-2</v>
      </c>
      <c r="BQ46">
        <v>1.44E-2</v>
      </c>
      <c r="BR46">
        <v>1.44E-2</v>
      </c>
      <c r="BS46">
        <v>1.43E-2</v>
      </c>
      <c r="BT46">
        <v>1.41E-2</v>
      </c>
      <c r="BU46">
        <v>1.43E-2</v>
      </c>
      <c r="BV46">
        <v>1.41E-2</v>
      </c>
      <c r="BW46">
        <v>1.4E-2</v>
      </c>
      <c r="BX46">
        <v>1.4200000000000001E-2</v>
      </c>
      <c r="BY46">
        <v>1.47E-2</v>
      </c>
      <c r="BZ46">
        <v>1.4500000000000001E-2</v>
      </c>
      <c r="CA46">
        <v>1.5100000000000001E-2</v>
      </c>
      <c r="CB46">
        <v>1.6199999999999999E-2</v>
      </c>
      <c r="CC46">
        <v>1.6899999999999998E-2</v>
      </c>
      <c r="CD46">
        <v>1.7600000000000001E-2</v>
      </c>
      <c r="CE46">
        <v>1.7399999999999999E-2</v>
      </c>
      <c r="CF46">
        <v>1.6799999999999999E-2</v>
      </c>
      <c r="CG46">
        <v>1.6E-2</v>
      </c>
      <c r="CH46">
        <v>1.55E-2</v>
      </c>
      <c r="CI46">
        <v>1.7500000000000002E-2</v>
      </c>
      <c r="CJ46">
        <v>1.7299999999999999E-2</v>
      </c>
      <c r="CK46">
        <v>1.72E-2</v>
      </c>
      <c r="CL46">
        <v>1.66E-2</v>
      </c>
      <c r="CM46">
        <v>1.9400000000000001E-2</v>
      </c>
      <c r="CN46">
        <v>2.0400000000000001E-2</v>
      </c>
      <c r="CO46">
        <v>2.1499999999999998E-2</v>
      </c>
      <c r="CP46">
        <v>2.1700000000000001E-2</v>
      </c>
      <c r="CQ46">
        <v>2.0299999999999999E-2</v>
      </c>
      <c r="CR46">
        <v>2.0500000000000001E-2</v>
      </c>
      <c r="CS46">
        <v>1.77E-2</v>
      </c>
      <c r="CT46">
        <v>2.3900000000000001E-2</v>
      </c>
      <c r="CU46">
        <v>2.0500000000000001E-2</v>
      </c>
      <c r="CV46">
        <v>2.9399999999999999E-2</v>
      </c>
    </row>
    <row r="47" spans="1:100" x14ac:dyDescent="0.2">
      <c r="A47" t="s">
        <v>5913</v>
      </c>
      <c r="B47">
        <v>-2.0000000000000001E-4</v>
      </c>
      <c r="C47">
        <v>-2.0000000000000001E-4</v>
      </c>
      <c r="D47">
        <v>-2.0000000000000001E-4</v>
      </c>
      <c r="E47">
        <v>-2.5999999999999999E-3</v>
      </c>
      <c r="F47">
        <v>-1.6999999999999999E-3</v>
      </c>
      <c r="G47">
        <v>-1.5E-3</v>
      </c>
      <c r="H47">
        <v>-1.5E-3</v>
      </c>
      <c r="I47">
        <v>-1.4E-3</v>
      </c>
      <c r="J47">
        <v>-1.4E-3</v>
      </c>
      <c r="K47">
        <v>-1.2999999999999999E-3</v>
      </c>
      <c r="L47">
        <v>-1.1999999999999999E-3</v>
      </c>
      <c r="M47">
        <v>-1.1999999999999999E-3</v>
      </c>
      <c r="N47">
        <v>-1E-3</v>
      </c>
      <c r="O47">
        <v>-6.9999999999999999E-4</v>
      </c>
      <c r="P47">
        <v>-6.9999999999999999E-4</v>
      </c>
      <c r="Q47">
        <v>-6.9999999999999999E-4</v>
      </c>
      <c r="R47">
        <v>-5.9999999999999995E-4</v>
      </c>
      <c r="S47">
        <v>-5.0000000000000001E-4</v>
      </c>
      <c r="T47">
        <v>-5.0000000000000001E-4</v>
      </c>
      <c r="U47">
        <v>-4.0000000000000002E-4</v>
      </c>
      <c r="V47">
        <v>-5.0000000000000001E-4</v>
      </c>
      <c r="W47">
        <v>-4.0000000000000002E-4</v>
      </c>
      <c r="X47">
        <v>-5.0000000000000001E-4</v>
      </c>
      <c r="Y47">
        <v>-5.0000000000000001E-4</v>
      </c>
      <c r="Z47">
        <v>-5.0000000000000001E-4</v>
      </c>
      <c r="AA47">
        <v>-5.0000000000000001E-4</v>
      </c>
      <c r="AB47">
        <v>-5.0000000000000001E-4</v>
      </c>
      <c r="AC47">
        <v>-5.0000000000000001E-4</v>
      </c>
      <c r="AD47">
        <v>-5.9999999999999995E-4</v>
      </c>
      <c r="AE47">
        <v>-5.9999999999999995E-4</v>
      </c>
      <c r="AF47">
        <v>-6.9999999999999999E-4</v>
      </c>
      <c r="AG47">
        <v>-6.9999999999999999E-4</v>
      </c>
      <c r="AH47">
        <v>-6.9999999999999999E-4</v>
      </c>
      <c r="AI47">
        <v>-6.9999999999999999E-4</v>
      </c>
      <c r="AJ47">
        <v>-8.0000000000000004E-4</v>
      </c>
      <c r="AK47">
        <v>-8.0000000000000004E-4</v>
      </c>
      <c r="AL47">
        <v>-8.0000000000000004E-4</v>
      </c>
      <c r="AM47">
        <v>-8.0000000000000004E-4</v>
      </c>
      <c r="AN47">
        <v>-8.0000000000000004E-4</v>
      </c>
      <c r="AO47">
        <v>-8.0000000000000004E-4</v>
      </c>
      <c r="AP47">
        <v>-8.0000000000000004E-4</v>
      </c>
      <c r="AQ47">
        <v>-8.0000000000000004E-4</v>
      </c>
      <c r="AR47">
        <v>-8.0000000000000004E-4</v>
      </c>
      <c r="AS47">
        <v>-8.9999999999999998E-4</v>
      </c>
      <c r="AT47">
        <v>-8.9999999999999998E-4</v>
      </c>
      <c r="AU47">
        <v>-8.9999999999999998E-4</v>
      </c>
      <c r="AV47">
        <v>-8.9999999999999998E-4</v>
      </c>
      <c r="AW47">
        <v>-8.9999999999999998E-4</v>
      </c>
      <c r="AX47">
        <v>-1E-3</v>
      </c>
      <c r="AY47">
        <v>-1E-3</v>
      </c>
      <c r="AZ47">
        <v>-1E-3</v>
      </c>
      <c r="BA47">
        <v>-1E-3</v>
      </c>
      <c r="BB47">
        <v>-1E-3</v>
      </c>
      <c r="BC47">
        <v>-1E-3</v>
      </c>
      <c r="BD47">
        <v>-1E-3</v>
      </c>
      <c r="BE47">
        <v>-1E-3</v>
      </c>
      <c r="BF47">
        <v>-1E-3</v>
      </c>
      <c r="BG47">
        <v>-1E-3</v>
      </c>
      <c r="BH47">
        <v>-1E-3</v>
      </c>
      <c r="BI47">
        <v>-1E-3</v>
      </c>
      <c r="BJ47">
        <v>-1E-3</v>
      </c>
      <c r="BK47">
        <v>-1E-3</v>
      </c>
      <c r="BL47">
        <v>-1E-3</v>
      </c>
      <c r="BM47">
        <v>-1E-3</v>
      </c>
      <c r="BN47">
        <v>-1.1000000000000001E-3</v>
      </c>
      <c r="BO47">
        <v>-1.1999999999999999E-3</v>
      </c>
      <c r="BP47">
        <v>-1.1999999999999999E-3</v>
      </c>
      <c r="BQ47">
        <v>-1.1999999999999999E-3</v>
      </c>
      <c r="BR47">
        <v>-1.1999999999999999E-3</v>
      </c>
      <c r="BS47">
        <v>-1.1999999999999999E-3</v>
      </c>
      <c r="BT47">
        <v>-1.1999999999999999E-3</v>
      </c>
      <c r="BU47">
        <v>-1.1999999999999999E-3</v>
      </c>
      <c r="BV47">
        <v>-1.1999999999999999E-3</v>
      </c>
      <c r="BW47">
        <v>-1.1999999999999999E-3</v>
      </c>
      <c r="BX47">
        <v>-1.1999999999999999E-3</v>
      </c>
      <c r="BY47">
        <v>-1.2999999999999999E-3</v>
      </c>
      <c r="BZ47">
        <v>-1.2999999999999999E-3</v>
      </c>
      <c r="CA47">
        <v>-1.2999999999999999E-3</v>
      </c>
      <c r="CB47">
        <v>-1.4E-3</v>
      </c>
      <c r="CC47">
        <v>-1.5E-3</v>
      </c>
      <c r="CD47">
        <v>-1.6000000000000001E-3</v>
      </c>
      <c r="CE47">
        <v>-1.5E-3</v>
      </c>
      <c r="CF47">
        <v>-1.5E-3</v>
      </c>
      <c r="CG47">
        <v>-1.5E-3</v>
      </c>
      <c r="CH47">
        <v>-1.5E-3</v>
      </c>
      <c r="CI47">
        <v>-1.6999999999999999E-3</v>
      </c>
      <c r="CJ47">
        <v>-1.6000000000000001E-3</v>
      </c>
      <c r="CK47">
        <v>-1.6999999999999999E-3</v>
      </c>
      <c r="CL47">
        <v>-1.6000000000000001E-3</v>
      </c>
      <c r="CM47">
        <v>-1.9E-3</v>
      </c>
      <c r="CN47">
        <v>-2E-3</v>
      </c>
      <c r="CO47">
        <v>-2.2000000000000001E-3</v>
      </c>
      <c r="CP47">
        <v>-2.2000000000000001E-3</v>
      </c>
      <c r="CQ47">
        <v>-2.2000000000000001E-3</v>
      </c>
      <c r="CR47">
        <v>-2.3E-3</v>
      </c>
      <c r="CS47">
        <v>-2E-3</v>
      </c>
      <c r="CT47">
        <v>-2.5999999999999999E-3</v>
      </c>
      <c r="CU47">
        <v>-2E-3</v>
      </c>
      <c r="CV47">
        <v>-2.7000000000000001E-3</v>
      </c>
    </row>
    <row r="48" spans="1:100" x14ac:dyDescent="0.2">
      <c r="A48" t="s">
        <v>5914</v>
      </c>
      <c r="B48">
        <v>2.9999999999999997E-4</v>
      </c>
      <c r="C48">
        <v>2.9999999999999997E-4</v>
      </c>
      <c r="D48">
        <v>2.9999999999999997E-4</v>
      </c>
      <c r="E48">
        <v>4.1000000000000003E-3</v>
      </c>
      <c r="F48">
        <v>2.5999999999999999E-3</v>
      </c>
      <c r="G48">
        <v>2.3E-3</v>
      </c>
      <c r="H48">
        <v>2.3E-3</v>
      </c>
      <c r="I48">
        <v>2.0999999999999999E-3</v>
      </c>
      <c r="J48">
        <v>2.2000000000000001E-3</v>
      </c>
      <c r="K48">
        <v>2E-3</v>
      </c>
      <c r="L48">
        <v>1.9E-3</v>
      </c>
      <c r="M48">
        <v>1.9E-3</v>
      </c>
      <c r="N48">
        <v>1.6000000000000001E-3</v>
      </c>
      <c r="O48">
        <v>1.1000000000000001E-3</v>
      </c>
      <c r="P48">
        <v>1.1999999999999999E-3</v>
      </c>
      <c r="Q48">
        <v>1E-3</v>
      </c>
      <c r="R48">
        <v>8.9999999999999998E-4</v>
      </c>
      <c r="S48">
        <v>8.0000000000000004E-4</v>
      </c>
      <c r="T48">
        <v>6.9999999999999999E-4</v>
      </c>
      <c r="U48">
        <v>6.9999999999999999E-4</v>
      </c>
      <c r="V48">
        <v>6.9999999999999999E-4</v>
      </c>
      <c r="W48">
        <v>6.9999999999999999E-4</v>
      </c>
      <c r="X48">
        <v>6.9999999999999999E-4</v>
      </c>
      <c r="Y48">
        <v>6.9999999999999999E-4</v>
      </c>
      <c r="Z48">
        <v>8.0000000000000004E-4</v>
      </c>
      <c r="AA48">
        <v>8.0000000000000004E-4</v>
      </c>
      <c r="AB48">
        <v>8.0000000000000004E-4</v>
      </c>
      <c r="AC48">
        <v>8.9999999999999998E-4</v>
      </c>
      <c r="AD48">
        <v>8.9999999999999998E-4</v>
      </c>
      <c r="AE48">
        <v>1E-3</v>
      </c>
      <c r="AF48">
        <v>1E-3</v>
      </c>
      <c r="AG48">
        <v>1.1000000000000001E-3</v>
      </c>
      <c r="AH48">
        <v>1.1000000000000001E-3</v>
      </c>
      <c r="AI48">
        <v>1.1999999999999999E-3</v>
      </c>
      <c r="AJ48">
        <v>1.1999999999999999E-3</v>
      </c>
      <c r="AK48">
        <v>1.1999999999999999E-3</v>
      </c>
      <c r="AL48">
        <v>1.1999999999999999E-3</v>
      </c>
      <c r="AM48">
        <v>1.1999999999999999E-3</v>
      </c>
      <c r="AN48">
        <v>1.2999999999999999E-3</v>
      </c>
      <c r="AO48">
        <v>1.2999999999999999E-3</v>
      </c>
      <c r="AP48">
        <v>1.2999999999999999E-3</v>
      </c>
      <c r="AQ48">
        <v>1.2999999999999999E-3</v>
      </c>
      <c r="AR48">
        <v>1.2999999999999999E-3</v>
      </c>
      <c r="AS48">
        <v>1.4E-3</v>
      </c>
      <c r="AT48">
        <v>1.4E-3</v>
      </c>
      <c r="AU48">
        <v>1.4E-3</v>
      </c>
      <c r="AV48">
        <v>1.5E-3</v>
      </c>
      <c r="AW48">
        <v>1.5E-3</v>
      </c>
      <c r="AX48">
        <v>1.5E-3</v>
      </c>
      <c r="AY48">
        <v>1.5E-3</v>
      </c>
      <c r="AZ48">
        <v>1.6000000000000001E-3</v>
      </c>
      <c r="BA48">
        <v>1.6000000000000001E-3</v>
      </c>
      <c r="BB48">
        <v>1.5E-3</v>
      </c>
      <c r="BC48">
        <v>1.6000000000000001E-3</v>
      </c>
      <c r="BD48">
        <v>1.6000000000000001E-3</v>
      </c>
      <c r="BE48">
        <v>1.6000000000000001E-3</v>
      </c>
      <c r="BF48">
        <v>1.6000000000000001E-3</v>
      </c>
      <c r="BG48">
        <v>1.5E-3</v>
      </c>
      <c r="BH48">
        <v>1.5E-3</v>
      </c>
      <c r="BI48">
        <v>1.5E-3</v>
      </c>
      <c r="BJ48">
        <v>1.5E-3</v>
      </c>
      <c r="BK48">
        <v>1.5E-3</v>
      </c>
      <c r="BL48">
        <v>1.5E-3</v>
      </c>
      <c r="BM48">
        <v>1.6000000000000001E-3</v>
      </c>
      <c r="BN48">
        <v>1.8E-3</v>
      </c>
      <c r="BO48">
        <v>1.9E-3</v>
      </c>
      <c r="BP48">
        <v>1.9E-3</v>
      </c>
      <c r="BQ48">
        <v>2E-3</v>
      </c>
      <c r="BR48">
        <v>1.9E-3</v>
      </c>
      <c r="BS48">
        <v>1.9E-3</v>
      </c>
      <c r="BT48">
        <v>1.9E-3</v>
      </c>
      <c r="BU48">
        <v>1.9E-3</v>
      </c>
      <c r="BV48">
        <v>1.9E-3</v>
      </c>
      <c r="BW48">
        <v>1.9E-3</v>
      </c>
      <c r="BX48">
        <v>2E-3</v>
      </c>
      <c r="BY48">
        <v>2E-3</v>
      </c>
      <c r="BZ48">
        <v>2E-3</v>
      </c>
      <c r="CA48">
        <v>2.0999999999999999E-3</v>
      </c>
      <c r="CB48">
        <v>2.2000000000000001E-3</v>
      </c>
      <c r="CC48">
        <v>2.3E-3</v>
      </c>
      <c r="CD48">
        <v>2.5000000000000001E-3</v>
      </c>
      <c r="CE48">
        <v>2.3999999999999998E-3</v>
      </c>
      <c r="CF48">
        <v>2.3E-3</v>
      </c>
      <c r="CG48">
        <v>2.3E-3</v>
      </c>
      <c r="CH48">
        <v>2.3E-3</v>
      </c>
      <c r="CI48">
        <v>2.5999999999999999E-3</v>
      </c>
      <c r="CJ48">
        <v>2.5000000000000001E-3</v>
      </c>
      <c r="CK48">
        <v>2.5999999999999999E-3</v>
      </c>
      <c r="CL48">
        <v>2.5000000000000001E-3</v>
      </c>
      <c r="CM48">
        <v>2.8999999999999998E-3</v>
      </c>
      <c r="CN48">
        <v>3.2000000000000002E-3</v>
      </c>
      <c r="CO48">
        <v>3.3999999999999998E-3</v>
      </c>
      <c r="CP48">
        <v>3.3999999999999998E-3</v>
      </c>
      <c r="CQ48">
        <v>3.5000000000000001E-3</v>
      </c>
      <c r="CR48">
        <v>3.5999999999999999E-3</v>
      </c>
      <c r="CS48">
        <v>3.0999999999999999E-3</v>
      </c>
      <c r="CT48">
        <v>4.1000000000000003E-3</v>
      </c>
      <c r="CU48">
        <v>3.0999999999999999E-3</v>
      </c>
      <c r="CV48">
        <v>4.3E-3</v>
      </c>
    </row>
    <row r="49" spans="1:100" x14ac:dyDescent="0.2">
      <c r="A49" t="s">
        <v>5915</v>
      </c>
      <c r="B49">
        <v>1E-4</v>
      </c>
      <c r="C49">
        <v>1E-4</v>
      </c>
      <c r="D49">
        <v>1E-4</v>
      </c>
      <c r="E49">
        <v>1.9E-3</v>
      </c>
      <c r="F49">
        <v>1E-3</v>
      </c>
      <c r="G49">
        <v>6.9999999999999999E-4</v>
      </c>
      <c r="H49">
        <v>5.9999999999999995E-4</v>
      </c>
      <c r="I49">
        <v>5.9999999999999995E-4</v>
      </c>
      <c r="J49">
        <v>5.9999999999999995E-4</v>
      </c>
      <c r="K49">
        <v>5.9999999999999995E-4</v>
      </c>
      <c r="L49">
        <v>5.0000000000000001E-4</v>
      </c>
      <c r="M49">
        <v>5.9999999999999995E-4</v>
      </c>
      <c r="N49">
        <v>5.0000000000000001E-4</v>
      </c>
      <c r="O49">
        <v>4.0000000000000002E-4</v>
      </c>
      <c r="P49">
        <v>4.0000000000000002E-4</v>
      </c>
      <c r="Q49">
        <v>2.9999999999999997E-4</v>
      </c>
      <c r="R49">
        <v>2.9999999999999997E-4</v>
      </c>
      <c r="S49">
        <v>2.9999999999999997E-4</v>
      </c>
      <c r="T49">
        <v>2.9999999999999997E-4</v>
      </c>
      <c r="U49">
        <v>2.9999999999999997E-4</v>
      </c>
      <c r="V49">
        <v>4.0000000000000002E-4</v>
      </c>
      <c r="W49">
        <v>2.9999999999999997E-4</v>
      </c>
      <c r="X49">
        <v>4.0000000000000002E-4</v>
      </c>
      <c r="Y49">
        <v>2.9999999999999997E-4</v>
      </c>
      <c r="Z49">
        <v>4.0000000000000002E-4</v>
      </c>
      <c r="AA49">
        <v>2.9999999999999997E-4</v>
      </c>
      <c r="AB49">
        <v>4.0000000000000002E-4</v>
      </c>
      <c r="AC49">
        <v>4.0000000000000002E-4</v>
      </c>
      <c r="AD49">
        <v>4.0000000000000002E-4</v>
      </c>
      <c r="AE49">
        <v>5.0000000000000001E-4</v>
      </c>
      <c r="AF49">
        <v>5.0000000000000001E-4</v>
      </c>
      <c r="AG49">
        <v>5.9999999999999995E-4</v>
      </c>
      <c r="AH49">
        <v>5.9999999999999995E-4</v>
      </c>
      <c r="AI49">
        <v>6.9999999999999999E-4</v>
      </c>
      <c r="AJ49">
        <v>5.9999999999999995E-4</v>
      </c>
      <c r="AK49">
        <v>6.9999999999999999E-4</v>
      </c>
      <c r="AL49">
        <v>6.9999999999999999E-4</v>
      </c>
      <c r="AM49">
        <v>6.9999999999999999E-4</v>
      </c>
      <c r="AN49">
        <v>6.9999999999999999E-4</v>
      </c>
      <c r="AO49">
        <v>8.0000000000000004E-4</v>
      </c>
      <c r="AP49">
        <v>8.0000000000000004E-4</v>
      </c>
      <c r="AQ49">
        <v>8.0000000000000004E-4</v>
      </c>
      <c r="AR49">
        <v>8.0000000000000004E-4</v>
      </c>
      <c r="AS49">
        <v>8.0000000000000004E-4</v>
      </c>
      <c r="AT49">
        <v>8.9999999999999998E-4</v>
      </c>
      <c r="AU49">
        <v>8.9999999999999998E-4</v>
      </c>
      <c r="AV49">
        <v>8.9999999999999998E-4</v>
      </c>
      <c r="AW49">
        <v>8.9999999999999998E-4</v>
      </c>
      <c r="AX49">
        <v>1E-3</v>
      </c>
      <c r="AY49">
        <v>1E-3</v>
      </c>
      <c r="AZ49">
        <v>1E-3</v>
      </c>
      <c r="BA49">
        <v>1.1000000000000001E-3</v>
      </c>
      <c r="BB49">
        <v>1.1000000000000001E-3</v>
      </c>
      <c r="BC49">
        <v>1.1000000000000001E-3</v>
      </c>
      <c r="BD49">
        <v>1.1000000000000001E-3</v>
      </c>
      <c r="BE49">
        <v>1.1000000000000001E-3</v>
      </c>
      <c r="BF49">
        <v>1E-3</v>
      </c>
      <c r="BG49">
        <v>1E-3</v>
      </c>
      <c r="BH49">
        <v>1E-3</v>
      </c>
      <c r="BI49">
        <v>1.1000000000000001E-3</v>
      </c>
      <c r="BJ49">
        <v>1E-3</v>
      </c>
      <c r="BK49">
        <v>8.9999999999999998E-4</v>
      </c>
      <c r="BL49">
        <v>1E-3</v>
      </c>
      <c r="BM49">
        <v>1E-3</v>
      </c>
      <c r="BN49">
        <v>1.1999999999999999E-3</v>
      </c>
      <c r="BO49">
        <v>1.2999999999999999E-3</v>
      </c>
      <c r="BP49">
        <v>1.2999999999999999E-3</v>
      </c>
      <c r="BQ49">
        <v>1.4E-3</v>
      </c>
      <c r="BR49">
        <v>1.4E-3</v>
      </c>
      <c r="BS49">
        <v>1.4E-3</v>
      </c>
      <c r="BT49">
        <v>1.4E-3</v>
      </c>
      <c r="BU49">
        <v>1.4E-3</v>
      </c>
      <c r="BV49">
        <v>1.5E-3</v>
      </c>
      <c r="BW49">
        <v>1.5E-3</v>
      </c>
      <c r="BX49">
        <v>1.5E-3</v>
      </c>
      <c r="BY49">
        <v>1.6000000000000001E-3</v>
      </c>
      <c r="BZ49">
        <v>1.5E-3</v>
      </c>
      <c r="CA49">
        <v>1.6000000000000001E-3</v>
      </c>
      <c r="CB49">
        <v>1.6999999999999999E-3</v>
      </c>
      <c r="CC49">
        <v>1.8E-3</v>
      </c>
      <c r="CD49">
        <v>1.9E-3</v>
      </c>
      <c r="CE49">
        <v>1.9E-3</v>
      </c>
      <c r="CF49">
        <v>1.9E-3</v>
      </c>
      <c r="CG49">
        <v>1.8E-3</v>
      </c>
      <c r="CH49">
        <v>1.9E-3</v>
      </c>
      <c r="CI49">
        <v>2.2000000000000001E-3</v>
      </c>
      <c r="CJ49">
        <v>2.2000000000000001E-3</v>
      </c>
      <c r="CK49">
        <v>2.2000000000000001E-3</v>
      </c>
      <c r="CL49">
        <v>2.0999999999999999E-3</v>
      </c>
      <c r="CM49">
        <v>2.3E-3</v>
      </c>
      <c r="CN49">
        <v>2.3999999999999998E-3</v>
      </c>
      <c r="CO49">
        <v>2.7000000000000001E-3</v>
      </c>
      <c r="CP49">
        <v>2.8E-3</v>
      </c>
      <c r="CQ49">
        <v>2.7000000000000001E-3</v>
      </c>
      <c r="CR49">
        <v>2.8999999999999998E-3</v>
      </c>
      <c r="CS49">
        <v>2.5000000000000001E-3</v>
      </c>
      <c r="CT49">
        <v>3.3E-3</v>
      </c>
      <c r="CU49">
        <v>2.7000000000000001E-3</v>
      </c>
      <c r="CV49">
        <v>3.0999999999999999E-3</v>
      </c>
    </row>
    <row r="50" spans="1:100" x14ac:dyDescent="0.2">
      <c r="A50" t="s">
        <v>5916</v>
      </c>
      <c r="B50">
        <v>4.0000000000000002E-4</v>
      </c>
      <c r="C50">
        <v>4.0000000000000002E-4</v>
      </c>
      <c r="D50">
        <v>4.0000000000000002E-4</v>
      </c>
      <c r="E50">
        <v>6.7000000000000002E-3</v>
      </c>
      <c r="F50">
        <v>3.7000000000000002E-3</v>
      </c>
      <c r="G50">
        <v>2.7000000000000001E-3</v>
      </c>
      <c r="H50">
        <v>2.3999999999999998E-3</v>
      </c>
      <c r="I50">
        <v>2.3E-3</v>
      </c>
      <c r="J50">
        <v>2.2000000000000001E-3</v>
      </c>
      <c r="K50">
        <v>2.0999999999999999E-3</v>
      </c>
      <c r="L50">
        <v>1.8E-3</v>
      </c>
      <c r="M50">
        <v>2E-3</v>
      </c>
      <c r="N50">
        <v>1.6999999999999999E-3</v>
      </c>
      <c r="O50">
        <v>1.1999999999999999E-3</v>
      </c>
      <c r="P50">
        <v>1.1999999999999999E-3</v>
      </c>
      <c r="Q50">
        <v>1.1000000000000001E-3</v>
      </c>
      <c r="R50">
        <v>1E-3</v>
      </c>
      <c r="S50">
        <v>8.9999999999999998E-4</v>
      </c>
      <c r="T50">
        <v>1E-3</v>
      </c>
      <c r="U50">
        <v>8.9999999999999998E-4</v>
      </c>
      <c r="V50">
        <v>1E-3</v>
      </c>
      <c r="W50">
        <v>8.9999999999999998E-4</v>
      </c>
      <c r="X50">
        <v>1E-3</v>
      </c>
      <c r="Y50">
        <v>8.9999999999999998E-4</v>
      </c>
      <c r="Z50">
        <v>1E-3</v>
      </c>
      <c r="AA50">
        <v>8.9999999999999998E-4</v>
      </c>
      <c r="AB50">
        <v>1E-3</v>
      </c>
      <c r="AC50">
        <v>1.1000000000000001E-3</v>
      </c>
      <c r="AD50">
        <v>1.1000000000000001E-3</v>
      </c>
      <c r="AE50">
        <v>1.1999999999999999E-3</v>
      </c>
      <c r="AF50">
        <v>1.4E-3</v>
      </c>
      <c r="AG50">
        <v>1.5E-3</v>
      </c>
      <c r="AH50">
        <v>1.6000000000000001E-3</v>
      </c>
      <c r="AI50">
        <v>1.6999999999999999E-3</v>
      </c>
      <c r="AJ50">
        <v>1.6000000000000001E-3</v>
      </c>
      <c r="AK50">
        <v>1.6999999999999999E-3</v>
      </c>
      <c r="AL50">
        <v>1.8E-3</v>
      </c>
      <c r="AM50">
        <v>1.8E-3</v>
      </c>
      <c r="AN50">
        <v>1.9E-3</v>
      </c>
      <c r="AO50">
        <v>2E-3</v>
      </c>
      <c r="AP50">
        <v>2E-3</v>
      </c>
      <c r="AQ50">
        <v>2E-3</v>
      </c>
      <c r="AR50">
        <v>2E-3</v>
      </c>
      <c r="AS50">
        <v>2.0999999999999999E-3</v>
      </c>
      <c r="AT50">
        <v>2.2000000000000001E-3</v>
      </c>
      <c r="AU50">
        <v>2.3E-3</v>
      </c>
      <c r="AV50">
        <v>2.3E-3</v>
      </c>
      <c r="AW50">
        <v>2.3E-3</v>
      </c>
      <c r="AX50">
        <v>2.3999999999999998E-3</v>
      </c>
      <c r="AY50">
        <v>2.5000000000000001E-3</v>
      </c>
      <c r="AZ50">
        <v>2.5999999999999999E-3</v>
      </c>
      <c r="BA50">
        <v>2.7000000000000001E-3</v>
      </c>
      <c r="BB50">
        <v>2.7000000000000001E-3</v>
      </c>
      <c r="BC50">
        <v>2.7000000000000001E-3</v>
      </c>
      <c r="BD50">
        <v>2.7000000000000001E-3</v>
      </c>
      <c r="BE50">
        <v>2.7000000000000001E-3</v>
      </c>
      <c r="BF50">
        <v>2.5999999999999999E-3</v>
      </c>
      <c r="BG50">
        <v>2.5999999999999999E-3</v>
      </c>
      <c r="BH50">
        <v>2.5999999999999999E-3</v>
      </c>
      <c r="BI50">
        <v>2.7000000000000001E-3</v>
      </c>
      <c r="BJ50">
        <v>2.3999999999999998E-3</v>
      </c>
      <c r="BK50">
        <v>2.3999999999999998E-3</v>
      </c>
      <c r="BL50">
        <v>2.5000000000000001E-3</v>
      </c>
      <c r="BM50">
        <v>2.5999999999999999E-3</v>
      </c>
      <c r="BN50">
        <v>3.0000000000000001E-3</v>
      </c>
      <c r="BO50">
        <v>3.3E-3</v>
      </c>
      <c r="BP50">
        <v>3.3999999999999998E-3</v>
      </c>
      <c r="BQ50">
        <v>3.5999999999999999E-3</v>
      </c>
      <c r="BR50">
        <v>3.5999999999999999E-3</v>
      </c>
      <c r="BS50">
        <v>3.5999999999999999E-3</v>
      </c>
      <c r="BT50">
        <v>3.5000000000000001E-3</v>
      </c>
      <c r="BU50">
        <v>3.5999999999999999E-3</v>
      </c>
      <c r="BV50">
        <v>3.7000000000000002E-3</v>
      </c>
      <c r="BW50">
        <v>3.7000000000000002E-3</v>
      </c>
      <c r="BX50">
        <v>3.8E-3</v>
      </c>
      <c r="BY50">
        <v>4.0000000000000001E-3</v>
      </c>
      <c r="BZ50">
        <v>3.7000000000000002E-3</v>
      </c>
      <c r="CA50">
        <v>4.0000000000000001E-3</v>
      </c>
      <c r="CB50">
        <v>4.1999999999999997E-3</v>
      </c>
      <c r="CC50">
        <v>4.4999999999999997E-3</v>
      </c>
      <c r="CD50">
        <v>4.7999999999999996E-3</v>
      </c>
      <c r="CE50">
        <v>4.8999999999999998E-3</v>
      </c>
      <c r="CF50">
        <v>4.7999999999999996E-3</v>
      </c>
      <c r="CG50">
        <v>4.4999999999999997E-3</v>
      </c>
      <c r="CH50">
        <v>4.7000000000000002E-3</v>
      </c>
      <c r="CI50">
        <v>5.4999999999999997E-3</v>
      </c>
      <c r="CJ50">
        <v>5.4999999999999997E-3</v>
      </c>
      <c r="CK50">
        <v>5.4999999999999997E-3</v>
      </c>
      <c r="CL50">
        <v>5.1999999999999998E-3</v>
      </c>
      <c r="CM50">
        <v>5.8999999999999999E-3</v>
      </c>
      <c r="CN50">
        <v>6.1999999999999998E-3</v>
      </c>
      <c r="CO50">
        <v>7.0000000000000001E-3</v>
      </c>
      <c r="CP50">
        <v>7.1999999999999998E-3</v>
      </c>
      <c r="CQ50">
        <v>7.0000000000000001E-3</v>
      </c>
      <c r="CR50">
        <v>7.4000000000000003E-3</v>
      </c>
      <c r="CS50">
        <v>6.6E-3</v>
      </c>
      <c r="CT50">
        <v>8.6E-3</v>
      </c>
      <c r="CU50">
        <v>7.1999999999999998E-3</v>
      </c>
      <c r="CV50">
        <v>9.4000000000000004E-3</v>
      </c>
    </row>
    <row r="51" spans="1:100" x14ac:dyDescent="0.2">
      <c r="A51" t="s">
        <v>5917</v>
      </c>
      <c r="B51">
        <v>-2.9999999999999997E-4</v>
      </c>
      <c r="C51">
        <v>-2.9999999999999997E-4</v>
      </c>
      <c r="D51">
        <v>-2.9999999999999997E-4</v>
      </c>
      <c r="E51">
        <v>-9.9000000000000008E-3</v>
      </c>
      <c r="F51">
        <v>-7.1000000000000004E-3</v>
      </c>
      <c r="G51">
        <v>-5.8999999999999999E-3</v>
      </c>
      <c r="H51">
        <v>-5.3E-3</v>
      </c>
      <c r="I51">
        <v>-4.7999999999999996E-3</v>
      </c>
      <c r="J51">
        <v>-4.5999999999999999E-3</v>
      </c>
      <c r="K51">
        <v>-4.1999999999999997E-3</v>
      </c>
      <c r="L51">
        <v>-3.8999999999999998E-3</v>
      </c>
      <c r="M51">
        <v>-3.7000000000000002E-3</v>
      </c>
      <c r="N51">
        <v>-3.0999999999999999E-3</v>
      </c>
      <c r="O51">
        <v>-2.0999999999999999E-3</v>
      </c>
      <c r="P51">
        <v>-2E-3</v>
      </c>
      <c r="Q51">
        <v>-1.6999999999999999E-3</v>
      </c>
      <c r="R51">
        <v>-1.4E-3</v>
      </c>
      <c r="S51">
        <v>-1.1999999999999999E-3</v>
      </c>
      <c r="T51">
        <v>-1.1000000000000001E-3</v>
      </c>
      <c r="U51">
        <v>-1E-3</v>
      </c>
      <c r="V51">
        <v>-8.9999999999999998E-4</v>
      </c>
      <c r="W51">
        <v>-8.0000000000000004E-4</v>
      </c>
      <c r="X51">
        <v>-8.0000000000000004E-4</v>
      </c>
      <c r="Y51">
        <v>-8.0000000000000004E-4</v>
      </c>
      <c r="Z51">
        <v>-8.0000000000000004E-4</v>
      </c>
      <c r="AA51">
        <v>-8.0000000000000004E-4</v>
      </c>
      <c r="AB51">
        <v>-8.0000000000000004E-4</v>
      </c>
      <c r="AC51">
        <v>-8.9999999999999998E-4</v>
      </c>
      <c r="AD51">
        <v>-8.9999999999999998E-4</v>
      </c>
      <c r="AE51">
        <v>-8.9999999999999998E-4</v>
      </c>
      <c r="AF51">
        <v>-8.9999999999999998E-4</v>
      </c>
      <c r="AG51">
        <v>-8.9999999999999998E-4</v>
      </c>
      <c r="AH51">
        <v>-8.9999999999999998E-4</v>
      </c>
      <c r="AI51">
        <v>-8.9999999999999998E-4</v>
      </c>
      <c r="AJ51">
        <v>-8.0000000000000004E-4</v>
      </c>
      <c r="AK51">
        <v>-8.0000000000000004E-4</v>
      </c>
      <c r="AL51">
        <v>-8.0000000000000004E-4</v>
      </c>
      <c r="AM51">
        <v>-8.0000000000000004E-4</v>
      </c>
      <c r="AN51">
        <v>-8.0000000000000004E-4</v>
      </c>
      <c r="AO51">
        <v>-6.9999999999999999E-4</v>
      </c>
      <c r="AP51">
        <v>-6.9999999999999999E-4</v>
      </c>
      <c r="AQ51">
        <v>-6.9999999999999999E-4</v>
      </c>
      <c r="AR51">
        <v>-6.9999999999999999E-4</v>
      </c>
      <c r="AS51">
        <v>-6.9999999999999999E-4</v>
      </c>
      <c r="AT51">
        <v>-8.0000000000000004E-4</v>
      </c>
      <c r="AU51">
        <v>-8.0000000000000004E-4</v>
      </c>
      <c r="AV51">
        <v>-6.9999999999999999E-4</v>
      </c>
      <c r="AW51">
        <v>-6.9999999999999999E-4</v>
      </c>
      <c r="AX51">
        <v>-6.9999999999999999E-4</v>
      </c>
      <c r="AY51">
        <v>-6.9999999999999999E-4</v>
      </c>
      <c r="AZ51">
        <v>-6.9999999999999999E-4</v>
      </c>
      <c r="BA51">
        <v>-6.9999999999999999E-4</v>
      </c>
      <c r="BB51">
        <v>-6.9999999999999999E-4</v>
      </c>
      <c r="BC51">
        <v>-6.9999999999999999E-4</v>
      </c>
      <c r="BD51">
        <v>-5.9999999999999995E-4</v>
      </c>
      <c r="BE51">
        <v>-5.9999999999999995E-4</v>
      </c>
      <c r="BF51">
        <v>-5.9999999999999995E-4</v>
      </c>
      <c r="BG51">
        <v>-5.9999999999999995E-4</v>
      </c>
      <c r="BH51">
        <v>-5.9999999999999995E-4</v>
      </c>
      <c r="BI51">
        <v>-5.9999999999999995E-4</v>
      </c>
      <c r="BJ51">
        <v>-5.9999999999999995E-4</v>
      </c>
      <c r="BK51">
        <v>-5.0000000000000001E-4</v>
      </c>
      <c r="BL51">
        <v>-5.0000000000000001E-4</v>
      </c>
      <c r="BM51">
        <v>-5.0000000000000001E-4</v>
      </c>
      <c r="BN51">
        <v>-5.9999999999999995E-4</v>
      </c>
      <c r="BO51">
        <v>-5.9999999999999995E-4</v>
      </c>
      <c r="BP51">
        <v>-5.9999999999999995E-4</v>
      </c>
      <c r="BQ51">
        <v>-5.9999999999999995E-4</v>
      </c>
      <c r="BR51">
        <v>-5.9999999999999995E-4</v>
      </c>
      <c r="BS51">
        <v>-5.9999999999999995E-4</v>
      </c>
      <c r="BT51">
        <v>-5.0000000000000001E-4</v>
      </c>
      <c r="BU51">
        <v>-5.0000000000000001E-4</v>
      </c>
      <c r="BV51">
        <v>-5.0000000000000001E-4</v>
      </c>
      <c r="BW51">
        <v>-5.0000000000000001E-4</v>
      </c>
      <c r="BX51">
        <v>-5.0000000000000001E-4</v>
      </c>
      <c r="BY51">
        <v>-5.9999999999999995E-4</v>
      </c>
      <c r="BZ51">
        <v>-5.0000000000000001E-4</v>
      </c>
      <c r="CA51">
        <v>-5.0000000000000001E-4</v>
      </c>
      <c r="CB51">
        <v>-5.0000000000000001E-4</v>
      </c>
      <c r="CC51">
        <v>-5.0000000000000001E-4</v>
      </c>
      <c r="CD51">
        <v>-5.9999999999999995E-4</v>
      </c>
      <c r="CE51">
        <v>-5.0000000000000001E-4</v>
      </c>
      <c r="CF51">
        <v>-5.0000000000000001E-4</v>
      </c>
      <c r="CG51">
        <v>-5.0000000000000001E-4</v>
      </c>
      <c r="CH51">
        <v>-4.0000000000000002E-4</v>
      </c>
      <c r="CI51">
        <v>-5.0000000000000001E-4</v>
      </c>
      <c r="CJ51">
        <v>-5.0000000000000001E-4</v>
      </c>
      <c r="CK51">
        <v>-5.0000000000000001E-4</v>
      </c>
      <c r="CL51">
        <v>-4.0000000000000002E-4</v>
      </c>
      <c r="CM51">
        <v>-5.0000000000000001E-4</v>
      </c>
      <c r="CN51">
        <v>-5.0000000000000001E-4</v>
      </c>
      <c r="CO51">
        <v>-5.0000000000000001E-4</v>
      </c>
      <c r="CP51">
        <v>-4.0000000000000002E-4</v>
      </c>
      <c r="CQ51">
        <v>-4.0000000000000002E-4</v>
      </c>
      <c r="CR51">
        <v>-4.0000000000000002E-4</v>
      </c>
      <c r="CS51">
        <v>-4.0000000000000002E-4</v>
      </c>
      <c r="CT51">
        <v>-2.9999999999999997E-4</v>
      </c>
      <c r="CU51">
        <v>-2.0000000000000001E-4</v>
      </c>
      <c r="CV51">
        <v>-2.9999999999999997E-4</v>
      </c>
    </row>
    <row r="52" spans="1:100" x14ac:dyDescent="0.2">
      <c r="A52" t="s">
        <v>5918</v>
      </c>
      <c r="B52">
        <v>0</v>
      </c>
      <c r="C52">
        <v>0</v>
      </c>
      <c r="D52">
        <v>0</v>
      </c>
      <c r="E52">
        <v>-1E-3</v>
      </c>
      <c r="F52">
        <v>-6.9999999999999999E-4</v>
      </c>
      <c r="G52">
        <v>-5.9999999999999995E-4</v>
      </c>
      <c r="H52">
        <v>-5.9999999999999995E-4</v>
      </c>
      <c r="I52">
        <v>-5.0000000000000001E-4</v>
      </c>
      <c r="J52">
        <v>-5.0000000000000001E-4</v>
      </c>
      <c r="K52">
        <v>-4.0000000000000002E-4</v>
      </c>
      <c r="L52">
        <v>-4.0000000000000002E-4</v>
      </c>
      <c r="M52">
        <v>-4.0000000000000002E-4</v>
      </c>
      <c r="N52">
        <v>-2.9999999999999997E-4</v>
      </c>
      <c r="O52">
        <v>-2.0000000000000001E-4</v>
      </c>
      <c r="P52">
        <v>-2.0000000000000001E-4</v>
      </c>
      <c r="Q52">
        <v>-2.0000000000000001E-4</v>
      </c>
      <c r="R52">
        <v>-2.0000000000000001E-4</v>
      </c>
      <c r="S52">
        <v>-1E-4</v>
      </c>
      <c r="T52">
        <v>-1E-4</v>
      </c>
      <c r="U52">
        <v>-1E-4</v>
      </c>
      <c r="V52">
        <v>-1E-4</v>
      </c>
      <c r="W52">
        <v>-1E-4</v>
      </c>
      <c r="X52">
        <v>-1E-4</v>
      </c>
      <c r="Y52">
        <v>-1E-4</v>
      </c>
      <c r="Z52">
        <v>-1E-4</v>
      </c>
      <c r="AA52">
        <v>-1E-4</v>
      </c>
      <c r="AB52">
        <v>-1E-4</v>
      </c>
      <c r="AC52">
        <v>-1E-4</v>
      </c>
      <c r="AD52">
        <v>-1E-4</v>
      </c>
      <c r="AE52">
        <v>-1E-4</v>
      </c>
      <c r="AF52">
        <v>-1E-4</v>
      </c>
      <c r="AG52">
        <v>-1E-4</v>
      </c>
      <c r="AH52">
        <v>-1E-4</v>
      </c>
      <c r="AI52">
        <v>-1E-4</v>
      </c>
      <c r="AJ52">
        <v>-1E-4</v>
      </c>
      <c r="AK52">
        <v>-1E-4</v>
      </c>
      <c r="AL52">
        <v>-1E-4</v>
      </c>
      <c r="AM52">
        <v>-1E-4</v>
      </c>
      <c r="AN52">
        <v>-1E-4</v>
      </c>
      <c r="AO52">
        <v>-1E-4</v>
      </c>
      <c r="AP52">
        <v>-1E-4</v>
      </c>
      <c r="AQ52">
        <v>-1E-4</v>
      </c>
      <c r="AR52">
        <v>-1E-4</v>
      </c>
      <c r="AS52">
        <v>-1E-4</v>
      </c>
      <c r="AT52">
        <v>-1E-4</v>
      </c>
      <c r="AU52">
        <v>-1E-4</v>
      </c>
      <c r="AV52">
        <v>-1E-4</v>
      </c>
      <c r="AW52">
        <v>-1E-4</v>
      </c>
      <c r="AX52">
        <v>-1E-4</v>
      </c>
      <c r="AY52">
        <v>-1E-4</v>
      </c>
      <c r="AZ52">
        <v>-1E-4</v>
      </c>
      <c r="BA52">
        <v>-1E-4</v>
      </c>
      <c r="BB52">
        <v>-1E-4</v>
      </c>
      <c r="BC52">
        <v>-1E-4</v>
      </c>
      <c r="BD52">
        <v>-1E-4</v>
      </c>
      <c r="BE52">
        <v>-1E-4</v>
      </c>
      <c r="BF52">
        <v>-1E-4</v>
      </c>
      <c r="BG52">
        <v>-1E-4</v>
      </c>
      <c r="BH52">
        <v>-1E-4</v>
      </c>
      <c r="BI52">
        <v>-1E-4</v>
      </c>
      <c r="BJ52">
        <v>-1E-4</v>
      </c>
      <c r="BK52">
        <v>-1E-4</v>
      </c>
      <c r="BL52">
        <v>-1E-4</v>
      </c>
      <c r="BM52">
        <v>-1E-4</v>
      </c>
      <c r="BN52">
        <v>-1E-4</v>
      </c>
      <c r="BO52">
        <v>-1E-4</v>
      </c>
      <c r="BP52">
        <v>-1E-4</v>
      </c>
      <c r="BQ52">
        <v>-1E-4</v>
      </c>
      <c r="BR52">
        <v>-1E-4</v>
      </c>
      <c r="BS52">
        <v>-1E-4</v>
      </c>
      <c r="BT52">
        <v>0</v>
      </c>
      <c r="BU52">
        <v>0</v>
      </c>
      <c r="BV52">
        <v>0</v>
      </c>
      <c r="BW52">
        <v>-1E-4</v>
      </c>
      <c r="BX52">
        <v>0</v>
      </c>
      <c r="BY52">
        <v>-1E-4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1E-4</v>
      </c>
      <c r="CU52">
        <v>1E-4</v>
      </c>
      <c r="CV52">
        <v>2.9999999999999997E-4</v>
      </c>
    </row>
    <row r="53" spans="1:100" x14ac:dyDescent="0.2">
      <c r="A53" t="s">
        <v>5919</v>
      </c>
      <c r="B53">
        <v>-6.9999999999999999E-4</v>
      </c>
      <c r="C53">
        <v>-6.9999999999999999E-4</v>
      </c>
      <c r="D53">
        <v>-6.9999999999999999E-4</v>
      </c>
      <c r="E53">
        <v>-2.3300000000000001E-2</v>
      </c>
      <c r="F53">
        <v>-1.4999999999999999E-2</v>
      </c>
      <c r="G53">
        <v>-1.34E-2</v>
      </c>
      <c r="H53">
        <v>-1.2800000000000001E-2</v>
      </c>
      <c r="I53">
        <v>-1.24E-2</v>
      </c>
      <c r="J53">
        <v>-1.2999999999999999E-2</v>
      </c>
      <c r="K53">
        <v>-1.2699999999999999E-2</v>
      </c>
      <c r="L53">
        <v>-1.2500000000000001E-2</v>
      </c>
      <c r="M53">
        <v>-1.2800000000000001E-2</v>
      </c>
      <c r="N53">
        <v>-1.1599999999999999E-2</v>
      </c>
      <c r="O53">
        <v>-8.5000000000000006E-3</v>
      </c>
      <c r="P53">
        <v>-8.8999999999999999E-3</v>
      </c>
      <c r="Q53">
        <v>-8.2000000000000007E-3</v>
      </c>
      <c r="R53">
        <v>-6.8999999999999999E-3</v>
      </c>
      <c r="S53">
        <v>-5.8999999999999999E-3</v>
      </c>
      <c r="T53">
        <v>-5.4999999999999997E-3</v>
      </c>
      <c r="U53">
        <v>-4.7999999999999996E-3</v>
      </c>
      <c r="V53">
        <v>-4.4000000000000003E-3</v>
      </c>
      <c r="W53">
        <v>-3.8E-3</v>
      </c>
      <c r="X53">
        <v>-3.8999999999999998E-3</v>
      </c>
      <c r="Y53">
        <v>-4.0000000000000001E-3</v>
      </c>
      <c r="Z53">
        <v>-4.1000000000000003E-3</v>
      </c>
      <c r="AA53">
        <v>-4.1000000000000003E-3</v>
      </c>
      <c r="AB53">
        <v>-4.0000000000000001E-3</v>
      </c>
      <c r="AC53">
        <v>-3.8E-3</v>
      </c>
      <c r="AD53">
        <v>-3.8999999999999998E-3</v>
      </c>
      <c r="AE53">
        <v>-3.8E-3</v>
      </c>
      <c r="AF53">
        <v>-3.7000000000000002E-3</v>
      </c>
      <c r="AG53">
        <v>-3.8E-3</v>
      </c>
      <c r="AH53">
        <v>-3.7000000000000002E-3</v>
      </c>
      <c r="AI53">
        <v>-3.5999999999999999E-3</v>
      </c>
      <c r="AJ53">
        <v>-3.5999999999999999E-3</v>
      </c>
      <c r="AK53">
        <v>-3.7000000000000002E-3</v>
      </c>
      <c r="AL53">
        <v>-3.5999999999999999E-3</v>
      </c>
      <c r="AM53">
        <v>-3.3999999999999998E-3</v>
      </c>
      <c r="AN53">
        <v>-3.3E-3</v>
      </c>
      <c r="AO53">
        <v>-3.3E-3</v>
      </c>
      <c r="AP53">
        <v>-3.3999999999999998E-3</v>
      </c>
      <c r="AQ53">
        <v>-3.2000000000000002E-3</v>
      </c>
      <c r="AR53">
        <v>-3.0999999999999999E-3</v>
      </c>
      <c r="AS53">
        <v>-3.0999999999999999E-3</v>
      </c>
      <c r="AT53">
        <v>-2.8999999999999998E-3</v>
      </c>
      <c r="AU53">
        <v>-2.8999999999999998E-3</v>
      </c>
      <c r="AV53">
        <v>-2.8E-3</v>
      </c>
      <c r="AW53">
        <v>-2.8E-3</v>
      </c>
      <c r="AX53">
        <v>-2.7000000000000001E-3</v>
      </c>
      <c r="AY53">
        <v>-2.8E-3</v>
      </c>
      <c r="AZ53">
        <v>-2.8E-3</v>
      </c>
      <c r="BA53">
        <v>-2.7000000000000001E-3</v>
      </c>
      <c r="BB53">
        <v>-2.7000000000000001E-3</v>
      </c>
      <c r="BC53">
        <v>-2.5999999999999999E-3</v>
      </c>
      <c r="BD53">
        <v>-2.5999999999999999E-3</v>
      </c>
      <c r="BE53">
        <v>-2.3999999999999998E-3</v>
      </c>
      <c r="BF53">
        <v>-2.3E-3</v>
      </c>
      <c r="BG53">
        <v>-2.0999999999999999E-3</v>
      </c>
      <c r="BH53">
        <v>-2E-3</v>
      </c>
      <c r="BI53">
        <v>-2.0999999999999999E-3</v>
      </c>
      <c r="BJ53">
        <v>-2.0999999999999999E-3</v>
      </c>
      <c r="BK53">
        <v>-2.2000000000000001E-3</v>
      </c>
      <c r="BL53">
        <v>-2.3E-3</v>
      </c>
      <c r="BM53">
        <v>-2.3E-3</v>
      </c>
      <c r="BN53">
        <v>-2.3999999999999998E-3</v>
      </c>
      <c r="BO53">
        <v>-2.3E-3</v>
      </c>
      <c r="BP53">
        <v>-2.3E-3</v>
      </c>
      <c r="BQ53">
        <v>-2.0999999999999999E-3</v>
      </c>
      <c r="BR53">
        <v>-2.2000000000000001E-3</v>
      </c>
      <c r="BS53">
        <v>-2.0999999999999999E-3</v>
      </c>
      <c r="BT53">
        <v>-2.0999999999999999E-3</v>
      </c>
      <c r="BU53">
        <v>-1.9E-3</v>
      </c>
      <c r="BV53">
        <v>-2.0999999999999999E-3</v>
      </c>
      <c r="BW53">
        <v>-1.8E-3</v>
      </c>
      <c r="BX53">
        <v>-1.6999999999999999E-3</v>
      </c>
      <c r="BY53">
        <v>-1.6999999999999999E-3</v>
      </c>
      <c r="BZ53">
        <v>-1.6999999999999999E-3</v>
      </c>
      <c r="CA53">
        <v>-1.8E-3</v>
      </c>
      <c r="CB53">
        <v>-1.8E-3</v>
      </c>
      <c r="CC53">
        <v>-1.9E-3</v>
      </c>
      <c r="CD53">
        <v>-1.8E-3</v>
      </c>
      <c r="CE53">
        <v>-1.6000000000000001E-3</v>
      </c>
      <c r="CF53">
        <v>-1.4E-3</v>
      </c>
      <c r="CG53">
        <v>-1.6000000000000001E-3</v>
      </c>
      <c r="CH53">
        <v>-1.6999999999999999E-3</v>
      </c>
      <c r="CI53">
        <v>-1.6999999999999999E-3</v>
      </c>
      <c r="CJ53">
        <v>-1.5E-3</v>
      </c>
      <c r="CK53">
        <v>-1.6000000000000001E-3</v>
      </c>
      <c r="CL53">
        <v>-1.6000000000000001E-3</v>
      </c>
      <c r="CM53">
        <v>-1.6999999999999999E-3</v>
      </c>
      <c r="CN53">
        <v>-1.8E-3</v>
      </c>
      <c r="CO53">
        <v>-1.9E-3</v>
      </c>
      <c r="CP53">
        <v>-1.9E-3</v>
      </c>
      <c r="CQ53">
        <v>-1.6999999999999999E-3</v>
      </c>
      <c r="CR53">
        <v>-1.5E-3</v>
      </c>
      <c r="CS53">
        <v>-1.2999999999999999E-3</v>
      </c>
      <c r="CT53">
        <v>-1.6999999999999999E-3</v>
      </c>
      <c r="CU53">
        <v>-1.1999999999999999E-3</v>
      </c>
      <c r="CV53">
        <v>-1.2999999999999999E-3</v>
      </c>
    </row>
    <row r="54" spans="1:100" x14ac:dyDescent="0.2">
      <c r="A54" t="s">
        <v>5920</v>
      </c>
      <c r="B54">
        <v>1E-4</v>
      </c>
      <c r="C54">
        <v>1E-4</v>
      </c>
      <c r="D54">
        <v>1E-4</v>
      </c>
      <c r="E54">
        <v>2.0999999999999999E-3</v>
      </c>
      <c r="F54">
        <v>1.4E-3</v>
      </c>
      <c r="G54">
        <v>1.1999999999999999E-3</v>
      </c>
      <c r="H54">
        <v>1.1999999999999999E-3</v>
      </c>
      <c r="I54">
        <v>1.1000000000000001E-3</v>
      </c>
      <c r="J54">
        <v>1.1999999999999999E-3</v>
      </c>
      <c r="K54">
        <v>1.1000000000000001E-3</v>
      </c>
      <c r="L54">
        <v>1.1000000000000001E-3</v>
      </c>
      <c r="M54">
        <v>1.1000000000000001E-3</v>
      </c>
      <c r="N54">
        <v>1E-3</v>
      </c>
      <c r="O54">
        <v>8.0000000000000004E-4</v>
      </c>
      <c r="P54">
        <v>8.0000000000000004E-4</v>
      </c>
      <c r="Q54">
        <v>6.9999999999999999E-4</v>
      </c>
      <c r="R54">
        <v>5.9999999999999995E-4</v>
      </c>
      <c r="S54">
        <v>5.0000000000000001E-4</v>
      </c>
      <c r="T54">
        <v>5.0000000000000001E-4</v>
      </c>
      <c r="U54">
        <v>4.0000000000000002E-4</v>
      </c>
      <c r="V54">
        <v>4.0000000000000002E-4</v>
      </c>
      <c r="W54">
        <v>2.9999999999999997E-4</v>
      </c>
      <c r="X54">
        <v>2.9999999999999997E-4</v>
      </c>
      <c r="Y54">
        <v>4.0000000000000002E-4</v>
      </c>
      <c r="Z54">
        <v>4.0000000000000002E-4</v>
      </c>
      <c r="AA54">
        <v>4.0000000000000002E-4</v>
      </c>
      <c r="AB54">
        <v>4.0000000000000002E-4</v>
      </c>
      <c r="AC54">
        <v>2.9999999999999997E-4</v>
      </c>
      <c r="AD54">
        <v>2.9999999999999997E-4</v>
      </c>
      <c r="AE54">
        <v>2.9999999999999997E-4</v>
      </c>
      <c r="AF54">
        <v>2.9999999999999997E-4</v>
      </c>
      <c r="AG54">
        <v>2.9999999999999997E-4</v>
      </c>
      <c r="AH54">
        <v>2.9999999999999997E-4</v>
      </c>
      <c r="AI54">
        <v>2.9999999999999997E-4</v>
      </c>
      <c r="AJ54">
        <v>2.9999999999999997E-4</v>
      </c>
      <c r="AK54">
        <v>2.9999999999999997E-4</v>
      </c>
      <c r="AL54">
        <v>2.9999999999999997E-4</v>
      </c>
      <c r="AM54">
        <v>2.9999999999999997E-4</v>
      </c>
      <c r="AN54">
        <v>2.9999999999999997E-4</v>
      </c>
      <c r="AO54">
        <v>2.9999999999999997E-4</v>
      </c>
      <c r="AP54">
        <v>2.9999999999999997E-4</v>
      </c>
      <c r="AQ54">
        <v>2.9999999999999997E-4</v>
      </c>
      <c r="AR54">
        <v>2.9999999999999997E-4</v>
      </c>
      <c r="AS54">
        <v>2.9999999999999997E-4</v>
      </c>
      <c r="AT54">
        <v>2.9999999999999997E-4</v>
      </c>
      <c r="AU54">
        <v>2.9999999999999997E-4</v>
      </c>
      <c r="AV54">
        <v>2.9999999999999997E-4</v>
      </c>
      <c r="AW54">
        <v>2.9999999999999997E-4</v>
      </c>
      <c r="AX54">
        <v>2.0000000000000001E-4</v>
      </c>
      <c r="AY54">
        <v>2.0000000000000001E-4</v>
      </c>
      <c r="AZ54">
        <v>2.9999999999999997E-4</v>
      </c>
      <c r="BA54">
        <v>2.0000000000000001E-4</v>
      </c>
      <c r="BB54">
        <v>2.0000000000000001E-4</v>
      </c>
      <c r="BC54">
        <v>2.0000000000000001E-4</v>
      </c>
      <c r="BD54">
        <v>2.0000000000000001E-4</v>
      </c>
      <c r="BE54">
        <v>2.0000000000000001E-4</v>
      </c>
      <c r="BF54">
        <v>2.0000000000000001E-4</v>
      </c>
      <c r="BG54">
        <v>2.0000000000000001E-4</v>
      </c>
      <c r="BH54">
        <v>2.0000000000000001E-4</v>
      </c>
      <c r="BI54">
        <v>2.0000000000000001E-4</v>
      </c>
      <c r="BJ54">
        <v>2.0000000000000001E-4</v>
      </c>
      <c r="BK54">
        <v>2.0000000000000001E-4</v>
      </c>
      <c r="BL54">
        <v>2.0000000000000001E-4</v>
      </c>
      <c r="BM54">
        <v>2.0000000000000001E-4</v>
      </c>
      <c r="BN54">
        <v>2.0000000000000001E-4</v>
      </c>
      <c r="BO54">
        <v>2.0000000000000001E-4</v>
      </c>
      <c r="BP54">
        <v>2.0000000000000001E-4</v>
      </c>
      <c r="BQ54">
        <v>2.0000000000000001E-4</v>
      </c>
      <c r="BR54">
        <v>2.0000000000000001E-4</v>
      </c>
      <c r="BS54">
        <v>2.0000000000000001E-4</v>
      </c>
      <c r="BT54">
        <v>2.0000000000000001E-4</v>
      </c>
      <c r="BU54">
        <v>2.0000000000000001E-4</v>
      </c>
      <c r="BV54">
        <v>2.0000000000000001E-4</v>
      </c>
      <c r="BW54">
        <v>2.0000000000000001E-4</v>
      </c>
      <c r="BX54">
        <v>2.0000000000000001E-4</v>
      </c>
      <c r="BY54">
        <v>2.0000000000000001E-4</v>
      </c>
      <c r="BZ54">
        <v>2.0000000000000001E-4</v>
      </c>
      <c r="CA54">
        <v>2.0000000000000001E-4</v>
      </c>
      <c r="CB54">
        <v>2.0000000000000001E-4</v>
      </c>
      <c r="CC54">
        <v>2.0000000000000001E-4</v>
      </c>
      <c r="CD54">
        <v>2.0000000000000001E-4</v>
      </c>
      <c r="CE54">
        <v>2.0000000000000001E-4</v>
      </c>
      <c r="CF54">
        <v>1E-4</v>
      </c>
      <c r="CG54">
        <v>2.0000000000000001E-4</v>
      </c>
      <c r="CH54">
        <v>2.0000000000000001E-4</v>
      </c>
      <c r="CI54">
        <v>2.0000000000000001E-4</v>
      </c>
      <c r="CJ54">
        <v>1E-4</v>
      </c>
      <c r="CK54">
        <v>2.0000000000000001E-4</v>
      </c>
      <c r="CL54">
        <v>2.0000000000000001E-4</v>
      </c>
      <c r="CM54">
        <v>2.0000000000000001E-4</v>
      </c>
      <c r="CN54">
        <v>2.0000000000000001E-4</v>
      </c>
      <c r="CO54">
        <v>2.0000000000000001E-4</v>
      </c>
      <c r="CP54">
        <v>2.0000000000000001E-4</v>
      </c>
      <c r="CQ54">
        <v>2.0000000000000001E-4</v>
      </c>
      <c r="CR54">
        <v>2.0000000000000001E-4</v>
      </c>
      <c r="CS54">
        <v>2.0000000000000001E-4</v>
      </c>
      <c r="CT54">
        <v>2.0000000000000001E-4</v>
      </c>
      <c r="CU54">
        <v>2.0000000000000001E-4</v>
      </c>
      <c r="CV54">
        <v>4.0000000000000002E-4</v>
      </c>
    </row>
    <row r="55" spans="1:100" x14ac:dyDescent="0.2">
      <c r="A55" t="s">
        <v>5921</v>
      </c>
      <c r="B55">
        <v>-2.0000000000000001E-4</v>
      </c>
      <c r="C55">
        <v>-2.0000000000000001E-4</v>
      </c>
      <c r="D55">
        <v>-2.0000000000000001E-4</v>
      </c>
      <c r="E55">
        <v>-3.0999999999999999E-3</v>
      </c>
      <c r="F55">
        <v>-2.3999999999999998E-3</v>
      </c>
      <c r="G55">
        <v>-2.3999999999999998E-3</v>
      </c>
      <c r="H55">
        <v>-2.3999999999999998E-3</v>
      </c>
      <c r="I55">
        <v>-2.2000000000000001E-3</v>
      </c>
      <c r="J55">
        <v>-2.2000000000000001E-3</v>
      </c>
      <c r="K55">
        <v>-2.2000000000000001E-3</v>
      </c>
      <c r="L55">
        <v>-2.2000000000000001E-3</v>
      </c>
      <c r="M55">
        <v>-2.0999999999999999E-3</v>
      </c>
      <c r="N55">
        <v>-1.9E-3</v>
      </c>
      <c r="O55">
        <v>-1.2999999999999999E-3</v>
      </c>
      <c r="P55">
        <v>-1.2999999999999999E-3</v>
      </c>
      <c r="Q55">
        <v>-1.1000000000000001E-3</v>
      </c>
      <c r="R55">
        <v>-1.1000000000000001E-3</v>
      </c>
      <c r="S55">
        <v>-8.9999999999999998E-4</v>
      </c>
      <c r="T55">
        <v>-8.9999999999999998E-4</v>
      </c>
      <c r="U55">
        <v>-8.0000000000000004E-4</v>
      </c>
      <c r="V55">
        <v>-8.0000000000000004E-4</v>
      </c>
      <c r="W55">
        <v>-8.0000000000000004E-4</v>
      </c>
      <c r="X55">
        <v>-5.9999999999999995E-4</v>
      </c>
      <c r="Y55">
        <v>-5.9999999999999995E-4</v>
      </c>
      <c r="Z55">
        <v>-5.9999999999999995E-4</v>
      </c>
      <c r="AA55">
        <v>-6.9999999999999999E-4</v>
      </c>
      <c r="AB55">
        <v>-8.0000000000000004E-4</v>
      </c>
      <c r="AC55">
        <v>-8.0000000000000004E-4</v>
      </c>
      <c r="AD55">
        <v>-8.9999999999999998E-4</v>
      </c>
      <c r="AE55">
        <v>-8.9999999999999998E-4</v>
      </c>
      <c r="AF55">
        <v>-8.9999999999999998E-4</v>
      </c>
      <c r="AG55">
        <v>-8.9999999999999998E-4</v>
      </c>
      <c r="AH55">
        <v>-8.9999999999999998E-4</v>
      </c>
      <c r="AI55">
        <v>-8.9999999999999998E-4</v>
      </c>
      <c r="AJ55">
        <v>-8.9999999999999998E-4</v>
      </c>
      <c r="AK55">
        <v>-8.9999999999999998E-4</v>
      </c>
      <c r="AL55">
        <v>-8.0000000000000004E-4</v>
      </c>
      <c r="AM55">
        <v>-8.0000000000000004E-4</v>
      </c>
      <c r="AN55">
        <v>-8.0000000000000004E-4</v>
      </c>
      <c r="AO55">
        <v>-6.9999999999999999E-4</v>
      </c>
      <c r="AP55">
        <v>-8.0000000000000004E-4</v>
      </c>
      <c r="AQ55">
        <v>-8.0000000000000004E-4</v>
      </c>
      <c r="AR55">
        <v>-8.0000000000000004E-4</v>
      </c>
      <c r="AS55">
        <v>-8.0000000000000004E-4</v>
      </c>
      <c r="AT55">
        <v>-8.0000000000000004E-4</v>
      </c>
      <c r="AU55">
        <v>-8.0000000000000004E-4</v>
      </c>
      <c r="AV55">
        <v>-5.9999999999999995E-4</v>
      </c>
      <c r="AW55">
        <v>-6.9999999999999999E-4</v>
      </c>
      <c r="AX55">
        <v>-8.0000000000000004E-4</v>
      </c>
      <c r="AY55">
        <v>-5.9999999999999995E-4</v>
      </c>
      <c r="AZ55">
        <v>-8.0000000000000004E-4</v>
      </c>
      <c r="BA55">
        <v>-6.9999999999999999E-4</v>
      </c>
      <c r="BB55">
        <v>-6.9999999999999999E-4</v>
      </c>
      <c r="BC55">
        <v>-6.9999999999999999E-4</v>
      </c>
      <c r="BD55">
        <v>-6.9999999999999999E-4</v>
      </c>
      <c r="BE55">
        <v>-6.9999999999999999E-4</v>
      </c>
      <c r="BF55">
        <v>-6.9999999999999999E-4</v>
      </c>
      <c r="BG55">
        <v>-6.9999999999999999E-4</v>
      </c>
      <c r="BH55">
        <v>-6.9999999999999999E-4</v>
      </c>
      <c r="BI55">
        <v>-5.0000000000000001E-4</v>
      </c>
      <c r="BJ55">
        <v>-2.0000000000000001E-4</v>
      </c>
      <c r="BK55">
        <v>-5.9999999999999995E-4</v>
      </c>
      <c r="BL55">
        <v>-5.0000000000000001E-4</v>
      </c>
      <c r="BM55">
        <v>-5.9999999999999995E-4</v>
      </c>
      <c r="BN55">
        <v>-6.9999999999999999E-4</v>
      </c>
      <c r="BO55">
        <v>-5.9999999999999995E-4</v>
      </c>
      <c r="BP55">
        <v>-6.9999999999999999E-4</v>
      </c>
      <c r="BQ55">
        <v>-6.9999999999999999E-4</v>
      </c>
      <c r="BR55">
        <v>-6.9999999999999999E-4</v>
      </c>
      <c r="BS55">
        <v>-6.9999999999999999E-4</v>
      </c>
      <c r="BT55">
        <v>-5.9999999999999995E-4</v>
      </c>
      <c r="BU55">
        <v>-5.9999999999999995E-4</v>
      </c>
      <c r="BV55">
        <v>-5.9999999999999995E-4</v>
      </c>
      <c r="BW55">
        <v>-5.9999999999999995E-4</v>
      </c>
      <c r="BX55">
        <v>-5.9999999999999995E-4</v>
      </c>
      <c r="BY55">
        <v>-5.0000000000000001E-4</v>
      </c>
      <c r="BZ55">
        <v>-4.0000000000000002E-4</v>
      </c>
      <c r="CA55">
        <v>-6.9999999999999999E-4</v>
      </c>
      <c r="CB55">
        <v>-6.9999999999999999E-4</v>
      </c>
      <c r="CC55">
        <v>-6.9999999999999999E-4</v>
      </c>
      <c r="CD55">
        <v>-6.9999999999999999E-4</v>
      </c>
      <c r="CE55">
        <v>-6.9999999999999999E-4</v>
      </c>
      <c r="CF55">
        <v>-6.9999999999999999E-4</v>
      </c>
      <c r="CG55">
        <v>-2.9999999999999997E-4</v>
      </c>
      <c r="CH55">
        <v>-6.9999999999999999E-4</v>
      </c>
      <c r="CI55">
        <v>-6.9999999999999999E-4</v>
      </c>
      <c r="CJ55">
        <v>-5.9999999999999995E-4</v>
      </c>
      <c r="CK55">
        <v>-5.0000000000000001E-4</v>
      </c>
      <c r="CL55">
        <v>-5.0000000000000001E-4</v>
      </c>
      <c r="CM55">
        <v>-6.9999999999999999E-4</v>
      </c>
      <c r="CN55">
        <v>-5.9999999999999995E-4</v>
      </c>
      <c r="CO55">
        <v>-1E-3</v>
      </c>
      <c r="CP55">
        <v>-1.1000000000000001E-3</v>
      </c>
      <c r="CQ55">
        <v>-1E-3</v>
      </c>
      <c r="CR55">
        <v>-1.6000000000000001E-3</v>
      </c>
      <c r="CS55">
        <v>-1.6000000000000001E-3</v>
      </c>
      <c r="CT55">
        <v>-2.3E-3</v>
      </c>
      <c r="CU55">
        <v>-2.3E-3</v>
      </c>
      <c r="CV55">
        <v>-2.3999999999999998E-3</v>
      </c>
    </row>
    <row r="56" spans="1:100" x14ac:dyDescent="0.2">
      <c r="A56" t="s">
        <v>5922</v>
      </c>
      <c r="B56">
        <v>5.9999999999999995E-4</v>
      </c>
      <c r="C56">
        <v>5.9999999999999995E-4</v>
      </c>
      <c r="D56">
        <v>5.9999999999999995E-4</v>
      </c>
      <c r="E56">
        <v>8.0999999999999996E-3</v>
      </c>
      <c r="F56">
        <v>6.3E-3</v>
      </c>
      <c r="G56">
        <v>6.1000000000000004E-3</v>
      </c>
      <c r="H56">
        <v>5.8999999999999999E-3</v>
      </c>
      <c r="I56">
        <v>5.7999999999999996E-3</v>
      </c>
      <c r="J56">
        <v>6.1999999999999998E-3</v>
      </c>
      <c r="K56">
        <v>6.0000000000000001E-3</v>
      </c>
      <c r="L56">
        <v>5.8999999999999999E-3</v>
      </c>
      <c r="M56">
        <v>5.7000000000000002E-3</v>
      </c>
      <c r="N56">
        <v>5.1999999999999998E-3</v>
      </c>
      <c r="O56">
        <v>3.7000000000000002E-3</v>
      </c>
      <c r="P56">
        <v>3.3999999999999998E-3</v>
      </c>
      <c r="Q56">
        <v>3.3999999999999998E-3</v>
      </c>
      <c r="R56">
        <v>2.8999999999999998E-3</v>
      </c>
      <c r="S56">
        <v>2.7000000000000001E-3</v>
      </c>
      <c r="T56">
        <v>2.5000000000000001E-3</v>
      </c>
      <c r="U56">
        <v>2.3E-3</v>
      </c>
      <c r="V56">
        <v>2.3E-3</v>
      </c>
      <c r="W56">
        <v>2.3E-3</v>
      </c>
      <c r="X56">
        <v>2.2000000000000001E-3</v>
      </c>
      <c r="Y56">
        <v>2.2000000000000001E-3</v>
      </c>
      <c r="Z56">
        <v>2E-3</v>
      </c>
      <c r="AA56">
        <v>2.3E-3</v>
      </c>
      <c r="AB56">
        <v>2.3999999999999998E-3</v>
      </c>
      <c r="AC56">
        <v>2.5000000000000001E-3</v>
      </c>
      <c r="AD56">
        <v>2.7000000000000001E-3</v>
      </c>
      <c r="AE56">
        <v>2.5999999999999999E-3</v>
      </c>
      <c r="AF56">
        <v>2.5999999999999999E-3</v>
      </c>
      <c r="AG56">
        <v>2.8E-3</v>
      </c>
      <c r="AH56">
        <v>2.8E-3</v>
      </c>
      <c r="AI56">
        <v>2.7000000000000001E-3</v>
      </c>
      <c r="AJ56">
        <v>2.5999999999999999E-3</v>
      </c>
      <c r="AK56">
        <v>2.7000000000000001E-3</v>
      </c>
      <c r="AL56">
        <v>2.5999999999999999E-3</v>
      </c>
      <c r="AM56">
        <v>2.5999999999999999E-3</v>
      </c>
      <c r="AN56">
        <v>2.5000000000000001E-3</v>
      </c>
      <c r="AO56">
        <v>2.5999999999999999E-3</v>
      </c>
      <c r="AP56">
        <v>2.5000000000000001E-3</v>
      </c>
      <c r="AQ56">
        <v>2.3E-3</v>
      </c>
      <c r="AR56">
        <v>2.3999999999999998E-3</v>
      </c>
      <c r="AS56">
        <v>2.3999999999999998E-3</v>
      </c>
      <c r="AT56">
        <v>2.3999999999999998E-3</v>
      </c>
      <c r="AU56">
        <v>2.3999999999999998E-3</v>
      </c>
      <c r="AV56">
        <v>2.3999999999999998E-3</v>
      </c>
      <c r="AW56">
        <v>2.2000000000000001E-3</v>
      </c>
      <c r="AX56">
        <v>2.3999999999999998E-3</v>
      </c>
      <c r="AY56">
        <v>2.3999999999999998E-3</v>
      </c>
      <c r="AZ56">
        <v>2.2000000000000001E-3</v>
      </c>
      <c r="BA56">
        <v>2.2000000000000001E-3</v>
      </c>
      <c r="BB56">
        <v>2.0999999999999999E-3</v>
      </c>
      <c r="BC56">
        <v>2.0999999999999999E-3</v>
      </c>
      <c r="BD56">
        <v>2.0999999999999999E-3</v>
      </c>
      <c r="BE56">
        <v>2E-3</v>
      </c>
      <c r="BF56">
        <v>1.8E-3</v>
      </c>
      <c r="BG56">
        <v>1.9E-3</v>
      </c>
      <c r="BH56">
        <v>1.9E-3</v>
      </c>
      <c r="BI56">
        <v>1.8E-3</v>
      </c>
      <c r="BJ56">
        <v>2E-3</v>
      </c>
      <c r="BK56">
        <v>1.4E-3</v>
      </c>
      <c r="BL56">
        <v>1.5E-3</v>
      </c>
      <c r="BM56">
        <v>1.8E-3</v>
      </c>
      <c r="BN56">
        <v>1.9E-3</v>
      </c>
      <c r="BO56">
        <v>1.9E-3</v>
      </c>
      <c r="BP56">
        <v>1.8E-3</v>
      </c>
      <c r="BQ56">
        <v>1.9E-3</v>
      </c>
      <c r="BR56">
        <v>1.8E-3</v>
      </c>
      <c r="BS56">
        <v>1.6999999999999999E-3</v>
      </c>
      <c r="BT56">
        <v>1.5E-3</v>
      </c>
      <c r="BU56">
        <v>1.6000000000000001E-3</v>
      </c>
      <c r="BV56">
        <v>1.5E-3</v>
      </c>
      <c r="BW56">
        <v>1.2999999999999999E-3</v>
      </c>
      <c r="BX56">
        <v>1.2999999999999999E-3</v>
      </c>
      <c r="BY56">
        <v>1.2999999999999999E-3</v>
      </c>
      <c r="BZ56">
        <v>1.1999999999999999E-3</v>
      </c>
      <c r="CA56">
        <v>1.1999999999999999E-3</v>
      </c>
      <c r="CB56">
        <v>1.1999999999999999E-3</v>
      </c>
      <c r="CC56">
        <v>1.1000000000000001E-3</v>
      </c>
      <c r="CD56">
        <v>1.1999999999999999E-3</v>
      </c>
      <c r="CE56">
        <v>1.1000000000000001E-3</v>
      </c>
      <c r="CF56">
        <v>1E-3</v>
      </c>
      <c r="CG56">
        <v>8.9999999999999998E-4</v>
      </c>
      <c r="CH56">
        <v>8.9999999999999998E-4</v>
      </c>
      <c r="CI56">
        <v>8.9999999999999998E-4</v>
      </c>
      <c r="CJ56">
        <v>8.9999999999999998E-4</v>
      </c>
      <c r="CK56">
        <v>8.0000000000000004E-4</v>
      </c>
      <c r="CL56">
        <v>8.0000000000000004E-4</v>
      </c>
      <c r="CM56">
        <v>8.0000000000000004E-4</v>
      </c>
      <c r="CN56">
        <v>8.0000000000000004E-4</v>
      </c>
      <c r="CO56">
        <v>8.0000000000000004E-4</v>
      </c>
      <c r="CP56">
        <v>8.0000000000000004E-4</v>
      </c>
      <c r="CQ56">
        <v>5.0000000000000001E-4</v>
      </c>
      <c r="CR56">
        <v>5.0000000000000001E-4</v>
      </c>
      <c r="CS56">
        <v>2.9999999999999997E-4</v>
      </c>
      <c r="CT56">
        <v>5.0000000000000001E-4</v>
      </c>
      <c r="CU56">
        <v>2.9999999999999997E-4</v>
      </c>
      <c r="CV56">
        <v>4.0000000000000002E-4</v>
      </c>
    </row>
    <row r="57" spans="1:100" x14ac:dyDescent="0.2">
      <c r="A57" t="s">
        <v>5923</v>
      </c>
      <c r="B57">
        <v>-6.9999999999999999E-4</v>
      </c>
      <c r="C57">
        <v>-6.9999999999999999E-4</v>
      </c>
      <c r="D57">
        <v>-6.9999999999999999E-4</v>
      </c>
      <c r="E57">
        <v>-3.5999999999999997E-2</v>
      </c>
      <c r="F57">
        <v>-1.8200000000000001E-2</v>
      </c>
      <c r="G57">
        <v>-1.1599999999999999E-2</v>
      </c>
      <c r="H57">
        <v>-9.4000000000000004E-3</v>
      </c>
      <c r="I57">
        <v>-6.0000000000000001E-3</v>
      </c>
      <c r="J57">
        <v>-4.7000000000000002E-3</v>
      </c>
      <c r="K57">
        <v>-2.5000000000000001E-3</v>
      </c>
      <c r="L57">
        <v>-2.2000000000000001E-3</v>
      </c>
      <c r="M57">
        <v>-1.1000000000000001E-3</v>
      </c>
      <c r="N57">
        <v>-8.0000000000000004E-4</v>
      </c>
      <c r="O57">
        <v>-1E-4</v>
      </c>
      <c r="P57">
        <v>-2.9999999999999997E-4</v>
      </c>
      <c r="Q57">
        <v>1E-4</v>
      </c>
      <c r="R57">
        <v>6.9999999999999999E-4</v>
      </c>
      <c r="S57">
        <v>8.9999999999999998E-4</v>
      </c>
      <c r="T57">
        <v>1E-3</v>
      </c>
      <c r="U57">
        <v>8.9999999999999998E-4</v>
      </c>
      <c r="V57">
        <v>1.1000000000000001E-3</v>
      </c>
      <c r="W57">
        <v>1.2999999999999999E-3</v>
      </c>
      <c r="X57">
        <v>1.4E-3</v>
      </c>
      <c r="Y57">
        <v>1.6000000000000001E-3</v>
      </c>
      <c r="Z57">
        <v>1.6000000000000001E-3</v>
      </c>
      <c r="AA57">
        <v>1.6999999999999999E-3</v>
      </c>
      <c r="AB57">
        <v>1.4E-3</v>
      </c>
      <c r="AC57">
        <v>1.1000000000000001E-3</v>
      </c>
      <c r="AD57">
        <v>1.1999999999999999E-3</v>
      </c>
      <c r="AE57">
        <v>1.2999999999999999E-3</v>
      </c>
      <c r="AF57">
        <v>1.1999999999999999E-3</v>
      </c>
      <c r="AG57">
        <v>1.5E-3</v>
      </c>
      <c r="AH57">
        <v>1.6000000000000001E-3</v>
      </c>
      <c r="AI57">
        <v>1.6999999999999999E-3</v>
      </c>
      <c r="AJ57">
        <v>1.6999999999999999E-3</v>
      </c>
      <c r="AK57">
        <v>1.6000000000000001E-3</v>
      </c>
      <c r="AL57">
        <v>1.6999999999999999E-3</v>
      </c>
      <c r="AM57">
        <v>1.8E-3</v>
      </c>
      <c r="AN57">
        <v>1.6999999999999999E-3</v>
      </c>
      <c r="AO57">
        <v>1.8E-3</v>
      </c>
      <c r="AP57">
        <v>1.9E-3</v>
      </c>
      <c r="AQ57">
        <v>2E-3</v>
      </c>
      <c r="AR57">
        <v>2E-3</v>
      </c>
      <c r="AS57">
        <v>1.9E-3</v>
      </c>
      <c r="AT57">
        <v>1.9E-3</v>
      </c>
      <c r="AU57">
        <v>2E-3</v>
      </c>
      <c r="AV57">
        <v>2E-3</v>
      </c>
      <c r="AW57">
        <v>1.9E-3</v>
      </c>
      <c r="AX57">
        <v>2E-3</v>
      </c>
      <c r="AY57">
        <v>2.2000000000000001E-3</v>
      </c>
      <c r="AZ57">
        <v>2.0999999999999999E-3</v>
      </c>
      <c r="BA57">
        <v>2.3E-3</v>
      </c>
      <c r="BB57">
        <v>2.5999999999999999E-3</v>
      </c>
      <c r="BC57">
        <v>2.5999999999999999E-3</v>
      </c>
      <c r="BD57">
        <v>2.5999999999999999E-3</v>
      </c>
      <c r="BE57">
        <v>2.5999999999999999E-3</v>
      </c>
      <c r="BF57">
        <v>2.5999999999999999E-3</v>
      </c>
      <c r="BG57">
        <v>2.5999999999999999E-3</v>
      </c>
      <c r="BH57">
        <v>2.7000000000000001E-3</v>
      </c>
      <c r="BI57">
        <v>2.5999999999999999E-3</v>
      </c>
      <c r="BJ57">
        <v>2.5999999999999999E-3</v>
      </c>
      <c r="BK57">
        <v>2.5999999999999999E-3</v>
      </c>
      <c r="BL57">
        <v>2.5999999999999999E-3</v>
      </c>
      <c r="BM57">
        <v>2.8E-3</v>
      </c>
      <c r="BN57">
        <v>2.8999999999999998E-3</v>
      </c>
      <c r="BO57">
        <v>3.0000000000000001E-3</v>
      </c>
      <c r="BP57">
        <v>3.2000000000000002E-3</v>
      </c>
      <c r="BQ57">
        <v>3.3E-3</v>
      </c>
      <c r="BR57">
        <v>3.3E-3</v>
      </c>
      <c r="BS57">
        <v>3.3999999999999998E-3</v>
      </c>
      <c r="BT57">
        <v>3.3999999999999998E-3</v>
      </c>
      <c r="BU57">
        <v>3.2000000000000002E-3</v>
      </c>
      <c r="BV57">
        <v>3.2000000000000002E-3</v>
      </c>
      <c r="BW57">
        <v>3.5000000000000001E-3</v>
      </c>
      <c r="BX57">
        <v>3.5999999999999999E-3</v>
      </c>
      <c r="BY57">
        <v>3.7000000000000002E-3</v>
      </c>
      <c r="BZ57">
        <v>3.3999999999999998E-3</v>
      </c>
      <c r="CA57">
        <v>3.3E-3</v>
      </c>
      <c r="CB57">
        <v>3.5999999999999999E-3</v>
      </c>
      <c r="CC57">
        <v>3.8E-3</v>
      </c>
      <c r="CD57">
        <v>3.7000000000000002E-3</v>
      </c>
      <c r="CE57">
        <v>3.5999999999999999E-3</v>
      </c>
      <c r="CF57">
        <v>3.2000000000000002E-3</v>
      </c>
      <c r="CG57">
        <v>2.7000000000000001E-3</v>
      </c>
      <c r="CH57">
        <v>2.5999999999999999E-3</v>
      </c>
      <c r="CI57">
        <v>2.5000000000000001E-3</v>
      </c>
      <c r="CJ57">
        <v>2.5000000000000001E-3</v>
      </c>
      <c r="CK57">
        <v>2.3E-3</v>
      </c>
      <c r="CL57">
        <v>2.0999999999999999E-3</v>
      </c>
      <c r="CM57">
        <v>2.2000000000000001E-3</v>
      </c>
      <c r="CN57">
        <v>2.0999999999999999E-3</v>
      </c>
      <c r="CO57">
        <v>1.9E-3</v>
      </c>
      <c r="CP57">
        <v>1.1999999999999999E-3</v>
      </c>
      <c r="CQ57">
        <v>8.0000000000000004E-4</v>
      </c>
      <c r="CR57">
        <v>8.9999999999999998E-4</v>
      </c>
      <c r="CS57">
        <v>1E-3</v>
      </c>
      <c r="CT57">
        <v>2.0000000000000001E-4</v>
      </c>
      <c r="CU57">
        <v>-1.1999999999999999E-3</v>
      </c>
      <c r="CV57">
        <v>-3.0999999999999999E-3</v>
      </c>
    </row>
    <row r="58" spans="1:100" x14ac:dyDescent="0.2">
      <c r="A58" t="s">
        <v>5924</v>
      </c>
      <c r="B58">
        <v>1E-4</v>
      </c>
      <c r="C58">
        <v>1E-4</v>
      </c>
      <c r="D58">
        <v>1E-4</v>
      </c>
      <c r="E58">
        <v>-1.7000000000000001E-2</v>
      </c>
      <c r="F58">
        <v>-7.0000000000000001E-3</v>
      </c>
      <c r="G58">
        <v>-2.7000000000000001E-3</v>
      </c>
      <c r="H58">
        <v>-1.2999999999999999E-3</v>
      </c>
      <c r="I58">
        <v>1.1000000000000001E-3</v>
      </c>
      <c r="J58">
        <v>2.5000000000000001E-3</v>
      </c>
      <c r="K58">
        <v>4.3E-3</v>
      </c>
      <c r="L58">
        <v>4.1999999999999997E-3</v>
      </c>
      <c r="M58">
        <v>5.1000000000000004E-3</v>
      </c>
      <c r="N58">
        <v>4.8999999999999998E-3</v>
      </c>
      <c r="O58">
        <v>3.8999999999999998E-3</v>
      </c>
      <c r="P58">
        <v>3.8E-3</v>
      </c>
      <c r="Q58">
        <v>3.8999999999999998E-3</v>
      </c>
      <c r="R58">
        <v>4.0000000000000001E-3</v>
      </c>
      <c r="S58">
        <v>3.8999999999999998E-3</v>
      </c>
      <c r="T58">
        <v>3.8999999999999998E-3</v>
      </c>
      <c r="U58">
        <v>3.3999999999999998E-3</v>
      </c>
      <c r="V58">
        <v>3.7000000000000002E-3</v>
      </c>
      <c r="W58">
        <v>3.7000000000000002E-3</v>
      </c>
      <c r="X58">
        <v>3.8E-3</v>
      </c>
      <c r="Y58">
        <v>4.0000000000000001E-3</v>
      </c>
      <c r="Z58">
        <v>4.1000000000000003E-3</v>
      </c>
      <c r="AA58">
        <v>4.1000000000000003E-3</v>
      </c>
      <c r="AB58">
        <v>3.7000000000000002E-3</v>
      </c>
      <c r="AC58">
        <v>3.2000000000000002E-3</v>
      </c>
      <c r="AD58">
        <v>3.3999999999999998E-3</v>
      </c>
      <c r="AE58">
        <v>3.5999999999999999E-3</v>
      </c>
      <c r="AF58">
        <v>3.5999999999999999E-3</v>
      </c>
      <c r="AG58">
        <v>4.0000000000000001E-3</v>
      </c>
      <c r="AH58">
        <v>4.1000000000000003E-3</v>
      </c>
      <c r="AI58">
        <v>4.3E-3</v>
      </c>
      <c r="AJ58">
        <v>4.1999999999999997E-3</v>
      </c>
      <c r="AK58">
        <v>4.1000000000000003E-3</v>
      </c>
      <c r="AL58">
        <v>4.1999999999999997E-3</v>
      </c>
      <c r="AM58">
        <v>4.4000000000000003E-3</v>
      </c>
      <c r="AN58">
        <v>4.1999999999999997E-3</v>
      </c>
      <c r="AO58">
        <v>4.3E-3</v>
      </c>
      <c r="AP58">
        <v>4.4000000000000003E-3</v>
      </c>
      <c r="AQ58">
        <v>4.5999999999999999E-3</v>
      </c>
      <c r="AR58">
        <v>4.5999999999999999E-3</v>
      </c>
      <c r="AS58">
        <v>4.4999999999999997E-3</v>
      </c>
      <c r="AT58">
        <v>4.4999999999999997E-3</v>
      </c>
      <c r="AU58">
        <v>4.5999999999999999E-3</v>
      </c>
      <c r="AV58">
        <v>4.7000000000000002E-3</v>
      </c>
      <c r="AW58">
        <v>4.5999999999999999E-3</v>
      </c>
      <c r="AX58">
        <v>4.7000000000000002E-3</v>
      </c>
      <c r="AY58">
        <v>4.8999999999999998E-3</v>
      </c>
      <c r="AZ58">
        <v>4.7999999999999996E-3</v>
      </c>
      <c r="BA58">
        <v>5.0000000000000001E-3</v>
      </c>
      <c r="BB58">
        <v>5.3E-3</v>
      </c>
      <c r="BC58">
        <v>5.4000000000000003E-3</v>
      </c>
      <c r="BD58">
        <v>5.4000000000000003E-3</v>
      </c>
      <c r="BE58">
        <v>5.3E-3</v>
      </c>
      <c r="BF58">
        <v>5.4000000000000003E-3</v>
      </c>
      <c r="BG58">
        <v>5.4999999999999997E-3</v>
      </c>
      <c r="BH58">
        <v>5.5999999999999999E-3</v>
      </c>
      <c r="BI58">
        <v>5.4000000000000003E-3</v>
      </c>
      <c r="BJ58">
        <v>5.4000000000000003E-3</v>
      </c>
      <c r="BK58">
        <v>5.4000000000000003E-3</v>
      </c>
      <c r="BL58">
        <v>5.3E-3</v>
      </c>
      <c r="BM58">
        <v>5.7000000000000002E-3</v>
      </c>
      <c r="BN58">
        <v>5.8999999999999999E-3</v>
      </c>
      <c r="BO58">
        <v>6.1000000000000004E-3</v>
      </c>
      <c r="BP58">
        <v>6.6E-3</v>
      </c>
      <c r="BQ58">
        <v>6.7000000000000002E-3</v>
      </c>
      <c r="BR58">
        <v>6.7000000000000002E-3</v>
      </c>
      <c r="BS58">
        <v>6.7999999999999996E-3</v>
      </c>
      <c r="BT58">
        <v>6.8999999999999999E-3</v>
      </c>
      <c r="BU58">
        <v>6.4999999999999997E-3</v>
      </c>
      <c r="BV58">
        <v>6.4999999999999997E-3</v>
      </c>
      <c r="BW58">
        <v>7.0000000000000001E-3</v>
      </c>
      <c r="BX58">
        <v>7.3000000000000001E-3</v>
      </c>
      <c r="BY58">
        <v>7.4999999999999997E-3</v>
      </c>
      <c r="BZ58">
        <v>7.1000000000000004E-3</v>
      </c>
      <c r="CA58">
        <v>7.1999999999999998E-3</v>
      </c>
      <c r="CB58">
        <v>7.7999999999999996E-3</v>
      </c>
      <c r="CC58">
        <v>8.2000000000000007E-3</v>
      </c>
      <c r="CD58">
        <v>8.3000000000000001E-3</v>
      </c>
      <c r="CE58">
        <v>8.3000000000000001E-3</v>
      </c>
      <c r="CF58">
        <v>7.7000000000000002E-3</v>
      </c>
      <c r="CG58">
        <v>7.1000000000000004E-3</v>
      </c>
      <c r="CH58">
        <v>7.1000000000000004E-3</v>
      </c>
      <c r="CI58">
        <v>7.4000000000000003E-3</v>
      </c>
      <c r="CJ58">
        <v>7.4000000000000003E-3</v>
      </c>
      <c r="CK58">
        <v>7.1999999999999998E-3</v>
      </c>
      <c r="CL58">
        <v>6.8999999999999999E-3</v>
      </c>
      <c r="CM58">
        <v>8.0000000000000002E-3</v>
      </c>
      <c r="CN58">
        <v>8.2000000000000007E-3</v>
      </c>
      <c r="CO58">
        <v>8.5000000000000006E-3</v>
      </c>
      <c r="CP58">
        <v>7.7999999999999996E-3</v>
      </c>
      <c r="CQ58">
        <v>7.0000000000000001E-3</v>
      </c>
      <c r="CR58">
        <v>7.6E-3</v>
      </c>
      <c r="CS58">
        <v>6.8999999999999999E-3</v>
      </c>
      <c r="CT58">
        <v>8.2000000000000007E-3</v>
      </c>
      <c r="CU58">
        <v>6.4000000000000003E-3</v>
      </c>
      <c r="CV58">
        <v>7.9000000000000008E-3</v>
      </c>
    </row>
    <row r="61" spans="1:100" x14ac:dyDescent="0.2">
      <c r="A61" t="s">
        <v>5909</v>
      </c>
      <c r="B61">
        <v>-0.11310000000000001</v>
      </c>
      <c r="C61">
        <v>-0.11310000000000001</v>
      </c>
      <c r="D61">
        <v>-0.11310000000000001</v>
      </c>
      <c r="E61">
        <v>-1.8223</v>
      </c>
      <c r="F61">
        <v>-0.66279999999999994</v>
      </c>
      <c r="G61">
        <v>-0.82140000000000002</v>
      </c>
      <c r="H61">
        <v>-0.68100000000000005</v>
      </c>
      <c r="I61">
        <v>-0.59719999999999995</v>
      </c>
      <c r="J61">
        <v>-0.62260000000000004</v>
      </c>
      <c r="K61">
        <v>-0.57969999999999999</v>
      </c>
      <c r="L61">
        <v>-0.56640000000000001</v>
      </c>
      <c r="M61">
        <v>-0.61829999999999996</v>
      </c>
      <c r="N61">
        <v>-0.5907</v>
      </c>
      <c r="O61">
        <v>-0.3221</v>
      </c>
      <c r="P61">
        <v>-0.31580000000000003</v>
      </c>
      <c r="Q61">
        <v>-0.39389999999999997</v>
      </c>
      <c r="R61">
        <v>-0.3528</v>
      </c>
      <c r="S61">
        <v>-0.26950000000000002</v>
      </c>
      <c r="T61">
        <v>-0.28260000000000002</v>
      </c>
      <c r="U61">
        <v>-0.25829999999999997</v>
      </c>
      <c r="V61">
        <v>-0.254</v>
      </c>
      <c r="W61">
        <v>-0.1885</v>
      </c>
      <c r="X61">
        <v>-0.1741</v>
      </c>
      <c r="Y61">
        <v>-0.1706</v>
      </c>
      <c r="Z61">
        <v>-0.17030000000000001</v>
      </c>
      <c r="AA61">
        <v>-0.1575</v>
      </c>
      <c r="AB61">
        <v>-0.16520000000000001</v>
      </c>
      <c r="AC61">
        <v>-0.16889999999999999</v>
      </c>
      <c r="AD61">
        <v>-0.16750000000000001</v>
      </c>
      <c r="AE61">
        <v>-0.17399999999999999</v>
      </c>
      <c r="AF61">
        <v>-0.1779</v>
      </c>
      <c r="AG61">
        <v>-0.16400000000000001</v>
      </c>
      <c r="AH61">
        <v>-0.17100000000000001</v>
      </c>
      <c r="AI61">
        <v>-0.1605</v>
      </c>
      <c r="AJ61">
        <v>-0.1633</v>
      </c>
      <c r="AK61">
        <v>-0.14649999999999999</v>
      </c>
      <c r="AL61">
        <v>-0.1409</v>
      </c>
      <c r="AM61">
        <v>-0.1368</v>
      </c>
      <c r="AN61">
        <v>-0.13800000000000001</v>
      </c>
      <c r="AO61">
        <v>-0.14410000000000001</v>
      </c>
      <c r="AP61">
        <v>-0.1356</v>
      </c>
      <c r="AQ61">
        <v>-0.14419999999999999</v>
      </c>
      <c r="AR61">
        <v>-0.1489</v>
      </c>
      <c r="AS61">
        <v>-0.1489</v>
      </c>
      <c r="AT61">
        <v>-0.1331</v>
      </c>
      <c r="AU61">
        <v>-0.13239999999999999</v>
      </c>
      <c r="AV61">
        <v>-0.1265</v>
      </c>
      <c r="AW61">
        <v>-0.13350000000000001</v>
      </c>
      <c r="AX61">
        <v>-0.1229</v>
      </c>
      <c r="AY61">
        <v>-0.12740000000000001</v>
      </c>
      <c r="AZ61">
        <v>-0.13500000000000001</v>
      </c>
      <c r="BA61">
        <v>-0.1182</v>
      </c>
      <c r="BB61">
        <v>-0.1183</v>
      </c>
      <c r="BC61">
        <v>-0.1118</v>
      </c>
      <c r="BD61">
        <v>-0.1174</v>
      </c>
      <c r="BE61">
        <v>-0.114</v>
      </c>
      <c r="BF61">
        <v>-0.1273</v>
      </c>
      <c r="BG61">
        <v>-0.1208</v>
      </c>
      <c r="BH61">
        <v>-0.1231</v>
      </c>
      <c r="BI61">
        <v>-0.1211</v>
      </c>
      <c r="BJ61">
        <v>-0.1258</v>
      </c>
      <c r="BK61">
        <v>-0.13120000000000001</v>
      </c>
      <c r="BL61">
        <v>-0.1326</v>
      </c>
      <c r="BM61">
        <v>-0.1356</v>
      </c>
      <c r="BN61">
        <v>-0.14660000000000001</v>
      </c>
      <c r="BO61">
        <v>-0.16889999999999999</v>
      </c>
      <c r="BP61">
        <v>-0.16789999999999999</v>
      </c>
      <c r="BQ61">
        <v>-0.15359999999999999</v>
      </c>
      <c r="BR61">
        <v>-0.1263</v>
      </c>
      <c r="BS61">
        <v>-0.1023</v>
      </c>
      <c r="BT61">
        <v>-8.7599999999999997E-2</v>
      </c>
      <c r="BU61">
        <v>-7.7600000000000002E-2</v>
      </c>
      <c r="BV61">
        <v>-7.2599999999999998E-2</v>
      </c>
      <c r="BW61">
        <v>-5.9499999999999997E-2</v>
      </c>
      <c r="BX61">
        <v>-6.6500000000000004E-2</v>
      </c>
      <c r="BY61">
        <v>-6.6400000000000001E-2</v>
      </c>
      <c r="BZ61">
        <v>-0.104</v>
      </c>
      <c r="CA61">
        <v>-8.5800000000000001E-2</v>
      </c>
      <c r="CB61">
        <v>-0.1164</v>
      </c>
      <c r="CC61">
        <v>-0.13589999999999999</v>
      </c>
      <c r="CD61">
        <v>-0.12740000000000001</v>
      </c>
      <c r="CE61">
        <v>-0.14680000000000001</v>
      </c>
      <c r="CF61">
        <v>-0.15229999999999999</v>
      </c>
      <c r="CG61">
        <v>-0.15820000000000001</v>
      </c>
      <c r="CH61">
        <v>-0.13270000000000001</v>
      </c>
      <c r="CI61">
        <v>-0.1399</v>
      </c>
      <c r="CJ61">
        <v>-0.11840000000000001</v>
      </c>
      <c r="CK61">
        <v>-9.7900000000000001E-2</v>
      </c>
      <c r="CL61">
        <v>-9.9699999999999997E-2</v>
      </c>
      <c r="CM61">
        <v>-0.17699999999999999</v>
      </c>
      <c r="CN61">
        <v>-0.19500000000000001</v>
      </c>
      <c r="CO61">
        <v>-0.21579999999999999</v>
      </c>
      <c r="CP61">
        <v>-0.21560000000000001</v>
      </c>
      <c r="CQ61">
        <v>-0.14169999999999999</v>
      </c>
      <c r="CR61">
        <v>-0.1477</v>
      </c>
      <c r="CS61">
        <v>-0.11269999999999999</v>
      </c>
      <c r="CT61">
        <v>-0.17660000000000001</v>
      </c>
      <c r="CU61">
        <v>-0.20100000000000001</v>
      </c>
      <c r="CV61">
        <v>-0.40989999999999999</v>
      </c>
    </row>
    <row r="62" spans="1:100" x14ac:dyDescent="0.2">
      <c r="A62" t="s">
        <v>5910</v>
      </c>
      <c r="B62">
        <v>2.9600000000000001E-2</v>
      </c>
      <c r="C62">
        <v>2.9600000000000001E-2</v>
      </c>
      <c r="D62">
        <v>2.9600000000000001E-2</v>
      </c>
      <c r="E62">
        <v>-0.26219999999999999</v>
      </c>
      <c r="F62">
        <v>0.37359999999999999</v>
      </c>
      <c r="G62">
        <v>-9.6299999999999997E-2</v>
      </c>
      <c r="H62">
        <v>-8.6E-3</v>
      </c>
      <c r="I62">
        <v>-4.2200000000000001E-2</v>
      </c>
      <c r="J62">
        <v>-8.3299999999999999E-2</v>
      </c>
      <c r="K62">
        <v>-9.4899999999999998E-2</v>
      </c>
      <c r="L62">
        <v>-0.13800000000000001</v>
      </c>
      <c r="M62">
        <v>-0.21890000000000001</v>
      </c>
      <c r="N62">
        <v>-0.25750000000000001</v>
      </c>
      <c r="O62">
        <v>-6.2E-2</v>
      </c>
      <c r="P62">
        <v>-5.8799999999999998E-2</v>
      </c>
      <c r="Q62">
        <v>-0.1938</v>
      </c>
      <c r="R62">
        <v>-0.1903</v>
      </c>
      <c r="S62">
        <v>-0.1222</v>
      </c>
      <c r="T62">
        <v>-0.15429999999999999</v>
      </c>
      <c r="U62">
        <v>-0.1489</v>
      </c>
      <c r="V62">
        <v>-0.14599999999999999</v>
      </c>
      <c r="W62">
        <v>-8.4500000000000006E-2</v>
      </c>
      <c r="X62">
        <v>-7.0000000000000007E-2</v>
      </c>
      <c r="Y62">
        <v>-6.6600000000000006E-2</v>
      </c>
      <c r="Z62">
        <v>-7.0699999999999999E-2</v>
      </c>
      <c r="AA62">
        <v>-5.8999999999999997E-2</v>
      </c>
      <c r="AB62">
        <v>-6.6400000000000001E-2</v>
      </c>
      <c r="AC62">
        <v>-6.9099999999999995E-2</v>
      </c>
      <c r="AD62">
        <v>-6.6400000000000001E-2</v>
      </c>
      <c r="AE62">
        <v>-7.2599999999999998E-2</v>
      </c>
      <c r="AF62">
        <v>-7.5300000000000006E-2</v>
      </c>
      <c r="AG62">
        <v>-5.5500000000000001E-2</v>
      </c>
      <c r="AH62">
        <v>-5.91E-2</v>
      </c>
      <c r="AI62">
        <v>-4.6800000000000001E-2</v>
      </c>
      <c r="AJ62">
        <v>-0.05</v>
      </c>
      <c r="AK62">
        <v>-3.2000000000000001E-2</v>
      </c>
      <c r="AL62">
        <v>-2.52E-2</v>
      </c>
      <c r="AM62">
        <v>-2.06E-2</v>
      </c>
      <c r="AN62">
        <v>-2.2499999999999999E-2</v>
      </c>
      <c r="AO62">
        <v>-2.9700000000000001E-2</v>
      </c>
      <c r="AP62">
        <v>-2.2599999999999999E-2</v>
      </c>
      <c r="AQ62">
        <v>-3.15E-2</v>
      </c>
      <c r="AR62">
        <v>-3.6700000000000003E-2</v>
      </c>
      <c r="AS62">
        <v>-3.7199999999999997E-2</v>
      </c>
      <c r="AT62">
        <v>-2.3300000000000001E-2</v>
      </c>
      <c r="AU62">
        <v>-2.1600000000000001E-2</v>
      </c>
      <c r="AV62">
        <v>-1.7000000000000001E-2</v>
      </c>
      <c r="AW62">
        <v>-2.4E-2</v>
      </c>
      <c r="AX62">
        <v>-9.4000000000000004E-3</v>
      </c>
      <c r="AY62">
        <v>-1.4200000000000001E-2</v>
      </c>
      <c r="AZ62">
        <v>-2.2100000000000002E-2</v>
      </c>
      <c r="BA62">
        <v>-2.7000000000000001E-3</v>
      </c>
      <c r="BB62">
        <v>-3.0000000000000001E-3</v>
      </c>
      <c r="BC62">
        <v>3.8999999999999998E-3</v>
      </c>
      <c r="BD62">
        <v>-3.0000000000000001E-3</v>
      </c>
      <c r="BE62">
        <v>-5.9999999999999995E-4</v>
      </c>
      <c r="BF62">
        <v>-1.4500000000000001E-2</v>
      </c>
      <c r="BG62">
        <v>-1.09E-2</v>
      </c>
      <c r="BH62">
        <v>-1.5900000000000001E-2</v>
      </c>
      <c r="BI62">
        <v>-1.4E-2</v>
      </c>
      <c r="BJ62">
        <v>-2.2200000000000001E-2</v>
      </c>
      <c r="BK62">
        <v>-2.8400000000000002E-2</v>
      </c>
      <c r="BL62">
        <v>-3.1099999999999999E-2</v>
      </c>
      <c r="BM62">
        <v>-2.9399999999999999E-2</v>
      </c>
      <c r="BN62">
        <v>-3.2500000000000001E-2</v>
      </c>
      <c r="BO62">
        <v>-5.16E-2</v>
      </c>
      <c r="BP62">
        <v>-4.7199999999999999E-2</v>
      </c>
      <c r="BQ62">
        <v>-3.0200000000000001E-2</v>
      </c>
      <c r="BR62">
        <v>-3.2000000000000002E-3</v>
      </c>
      <c r="BS62">
        <v>2.24E-2</v>
      </c>
      <c r="BT62">
        <v>3.3000000000000002E-2</v>
      </c>
      <c r="BU62">
        <v>4.4200000000000003E-2</v>
      </c>
      <c r="BV62">
        <v>4.8800000000000003E-2</v>
      </c>
      <c r="BW62">
        <v>5.3499999999999999E-2</v>
      </c>
      <c r="BX62">
        <v>4.8000000000000001E-2</v>
      </c>
      <c r="BY62">
        <v>5.0599999999999999E-2</v>
      </c>
      <c r="BZ62">
        <v>1.1299999999999999E-2</v>
      </c>
      <c r="CA62">
        <v>3.4700000000000002E-2</v>
      </c>
      <c r="CB62">
        <v>6.4999999999999997E-3</v>
      </c>
      <c r="CC62">
        <v>-5.8999999999999999E-3</v>
      </c>
      <c r="CD62">
        <v>9.1000000000000004E-3</v>
      </c>
      <c r="CE62">
        <v>-1.6500000000000001E-2</v>
      </c>
      <c r="CF62">
        <v>-2.5399999999999999E-2</v>
      </c>
      <c r="CG62">
        <v>-3.8199999999999998E-2</v>
      </c>
      <c r="CH62">
        <v>-1.11E-2</v>
      </c>
      <c r="CI62">
        <v>-8.8999999999999999E-3</v>
      </c>
      <c r="CJ62">
        <v>1.67E-2</v>
      </c>
      <c r="CK62">
        <v>4.1500000000000002E-2</v>
      </c>
      <c r="CL62">
        <v>4.0099999999999997E-2</v>
      </c>
      <c r="CM62">
        <v>-2.0199999999999999E-2</v>
      </c>
      <c r="CN62">
        <v>-2.6200000000000001E-2</v>
      </c>
      <c r="CO62">
        <v>-3.5499999999999997E-2</v>
      </c>
      <c r="CP62">
        <v>-2.4299999999999999E-2</v>
      </c>
      <c r="CQ62">
        <v>5.7200000000000001E-2</v>
      </c>
      <c r="CR62">
        <v>7.4999999999999997E-2</v>
      </c>
      <c r="CS62">
        <v>9.4299999999999995E-2</v>
      </c>
      <c r="CT62">
        <v>0.1366</v>
      </c>
      <c r="CU62">
        <v>2.7E-2</v>
      </c>
      <c r="CV62">
        <v>-6.4000000000000001E-2</v>
      </c>
    </row>
    <row r="63" spans="1:100" x14ac:dyDescent="0.2">
      <c r="A63" t="s">
        <v>5911</v>
      </c>
      <c r="B63">
        <v>-2.12E-2</v>
      </c>
      <c r="C63">
        <v>-2.12E-2</v>
      </c>
      <c r="D63">
        <v>-2.12E-2</v>
      </c>
      <c r="E63">
        <v>-0.8024</v>
      </c>
      <c r="F63">
        <v>-0.39700000000000002</v>
      </c>
      <c r="G63">
        <v>-0.3574</v>
      </c>
      <c r="H63">
        <v>-0.2409</v>
      </c>
      <c r="I63">
        <v>-0.25</v>
      </c>
      <c r="J63">
        <v>-0.24690000000000001</v>
      </c>
      <c r="K63">
        <v>-0.2676</v>
      </c>
      <c r="L63">
        <v>-0.26540000000000002</v>
      </c>
      <c r="M63">
        <v>-0.23469999999999999</v>
      </c>
      <c r="N63">
        <v>-0.2427</v>
      </c>
      <c r="O63">
        <v>-0.12280000000000001</v>
      </c>
      <c r="P63">
        <v>-0.106</v>
      </c>
      <c r="Q63">
        <v>-0.16239999999999999</v>
      </c>
      <c r="R63">
        <v>-0.1477</v>
      </c>
      <c r="S63">
        <v>-0.10780000000000001</v>
      </c>
      <c r="T63">
        <v>-0.1202</v>
      </c>
      <c r="U63">
        <v>-0.13220000000000001</v>
      </c>
      <c r="V63">
        <v>-0.14699999999999999</v>
      </c>
      <c r="W63">
        <v>-0.1048</v>
      </c>
      <c r="X63">
        <v>-9.8000000000000004E-2</v>
      </c>
      <c r="Y63">
        <v>-9.5799999999999996E-2</v>
      </c>
      <c r="Z63">
        <v>-0.11849999999999999</v>
      </c>
      <c r="AA63">
        <v>-0.1133</v>
      </c>
      <c r="AB63">
        <v>-0.1101</v>
      </c>
      <c r="AC63">
        <v>-0.1138</v>
      </c>
      <c r="AD63">
        <v>-0.12529999999999999</v>
      </c>
      <c r="AE63">
        <v>-0.11840000000000001</v>
      </c>
      <c r="AF63">
        <v>-0.12870000000000001</v>
      </c>
      <c r="AG63">
        <v>-0.1305</v>
      </c>
      <c r="AH63">
        <v>-0.1353</v>
      </c>
      <c r="AI63">
        <v>-0.13439999999999999</v>
      </c>
      <c r="AJ63">
        <v>-0.13439999999999999</v>
      </c>
      <c r="AK63">
        <v>-0.11219999999999999</v>
      </c>
      <c r="AL63">
        <v>-0.1114</v>
      </c>
      <c r="AM63">
        <v>-9.5600000000000004E-2</v>
      </c>
      <c r="AN63">
        <v>-9.8000000000000004E-2</v>
      </c>
      <c r="AO63">
        <v>-9.5200000000000007E-2</v>
      </c>
      <c r="AP63">
        <v>-9.8299999999999998E-2</v>
      </c>
      <c r="AQ63">
        <v>-9.2200000000000004E-2</v>
      </c>
      <c r="AR63">
        <v>-8.4599999999999995E-2</v>
      </c>
      <c r="AS63">
        <v>-9.5399999999999999E-2</v>
      </c>
      <c r="AT63">
        <v>-9.2700000000000005E-2</v>
      </c>
      <c r="AU63">
        <v>-9.8799999999999999E-2</v>
      </c>
      <c r="AV63">
        <v>-0.1053</v>
      </c>
      <c r="AW63">
        <v>-0.1038</v>
      </c>
      <c r="AX63">
        <v>-8.9700000000000002E-2</v>
      </c>
      <c r="AY63">
        <v>-8.9399999999999993E-2</v>
      </c>
      <c r="AZ63">
        <v>-9.3799999999999994E-2</v>
      </c>
      <c r="BA63">
        <v>-8.2600000000000007E-2</v>
      </c>
      <c r="BB63">
        <v>-8.1900000000000001E-2</v>
      </c>
      <c r="BC63">
        <v>-8.2799999999999999E-2</v>
      </c>
      <c r="BD63">
        <v>-8.2799999999999999E-2</v>
      </c>
      <c r="BE63">
        <v>-6.5799999999999997E-2</v>
      </c>
      <c r="BF63">
        <v>-6.5799999999999997E-2</v>
      </c>
      <c r="BG63">
        <v>-7.0800000000000002E-2</v>
      </c>
      <c r="BH63">
        <v>-7.22E-2</v>
      </c>
      <c r="BI63">
        <v>-6.7500000000000004E-2</v>
      </c>
      <c r="BJ63">
        <v>-7.3700000000000002E-2</v>
      </c>
      <c r="BK63">
        <v>-7.8600000000000003E-2</v>
      </c>
      <c r="BL63">
        <v>-8.48E-2</v>
      </c>
      <c r="BM63">
        <v>-8.3699999999999997E-2</v>
      </c>
      <c r="BN63">
        <v>-9.8400000000000001E-2</v>
      </c>
      <c r="BO63">
        <v>-0.1182</v>
      </c>
      <c r="BP63">
        <v>-0.123</v>
      </c>
      <c r="BQ63">
        <v>-0.12</v>
      </c>
      <c r="BR63">
        <v>-0.10589999999999999</v>
      </c>
      <c r="BS63">
        <v>-7.8299999999999995E-2</v>
      </c>
      <c r="BT63">
        <v>-7.6300000000000007E-2</v>
      </c>
      <c r="BU63">
        <v>-6.88E-2</v>
      </c>
      <c r="BV63">
        <v>-6.4799999999999996E-2</v>
      </c>
      <c r="BW63">
        <v>-6.7799999999999999E-2</v>
      </c>
      <c r="BX63">
        <v>-6.8900000000000003E-2</v>
      </c>
      <c r="BY63">
        <v>-8.5699999999999998E-2</v>
      </c>
      <c r="BZ63">
        <v>-0.1012</v>
      </c>
      <c r="CA63">
        <v>-0.1145</v>
      </c>
      <c r="CB63">
        <v>-0.1217</v>
      </c>
      <c r="CC63">
        <v>-0.12670000000000001</v>
      </c>
      <c r="CD63">
        <v>-0.15329999999999999</v>
      </c>
      <c r="CE63">
        <v>-0.18790000000000001</v>
      </c>
      <c r="CF63">
        <v>-0.1852</v>
      </c>
      <c r="CG63">
        <v>-0.18049999999999999</v>
      </c>
      <c r="CH63">
        <v>-0.15540000000000001</v>
      </c>
      <c r="CI63">
        <v>-0.1905</v>
      </c>
      <c r="CJ63">
        <v>-0.1588</v>
      </c>
      <c r="CK63">
        <v>-0.1396</v>
      </c>
      <c r="CL63">
        <v>-0.12559999999999999</v>
      </c>
      <c r="CM63">
        <v>-0.2336</v>
      </c>
      <c r="CN63">
        <v>-0.21079999999999999</v>
      </c>
      <c r="CO63">
        <v>-0.24060000000000001</v>
      </c>
      <c r="CP63">
        <v>-0.22600000000000001</v>
      </c>
      <c r="CQ63">
        <v>-0.1681</v>
      </c>
      <c r="CR63">
        <v>-0.16739999999999999</v>
      </c>
      <c r="CS63">
        <v>-0.22720000000000001</v>
      </c>
      <c r="CT63">
        <v>-0.2833</v>
      </c>
      <c r="CU63">
        <v>-0.24979999999999999</v>
      </c>
      <c r="CV63">
        <v>-0.53110000000000002</v>
      </c>
    </row>
    <row r="64" spans="1:100" x14ac:dyDescent="0.2">
      <c r="A64" t="s">
        <v>5912</v>
      </c>
      <c r="B64">
        <v>3.4200000000000001E-2</v>
      </c>
      <c r="C64">
        <v>3.4200000000000001E-2</v>
      </c>
      <c r="D64">
        <v>3.4200000000000001E-2</v>
      </c>
      <c r="E64">
        <v>-2.9600000000000001E-2</v>
      </c>
      <c r="F64">
        <v>0.1241</v>
      </c>
      <c r="G64">
        <v>2.12E-2</v>
      </c>
      <c r="H64">
        <v>0.1071</v>
      </c>
      <c r="I64">
        <v>3.6400000000000002E-2</v>
      </c>
      <c r="J64">
        <v>2.3800000000000002E-2</v>
      </c>
      <c r="K64">
        <v>-4.5999999999999999E-3</v>
      </c>
      <c r="L64">
        <v>-2.1899999999999999E-2</v>
      </c>
      <c r="M64">
        <v>-5.1999999999999998E-3</v>
      </c>
      <c r="N64">
        <v>-4.6600000000000003E-2</v>
      </c>
      <c r="O64">
        <v>3.0300000000000001E-2</v>
      </c>
      <c r="P64">
        <v>4.7199999999999999E-2</v>
      </c>
      <c r="Q64">
        <v>-4.1099999999999998E-2</v>
      </c>
      <c r="R64">
        <v>-4.7800000000000002E-2</v>
      </c>
      <c r="S64">
        <v>-1.5900000000000001E-2</v>
      </c>
      <c r="T64">
        <v>-3.8899999999999997E-2</v>
      </c>
      <c r="U64">
        <v>-6.1400000000000003E-2</v>
      </c>
      <c r="V64">
        <v>-7.5899999999999995E-2</v>
      </c>
      <c r="W64">
        <v>-2.9000000000000001E-2</v>
      </c>
      <c r="X64">
        <v>-2.1999999999999999E-2</v>
      </c>
      <c r="Y64">
        <v>-1.9300000000000001E-2</v>
      </c>
      <c r="Z64">
        <v>-4.5100000000000001E-2</v>
      </c>
      <c r="AA64">
        <v>-3.9600000000000003E-2</v>
      </c>
      <c r="AB64">
        <v>-3.5999999999999997E-2</v>
      </c>
      <c r="AC64">
        <v>-3.8800000000000001E-2</v>
      </c>
      <c r="AD64">
        <v>-4.9200000000000001E-2</v>
      </c>
      <c r="AE64">
        <v>-0.04</v>
      </c>
      <c r="AF64">
        <v>-4.9500000000000002E-2</v>
      </c>
      <c r="AG64">
        <v>-4.65E-2</v>
      </c>
      <c r="AH64">
        <v>-4.8300000000000003E-2</v>
      </c>
      <c r="AI64">
        <v>-4.5900000000000003E-2</v>
      </c>
      <c r="AJ64">
        <v>-4.5600000000000002E-2</v>
      </c>
      <c r="AK64">
        <v>-2.1899999999999999E-2</v>
      </c>
      <c r="AL64">
        <v>-2.0299999999999999E-2</v>
      </c>
      <c r="AM64">
        <v>-4.5999999999999999E-3</v>
      </c>
      <c r="AN64">
        <v>-7.4999999999999997E-3</v>
      </c>
      <c r="AO64">
        <v>-5.0000000000000001E-3</v>
      </c>
      <c r="AP64">
        <v>-8.5000000000000006E-3</v>
      </c>
      <c r="AQ64">
        <v>-2.7000000000000001E-3</v>
      </c>
      <c r="AR64">
        <v>4.4999999999999997E-3</v>
      </c>
      <c r="AS64">
        <v>-7.0000000000000001E-3</v>
      </c>
      <c r="AT64">
        <v>-4.1000000000000003E-3</v>
      </c>
      <c r="AU64">
        <v>-9.5999999999999992E-3</v>
      </c>
      <c r="AV64">
        <v>-1.5100000000000001E-2</v>
      </c>
      <c r="AW64">
        <v>-1.35E-2</v>
      </c>
      <c r="AX64">
        <v>4.4000000000000003E-3</v>
      </c>
      <c r="AY64">
        <v>5.3E-3</v>
      </c>
      <c r="AZ64">
        <v>8.9999999999999998E-4</v>
      </c>
      <c r="BA64">
        <v>1.49E-2</v>
      </c>
      <c r="BB64">
        <v>1.5900000000000001E-2</v>
      </c>
      <c r="BC64">
        <v>1.66E-2</v>
      </c>
      <c r="BD64">
        <v>1.61E-2</v>
      </c>
      <c r="BE64">
        <v>2.58E-2</v>
      </c>
      <c r="BF64">
        <v>2.52E-2</v>
      </c>
      <c r="BG64">
        <v>1.77E-2</v>
      </c>
      <c r="BH64">
        <v>1.5599999999999999E-2</v>
      </c>
      <c r="BI64">
        <v>2.0199999999999999E-2</v>
      </c>
      <c r="BJ64">
        <v>1.2699999999999999E-2</v>
      </c>
      <c r="BK64">
        <v>7.3000000000000001E-3</v>
      </c>
      <c r="BL64">
        <v>1.1000000000000001E-3</v>
      </c>
      <c r="BM64">
        <v>6.7000000000000002E-3</v>
      </c>
      <c r="BN64">
        <v>-1.4E-3</v>
      </c>
      <c r="BO64">
        <v>-1.7600000000000001E-2</v>
      </c>
      <c r="BP64">
        <v>-1.8700000000000001E-2</v>
      </c>
      <c r="BQ64">
        <v>-1.2699999999999999E-2</v>
      </c>
      <c r="BR64">
        <v>2.5999999999999999E-3</v>
      </c>
      <c r="BS64">
        <v>3.2500000000000001E-2</v>
      </c>
      <c r="BT64">
        <v>3.3399999999999999E-2</v>
      </c>
      <c r="BU64">
        <v>4.2900000000000001E-2</v>
      </c>
      <c r="BV64">
        <v>4.6600000000000003E-2</v>
      </c>
      <c r="BW64">
        <v>4.3900000000000002E-2</v>
      </c>
      <c r="BX64">
        <v>4.3299999999999998E-2</v>
      </c>
      <c r="BY64">
        <v>2.98E-2</v>
      </c>
      <c r="BZ64">
        <v>1.23E-2</v>
      </c>
      <c r="CA64">
        <v>6.1999999999999998E-3</v>
      </c>
      <c r="CB64">
        <v>7.9000000000000008E-3</v>
      </c>
      <c r="CC64">
        <v>1.29E-2</v>
      </c>
      <c r="CD64">
        <v>-4.7999999999999996E-3</v>
      </c>
      <c r="CE64">
        <v>-4.2599999999999999E-2</v>
      </c>
      <c r="CF64">
        <v>-4.3999999999999997E-2</v>
      </c>
      <c r="CG64">
        <v>-4.5400000000000003E-2</v>
      </c>
      <c r="CH64">
        <v>-1.6799999999999999E-2</v>
      </c>
      <c r="CI64">
        <v>-3.5400000000000001E-2</v>
      </c>
      <c r="CJ64">
        <v>2.0999999999999999E-3</v>
      </c>
      <c r="CK64">
        <v>2.7199999999999998E-2</v>
      </c>
      <c r="CL64">
        <v>4.2999999999999997E-2</v>
      </c>
      <c r="CM64">
        <v>-4.7899999999999998E-2</v>
      </c>
      <c r="CN64">
        <v>-4.7E-2</v>
      </c>
      <c r="CO64">
        <v>-6.2300000000000001E-2</v>
      </c>
      <c r="CP64">
        <v>-3.61E-2</v>
      </c>
      <c r="CQ64">
        <v>3.4799999999999998E-2</v>
      </c>
      <c r="CR64">
        <v>4.4699999999999997E-2</v>
      </c>
      <c r="CS64">
        <v>-3.5900000000000001E-2</v>
      </c>
      <c r="CT64">
        <v>-6.3E-3</v>
      </c>
      <c r="CU64">
        <v>2.8799999999999999E-2</v>
      </c>
      <c r="CV64">
        <v>-0.1024</v>
      </c>
    </row>
    <row r="65" spans="1:100" x14ac:dyDescent="0.2">
      <c r="A65" t="s">
        <v>5913</v>
      </c>
      <c r="B65">
        <v>-4.1999999999999997E-3</v>
      </c>
      <c r="C65">
        <v>-4.1999999999999997E-3</v>
      </c>
      <c r="D65">
        <v>-4.1999999999999997E-3</v>
      </c>
      <c r="E65">
        <v>-3.95E-2</v>
      </c>
      <c r="F65">
        <v>-6.9599999999999995E-2</v>
      </c>
      <c r="G65">
        <v>-3.3500000000000002E-2</v>
      </c>
      <c r="H65">
        <v>-4.7899999999999998E-2</v>
      </c>
      <c r="I65">
        <v>-3.27E-2</v>
      </c>
      <c r="J65">
        <v>-2.58E-2</v>
      </c>
      <c r="K65">
        <v>-3.04E-2</v>
      </c>
      <c r="L65">
        <v>-1.78E-2</v>
      </c>
      <c r="M65">
        <v>-1.89E-2</v>
      </c>
      <c r="N65">
        <v>-9.7999999999999997E-3</v>
      </c>
      <c r="O65">
        <v>-2.2599999999999999E-2</v>
      </c>
      <c r="P65">
        <v>-2.3400000000000001E-2</v>
      </c>
      <c r="Q65">
        <v>-9.5999999999999992E-3</v>
      </c>
      <c r="R65">
        <v>-6.1999999999999998E-3</v>
      </c>
      <c r="S65">
        <v>-8.3999999999999995E-3</v>
      </c>
      <c r="T65">
        <v>-3.7000000000000002E-3</v>
      </c>
      <c r="U65">
        <v>-1.6999999999999999E-3</v>
      </c>
      <c r="V65">
        <v>2.9999999999999997E-4</v>
      </c>
      <c r="W65">
        <v>-4.7999999999999996E-3</v>
      </c>
      <c r="X65">
        <v>-2.2000000000000001E-3</v>
      </c>
      <c r="Y65">
        <v>-2.2000000000000001E-3</v>
      </c>
      <c r="Z65">
        <v>-2.0000000000000001E-4</v>
      </c>
      <c r="AA65">
        <v>-3.5000000000000001E-3</v>
      </c>
      <c r="AB65">
        <v>-2.5999999999999999E-3</v>
      </c>
      <c r="AC65">
        <v>-1.9E-3</v>
      </c>
      <c r="AD65">
        <v>-2.0000000000000001E-4</v>
      </c>
      <c r="AE65">
        <v>6.9999999999999999E-4</v>
      </c>
      <c r="AF65">
        <v>-1E-4</v>
      </c>
      <c r="AG65">
        <v>-1.8E-3</v>
      </c>
      <c r="AH65">
        <v>-3.7000000000000002E-3</v>
      </c>
      <c r="AI65">
        <v>-3.5000000000000001E-3</v>
      </c>
      <c r="AJ65">
        <v>-4.3E-3</v>
      </c>
      <c r="AK65">
        <v>-9.1999999999999998E-3</v>
      </c>
      <c r="AL65">
        <v>-1.21E-2</v>
      </c>
      <c r="AM65">
        <v>-1.29E-2</v>
      </c>
      <c r="AN65">
        <v>-1.17E-2</v>
      </c>
      <c r="AO65">
        <v>-1.3299999999999999E-2</v>
      </c>
      <c r="AP65">
        <v>-1.17E-2</v>
      </c>
      <c r="AQ65">
        <v>-1.04E-2</v>
      </c>
      <c r="AR65">
        <v>-1.15E-2</v>
      </c>
      <c r="AS65">
        <v>-7.4999999999999997E-3</v>
      </c>
      <c r="AT65">
        <v>-5.5999999999999999E-3</v>
      </c>
      <c r="AU65">
        <v>-6.4999999999999997E-3</v>
      </c>
      <c r="AV65">
        <v>-3.7000000000000002E-3</v>
      </c>
      <c r="AW65">
        <v>-3.2000000000000002E-3</v>
      </c>
      <c r="AX65">
        <v>-5.0000000000000001E-3</v>
      </c>
      <c r="AY65">
        <v>-4.1999999999999997E-3</v>
      </c>
      <c r="AZ65">
        <v>-4.1000000000000003E-3</v>
      </c>
      <c r="BA65">
        <v>-8.8000000000000005E-3</v>
      </c>
      <c r="BB65">
        <v>-9.1999999999999998E-3</v>
      </c>
      <c r="BC65">
        <v>-1.1900000000000001E-2</v>
      </c>
      <c r="BD65">
        <v>-8.6999999999999994E-3</v>
      </c>
      <c r="BE65">
        <v>-1.0200000000000001E-2</v>
      </c>
      <c r="BF65">
        <v>-9.4999999999999998E-3</v>
      </c>
      <c r="BG65">
        <v>-8.3999999999999995E-3</v>
      </c>
      <c r="BH65">
        <v>-7.4999999999999997E-3</v>
      </c>
      <c r="BI65">
        <v>-6.4999999999999997E-3</v>
      </c>
      <c r="BJ65">
        <v>-5.3E-3</v>
      </c>
      <c r="BK65">
        <v>-4.5999999999999999E-3</v>
      </c>
      <c r="BL65">
        <v>-2.5000000000000001E-3</v>
      </c>
      <c r="BM65">
        <v>-2.0999999999999999E-3</v>
      </c>
      <c r="BN65">
        <v>-1.9E-3</v>
      </c>
      <c r="BO65">
        <v>-3.0999999999999999E-3</v>
      </c>
      <c r="BP65">
        <v>-1.8E-3</v>
      </c>
      <c r="BQ65">
        <v>-1.1000000000000001E-3</v>
      </c>
      <c r="BR65">
        <v>-3.5000000000000001E-3</v>
      </c>
      <c r="BS65">
        <v>-8.9999999999999993E-3</v>
      </c>
      <c r="BT65">
        <v>-9.1999999999999998E-3</v>
      </c>
      <c r="BU65">
        <v>-1.1900000000000001E-2</v>
      </c>
      <c r="BV65">
        <v>-1.18E-2</v>
      </c>
      <c r="BW65">
        <v>-9.9000000000000008E-3</v>
      </c>
      <c r="BX65">
        <v>-8.9999999999999993E-3</v>
      </c>
      <c r="BY65">
        <v>-6.4999999999999997E-3</v>
      </c>
      <c r="BZ65">
        <v>-3.5000000000000001E-3</v>
      </c>
      <c r="CA65">
        <v>-3.5000000000000001E-3</v>
      </c>
      <c r="CB65">
        <v>-3.5000000000000001E-3</v>
      </c>
      <c r="CC65">
        <v>-4.8999999999999998E-3</v>
      </c>
      <c r="CD65">
        <v>-3.3E-3</v>
      </c>
      <c r="CE65">
        <v>4.5999999999999999E-3</v>
      </c>
      <c r="CF65">
        <v>1.2999999999999999E-3</v>
      </c>
      <c r="CG65">
        <v>3.3999999999999998E-3</v>
      </c>
      <c r="CH65">
        <v>5.9999999999999995E-4</v>
      </c>
      <c r="CI65">
        <v>-2.0000000000000001E-4</v>
      </c>
      <c r="CJ65">
        <v>-4.4000000000000003E-3</v>
      </c>
      <c r="CK65">
        <v>-4.1999999999999997E-3</v>
      </c>
      <c r="CL65">
        <v>-7.4999999999999997E-3</v>
      </c>
      <c r="CM65">
        <v>3.7000000000000002E-3</v>
      </c>
      <c r="CN65">
        <v>-2.8999999999999998E-3</v>
      </c>
      <c r="CO65">
        <v>-7.4999999999999997E-3</v>
      </c>
      <c r="CP65">
        <v>-1.5900000000000001E-2</v>
      </c>
      <c r="CQ65">
        <v>-2.1100000000000001E-2</v>
      </c>
      <c r="CR65">
        <v>-3.0599999999999999E-2</v>
      </c>
      <c r="CS65">
        <v>-2.64E-2</v>
      </c>
      <c r="CT65">
        <v>-4.1200000000000001E-2</v>
      </c>
      <c r="CU65">
        <v>-6.3100000000000003E-2</v>
      </c>
      <c r="CV65">
        <v>-6.2399999999999997E-2</v>
      </c>
    </row>
    <row r="66" spans="1:100" x14ac:dyDescent="0.2">
      <c r="A66" t="s">
        <v>5914</v>
      </c>
      <c r="B66">
        <v>7.3000000000000001E-3</v>
      </c>
      <c r="C66">
        <v>7.3000000000000001E-3</v>
      </c>
      <c r="D66">
        <v>7.3000000000000001E-3</v>
      </c>
      <c r="E66">
        <v>0.10979999999999999</v>
      </c>
      <c r="F66">
        <v>3.0499999999999999E-2</v>
      </c>
      <c r="G66">
        <v>3.61E-2</v>
      </c>
      <c r="H66">
        <v>1.8800000000000001E-2</v>
      </c>
      <c r="I66">
        <v>2.3800000000000002E-2</v>
      </c>
      <c r="J66">
        <v>2.75E-2</v>
      </c>
      <c r="K66">
        <v>1.9E-2</v>
      </c>
      <c r="L66">
        <v>2.7400000000000001E-2</v>
      </c>
      <c r="M66">
        <v>2.3800000000000002E-2</v>
      </c>
      <c r="N66">
        <v>2.6599999999999999E-2</v>
      </c>
      <c r="O66">
        <v>6.4000000000000003E-3</v>
      </c>
      <c r="P66">
        <v>5.7999999999999996E-3</v>
      </c>
      <c r="Q66">
        <v>1.35E-2</v>
      </c>
      <c r="R66">
        <v>1.29E-2</v>
      </c>
      <c r="S66">
        <v>9.4000000000000004E-3</v>
      </c>
      <c r="T66">
        <v>1.2E-2</v>
      </c>
      <c r="U66">
        <v>1.2E-2</v>
      </c>
      <c r="V66">
        <v>1.41E-2</v>
      </c>
      <c r="W66">
        <v>9.1999999999999998E-3</v>
      </c>
      <c r="X66">
        <v>1.2E-2</v>
      </c>
      <c r="Y66">
        <v>1.2E-2</v>
      </c>
      <c r="Z66">
        <v>1.35E-2</v>
      </c>
      <c r="AA66">
        <v>1.03E-2</v>
      </c>
      <c r="AB66">
        <v>1.14E-2</v>
      </c>
      <c r="AC66">
        <v>1.24E-2</v>
      </c>
      <c r="AD66">
        <v>1.43E-2</v>
      </c>
      <c r="AE66">
        <v>1.5800000000000002E-2</v>
      </c>
      <c r="AF66">
        <v>1.5299999999999999E-2</v>
      </c>
      <c r="AG66">
        <v>1.47E-2</v>
      </c>
      <c r="AH66">
        <v>1.37E-2</v>
      </c>
      <c r="AI66">
        <v>1.4200000000000001E-2</v>
      </c>
      <c r="AJ66">
        <v>1.38E-2</v>
      </c>
      <c r="AK66">
        <v>9.4000000000000004E-3</v>
      </c>
      <c r="AL66">
        <v>6.7999999999999996E-3</v>
      </c>
      <c r="AM66">
        <v>6.1999999999999998E-3</v>
      </c>
      <c r="AN66">
        <v>7.4000000000000003E-3</v>
      </c>
      <c r="AO66">
        <v>5.8999999999999999E-3</v>
      </c>
      <c r="AP66">
        <v>7.4000000000000003E-3</v>
      </c>
      <c r="AQ66">
        <v>8.6999999999999994E-3</v>
      </c>
      <c r="AR66">
        <v>7.6E-3</v>
      </c>
      <c r="AS66">
        <v>1.1599999999999999E-2</v>
      </c>
      <c r="AT66">
        <v>1.35E-2</v>
      </c>
      <c r="AU66">
        <v>1.2800000000000001E-2</v>
      </c>
      <c r="AV66">
        <v>1.5800000000000002E-2</v>
      </c>
      <c r="AW66">
        <v>1.6299999999999999E-2</v>
      </c>
      <c r="AX66">
        <v>1.54E-2</v>
      </c>
      <c r="AY66">
        <v>1.6500000000000001E-2</v>
      </c>
      <c r="AZ66">
        <v>1.66E-2</v>
      </c>
      <c r="BA66">
        <v>1.26E-2</v>
      </c>
      <c r="BB66">
        <v>1.23E-2</v>
      </c>
      <c r="BC66">
        <v>0.01</v>
      </c>
      <c r="BD66">
        <v>1.32E-2</v>
      </c>
      <c r="BE66">
        <v>1.14E-2</v>
      </c>
      <c r="BF66">
        <v>1.21E-2</v>
      </c>
      <c r="BG66">
        <v>1.2699999999999999E-2</v>
      </c>
      <c r="BH66">
        <v>1.37E-2</v>
      </c>
      <c r="BI66">
        <v>1.4800000000000001E-2</v>
      </c>
      <c r="BJ66">
        <v>1.6E-2</v>
      </c>
      <c r="BK66">
        <v>1.67E-2</v>
      </c>
      <c r="BL66">
        <v>1.89E-2</v>
      </c>
      <c r="BM66">
        <v>2.0500000000000001E-2</v>
      </c>
      <c r="BN66">
        <v>2.2499999999999999E-2</v>
      </c>
      <c r="BO66">
        <v>2.2200000000000001E-2</v>
      </c>
      <c r="BP66">
        <v>2.4400000000000002E-2</v>
      </c>
      <c r="BQ66">
        <v>2.5899999999999999E-2</v>
      </c>
      <c r="BR66">
        <v>2.3800000000000002E-2</v>
      </c>
      <c r="BS66">
        <v>1.89E-2</v>
      </c>
      <c r="BT66">
        <v>1.8599999999999998E-2</v>
      </c>
      <c r="BU66">
        <v>1.6799999999999999E-2</v>
      </c>
      <c r="BV66">
        <v>1.6899999999999998E-2</v>
      </c>
      <c r="BW66">
        <v>1.9099999999999999E-2</v>
      </c>
      <c r="BX66">
        <v>2.07E-2</v>
      </c>
      <c r="BY66">
        <v>2.4199999999999999E-2</v>
      </c>
      <c r="BZ66">
        <v>2.6800000000000001E-2</v>
      </c>
      <c r="CA66">
        <v>2.9000000000000001E-2</v>
      </c>
      <c r="CB66">
        <v>3.1800000000000002E-2</v>
      </c>
      <c r="CC66">
        <v>3.3300000000000003E-2</v>
      </c>
      <c r="CD66">
        <v>3.78E-2</v>
      </c>
      <c r="CE66">
        <v>4.53E-2</v>
      </c>
      <c r="CF66">
        <v>4.0599999999999997E-2</v>
      </c>
      <c r="CG66">
        <v>4.1599999999999998E-2</v>
      </c>
      <c r="CH66">
        <v>4.0099999999999997E-2</v>
      </c>
      <c r="CI66">
        <v>4.3999999999999997E-2</v>
      </c>
      <c r="CJ66">
        <v>4.1799999999999997E-2</v>
      </c>
      <c r="CK66">
        <v>4.3799999999999999E-2</v>
      </c>
      <c r="CL66">
        <v>4.1300000000000003E-2</v>
      </c>
      <c r="CM66">
        <v>5.7599999999999998E-2</v>
      </c>
      <c r="CN66">
        <v>5.4800000000000001E-2</v>
      </c>
      <c r="CO66">
        <v>5.67E-2</v>
      </c>
      <c r="CP66">
        <v>5.3999999999999999E-2</v>
      </c>
      <c r="CQ66">
        <v>5.4800000000000001E-2</v>
      </c>
      <c r="CR66">
        <v>5.5300000000000002E-2</v>
      </c>
      <c r="CS66">
        <v>5.6399999999999999E-2</v>
      </c>
      <c r="CT66">
        <v>8.6900000000000005E-2</v>
      </c>
      <c r="CU66">
        <v>6.7799999999999999E-2</v>
      </c>
      <c r="CV66">
        <v>0.16</v>
      </c>
    </row>
    <row r="67" spans="1:100" x14ac:dyDescent="0.2">
      <c r="A67" t="s">
        <v>5915</v>
      </c>
      <c r="B67">
        <v>-1E-3</v>
      </c>
      <c r="C67">
        <v>-1E-3</v>
      </c>
      <c r="D67">
        <v>-1E-3</v>
      </c>
      <c r="E67">
        <v>5.6800000000000003E-2</v>
      </c>
      <c r="F67">
        <v>4.1999999999999997E-3</v>
      </c>
      <c r="G67">
        <v>-1.01E-2</v>
      </c>
      <c r="H67">
        <v>-2.07E-2</v>
      </c>
      <c r="I67">
        <v>-1.0500000000000001E-2</v>
      </c>
      <c r="J67">
        <v>-2.1399999999999999E-2</v>
      </c>
      <c r="K67">
        <v>-2.12E-2</v>
      </c>
      <c r="L67">
        <v>-2.1399999999999999E-2</v>
      </c>
      <c r="M67">
        <v>-1.5800000000000002E-2</v>
      </c>
      <c r="N67">
        <v>-1.9699999999999999E-2</v>
      </c>
      <c r="O67">
        <v>-1.6500000000000001E-2</v>
      </c>
      <c r="P67">
        <v>-2.1000000000000001E-2</v>
      </c>
      <c r="Q67">
        <v>-1.3100000000000001E-2</v>
      </c>
      <c r="R67">
        <v>-7.7999999999999996E-3</v>
      </c>
      <c r="S67">
        <v>-9.2999999999999992E-3</v>
      </c>
      <c r="T67">
        <v>-6.7000000000000002E-3</v>
      </c>
      <c r="U67">
        <v>-3.2000000000000002E-3</v>
      </c>
      <c r="V67">
        <v>-2.3E-3</v>
      </c>
      <c r="W67">
        <v>-6.0000000000000001E-3</v>
      </c>
      <c r="X67">
        <v>-2.2000000000000001E-3</v>
      </c>
      <c r="Y67">
        <v>-6.4999999999999997E-3</v>
      </c>
      <c r="Z67">
        <v>-3.8999999999999998E-3</v>
      </c>
      <c r="AA67">
        <v>-5.7000000000000002E-3</v>
      </c>
      <c r="AB67">
        <v>-5.1000000000000004E-3</v>
      </c>
      <c r="AC67">
        <v>-4.7000000000000002E-3</v>
      </c>
      <c r="AD67">
        <v>-6.7000000000000002E-3</v>
      </c>
      <c r="AE67">
        <v>-5.4999999999999997E-3</v>
      </c>
      <c r="AF67">
        <v>-4.0000000000000001E-3</v>
      </c>
      <c r="AG67">
        <v>-4.4000000000000003E-3</v>
      </c>
      <c r="AH67">
        <v>-6.6E-3</v>
      </c>
      <c r="AI67">
        <v>-6.4000000000000003E-3</v>
      </c>
      <c r="AJ67">
        <v>-8.3000000000000001E-3</v>
      </c>
      <c r="AK67">
        <v>-0.01</v>
      </c>
      <c r="AL67">
        <v>-1.0200000000000001E-2</v>
      </c>
      <c r="AM67">
        <v>-1.0999999999999999E-2</v>
      </c>
      <c r="AN67">
        <v>-1.17E-2</v>
      </c>
      <c r="AO67">
        <v>-1.0500000000000001E-2</v>
      </c>
      <c r="AP67">
        <v>-7.4000000000000003E-3</v>
      </c>
      <c r="AQ67">
        <v>-7.6E-3</v>
      </c>
      <c r="AR67">
        <v>-8.3999999999999995E-3</v>
      </c>
      <c r="AS67">
        <v>-6.4000000000000003E-3</v>
      </c>
      <c r="AT67">
        <v>-5.4000000000000003E-3</v>
      </c>
      <c r="AU67">
        <v>-4.4000000000000003E-3</v>
      </c>
      <c r="AV67">
        <v>-4.1999999999999997E-3</v>
      </c>
      <c r="AW67">
        <v>-2.3E-3</v>
      </c>
      <c r="AX67">
        <v>-4.3E-3</v>
      </c>
      <c r="AY67">
        <v>-3.3E-3</v>
      </c>
      <c r="AZ67">
        <v>-1.9E-3</v>
      </c>
      <c r="BA67">
        <v>-3.8999999999999998E-3</v>
      </c>
      <c r="BB67">
        <v>-4.5999999999999999E-3</v>
      </c>
      <c r="BC67">
        <v>-9.1999999999999998E-3</v>
      </c>
      <c r="BD67">
        <v>-8.6999999999999994E-3</v>
      </c>
      <c r="BE67">
        <v>-1.0200000000000001E-2</v>
      </c>
      <c r="BF67">
        <v>-1.0800000000000001E-2</v>
      </c>
      <c r="BG67">
        <v>-1.1900000000000001E-2</v>
      </c>
      <c r="BH67">
        <v>-1.3899999999999999E-2</v>
      </c>
      <c r="BI67">
        <v>-1.4200000000000001E-2</v>
      </c>
      <c r="BJ67">
        <v>-1.7899999999999999E-2</v>
      </c>
      <c r="BK67">
        <v>-1.6199999999999999E-2</v>
      </c>
      <c r="BL67">
        <v>-1.6299999999999999E-2</v>
      </c>
      <c r="BM67">
        <v>-2.01E-2</v>
      </c>
      <c r="BN67">
        <v>-2.1999999999999999E-2</v>
      </c>
      <c r="BO67">
        <v>-2.0199999999999999E-2</v>
      </c>
      <c r="BP67">
        <v>-2.0199999999999999E-2</v>
      </c>
      <c r="BQ67">
        <v>-1.84E-2</v>
      </c>
      <c r="BR67">
        <v>-2.06E-2</v>
      </c>
      <c r="BS67">
        <v>-2.3900000000000001E-2</v>
      </c>
      <c r="BT67">
        <v>-2.3199999999999998E-2</v>
      </c>
      <c r="BU67">
        <v>-2.58E-2</v>
      </c>
      <c r="BV67">
        <v>-2.5000000000000001E-2</v>
      </c>
      <c r="BW67">
        <v>-2.2100000000000002E-2</v>
      </c>
      <c r="BX67">
        <v>-2.3699999999999999E-2</v>
      </c>
      <c r="BY67">
        <v>-2.3699999999999999E-2</v>
      </c>
      <c r="BZ67">
        <v>-2.3900000000000001E-2</v>
      </c>
      <c r="CA67">
        <v>-2.5999999999999999E-2</v>
      </c>
      <c r="CB67">
        <v>-2.8400000000000002E-2</v>
      </c>
      <c r="CC67">
        <v>-2.9499999999999998E-2</v>
      </c>
      <c r="CD67">
        <v>-2.92E-2</v>
      </c>
      <c r="CE67">
        <v>-1.7299999999999999E-2</v>
      </c>
      <c r="CF67">
        <v>-1.9699999999999999E-2</v>
      </c>
      <c r="CG67">
        <v>-2.1000000000000001E-2</v>
      </c>
      <c r="CH67">
        <v>-2.0299999999999999E-2</v>
      </c>
      <c r="CI67">
        <v>-1.72E-2</v>
      </c>
      <c r="CJ67">
        <v>-2.35E-2</v>
      </c>
      <c r="CK67">
        <v>-2.8000000000000001E-2</v>
      </c>
      <c r="CL67">
        <v>-2.6200000000000001E-2</v>
      </c>
      <c r="CM67">
        <v>-2.1499999999999998E-2</v>
      </c>
      <c r="CN67">
        <v>-1.2E-2</v>
      </c>
      <c r="CO67">
        <v>-1.2999999999999999E-2</v>
      </c>
      <c r="CP67">
        <v>-2.1700000000000001E-2</v>
      </c>
      <c r="CQ67">
        <v>-5.3800000000000001E-2</v>
      </c>
      <c r="CR67">
        <v>-4.8000000000000001E-2</v>
      </c>
      <c r="CS67">
        <v>-3.49E-2</v>
      </c>
      <c r="CT67">
        <v>-8.9599999999999999E-2</v>
      </c>
      <c r="CU67">
        <v>-7.7100000000000002E-2</v>
      </c>
      <c r="CV67">
        <v>-7.7100000000000002E-2</v>
      </c>
    </row>
    <row r="68" spans="1:100" x14ac:dyDescent="0.2">
      <c r="A68" t="s">
        <v>5916</v>
      </c>
      <c r="B68">
        <v>1.0699999999999999E-2</v>
      </c>
      <c r="C68">
        <v>1.0699999999999999E-2</v>
      </c>
      <c r="D68">
        <v>1.0699999999999999E-2</v>
      </c>
      <c r="E68">
        <v>0.23</v>
      </c>
      <c r="F68">
        <v>0.11890000000000001</v>
      </c>
      <c r="G68">
        <v>7.1099999999999997E-2</v>
      </c>
      <c r="H68">
        <v>5.5500000000000001E-2</v>
      </c>
      <c r="I68">
        <v>5.4699999999999999E-2</v>
      </c>
      <c r="J68">
        <v>4.1399999999999999E-2</v>
      </c>
      <c r="K68">
        <v>3.78E-2</v>
      </c>
      <c r="L68">
        <v>3.2599999999999997E-2</v>
      </c>
      <c r="M68">
        <v>3.5499999999999997E-2</v>
      </c>
      <c r="N68">
        <v>2.4E-2</v>
      </c>
      <c r="O68">
        <v>1.83E-2</v>
      </c>
      <c r="P68">
        <v>1.41E-2</v>
      </c>
      <c r="Q68">
        <v>1.49E-2</v>
      </c>
      <c r="R68">
        <v>1.54E-2</v>
      </c>
      <c r="S68">
        <v>1.21E-2</v>
      </c>
      <c r="T68">
        <v>1.24E-2</v>
      </c>
      <c r="U68">
        <v>1.34E-2</v>
      </c>
      <c r="V68">
        <v>1.43E-2</v>
      </c>
      <c r="W68">
        <v>1.0999999999999999E-2</v>
      </c>
      <c r="X68">
        <v>1.4999999999999999E-2</v>
      </c>
      <c r="Y68">
        <v>1.09E-2</v>
      </c>
      <c r="Z68">
        <v>1.2800000000000001E-2</v>
      </c>
      <c r="AA68">
        <v>1.11E-2</v>
      </c>
      <c r="AB68">
        <v>1.2E-2</v>
      </c>
      <c r="AC68">
        <v>1.2699999999999999E-2</v>
      </c>
      <c r="AD68">
        <v>1.11E-2</v>
      </c>
      <c r="AE68">
        <v>1.35E-2</v>
      </c>
      <c r="AF68">
        <v>1.52E-2</v>
      </c>
      <c r="AG68">
        <v>1.61E-2</v>
      </c>
      <c r="AH68">
        <v>1.4999999999999999E-2</v>
      </c>
      <c r="AI68">
        <v>1.55E-2</v>
      </c>
      <c r="AJ68">
        <v>1.3899999999999999E-2</v>
      </c>
      <c r="AK68">
        <v>1.2800000000000001E-2</v>
      </c>
      <c r="AL68">
        <v>1.3100000000000001E-2</v>
      </c>
      <c r="AM68">
        <v>1.26E-2</v>
      </c>
      <c r="AN68">
        <v>1.1900000000000001E-2</v>
      </c>
      <c r="AO68">
        <v>1.3100000000000001E-2</v>
      </c>
      <c r="AP68">
        <v>1.6199999999999999E-2</v>
      </c>
      <c r="AQ68">
        <v>1.6E-2</v>
      </c>
      <c r="AR68">
        <v>1.5100000000000001E-2</v>
      </c>
      <c r="AS68">
        <v>1.72E-2</v>
      </c>
      <c r="AT68">
        <v>1.83E-2</v>
      </c>
      <c r="AU68">
        <v>1.95E-2</v>
      </c>
      <c r="AV68">
        <v>0.02</v>
      </c>
      <c r="AW68">
        <v>2.1899999999999999E-2</v>
      </c>
      <c r="AX68">
        <v>2.1000000000000001E-2</v>
      </c>
      <c r="AY68">
        <v>2.2200000000000001E-2</v>
      </c>
      <c r="AZ68">
        <v>2.3800000000000002E-2</v>
      </c>
      <c r="BA68">
        <v>2.2499999999999999E-2</v>
      </c>
      <c r="BB68">
        <v>2.1999999999999999E-2</v>
      </c>
      <c r="BC68">
        <v>1.7899999999999999E-2</v>
      </c>
      <c r="BD68">
        <v>1.83E-2</v>
      </c>
      <c r="BE68">
        <v>1.6500000000000001E-2</v>
      </c>
      <c r="BF68">
        <v>1.5800000000000002E-2</v>
      </c>
      <c r="BG68">
        <v>1.4200000000000001E-2</v>
      </c>
      <c r="BH68">
        <v>1.2200000000000001E-2</v>
      </c>
      <c r="BI68">
        <v>1.2E-2</v>
      </c>
      <c r="BJ68">
        <v>8.3000000000000001E-3</v>
      </c>
      <c r="BK68">
        <v>9.7999999999999997E-3</v>
      </c>
      <c r="BL68">
        <v>9.7999999999999997E-3</v>
      </c>
      <c r="BM68">
        <v>7.4999999999999997E-3</v>
      </c>
      <c r="BN68">
        <v>7.7999999999999996E-3</v>
      </c>
      <c r="BO68">
        <v>1.0800000000000001E-2</v>
      </c>
      <c r="BP68">
        <v>1.18E-2</v>
      </c>
      <c r="BQ68">
        <v>1.4200000000000001E-2</v>
      </c>
      <c r="BR68">
        <v>1.23E-2</v>
      </c>
      <c r="BS68">
        <v>9.7000000000000003E-3</v>
      </c>
      <c r="BT68">
        <v>1.01E-2</v>
      </c>
      <c r="BU68">
        <v>8.3000000000000001E-3</v>
      </c>
      <c r="BV68">
        <v>9.1999999999999998E-3</v>
      </c>
      <c r="BW68">
        <v>1.21E-2</v>
      </c>
      <c r="BX68">
        <v>1.11E-2</v>
      </c>
      <c r="BY68">
        <v>1.2200000000000001E-2</v>
      </c>
      <c r="BZ68">
        <v>1.11E-2</v>
      </c>
      <c r="CA68">
        <v>1.15E-2</v>
      </c>
      <c r="CB68">
        <v>1.1900000000000001E-2</v>
      </c>
      <c r="CC68">
        <v>1.3899999999999999E-2</v>
      </c>
      <c r="CD68">
        <v>1.7000000000000001E-2</v>
      </c>
      <c r="CE68">
        <v>2.8199999999999999E-2</v>
      </c>
      <c r="CF68">
        <v>2.4199999999999999E-2</v>
      </c>
      <c r="CG68">
        <v>2.1100000000000001E-2</v>
      </c>
      <c r="CH68">
        <v>2.3E-2</v>
      </c>
      <c r="CI68">
        <v>3.1399999999999997E-2</v>
      </c>
      <c r="CJ68">
        <v>2.7E-2</v>
      </c>
      <c r="CK68">
        <v>2.3300000000000001E-2</v>
      </c>
      <c r="CL68">
        <v>2.5499999999999998E-2</v>
      </c>
      <c r="CM68">
        <v>3.5499999999999997E-2</v>
      </c>
      <c r="CN68">
        <v>4.7899999999999998E-2</v>
      </c>
      <c r="CO68">
        <v>5.2600000000000001E-2</v>
      </c>
      <c r="CP68">
        <v>4.8500000000000001E-2</v>
      </c>
      <c r="CQ68">
        <v>2.0799999999999999E-2</v>
      </c>
      <c r="CR68">
        <v>3.5499999999999997E-2</v>
      </c>
      <c r="CS68">
        <v>4.3499999999999997E-2</v>
      </c>
      <c r="CT68">
        <v>2.5100000000000001E-2</v>
      </c>
      <c r="CU68">
        <v>3.9199999999999999E-2</v>
      </c>
      <c r="CV68">
        <v>0.1105</v>
      </c>
    </row>
    <row r="69" spans="1:100" x14ac:dyDescent="0.2">
      <c r="A69" t="s">
        <v>5917</v>
      </c>
      <c r="B69">
        <v>-1.4E-3</v>
      </c>
      <c r="C69">
        <v>-1.4E-3</v>
      </c>
      <c r="D69">
        <v>-1.4E-3</v>
      </c>
      <c r="E69">
        <v>3.1800000000000002E-2</v>
      </c>
      <c r="F69">
        <v>1.0200000000000001E-2</v>
      </c>
      <c r="G69">
        <v>2.07E-2</v>
      </c>
      <c r="H69">
        <v>-6.3E-3</v>
      </c>
      <c r="I69">
        <v>-2.0999999999999999E-3</v>
      </c>
      <c r="J69">
        <v>1.6000000000000001E-3</v>
      </c>
      <c r="K69">
        <v>8.9999999999999998E-4</v>
      </c>
      <c r="L69">
        <v>3.3E-3</v>
      </c>
      <c r="M69">
        <v>2.2000000000000001E-3</v>
      </c>
      <c r="N69">
        <v>4.3E-3</v>
      </c>
      <c r="O69">
        <v>-1.1000000000000001E-3</v>
      </c>
      <c r="P69">
        <v>-2.8999999999999998E-3</v>
      </c>
      <c r="Q69">
        <v>-5.0000000000000001E-4</v>
      </c>
      <c r="R69">
        <v>1E-3</v>
      </c>
      <c r="S69">
        <v>-6.9999999999999999E-4</v>
      </c>
      <c r="T69">
        <v>1.6000000000000001E-3</v>
      </c>
      <c r="U69">
        <v>1.4E-3</v>
      </c>
      <c r="V69">
        <v>8.0000000000000004E-4</v>
      </c>
      <c r="W69">
        <v>-8.9999999999999998E-4</v>
      </c>
      <c r="X69">
        <v>-5.0000000000000001E-4</v>
      </c>
      <c r="Y69">
        <v>-2.9999999999999997E-4</v>
      </c>
      <c r="Z69">
        <v>8.9999999999999998E-4</v>
      </c>
      <c r="AA69">
        <v>5.0000000000000001E-4</v>
      </c>
      <c r="AB69">
        <v>5.9999999999999995E-4</v>
      </c>
      <c r="AC69">
        <v>1.6000000000000001E-3</v>
      </c>
      <c r="AD69">
        <v>2.2000000000000001E-3</v>
      </c>
      <c r="AE69">
        <v>1.8E-3</v>
      </c>
      <c r="AF69">
        <v>1.9E-3</v>
      </c>
      <c r="AG69">
        <v>1.6000000000000001E-3</v>
      </c>
      <c r="AH69">
        <v>1E-3</v>
      </c>
      <c r="AI69">
        <v>5.0000000000000001E-4</v>
      </c>
      <c r="AJ69">
        <v>5.9999999999999995E-4</v>
      </c>
      <c r="AK69">
        <v>-4.0000000000000002E-4</v>
      </c>
      <c r="AL69">
        <v>-5.9999999999999995E-4</v>
      </c>
      <c r="AM69">
        <v>-8.9999999999999998E-4</v>
      </c>
      <c r="AN69">
        <v>-8.9999999999999998E-4</v>
      </c>
      <c r="AO69">
        <v>-4.0000000000000002E-4</v>
      </c>
      <c r="AP69">
        <v>1E-4</v>
      </c>
      <c r="AQ69">
        <v>2.9999999999999997E-4</v>
      </c>
      <c r="AR69">
        <v>4.0000000000000002E-4</v>
      </c>
      <c r="AS69">
        <v>1.1999999999999999E-3</v>
      </c>
      <c r="AT69">
        <v>1.8E-3</v>
      </c>
      <c r="AU69">
        <v>1.8E-3</v>
      </c>
      <c r="AV69">
        <v>1.5E-3</v>
      </c>
      <c r="AW69">
        <v>1.1000000000000001E-3</v>
      </c>
      <c r="AX69">
        <v>5.9999999999999995E-4</v>
      </c>
      <c r="AY69">
        <v>6.9999999999999999E-4</v>
      </c>
      <c r="AZ69">
        <v>4.0000000000000002E-4</v>
      </c>
      <c r="BA69">
        <v>-5.9999999999999995E-4</v>
      </c>
      <c r="BB69">
        <v>-5.9999999999999995E-4</v>
      </c>
      <c r="BC69">
        <v>-8.9999999999999998E-4</v>
      </c>
      <c r="BD69">
        <v>-1.1000000000000001E-3</v>
      </c>
      <c r="BE69">
        <v>-8.9999999999999998E-4</v>
      </c>
      <c r="BF69">
        <v>-1.1000000000000001E-3</v>
      </c>
      <c r="BG69">
        <v>-1.5E-3</v>
      </c>
      <c r="BH69">
        <v>-5.9999999999999995E-4</v>
      </c>
      <c r="BI69">
        <v>-8.0000000000000004E-4</v>
      </c>
      <c r="BJ69">
        <v>-2.9999999999999997E-4</v>
      </c>
      <c r="BK69">
        <v>-4.0000000000000002E-4</v>
      </c>
      <c r="BL69">
        <v>-5.0000000000000001E-4</v>
      </c>
      <c r="BM69">
        <v>-1.1999999999999999E-3</v>
      </c>
      <c r="BN69">
        <v>-1.1999999999999999E-3</v>
      </c>
      <c r="BO69">
        <v>-1.2999999999999999E-3</v>
      </c>
      <c r="BP69">
        <v>-2.5000000000000001E-3</v>
      </c>
      <c r="BQ69">
        <v>-2.3999999999999998E-3</v>
      </c>
      <c r="BR69">
        <v>-2.8E-3</v>
      </c>
      <c r="BS69">
        <v>-3.3E-3</v>
      </c>
      <c r="BT69">
        <v>-2.8999999999999998E-3</v>
      </c>
      <c r="BU69">
        <v>-3.3999999999999998E-3</v>
      </c>
      <c r="BV69">
        <v>-3.7000000000000002E-3</v>
      </c>
      <c r="BW69">
        <v>-2.5000000000000001E-3</v>
      </c>
      <c r="BX69">
        <v>-2.5000000000000001E-3</v>
      </c>
      <c r="BY69">
        <v>-2E-3</v>
      </c>
      <c r="BZ69">
        <v>-2.2000000000000001E-3</v>
      </c>
      <c r="CA69">
        <v>-4.1000000000000003E-3</v>
      </c>
      <c r="CB69">
        <v>-4.4000000000000003E-3</v>
      </c>
      <c r="CC69">
        <v>-5.1999999999999998E-3</v>
      </c>
      <c r="CD69">
        <v>-5.5999999999999999E-3</v>
      </c>
      <c r="CE69">
        <v>-7.0000000000000001E-3</v>
      </c>
      <c r="CF69">
        <v>-6.6E-3</v>
      </c>
      <c r="CG69">
        <v>-6.4999999999999997E-3</v>
      </c>
      <c r="CH69">
        <v>-6.1999999999999998E-3</v>
      </c>
      <c r="CI69">
        <v>-7.1999999999999998E-3</v>
      </c>
      <c r="CJ69">
        <v>-8.6999999999999994E-3</v>
      </c>
      <c r="CK69">
        <v>-7.9000000000000008E-3</v>
      </c>
      <c r="CL69">
        <v>-6.7000000000000002E-3</v>
      </c>
      <c r="CM69">
        <v>-6.7999999999999996E-3</v>
      </c>
      <c r="CN69">
        <v>-8.8000000000000005E-3</v>
      </c>
      <c r="CO69">
        <v>-9.1999999999999998E-3</v>
      </c>
      <c r="CP69">
        <v>-1.04E-2</v>
      </c>
      <c r="CQ69">
        <v>-1.0800000000000001E-2</v>
      </c>
      <c r="CR69">
        <v>-1.4500000000000001E-2</v>
      </c>
      <c r="CS69">
        <v>-1.18E-2</v>
      </c>
      <c r="CT69">
        <v>-2.0400000000000001E-2</v>
      </c>
      <c r="CU69">
        <v>-2.3900000000000001E-2</v>
      </c>
      <c r="CV69">
        <v>-3.1899999999999998E-2</v>
      </c>
    </row>
    <row r="70" spans="1:100" x14ac:dyDescent="0.2">
      <c r="A70" t="s">
        <v>5918</v>
      </c>
      <c r="B70">
        <v>4.4999999999999997E-3</v>
      </c>
      <c r="C70">
        <v>4.4999999999999997E-3</v>
      </c>
      <c r="D70">
        <v>4.4999999999999997E-3</v>
      </c>
      <c r="E70">
        <v>0.1166</v>
      </c>
      <c r="F70">
        <v>6.6299999999999998E-2</v>
      </c>
      <c r="G70">
        <v>5.8999999999999997E-2</v>
      </c>
      <c r="H70">
        <v>3.5200000000000002E-2</v>
      </c>
      <c r="I70">
        <v>3.1E-2</v>
      </c>
      <c r="J70">
        <v>3.2199999999999999E-2</v>
      </c>
      <c r="K70">
        <v>2.8299999999999999E-2</v>
      </c>
      <c r="L70">
        <v>2.7199999999999998E-2</v>
      </c>
      <c r="M70">
        <v>2.4400000000000002E-2</v>
      </c>
      <c r="N70">
        <v>2.2700000000000001E-2</v>
      </c>
      <c r="O70">
        <v>1.34E-2</v>
      </c>
      <c r="P70">
        <v>1.14E-2</v>
      </c>
      <c r="Q70">
        <v>1.0500000000000001E-2</v>
      </c>
      <c r="R70">
        <v>9.7999999999999997E-3</v>
      </c>
      <c r="S70">
        <v>7.4000000000000003E-3</v>
      </c>
      <c r="T70">
        <v>8.6E-3</v>
      </c>
      <c r="U70">
        <v>7.4000000000000003E-3</v>
      </c>
      <c r="V70">
        <v>6.7000000000000002E-3</v>
      </c>
      <c r="W70">
        <v>4.8999999999999998E-3</v>
      </c>
      <c r="X70">
        <v>5.3E-3</v>
      </c>
      <c r="Y70">
        <v>5.4000000000000003E-3</v>
      </c>
      <c r="Z70">
        <v>6.3E-3</v>
      </c>
      <c r="AA70">
        <v>6.0000000000000001E-3</v>
      </c>
      <c r="AB70">
        <v>6.0000000000000001E-3</v>
      </c>
      <c r="AC70">
        <v>7.1000000000000004E-3</v>
      </c>
      <c r="AD70">
        <v>7.7000000000000002E-3</v>
      </c>
      <c r="AE70">
        <v>7.4999999999999997E-3</v>
      </c>
      <c r="AF70">
        <v>7.6E-3</v>
      </c>
      <c r="AG70">
        <v>7.6E-3</v>
      </c>
      <c r="AH70">
        <v>7.3000000000000001E-3</v>
      </c>
      <c r="AI70">
        <v>6.8999999999999999E-3</v>
      </c>
      <c r="AJ70">
        <v>6.8999999999999999E-3</v>
      </c>
      <c r="AK70">
        <v>6.1000000000000004E-3</v>
      </c>
      <c r="AL70">
        <v>5.8999999999999999E-3</v>
      </c>
      <c r="AM70">
        <v>5.7000000000000002E-3</v>
      </c>
      <c r="AN70">
        <v>5.7000000000000002E-3</v>
      </c>
      <c r="AO70">
        <v>6.1000000000000004E-3</v>
      </c>
      <c r="AP70">
        <v>6.7000000000000002E-3</v>
      </c>
      <c r="AQ70">
        <v>6.7999999999999996E-3</v>
      </c>
      <c r="AR70">
        <v>6.8999999999999999E-3</v>
      </c>
      <c r="AS70">
        <v>7.6E-3</v>
      </c>
      <c r="AT70">
        <v>8.2000000000000007E-3</v>
      </c>
      <c r="AU70">
        <v>8.3999999999999995E-3</v>
      </c>
      <c r="AV70">
        <v>8.0999999999999996E-3</v>
      </c>
      <c r="AW70">
        <v>7.7000000000000002E-3</v>
      </c>
      <c r="AX70">
        <v>7.4999999999999997E-3</v>
      </c>
      <c r="AY70">
        <v>7.6E-3</v>
      </c>
      <c r="AZ70">
        <v>7.4000000000000003E-3</v>
      </c>
      <c r="BA70">
        <v>6.1000000000000004E-3</v>
      </c>
      <c r="BB70">
        <v>6.1000000000000004E-3</v>
      </c>
      <c r="BC70">
        <v>5.8999999999999999E-3</v>
      </c>
      <c r="BD70">
        <v>5.5999999999999999E-3</v>
      </c>
      <c r="BE70">
        <v>5.7999999999999996E-3</v>
      </c>
      <c r="BF70">
        <v>5.4999999999999997E-3</v>
      </c>
      <c r="BG70">
        <v>5.0000000000000001E-3</v>
      </c>
      <c r="BH70">
        <v>5.7999999999999996E-3</v>
      </c>
      <c r="BI70">
        <v>5.7000000000000002E-3</v>
      </c>
      <c r="BJ70">
        <v>6.0000000000000001E-3</v>
      </c>
      <c r="BK70">
        <v>5.8999999999999999E-3</v>
      </c>
      <c r="BL70">
        <v>5.7999999999999996E-3</v>
      </c>
      <c r="BM70">
        <v>5.4999999999999997E-3</v>
      </c>
      <c r="BN70">
        <v>6.0000000000000001E-3</v>
      </c>
      <c r="BO70">
        <v>6.1999999999999998E-3</v>
      </c>
      <c r="BP70">
        <v>5.3E-3</v>
      </c>
      <c r="BQ70">
        <v>5.4999999999999997E-3</v>
      </c>
      <c r="BR70">
        <v>5.1000000000000004E-3</v>
      </c>
      <c r="BS70">
        <v>4.7999999999999996E-3</v>
      </c>
      <c r="BT70">
        <v>5.1000000000000004E-3</v>
      </c>
      <c r="BU70">
        <v>4.7999999999999996E-3</v>
      </c>
      <c r="BV70">
        <v>4.3E-3</v>
      </c>
      <c r="BW70">
        <v>5.4999999999999997E-3</v>
      </c>
      <c r="BX70">
        <v>5.7000000000000002E-3</v>
      </c>
      <c r="BY70">
        <v>6.3E-3</v>
      </c>
      <c r="BZ70">
        <v>6.0000000000000001E-3</v>
      </c>
      <c r="CA70">
        <v>4.5999999999999999E-3</v>
      </c>
      <c r="CB70">
        <v>5.0000000000000001E-3</v>
      </c>
      <c r="CC70">
        <v>5.0000000000000001E-3</v>
      </c>
      <c r="CD70">
        <v>5.1000000000000004E-3</v>
      </c>
      <c r="CE70">
        <v>1.9E-3</v>
      </c>
      <c r="CF70">
        <v>2E-3</v>
      </c>
      <c r="CG70">
        <v>1.8E-3</v>
      </c>
      <c r="CH70">
        <v>2.2000000000000001E-3</v>
      </c>
      <c r="CI70">
        <v>2.0999999999999999E-3</v>
      </c>
      <c r="CJ70">
        <v>8.0000000000000004E-4</v>
      </c>
      <c r="CK70">
        <v>1.6999999999999999E-3</v>
      </c>
      <c r="CL70">
        <v>2.8999999999999998E-3</v>
      </c>
      <c r="CM70">
        <v>3.8E-3</v>
      </c>
      <c r="CN70">
        <v>2.5999999999999999E-3</v>
      </c>
      <c r="CO70">
        <v>3.0999999999999999E-3</v>
      </c>
      <c r="CP70">
        <v>2.0999999999999999E-3</v>
      </c>
      <c r="CQ70">
        <v>2.5000000000000001E-3</v>
      </c>
      <c r="CR70">
        <v>-1.4E-3</v>
      </c>
      <c r="CS70">
        <v>0</v>
      </c>
      <c r="CT70">
        <v>-3.3999999999999998E-3</v>
      </c>
      <c r="CU70">
        <v>-6.8999999999999999E-3</v>
      </c>
      <c r="CV70">
        <v>-6.0000000000000001E-3</v>
      </c>
    </row>
    <row r="71" spans="1:100" x14ac:dyDescent="0.2">
      <c r="A71" t="s">
        <v>5919</v>
      </c>
      <c r="B71">
        <v>-6.7999999999999996E-3</v>
      </c>
      <c r="C71">
        <v>-6.7999999999999996E-3</v>
      </c>
      <c r="D71">
        <v>-6.7999999999999996E-3</v>
      </c>
      <c r="E71">
        <v>-0.32450000000000001</v>
      </c>
      <c r="F71">
        <v>-3.1E-2</v>
      </c>
      <c r="G71">
        <v>-0.1065</v>
      </c>
      <c r="H71">
        <v>-1.8499999999999999E-2</v>
      </c>
      <c r="I71">
        <v>-4.9399999999999999E-2</v>
      </c>
      <c r="J71">
        <v>-5.9299999999999999E-2</v>
      </c>
      <c r="K71">
        <v>-3.73E-2</v>
      </c>
      <c r="L71">
        <v>-4.8399999999999999E-2</v>
      </c>
      <c r="M71">
        <v>-4.7500000000000001E-2</v>
      </c>
      <c r="N71">
        <v>-5.7200000000000001E-2</v>
      </c>
      <c r="O71">
        <v>2.8199999999999999E-2</v>
      </c>
      <c r="P71">
        <v>4.5600000000000002E-2</v>
      </c>
      <c r="Q71">
        <v>-2.8799999999999999E-2</v>
      </c>
      <c r="R71">
        <v>-3.4700000000000002E-2</v>
      </c>
      <c r="S71">
        <v>-2.8E-3</v>
      </c>
      <c r="T71">
        <v>-3.3700000000000001E-2</v>
      </c>
      <c r="U71">
        <v>-4.2900000000000001E-2</v>
      </c>
      <c r="V71">
        <v>-2.06E-2</v>
      </c>
      <c r="W71">
        <v>2.3E-3</v>
      </c>
      <c r="X71">
        <v>1.1000000000000001E-3</v>
      </c>
      <c r="Y71">
        <v>-8.6E-3</v>
      </c>
      <c r="Z71">
        <v>-2.2100000000000002E-2</v>
      </c>
      <c r="AA71">
        <v>-2.87E-2</v>
      </c>
      <c r="AB71">
        <v>-2.3699999999999999E-2</v>
      </c>
      <c r="AC71">
        <v>-2.24E-2</v>
      </c>
      <c r="AD71">
        <v>-2.6700000000000002E-2</v>
      </c>
      <c r="AE71">
        <v>-2.9399999999999999E-2</v>
      </c>
      <c r="AF71">
        <v>-3.0599999999999999E-2</v>
      </c>
      <c r="AG71">
        <v>-2.7E-2</v>
      </c>
      <c r="AH71">
        <v>-2.6200000000000001E-2</v>
      </c>
      <c r="AI71">
        <v>-2.3099999999999999E-2</v>
      </c>
      <c r="AJ71">
        <v>-2.0799999999999999E-2</v>
      </c>
      <c r="AK71">
        <v>-1.9199999999999998E-2</v>
      </c>
      <c r="AL71">
        <v>-1.6199999999999999E-2</v>
      </c>
      <c r="AM71">
        <v>-1.47E-2</v>
      </c>
      <c r="AN71">
        <v>-1.37E-2</v>
      </c>
      <c r="AO71">
        <v>-9.7999999999999997E-3</v>
      </c>
      <c r="AP71">
        <v>-2.1899999999999999E-2</v>
      </c>
      <c r="AQ71">
        <v>-2.3300000000000001E-2</v>
      </c>
      <c r="AR71">
        <v>-2.0799999999999999E-2</v>
      </c>
      <c r="AS71">
        <v>-2.2800000000000001E-2</v>
      </c>
      <c r="AT71">
        <v>-2.4400000000000002E-2</v>
      </c>
      <c r="AU71">
        <v>-2.1000000000000001E-2</v>
      </c>
      <c r="AV71">
        <v>-1.6199999999999999E-2</v>
      </c>
      <c r="AW71">
        <v>-1.5699999999999999E-2</v>
      </c>
      <c r="AX71">
        <v>-1.26E-2</v>
      </c>
      <c r="AY71">
        <v>-9.7000000000000003E-3</v>
      </c>
      <c r="AZ71">
        <v>-8.6E-3</v>
      </c>
      <c r="BA71">
        <v>-5.7000000000000002E-3</v>
      </c>
      <c r="BB71">
        <v>-4.8999999999999998E-3</v>
      </c>
      <c r="BC71">
        <v>-5.5999999999999999E-3</v>
      </c>
      <c r="BD71">
        <v>-5.1999999999999998E-3</v>
      </c>
      <c r="BE71">
        <v>-2.5000000000000001E-3</v>
      </c>
      <c r="BF71">
        <v>-6.6E-3</v>
      </c>
      <c r="BG71">
        <v>-6.3E-3</v>
      </c>
      <c r="BH71">
        <v>-1.2500000000000001E-2</v>
      </c>
      <c r="BI71">
        <v>-1.12E-2</v>
      </c>
      <c r="BJ71">
        <v>-1.0999999999999999E-2</v>
      </c>
      <c r="BK71">
        <v>-1.2800000000000001E-2</v>
      </c>
      <c r="BL71">
        <v>-1.4E-2</v>
      </c>
      <c r="BM71">
        <v>-1.38E-2</v>
      </c>
      <c r="BN71">
        <v>-1.7299999999999999E-2</v>
      </c>
      <c r="BO71">
        <v>-1.7100000000000001E-2</v>
      </c>
      <c r="BP71">
        <v>-1.66E-2</v>
      </c>
      <c r="BQ71">
        <v>-1.7600000000000001E-2</v>
      </c>
      <c r="BR71">
        <v>-1.95E-2</v>
      </c>
      <c r="BS71">
        <v>-1.47E-2</v>
      </c>
      <c r="BT71">
        <v>-1.3299999999999999E-2</v>
      </c>
      <c r="BU71">
        <v>-1.15E-2</v>
      </c>
      <c r="BV71">
        <v>-1.4E-2</v>
      </c>
      <c r="BW71">
        <v>-1.3599999999999999E-2</v>
      </c>
      <c r="BX71">
        <v>-1.38E-2</v>
      </c>
      <c r="BY71">
        <v>-1.4E-2</v>
      </c>
      <c r="BZ71">
        <v>-9.1000000000000004E-3</v>
      </c>
      <c r="CA71">
        <v>-8.8000000000000005E-3</v>
      </c>
      <c r="CB71">
        <v>-6.0000000000000001E-3</v>
      </c>
      <c r="CC71">
        <v>-6.3E-3</v>
      </c>
      <c r="CD71">
        <v>-7.6E-3</v>
      </c>
      <c r="CE71">
        <v>-7.3000000000000001E-3</v>
      </c>
      <c r="CF71">
        <v>-2.8999999999999998E-3</v>
      </c>
      <c r="CG71">
        <v>-1.0800000000000001E-2</v>
      </c>
      <c r="CH71">
        <v>-9.7000000000000003E-3</v>
      </c>
      <c r="CI71">
        <v>-9.2999999999999992E-3</v>
      </c>
      <c r="CJ71">
        <v>-9.2999999999999992E-3</v>
      </c>
      <c r="CK71">
        <v>-1.0699999999999999E-2</v>
      </c>
      <c r="CL71">
        <v>-1.1599999999999999E-2</v>
      </c>
      <c r="CM71">
        <v>-2.24E-2</v>
      </c>
      <c r="CN71">
        <v>-4.07E-2</v>
      </c>
      <c r="CO71">
        <v>-4.58E-2</v>
      </c>
      <c r="CP71">
        <v>-5.3100000000000001E-2</v>
      </c>
      <c r="CQ71">
        <v>-3.9600000000000003E-2</v>
      </c>
      <c r="CR71">
        <v>-4.2799999999999998E-2</v>
      </c>
      <c r="CS71">
        <v>-6.4699999999999994E-2</v>
      </c>
      <c r="CT71">
        <v>-0.1031</v>
      </c>
      <c r="CU71">
        <v>-0.128</v>
      </c>
      <c r="CV71">
        <v>-0.18190000000000001</v>
      </c>
    </row>
    <row r="72" spans="1:100" x14ac:dyDescent="0.2">
      <c r="A72" t="s">
        <v>5920</v>
      </c>
      <c r="B72">
        <v>2.8E-3</v>
      </c>
      <c r="C72">
        <v>2.8E-3</v>
      </c>
      <c r="D72">
        <v>2.8E-3</v>
      </c>
      <c r="E72">
        <v>-0.14149999999999999</v>
      </c>
      <c r="F72">
        <v>8.9700000000000002E-2</v>
      </c>
      <c r="G72">
        <v>-2.2100000000000002E-2</v>
      </c>
      <c r="H72">
        <v>6.0400000000000002E-2</v>
      </c>
      <c r="I72">
        <v>1.9099999999999999E-2</v>
      </c>
      <c r="J72">
        <v>6.7000000000000002E-3</v>
      </c>
      <c r="K72">
        <v>2.4199999999999999E-2</v>
      </c>
      <c r="L72">
        <v>8.2000000000000007E-3</v>
      </c>
      <c r="M72">
        <v>6.4999999999999997E-3</v>
      </c>
      <c r="N72">
        <v>-1.0999999999999999E-2</v>
      </c>
      <c r="O72">
        <v>6.54E-2</v>
      </c>
      <c r="P72">
        <v>8.3099999999999993E-2</v>
      </c>
      <c r="Q72">
        <v>1.1000000000000001E-3</v>
      </c>
      <c r="R72">
        <v>-9.9000000000000008E-3</v>
      </c>
      <c r="S72">
        <v>2.0299999999999999E-2</v>
      </c>
      <c r="T72">
        <v>-1.3299999999999999E-2</v>
      </c>
      <c r="U72">
        <v>-2.5000000000000001E-2</v>
      </c>
      <c r="V72">
        <v>-2.8E-3</v>
      </c>
      <c r="W72">
        <v>2.0500000000000001E-2</v>
      </c>
      <c r="X72">
        <v>1.95E-2</v>
      </c>
      <c r="Y72">
        <v>1.01E-2</v>
      </c>
      <c r="Z72">
        <v>-4.1000000000000003E-3</v>
      </c>
      <c r="AA72">
        <v>-1.0500000000000001E-2</v>
      </c>
      <c r="AB72">
        <v>-5.4000000000000003E-3</v>
      </c>
      <c r="AC72">
        <v>-3.8E-3</v>
      </c>
      <c r="AD72">
        <v>-7.7000000000000002E-3</v>
      </c>
      <c r="AE72">
        <v>-9.7999999999999997E-3</v>
      </c>
      <c r="AF72">
        <v>-1.0800000000000001E-2</v>
      </c>
      <c r="AG72">
        <v>-5.7999999999999996E-3</v>
      </c>
      <c r="AH72">
        <v>-4.1999999999999997E-3</v>
      </c>
      <c r="AI72">
        <v>-6.9999999999999999E-4</v>
      </c>
      <c r="AJ72">
        <v>1.8E-3</v>
      </c>
      <c r="AK72">
        <v>3.8999999999999998E-3</v>
      </c>
      <c r="AL72">
        <v>7.3000000000000001E-3</v>
      </c>
      <c r="AM72">
        <v>9.1000000000000004E-3</v>
      </c>
      <c r="AN72">
        <v>0.01</v>
      </c>
      <c r="AO72">
        <v>1.4E-2</v>
      </c>
      <c r="AP72">
        <v>1.9E-3</v>
      </c>
      <c r="AQ72">
        <v>5.0000000000000001E-4</v>
      </c>
      <c r="AR72">
        <v>2.8999999999999998E-3</v>
      </c>
      <c r="AS72">
        <v>8.9999999999999998E-4</v>
      </c>
      <c r="AT72">
        <v>-5.9999999999999995E-4</v>
      </c>
      <c r="AU72">
        <v>3.0999999999999999E-3</v>
      </c>
      <c r="AV72">
        <v>7.9000000000000008E-3</v>
      </c>
      <c r="AW72">
        <v>8.5000000000000006E-3</v>
      </c>
      <c r="AX72">
        <v>1.26E-2</v>
      </c>
      <c r="AY72">
        <v>1.5800000000000002E-2</v>
      </c>
      <c r="AZ72">
        <v>1.7000000000000001E-2</v>
      </c>
      <c r="BA72">
        <v>2.07E-2</v>
      </c>
      <c r="BB72">
        <v>2.1700000000000001E-2</v>
      </c>
      <c r="BC72">
        <v>2.1499999999999998E-2</v>
      </c>
      <c r="BD72">
        <v>2.1700000000000001E-2</v>
      </c>
      <c r="BE72">
        <v>2.4199999999999999E-2</v>
      </c>
      <c r="BF72">
        <v>1.9900000000000001E-2</v>
      </c>
      <c r="BG72">
        <v>1.9599999999999999E-2</v>
      </c>
      <c r="BH72">
        <v>1.35E-2</v>
      </c>
      <c r="BI72">
        <v>1.49E-2</v>
      </c>
      <c r="BJ72">
        <v>1.5100000000000001E-2</v>
      </c>
      <c r="BK72">
        <v>1.32E-2</v>
      </c>
      <c r="BL72">
        <v>1.21E-2</v>
      </c>
      <c r="BM72">
        <v>1.38E-2</v>
      </c>
      <c r="BN72">
        <v>1.26E-2</v>
      </c>
      <c r="BO72">
        <v>1.3899999999999999E-2</v>
      </c>
      <c r="BP72">
        <v>1.55E-2</v>
      </c>
      <c r="BQ72">
        <v>1.5100000000000001E-2</v>
      </c>
      <c r="BR72">
        <v>1.34E-2</v>
      </c>
      <c r="BS72">
        <v>1.89E-2</v>
      </c>
      <c r="BT72">
        <v>1.9900000000000001E-2</v>
      </c>
      <c r="BU72">
        <v>2.2599999999999999E-2</v>
      </c>
      <c r="BV72">
        <v>2.0299999999999999E-2</v>
      </c>
      <c r="BW72">
        <v>2.07E-2</v>
      </c>
      <c r="BX72">
        <v>2.1100000000000001E-2</v>
      </c>
      <c r="BY72">
        <v>2.1899999999999999E-2</v>
      </c>
      <c r="BZ72">
        <v>2.6100000000000002E-2</v>
      </c>
      <c r="CA72">
        <v>2.8799999999999999E-2</v>
      </c>
      <c r="CB72">
        <v>3.4500000000000003E-2</v>
      </c>
      <c r="CC72">
        <v>3.7499999999999999E-2</v>
      </c>
      <c r="CD72">
        <v>3.9199999999999999E-2</v>
      </c>
      <c r="CE72">
        <v>3.8800000000000001E-2</v>
      </c>
      <c r="CF72">
        <v>4.1700000000000001E-2</v>
      </c>
      <c r="CG72">
        <v>3.2199999999999999E-2</v>
      </c>
      <c r="CH72">
        <v>3.4500000000000003E-2</v>
      </c>
      <c r="CI72">
        <v>4.0899999999999999E-2</v>
      </c>
      <c r="CJ72">
        <v>4.3099999999999999E-2</v>
      </c>
      <c r="CK72">
        <v>4.2500000000000003E-2</v>
      </c>
      <c r="CL72">
        <v>4.2299999999999997E-2</v>
      </c>
      <c r="CM72">
        <v>3.7900000000000003E-2</v>
      </c>
      <c r="CN72">
        <v>2.3800000000000002E-2</v>
      </c>
      <c r="CO72">
        <v>2.53E-2</v>
      </c>
      <c r="CP72">
        <v>2.4500000000000001E-2</v>
      </c>
      <c r="CQ72">
        <v>4.4699999999999997E-2</v>
      </c>
      <c r="CR72">
        <v>5.2999999999999999E-2</v>
      </c>
      <c r="CS72">
        <v>3.0700000000000002E-2</v>
      </c>
      <c r="CT72">
        <v>4.3499999999999997E-2</v>
      </c>
      <c r="CU72">
        <v>2.4199999999999999E-2</v>
      </c>
      <c r="CV72">
        <v>7.2700000000000001E-2</v>
      </c>
    </row>
    <row r="73" spans="1:100" x14ac:dyDescent="0.2">
      <c r="A73" t="s">
        <v>5921</v>
      </c>
      <c r="B73">
        <v>-3.7000000000000002E-3</v>
      </c>
      <c r="C73">
        <v>-3.7000000000000002E-3</v>
      </c>
      <c r="D73">
        <v>-3.7000000000000002E-3</v>
      </c>
      <c r="E73">
        <v>-7.9600000000000004E-2</v>
      </c>
      <c r="F73">
        <v>-5.45E-2</v>
      </c>
      <c r="G73">
        <v>-6.9599999999999995E-2</v>
      </c>
      <c r="H73">
        <v>-6.2199999999999998E-2</v>
      </c>
      <c r="I73">
        <v>-4.9299999999999997E-2</v>
      </c>
      <c r="J73">
        <v>-3.9800000000000002E-2</v>
      </c>
      <c r="K73">
        <v>-3.3300000000000003E-2</v>
      </c>
      <c r="L73">
        <v>-4.53E-2</v>
      </c>
      <c r="M73">
        <v>-3.4000000000000002E-2</v>
      </c>
      <c r="N73">
        <v>-3.2300000000000002E-2</v>
      </c>
      <c r="O73">
        <v>-3.2899999999999999E-2</v>
      </c>
      <c r="P73">
        <v>-2.7400000000000001E-2</v>
      </c>
      <c r="Q73">
        <v>-1.46E-2</v>
      </c>
      <c r="R73">
        <v>-1.6799999999999999E-2</v>
      </c>
      <c r="S73">
        <v>-1.0999999999999999E-2</v>
      </c>
      <c r="T73">
        <v>-9.7000000000000003E-3</v>
      </c>
      <c r="U73">
        <v>-1.18E-2</v>
      </c>
      <c r="V73">
        <v>-1.38E-2</v>
      </c>
      <c r="W73">
        <v>-2.2800000000000001E-2</v>
      </c>
      <c r="X73">
        <v>-1.17E-2</v>
      </c>
      <c r="Y73">
        <v>-4.8999999999999998E-3</v>
      </c>
      <c r="Z73">
        <v>-1.2E-2</v>
      </c>
      <c r="AA73">
        <v>-8.6999999999999994E-3</v>
      </c>
      <c r="AB73">
        <v>-1.0999999999999999E-2</v>
      </c>
      <c r="AC73">
        <v>-1.34E-2</v>
      </c>
      <c r="AD73">
        <v>-1.37E-2</v>
      </c>
      <c r="AE73">
        <v>-1.47E-2</v>
      </c>
      <c r="AF73">
        <v>-1.2800000000000001E-2</v>
      </c>
      <c r="AG73">
        <v>-1.17E-2</v>
      </c>
      <c r="AH73">
        <v>-1.15E-2</v>
      </c>
      <c r="AI73">
        <v>-1.5100000000000001E-2</v>
      </c>
      <c r="AJ73">
        <v>-9.1000000000000004E-3</v>
      </c>
      <c r="AK73">
        <v>-1.12E-2</v>
      </c>
      <c r="AL73">
        <v>-9.5999999999999992E-3</v>
      </c>
      <c r="AM73">
        <v>-1.17E-2</v>
      </c>
      <c r="AN73">
        <v>-1.34E-2</v>
      </c>
      <c r="AO73">
        <v>-8.6999999999999994E-3</v>
      </c>
      <c r="AP73">
        <v>-1.5800000000000002E-2</v>
      </c>
      <c r="AQ73">
        <v>-8.6E-3</v>
      </c>
      <c r="AR73">
        <v>-1.1900000000000001E-2</v>
      </c>
      <c r="AS73">
        <v>-1.2800000000000001E-2</v>
      </c>
      <c r="AT73">
        <v>-1.32E-2</v>
      </c>
      <c r="AU73">
        <v>-1.8100000000000002E-2</v>
      </c>
      <c r="AV73">
        <v>-1.49E-2</v>
      </c>
      <c r="AW73">
        <v>-1.2800000000000001E-2</v>
      </c>
      <c r="AX73">
        <v>-1.32E-2</v>
      </c>
      <c r="AY73">
        <v>-1.4800000000000001E-2</v>
      </c>
      <c r="AZ73">
        <v>-1.4E-2</v>
      </c>
      <c r="BA73">
        <v>-1.2800000000000001E-2</v>
      </c>
      <c r="BB73">
        <v>-1.2699999999999999E-2</v>
      </c>
      <c r="BC73">
        <v>-1.2200000000000001E-2</v>
      </c>
      <c r="BD73">
        <v>-1.3899999999999999E-2</v>
      </c>
      <c r="BE73">
        <v>-1.4500000000000001E-2</v>
      </c>
      <c r="BF73">
        <v>-1.5699999999999999E-2</v>
      </c>
      <c r="BG73">
        <v>-1.2200000000000001E-2</v>
      </c>
      <c r="BH73">
        <v>-1.5599999999999999E-2</v>
      </c>
      <c r="BI73">
        <v>-1.78E-2</v>
      </c>
      <c r="BJ73">
        <v>-0.02</v>
      </c>
      <c r="BK73">
        <v>-1.38E-2</v>
      </c>
      <c r="BL73">
        <v>-1.24E-2</v>
      </c>
      <c r="BM73">
        <v>-1.3599999999999999E-2</v>
      </c>
      <c r="BN73">
        <v>-1.54E-2</v>
      </c>
      <c r="BO73">
        <v>-1.37E-2</v>
      </c>
      <c r="BP73">
        <v>-1.9099999999999999E-2</v>
      </c>
      <c r="BQ73">
        <v>-1.7100000000000001E-2</v>
      </c>
      <c r="BR73">
        <v>-1.84E-2</v>
      </c>
      <c r="BS73">
        <v>-2.1899999999999999E-2</v>
      </c>
      <c r="BT73">
        <v>-1.9599999999999999E-2</v>
      </c>
      <c r="BU73">
        <v>-1.9E-2</v>
      </c>
      <c r="BV73">
        <v>-1.7999999999999999E-2</v>
      </c>
      <c r="BW73">
        <v>-1.7899999999999999E-2</v>
      </c>
      <c r="BX73">
        <v>-1.9599999999999999E-2</v>
      </c>
      <c r="BY73">
        <v>-2.3699999999999999E-2</v>
      </c>
      <c r="BZ73">
        <v>-1.89E-2</v>
      </c>
      <c r="CA73">
        <v>-1.9800000000000002E-2</v>
      </c>
      <c r="CB73">
        <v>-1.9599999999999999E-2</v>
      </c>
      <c r="CC73">
        <v>-1.9400000000000001E-2</v>
      </c>
      <c r="CD73">
        <v>-2.2200000000000001E-2</v>
      </c>
      <c r="CE73">
        <v>-1.9599999999999999E-2</v>
      </c>
      <c r="CF73">
        <v>-2.24E-2</v>
      </c>
      <c r="CG73">
        <v>-1.7899999999999999E-2</v>
      </c>
      <c r="CH73">
        <v>-1.95E-2</v>
      </c>
      <c r="CI73">
        <v>-1.8100000000000002E-2</v>
      </c>
      <c r="CJ73">
        <v>-1.7100000000000001E-2</v>
      </c>
      <c r="CK73">
        <v>-2.4199999999999999E-2</v>
      </c>
      <c r="CL73">
        <v>-1.26E-2</v>
      </c>
      <c r="CM73">
        <v>-1.7500000000000002E-2</v>
      </c>
      <c r="CN73">
        <v>-2.5000000000000001E-2</v>
      </c>
      <c r="CO73">
        <v>-2.46E-2</v>
      </c>
      <c r="CP73">
        <v>-2.1299999999999999E-2</v>
      </c>
      <c r="CQ73">
        <v>-2.3900000000000001E-2</v>
      </c>
      <c r="CR73">
        <v>-3.3099999999999997E-2</v>
      </c>
      <c r="CS73">
        <v>-3.9800000000000002E-2</v>
      </c>
      <c r="CT73">
        <v>-4.1099999999999998E-2</v>
      </c>
      <c r="CU73">
        <v>-5.21E-2</v>
      </c>
      <c r="CV73">
        <v>-5.16E-2</v>
      </c>
    </row>
    <row r="74" spans="1:100" x14ac:dyDescent="0.2">
      <c r="A74" t="s">
        <v>5922</v>
      </c>
      <c r="B74">
        <v>2.7000000000000001E-3</v>
      </c>
      <c r="C74">
        <v>2.7000000000000001E-3</v>
      </c>
      <c r="D74">
        <v>2.7000000000000001E-3</v>
      </c>
      <c r="E74">
        <v>1.43E-2</v>
      </c>
      <c r="F74">
        <v>7.1999999999999998E-3</v>
      </c>
      <c r="G74">
        <v>-2.5499999999999998E-2</v>
      </c>
      <c r="H74">
        <v>-2.06E-2</v>
      </c>
      <c r="I74">
        <v>-1.43E-2</v>
      </c>
      <c r="J74">
        <v>-6.0000000000000001E-3</v>
      </c>
      <c r="K74">
        <v>-1.8E-3</v>
      </c>
      <c r="L74">
        <v>-1.66E-2</v>
      </c>
      <c r="M74">
        <v>-6.6E-3</v>
      </c>
      <c r="N74">
        <v>-8.9999999999999993E-3</v>
      </c>
      <c r="O74">
        <v>-1.44E-2</v>
      </c>
      <c r="P74">
        <v>-8.8000000000000005E-3</v>
      </c>
      <c r="Q74">
        <v>2.9999999999999997E-4</v>
      </c>
      <c r="R74">
        <v>-4.4000000000000003E-3</v>
      </c>
      <c r="S74">
        <v>5.0000000000000001E-4</v>
      </c>
      <c r="T74">
        <v>5.0000000000000001E-4</v>
      </c>
      <c r="U74">
        <v>-3.0000000000000001E-3</v>
      </c>
      <c r="V74">
        <v>-5.0000000000000001E-3</v>
      </c>
      <c r="W74">
        <v>-1.4E-2</v>
      </c>
      <c r="X74">
        <v>-2.8E-3</v>
      </c>
      <c r="Y74">
        <v>4.1000000000000003E-3</v>
      </c>
      <c r="Z74">
        <v>-3.3E-3</v>
      </c>
      <c r="AA74">
        <v>0</v>
      </c>
      <c r="AB74">
        <v>-2.2000000000000001E-3</v>
      </c>
      <c r="AC74">
        <v>-4.4000000000000003E-3</v>
      </c>
      <c r="AD74">
        <v>-4.5999999999999999E-3</v>
      </c>
      <c r="AE74">
        <v>-5.1999999999999998E-3</v>
      </c>
      <c r="AF74">
        <v>-3.0999999999999999E-3</v>
      </c>
      <c r="AG74">
        <v>-1.2999999999999999E-3</v>
      </c>
      <c r="AH74">
        <v>-6.9999999999999999E-4</v>
      </c>
      <c r="AI74">
        <v>-4.1999999999999997E-3</v>
      </c>
      <c r="AJ74">
        <v>1.9E-3</v>
      </c>
      <c r="AK74">
        <v>1E-4</v>
      </c>
      <c r="AL74">
        <v>1.8E-3</v>
      </c>
      <c r="AM74">
        <v>-2.0000000000000001E-4</v>
      </c>
      <c r="AN74">
        <v>-1.9E-3</v>
      </c>
      <c r="AO74">
        <v>2.8E-3</v>
      </c>
      <c r="AP74">
        <v>-4.3E-3</v>
      </c>
      <c r="AQ74">
        <v>2.8E-3</v>
      </c>
      <c r="AR74">
        <v>-5.0000000000000001E-4</v>
      </c>
      <c r="AS74">
        <v>-1.4E-3</v>
      </c>
      <c r="AT74">
        <v>-1.8E-3</v>
      </c>
      <c r="AU74">
        <v>-6.6E-3</v>
      </c>
      <c r="AV74">
        <v>-3.2000000000000002E-3</v>
      </c>
      <c r="AW74">
        <v>-1.1999999999999999E-3</v>
      </c>
      <c r="AX74">
        <v>-1E-3</v>
      </c>
      <c r="AY74">
        <v>-2.5000000000000001E-3</v>
      </c>
      <c r="AZ74">
        <v>-1.6000000000000001E-3</v>
      </c>
      <c r="BA74">
        <v>-1E-4</v>
      </c>
      <c r="BB74">
        <v>1E-4</v>
      </c>
      <c r="BC74">
        <v>8.0000000000000004E-4</v>
      </c>
      <c r="BD74">
        <v>-1E-3</v>
      </c>
      <c r="BE74">
        <v>-1.6000000000000001E-3</v>
      </c>
      <c r="BF74">
        <v>-2.8999999999999998E-3</v>
      </c>
      <c r="BG74">
        <v>4.0000000000000002E-4</v>
      </c>
      <c r="BH74">
        <v>-3.0000000000000001E-3</v>
      </c>
      <c r="BI74">
        <v>-5.1999999999999998E-3</v>
      </c>
      <c r="BJ74">
        <v>-7.4000000000000003E-3</v>
      </c>
      <c r="BK74">
        <v>-1.4E-3</v>
      </c>
      <c r="BL74">
        <v>1E-4</v>
      </c>
      <c r="BM74">
        <v>-4.0000000000000002E-4</v>
      </c>
      <c r="BN74">
        <v>-1.1999999999999999E-3</v>
      </c>
      <c r="BO74">
        <v>1.1000000000000001E-3</v>
      </c>
      <c r="BP74">
        <v>-3.8E-3</v>
      </c>
      <c r="BQ74">
        <v>-1.4E-3</v>
      </c>
      <c r="BR74">
        <v>-2.5000000000000001E-3</v>
      </c>
      <c r="BS74">
        <v>-5.7999999999999996E-3</v>
      </c>
      <c r="BT74">
        <v>-3.5999999999999999E-3</v>
      </c>
      <c r="BU74">
        <v>-2.7000000000000001E-3</v>
      </c>
      <c r="BV74">
        <v>-1.6000000000000001E-3</v>
      </c>
      <c r="BW74">
        <v>-1.4E-3</v>
      </c>
      <c r="BX74">
        <v>-2.8E-3</v>
      </c>
      <c r="BY74">
        <v>-6.4999999999999997E-3</v>
      </c>
      <c r="BZ74">
        <v>-1.9E-3</v>
      </c>
      <c r="CA74">
        <v>-1.6999999999999999E-3</v>
      </c>
      <c r="CB74">
        <v>-2.0000000000000001E-4</v>
      </c>
      <c r="CC74">
        <v>1.6000000000000001E-3</v>
      </c>
      <c r="CD74">
        <v>1E-4</v>
      </c>
      <c r="CE74">
        <v>2.5000000000000001E-3</v>
      </c>
      <c r="CF74">
        <v>-1.1000000000000001E-3</v>
      </c>
      <c r="CG74">
        <v>2.8E-3</v>
      </c>
      <c r="CH74">
        <v>1.8E-3</v>
      </c>
      <c r="CI74">
        <v>6.0000000000000001E-3</v>
      </c>
      <c r="CJ74">
        <v>7.9000000000000008E-3</v>
      </c>
      <c r="CK74">
        <v>1.6000000000000001E-3</v>
      </c>
      <c r="CL74">
        <v>1.35E-2</v>
      </c>
      <c r="CM74">
        <v>1.15E-2</v>
      </c>
      <c r="CN74">
        <v>6.1000000000000004E-3</v>
      </c>
      <c r="CO74">
        <v>9.4999999999999998E-3</v>
      </c>
      <c r="CP74">
        <v>1.4E-2</v>
      </c>
      <c r="CQ74">
        <v>1.44E-2</v>
      </c>
      <c r="CR74">
        <v>9.7000000000000003E-3</v>
      </c>
      <c r="CS74">
        <v>0</v>
      </c>
      <c r="CT74">
        <v>1.77E-2</v>
      </c>
      <c r="CU74">
        <v>7.7000000000000002E-3</v>
      </c>
      <c r="CV74">
        <v>3.7499999999999999E-2</v>
      </c>
    </row>
    <row r="75" spans="1:100" x14ac:dyDescent="0.2">
      <c r="A75" t="s">
        <v>5923</v>
      </c>
      <c r="B75">
        <v>-1.6000000000000001E-3</v>
      </c>
      <c r="C75">
        <v>-1.6000000000000001E-3</v>
      </c>
      <c r="D75">
        <v>-1.6000000000000001E-3</v>
      </c>
      <c r="E75">
        <v>7.4899999999999994E-2</v>
      </c>
      <c r="F75">
        <v>-5.0000000000000001E-3</v>
      </c>
      <c r="G75">
        <v>-0.01</v>
      </c>
      <c r="H75">
        <v>-8.1900000000000001E-2</v>
      </c>
      <c r="I75">
        <v>-0.12570000000000001</v>
      </c>
      <c r="J75">
        <v>-0.16700000000000001</v>
      </c>
      <c r="K75">
        <v>-0.13619999999999999</v>
      </c>
      <c r="L75">
        <v>-0.1197</v>
      </c>
      <c r="M75">
        <v>-0.1069</v>
      </c>
      <c r="N75">
        <v>-8.5999999999999993E-2</v>
      </c>
      <c r="O75">
        <v>-5.4300000000000001E-2</v>
      </c>
      <c r="P75">
        <v>-6.0699999999999997E-2</v>
      </c>
      <c r="Q75">
        <v>-5.2900000000000003E-2</v>
      </c>
      <c r="R75">
        <v>-4.6199999999999998E-2</v>
      </c>
      <c r="S75">
        <v>-4.3799999999999999E-2</v>
      </c>
      <c r="T75">
        <v>-3.6700000000000003E-2</v>
      </c>
      <c r="U75">
        <v>-3.1399999999999997E-2</v>
      </c>
      <c r="V75">
        <v>-2.87E-2</v>
      </c>
      <c r="W75">
        <v>-2.07E-2</v>
      </c>
      <c r="X75">
        <v>-2.4400000000000002E-2</v>
      </c>
      <c r="Y75">
        <v>-2.24E-2</v>
      </c>
      <c r="Z75">
        <v>-2.4199999999999999E-2</v>
      </c>
      <c r="AA75">
        <v>-2.1999999999999999E-2</v>
      </c>
      <c r="AB75">
        <v>-1.9900000000000001E-2</v>
      </c>
      <c r="AC75">
        <v>-1.9900000000000001E-2</v>
      </c>
      <c r="AD75">
        <v>-2.41E-2</v>
      </c>
      <c r="AE75">
        <v>-2.4799999999999999E-2</v>
      </c>
      <c r="AF75">
        <v>-2.6200000000000001E-2</v>
      </c>
      <c r="AG75">
        <v>-2.7300000000000001E-2</v>
      </c>
      <c r="AH75">
        <v>-1.72E-2</v>
      </c>
      <c r="AI75">
        <v>-1.03E-2</v>
      </c>
      <c r="AJ75">
        <v>-0.01</v>
      </c>
      <c r="AK75">
        <v>-7.7000000000000002E-3</v>
      </c>
      <c r="AL75">
        <v>-7.4000000000000003E-3</v>
      </c>
      <c r="AM75">
        <v>-1.24E-2</v>
      </c>
      <c r="AN75">
        <v>-1.11E-2</v>
      </c>
      <c r="AO75">
        <v>-9.5999999999999992E-3</v>
      </c>
      <c r="AP75">
        <v>-1.0800000000000001E-2</v>
      </c>
      <c r="AQ75">
        <v>-7.0000000000000001E-3</v>
      </c>
      <c r="AR75">
        <v>-5.8999999999999999E-3</v>
      </c>
      <c r="AS75">
        <v>-7.0000000000000001E-3</v>
      </c>
      <c r="AT75">
        <v>-1.0500000000000001E-2</v>
      </c>
      <c r="AU75">
        <v>-8.9999999999999993E-3</v>
      </c>
      <c r="AV75">
        <v>-1.29E-2</v>
      </c>
      <c r="AW75">
        <v>-1.43E-2</v>
      </c>
      <c r="AX75">
        <v>-1.44E-2</v>
      </c>
      <c r="AY75">
        <v>-1.7500000000000002E-2</v>
      </c>
      <c r="AZ75">
        <v>-1.3100000000000001E-2</v>
      </c>
      <c r="BA75">
        <v>-1.43E-2</v>
      </c>
      <c r="BB75">
        <v>-4.7999999999999996E-3</v>
      </c>
      <c r="BC75">
        <v>-6.4999999999999997E-3</v>
      </c>
      <c r="BD75">
        <v>-5.7999999999999996E-3</v>
      </c>
      <c r="BE75">
        <v>-7.0000000000000001E-3</v>
      </c>
      <c r="BF75">
        <v>-7.3000000000000001E-3</v>
      </c>
      <c r="BG75">
        <v>-9.1000000000000004E-3</v>
      </c>
      <c r="BH75">
        <v>-1.3100000000000001E-2</v>
      </c>
      <c r="BI75">
        <v>-1.9099999999999999E-2</v>
      </c>
      <c r="BJ75">
        <v>-1.95E-2</v>
      </c>
      <c r="BK75">
        <v>-1.61E-2</v>
      </c>
      <c r="BL75">
        <v>-1.5900000000000001E-2</v>
      </c>
      <c r="BM75">
        <v>-1.9099999999999999E-2</v>
      </c>
      <c r="BN75">
        <v>-2.0400000000000001E-2</v>
      </c>
      <c r="BO75">
        <v>-1.9599999999999999E-2</v>
      </c>
      <c r="BP75">
        <v>-1.9599999999999999E-2</v>
      </c>
      <c r="BQ75">
        <v>-0.02</v>
      </c>
      <c r="BR75">
        <v>-2.23E-2</v>
      </c>
      <c r="BS75">
        <v>-2.3199999999999998E-2</v>
      </c>
      <c r="BT75">
        <v>-3.2000000000000001E-2</v>
      </c>
      <c r="BU75">
        <v>-2.18E-2</v>
      </c>
      <c r="BV75">
        <v>-2.2700000000000001E-2</v>
      </c>
      <c r="BW75">
        <v>-2.76E-2</v>
      </c>
      <c r="BX75">
        <v>-2.7300000000000001E-2</v>
      </c>
      <c r="BY75">
        <v>-3.2099999999999997E-2</v>
      </c>
      <c r="BZ75">
        <v>-3.9100000000000003E-2</v>
      </c>
      <c r="CA75">
        <v>-3.6400000000000002E-2</v>
      </c>
      <c r="CB75">
        <v>-4.19E-2</v>
      </c>
      <c r="CC75">
        <v>-4.5999999999999999E-2</v>
      </c>
      <c r="CD75">
        <v>-3.7999999999999999E-2</v>
      </c>
      <c r="CE75">
        <v>-3.3300000000000003E-2</v>
      </c>
      <c r="CF75">
        <v>-3.5400000000000001E-2</v>
      </c>
      <c r="CG75">
        <v>-3.5000000000000003E-2</v>
      </c>
      <c r="CH75">
        <v>-3.56E-2</v>
      </c>
      <c r="CI75">
        <v>-4.4699999999999997E-2</v>
      </c>
      <c r="CJ75">
        <v>-4.87E-2</v>
      </c>
      <c r="CK75">
        <v>-4.8899999999999999E-2</v>
      </c>
      <c r="CL75">
        <v>-0.04</v>
      </c>
      <c r="CM75">
        <v>-5.0799999999999998E-2</v>
      </c>
      <c r="CN75">
        <v>-5.5300000000000002E-2</v>
      </c>
      <c r="CO75">
        <v>-0.04</v>
      </c>
      <c r="CP75">
        <v>-4.4900000000000002E-2</v>
      </c>
      <c r="CQ75">
        <v>-5.2699999999999997E-2</v>
      </c>
      <c r="CR75">
        <v>-6.4600000000000005E-2</v>
      </c>
      <c r="CS75">
        <v>-4.0899999999999999E-2</v>
      </c>
      <c r="CT75">
        <v>-3.4599999999999999E-2</v>
      </c>
      <c r="CU75">
        <v>-8.8000000000000005E-3</v>
      </c>
      <c r="CV75">
        <v>-2.9899999999999999E-2</v>
      </c>
    </row>
    <row r="76" spans="1:100" x14ac:dyDescent="0.2">
      <c r="A76" t="s">
        <v>5924</v>
      </c>
      <c r="B76">
        <v>2.81E-2</v>
      </c>
      <c r="C76">
        <v>2.81E-2</v>
      </c>
      <c r="D76">
        <v>2.81E-2</v>
      </c>
      <c r="E76">
        <v>0.25900000000000001</v>
      </c>
      <c r="F76">
        <v>0.27400000000000002</v>
      </c>
      <c r="G76">
        <v>0.1933</v>
      </c>
      <c r="H76">
        <v>0.1328</v>
      </c>
      <c r="I76">
        <v>8.0100000000000005E-2</v>
      </c>
      <c r="J76">
        <v>4.99E-2</v>
      </c>
      <c r="K76">
        <v>5.5300000000000002E-2</v>
      </c>
      <c r="L76">
        <v>5.0200000000000002E-2</v>
      </c>
      <c r="M76">
        <v>5.33E-2</v>
      </c>
      <c r="N76">
        <v>4.8599999999999997E-2</v>
      </c>
      <c r="O76">
        <v>5.8000000000000003E-2</v>
      </c>
      <c r="P76">
        <v>5.45E-2</v>
      </c>
      <c r="Q76">
        <v>3.9300000000000002E-2</v>
      </c>
      <c r="R76">
        <v>3.04E-2</v>
      </c>
      <c r="S76">
        <v>2.5399999999999999E-2</v>
      </c>
      <c r="T76">
        <v>2.4400000000000002E-2</v>
      </c>
      <c r="U76">
        <v>2.1100000000000001E-2</v>
      </c>
      <c r="V76">
        <v>2.2800000000000001E-2</v>
      </c>
      <c r="W76">
        <v>3.1099999999999999E-2</v>
      </c>
      <c r="X76">
        <v>2.75E-2</v>
      </c>
      <c r="Y76">
        <v>3.0099999999999998E-2</v>
      </c>
      <c r="Z76">
        <v>2.6100000000000002E-2</v>
      </c>
      <c r="AA76">
        <v>2.8000000000000001E-2</v>
      </c>
      <c r="AB76">
        <v>3.04E-2</v>
      </c>
      <c r="AC76">
        <v>3.0800000000000001E-2</v>
      </c>
      <c r="AD76">
        <v>2.75E-2</v>
      </c>
      <c r="AE76">
        <v>2.75E-2</v>
      </c>
      <c r="AF76">
        <v>2.7E-2</v>
      </c>
      <c r="AG76">
        <v>2.92E-2</v>
      </c>
      <c r="AH76">
        <v>3.6400000000000002E-2</v>
      </c>
      <c r="AI76">
        <v>4.3900000000000002E-2</v>
      </c>
      <c r="AJ76">
        <v>4.41E-2</v>
      </c>
      <c r="AK76">
        <v>4.6899999999999997E-2</v>
      </c>
      <c r="AL76">
        <v>4.7600000000000003E-2</v>
      </c>
      <c r="AM76">
        <v>4.4299999999999999E-2</v>
      </c>
      <c r="AN76">
        <v>4.5400000000000003E-2</v>
      </c>
      <c r="AO76">
        <v>4.6600000000000003E-2</v>
      </c>
      <c r="AP76">
        <v>4.4999999999999998E-2</v>
      </c>
      <c r="AQ76">
        <v>5.21E-2</v>
      </c>
      <c r="AR76">
        <v>5.2999999999999999E-2</v>
      </c>
      <c r="AS76">
        <v>5.1799999999999999E-2</v>
      </c>
      <c r="AT76">
        <v>4.9200000000000001E-2</v>
      </c>
      <c r="AU76">
        <v>5.1200000000000002E-2</v>
      </c>
      <c r="AV76">
        <v>4.7399999999999998E-2</v>
      </c>
      <c r="AW76">
        <v>4.6699999999999998E-2</v>
      </c>
      <c r="AX76">
        <v>4.9000000000000002E-2</v>
      </c>
      <c r="AY76">
        <v>4.6600000000000003E-2</v>
      </c>
      <c r="AZ76">
        <v>5.0700000000000002E-2</v>
      </c>
      <c r="BA76">
        <v>5.1700000000000003E-2</v>
      </c>
      <c r="BB76">
        <v>6.0699999999999997E-2</v>
      </c>
      <c r="BC76">
        <v>6.0100000000000001E-2</v>
      </c>
      <c r="BD76">
        <v>6.0400000000000002E-2</v>
      </c>
      <c r="BE76">
        <v>5.9299999999999999E-2</v>
      </c>
      <c r="BF76">
        <v>5.8999999999999997E-2</v>
      </c>
      <c r="BG76">
        <v>5.6300000000000003E-2</v>
      </c>
      <c r="BH76">
        <v>5.3699999999999998E-2</v>
      </c>
      <c r="BI76">
        <v>4.99E-2</v>
      </c>
      <c r="BJ76">
        <v>4.9500000000000002E-2</v>
      </c>
      <c r="BK76">
        <v>5.1700000000000003E-2</v>
      </c>
      <c r="BL76">
        <v>5.2400000000000002E-2</v>
      </c>
      <c r="BM76">
        <v>5.3199999999999997E-2</v>
      </c>
      <c r="BN76">
        <v>5.8799999999999998E-2</v>
      </c>
      <c r="BO76">
        <v>6.4100000000000004E-2</v>
      </c>
      <c r="BP76">
        <v>6.7500000000000004E-2</v>
      </c>
      <c r="BQ76">
        <v>7.0300000000000001E-2</v>
      </c>
      <c r="BR76">
        <v>6.9199999999999998E-2</v>
      </c>
      <c r="BS76">
        <v>6.9599999999999995E-2</v>
      </c>
      <c r="BT76">
        <v>5.2400000000000002E-2</v>
      </c>
      <c r="BU76">
        <v>5.8000000000000003E-2</v>
      </c>
      <c r="BV76">
        <v>5.8099999999999999E-2</v>
      </c>
      <c r="BW76">
        <v>5.4300000000000001E-2</v>
      </c>
      <c r="BX76">
        <v>5.7200000000000001E-2</v>
      </c>
      <c r="BY76">
        <v>5.6099999999999997E-2</v>
      </c>
      <c r="BZ76">
        <v>1.9099999999999999E-2</v>
      </c>
      <c r="CA76">
        <v>2.4400000000000002E-2</v>
      </c>
      <c r="CB76">
        <v>2.3800000000000002E-2</v>
      </c>
      <c r="CC76">
        <v>2.4899999999999999E-2</v>
      </c>
      <c r="CD76">
        <v>2.5899999999999999E-2</v>
      </c>
      <c r="CE76">
        <v>2.86E-2</v>
      </c>
      <c r="CF76">
        <v>2.2599999999999999E-2</v>
      </c>
      <c r="CG76">
        <v>2.1499999999999998E-2</v>
      </c>
      <c r="CH76">
        <v>2.2700000000000001E-2</v>
      </c>
      <c r="CI76">
        <v>1.95E-2</v>
      </c>
      <c r="CJ76">
        <v>1.8100000000000002E-2</v>
      </c>
      <c r="CK76">
        <v>2.06E-2</v>
      </c>
      <c r="CL76">
        <v>2.6100000000000002E-2</v>
      </c>
      <c r="CM76">
        <v>2.23E-2</v>
      </c>
      <c r="CN76">
        <v>2.3900000000000001E-2</v>
      </c>
      <c r="CO76">
        <v>2.93E-2</v>
      </c>
      <c r="CP76">
        <v>2.9700000000000001E-2</v>
      </c>
      <c r="CQ76">
        <v>2.86E-2</v>
      </c>
      <c r="CR76">
        <v>2.5499999999999998E-2</v>
      </c>
      <c r="CS76">
        <v>3.5999999999999997E-2</v>
      </c>
      <c r="CT76">
        <v>4.3799999999999999E-2</v>
      </c>
      <c r="CU76">
        <v>5.7500000000000002E-2</v>
      </c>
      <c r="CV76">
        <v>6.6199999999999995E-2</v>
      </c>
    </row>
    <row r="77" spans="1:100" x14ac:dyDescent="0.2">
      <c r="A77" t="s">
        <v>5925</v>
      </c>
      <c r="B77">
        <v>-6.1400000000000003E-2</v>
      </c>
      <c r="C77">
        <v>-5.79E-2</v>
      </c>
      <c r="D77">
        <v>-5.45E-2</v>
      </c>
      <c r="E77">
        <v>0.46989999999999998</v>
      </c>
      <c r="F77">
        <v>-0.51300000000000001</v>
      </c>
      <c r="G77">
        <v>0.14280000000000001</v>
      </c>
      <c r="H77">
        <v>3.0700000000000002E-2</v>
      </c>
      <c r="I77">
        <v>6.4299999999999996E-2</v>
      </c>
      <c r="J77">
        <v>0.1953</v>
      </c>
      <c r="K77">
        <v>0.14979999999999999</v>
      </c>
      <c r="L77">
        <v>0.25950000000000001</v>
      </c>
      <c r="M77">
        <v>0.29039999999999999</v>
      </c>
      <c r="N77">
        <v>0.3664</v>
      </c>
      <c r="O77">
        <v>-7.7000000000000002E-3</v>
      </c>
      <c r="P77">
        <v>-5.16E-2</v>
      </c>
      <c r="Q77">
        <v>0.26729999999999998</v>
      </c>
      <c r="R77">
        <v>0.27310000000000001</v>
      </c>
      <c r="S77">
        <v>0.11749999999999999</v>
      </c>
      <c r="T77">
        <v>0.20949999999999999</v>
      </c>
      <c r="U77">
        <v>0.25140000000000001</v>
      </c>
      <c r="V77">
        <v>0.2409</v>
      </c>
      <c r="W77">
        <v>7.1199999999999999E-2</v>
      </c>
      <c r="X77">
        <v>3.1300000000000001E-2</v>
      </c>
      <c r="Y77">
        <v>2.6800000000000001E-2</v>
      </c>
      <c r="Z77">
        <v>0.1094</v>
      </c>
      <c r="AA77">
        <v>7.7299999999999994E-2</v>
      </c>
      <c r="AB77">
        <v>9.6799999999999997E-2</v>
      </c>
      <c r="AC77">
        <v>9.7500000000000003E-2</v>
      </c>
      <c r="AD77">
        <v>0.1043</v>
      </c>
      <c r="AE77">
        <v>8.2400000000000001E-2</v>
      </c>
      <c r="AF77">
        <v>8.0600000000000005E-2</v>
      </c>
      <c r="AG77">
        <v>0.06</v>
      </c>
      <c r="AH77">
        <v>5.3999999999999999E-2</v>
      </c>
      <c r="AI77">
        <v>3.6700000000000003E-2</v>
      </c>
      <c r="AJ77">
        <v>2.5499999999999998E-2</v>
      </c>
      <c r="AK77">
        <v>-6.3E-3</v>
      </c>
      <c r="AL77">
        <v>-1.77E-2</v>
      </c>
      <c r="AM77">
        <v>-2.2200000000000001E-2</v>
      </c>
      <c r="AN77">
        <v>-1.47E-2</v>
      </c>
      <c r="AO77">
        <v>-3.9100000000000003E-2</v>
      </c>
      <c r="AP77">
        <v>-2.4400000000000002E-2</v>
      </c>
      <c r="AQ77">
        <v>-2.9000000000000001E-2</v>
      </c>
      <c r="AR77">
        <v>-3.7900000000000003E-2</v>
      </c>
      <c r="AS77">
        <v>-1.24E-2</v>
      </c>
      <c r="AT77">
        <v>-4.3999999999999997E-2</v>
      </c>
      <c r="AU77">
        <v>-4.4200000000000003E-2</v>
      </c>
      <c r="AV77">
        <v>-5.7099999999999998E-2</v>
      </c>
      <c r="AW77">
        <v>-6.1400000000000003E-2</v>
      </c>
      <c r="AX77">
        <v>-9.2499999999999999E-2</v>
      </c>
      <c r="AY77">
        <v>-8.7999999999999995E-2</v>
      </c>
      <c r="AZ77">
        <v>-9.4700000000000006E-2</v>
      </c>
      <c r="BA77">
        <v>-0.11550000000000001</v>
      </c>
      <c r="BB77">
        <v>-0.12570000000000001</v>
      </c>
      <c r="BC77">
        <v>-0.1206</v>
      </c>
      <c r="BD77">
        <v>-0.11650000000000001</v>
      </c>
      <c r="BE77">
        <v>-0.1298</v>
      </c>
      <c r="BF77">
        <v>-0.1149</v>
      </c>
      <c r="BG77">
        <v>-9.9599999999999994E-2</v>
      </c>
      <c r="BH77">
        <v>-0.09</v>
      </c>
      <c r="BI77">
        <v>-8.43E-2</v>
      </c>
      <c r="BJ77">
        <v>-7.3700000000000002E-2</v>
      </c>
      <c r="BK77">
        <v>-6.8199999999999997E-2</v>
      </c>
      <c r="BL77">
        <v>-7.5300000000000006E-2</v>
      </c>
      <c r="BM77">
        <v>-7.17E-2</v>
      </c>
      <c r="BN77">
        <v>-5.9499999999999997E-2</v>
      </c>
      <c r="BO77">
        <v>-4.3900000000000002E-2</v>
      </c>
      <c r="BP77">
        <v>-4.9099999999999998E-2</v>
      </c>
      <c r="BQ77">
        <v>-9.9000000000000005E-2</v>
      </c>
      <c r="BR77">
        <v>-0.12759999999999999</v>
      </c>
      <c r="BS77">
        <v>-0.1593</v>
      </c>
      <c r="BT77">
        <v>-0.1628</v>
      </c>
      <c r="BU77">
        <v>-0.17780000000000001</v>
      </c>
      <c r="BV77">
        <v>-0.18290000000000001</v>
      </c>
      <c r="BW77">
        <v>-0.18609999999999999</v>
      </c>
      <c r="BX77">
        <v>-0.1835</v>
      </c>
      <c r="BY77">
        <v>-0.17119999999999999</v>
      </c>
      <c r="BZ77">
        <v>-0.10970000000000001</v>
      </c>
      <c r="CA77">
        <v>-0.12189999999999999</v>
      </c>
      <c r="CB77">
        <v>-0.1061</v>
      </c>
      <c r="CC77">
        <v>-0.1047</v>
      </c>
      <c r="CD77">
        <v>-0.10349999999999999</v>
      </c>
      <c r="CE77">
        <v>-6.1100000000000002E-2</v>
      </c>
      <c r="CF77">
        <v>-4.5600000000000002E-2</v>
      </c>
      <c r="CG77">
        <v>-2.9399999999999999E-2</v>
      </c>
      <c r="CH77">
        <v>-7.2300000000000003E-2</v>
      </c>
      <c r="CI77">
        <v>-8.48E-2</v>
      </c>
      <c r="CJ77">
        <v>-0.12809999999999999</v>
      </c>
      <c r="CK77">
        <v>-0.16239999999999999</v>
      </c>
      <c r="CL77">
        <v>-0.18490000000000001</v>
      </c>
      <c r="CM77">
        <v>-6.7599999999999993E-2</v>
      </c>
      <c r="CN77">
        <v>-4.3099999999999999E-2</v>
      </c>
      <c r="CO77">
        <v>-5.3100000000000001E-2</v>
      </c>
      <c r="CP77">
        <v>-8.3400000000000002E-2</v>
      </c>
      <c r="CQ77">
        <v>-0.15179999999999999</v>
      </c>
      <c r="CR77">
        <v>-0.1996</v>
      </c>
      <c r="CS77">
        <v>-0.12470000000000001</v>
      </c>
      <c r="CT77">
        <v>-0.1673</v>
      </c>
      <c r="CU77">
        <v>-4.82E-2</v>
      </c>
      <c r="CV77">
        <v>-2.3999999999999998E-3</v>
      </c>
    </row>
    <row r="78" spans="1:100" x14ac:dyDescent="0.2">
      <c r="A78" t="s">
        <v>5926</v>
      </c>
      <c r="B78">
        <v>9.8599999999999993E-2</v>
      </c>
      <c r="C78">
        <v>0.1021</v>
      </c>
      <c r="D78">
        <v>0.1055</v>
      </c>
      <c r="E78">
        <v>2.2965</v>
      </c>
      <c r="F78">
        <v>0.72599999999999998</v>
      </c>
      <c r="G78">
        <v>1.0173000000000001</v>
      </c>
      <c r="H78">
        <v>0.84740000000000004</v>
      </c>
      <c r="I78">
        <v>0.74729999999999996</v>
      </c>
      <c r="J78">
        <v>0.86180000000000001</v>
      </c>
      <c r="K78">
        <v>0.76419999999999999</v>
      </c>
      <c r="L78">
        <v>0.80779999999999996</v>
      </c>
      <c r="M78">
        <v>0.80330000000000001</v>
      </c>
      <c r="N78">
        <v>0.79749999999999999</v>
      </c>
      <c r="O78">
        <v>0.32940000000000003</v>
      </c>
      <c r="P78">
        <v>0.28360000000000002</v>
      </c>
      <c r="Q78">
        <v>0.53090000000000004</v>
      </c>
      <c r="R78">
        <v>0.48849999999999999</v>
      </c>
      <c r="S78">
        <v>0.31309999999999999</v>
      </c>
      <c r="T78">
        <v>0.38090000000000002</v>
      </c>
      <c r="U78">
        <v>0.39850000000000002</v>
      </c>
      <c r="V78">
        <v>0.38640000000000002</v>
      </c>
      <c r="W78">
        <v>0.21560000000000001</v>
      </c>
      <c r="X78">
        <v>0.17580000000000001</v>
      </c>
      <c r="Y78">
        <v>0.17169999999999999</v>
      </c>
      <c r="Z78">
        <v>0.24829999999999999</v>
      </c>
      <c r="AA78">
        <v>0.2155</v>
      </c>
      <c r="AB78">
        <v>0.2356</v>
      </c>
      <c r="AC78">
        <v>0.23780000000000001</v>
      </c>
      <c r="AD78">
        <v>0.2467</v>
      </c>
      <c r="AE78">
        <v>0.22739999999999999</v>
      </c>
      <c r="AF78">
        <v>0.22739999999999999</v>
      </c>
      <c r="AG78">
        <v>0.21560000000000001</v>
      </c>
      <c r="AH78">
        <v>0.21310000000000001</v>
      </c>
      <c r="AI78">
        <v>0.1986</v>
      </c>
      <c r="AJ78">
        <v>0.18720000000000001</v>
      </c>
      <c r="AK78">
        <v>0.1575</v>
      </c>
      <c r="AL78">
        <v>0.1474</v>
      </c>
      <c r="AM78">
        <v>0.14399999999999999</v>
      </c>
      <c r="AN78">
        <v>0.15060000000000001</v>
      </c>
      <c r="AO78">
        <v>0.12509999999999999</v>
      </c>
      <c r="AP78">
        <v>0.13830000000000001</v>
      </c>
      <c r="AQ78">
        <v>0.1346</v>
      </c>
      <c r="AR78">
        <v>0.12509999999999999</v>
      </c>
      <c r="AS78">
        <v>0.1497</v>
      </c>
      <c r="AT78">
        <v>0.1174</v>
      </c>
      <c r="AU78">
        <v>0.1187</v>
      </c>
      <c r="AV78">
        <v>0.1055</v>
      </c>
      <c r="AW78">
        <v>0.1016</v>
      </c>
      <c r="AX78">
        <v>7.6999999999999999E-2</v>
      </c>
      <c r="AY78">
        <v>8.1900000000000001E-2</v>
      </c>
      <c r="AZ78">
        <v>7.4999999999999997E-2</v>
      </c>
      <c r="BA78">
        <v>5.9299999999999999E-2</v>
      </c>
      <c r="BB78">
        <v>4.9200000000000001E-2</v>
      </c>
      <c r="BC78">
        <v>5.6300000000000003E-2</v>
      </c>
      <c r="BD78">
        <v>5.9200000000000003E-2</v>
      </c>
      <c r="BE78">
        <v>4.0099999999999997E-2</v>
      </c>
      <c r="BF78">
        <v>5.4199999999999998E-2</v>
      </c>
      <c r="BG78">
        <v>6.54E-2</v>
      </c>
      <c r="BH78">
        <v>7.3200000000000001E-2</v>
      </c>
      <c r="BI78">
        <v>7.9699999999999993E-2</v>
      </c>
      <c r="BJ78">
        <v>8.7499999999999994E-2</v>
      </c>
      <c r="BK78">
        <v>9.1700000000000004E-2</v>
      </c>
      <c r="BL78">
        <v>8.4099999999999994E-2</v>
      </c>
      <c r="BM78">
        <v>9.6000000000000002E-2</v>
      </c>
      <c r="BN78">
        <v>0.1211</v>
      </c>
      <c r="BO78">
        <v>0.14349999999999999</v>
      </c>
      <c r="BP78">
        <v>0.14460000000000001</v>
      </c>
      <c r="BQ78">
        <v>9.98E-2</v>
      </c>
      <c r="BR78">
        <v>7.2300000000000003E-2</v>
      </c>
      <c r="BS78">
        <v>4.3999999999999997E-2</v>
      </c>
      <c r="BT78">
        <v>3.32E-2</v>
      </c>
      <c r="BU78">
        <v>1.7100000000000001E-2</v>
      </c>
      <c r="BV78">
        <v>1.17E-2</v>
      </c>
      <c r="BW78">
        <v>3.8E-3</v>
      </c>
      <c r="BX78">
        <v>8.9999999999999993E-3</v>
      </c>
      <c r="BY78">
        <v>2.7E-2</v>
      </c>
      <c r="BZ78">
        <v>7.4300000000000005E-2</v>
      </c>
      <c r="CA78">
        <v>7.22E-2</v>
      </c>
      <c r="CB78">
        <v>9.7799999999999998E-2</v>
      </c>
      <c r="CC78">
        <v>0.1133</v>
      </c>
      <c r="CD78">
        <v>0.124</v>
      </c>
      <c r="CE78">
        <v>0.159</v>
      </c>
      <c r="CF78">
        <v>0.1676</v>
      </c>
      <c r="CG78">
        <v>0.1734</v>
      </c>
      <c r="CH78">
        <v>0.13450000000000001</v>
      </c>
      <c r="CI78">
        <v>0.14380000000000001</v>
      </c>
      <c r="CJ78">
        <v>0.1081</v>
      </c>
      <c r="CK78">
        <v>8.1699999999999995E-2</v>
      </c>
      <c r="CL78">
        <v>5.9900000000000002E-2</v>
      </c>
      <c r="CM78">
        <v>0.2029</v>
      </c>
      <c r="CN78">
        <v>0.22109999999999999</v>
      </c>
      <c r="CO78">
        <v>0.22750000000000001</v>
      </c>
      <c r="CP78">
        <v>0.21479999999999999</v>
      </c>
      <c r="CQ78">
        <v>0.1613</v>
      </c>
      <c r="CR78">
        <v>0.14199999999999999</v>
      </c>
      <c r="CS78">
        <v>0.18129999999999999</v>
      </c>
      <c r="CT78">
        <v>0.27950000000000003</v>
      </c>
      <c r="CU78">
        <v>0.33929999999999999</v>
      </c>
      <c r="CV78">
        <v>0.58179999999999998</v>
      </c>
    </row>
  </sheetData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Rotina</vt:lpstr>
      <vt:lpstr>R_2020_2021efet CI</vt:lpstr>
      <vt:lpstr>R_2020_2021efet</vt:lpstr>
      <vt:lpstr>R 0 horas -&gt; 1 hora</vt:lpstr>
      <vt:lpstr>R_2020_2021hab</vt:lpstr>
      <vt:lpstr>2012_2015</vt:lpstr>
      <vt:lpstr>2015_2020</vt:lpstr>
      <vt:lpstr>2012_2020</vt:lpstr>
      <vt:lpstr>2020_2021_efet</vt:lpstr>
      <vt:lpstr>2020_2021 0-&gt;1</vt:lpstr>
      <vt:lpstr>2020_2021_hab</vt:lpstr>
      <vt:lpstr>2012_2015 Int Confianca</vt:lpstr>
      <vt:lpstr>2015_2020 Int_Confianca</vt:lpstr>
      <vt:lpstr>2012_2020 Int_Confianca</vt:lpstr>
      <vt:lpstr>2020_2021_efet Int_Confianca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Microsoft Office</dc:creator>
  <cp:lastModifiedBy>Usuário do Microsoft Office</cp:lastModifiedBy>
  <dcterms:created xsi:type="dcterms:W3CDTF">2021-07-06T19:05:39Z</dcterms:created>
  <dcterms:modified xsi:type="dcterms:W3CDTF">2021-08-27T12:10:04Z</dcterms:modified>
</cp:coreProperties>
</file>